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https://adlasz-my.sharepoint.com/personal/jan-dirk_degoeij_adlasz_nl/Documents/Documenten/adlasz/vaktechnische informatie/budgetten SZW/Tools Adlasz/P-wet/"/>
    </mc:Choice>
  </mc:AlternateContent>
  <xr:revisionPtr revIDLastSave="322" documentId="13_ncr:1_{8D723E65-A6F9-4A0F-B191-A2AB0D62D0C6}" xr6:coauthVersionLast="47" xr6:coauthVersionMax="47" xr10:uidLastSave="{99782A48-F0A7-41F3-87C3-C4FF6BBD49C5}"/>
  <workbookProtection workbookAlgorithmName="SHA-512" workbookHashValue="XbKD/hiwTeerz+huqcJloQRQiKNHpusPwL3h/pRdIObpthrASsa//R/6z/CzeyR+kiAAA/uJsVvuuChnr2H5ng==" workbookSaltValue="yTuHV+WIe3HPxwk4RN5hgg==" workbookSpinCount="100000" lockStructure="1"/>
  <bookViews>
    <workbookView xWindow="-110" yWindow="-110" windowWidth="19420" windowHeight="10420" xr2:uid="{858A2406-C2B9-40BB-8D15-053502AE9F47}"/>
  </bookViews>
  <sheets>
    <sheet name="Start" sheetId="20" r:id="rId1"/>
    <sheet name="1 Grafieken" sheetId="21" r:id="rId2"/>
    <sheet name="2 Cijfers" sheetId="14" r:id="rId3"/>
    <sheet name="3 FAQ" sheetId="22" r:id="rId4"/>
    <sheet name="P-SW" sheetId="10" state="veryHidden" r:id="rId5"/>
    <sheet name="Werking verdeelmodel" sheetId="13" state="veryHidden" r:id="rId6"/>
    <sheet name="P-Wajong" sheetId="11" state="veryHidden" r:id="rId7"/>
    <sheet name="P-Begeleiding" sheetId="12" state="veryHidden" r:id="rId8"/>
    <sheet name="CBS budgetaandelen" sheetId="15" state="veryHidden" r:id="rId9"/>
    <sheet name="Taakstelling Nw Beschut" sheetId="18" state="veryHidden" r:id="rId10"/>
    <sheet name="Bonus Nw Beschut" sheetId="19" state="veryHidden" r:id="rId11"/>
    <sheet name="Budgetaandelen klassiek" sheetId="8" state="veryHidden" r:id="rId12"/>
    <sheet name="Basis verd klas AU" sheetId="2" state="veryHidden" r:id="rId13"/>
    <sheet name="Suppletie 2019" sheetId="17" state="veryHidden" r:id="rId14"/>
    <sheet name="Recap circulaires" sheetId="1" state="hidden" r:id="rId15"/>
    <sheet name="Grondslagen AU 2019" sheetId="5" state="veryHidden" r:id="rId16"/>
    <sheet name="Grondslagen AU 2020" sheetId="26" state="veryHidden" r:id="rId17"/>
    <sheet name="Grondslagen AU 2018" sheetId="6" state="veryHidden" r:id="rId18"/>
    <sheet name="IUSD klassiek 2018" sheetId="9" state="veryHidden" r:id="rId19"/>
    <sheet name="IUSD Klassiek 2017" sheetId="7" state="veryHidden" r:id="rId20"/>
    <sheet name="Grondslagen AU 2021" sheetId="28" state="veryHidden" r:id="rId21"/>
    <sheet name="Grondslagen AU 2022" sheetId="29" state="veryHidden" r:id="rId22"/>
    <sheet name="Hulpblad gemeenten 2022" sheetId="4" state="veryHidden" r:id="rId23"/>
    <sheet name="Hulpblad grafieken" sheetId="16" state="veryHidden" r:id="rId24"/>
    <sheet name="Hulpblad kenget verg" sheetId="27" state="veryHidden" r:id="rId25"/>
    <sheet name="Hulpblad vergelijk" sheetId="24" state="veryHidden" r:id="rId26"/>
    <sheet name="Hulpblad inw en bijst ontv" sheetId="23" state="veryHidden" r:id="rId27"/>
  </sheets>
  <externalReferences>
    <externalReference r:id="rId28"/>
    <externalReference r:id="rId29"/>
  </externalReferences>
  <definedNames>
    <definedName name="_xlnm._FilterDatabase" localSheetId="11" hidden="1">'Budgetaandelen klassiek'!$A$353:$P$353</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0" i="27" l="1"/>
  <c r="B71" i="27"/>
  <c r="B72" i="27"/>
  <c r="B73" i="27"/>
  <c r="B74" i="27"/>
  <c r="B75" i="27"/>
  <c r="B76" i="27"/>
  <c r="B69" i="27"/>
  <c r="AI9" i="10" l="1"/>
  <c r="AH9" i="10"/>
  <c r="L47" i="14" l="1"/>
  <c r="K47" i="14"/>
  <c r="J47" i="14"/>
  <c r="I47" i="14"/>
  <c r="H47" i="14"/>
  <c r="G47" i="14"/>
  <c r="I38" i="1"/>
  <c r="J38" i="1"/>
  <c r="K38" i="1"/>
  <c r="L38" i="1"/>
  <c r="M38" i="1"/>
  <c r="H38" i="1"/>
  <c r="B63" i="27" l="1"/>
  <c r="B64" i="27"/>
  <c r="B52" i="27" l="1"/>
  <c r="B51" i="27"/>
  <c r="L15" i="16" l="1"/>
  <c r="L9" i="16"/>
  <c r="L11" i="16"/>
  <c r="L4" i="16"/>
  <c r="L6" i="16" s="1"/>
  <c r="L42" i="16"/>
  <c r="K34" i="16"/>
  <c r="K36" i="16"/>
  <c r="K30" i="16"/>
  <c r="K31" i="16"/>
  <c r="F52" i="14"/>
  <c r="G52" i="14"/>
  <c r="H52" i="14"/>
  <c r="I52" i="14"/>
  <c r="J52" i="14"/>
  <c r="K52" i="14"/>
  <c r="L52" i="14"/>
  <c r="H51" i="14"/>
  <c r="I51" i="14"/>
  <c r="J51" i="14"/>
  <c r="K51" i="14"/>
  <c r="L51" i="14"/>
  <c r="H50" i="14"/>
  <c r="I50" i="14"/>
  <c r="J50" i="14"/>
  <c r="K50" i="14"/>
  <c r="L50" i="14"/>
  <c r="G50" i="14"/>
  <c r="F50" i="14"/>
  <c r="V23" i="10"/>
  <c r="W23" i="10"/>
  <c r="X23" i="10"/>
  <c r="Y23" i="10"/>
  <c r="Z23" i="10"/>
  <c r="AA23" i="10"/>
  <c r="V78" i="10"/>
  <c r="W78" i="10"/>
  <c r="X78" i="10"/>
  <c r="Y78" i="10"/>
  <c r="Z78" i="10"/>
  <c r="AA78" i="10"/>
  <c r="AA164" i="10"/>
  <c r="Z164" i="10"/>
  <c r="Y164" i="10"/>
  <c r="X164" i="10"/>
  <c r="W164" i="10"/>
  <c r="V164" i="10"/>
  <c r="V183" i="10"/>
  <c r="W183" i="10"/>
  <c r="X183" i="10"/>
  <c r="Y183" i="10"/>
  <c r="Z183" i="10"/>
  <c r="AA183" i="10"/>
  <c r="V234" i="10"/>
  <c r="W234" i="10"/>
  <c r="X234" i="10"/>
  <c r="Y234" i="10"/>
  <c r="Z234" i="10"/>
  <c r="AA234" i="10"/>
  <c r="L9" i="10" l="1"/>
  <c r="M9" i="10"/>
  <c r="N9" i="10"/>
  <c r="O9" i="10"/>
  <c r="P9" i="10"/>
  <c r="K9" i="10"/>
  <c r="U9" i="10"/>
  <c r="AH8" i="10" l="1"/>
  <c r="F51" i="14" s="1"/>
  <c r="I37" i="1"/>
  <c r="J37" i="1"/>
  <c r="K37" i="1"/>
  <c r="L37" i="1"/>
  <c r="M37" i="1"/>
  <c r="H37" i="1"/>
  <c r="L18" i="14" l="1"/>
  <c r="E394" i="17" l="1"/>
  <c r="F394" i="17"/>
  <c r="G394" i="17"/>
  <c r="D394" i="17"/>
  <c r="E390" i="17"/>
  <c r="D390" i="17"/>
  <c r="E386" i="17"/>
  <c r="D386" i="17"/>
  <c r="E382" i="17"/>
  <c r="D382" i="17"/>
  <c r="F381" i="17"/>
  <c r="G381" i="17" s="1"/>
  <c r="E375" i="17"/>
  <c r="D375" i="17"/>
  <c r="E371" i="17"/>
  <c r="D371" i="17"/>
  <c r="F355" i="18"/>
  <c r="G355" i="18"/>
  <c r="F378" i="18"/>
  <c r="G378" i="18"/>
  <c r="F374" i="18"/>
  <c r="G374" i="18"/>
  <c r="F370" i="18"/>
  <c r="G370" i="18"/>
  <c r="F366" i="18"/>
  <c r="G366" i="18"/>
  <c r="F359" i="18"/>
  <c r="G359" i="18"/>
  <c r="E33" i="14"/>
  <c r="D33" i="14"/>
  <c r="C33" i="14"/>
  <c r="B33" i="14"/>
  <c r="D31" i="14"/>
  <c r="C31" i="14"/>
  <c r="B31" i="14"/>
  <c r="S361" i="19"/>
  <c r="Q361" i="19"/>
  <c r="C391" i="19"/>
  <c r="D391" i="19"/>
  <c r="E391" i="19"/>
  <c r="F391" i="19"/>
  <c r="G391" i="19"/>
  <c r="H391" i="19"/>
  <c r="I391" i="19"/>
  <c r="J391" i="19"/>
  <c r="K391" i="19"/>
  <c r="L391" i="19"/>
  <c r="M391" i="19"/>
  <c r="N391" i="19"/>
  <c r="O391" i="19"/>
  <c r="P391" i="19"/>
  <c r="Q391" i="19"/>
  <c r="R391" i="19"/>
  <c r="S391" i="19"/>
  <c r="B391" i="19"/>
  <c r="C387" i="19"/>
  <c r="D387" i="19"/>
  <c r="E387" i="19"/>
  <c r="F387" i="19"/>
  <c r="G387" i="19"/>
  <c r="H387" i="19"/>
  <c r="I387" i="19"/>
  <c r="J387" i="19"/>
  <c r="K387" i="19"/>
  <c r="L387" i="19"/>
  <c r="M387" i="19"/>
  <c r="N387" i="19"/>
  <c r="O387" i="19"/>
  <c r="P387" i="19"/>
  <c r="Q387" i="19"/>
  <c r="R387" i="19"/>
  <c r="S387" i="19"/>
  <c r="B387" i="19"/>
  <c r="C383" i="19"/>
  <c r="D383" i="19"/>
  <c r="E383" i="19"/>
  <c r="F383" i="19"/>
  <c r="G383" i="19"/>
  <c r="H383" i="19"/>
  <c r="I383" i="19"/>
  <c r="J383" i="19"/>
  <c r="K383" i="19"/>
  <c r="L383" i="19"/>
  <c r="M383" i="19"/>
  <c r="N383" i="19"/>
  <c r="O383" i="19"/>
  <c r="P383" i="19"/>
  <c r="Q383" i="19"/>
  <c r="R383" i="19"/>
  <c r="S383" i="19"/>
  <c r="B383" i="19"/>
  <c r="C379" i="19"/>
  <c r="D379" i="19"/>
  <c r="E379" i="19"/>
  <c r="F379" i="19"/>
  <c r="G379" i="19"/>
  <c r="H379" i="19"/>
  <c r="I379" i="19"/>
  <c r="J379" i="19"/>
  <c r="K379" i="19"/>
  <c r="L379" i="19"/>
  <c r="M379" i="19"/>
  <c r="N379" i="19"/>
  <c r="O379" i="19"/>
  <c r="P379" i="19"/>
  <c r="Q379" i="19"/>
  <c r="R379" i="19"/>
  <c r="S379" i="19"/>
  <c r="B379" i="19"/>
  <c r="C372" i="19"/>
  <c r="D372" i="19"/>
  <c r="E372" i="19"/>
  <c r="F372" i="19"/>
  <c r="G372" i="19"/>
  <c r="H372" i="19"/>
  <c r="I372" i="19"/>
  <c r="J372" i="19"/>
  <c r="K372" i="19"/>
  <c r="L372" i="19"/>
  <c r="M372" i="19"/>
  <c r="N372" i="19"/>
  <c r="O372" i="19"/>
  <c r="P372" i="19"/>
  <c r="Q372" i="19"/>
  <c r="R372" i="19"/>
  <c r="S372" i="19"/>
  <c r="B372" i="19"/>
  <c r="C368" i="19"/>
  <c r="D368" i="19"/>
  <c r="E368" i="19"/>
  <c r="F368" i="19"/>
  <c r="G368" i="19"/>
  <c r="H368" i="19"/>
  <c r="I368" i="19"/>
  <c r="J368" i="19"/>
  <c r="K368" i="19"/>
  <c r="L368" i="19"/>
  <c r="M368" i="19"/>
  <c r="N368" i="19"/>
  <c r="O368" i="19"/>
  <c r="P368" i="19"/>
  <c r="Q368" i="19"/>
  <c r="R368" i="19"/>
  <c r="S368" i="19"/>
  <c r="B368" i="19"/>
  <c r="T234" i="10" l="1"/>
  <c r="S234" i="10"/>
  <c r="R234" i="10"/>
  <c r="Q234" i="10"/>
  <c r="P391" i="10"/>
  <c r="O391" i="10"/>
  <c r="N391" i="10"/>
  <c r="M391" i="10"/>
  <c r="L391" i="10"/>
  <c r="K391" i="10"/>
  <c r="C391" i="10"/>
  <c r="Y391" i="10" s="1"/>
  <c r="S24" i="10"/>
  <c r="V24" i="10"/>
  <c r="W24" i="10"/>
  <c r="X24" i="10"/>
  <c r="Y24" i="10"/>
  <c r="Z24" i="10"/>
  <c r="AA24" i="10"/>
  <c r="T394" i="10"/>
  <c r="T23" i="10" s="1"/>
  <c r="S394" i="10"/>
  <c r="S23" i="10" s="1"/>
  <c r="R394" i="10"/>
  <c r="R23" i="10" s="1"/>
  <c r="Q394" i="10"/>
  <c r="Q23" i="10" s="1"/>
  <c r="D394" i="10"/>
  <c r="C394" i="10"/>
  <c r="T183" i="10"/>
  <c r="S183" i="10"/>
  <c r="R183" i="10"/>
  <c r="Q183" i="10"/>
  <c r="R78" i="10"/>
  <c r="S78" i="10"/>
  <c r="T78" i="10"/>
  <c r="Q78" i="10"/>
  <c r="R164" i="10"/>
  <c r="S164" i="10"/>
  <c r="T164" i="10"/>
  <c r="Q164" i="10"/>
  <c r="V391" i="10" l="1"/>
  <c r="AA391" i="10"/>
  <c r="Z391" i="10"/>
  <c r="W391" i="10"/>
  <c r="X391" i="10"/>
  <c r="H350" i="18" l="1"/>
  <c r="I350" i="18" s="1"/>
  <c r="J350" i="18" s="1"/>
  <c r="K350" i="18" s="1"/>
  <c r="E354" i="18"/>
  <c r="D354" i="18"/>
  <c r="C354" i="18"/>
  <c r="E353" i="18"/>
  <c r="D353" i="18"/>
  <c r="C353" i="18"/>
  <c r="E352" i="18"/>
  <c r="D352" i="18"/>
  <c r="C352" i="18"/>
  <c r="E351" i="18"/>
  <c r="D351" i="18"/>
  <c r="C351" i="18"/>
  <c r="E350" i="18"/>
  <c r="D350" i="18"/>
  <c r="C350" i="18"/>
  <c r="E349" i="18"/>
  <c r="D349" i="18"/>
  <c r="C349" i="18"/>
  <c r="H348" i="18"/>
  <c r="I348" i="18" s="1"/>
  <c r="J348" i="18" s="1"/>
  <c r="K348" i="18" s="1"/>
  <c r="E348" i="18"/>
  <c r="D348" i="18"/>
  <c r="C348" i="18"/>
  <c r="E347" i="18"/>
  <c r="D347" i="18"/>
  <c r="C347" i="18"/>
  <c r="H346" i="18"/>
  <c r="I346" i="18" s="1"/>
  <c r="J346" i="18" s="1"/>
  <c r="K346" i="18" s="1"/>
  <c r="E346" i="18"/>
  <c r="D346" i="18"/>
  <c r="C346" i="18"/>
  <c r="E345" i="18"/>
  <c r="D345" i="18"/>
  <c r="C345" i="18"/>
  <c r="H344" i="18"/>
  <c r="I344" i="18" s="1"/>
  <c r="J344" i="18" s="1"/>
  <c r="K344" i="18" s="1"/>
  <c r="E344" i="18"/>
  <c r="D344" i="18"/>
  <c r="C344" i="18"/>
  <c r="E343" i="18"/>
  <c r="D343" i="18"/>
  <c r="C343" i="18"/>
  <c r="H342" i="18"/>
  <c r="I342" i="18" s="1"/>
  <c r="J342" i="18" s="1"/>
  <c r="K342" i="18" s="1"/>
  <c r="E342" i="18"/>
  <c r="D342" i="18"/>
  <c r="C342" i="18"/>
  <c r="E341" i="18"/>
  <c r="D341" i="18"/>
  <c r="C341" i="18"/>
  <c r="H340" i="18"/>
  <c r="I340" i="18" s="1"/>
  <c r="J340" i="18" s="1"/>
  <c r="K340" i="18" s="1"/>
  <c r="E340" i="18"/>
  <c r="D340" i="18"/>
  <c r="C340" i="18"/>
  <c r="E339" i="18"/>
  <c r="D339" i="18"/>
  <c r="C339" i="18"/>
  <c r="H338" i="18"/>
  <c r="I338" i="18" s="1"/>
  <c r="J338" i="18" s="1"/>
  <c r="K338" i="18" s="1"/>
  <c r="E338" i="18"/>
  <c r="D338" i="18"/>
  <c r="C338" i="18"/>
  <c r="E337" i="18"/>
  <c r="D337" i="18"/>
  <c r="C337" i="18"/>
  <c r="H336" i="18"/>
  <c r="I336" i="18" s="1"/>
  <c r="J336" i="18" s="1"/>
  <c r="K336" i="18" s="1"/>
  <c r="E336" i="18"/>
  <c r="D336" i="18"/>
  <c r="C336" i="18"/>
  <c r="E335" i="18"/>
  <c r="D335" i="18"/>
  <c r="C335" i="18"/>
  <c r="H334" i="18"/>
  <c r="I334" i="18" s="1"/>
  <c r="J334" i="18" s="1"/>
  <c r="K334" i="18" s="1"/>
  <c r="E334" i="18"/>
  <c r="D334" i="18"/>
  <c r="C334" i="18"/>
  <c r="E333" i="18"/>
  <c r="D333" i="18"/>
  <c r="C333" i="18"/>
  <c r="H332" i="18"/>
  <c r="I332" i="18" s="1"/>
  <c r="J332" i="18" s="1"/>
  <c r="K332" i="18" s="1"/>
  <c r="E332" i="18"/>
  <c r="D332" i="18"/>
  <c r="C332" i="18"/>
  <c r="E331" i="18"/>
  <c r="D331" i="18"/>
  <c r="C331" i="18"/>
  <c r="H330" i="18"/>
  <c r="I330" i="18" s="1"/>
  <c r="J330" i="18" s="1"/>
  <c r="K330" i="18" s="1"/>
  <c r="E330" i="18"/>
  <c r="D330" i="18"/>
  <c r="C330" i="18"/>
  <c r="E329" i="18"/>
  <c r="D329" i="18"/>
  <c r="C329" i="18"/>
  <c r="H328" i="18"/>
  <c r="I328" i="18" s="1"/>
  <c r="J328" i="18" s="1"/>
  <c r="K328" i="18" s="1"/>
  <c r="E328" i="18"/>
  <c r="D328" i="18"/>
  <c r="C328" i="18"/>
  <c r="E327" i="18"/>
  <c r="D327" i="18"/>
  <c r="C327" i="18"/>
  <c r="H326" i="18"/>
  <c r="I326" i="18" s="1"/>
  <c r="J326" i="18" s="1"/>
  <c r="K326" i="18" s="1"/>
  <c r="E326" i="18"/>
  <c r="D326" i="18"/>
  <c r="C326" i="18"/>
  <c r="E325" i="18"/>
  <c r="D325" i="18"/>
  <c r="C325" i="18"/>
  <c r="H324" i="18"/>
  <c r="I324" i="18" s="1"/>
  <c r="J324" i="18" s="1"/>
  <c r="K324" i="18" s="1"/>
  <c r="E324" i="18"/>
  <c r="D324" i="18"/>
  <c r="C324" i="18"/>
  <c r="E323" i="18"/>
  <c r="D323" i="18"/>
  <c r="C323" i="18"/>
  <c r="H377" i="18"/>
  <c r="I377" i="18" s="1"/>
  <c r="J377" i="18" s="1"/>
  <c r="K377" i="18" s="1"/>
  <c r="E377" i="18"/>
  <c r="E378" i="18" s="1"/>
  <c r="D377" i="18"/>
  <c r="D378" i="18" s="1"/>
  <c r="C377" i="18"/>
  <c r="C378" i="18" s="1"/>
  <c r="E321" i="18"/>
  <c r="D321" i="18"/>
  <c r="C321" i="18"/>
  <c r="H320" i="18"/>
  <c r="I320" i="18" s="1"/>
  <c r="J320" i="18" s="1"/>
  <c r="K320" i="18" s="1"/>
  <c r="E320" i="18"/>
  <c r="D320" i="18"/>
  <c r="C320" i="18"/>
  <c r="E319" i="18"/>
  <c r="D319" i="18"/>
  <c r="C319" i="18"/>
  <c r="H318" i="18"/>
  <c r="I318" i="18" s="1"/>
  <c r="J318" i="18" s="1"/>
  <c r="K318" i="18" s="1"/>
  <c r="E318" i="18"/>
  <c r="D318" i="18"/>
  <c r="C318" i="18"/>
  <c r="E317" i="18"/>
  <c r="D317" i="18"/>
  <c r="C317" i="18"/>
  <c r="H316" i="18"/>
  <c r="I316" i="18" s="1"/>
  <c r="J316" i="18" s="1"/>
  <c r="K316" i="18" s="1"/>
  <c r="E316" i="18"/>
  <c r="D316" i="18"/>
  <c r="C316" i="18"/>
  <c r="E315" i="18"/>
  <c r="D315" i="18"/>
  <c r="C315" i="18"/>
  <c r="H314" i="18"/>
  <c r="I314" i="18" s="1"/>
  <c r="J314" i="18" s="1"/>
  <c r="K314" i="18" s="1"/>
  <c r="E314" i="18"/>
  <c r="D314" i="18"/>
  <c r="C314" i="18"/>
  <c r="E313" i="18"/>
  <c r="D313" i="18"/>
  <c r="C313" i="18"/>
  <c r="H312" i="18"/>
  <c r="I312" i="18" s="1"/>
  <c r="J312" i="18" s="1"/>
  <c r="K312" i="18" s="1"/>
  <c r="E312" i="18"/>
  <c r="D312" i="18"/>
  <c r="C312" i="18"/>
  <c r="E311" i="18"/>
  <c r="D311" i="18"/>
  <c r="C311" i="18"/>
  <c r="H310" i="18"/>
  <c r="I310" i="18" s="1"/>
  <c r="J310" i="18" s="1"/>
  <c r="K310" i="18" s="1"/>
  <c r="E310" i="18"/>
  <c r="D310" i="18"/>
  <c r="C310" i="18"/>
  <c r="E309" i="18"/>
  <c r="D309" i="18"/>
  <c r="C309" i="18"/>
  <c r="H308" i="18"/>
  <c r="I308" i="18" s="1"/>
  <c r="J308" i="18" s="1"/>
  <c r="K308" i="18" s="1"/>
  <c r="E308" i="18"/>
  <c r="D308" i="18"/>
  <c r="C308" i="18"/>
  <c r="H307" i="18"/>
  <c r="I307" i="18" s="1"/>
  <c r="J307" i="18" s="1"/>
  <c r="K307" i="18" s="1"/>
  <c r="E307" i="18"/>
  <c r="D307" i="18"/>
  <c r="C307" i="18"/>
  <c r="H306" i="18"/>
  <c r="I306" i="18" s="1"/>
  <c r="J306" i="18" s="1"/>
  <c r="K306" i="18" s="1"/>
  <c r="E306" i="18"/>
  <c r="D306" i="18"/>
  <c r="C306" i="18"/>
  <c r="H305" i="18"/>
  <c r="I305" i="18" s="1"/>
  <c r="J305" i="18" s="1"/>
  <c r="K305" i="18" s="1"/>
  <c r="E305" i="18"/>
  <c r="D305" i="18"/>
  <c r="C305" i="18"/>
  <c r="H304" i="18"/>
  <c r="I304" i="18" s="1"/>
  <c r="J304" i="18" s="1"/>
  <c r="K304" i="18" s="1"/>
  <c r="E304" i="18"/>
  <c r="D304" i="18"/>
  <c r="C304" i="18"/>
  <c r="H303" i="18"/>
  <c r="I303" i="18" s="1"/>
  <c r="J303" i="18" s="1"/>
  <c r="K303" i="18" s="1"/>
  <c r="E303" i="18"/>
  <c r="D303" i="18"/>
  <c r="C303" i="18"/>
  <c r="H302" i="18"/>
  <c r="I302" i="18" s="1"/>
  <c r="J302" i="18" s="1"/>
  <c r="K302" i="18" s="1"/>
  <c r="E302" i="18"/>
  <c r="D302" i="18"/>
  <c r="C302" i="18"/>
  <c r="H301" i="18"/>
  <c r="I301" i="18" s="1"/>
  <c r="J301" i="18" s="1"/>
  <c r="K301" i="18" s="1"/>
  <c r="E301" i="18"/>
  <c r="D301" i="18"/>
  <c r="C301" i="18"/>
  <c r="H300" i="18"/>
  <c r="I300" i="18" s="1"/>
  <c r="J300" i="18" s="1"/>
  <c r="K300" i="18" s="1"/>
  <c r="E300" i="18"/>
  <c r="D300" i="18"/>
  <c r="C300" i="18"/>
  <c r="H299" i="18"/>
  <c r="I299" i="18" s="1"/>
  <c r="J299" i="18" s="1"/>
  <c r="K299" i="18" s="1"/>
  <c r="E299" i="18"/>
  <c r="D299" i="18"/>
  <c r="C299" i="18"/>
  <c r="H298" i="18"/>
  <c r="I298" i="18" s="1"/>
  <c r="J298" i="18" s="1"/>
  <c r="K298" i="18" s="1"/>
  <c r="E298" i="18"/>
  <c r="D298" i="18"/>
  <c r="C298" i="18"/>
  <c r="H297" i="18"/>
  <c r="I297" i="18" s="1"/>
  <c r="J297" i="18" s="1"/>
  <c r="K297" i="18" s="1"/>
  <c r="E297" i="18"/>
  <c r="D297" i="18"/>
  <c r="C297" i="18"/>
  <c r="H296" i="18"/>
  <c r="I296" i="18" s="1"/>
  <c r="J296" i="18" s="1"/>
  <c r="K296" i="18" s="1"/>
  <c r="E296" i="18"/>
  <c r="D296" i="18"/>
  <c r="C296" i="18"/>
  <c r="H295" i="18"/>
  <c r="I295" i="18" s="1"/>
  <c r="J295" i="18" s="1"/>
  <c r="K295" i="18" s="1"/>
  <c r="E295" i="18"/>
  <c r="D295" i="18"/>
  <c r="C295" i="18"/>
  <c r="H294" i="18"/>
  <c r="I294" i="18" s="1"/>
  <c r="J294" i="18" s="1"/>
  <c r="K294" i="18" s="1"/>
  <c r="E294" i="18"/>
  <c r="D294" i="18"/>
  <c r="C294" i="18"/>
  <c r="H293" i="18"/>
  <c r="I293" i="18" s="1"/>
  <c r="J293" i="18" s="1"/>
  <c r="K293" i="18" s="1"/>
  <c r="E293" i="18"/>
  <c r="D293" i="18"/>
  <c r="C293" i="18"/>
  <c r="H292" i="18"/>
  <c r="I292" i="18" s="1"/>
  <c r="J292" i="18" s="1"/>
  <c r="K292" i="18" s="1"/>
  <c r="E292" i="18"/>
  <c r="D292" i="18"/>
  <c r="C292" i="18"/>
  <c r="H291" i="18"/>
  <c r="I291" i="18" s="1"/>
  <c r="J291" i="18" s="1"/>
  <c r="K291" i="18" s="1"/>
  <c r="E291" i="18"/>
  <c r="D291" i="18"/>
  <c r="C291" i="18"/>
  <c r="H358" i="18"/>
  <c r="I358" i="18" s="1"/>
  <c r="J358" i="18" s="1"/>
  <c r="K358" i="18" s="1"/>
  <c r="E358" i="18"/>
  <c r="D358" i="18"/>
  <c r="C358" i="18"/>
  <c r="H289" i="18"/>
  <c r="I289" i="18" s="1"/>
  <c r="J289" i="18" s="1"/>
  <c r="K289" i="18" s="1"/>
  <c r="E289" i="18"/>
  <c r="D289" i="18"/>
  <c r="C289" i="18"/>
  <c r="H288" i="18"/>
  <c r="I288" i="18" s="1"/>
  <c r="J288" i="18" s="1"/>
  <c r="K288" i="18" s="1"/>
  <c r="E288" i="18"/>
  <c r="D288" i="18"/>
  <c r="C288" i="18"/>
  <c r="H287" i="18"/>
  <c r="I287" i="18" s="1"/>
  <c r="J287" i="18" s="1"/>
  <c r="K287" i="18" s="1"/>
  <c r="E287" i="18"/>
  <c r="D287" i="18"/>
  <c r="C287" i="18"/>
  <c r="H286" i="18"/>
  <c r="I286" i="18" s="1"/>
  <c r="J286" i="18" s="1"/>
  <c r="K286" i="18" s="1"/>
  <c r="E286" i="18"/>
  <c r="D286" i="18"/>
  <c r="C286" i="18"/>
  <c r="H285" i="18"/>
  <c r="I285" i="18" s="1"/>
  <c r="J285" i="18" s="1"/>
  <c r="K285" i="18" s="1"/>
  <c r="H284" i="18"/>
  <c r="I284" i="18" s="1"/>
  <c r="J284" i="18" s="1"/>
  <c r="K284" i="18" s="1"/>
  <c r="E284" i="18"/>
  <c r="D284" i="18"/>
  <c r="C284" i="18"/>
  <c r="H283" i="18"/>
  <c r="I283" i="18" s="1"/>
  <c r="J283" i="18" s="1"/>
  <c r="K283" i="18" s="1"/>
  <c r="E283" i="18"/>
  <c r="D283" i="18"/>
  <c r="C283" i="18"/>
  <c r="H282" i="18"/>
  <c r="I282" i="18" s="1"/>
  <c r="J282" i="18" s="1"/>
  <c r="K282" i="18" s="1"/>
  <c r="E282" i="18"/>
  <c r="D282" i="18"/>
  <c r="C282" i="18"/>
  <c r="H281" i="18"/>
  <c r="I281" i="18" s="1"/>
  <c r="J281" i="18" s="1"/>
  <c r="K281" i="18" s="1"/>
  <c r="E281" i="18"/>
  <c r="D281" i="18"/>
  <c r="C281" i="18"/>
  <c r="H280" i="18"/>
  <c r="I280" i="18" s="1"/>
  <c r="J280" i="18" s="1"/>
  <c r="K280" i="18" s="1"/>
  <c r="E280" i="18"/>
  <c r="D280" i="18"/>
  <c r="C280" i="18"/>
  <c r="H279" i="18"/>
  <c r="I279" i="18" s="1"/>
  <c r="J279" i="18" s="1"/>
  <c r="K279" i="18" s="1"/>
  <c r="E279" i="18"/>
  <c r="D279" i="18"/>
  <c r="C279" i="18"/>
  <c r="H278" i="18"/>
  <c r="I278" i="18" s="1"/>
  <c r="J278" i="18" s="1"/>
  <c r="K278" i="18" s="1"/>
  <c r="E278" i="18"/>
  <c r="D278" i="18"/>
  <c r="C278" i="18"/>
  <c r="H277" i="18"/>
  <c r="I277" i="18" s="1"/>
  <c r="J277" i="18" s="1"/>
  <c r="K277" i="18" s="1"/>
  <c r="E277" i="18"/>
  <c r="D277" i="18"/>
  <c r="C277" i="18"/>
  <c r="H276" i="18"/>
  <c r="I276" i="18" s="1"/>
  <c r="J276" i="18" s="1"/>
  <c r="K276" i="18" s="1"/>
  <c r="E276" i="18"/>
  <c r="D276" i="18"/>
  <c r="C276" i="18"/>
  <c r="H275" i="18"/>
  <c r="I275" i="18" s="1"/>
  <c r="J275" i="18" s="1"/>
  <c r="K275" i="18" s="1"/>
  <c r="E275" i="18"/>
  <c r="D275" i="18"/>
  <c r="C275" i="18"/>
  <c r="H274" i="18"/>
  <c r="I274" i="18" s="1"/>
  <c r="J274" i="18" s="1"/>
  <c r="K274" i="18" s="1"/>
  <c r="E274" i="18"/>
  <c r="D274" i="18"/>
  <c r="C274" i="18"/>
  <c r="H273" i="18"/>
  <c r="I273" i="18" s="1"/>
  <c r="J273" i="18" s="1"/>
  <c r="K273" i="18" s="1"/>
  <c r="E273" i="18"/>
  <c r="D273" i="18"/>
  <c r="C273" i="18"/>
  <c r="H272" i="18"/>
  <c r="I272" i="18" s="1"/>
  <c r="J272" i="18" s="1"/>
  <c r="K272" i="18" s="1"/>
  <c r="E272" i="18"/>
  <c r="D272" i="18"/>
  <c r="C272" i="18"/>
  <c r="H271" i="18"/>
  <c r="I271" i="18" s="1"/>
  <c r="J271" i="18" s="1"/>
  <c r="K271" i="18" s="1"/>
  <c r="E271" i="18"/>
  <c r="D271" i="18"/>
  <c r="C271" i="18"/>
  <c r="H270" i="18"/>
  <c r="I270" i="18" s="1"/>
  <c r="J270" i="18" s="1"/>
  <c r="K270" i="18" s="1"/>
  <c r="E270" i="18"/>
  <c r="D270" i="18"/>
  <c r="C270" i="18"/>
  <c r="H269" i="18"/>
  <c r="I269" i="18" s="1"/>
  <c r="J269" i="18" s="1"/>
  <c r="K269" i="18" s="1"/>
  <c r="E269" i="18"/>
  <c r="D269" i="18"/>
  <c r="C269" i="18"/>
  <c r="H268" i="18"/>
  <c r="I268" i="18" s="1"/>
  <c r="J268" i="18" s="1"/>
  <c r="K268" i="18" s="1"/>
  <c r="E268" i="18"/>
  <c r="D268" i="18"/>
  <c r="C268" i="18"/>
  <c r="H267" i="18"/>
  <c r="I267" i="18" s="1"/>
  <c r="J267" i="18" s="1"/>
  <c r="K267" i="18" s="1"/>
  <c r="E267" i="18"/>
  <c r="D267" i="18"/>
  <c r="C267" i="18"/>
  <c r="H266" i="18"/>
  <c r="I266" i="18" s="1"/>
  <c r="J266" i="18" s="1"/>
  <c r="K266" i="18" s="1"/>
  <c r="E266" i="18"/>
  <c r="D266" i="18"/>
  <c r="C266" i="18"/>
  <c r="H265" i="18"/>
  <c r="I265" i="18" s="1"/>
  <c r="J265" i="18" s="1"/>
  <c r="K265" i="18" s="1"/>
  <c r="E265" i="18"/>
  <c r="D265" i="18"/>
  <c r="C265" i="18"/>
  <c r="H264" i="18"/>
  <c r="I264" i="18" s="1"/>
  <c r="J264" i="18" s="1"/>
  <c r="K264" i="18" s="1"/>
  <c r="E264" i="18"/>
  <c r="D264" i="18"/>
  <c r="C264" i="18"/>
  <c r="H263" i="18"/>
  <c r="I263" i="18" s="1"/>
  <c r="J263" i="18" s="1"/>
  <c r="K263" i="18" s="1"/>
  <c r="E263" i="18"/>
  <c r="D263" i="18"/>
  <c r="C263" i="18"/>
  <c r="H365" i="18"/>
  <c r="I365" i="18" s="1"/>
  <c r="J365" i="18" s="1"/>
  <c r="K365" i="18" s="1"/>
  <c r="E365" i="18"/>
  <c r="D365" i="18"/>
  <c r="C365" i="18"/>
  <c r="H261" i="18"/>
  <c r="I261" i="18" s="1"/>
  <c r="J261" i="18" s="1"/>
  <c r="K261" i="18" s="1"/>
  <c r="E261" i="18"/>
  <c r="D261" i="18"/>
  <c r="C261" i="18"/>
  <c r="H260" i="18"/>
  <c r="I260" i="18" s="1"/>
  <c r="J260" i="18" s="1"/>
  <c r="K260" i="18" s="1"/>
  <c r="E260" i="18"/>
  <c r="D260" i="18"/>
  <c r="C260" i="18"/>
  <c r="H259" i="18"/>
  <c r="I259" i="18" s="1"/>
  <c r="J259" i="18" s="1"/>
  <c r="K259" i="18" s="1"/>
  <c r="E259" i="18"/>
  <c r="D259" i="18"/>
  <c r="C259" i="18"/>
  <c r="H258" i="18"/>
  <c r="I258" i="18" s="1"/>
  <c r="J258" i="18" s="1"/>
  <c r="K258" i="18" s="1"/>
  <c r="E258" i="18"/>
  <c r="D258" i="18"/>
  <c r="C258" i="18"/>
  <c r="H257" i="18"/>
  <c r="I257" i="18" s="1"/>
  <c r="J257" i="18" s="1"/>
  <c r="K257" i="18" s="1"/>
  <c r="E257" i="18"/>
  <c r="D257" i="18"/>
  <c r="C257" i="18"/>
  <c r="H256" i="18"/>
  <c r="I256" i="18" s="1"/>
  <c r="J256" i="18" s="1"/>
  <c r="K256" i="18" s="1"/>
  <c r="E256" i="18"/>
  <c r="D256" i="18"/>
  <c r="C256" i="18"/>
  <c r="H255" i="18"/>
  <c r="I255" i="18" s="1"/>
  <c r="J255" i="18" s="1"/>
  <c r="K255" i="18" s="1"/>
  <c r="E255" i="18"/>
  <c r="D255" i="18"/>
  <c r="C255" i="18"/>
  <c r="H254" i="18"/>
  <c r="I254" i="18" s="1"/>
  <c r="J254" i="18" s="1"/>
  <c r="K254" i="18" s="1"/>
  <c r="E254" i="18"/>
  <c r="D254" i="18"/>
  <c r="C254" i="18"/>
  <c r="H253" i="18"/>
  <c r="I253" i="18" s="1"/>
  <c r="J253" i="18" s="1"/>
  <c r="K253" i="18" s="1"/>
  <c r="E253" i="18"/>
  <c r="D253" i="18"/>
  <c r="C253" i="18"/>
  <c r="H252" i="18"/>
  <c r="I252" i="18" s="1"/>
  <c r="J252" i="18" s="1"/>
  <c r="K252" i="18" s="1"/>
  <c r="E252" i="18"/>
  <c r="D252" i="18"/>
  <c r="C252" i="18"/>
  <c r="H251" i="18"/>
  <c r="I251" i="18" s="1"/>
  <c r="J251" i="18" s="1"/>
  <c r="K251" i="18" s="1"/>
  <c r="E251" i="18"/>
  <c r="D251" i="18"/>
  <c r="C251" i="18"/>
  <c r="H250" i="18"/>
  <c r="I250" i="18" s="1"/>
  <c r="J250" i="18" s="1"/>
  <c r="K250" i="18" s="1"/>
  <c r="E250" i="18"/>
  <c r="D250" i="18"/>
  <c r="C250" i="18"/>
  <c r="H249" i="18"/>
  <c r="I249" i="18" s="1"/>
  <c r="J249" i="18" s="1"/>
  <c r="K249" i="18" s="1"/>
  <c r="E249" i="18"/>
  <c r="D249" i="18"/>
  <c r="C249" i="18"/>
  <c r="H248" i="18"/>
  <c r="I248" i="18" s="1"/>
  <c r="J248" i="18" s="1"/>
  <c r="K248" i="18" s="1"/>
  <c r="E248" i="18"/>
  <c r="D248" i="18"/>
  <c r="C248" i="18"/>
  <c r="H247" i="18"/>
  <c r="I247" i="18" s="1"/>
  <c r="J247" i="18" s="1"/>
  <c r="K247" i="18" s="1"/>
  <c r="E247" i="18"/>
  <c r="D247" i="18"/>
  <c r="C247" i="18"/>
  <c r="H246" i="18"/>
  <c r="I246" i="18" s="1"/>
  <c r="J246" i="18" s="1"/>
  <c r="K246" i="18" s="1"/>
  <c r="E246" i="18"/>
  <c r="D246" i="18"/>
  <c r="C246" i="18"/>
  <c r="H245" i="18"/>
  <c r="I245" i="18" s="1"/>
  <c r="J245" i="18" s="1"/>
  <c r="K245" i="18" s="1"/>
  <c r="E245" i="18"/>
  <c r="D245" i="18"/>
  <c r="C245" i="18"/>
  <c r="H244" i="18"/>
  <c r="I244" i="18" s="1"/>
  <c r="J244" i="18" s="1"/>
  <c r="K244" i="18" s="1"/>
  <c r="E244" i="18"/>
  <c r="D244" i="18"/>
  <c r="C244" i="18"/>
  <c r="H243" i="18"/>
  <c r="I243" i="18" s="1"/>
  <c r="J243" i="18" s="1"/>
  <c r="K243" i="18" s="1"/>
  <c r="E243" i="18"/>
  <c r="D243" i="18"/>
  <c r="C243" i="18"/>
  <c r="H242" i="18"/>
  <c r="I242" i="18" s="1"/>
  <c r="J242" i="18" s="1"/>
  <c r="K242" i="18" s="1"/>
  <c r="E242" i="18"/>
  <c r="D242" i="18"/>
  <c r="C242" i="18"/>
  <c r="H241" i="18"/>
  <c r="I241" i="18" s="1"/>
  <c r="J241" i="18" s="1"/>
  <c r="K241" i="18" s="1"/>
  <c r="E241" i="18"/>
  <c r="D241" i="18"/>
  <c r="C241" i="18"/>
  <c r="H240" i="18"/>
  <c r="I240" i="18" s="1"/>
  <c r="J240" i="18" s="1"/>
  <c r="K240" i="18" s="1"/>
  <c r="E240" i="18"/>
  <c r="D240" i="18"/>
  <c r="C240" i="18"/>
  <c r="H239" i="18"/>
  <c r="I239" i="18" s="1"/>
  <c r="J239" i="18" s="1"/>
  <c r="K239" i="18" s="1"/>
  <c r="E239" i="18"/>
  <c r="D239" i="18"/>
  <c r="C239" i="18"/>
  <c r="H238" i="18"/>
  <c r="I238" i="18" s="1"/>
  <c r="J238" i="18" s="1"/>
  <c r="K238" i="18" s="1"/>
  <c r="E238" i="18"/>
  <c r="D238" i="18"/>
  <c r="C238" i="18"/>
  <c r="H237" i="18"/>
  <c r="I237" i="18" s="1"/>
  <c r="J237" i="18" s="1"/>
  <c r="K237" i="18" s="1"/>
  <c r="E237" i="18"/>
  <c r="D237" i="18"/>
  <c r="C237" i="18"/>
  <c r="H373" i="18"/>
  <c r="I373" i="18" s="1"/>
  <c r="J373" i="18" s="1"/>
  <c r="K373" i="18" s="1"/>
  <c r="H235" i="18"/>
  <c r="I235" i="18" s="1"/>
  <c r="J235" i="18" s="1"/>
  <c r="K235" i="18" s="1"/>
  <c r="E235" i="18"/>
  <c r="D235" i="18"/>
  <c r="C235" i="18"/>
  <c r="H234" i="18"/>
  <c r="I234" i="18" s="1"/>
  <c r="J234" i="18" s="1"/>
  <c r="K234" i="18" s="1"/>
  <c r="E234" i="18"/>
  <c r="D234" i="18"/>
  <c r="C234" i="18"/>
  <c r="H233" i="18"/>
  <c r="I233" i="18" s="1"/>
  <c r="J233" i="18" s="1"/>
  <c r="K233" i="18" s="1"/>
  <c r="E233" i="18"/>
  <c r="D233" i="18"/>
  <c r="C233" i="18"/>
  <c r="H232" i="18"/>
  <c r="I232" i="18" s="1"/>
  <c r="J232" i="18" s="1"/>
  <c r="K232" i="18" s="1"/>
  <c r="E232" i="18"/>
  <c r="D232" i="18"/>
  <c r="C232" i="18"/>
  <c r="H231" i="18"/>
  <c r="I231" i="18" s="1"/>
  <c r="J231" i="18" s="1"/>
  <c r="K231" i="18" s="1"/>
  <c r="E231" i="18"/>
  <c r="D231" i="18"/>
  <c r="C231" i="18"/>
  <c r="H230" i="18"/>
  <c r="I230" i="18" s="1"/>
  <c r="J230" i="18" s="1"/>
  <c r="K230" i="18" s="1"/>
  <c r="E230" i="18"/>
  <c r="D230" i="18"/>
  <c r="C230" i="18"/>
  <c r="H229" i="18"/>
  <c r="I229" i="18" s="1"/>
  <c r="J229" i="18" s="1"/>
  <c r="K229" i="18" s="1"/>
  <c r="E229" i="18"/>
  <c r="D229" i="18"/>
  <c r="C229" i="18"/>
  <c r="H228" i="18"/>
  <c r="I228" i="18" s="1"/>
  <c r="J228" i="18" s="1"/>
  <c r="K228" i="18" s="1"/>
  <c r="E228" i="18"/>
  <c r="D228" i="18"/>
  <c r="C228" i="18"/>
  <c r="H227" i="18"/>
  <c r="I227" i="18" s="1"/>
  <c r="J227" i="18" s="1"/>
  <c r="K227" i="18" s="1"/>
  <c r="E227" i="18"/>
  <c r="D227" i="18"/>
  <c r="C227" i="18"/>
  <c r="H226" i="18"/>
  <c r="I226" i="18" s="1"/>
  <c r="J226" i="18" s="1"/>
  <c r="K226" i="18" s="1"/>
  <c r="E226" i="18"/>
  <c r="D226" i="18"/>
  <c r="C226" i="18"/>
  <c r="H225" i="18"/>
  <c r="I225" i="18" s="1"/>
  <c r="J225" i="18" s="1"/>
  <c r="K225" i="18" s="1"/>
  <c r="E225" i="18"/>
  <c r="D225" i="18"/>
  <c r="C225" i="18"/>
  <c r="H224" i="18"/>
  <c r="I224" i="18" s="1"/>
  <c r="J224" i="18" s="1"/>
  <c r="K224" i="18" s="1"/>
  <c r="E224" i="18"/>
  <c r="D224" i="18"/>
  <c r="C224" i="18"/>
  <c r="H223" i="18"/>
  <c r="I223" i="18" s="1"/>
  <c r="J223" i="18" s="1"/>
  <c r="K223" i="18" s="1"/>
  <c r="E223" i="18"/>
  <c r="D223" i="18"/>
  <c r="C223" i="18"/>
  <c r="H222" i="18"/>
  <c r="I222" i="18" s="1"/>
  <c r="J222" i="18" s="1"/>
  <c r="K222" i="18" s="1"/>
  <c r="E222" i="18"/>
  <c r="D222" i="18"/>
  <c r="C222" i="18"/>
  <c r="H221" i="18"/>
  <c r="I221" i="18" s="1"/>
  <c r="J221" i="18" s="1"/>
  <c r="K221" i="18" s="1"/>
  <c r="E221" i="18"/>
  <c r="D221" i="18"/>
  <c r="C221" i="18"/>
  <c r="H220" i="18"/>
  <c r="I220" i="18" s="1"/>
  <c r="J220" i="18" s="1"/>
  <c r="K220" i="18" s="1"/>
  <c r="E220" i="18"/>
  <c r="D220" i="18"/>
  <c r="C220" i="18"/>
  <c r="H219" i="18"/>
  <c r="I219" i="18" s="1"/>
  <c r="J219" i="18" s="1"/>
  <c r="K219" i="18" s="1"/>
  <c r="E219" i="18"/>
  <c r="D219" i="18"/>
  <c r="C219" i="18"/>
  <c r="H218" i="18"/>
  <c r="I218" i="18" s="1"/>
  <c r="J218" i="18" s="1"/>
  <c r="K218" i="18" s="1"/>
  <c r="E218" i="18"/>
  <c r="D218" i="18"/>
  <c r="C218" i="18"/>
  <c r="H217" i="18"/>
  <c r="I217" i="18" s="1"/>
  <c r="J217" i="18" s="1"/>
  <c r="K217" i="18" s="1"/>
  <c r="E217" i="18"/>
  <c r="D217" i="18"/>
  <c r="C217" i="18"/>
  <c r="H216" i="18"/>
  <c r="I216" i="18" s="1"/>
  <c r="J216" i="18" s="1"/>
  <c r="K216" i="18" s="1"/>
  <c r="E216" i="18"/>
  <c r="D216" i="18"/>
  <c r="C216" i="18"/>
  <c r="H215" i="18"/>
  <c r="I215" i="18" s="1"/>
  <c r="J215" i="18" s="1"/>
  <c r="K215" i="18" s="1"/>
  <c r="E215" i="18"/>
  <c r="D215" i="18"/>
  <c r="C215" i="18"/>
  <c r="H214" i="18"/>
  <c r="I214" i="18" s="1"/>
  <c r="J214" i="18" s="1"/>
  <c r="K214" i="18" s="1"/>
  <c r="E214" i="18"/>
  <c r="D214" i="18"/>
  <c r="C214" i="18"/>
  <c r="H213" i="18"/>
  <c r="I213" i="18" s="1"/>
  <c r="J213" i="18" s="1"/>
  <c r="K213" i="18" s="1"/>
  <c r="E213" i="18"/>
  <c r="D213" i="18"/>
  <c r="C213" i="18"/>
  <c r="H212" i="18"/>
  <c r="I212" i="18" s="1"/>
  <c r="J212" i="18" s="1"/>
  <c r="K212" i="18" s="1"/>
  <c r="E212" i="18"/>
  <c r="D212" i="18"/>
  <c r="C212" i="18"/>
  <c r="H211" i="18"/>
  <c r="I211" i="18" s="1"/>
  <c r="J211" i="18" s="1"/>
  <c r="K211" i="18" s="1"/>
  <c r="E211" i="18"/>
  <c r="D211" i="18"/>
  <c r="C211" i="18"/>
  <c r="H210" i="18"/>
  <c r="I210" i="18" s="1"/>
  <c r="J210" i="18" s="1"/>
  <c r="K210" i="18" s="1"/>
  <c r="E210" i="18"/>
  <c r="D210" i="18"/>
  <c r="C210" i="18"/>
  <c r="H209" i="18"/>
  <c r="I209" i="18" s="1"/>
  <c r="J209" i="18" s="1"/>
  <c r="K209" i="18" s="1"/>
  <c r="E209" i="18"/>
  <c r="D209" i="18"/>
  <c r="C209" i="18"/>
  <c r="H208" i="18"/>
  <c r="I208" i="18" s="1"/>
  <c r="J208" i="18" s="1"/>
  <c r="K208" i="18" s="1"/>
  <c r="E208" i="18"/>
  <c r="D208" i="18"/>
  <c r="C208" i="18"/>
  <c r="H207" i="18"/>
  <c r="I207" i="18" s="1"/>
  <c r="J207" i="18" s="1"/>
  <c r="K207" i="18" s="1"/>
  <c r="E207" i="18"/>
  <c r="D207" i="18"/>
  <c r="C207" i="18"/>
  <c r="H206" i="18"/>
  <c r="I206" i="18" s="1"/>
  <c r="J206" i="18" s="1"/>
  <c r="K206" i="18" s="1"/>
  <c r="E206" i="18"/>
  <c r="D206" i="18"/>
  <c r="C206" i="18"/>
  <c r="H205" i="18"/>
  <c r="I205" i="18" s="1"/>
  <c r="J205" i="18" s="1"/>
  <c r="K205" i="18" s="1"/>
  <c r="E205" i="18"/>
  <c r="D205" i="18"/>
  <c r="C205" i="18"/>
  <c r="H204" i="18"/>
  <c r="I204" i="18" s="1"/>
  <c r="J204" i="18" s="1"/>
  <c r="K204" i="18" s="1"/>
  <c r="E204" i="18"/>
  <c r="D204" i="18"/>
  <c r="C204" i="18"/>
  <c r="H203" i="18"/>
  <c r="I203" i="18" s="1"/>
  <c r="J203" i="18" s="1"/>
  <c r="K203" i="18" s="1"/>
  <c r="E203" i="18"/>
  <c r="D203" i="18"/>
  <c r="C203" i="18"/>
  <c r="H202" i="18"/>
  <c r="I202" i="18" s="1"/>
  <c r="J202" i="18" s="1"/>
  <c r="K202" i="18" s="1"/>
  <c r="E202" i="18"/>
  <c r="D202" i="18"/>
  <c r="C202" i="18"/>
  <c r="H201" i="18"/>
  <c r="I201" i="18" s="1"/>
  <c r="J201" i="18" s="1"/>
  <c r="K201" i="18" s="1"/>
  <c r="E201" i="18"/>
  <c r="D201" i="18"/>
  <c r="C201" i="18"/>
  <c r="H200" i="18"/>
  <c r="I200" i="18" s="1"/>
  <c r="J200" i="18" s="1"/>
  <c r="K200" i="18" s="1"/>
  <c r="E200" i="18"/>
  <c r="D200" i="18"/>
  <c r="C200" i="18"/>
  <c r="H199" i="18"/>
  <c r="I199" i="18" s="1"/>
  <c r="J199" i="18" s="1"/>
  <c r="K199" i="18" s="1"/>
  <c r="E199" i="18"/>
  <c r="D199" i="18"/>
  <c r="C199" i="18"/>
  <c r="H198" i="18"/>
  <c r="I198" i="18" s="1"/>
  <c r="J198" i="18" s="1"/>
  <c r="K198" i="18" s="1"/>
  <c r="E198" i="18"/>
  <c r="D198" i="18"/>
  <c r="C198" i="18"/>
  <c r="H197" i="18"/>
  <c r="I197" i="18" s="1"/>
  <c r="J197" i="18" s="1"/>
  <c r="K197" i="18" s="1"/>
  <c r="E197" i="18"/>
  <c r="D197" i="18"/>
  <c r="C197" i="18"/>
  <c r="H196" i="18"/>
  <c r="I196" i="18" s="1"/>
  <c r="J196" i="18" s="1"/>
  <c r="K196" i="18" s="1"/>
  <c r="E196" i="18"/>
  <c r="D196" i="18"/>
  <c r="C196" i="18"/>
  <c r="H195" i="18"/>
  <c r="I195" i="18" s="1"/>
  <c r="J195" i="18" s="1"/>
  <c r="K195" i="18" s="1"/>
  <c r="E195" i="18"/>
  <c r="D195" i="18"/>
  <c r="C195" i="18"/>
  <c r="H194" i="18"/>
  <c r="I194" i="18" s="1"/>
  <c r="J194" i="18" s="1"/>
  <c r="K194" i="18" s="1"/>
  <c r="E194" i="18"/>
  <c r="D194" i="18"/>
  <c r="C194" i="18"/>
  <c r="H364" i="18"/>
  <c r="I364" i="18" s="1"/>
  <c r="J364" i="18" s="1"/>
  <c r="K364" i="18" s="1"/>
  <c r="E364" i="18"/>
  <c r="D364" i="18"/>
  <c r="C364" i="18"/>
  <c r="H192" i="18"/>
  <c r="I192" i="18" s="1"/>
  <c r="J192" i="18" s="1"/>
  <c r="K192" i="18" s="1"/>
  <c r="E192" i="18"/>
  <c r="D192" i="18"/>
  <c r="C192" i="18"/>
  <c r="H191" i="18"/>
  <c r="I191" i="18" s="1"/>
  <c r="J191" i="18" s="1"/>
  <c r="K191" i="18" s="1"/>
  <c r="E191" i="18"/>
  <c r="D191" i="18"/>
  <c r="C191" i="18"/>
  <c r="H190" i="18"/>
  <c r="I190" i="18" s="1"/>
  <c r="J190" i="18" s="1"/>
  <c r="K190" i="18" s="1"/>
  <c r="E190" i="18"/>
  <c r="D190" i="18"/>
  <c r="C190" i="18"/>
  <c r="H189" i="18"/>
  <c r="I189" i="18" s="1"/>
  <c r="J189" i="18" s="1"/>
  <c r="K189" i="18" s="1"/>
  <c r="E189" i="18"/>
  <c r="D189" i="18"/>
  <c r="C189" i="18"/>
  <c r="H188" i="18"/>
  <c r="I188" i="18" s="1"/>
  <c r="J188" i="18" s="1"/>
  <c r="K188" i="18" s="1"/>
  <c r="E188" i="18"/>
  <c r="D188" i="18"/>
  <c r="C188" i="18"/>
  <c r="H187" i="18"/>
  <c r="I187" i="18" s="1"/>
  <c r="J187" i="18" s="1"/>
  <c r="K187" i="18" s="1"/>
  <c r="E187" i="18"/>
  <c r="D187" i="18"/>
  <c r="C187" i="18"/>
  <c r="H186" i="18"/>
  <c r="I186" i="18" s="1"/>
  <c r="J186" i="18" s="1"/>
  <c r="K186" i="18" s="1"/>
  <c r="E186" i="18"/>
  <c r="D186" i="18"/>
  <c r="C186" i="18"/>
  <c r="H185" i="18"/>
  <c r="I185" i="18" s="1"/>
  <c r="J185" i="18" s="1"/>
  <c r="K185" i="18" s="1"/>
  <c r="E185" i="18"/>
  <c r="D185" i="18"/>
  <c r="C185" i="18"/>
  <c r="H184" i="18"/>
  <c r="I184" i="18" s="1"/>
  <c r="J184" i="18" s="1"/>
  <c r="K184" i="18" s="1"/>
  <c r="E184" i="18"/>
  <c r="D184" i="18"/>
  <c r="C184" i="18"/>
  <c r="H183" i="18"/>
  <c r="I183" i="18" s="1"/>
  <c r="J183" i="18" s="1"/>
  <c r="K183" i="18" s="1"/>
  <c r="E183" i="18"/>
  <c r="D183" i="18"/>
  <c r="C183" i="18"/>
  <c r="H182" i="18"/>
  <c r="I182" i="18" s="1"/>
  <c r="J182" i="18" s="1"/>
  <c r="K182" i="18" s="1"/>
  <c r="E182" i="18"/>
  <c r="D182" i="18"/>
  <c r="C182" i="18"/>
  <c r="H181" i="18"/>
  <c r="I181" i="18" s="1"/>
  <c r="J181" i="18" s="1"/>
  <c r="K181" i="18" s="1"/>
  <c r="E181" i="18"/>
  <c r="D181" i="18"/>
  <c r="C181" i="18"/>
  <c r="H180" i="18"/>
  <c r="I180" i="18" s="1"/>
  <c r="J180" i="18" s="1"/>
  <c r="K180" i="18" s="1"/>
  <c r="E180" i="18"/>
  <c r="D180" i="18"/>
  <c r="C180" i="18"/>
  <c r="H179" i="18"/>
  <c r="I179" i="18" s="1"/>
  <c r="J179" i="18" s="1"/>
  <c r="K179" i="18" s="1"/>
  <c r="E179" i="18"/>
  <c r="D179" i="18"/>
  <c r="C179" i="18"/>
  <c r="H178" i="18"/>
  <c r="I178" i="18" s="1"/>
  <c r="J178" i="18" s="1"/>
  <c r="K178" i="18" s="1"/>
  <c r="E178" i="18"/>
  <c r="D178" i="18"/>
  <c r="C178" i="18"/>
  <c r="H177" i="18"/>
  <c r="I177" i="18" s="1"/>
  <c r="J177" i="18" s="1"/>
  <c r="K177" i="18" s="1"/>
  <c r="E177" i="18"/>
  <c r="D177" i="18"/>
  <c r="C177" i="18"/>
  <c r="H176" i="18"/>
  <c r="I176" i="18" s="1"/>
  <c r="J176" i="18" s="1"/>
  <c r="K176" i="18" s="1"/>
  <c r="E176" i="18"/>
  <c r="D176" i="18"/>
  <c r="C176" i="18"/>
  <c r="H175" i="18"/>
  <c r="I175" i="18" s="1"/>
  <c r="J175" i="18" s="1"/>
  <c r="K175" i="18" s="1"/>
  <c r="E175" i="18"/>
  <c r="D175" i="18"/>
  <c r="C175" i="18"/>
  <c r="H174" i="18"/>
  <c r="I174" i="18" s="1"/>
  <c r="J174" i="18" s="1"/>
  <c r="K174" i="18" s="1"/>
  <c r="E174" i="18"/>
  <c r="D174" i="18"/>
  <c r="C174" i="18"/>
  <c r="H173" i="18"/>
  <c r="I173" i="18" s="1"/>
  <c r="J173" i="18" s="1"/>
  <c r="K173" i="18" s="1"/>
  <c r="E173" i="18"/>
  <c r="D173" i="18"/>
  <c r="C173" i="18"/>
  <c r="H172" i="18"/>
  <c r="I172" i="18" s="1"/>
  <c r="J172" i="18" s="1"/>
  <c r="K172" i="18" s="1"/>
  <c r="E172" i="18"/>
  <c r="D172" i="18"/>
  <c r="C172" i="18"/>
  <c r="H171" i="18"/>
  <c r="I171" i="18" s="1"/>
  <c r="J171" i="18" s="1"/>
  <c r="K171" i="18" s="1"/>
  <c r="E171" i="18"/>
  <c r="D171" i="18"/>
  <c r="C171" i="18"/>
  <c r="H170" i="18"/>
  <c r="I170" i="18" s="1"/>
  <c r="J170" i="18" s="1"/>
  <c r="K170" i="18" s="1"/>
  <c r="E170" i="18"/>
  <c r="D170" i="18"/>
  <c r="C170" i="18"/>
  <c r="H169" i="18"/>
  <c r="I169" i="18" s="1"/>
  <c r="J169" i="18" s="1"/>
  <c r="K169" i="18" s="1"/>
  <c r="E169" i="18"/>
  <c r="D169" i="18"/>
  <c r="C169" i="18"/>
  <c r="H168" i="18"/>
  <c r="I168" i="18" s="1"/>
  <c r="J168" i="18" s="1"/>
  <c r="K168" i="18" s="1"/>
  <c r="E168" i="18"/>
  <c r="D168" i="18"/>
  <c r="C168" i="18"/>
  <c r="H167" i="18"/>
  <c r="I167" i="18" s="1"/>
  <c r="J167" i="18" s="1"/>
  <c r="K167" i="18" s="1"/>
  <c r="E167" i="18"/>
  <c r="D167" i="18"/>
  <c r="C167" i="18"/>
  <c r="H166" i="18"/>
  <c r="I166" i="18" s="1"/>
  <c r="J166" i="18" s="1"/>
  <c r="K166" i="18" s="1"/>
  <c r="E166" i="18"/>
  <c r="D166" i="18"/>
  <c r="C166" i="18"/>
  <c r="H369" i="18"/>
  <c r="I369" i="18" s="1"/>
  <c r="J369" i="18" s="1"/>
  <c r="K369" i="18" s="1"/>
  <c r="E369" i="18"/>
  <c r="D369" i="18"/>
  <c r="C369" i="18"/>
  <c r="H164" i="18"/>
  <c r="I164" i="18" s="1"/>
  <c r="J164" i="18" s="1"/>
  <c r="K164" i="18" s="1"/>
  <c r="E164" i="18"/>
  <c r="D164" i="18"/>
  <c r="C164" i="18"/>
  <c r="H163" i="18"/>
  <c r="I163" i="18" s="1"/>
  <c r="J163" i="18" s="1"/>
  <c r="K163" i="18" s="1"/>
  <c r="E163" i="18"/>
  <c r="D163" i="18"/>
  <c r="C163" i="18"/>
  <c r="H357" i="18"/>
  <c r="E357" i="18"/>
  <c r="E359" i="18" s="1"/>
  <c r="D357" i="18"/>
  <c r="D359" i="18" s="1"/>
  <c r="C357" i="18"/>
  <c r="H161" i="18"/>
  <c r="I161" i="18" s="1"/>
  <c r="J161" i="18" s="1"/>
  <c r="K161" i="18" s="1"/>
  <c r="E161" i="18"/>
  <c r="D161" i="18"/>
  <c r="C161" i="18"/>
  <c r="H160" i="18"/>
  <c r="I160" i="18" s="1"/>
  <c r="J160" i="18" s="1"/>
  <c r="K160" i="18" s="1"/>
  <c r="E160" i="18"/>
  <c r="D160" i="18"/>
  <c r="C160" i="18"/>
  <c r="H159" i="18"/>
  <c r="I159" i="18" s="1"/>
  <c r="J159" i="18" s="1"/>
  <c r="K159" i="18" s="1"/>
  <c r="E159" i="18"/>
  <c r="D159" i="18"/>
  <c r="C159" i="18"/>
  <c r="H158" i="18"/>
  <c r="I158" i="18" s="1"/>
  <c r="J158" i="18" s="1"/>
  <c r="K158" i="18" s="1"/>
  <c r="E158" i="18"/>
  <c r="D158" i="18"/>
  <c r="C158" i="18"/>
  <c r="H157" i="18"/>
  <c r="I157" i="18" s="1"/>
  <c r="J157" i="18" s="1"/>
  <c r="K157" i="18" s="1"/>
  <c r="E157" i="18"/>
  <c r="D157" i="18"/>
  <c r="C157" i="18"/>
  <c r="H156" i="18"/>
  <c r="I156" i="18" s="1"/>
  <c r="J156" i="18" s="1"/>
  <c r="K156" i="18" s="1"/>
  <c r="E156" i="18"/>
  <c r="D156" i="18"/>
  <c r="C156" i="18"/>
  <c r="H155" i="18"/>
  <c r="I155" i="18" s="1"/>
  <c r="J155" i="18" s="1"/>
  <c r="K155" i="18" s="1"/>
  <c r="E155" i="18"/>
  <c r="D155" i="18"/>
  <c r="C155" i="18"/>
  <c r="H154" i="18"/>
  <c r="I154" i="18" s="1"/>
  <c r="J154" i="18" s="1"/>
  <c r="K154" i="18" s="1"/>
  <c r="E154" i="18"/>
  <c r="D154" i="18"/>
  <c r="C154" i="18"/>
  <c r="H153" i="18"/>
  <c r="I153" i="18" s="1"/>
  <c r="J153" i="18" s="1"/>
  <c r="K153" i="18" s="1"/>
  <c r="E153" i="18"/>
  <c r="D153" i="18"/>
  <c r="C153" i="18"/>
  <c r="H152" i="18"/>
  <c r="I152" i="18" s="1"/>
  <c r="J152" i="18" s="1"/>
  <c r="K152" i="18" s="1"/>
  <c r="E152" i="18"/>
  <c r="D152" i="18"/>
  <c r="C152" i="18"/>
  <c r="H151" i="18"/>
  <c r="I151" i="18" s="1"/>
  <c r="J151" i="18" s="1"/>
  <c r="K151" i="18" s="1"/>
  <c r="E151" i="18"/>
  <c r="D151" i="18"/>
  <c r="C151" i="18"/>
  <c r="H150" i="18"/>
  <c r="I150" i="18" s="1"/>
  <c r="J150" i="18" s="1"/>
  <c r="K150" i="18" s="1"/>
  <c r="E150" i="18"/>
  <c r="D150" i="18"/>
  <c r="C150" i="18"/>
  <c r="H149" i="18"/>
  <c r="I149" i="18" s="1"/>
  <c r="J149" i="18" s="1"/>
  <c r="K149" i="18" s="1"/>
  <c r="E149" i="18"/>
  <c r="D149" i="18"/>
  <c r="C149" i="18"/>
  <c r="H148" i="18"/>
  <c r="I148" i="18" s="1"/>
  <c r="J148" i="18" s="1"/>
  <c r="K148" i="18" s="1"/>
  <c r="E148" i="18"/>
  <c r="D148" i="18"/>
  <c r="C148" i="18"/>
  <c r="H147" i="18"/>
  <c r="I147" i="18" s="1"/>
  <c r="J147" i="18" s="1"/>
  <c r="K147" i="18" s="1"/>
  <c r="E147" i="18"/>
  <c r="D147" i="18"/>
  <c r="C147" i="18"/>
  <c r="H146" i="18"/>
  <c r="I146" i="18" s="1"/>
  <c r="J146" i="18" s="1"/>
  <c r="K146" i="18" s="1"/>
  <c r="E146" i="18"/>
  <c r="D146" i="18"/>
  <c r="C146" i="18"/>
  <c r="H145" i="18"/>
  <c r="I145" i="18" s="1"/>
  <c r="J145" i="18" s="1"/>
  <c r="K145" i="18" s="1"/>
  <c r="E145" i="18"/>
  <c r="D145" i="18"/>
  <c r="C145" i="18"/>
  <c r="H144" i="18"/>
  <c r="I144" i="18" s="1"/>
  <c r="J144" i="18" s="1"/>
  <c r="K144" i="18" s="1"/>
  <c r="E144" i="18"/>
  <c r="D144" i="18"/>
  <c r="C144" i="18"/>
  <c r="H143" i="18"/>
  <c r="I143" i="18" s="1"/>
  <c r="J143" i="18" s="1"/>
  <c r="K143" i="18" s="1"/>
  <c r="E143" i="18"/>
  <c r="D143" i="18"/>
  <c r="C143" i="18"/>
  <c r="H142" i="18"/>
  <c r="I142" i="18" s="1"/>
  <c r="J142" i="18" s="1"/>
  <c r="K142" i="18" s="1"/>
  <c r="E142" i="18"/>
  <c r="D142" i="18"/>
  <c r="C142" i="18"/>
  <c r="H141" i="18"/>
  <c r="I141" i="18" s="1"/>
  <c r="J141" i="18" s="1"/>
  <c r="K141" i="18" s="1"/>
  <c r="E141" i="18"/>
  <c r="D141" i="18"/>
  <c r="C141" i="18"/>
  <c r="H140" i="18"/>
  <c r="I140" i="18" s="1"/>
  <c r="J140" i="18" s="1"/>
  <c r="K140" i="18" s="1"/>
  <c r="E140" i="18"/>
  <c r="D140" i="18"/>
  <c r="C140" i="18"/>
  <c r="H139" i="18"/>
  <c r="I139" i="18" s="1"/>
  <c r="J139" i="18" s="1"/>
  <c r="K139" i="18" s="1"/>
  <c r="E139" i="18"/>
  <c r="D139" i="18"/>
  <c r="C139" i="18"/>
  <c r="H138" i="18"/>
  <c r="I138" i="18" s="1"/>
  <c r="J138" i="18" s="1"/>
  <c r="K138" i="18" s="1"/>
  <c r="E138" i="18"/>
  <c r="D138" i="18"/>
  <c r="C138" i="18"/>
  <c r="H137" i="18"/>
  <c r="I137" i="18" s="1"/>
  <c r="J137" i="18" s="1"/>
  <c r="K137" i="18" s="1"/>
  <c r="E137" i="18"/>
  <c r="D137" i="18"/>
  <c r="C137" i="18"/>
  <c r="H136" i="18"/>
  <c r="I136" i="18" s="1"/>
  <c r="J136" i="18" s="1"/>
  <c r="K136" i="18" s="1"/>
  <c r="E136" i="18"/>
  <c r="D136" i="18"/>
  <c r="C136" i="18"/>
  <c r="H135" i="18"/>
  <c r="I135" i="18" s="1"/>
  <c r="J135" i="18" s="1"/>
  <c r="K135" i="18" s="1"/>
  <c r="E135" i="18"/>
  <c r="D135" i="18"/>
  <c r="C135" i="18"/>
  <c r="H134" i="18"/>
  <c r="I134" i="18" s="1"/>
  <c r="J134" i="18" s="1"/>
  <c r="K134" i="18" s="1"/>
  <c r="E134" i="18"/>
  <c r="D134" i="18"/>
  <c r="C134" i="18"/>
  <c r="H133" i="18"/>
  <c r="I133" i="18" s="1"/>
  <c r="J133" i="18" s="1"/>
  <c r="K133" i="18" s="1"/>
  <c r="E133" i="18"/>
  <c r="D133" i="18"/>
  <c r="C133" i="18"/>
  <c r="H132" i="18"/>
  <c r="I132" i="18" s="1"/>
  <c r="J132" i="18" s="1"/>
  <c r="K132" i="18" s="1"/>
  <c r="E132" i="18"/>
  <c r="D132" i="18"/>
  <c r="C132" i="18"/>
  <c r="H131" i="18"/>
  <c r="I131" i="18" s="1"/>
  <c r="J131" i="18" s="1"/>
  <c r="K131" i="18" s="1"/>
  <c r="E131" i="18"/>
  <c r="D131" i="18"/>
  <c r="C131" i="18"/>
  <c r="H130" i="18"/>
  <c r="I130" i="18" s="1"/>
  <c r="J130" i="18" s="1"/>
  <c r="K130" i="18" s="1"/>
  <c r="E130" i="18"/>
  <c r="D130" i="18"/>
  <c r="C130" i="18"/>
  <c r="H129" i="18"/>
  <c r="I129" i="18" s="1"/>
  <c r="J129" i="18" s="1"/>
  <c r="K129" i="18" s="1"/>
  <c r="E129" i="18"/>
  <c r="D129" i="18"/>
  <c r="C129" i="18"/>
  <c r="H368" i="18"/>
  <c r="E368" i="18"/>
  <c r="D368" i="18"/>
  <c r="C368" i="18"/>
  <c r="H127" i="18"/>
  <c r="I127" i="18" s="1"/>
  <c r="J127" i="18" s="1"/>
  <c r="K127" i="18" s="1"/>
  <c r="E127" i="18"/>
  <c r="D127" i="18"/>
  <c r="C127" i="18"/>
  <c r="H126" i="18"/>
  <c r="I126" i="18" s="1"/>
  <c r="J126" i="18" s="1"/>
  <c r="K126" i="18" s="1"/>
  <c r="E126" i="18"/>
  <c r="D126" i="18"/>
  <c r="C126" i="18"/>
  <c r="H125" i="18"/>
  <c r="I125" i="18" s="1"/>
  <c r="J125" i="18" s="1"/>
  <c r="K125" i="18" s="1"/>
  <c r="E125" i="18"/>
  <c r="D125" i="18"/>
  <c r="C125" i="18"/>
  <c r="H124" i="18"/>
  <c r="I124" i="18" s="1"/>
  <c r="J124" i="18" s="1"/>
  <c r="K124" i="18" s="1"/>
  <c r="E124" i="18"/>
  <c r="D124" i="18"/>
  <c r="C124" i="18"/>
  <c r="H123" i="18"/>
  <c r="I123" i="18" s="1"/>
  <c r="J123" i="18" s="1"/>
  <c r="K123" i="18" s="1"/>
  <c r="E123" i="18"/>
  <c r="D123" i="18"/>
  <c r="C123" i="18"/>
  <c r="H122" i="18"/>
  <c r="I122" i="18" s="1"/>
  <c r="J122" i="18" s="1"/>
  <c r="K122" i="18" s="1"/>
  <c r="E122" i="18"/>
  <c r="D122" i="18"/>
  <c r="C122" i="18"/>
  <c r="H121" i="18"/>
  <c r="I121" i="18" s="1"/>
  <c r="J121" i="18" s="1"/>
  <c r="K121" i="18" s="1"/>
  <c r="E121" i="18"/>
  <c r="D121" i="18"/>
  <c r="C121" i="18"/>
  <c r="H120" i="18"/>
  <c r="I120" i="18" s="1"/>
  <c r="J120" i="18" s="1"/>
  <c r="K120" i="18" s="1"/>
  <c r="E120" i="18"/>
  <c r="D120" i="18"/>
  <c r="C120" i="18"/>
  <c r="H119" i="18"/>
  <c r="I119" i="18" s="1"/>
  <c r="J119" i="18" s="1"/>
  <c r="K119" i="18" s="1"/>
  <c r="E119" i="18"/>
  <c r="D119" i="18"/>
  <c r="C119" i="18"/>
  <c r="H118" i="18"/>
  <c r="I118" i="18" s="1"/>
  <c r="J118" i="18" s="1"/>
  <c r="K118" i="18" s="1"/>
  <c r="E118" i="18"/>
  <c r="D118" i="18"/>
  <c r="C118" i="18"/>
  <c r="H117" i="18"/>
  <c r="I117" i="18" s="1"/>
  <c r="J117" i="18" s="1"/>
  <c r="K117" i="18" s="1"/>
  <c r="E117" i="18"/>
  <c r="D117" i="18"/>
  <c r="C117" i="18"/>
  <c r="H116" i="18"/>
  <c r="I116" i="18" s="1"/>
  <c r="J116" i="18" s="1"/>
  <c r="K116" i="18" s="1"/>
  <c r="E116" i="18"/>
  <c r="D116" i="18"/>
  <c r="C116" i="18"/>
  <c r="H115" i="18"/>
  <c r="I115" i="18" s="1"/>
  <c r="J115" i="18" s="1"/>
  <c r="K115" i="18" s="1"/>
  <c r="E115" i="18"/>
  <c r="D115" i="18"/>
  <c r="C115" i="18"/>
  <c r="H114" i="18"/>
  <c r="I114" i="18" s="1"/>
  <c r="J114" i="18" s="1"/>
  <c r="K114" i="18" s="1"/>
  <c r="E114" i="18"/>
  <c r="D114" i="18"/>
  <c r="C114" i="18"/>
  <c r="H113" i="18"/>
  <c r="I113" i="18" s="1"/>
  <c r="J113" i="18" s="1"/>
  <c r="K113" i="18" s="1"/>
  <c r="E113" i="18"/>
  <c r="D113" i="18"/>
  <c r="C113" i="18"/>
  <c r="H363" i="18"/>
  <c r="I363" i="18" s="1"/>
  <c r="J363" i="18" s="1"/>
  <c r="K363" i="18" s="1"/>
  <c r="E363" i="18"/>
  <c r="D363" i="18"/>
  <c r="C363" i="18"/>
  <c r="H111" i="18"/>
  <c r="I111" i="18" s="1"/>
  <c r="J111" i="18" s="1"/>
  <c r="K111" i="18" s="1"/>
  <c r="E111" i="18"/>
  <c r="D111" i="18"/>
  <c r="C111" i="18"/>
  <c r="H110" i="18"/>
  <c r="I110" i="18" s="1"/>
  <c r="J110" i="18" s="1"/>
  <c r="K110" i="18" s="1"/>
  <c r="E110" i="18"/>
  <c r="D110" i="18"/>
  <c r="C110" i="18"/>
  <c r="H109" i="18"/>
  <c r="I109" i="18" s="1"/>
  <c r="J109" i="18" s="1"/>
  <c r="K109" i="18" s="1"/>
  <c r="E109" i="18"/>
  <c r="D109" i="18"/>
  <c r="C109" i="18"/>
  <c r="H108" i="18"/>
  <c r="I108" i="18" s="1"/>
  <c r="J108" i="18" s="1"/>
  <c r="K108" i="18" s="1"/>
  <c r="E108" i="18"/>
  <c r="D108" i="18"/>
  <c r="C108" i="18"/>
  <c r="H107" i="18"/>
  <c r="I107" i="18" s="1"/>
  <c r="J107" i="18" s="1"/>
  <c r="K107" i="18" s="1"/>
  <c r="E107" i="18"/>
  <c r="D107" i="18"/>
  <c r="C107" i="18"/>
  <c r="H106" i="18"/>
  <c r="I106" i="18" s="1"/>
  <c r="J106" i="18" s="1"/>
  <c r="K106" i="18" s="1"/>
  <c r="E106" i="18"/>
  <c r="D106" i="18"/>
  <c r="C106" i="18"/>
  <c r="H105" i="18"/>
  <c r="I105" i="18" s="1"/>
  <c r="J105" i="18" s="1"/>
  <c r="K105" i="18" s="1"/>
  <c r="E105" i="18"/>
  <c r="D105" i="18"/>
  <c r="C105" i="18"/>
  <c r="H104" i="18"/>
  <c r="I104" i="18" s="1"/>
  <c r="J104" i="18" s="1"/>
  <c r="K104" i="18" s="1"/>
  <c r="E104" i="18"/>
  <c r="D104" i="18"/>
  <c r="C104" i="18"/>
  <c r="H103" i="18"/>
  <c r="I103" i="18" s="1"/>
  <c r="J103" i="18" s="1"/>
  <c r="K103" i="18" s="1"/>
  <c r="E103" i="18"/>
  <c r="D103" i="18"/>
  <c r="C103" i="18"/>
  <c r="H102" i="18"/>
  <c r="I102" i="18" s="1"/>
  <c r="J102" i="18" s="1"/>
  <c r="K102" i="18" s="1"/>
  <c r="E102" i="18"/>
  <c r="D102" i="18"/>
  <c r="C102" i="18"/>
  <c r="H101" i="18"/>
  <c r="I101" i="18" s="1"/>
  <c r="J101" i="18" s="1"/>
  <c r="K101" i="18" s="1"/>
  <c r="E101" i="18"/>
  <c r="D101" i="18"/>
  <c r="C101" i="18"/>
  <c r="H100" i="18"/>
  <c r="I100" i="18" s="1"/>
  <c r="J100" i="18" s="1"/>
  <c r="K100" i="18" s="1"/>
  <c r="E100" i="18"/>
  <c r="D100" i="18"/>
  <c r="C100" i="18"/>
  <c r="H99" i="18"/>
  <c r="I99" i="18" s="1"/>
  <c r="J99" i="18" s="1"/>
  <c r="K99" i="18" s="1"/>
  <c r="E99" i="18"/>
  <c r="D99" i="18"/>
  <c r="C99" i="18"/>
  <c r="H98" i="18"/>
  <c r="I98" i="18" s="1"/>
  <c r="J98" i="18" s="1"/>
  <c r="K98" i="18" s="1"/>
  <c r="E98" i="18"/>
  <c r="D98" i="18"/>
  <c r="C98" i="18"/>
  <c r="H97" i="18"/>
  <c r="I97" i="18" s="1"/>
  <c r="J97" i="18" s="1"/>
  <c r="K97" i="18" s="1"/>
  <c r="E97" i="18"/>
  <c r="D97" i="18"/>
  <c r="C97" i="18"/>
  <c r="H96" i="18"/>
  <c r="I96" i="18" s="1"/>
  <c r="J96" i="18" s="1"/>
  <c r="K96" i="18" s="1"/>
  <c r="E96" i="18"/>
  <c r="D96" i="18"/>
  <c r="C96" i="18"/>
  <c r="H95" i="18"/>
  <c r="I95" i="18" s="1"/>
  <c r="J95" i="18" s="1"/>
  <c r="K95" i="18" s="1"/>
  <c r="E95" i="18"/>
  <c r="D95" i="18"/>
  <c r="C95" i="18"/>
  <c r="H94" i="18"/>
  <c r="I94" i="18" s="1"/>
  <c r="J94" i="18" s="1"/>
  <c r="K94" i="18" s="1"/>
  <c r="E94" i="18"/>
  <c r="D94" i="18"/>
  <c r="C94" i="18"/>
  <c r="H93" i="18"/>
  <c r="I93" i="18" s="1"/>
  <c r="J93" i="18" s="1"/>
  <c r="K93" i="18" s="1"/>
  <c r="E93" i="18"/>
  <c r="D93" i="18"/>
  <c r="C93" i="18"/>
  <c r="H92" i="18"/>
  <c r="I92" i="18" s="1"/>
  <c r="J92" i="18" s="1"/>
  <c r="K92" i="18" s="1"/>
  <c r="E92" i="18"/>
  <c r="D92" i="18"/>
  <c r="C92" i="18"/>
  <c r="H91" i="18"/>
  <c r="I91" i="18" s="1"/>
  <c r="J91" i="18" s="1"/>
  <c r="K91" i="18" s="1"/>
  <c r="E91" i="18"/>
  <c r="D91" i="18"/>
  <c r="C91" i="18"/>
  <c r="H90" i="18"/>
  <c r="I90" i="18" s="1"/>
  <c r="J90" i="18" s="1"/>
  <c r="K90" i="18" s="1"/>
  <c r="E90" i="18"/>
  <c r="D90" i="18"/>
  <c r="C90" i="18"/>
  <c r="H89" i="18"/>
  <c r="I89" i="18" s="1"/>
  <c r="J89" i="18" s="1"/>
  <c r="K89" i="18" s="1"/>
  <c r="E89" i="18"/>
  <c r="D89" i="18"/>
  <c r="C89" i="18"/>
  <c r="H88" i="18"/>
  <c r="I88" i="18" s="1"/>
  <c r="J88" i="18" s="1"/>
  <c r="K88" i="18" s="1"/>
  <c r="E88" i="18"/>
  <c r="D88" i="18"/>
  <c r="C88" i="18"/>
  <c r="H87" i="18"/>
  <c r="I87" i="18" s="1"/>
  <c r="J87" i="18" s="1"/>
  <c r="K87" i="18" s="1"/>
  <c r="E87" i="18"/>
  <c r="D87" i="18"/>
  <c r="C87" i="18"/>
  <c r="H86" i="18"/>
  <c r="I86" i="18" s="1"/>
  <c r="J86" i="18" s="1"/>
  <c r="K86" i="18" s="1"/>
  <c r="E86" i="18"/>
  <c r="D86" i="18"/>
  <c r="C86" i="18"/>
  <c r="H85" i="18"/>
  <c r="I85" i="18" s="1"/>
  <c r="J85" i="18" s="1"/>
  <c r="K85" i="18" s="1"/>
  <c r="E85" i="18"/>
  <c r="D85" i="18"/>
  <c r="C85" i="18"/>
  <c r="H84" i="18"/>
  <c r="I84" i="18" s="1"/>
  <c r="J84" i="18" s="1"/>
  <c r="K84" i="18" s="1"/>
  <c r="E84" i="18"/>
  <c r="D84" i="18"/>
  <c r="C84" i="18"/>
  <c r="H83" i="18"/>
  <c r="I83" i="18" s="1"/>
  <c r="J83" i="18" s="1"/>
  <c r="K83" i="18" s="1"/>
  <c r="E83" i="18"/>
  <c r="D83" i="18"/>
  <c r="C83" i="18"/>
  <c r="H82" i="18"/>
  <c r="I82" i="18" s="1"/>
  <c r="J82" i="18" s="1"/>
  <c r="K82" i="18" s="1"/>
  <c r="E82" i="18"/>
  <c r="D82" i="18"/>
  <c r="C82" i="18"/>
  <c r="H81" i="18"/>
  <c r="I81" i="18" s="1"/>
  <c r="J81" i="18" s="1"/>
  <c r="K81" i="18" s="1"/>
  <c r="E81" i="18"/>
  <c r="D81" i="18"/>
  <c r="C81" i="18"/>
  <c r="H80" i="18"/>
  <c r="I80" i="18" s="1"/>
  <c r="J80" i="18" s="1"/>
  <c r="K80" i="18" s="1"/>
  <c r="E80" i="18"/>
  <c r="D80" i="18"/>
  <c r="C80" i="18"/>
  <c r="H79" i="18"/>
  <c r="I79" i="18" s="1"/>
  <c r="J79" i="18" s="1"/>
  <c r="K79" i="18" s="1"/>
  <c r="E79" i="18"/>
  <c r="D79" i="18"/>
  <c r="C79" i="18"/>
  <c r="H78" i="18"/>
  <c r="I78" i="18" s="1"/>
  <c r="J78" i="18" s="1"/>
  <c r="K78" i="18" s="1"/>
  <c r="E78" i="18"/>
  <c r="D78" i="18"/>
  <c r="C78" i="18"/>
  <c r="H77" i="18"/>
  <c r="I77" i="18" s="1"/>
  <c r="J77" i="18" s="1"/>
  <c r="K77" i="18" s="1"/>
  <c r="E77" i="18"/>
  <c r="D77" i="18"/>
  <c r="C77" i="18"/>
  <c r="H76" i="18"/>
  <c r="I76" i="18" s="1"/>
  <c r="J76" i="18" s="1"/>
  <c r="K76" i="18" s="1"/>
  <c r="E76" i="18"/>
  <c r="D76" i="18"/>
  <c r="C76" i="18"/>
  <c r="H75" i="18"/>
  <c r="I75" i="18" s="1"/>
  <c r="J75" i="18" s="1"/>
  <c r="K75" i="18" s="1"/>
  <c r="E75" i="18"/>
  <c r="D75" i="18"/>
  <c r="C75" i="18"/>
  <c r="H74" i="18"/>
  <c r="I74" i="18" s="1"/>
  <c r="J74" i="18" s="1"/>
  <c r="K74" i="18" s="1"/>
  <c r="E74" i="18"/>
  <c r="D74" i="18"/>
  <c r="C74" i="18"/>
  <c r="H73" i="18"/>
  <c r="I73" i="18" s="1"/>
  <c r="J73" i="18" s="1"/>
  <c r="K73" i="18" s="1"/>
  <c r="E73" i="18"/>
  <c r="D73" i="18"/>
  <c r="C73" i="18"/>
  <c r="H72" i="18"/>
  <c r="I72" i="18" s="1"/>
  <c r="J72" i="18" s="1"/>
  <c r="K72" i="18" s="1"/>
  <c r="E72" i="18"/>
  <c r="D72" i="18"/>
  <c r="C72" i="18"/>
  <c r="H71" i="18"/>
  <c r="I71" i="18" s="1"/>
  <c r="J71" i="18" s="1"/>
  <c r="K71" i="18" s="1"/>
  <c r="E71" i="18"/>
  <c r="D71" i="18"/>
  <c r="C71" i="18"/>
  <c r="H70" i="18"/>
  <c r="I70" i="18" s="1"/>
  <c r="J70" i="18" s="1"/>
  <c r="K70" i="18" s="1"/>
  <c r="E70" i="18"/>
  <c r="D70" i="18"/>
  <c r="C70" i="18"/>
  <c r="H69" i="18"/>
  <c r="I69" i="18" s="1"/>
  <c r="J69" i="18" s="1"/>
  <c r="K69" i="18" s="1"/>
  <c r="E69" i="18"/>
  <c r="D69" i="18"/>
  <c r="C69" i="18"/>
  <c r="H68" i="18"/>
  <c r="I68" i="18" s="1"/>
  <c r="J68" i="18" s="1"/>
  <c r="K68" i="18" s="1"/>
  <c r="E68" i="18"/>
  <c r="D68" i="18"/>
  <c r="C68" i="18"/>
  <c r="H67" i="18"/>
  <c r="I67" i="18" s="1"/>
  <c r="J67" i="18" s="1"/>
  <c r="K67" i="18" s="1"/>
  <c r="E67" i="18"/>
  <c r="D67" i="18"/>
  <c r="C67" i="18"/>
  <c r="H66" i="18"/>
  <c r="I66" i="18" s="1"/>
  <c r="J66" i="18" s="1"/>
  <c r="K66" i="18" s="1"/>
  <c r="E66" i="18"/>
  <c r="D66" i="18"/>
  <c r="C66" i="18"/>
  <c r="H65" i="18"/>
  <c r="I65" i="18" s="1"/>
  <c r="J65" i="18" s="1"/>
  <c r="K65" i="18" s="1"/>
  <c r="E65" i="18"/>
  <c r="D65" i="18"/>
  <c r="C65" i="18"/>
  <c r="H64" i="18"/>
  <c r="I64" i="18" s="1"/>
  <c r="J64" i="18" s="1"/>
  <c r="K64" i="18" s="1"/>
  <c r="E64" i="18"/>
  <c r="D64" i="18"/>
  <c r="C64" i="18"/>
  <c r="H362" i="18"/>
  <c r="I362" i="18" s="1"/>
  <c r="J362" i="18" s="1"/>
  <c r="K362" i="18" s="1"/>
  <c r="E362" i="18"/>
  <c r="D362" i="18"/>
  <c r="C362" i="18"/>
  <c r="H62" i="18"/>
  <c r="I62" i="18" s="1"/>
  <c r="J62" i="18" s="1"/>
  <c r="K62" i="18" s="1"/>
  <c r="E62" i="18"/>
  <c r="D62" i="18"/>
  <c r="C62" i="18"/>
  <c r="H61" i="18"/>
  <c r="I61" i="18" s="1"/>
  <c r="J61" i="18" s="1"/>
  <c r="K61" i="18" s="1"/>
  <c r="E61" i="18"/>
  <c r="D61" i="18"/>
  <c r="C61" i="18"/>
  <c r="H60" i="18"/>
  <c r="I60" i="18" s="1"/>
  <c r="J60" i="18" s="1"/>
  <c r="K60" i="18" s="1"/>
  <c r="E60" i="18"/>
  <c r="D60" i="18"/>
  <c r="C60" i="18"/>
  <c r="H59" i="18"/>
  <c r="I59" i="18" s="1"/>
  <c r="J59" i="18" s="1"/>
  <c r="K59" i="18" s="1"/>
  <c r="E59" i="18"/>
  <c r="D59" i="18"/>
  <c r="C59" i="18"/>
  <c r="H58" i="18"/>
  <c r="I58" i="18" s="1"/>
  <c r="J58" i="18" s="1"/>
  <c r="K58" i="18" s="1"/>
  <c r="E58" i="18"/>
  <c r="D58" i="18"/>
  <c r="C58" i="18"/>
  <c r="H57" i="18"/>
  <c r="I57" i="18" s="1"/>
  <c r="J57" i="18" s="1"/>
  <c r="K57" i="18" s="1"/>
  <c r="E57" i="18"/>
  <c r="D57" i="18"/>
  <c r="C57" i="18"/>
  <c r="H56" i="18"/>
  <c r="I56" i="18" s="1"/>
  <c r="J56" i="18" s="1"/>
  <c r="K56" i="18" s="1"/>
  <c r="E56" i="18"/>
  <c r="D56" i="18"/>
  <c r="C56" i="18"/>
  <c r="H55" i="18"/>
  <c r="I55" i="18" s="1"/>
  <c r="J55" i="18" s="1"/>
  <c r="K55" i="18" s="1"/>
  <c r="E55" i="18"/>
  <c r="D55" i="18"/>
  <c r="C55" i="18"/>
  <c r="H54" i="18"/>
  <c r="I54" i="18" s="1"/>
  <c r="J54" i="18" s="1"/>
  <c r="K54" i="18" s="1"/>
  <c r="E54" i="18"/>
  <c r="D54" i="18"/>
  <c r="C54" i="18"/>
  <c r="H53" i="18"/>
  <c r="I53" i="18" s="1"/>
  <c r="J53" i="18" s="1"/>
  <c r="K53" i="18" s="1"/>
  <c r="E53" i="18"/>
  <c r="D53" i="18"/>
  <c r="C53" i="18"/>
  <c r="H52" i="18"/>
  <c r="I52" i="18" s="1"/>
  <c r="J52" i="18" s="1"/>
  <c r="K52" i="18" s="1"/>
  <c r="E52" i="18"/>
  <c r="D52" i="18"/>
  <c r="C52" i="18"/>
  <c r="H51" i="18"/>
  <c r="I51" i="18" s="1"/>
  <c r="J51" i="18" s="1"/>
  <c r="K51" i="18" s="1"/>
  <c r="E51" i="18"/>
  <c r="D51" i="18"/>
  <c r="C51" i="18"/>
  <c r="H50" i="18"/>
  <c r="I50" i="18" s="1"/>
  <c r="J50" i="18" s="1"/>
  <c r="K50" i="18" s="1"/>
  <c r="E50" i="18"/>
  <c r="D50" i="18"/>
  <c r="C50" i="18"/>
  <c r="H361" i="18"/>
  <c r="E361" i="18"/>
  <c r="D361" i="18"/>
  <c r="C361" i="18"/>
  <c r="H48" i="18"/>
  <c r="I48" i="18" s="1"/>
  <c r="J48" i="18" s="1"/>
  <c r="K48" i="18" s="1"/>
  <c r="E48" i="18"/>
  <c r="D48" i="18"/>
  <c r="C48" i="18"/>
  <c r="H47" i="18"/>
  <c r="I47" i="18" s="1"/>
  <c r="J47" i="18" s="1"/>
  <c r="K47" i="18" s="1"/>
  <c r="E47" i="18"/>
  <c r="D47" i="18"/>
  <c r="C47" i="18"/>
  <c r="H46" i="18"/>
  <c r="I46" i="18" s="1"/>
  <c r="J46" i="18" s="1"/>
  <c r="K46" i="18" s="1"/>
  <c r="E46" i="18"/>
  <c r="D46" i="18"/>
  <c r="C46" i="18"/>
  <c r="H45" i="18"/>
  <c r="I45" i="18" s="1"/>
  <c r="J45" i="18" s="1"/>
  <c r="K45" i="18" s="1"/>
  <c r="E45" i="18"/>
  <c r="D45" i="18"/>
  <c r="C45" i="18"/>
  <c r="H44" i="18"/>
  <c r="I44" i="18" s="1"/>
  <c r="J44" i="18" s="1"/>
  <c r="K44" i="18" s="1"/>
  <c r="E44" i="18"/>
  <c r="D44" i="18"/>
  <c r="C44" i="18"/>
  <c r="H43" i="18"/>
  <c r="I43" i="18" s="1"/>
  <c r="J43" i="18" s="1"/>
  <c r="K43" i="18" s="1"/>
  <c r="E43" i="18"/>
  <c r="D43" i="18"/>
  <c r="C43" i="18"/>
  <c r="H42" i="18"/>
  <c r="I42" i="18" s="1"/>
  <c r="J42" i="18" s="1"/>
  <c r="K42" i="18" s="1"/>
  <c r="E42" i="18"/>
  <c r="D42" i="18"/>
  <c r="C42" i="18"/>
  <c r="H41" i="18"/>
  <c r="I41" i="18" s="1"/>
  <c r="J41" i="18" s="1"/>
  <c r="K41" i="18" s="1"/>
  <c r="E41" i="18"/>
  <c r="D41" i="18"/>
  <c r="C41" i="18"/>
  <c r="H40" i="18"/>
  <c r="I40" i="18" s="1"/>
  <c r="J40" i="18" s="1"/>
  <c r="K40" i="18" s="1"/>
  <c r="E40" i="18"/>
  <c r="D40" i="18"/>
  <c r="C40" i="18"/>
  <c r="H39" i="18"/>
  <c r="I39" i="18" s="1"/>
  <c r="J39" i="18" s="1"/>
  <c r="K39" i="18" s="1"/>
  <c r="E39" i="18"/>
  <c r="D39" i="18"/>
  <c r="C39" i="18"/>
  <c r="H38" i="18"/>
  <c r="I38" i="18" s="1"/>
  <c r="J38" i="18" s="1"/>
  <c r="K38" i="18" s="1"/>
  <c r="E38" i="18"/>
  <c r="D38" i="18"/>
  <c r="C38" i="18"/>
  <c r="H37" i="18"/>
  <c r="I37" i="18" s="1"/>
  <c r="J37" i="18" s="1"/>
  <c r="K37" i="18" s="1"/>
  <c r="E37" i="18"/>
  <c r="D37" i="18"/>
  <c r="C37" i="18"/>
  <c r="H36" i="18"/>
  <c r="I36" i="18" s="1"/>
  <c r="J36" i="18" s="1"/>
  <c r="K36" i="18" s="1"/>
  <c r="E36" i="18"/>
  <c r="D36" i="18"/>
  <c r="C36" i="18"/>
  <c r="H35" i="18"/>
  <c r="I35" i="18" s="1"/>
  <c r="J35" i="18" s="1"/>
  <c r="K35" i="18" s="1"/>
  <c r="E35" i="18"/>
  <c r="D35" i="18"/>
  <c r="C35" i="18"/>
  <c r="H34" i="18"/>
  <c r="I34" i="18" s="1"/>
  <c r="J34" i="18" s="1"/>
  <c r="K34" i="18" s="1"/>
  <c r="E34" i="18"/>
  <c r="D34" i="18"/>
  <c r="C34" i="18"/>
  <c r="H33" i="18"/>
  <c r="I33" i="18" s="1"/>
  <c r="J33" i="18" s="1"/>
  <c r="K33" i="18" s="1"/>
  <c r="E33" i="18"/>
  <c r="D33" i="18"/>
  <c r="C33" i="18"/>
  <c r="H32" i="18"/>
  <c r="I32" i="18" s="1"/>
  <c r="J32" i="18" s="1"/>
  <c r="K32" i="18" s="1"/>
  <c r="E32" i="18"/>
  <c r="D32" i="18"/>
  <c r="C32" i="18"/>
  <c r="H31" i="18"/>
  <c r="I31" i="18" s="1"/>
  <c r="J31" i="18" s="1"/>
  <c r="K31" i="18" s="1"/>
  <c r="E31" i="18"/>
  <c r="D31" i="18"/>
  <c r="C31" i="18"/>
  <c r="H30" i="18"/>
  <c r="I30" i="18" s="1"/>
  <c r="J30" i="18" s="1"/>
  <c r="K30" i="18" s="1"/>
  <c r="E30" i="18"/>
  <c r="D30" i="18"/>
  <c r="C30" i="18"/>
  <c r="H372" i="18"/>
  <c r="E372" i="18"/>
  <c r="E374" i="18" s="1"/>
  <c r="D372" i="18"/>
  <c r="D374" i="18" s="1"/>
  <c r="C372" i="18"/>
  <c r="C374" i="18" s="1"/>
  <c r="H28" i="18"/>
  <c r="I28" i="18" s="1"/>
  <c r="J28" i="18" s="1"/>
  <c r="K28" i="18" s="1"/>
  <c r="E28" i="18"/>
  <c r="D28" i="18"/>
  <c r="C28" i="18"/>
  <c r="H27" i="18"/>
  <c r="I27" i="18" s="1"/>
  <c r="J27" i="18" s="1"/>
  <c r="K27" i="18" s="1"/>
  <c r="E27" i="18"/>
  <c r="D27" i="18"/>
  <c r="C27" i="18"/>
  <c r="H26" i="18"/>
  <c r="I26" i="18" s="1"/>
  <c r="J26" i="18" s="1"/>
  <c r="K26" i="18" s="1"/>
  <c r="E26" i="18"/>
  <c r="D26" i="18"/>
  <c r="C26" i="18"/>
  <c r="H25" i="18"/>
  <c r="I25" i="18" s="1"/>
  <c r="J25" i="18" s="1"/>
  <c r="K25" i="18" s="1"/>
  <c r="E25" i="18"/>
  <c r="D25" i="18"/>
  <c r="C25" i="18"/>
  <c r="H24" i="18"/>
  <c r="I24" i="18" s="1"/>
  <c r="J24" i="18" s="1"/>
  <c r="K24" i="18" s="1"/>
  <c r="E24" i="18"/>
  <c r="D24" i="18"/>
  <c r="C24" i="18"/>
  <c r="H23" i="18"/>
  <c r="I23" i="18" s="1"/>
  <c r="J23" i="18" s="1"/>
  <c r="K23" i="18" s="1"/>
  <c r="E23" i="18"/>
  <c r="D23" i="18"/>
  <c r="C23" i="18"/>
  <c r="H22" i="18"/>
  <c r="I22" i="18" s="1"/>
  <c r="J22" i="18" s="1"/>
  <c r="K22" i="18" s="1"/>
  <c r="E22" i="18"/>
  <c r="D22" i="18"/>
  <c r="C22" i="18"/>
  <c r="H21" i="18"/>
  <c r="I21" i="18" s="1"/>
  <c r="J21" i="18" s="1"/>
  <c r="K21" i="18" s="1"/>
  <c r="E21" i="18"/>
  <c r="D21" i="18"/>
  <c r="C21" i="18"/>
  <c r="H20" i="18"/>
  <c r="I20" i="18" s="1"/>
  <c r="J20" i="18" s="1"/>
  <c r="K20" i="18" s="1"/>
  <c r="E20" i="18"/>
  <c r="D20" i="18"/>
  <c r="C20" i="18"/>
  <c r="H19" i="18"/>
  <c r="I19" i="18" s="1"/>
  <c r="J19" i="18" s="1"/>
  <c r="K19" i="18" s="1"/>
  <c r="E19" i="18"/>
  <c r="D19" i="18"/>
  <c r="C19" i="18"/>
  <c r="H376" i="18"/>
  <c r="H17" i="18"/>
  <c r="I17" i="18" s="1"/>
  <c r="J17" i="18" s="1"/>
  <c r="K17" i="18" s="1"/>
  <c r="E17" i="18"/>
  <c r="D17" i="18"/>
  <c r="C17" i="18"/>
  <c r="H16" i="18"/>
  <c r="I16" i="18" s="1"/>
  <c r="J16" i="18" s="1"/>
  <c r="K16" i="18" s="1"/>
  <c r="E16" i="18"/>
  <c r="D16" i="18"/>
  <c r="C16" i="18"/>
  <c r="H15" i="18"/>
  <c r="I15" i="18" s="1"/>
  <c r="J15" i="18" s="1"/>
  <c r="K15" i="18" s="1"/>
  <c r="E15" i="18"/>
  <c r="D15" i="18"/>
  <c r="C15" i="18"/>
  <c r="H14" i="18"/>
  <c r="I14" i="18" s="1"/>
  <c r="J14" i="18" s="1"/>
  <c r="K14" i="18" s="1"/>
  <c r="E14" i="18"/>
  <c r="D14" i="18"/>
  <c r="C14" i="18"/>
  <c r="H13" i="18"/>
  <c r="I13" i="18" s="1"/>
  <c r="J13" i="18" s="1"/>
  <c r="K13" i="18" s="1"/>
  <c r="E13" i="18"/>
  <c r="D13" i="18"/>
  <c r="C13" i="18"/>
  <c r="H12" i="18"/>
  <c r="I12" i="18" s="1"/>
  <c r="J12" i="18" s="1"/>
  <c r="K12" i="18" s="1"/>
  <c r="E12" i="18"/>
  <c r="D12" i="18"/>
  <c r="C12" i="18"/>
  <c r="H11" i="18"/>
  <c r="I11" i="18" s="1"/>
  <c r="J11" i="18" s="1"/>
  <c r="K11" i="18" s="1"/>
  <c r="E11" i="18"/>
  <c r="D11" i="18"/>
  <c r="C11" i="18"/>
  <c r="H10" i="18"/>
  <c r="I10" i="18" s="1"/>
  <c r="J10" i="18" s="1"/>
  <c r="K10" i="18" s="1"/>
  <c r="E10" i="18"/>
  <c r="D10" i="18"/>
  <c r="C10" i="18"/>
  <c r="H9" i="18"/>
  <c r="I9" i="18" s="1"/>
  <c r="J9" i="18" s="1"/>
  <c r="K9" i="18" s="1"/>
  <c r="E9" i="18"/>
  <c r="D9" i="18"/>
  <c r="C9" i="18"/>
  <c r="H8" i="18"/>
  <c r="I8" i="18" s="1"/>
  <c r="J8" i="18" s="1"/>
  <c r="K8" i="18" s="1"/>
  <c r="E8" i="18"/>
  <c r="D8" i="18"/>
  <c r="C8" i="18"/>
  <c r="H7" i="18"/>
  <c r="I7" i="18" s="1"/>
  <c r="J7" i="18" s="1"/>
  <c r="K7" i="18" s="1"/>
  <c r="E7" i="18"/>
  <c r="D7" i="18"/>
  <c r="C7" i="18"/>
  <c r="H6" i="18"/>
  <c r="I6" i="18" s="1"/>
  <c r="J6" i="18" s="1"/>
  <c r="K6" i="18" s="1"/>
  <c r="E6" i="18"/>
  <c r="D6" i="18"/>
  <c r="C6" i="18"/>
  <c r="H5" i="18"/>
  <c r="I5" i="18" s="1"/>
  <c r="J5" i="18" s="1"/>
  <c r="K5" i="18" s="1"/>
  <c r="E5" i="18"/>
  <c r="D5" i="18"/>
  <c r="C5" i="18"/>
  <c r="H4" i="18"/>
  <c r="I4" i="18" s="1"/>
  <c r="J4" i="18" s="1"/>
  <c r="K4" i="18" s="1"/>
  <c r="E4" i="18"/>
  <c r="D4" i="18"/>
  <c r="C4" i="18"/>
  <c r="H3" i="18"/>
  <c r="I3" i="18" s="1"/>
  <c r="J3" i="18" s="1"/>
  <c r="K3" i="18" s="1"/>
  <c r="E3" i="18"/>
  <c r="D3" i="18"/>
  <c r="C3" i="18"/>
  <c r="C366" i="18" l="1"/>
  <c r="C359" i="18"/>
  <c r="I376" i="18"/>
  <c r="H378" i="18"/>
  <c r="I372" i="18"/>
  <c r="H374" i="18"/>
  <c r="C370" i="18"/>
  <c r="C355" i="18" s="1"/>
  <c r="D370" i="18"/>
  <c r="E370" i="18"/>
  <c r="I368" i="18"/>
  <c r="H370" i="18"/>
  <c r="D366" i="18"/>
  <c r="E366" i="18"/>
  <c r="I361" i="18"/>
  <c r="H366" i="18"/>
  <c r="H309" i="18"/>
  <c r="I309" i="18" s="1"/>
  <c r="J309" i="18" s="1"/>
  <c r="K309" i="18" s="1"/>
  <c r="H311" i="18"/>
  <c r="I311" i="18" s="1"/>
  <c r="J311" i="18" s="1"/>
  <c r="K311" i="18" s="1"/>
  <c r="H313" i="18"/>
  <c r="I313" i="18" s="1"/>
  <c r="J313" i="18" s="1"/>
  <c r="K313" i="18" s="1"/>
  <c r="H315" i="18"/>
  <c r="I315" i="18" s="1"/>
  <c r="J315" i="18" s="1"/>
  <c r="K315" i="18" s="1"/>
  <c r="H317" i="18"/>
  <c r="I317" i="18" s="1"/>
  <c r="J317" i="18" s="1"/>
  <c r="K317" i="18" s="1"/>
  <c r="H319" i="18"/>
  <c r="I319" i="18" s="1"/>
  <c r="J319" i="18" s="1"/>
  <c r="K319" i="18" s="1"/>
  <c r="H321" i="18"/>
  <c r="I321" i="18" s="1"/>
  <c r="J321" i="18" s="1"/>
  <c r="K321" i="18" s="1"/>
  <c r="H323" i="18"/>
  <c r="I323" i="18" s="1"/>
  <c r="J323" i="18" s="1"/>
  <c r="K323" i="18" s="1"/>
  <c r="H325" i="18"/>
  <c r="I325" i="18" s="1"/>
  <c r="J325" i="18" s="1"/>
  <c r="K325" i="18" s="1"/>
  <c r="H327" i="18"/>
  <c r="I327" i="18" s="1"/>
  <c r="J327" i="18" s="1"/>
  <c r="K327" i="18" s="1"/>
  <c r="H329" i="18"/>
  <c r="I329" i="18" s="1"/>
  <c r="J329" i="18" s="1"/>
  <c r="K329" i="18" s="1"/>
  <c r="H331" i="18"/>
  <c r="I331" i="18" s="1"/>
  <c r="J331" i="18" s="1"/>
  <c r="K331" i="18" s="1"/>
  <c r="H333" i="18"/>
  <c r="I333" i="18" s="1"/>
  <c r="J333" i="18" s="1"/>
  <c r="K333" i="18" s="1"/>
  <c r="H335" i="18"/>
  <c r="I335" i="18" s="1"/>
  <c r="J335" i="18" s="1"/>
  <c r="K335" i="18" s="1"/>
  <c r="H337" i="18"/>
  <c r="I337" i="18" s="1"/>
  <c r="J337" i="18" s="1"/>
  <c r="K337" i="18" s="1"/>
  <c r="H339" i="18"/>
  <c r="I339" i="18" s="1"/>
  <c r="J339" i="18" s="1"/>
  <c r="K339" i="18" s="1"/>
  <c r="H341" i="18"/>
  <c r="I341" i="18" s="1"/>
  <c r="J341" i="18" s="1"/>
  <c r="K341" i="18" s="1"/>
  <c r="H343" i="18"/>
  <c r="I343" i="18" s="1"/>
  <c r="J343" i="18" s="1"/>
  <c r="K343" i="18" s="1"/>
  <c r="H345" i="18"/>
  <c r="I345" i="18" s="1"/>
  <c r="J345" i="18" s="1"/>
  <c r="K345" i="18" s="1"/>
  <c r="H347" i="18"/>
  <c r="I347" i="18" s="1"/>
  <c r="J347" i="18" s="1"/>
  <c r="K347" i="18" s="1"/>
  <c r="H349" i="18"/>
  <c r="I349" i="18" s="1"/>
  <c r="J349" i="18" s="1"/>
  <c r="K349" i="18" s="1"/>
  <c r="I357" i="18"/>
  <c r="H359" i="18"/>
  <c r="H353" i="18"/>
  <c r="I353" i="18" s="1"/>
  <c r="J353" i="18" s="1"/>
  <c r="K353" i="18" s="1"/>
  <c r="H354" i="18"/>
  <c r="I354" i="18" s="1"/>
  <c r="J354" i="18" s="1"/>
  <c r="K354" i="18" s="1"/>
  <c r="H351" i="18"/>
  <c r="I351" i="18" s="1"/>
  <c r="J351" i="18" s="1"/>
  <c r="K351" i="18" s="1"/>
  <c r="H352" i="18"/>
  <c r="I352" i="18" s="1"/>
  <c r="J352" i="18" s="1"/>
  <c r="K352" i="18" s="1"/>
  <c r="D355" i="18" l="1"/>
  <c r="E355" i="18"/>
  <c r="J376" i="18"/>
  <c r="I378" i="18"/>
  <c r="J372" i="18"/>
  <c r="I374" i="18"/>
  <c r="J368" i="18"/>
  <c r="I370" i="18"/>
  <c r="J361" i="18"/>
  <c r="I366" i="18"/>
  <c r="J357" i="18"/>
  <c r="I359" i="18"/>
  <c r="J23" i="16"/>
  <c r="J24" i="16"/>
  <c r="J30" i="16"/>
  <c r="C51" i="14"/>
  <c r="B51" i="14"/>
  <c r="K376" i="18" l="1"/>
  <c r="K378" i="18" s="1"/>
  <c r="J378" i="18"/>
  <c r="K372" i="18"/>
  <c r="K374" i="18" s="1"/>
  <c r="J374" i="18"/>
  <c r="K368" i="18"/>
  <c r="K370" i="18" s="1"/>
  <c r="J370" i="18"/>
  <c r="K361" i="18"/>
  <c r="K366" i="18" s="1"/>
  <c r="J366" i="18"/>
  <c r="K357" i="18"/>
  <c r="K359" i="18" s="1"/>
  <c r="J359" i="18"/>
  <c r="R116" i="10"/>
  <c r="Q116" i="10"/>
  <c r="R93" i="10" l="1"/>
  <c r="S93" i="10"/>
  <c r="T93" i="10"/>
  <c r="Q93" i="10"/>
  <c r="V93" i="10"/>
  <c r="W93" i="10"/>
  <c r="X93" i="10"/>
  <c r="Y93" i="10"/>
  <c r="Z93" i="10"/>
  <c r="AA93" i="10"/>
  <c r="E52" i="14"/>
  <c r="F36" i="1" l="1"/>
  <c r="G36" i="1"/>
  <c r="F47" i="14" s="1"/>
  <c r="H36" i="1"/>
  <c r="I36" i="1"/>
  <c r="J36" i="1"/>
  <c r="K36" i="1"/>
  <c r="L36" i="1"/>
  <c r="J25" i="16" s="1"/>
  <c r="F367" i="15"/>
  <c r="G367" i="15"/>
  <c r="D367" i="15"/>
  <c r="E367" i="15"/>
  <c r="C367" i="15"/>
  <c r="F366" i="15"/>
  <c r="G366" i="15"/>
  <c r="D366" i="15"/>
  <c r="E366" i="15"/>
  <c r="C366" i="15"/>
  <c r="F365" i="15"/>
  <c r="G365" i="15"/>
  <c r="D365" i="15"/>
  <c r="E365" i="15"/>
  <c r="C365" i="15"/>
  <c r="F364" i="15"/>
  <c r="G364" i="15"/>
  <c r="D364" i="15"/>
  <c r="E364" i="15"/>
  <c r="C364" i="15"/>
  <c r="L150" i="8"/>
  <c r="K150" i="8"/>
  <c r="J150" i="8"/>
  <c r="L734" i="8"/>
  <c r="L355" i="8"/>
  <c r="L356" i="8"/>
  <c r="L357" i="8"/>
  <c r="L358" i="8"/>
  <c r="L360" i="8"/>
  <c r="L361" i="8"/>
  <c r="L362" i="8"/>
  <c r="L363" i="8"/>
  <c r="L364" i="8"/>
  <c r="L369" i="8"/>
  <c r="L372" i="8"/>
  <c r="L373" i="8"/>
  <c r="L378" i="8"/>
  <c r="L379" i="8"/>
  <c r="L382" i="8"/>
  <c r="L450" i="8"/>
  <c r="L455" i="8"/>
  <c r="L461" i="8"/>
  <c r="L505" i="8"/>
  <c r="L527" i="8"/>
  <c r="L562" i="8"/>
  <c r="L566" i="8"/>
  <c r="L569" i="8"/>
  <c r="L579" i="8"/>
  <c r="L583" i="8"/>
  <c r="L590" i="8"/>
  <c r="L594" i="8"/>
  <c r="L596" i="8"/>
  <c r="L605" i="8"/>
  <c r="L613" i="8"/>
  <c r="L631" i="8"/>
  <c r="L658" i="8"/>
  <c r="L691" i="8"/>
  <c r="L693" i="8"/>
  <c r="L713" i="8"/>
  <c r="L714" i="8"/>
  <c r="L718" i="8"/>
  <c r="L354"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M179" i="8" s="1"/>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M150" i="8" s="1"/>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355" i="8"/>
  <c r="K356" i="8"/>
  <c r="K357" i="8"/>
  <c r="K358" i="8"/>
  <c r="K359" i="8"/>
  <c r="K354" i="8"/>
  <c r="CL359" i="28"/>
  <c r="CK359" i="28"/>
  <c r="CJ359" i="28"/>
  <c r="CI359" i="28"/>
  <c r="CH359" i="28"/>
  <c r="CG359" i="28"/>
  <c r="CF359" i="28"/>
  <c r="CE359" i="28"/>
  <c r="CD359" i="28"/>
  <c r="CC359" i="28"/>
  <c r="CB359" i="28"/>
  <c r="CA359" i="28"/>
  <c r="BZ359" i="28"/>
  <c r="BY359" i="28"/>
  <c r="BX359" i="28"/>
  <c r="BW359" i="28"/>
  <c r="BV359" i="28"/>
  <c r="BU359" i="28"/>
  <c r="BT359" i="28"/>
  <c r="BS359" i="28"/>
  <c r="BR359" i="28"/>
  <c r="BQ359" i="28"/>
  <c r="BP359" i="28"/>
  <c r="BO359" i="28"/>
  <c r="BN359" i="28"/>
  <c r="BM359" i="28"/>
  <c r="BL359" i="28"/>
  <c r="BK359" i="28"/>
  <c r="BJ359" i="28"/>
  <c r="BI359" i="28"/>
  <c r="BH359" i="28"/>
  <c r="BG359" i="28"/>
  <c r="BF359" i="28"/>
  <c r="BE359" i="28"/>
  <c r="BD359" i="28"/>
  <c r="BC359" i="28"/>
  <c r="BB359" i="28"/>
  <c r="BA359" i="28"/>
  <c r="AZ359" i="28"/>
  <c r="AY359" i="28"/>
  <c r="AX359" i="28"/>
  <c r="AW359" i="28"/>
  <c r="AV359" i="28"/>
  <c r="AU359" i="28"/>
  <c r="AT359" i="28"/>
  <c r="AS359" i="28"/>
  <c r="AR359" i="28"/>
  <c r="AQ359" i="28"/>
  <c r="AP359" i="28"/>
  <c r="AO359" i="28"/>
  <c r="AN359" i="28"/>
  <c r="AM359" i="28"/>
  <c r="AL359" i="28"/>
  <c r="AK359" i="28"/>
  <c r="AJ359" i="28"/>
  <c r="AI359" i="28"/>
  <c r="AH359" i="28"/>
  <c r="AG359" i="28"/>
  <c r="AF359" i="28"/>
  <c r="AE359" i="28"/>
  <c r="AD359" i="28"/>
  <c r="AC359" i="28"/>
  <c r="AA359" i="28"/>
  <c r="Z359" i="28"/>
  <c r="Y359" i="28"/>
  <c r="X359" i="28"/>
  <c r="W359" i="28"/>
  <c r="V359" i="28"/>
  <c r="U359" i="28"/>
  <c r="T359" i="28"/>
  <c r="S359" i="28"/>
  <c r="R359" i="28"/>
  <c r="Q359" i="28"/>
  <c r="P359" i="28"/>
  <c r="O359" i="28"/>
  <c r="M359" i="28"/>
  <c r="L359" i="28"/>
  <c r="K359" i="28"/>
  <c r="J359" i="28"/>
  <c r="H359" i="28"/>
  <c r="G359" i="28"/>
  <c r="F359" i="28"/>
  <c r="E359" i="28"/>
  <c r="D359" i="28"/>
  <c r="BV357" i="28"/>
  <c r="AB357" i="28"/>
  <c r="N357" i="28"/>
  <c r="I357" i="28"/>
  <c r="BV356" i="28"/>
  <c r="AB356" i="28"/>
  <c r="N356" i="28"/>
  <c r="I356" i="28"/>
  <c r="BV355" i="28"/>
  <c r="AB355" i="28"/>
  <c r="N355" i="28"/>
  <c r="I355" i="28"/>
  <c r="BV354" i="28"/>
  <c r="AB354" i="28"/>
  <c r="N354" i="28"/>
  <c r="I354" i="28"/>
  <c r="BV353" i="28"/>
  <c r="AB353" i="28"/>
  <c r="N353" i="28"/>
  <c r="I353" i="28"/>
  <c r="BV352" i="28"/>
  <c r="AB352" i="28"/>
  <c r="N352" i="28"/>
  <c r="I352" i="28"/>
  <c r="BV351" i="28"/>
  <c r="AB351" i="28"/>
  <c r="N351" i="28"/>
  <c r="I351" i="28"/>
  <c r="BV350" i="28"/>
  <c r="AB350" i="28"/>
  <c r="N350" i="28"/>
  <c r="I350" i="28"/>
  <c r="BV349" i="28"/>
  <c r="AB349" i="28"/>
  <c r="N349" i="28"/>
  <c r="I349" i="28"/>
  <c r="BV348" i="28"/>
  <c r="AB348" i="28"/>
  <c r="N348" i="28"/>
  <c r="I348" i="28"/>
  <c r="BV347" i="28"/>
  <c r="AB347" i="28"/>
  <c r="N347" i="28"/>
  <c r="I347" i="28"/>
  <c r="BV346" i="28"/>
  <c r="AB346" i="28"/>
  <c r="N346" i="28"/>
  <c r="I346" i="28"/>
  <c r="BV345" i="28"/>
  <c r="AB345" i="28"/>
  <c r="N345" i="28"/>
  <c r="I345" i="28"/>
  <c r="BV344" i="28"/>
  <c r="AB344" i="28"/>
  <c r="N344" i="28"/>
  <c r="I344" i="28"/>
  <c r="BV343" i="28"/>
  <c r="AB343" i="28"/>
  <c r="N343" i="28"/>
  <c r="I343" i="28"/>
  <c r="BV342" i="28"/>
  <c r="AB342" i="28"/>
  <c r="N342" i="28"/>
  <c r="I342" i="28"/>
  <c r="BV341" i="28"/>
  <c r="AB341" i="28"/>
  <c r="N341" i="28"/>
  <c r="I341" i="28"/>
  <c r="BV340" i="28"/>
  <c r="AB340" i="28"/>
  <c r="N340" i="28"/>
  <c r="I340" i="28"/>
  <c r="BV339" i="28"/>
  <c r="AB339" i="28"/>
  <c r="N339" i="28"/>
  <c r="I339" i="28"/>
  <c r="BV338" i="28"/>
  <c r="AB338" i="28"/>
  <c r="N338" i="28"/>
  <c r="I338" i="28"/>
  <c r="BV337" i="28"/>
  <c r="AB337" i="28"/>
  <c r="N337" i="28"/>
  <c r="I337" i="28"/>
  <c r="BV336" i="28"/>
  <c r="AB336" i="28"/>
  <c r="N336" i="28"/>
  <c r="I336" i="28"/>
  <c r="BV335" i="28"/>
  <c r="AB335" i="28"/>
  <c r="N335" i="28"/>
  <c r="I335" i="28"/>
  <c r="BV334" i="28"/>
  <c r="AB334" i="28"/>
  <c r="N334" i="28"/>
  <c r="I334" i="28"/>
  <c r="BV333" i="28"/>
  <c r="AB333" i="28"/>
  <c r="N333" i="28"/>
  <c r="I333" i="28"/>
  <c r="BV332" i="28"/>
  <c r="AB332" i="28"/>
  <c r="N332" i="28"/>
  <c r="I332" i="28"/>
  <c r="BV331" i="28"/>
  <c r="AB331" i="28"/>
  <c r="N331" i="28"/>
  <c r="I331" i="28"/>
  <c r="BV330" i="28"/>
  <c r="AB330" i="28"/>
  <c r="N330" i="28"/>
  <c r="I330" i="28"/>
  <c r="BV329" i="28"/>
  <c r="AB329" i="28"/>
  <c r="N329" i="28"/>
  <c r="I329" i="28"/>
  <c r="BV328" i="28"/>
  <c r="AB328" i="28"/>
  <c r="N328" i="28"/>
  <c r="I328" i="28"/>
  <c r="BV327" i="28"/>
  <c r="AB327" i="28"/>
  <c r="N327" i="28"/>
  <c r="I327" i="28"/>
  <c r="BV326" i="28"/>
  <c r="AB326" i="28"/>
  <c r="N326" i="28"/>
  <c r="I326" i="28"/>
  <c r="BV325" i="28"/>
  <c r="AB325" i="28"/>
  <c r="N325" i="28"/>
  <c r="I325" i="28"/>
  <c r="BV324" i="28"/>
  <c r="AB324" i="28"/>
  <c r="N324" i="28"/>
  <c r="I324" i="28"/>
  <c r="BV323" i="28"/>
  <c r="AB323" i="28"/>
  <c r="N323" i="28"/>
  <c r="I323" i="28"/>
  <c r="BV322" i="28"/>
  <c r="AB322" i="28"/>
  <c r="N322" i="28"/>
  <c r="I322" i="28"/>
  <c r="BV321" i="28"/>
  <c r="AB321" i="28"/>
  <c r="N321" i="28"/>
  <c r="I321" i="28"/>
  <c r="BV320" i="28"/>
  <c r="AB320" i="28"/>
  <c r="N320" i="28"/>
  <c r="I320" i="28"/>
  <c r="BV319" i="28"/>
  <c r="AB319" i="28"/>
  <c r="N319" i="28"/>
  <c r="I319" i="28"/>
  <c r="BV318" i="28"/>
  <c r="AB318" i="28"/>
  <c r="N318" i="28"/>
  <c r="I318" i="28"/>
  <c r="BV317" i="28"/>
  <c r="AB317" i="28"/>
  <c r="N317" i="28"/>
  <c r="I317" i="28"/>
  <c r="BV316" i="28"/>
  <c r="AB316" i="28"/>
  <c r="N316" i="28"/>
  <c r="I316" i="28"/>
  <c r="BV315" i="28"/>
  <c r="AB315" i="28"/>
  <c r="N315" i="28"/>
  <c r="I315" i="28"/>
  <c r="BV314" i="28"/>
  <c r="AB314" i="28"/>
  <c r="N314" i="28"/>
  <c r="I314" i="28"/>
  <c r="BV313" i="28"/>
  <c r="AB313" i="28"/>
  <c r="N313" i="28"/>
  <c r="I313" i="28"/>
  <c r="BV312" i="28"/>
  <c r="AB312" i="28"/>
  <c r="N312" i="28"/>
  <c r="I312" i="28"/>
  <c r="BV311" i="28"/>
  <c r="AB311" i="28"/>
  <c r="N311" i="28"/>
  <c r="I311" i="28"/>
  <c r="BV310" i="28"/>
  <c r="AB310" i="28"/>
  <c r="N310" i="28"/>
  <c r="I310" i="28"/>
  <c r="BV309" i="28"/>
  <c r="AB309" i="28"/>
  <c r="N309" i="28"/>
  <c r="I309" i="28"/>
  <c r="BV308" i="28"/>
  <c r="AB308" i="28"/>
  <c r="N308" i="28"/>
  <c r="I308" i="28"/>
  <c r="BV307" i="28"/>
  <c r="AB307" i="28"/>
  <c r="N307" i="28"/>
  <c r="I307" i="28"/>
  <c r="BV306" i="28"/>
  <c r="AB306" i="28"/>
  <c r="N306" i="28"/>
  <c r="I306" i="28"/>
  <c r="BV305" i="28"/>
  <c r="AB305" i="28"/>
  <c r="N305" i="28"/>
  <c r="I305" i="28"/>
  <c r="BV304" i="28"/>
  <c r="AB304" i="28"/>
  <c r="N304" i="28"/>
  <c r="I304" i="28"/>
  <c r="BV303" i="28"/>
  <c r="AB303" i="28"/>
  <c r="N303" i="28"/>
  <c r="I303" i="28"/>
  <c r="BV302" i="28"/>
  <c r="AB302" i="28"/>
  <c r="N302" i="28"/>
  <c r="I302" i="28"/>
  <c r="BV301" i="28"/>
  <c r="AB301" i="28"/>
  <c r="N301" i="28"/>
  <c r="I301" i="28"/>
  <c r="BV300" i="28"/>
  <c r="AB300" i="28"/>
  <c r="N300" i="28"/>
  <c r="I300" i="28"/>
  <c r="BV299" i="28"/>
  <c r="AB299" i="28"/>
  <c r="N299" i="28"/>
  <c r="I299" i="28"/>
  <c r="BV298" i="28"/>
  <c r="AB298" i="28"/>
  <c r="N298" i="28"/>
  <c r="I298" i="28"/>
  <c r="BV297" i="28"/>
  <c r="AB297" i="28"/>
  <c r="N297" i="28"/>
  <c r="I297" i="28"/>
  <c r="BV296" i="28"/>
  <c r="AB296" i="28"/>
  <c r="N296" i="28"/>
  <c r="I296" i="28"/>
  <c r="BV295" i="28"/>
  <c r="AB295" i="28"/>
  <c r="N295" i="28"/>
  <c r="I295" i="28"/>
  <c r="BV294" i="28"/>
  <c r="AB294" i="28"/>
  <c r="N294" i="28"/>
  <c r="I294" i="28"/>
  <c r="BV293" i="28"/>
  <c r="AB293" i="28"/>
  <c r="N293" i="28"/>
  <c r="I293" i="28"/>
  <c r="BV292" i="28"/>
  <c r="AB292" i="28"/>
  <c r="N292" i="28"/>
  <c r="I292" i="28"/>
  <c r="BV291" i="28"/>
  <c r="AB291" i="28"/>
  <c r="N291" i="28"/>
  <c r="I291" i="28"/>
  <c r="BV290" i="28"/>
  <c r="AB290" i="28"/>
  <c r="N290" i="28"/>
  <c r="I290" i="28"/>
  <c r="BV289" i="28"/>
  <c r="AB289" i="28"/>
  <c r="N289" i="28"/>
  <c r="I289" i="28"/>
  <c r="BV288" i="28"/>
  <c r="AB288" i="28"/>
  <c r="N288" i="28"/>
  <c r="I288" i="28"/>
  <c r="BV287" i="28"/>
  <c r="AB287" i="28"/>
  <c r="N287" i="28"/>
  <c r="I287" i="28"/>
  <c r="BV286" i="28"/>
  <c r="AB286" i="28"/>
  <c r="N286" i="28"/>
  <c r="I286" i="28"/>
  <c r="BV285" i="28"/>
  <c r="AB285" i="28"/>
  <c r="N285" i="28"/>
  <c r="I285" i="28"/>
  <c r="BV284" i="28"/>
  <c r="AB284" i="28"/>
  <c r="N284" i="28"/>
  <c r="I284" i="28"/>
  <c r="BV283" i="28"/>
  <c r="AB283" i="28"/>
  <c r="N283" i="28"/>
  <c r="I283" i="28"/>
  <c r="BV282" i="28"/>
  <c r="AB282" i="28"/>
  <c r="N282" i="28"/>
  <c r="I282" i="28"/>
  <c r="BV281" i="28"/>
  <c r="AB281" i="28"/>
  <c r="N281" i="28"/>
  <c r="I281" i="28"/>
  <c r="BV280" i="28"/>
  <c r="AB280" i="28"/>
  <c r="N280" i="28"/>
  <c r="I280" i="28"/>
  <c r="BV279" i="28"/>
  <c r="AB279" i="28"/>
  <c r="N279" i="28"/>
  <c r="I279" i="28"/>
  <c r="BV278" i="28"/>
  <c r="AB278" i="28"/>
  <c r="N278" i="28"/>
  <c r="I278" i="28"/>
  <c r="BV277" i="28"/>
  <c r="AB277" i="28"/>
  <c r="N277" i="28"/>
  <c r="I277" i="28"/>
  <c r="BV276" i="28"/>
  <c r="AB276" i="28"/>
  <c r="N276" i="28"/>
  <c r="I276" i="28"/>
  <c r="BV275" i="28"/>
  <c r="AB275" i="28"/>
  <c r="N275" i="28"/>
  <c r="I275" i="28"/>
  <c r="BV274" i="28"/>
  <c r="AB274" i="28"/>
  <c r="N274" i="28"/>
  <c r="I274" i="28"/>
  <c r="BV273" i="28"/>
  <c r="AB273" i="28"/>
  <c r="N273" i="28"/>
  <c r="I273" i="28"/>
  <c r="BV272" i="28"/>
  <c r="AB272" i="28"/>
  <c r="N272" i="28"/>
  <c r="I272" i="28"/>
  <c r="BV271" i="28"/>
  <c r="AB271" i="28"/>
  <c r="N271" i="28"/>
  <c r="I271" i="28"/>
  <c r="BV270" i="28"/>
  <c r="AB270" i="28"/>
  <c r="N270" i="28"/>
  <c r="I270" i="28"/>
  <c r="BV269" i="28"/>
  <c r="AB269" i="28"/>
  <c r="N269" i="28"/>
  <c r="I269" i="28"/>
  <c r="BV268" i="28"/>
  <c r="AB268" i="28"/>
  <c r="N268" i="28"/>
  <c r="I268" i="28"/>
  <c r="BV267" i="28"/>
  <c r="AB267" i="28"/>
  <c r="N267" i="28"/>
  <c r="I267" i="28"/>
  <c r="BV266" i="28"/>
  <c r="AB266" i="28"/>
  <c r="N266" i="28"/>
  <c r="I266" i="28"/>
  <c r="BV265" i="28"/>
  <c r="AB265" i="28"/>
  <c r="N265" i="28"/>
  <c r="I265" i="28"/>
  <c r="BV264" i="28"/>
  <c r="AB264" i="28"/>
  <c r="N264" i="28"/>
  <c r="I264" i="28"/>
  <c r="BV263" i="28"/>
  <c r="AB263" i="28"/>
  <c r="N263" i="28"/>
  <c r="I263" i="28"/>
  <c r="BV262" i="28"/>
  <c r="AB262" i="28"/>
  <c r="N262" i="28"/>
  <c r="I262" i="28"/>
  <c r="BV261" i="28"/>
  <c r="AB261" i="28"/>
  <c r="N261" i="28"/>
  <c r="I261" i="28"/>
  <c r="BV260" i="28"/>
  <c r="AB260" i="28"/>
  <c r="N260" i="28"/>
  <c r="I260" i="28"/>
  <c r="BV259" i="28"/>
  <c r="AB259" i="28"/>
  <c r="N259" i="28"/>
  <c r="I259" i="28"/>
  <c r="BV258" i="28"/>
  <c r="AB258" i="28"/>
  <c r="N258" i="28"/>
  <c r="I258" i="28"/>
  <c r="BV257" i="28"/>
  <c r="AB257" i="28"/>
  <c r="N257" i="28"/>
  <c r="I257" i="28"/>
  <c r="BV256" i="28"/>
  <c r="AB256" i="28"/>
  <c r="N256" i="28"/>
  <c r="I256" i="28"/>
  <c r="BV255" i="28"/>
  <c r="AB255" i="28"/>
  <c r="N255" i="28"/>
  <c r="I255" i="28"/>
  <c r="BV254" i="28"/>
  <c r="AB254" i="28"/>
  <c r="N254" i="28"/>
  <c r="I254" i="28"/>
  <c r="BV253" i="28"/>
  <c r="AB253" i="28"/>
  <c r="N253" i="28"/>
  <c r="I253" i="28"/>
  <c r="BV252" i="28"/>
  <c r="AB252" i="28"/>
  <c r="N252" i="28"/>
  <c r="I252" i="28"/>
  <c r="BV251" i="28"/>
  <c r="AB251" i="28"/>
  <c r="N251" i="28"/>
  <c r="I251" i="28"/>
  <c r="BV250" i="28"/>
  <c r="AB250" i="28"/>
  <c r="N250" i="28"/>
  <c r="I250" i="28"/>
  <c r="BV249" i="28"/>
  <c r="AB249" i="28"/>
  <c r="N249" i="28"/>
  <c r="I249" i="28"/>
  <c r="BV248" i="28"/>
  <c r="AB248" i="28"/>
  <c r="N248" i="28"/>
  <c r="I248" i="28"/>
  <c r="BV247" i="28"/>
  <c r="AB247" i="28"/>
  <c r="N247" i="28"/>
  <c r="I247" i="28"/>
  <c r="BV246" i="28"/>
  <c r="AB246" i="28"/>
  <c r="N246" i="28"/>
  <c r="I246" i="28"/>
  <c r="BV245" i="28"/>
  <c r="AB245" i="28"/>
  <c r="N245" i="28"/>
  <c r="I245" i="28"/>
  <c r="BV244" i="28"/>
  <c r="AB244" i="28"/>
  <c r="N244" i="28"/>
  <c r="I244" i="28"/>
  <c r="BV243" i="28"/>
  <c r="AB243" i="28"/>
  <c r="N243" i="28"/>
  <c r="I243" i="28"/>
  <c r="BV242" i="28"/>
  <c r="AB242" i="28"/>
  <c r="N242" i="28"/>
  <c r="I242" i="28"/>
  <c r="BV241" i="28"/>
  <c r="AB241" i="28"/>
  <c r="N241" i="28"/>
  <c r="I241" i="28"/>
  <c r="BV240" i="28"/>
  <c r="AB240" i="28"/>
  <c r="N240" i="28"/>
  <c r="I240" i="28"/>
  <c r="BV239" i="28"/>
  <c r="AB239" i="28"/>
  <c r="N239" i="28"/>
  <c r="I239" i="28"/>
  <c r="BV238" i="28"/>
  <c r="AB238" i="28"/>
  <c r="N238" i="28"/>
  <c r="I238" i="28"/>
  <c r="BV237" i="28"/>
  <c r="AB237" i="28"/>
  <c r="N237" i="28"/>
  <c r="I237" i="28"/>
  <c r="BV236" i="28"/>
  <c r="AB236" i="28"/>
  <c r="N236" i="28"/>
  <c r="I236" i="28"/>
  <c r="BV235" i="28"/>
  <c r="AB235" i="28"/>
  <c r="N235" i="28"/>
  <c r="I235" i="28"/>
  <c r="BV234" i="28"/>
  <c r="AB234" i="28"/>
  <c r="N234" i="28"/>
  <c r="I234" i="28"/>
  <c r="BV233" i="28"/>
  <c r="AB233" i="28"/>
  <c r="N233" i="28"/>
  <c r="I233" i="28"/>
  <c r="BV232" i="28"/>
  <c r="AB232" i="28"/>
  <c r="N232" i="28"/>
  <c r="I232" i="28"/>
  <c r="BV231" i="28"/>
  <c r="AB231" i="28"/>
  <c r="N231" i="28"/>
  <c r="I231" i="28"/>
  <c r="BV230" i="28"/>
  <c r="AB230" i="28"/>
  <c r="N230" i="28"/>
  <c r="I230" i="28"/>
  <c r="BV229" i="28"/>
  <c r="AB229" i="28"/>
  <c r="N229" i="28"/>
  <c r="I229" i="28"/>
  <c r="BV228" i="28"/>
  <c r="AB228" i="28"/>
  <c r="N228" i="28"/>
  <c r="I228" i="28"/>
  <c r="BV227" i="28"/>
  <c r="AB227" i="28"/>
  <c r="N227" i="28"/>
  <c r="I227" i="28"/>
  <c r="BV226" i="28"/>
  <c r="AB226" i="28"/>
  <c r="N226" i="28"/>
  <c r="I226" i="28"/>
  <c r="BV225" i="28"/>
  <c r="AB225" i="28"/>
  <c r="N225" i="28"/>
  <c r="I225" i="28"/>
  <c r="BV224" i="28"/>
  <c r="AB224" i="28"/>
  <c r="N224" i="28"/>
  <c r="I224" i="28"/>
  <c r="BV223" i="28"/>
  <c r="AB223" i="28"/>
  <c r="N223" i="28"/>
  <c r="I223" i="28"/>
  <c r="BV222" i="28"/>
  <c r="AB222" i="28"/>
  <c r="N222" i="28"/>
  <c r="I222" i="28"/>
  <c r="BV221" i="28"/>
  <c r="AB221" i="28"/>
  <c r="N221" i="28"/>
  <c r="I221" i="28"/>
  <c r="BV220" i="28"/>
  <c r="AB220" i="28"/>
  <c r="N220" i="28"/>
  <c r="I220" i="28"/>
  <c r="BV219" i="28"/>
  <c r="AB219" i="28"/>
  <c r="N219" i="28"/>
  <c r="I219" i="28"/>
  <c r="BV218" i="28"/>
  <c r="AB218" i="28"/>
  <c r="N218" i="28"/>
  <c r="I218" i="28"/>
  <c r="BV217" i="28"/>
  <c r="AB217" i="28"/>
  <c r="N217" i="28"/>
  <c r="I217" i="28"/>
  <c r="BV216" i="28"/>
  <c r="AB216" i="28"/>
  <c r="N216" i="28"/>
  <c r="I216" i="28"/>
  <c r="BV215" i="28"/>
  <c r="AB215" i="28"/>
  <c r="N215" i="28"/>
  <c r="I215" i="28"/>
  <c r="BV214" i="28"/>
  <c r="AB214" i="28"/>
  <c r="N214" i="28"/>
  <c r="I214" i="28"/>
  <c r="BV213" i="28"/>
  <c r="AB213" i="28"/>
  <c r="N213" i="28"/>
  <c r="I213" i="28"/>
  <c r="BV212" i="28"/>
  <c r="AB212" i="28"/>
  <c r="N212" i="28"/>
  <c r="I212" i="28"/>
  <c r="BV211" i="28"/>
  <c r="AB211" i="28"/>
  <c r="N211" i="28"/>
  <c r="I211" i="28"/>
  <c r="BV210" i="28"/>
  <c r="AB210" i="28"/>
  <c r="N210" i="28"/>
  <c r="I210" i="28"/>
  <c r="BV209" i="28"/>
  <c r="AB209" i="28"/>
  <c r="N209" i="28"/>
  <c r="I209" i="28"/>
  <c r="BV208" i="28"/>
  <c r="AB208" i="28"/>
  <c r="N208" i="28"/>
  <c r="I208" i="28"/>
  <c r="BV207" i="28"/>
  <c r="AB207" i="28"/>
  <c r="N207" i="28"/>
  <c r="I207" i="28"/>
  <c r="BV206" i="28"/>
  <c r="AB206" i="28"/>
  <c r="N206" i="28"/>
  <c r="I206" i="28"/>
  <c r="BV205" i="28"/>
  <c r="AB205" i="28"/>
  <c r="N205" i="28"/>
  <c r="I205" i="28"/>
  <c r="BV204" i="28"/>
  <c r="AB204" i="28"/>
  <c r="N204" i="28"/>
  <c r="I204" i="28"/>
  <c r="BV203" i="28"/>
  <c r="AB203" i="28"/>
  <c r="N203" i="28"/>
  <c r="I203" i="28"/>
  <c r="BV202" i="28"/>
  <c r="AB202" i="28"/>
  <c r="N202" i="28"/>
  <c r="I202" i="28"/>
  <c r="BV201" i="28"/>
  <c r="AB201" i="28"/>
  <c r="N201" i="28"/>
  <c r="I201" i="28"/>
  <c r="BV200" i="28"/>
  <c r="AB200" i="28"/>
  <c r="N200" i="28"/>
  <c r="I200" i="28"/>
  <c r="BV199" i="28"/>
  <c r="AB199" i="28"/>
  <c r="N199" i="28"/>
  <c r="I199" i="28"/>
  <c r="BV198" i="28"/>
  <c r="AB198" i="28"/>
  <c r="N198" i="28"/>
  <c r="I198" i="28"/>
  <c r="BV197" i="28"/>
  <c r="AB197" i="28"/>
  <c r="N197" i="28"/>
  <c r="I197" i="28"/>
  <c r="BV196" i="28"/>
  <c r="AB196" i="28"/>
  <c r="N196" i="28"/>
  <c r="I196" i="28"/>
  <c r="BV195" i="28"/>
  <c r="AB195" i="28"/>
  <c r="N195" i="28"/>
  <c r="I195" i="28"/>
  <c r="BV194" i="28"/>
  <c r="AB194" i="28"/>
  <c r="N194" i="28"/>
  <c r="I194" i="28"/>
  <c r="BV193" i="28"/>
  <c r="AB193" i="28"/>
  <c r="N193" i="28"/>
  <c r="I193" i="28"/>
  <c r="BV192" i="28"/>
  <c r="AB192" i="28"/>
  <c r="N192" i="28"/>
  <c r="I192" i="28"/>
  <c r="BV191" i="28"/>
  <c r="AB191" i="28"/>
  <c r="N191" i="28"/>
  <c r="I191" i="28"/>
  <c r="BV190" i="28"/>
  <c r="AB190" i="28"/>
  <c r="N190" i="28"/>
  <c r="I190" i="28"/>
  <c r="BV189" i="28"/>
  <c r="AB189" i="28"/>
  <c r="N189" i="28"/>
  <c r="I189" i="28"/>
  <c r="BV188" i="28"/>
  <c r="AB188" i="28"/>
  <c r="N188" i="28"/>
  <c r="I188" i="28"/>
  <c r="BV187" i="28"/>
  <c r="AB187" i="28"/>
  <c r="N187" i="28"/>
  <c r="I187" i="28"/>
  <c r="BV186" i="28"/>
  <c r="AB186" i="28"/>
  <c r="N186" i="28"/>
  <c r="I186" i="28"/>
  <c r="BV185" i="28"/>
  <c r="AB185" i="28"/>
  <c r="N185" i="28"/>
  <c r="I185" i="28"/>
  <c r="BV184" i="28"/>
  <c r="AB184" i="28"/>
  <c r="N184" i="28"/>
  <c r="I184" i="28"/>
  <c r="BV183" i="28"/>
  <c r="AB183" i="28"/>
  <c r="N183" i="28"/>
  <c r="I183" i="28"/>
  <c r="BV182" i="28"/>
  <c r="AB182" i="28"/>
  <c r="N182" i="28"/>
  <c r="I182" i="28"/>
  <c r="BV181" i="28"/>
  <c r="AB181" i="28"/>
  <c r="N181" i="28"/>
  <c r="I181" i="28"/>
  <c r="BV180" i="28"/>
  <c r="AB180" i="28"/>
  <c r="N180" i="28"/>
  <c r="I180" i="28"/>
  <c r="BV179" i="28"/>
  <c r="AB179" i="28"/>
  <c r="N179" i="28"/>
  <c r="I179" i="28"/>
  <c r="BV178" i="28"/>
  <c r="AB178" i="28"/>
  <c r="N178" i="28"/>
  <c r="I178" i="28"/>
  <c r="BV177" i="28"/>
  <c r="AB177" i="28"/>
  <c r="N177" i="28"/>
  <c r="I177" i="28"/>
  <c r="BV176" i="28"/>
  <c r="AB176" i="28"/>
  <c r="N176" i="28"/>
  <c r="I176" i="28"/>
  <c r="BV175" i="28"/>
  <c r="AB175" i="28"/>
  <c r="N175" i="28"/>
  <c r="I175" i="28"/>
  <c r="BV174" i="28"/>
  <c r="AB174" i="28"/>
  <c r="N174" i="28"/>
  <c r="I174" i="28"/>
  <c r="BV173" i="28"/>
  <c r="AB173" i="28"/>
  <c r="N173" i="28"/>
  <c r="I173" i="28"/>
  <c r="BV172" i="28"/>
  <c r="AB172" i="28"/>
  <c r="N172" i="28"/>
  <c r="I172" i="28"/>
  <c r="BV171" i="28"/>
  <c r="AB171" i="28"/>
  <c r="N171" i="28"/>
  <c r="I171" i="28"/>
  <c r="BV170" i="28"/>
  <c r="AB170" i="28"/>
  <c r="N170" i="28"/>
  <c r="I170" i="28"/>
  <c r="BV169" i="28"/>
  <c r="AB169" i="28"/>
  <c r="N169" i="28"/>
  <c r="I169" i="28"/>
  <c r="BV168" i="28"/>
  <c r="AB168" i="28"/>
  <c r="N168" i="28"/>
  <c r="I168" i="28"/>
  <c r="BV167" i="28"/>
  <c r="AB167" i="28"/>
  <c r="N167" i="28"/>
  <c r="I167" i="28"/>
  <c r="BV166" i="28"/>
  <c r="AB166" i="28"/>
  <c r="N166" i="28"/>
  <c r="I166" i="28"/>
  <c r="BV165" i="28"/>
  <c r="AB165" i="28"/>
  <c r="N165" i="28"/>
  <c r="I165" i="28"/>
  <c r="BV164" i="28"/>
  <c r="AB164" i="28"/>
  <c r="N164" i="28"/>
  <c r="I164" i="28"/>
  <c r="BV163" i="28"/>
  <c r="AB163" i="28"/>
  <c r="N163" i="28"/>
  <c r="I163" i="28"/>
  <c r="BV162" i="28"/>
  <c r="AB162" i="28"/>
  <c r="N162" i="28"/>
  <c r="I162" i="28"/>
  <c r="BV161" i="28"/>
  <c r="AB161" i="28"/>
  <c r="N161" i="28"/>
  <c r="I161" i="28"/>
  <c r="BV160" i="28"/>
  <c r="AB160" i="28"/>
  <c r="N160" i="28"/>
  <c r="I160" i="28"/>
  <c r="BV159" i="28"/>
  <c r="AB159" i="28"/>
  <c r="N159" i="28"/>
  <c r="I159" i="28"/>
  <c r="BV158" i="28"/>
  <c r="AB158" i="28"/>
  <c r="N158" i="28"/>
  <c r="I158" i="28"/>
  <c r="BV157" i="28"/>
  <c r="AB157" i="28"/>
  <c r="N157" i="28"/>
  <c r="I157" i="28"/>
  <c r="BV156" i="28"/>
  <c r="AB156" i="28"/>
  <c r="N156" i="28"/>
  <c r="I156" i="28"/>
  <c r="BV155" i="28"/>
  <c r="AB155" i="28"/>
  <c r="N155" i="28"/>
  <c r="I155" i="28"/>
  <c r="BV154" i="28"/>
  <c r="AB154" i="28"/>
  <c r="N154" i="28"/>
  <c r="I154" i="28"/>
  <c r="BV153" i="28"/>
  <c r="AB153" i="28"/>
  <c r="N153" i="28"/>
  <c r="I153" i="28"/>
  <c r="BV152" i="28"/>
  <c r="AB152" i="28"/>
  <c r="N152" i="28"/>
  <c r="I152" i="28"/>
  <c r="BV151" i="28"/>
  <c r="AB151" i="28"/>
  <c r="N151" i="28"/>
  <c r="I151" i="28"/>
  <c r="BV150" i="28"/>
  <c r="AB150" i="28"/>
  <c r="N150" i="28"/>
  <c r="I150" i="28"/>
  <c r="BV149" i="28"/>
  <c r="AB149" i="28"/>
  <c r="N149" i="28"/>
  <c r="I149" i="28"/>
  <c r="BV148" i="28"/>
  <c r="AB148" i="28"/>
  <c r="N148" i="28"/>
  <c r="I148" i="28"/>
  <c r="BV147" i="28"/>
  <c r="AB147" i="28"/>
  <c r="N147" i="28"/>
  <c r="I147" i="28"/>
  <c r="BV146" i="28"/>
  <c r="AB146" i="28"/>
  <c r="N146" i="28"/>
  <c r="I146" i="28"/>
  <c r="BV145" i="28"/>
  <c r="AB145" i="28"/>
  <c r="N145" i="28"/>
  <c r="I145" i="28"/>
  <c r="BV144" i="28"/>
  <c r="AB144" i="28"/>
  <c r="N144" i="28"/>
  <c r="I144" i="28"/>
  <c r="BV143" i="28"/>
  <c r="AB143" i="28"/>
  <c r="N143" i="28"/>
  <c r="I143" i="28"/>
  <c r="BV142" i="28"/>
  <c r="AB142" i="28"/>
  <c r="N142" i="28"/>
  <c r="I142" i="28"/>
  <c r="BV141" i="28"/>
  <c r="AB141" i="28"/>
  <c r="N141" i="28"/>
  <c r="I141" i="28"/>
  <c r="BV140" i="28"/>
  <c r="AB140" i="28"/>
  <c r="N140" i="28"/>
  <c r="I140" i="28"/>
  <c r="BV139" i="28"/>
  <c r="AB139" i="28"/>
  <c r="N139" i="28"/>
  <c r="I139" i="28"/>
  <c r="BV138" i="28"/>
  <c r="AB138" i="28"/>
  <c r="N138" i="28"/>
  <c r="I138" i="28"/>
  <c r="BV137" i="28"/>
  <c r="AB137" i="28"/>
  <c r="N137" i="28"/>
  <c r="I137" i="28"/>
  <c r="BV136" i="28"/>
  <c r="AB136" i="28"/>
  <c r="N136" i="28"/>
  <c r="I136" i="28"/>
  <c r="BV135" i="28"/>
  <c r="AB135" i="28"/>
  <c r="N135" i="28"/>
  <c r="I135" i="28"/>
  <c r="BV134" i="28"/>
  <c r="AB134" i="28"/>
  <c r="N134" i="28"/>
  <c r="I134" i="28"/>
  <c r="BV133" i="28"/>
  <c r="AB133" i="28"/>
  <c r="N133" i="28"/>
  <c r="I133" i="28"/>
  <c r="BV132" i="28"/>
  <c r="AB132" i="28"/>
  <c r="N132" i="28"/>
  <c r="I132" i="28"/>
  <c r="BV131" i="28"/>
  <c r="AB131" i="28"/>
  <c r="N131" i="28"/>
  <c r="I131" i="28"/>
  <c r="BV130" i="28"/>
  <c r="AB130" i="28"/>
  <c r="N130" i="28"/>
  <c r="I130" i="28"/>
  <c r="BV129" i="28"/>
  <c r="AB129" i="28"/>
  <c r="N129" i="28"/>
  <c r="I129" i="28"/>
  <c r="BV128" i="28"/>
  <c r="AB128" i="28"/>
  <c r="N128" i="28"/>
  <c r="I128" i="28"/>
  <c r="BV127" i="28"/>
  <c r="AB127" i="28"/>
  <c r="N127" i="28"/>
  <c r="I127" i="28"/>
  <c r="BV126" i="28"/>
  <c r="AB126" i="28"/>
  <c r="N126" i="28"/>
  <c r="I126" i="28"/>
  <c r="BV125" i="28"/>
  <c r="AB125" i="28"/>
  <c r="N125" i="28"/>
  <c r="I125" i="28"/>
  <c r="BV124" i="28"/>
  <c r="AB124" i="28"/>
  <c r="N124" i="28"/>
  <c r="I124" i="28"/>
  <c r="BV123" i="28"/>
  <c r="AB123" i="28"/>
  <c r="N123" i="28"/>
  <c r="I123" i="28"/>
  <c r="BV122" i="28"/>
  <c r="AB122" i="28"/>
  <c r="N122" i="28"/>
  <c r="I122" i="28"/>
  <c r="BV121" i="28"/>
  <c r="AB121" i="28"/>
  <c r="N121" i="28"/>
  <c r="I121" i="28"/>
  <c r="BV120" i="28"/>
  <c r="AB120" i="28"/>
  <c r="N120" i="28"/>
  <c r="I120" i="28"/>
  <c r="BV119" i="28"/>
  <c r="AB119" i="28"/>
  <c r="N119" i="28"/>
  <c r="I119" i="28"/>
  <c r="BV118" i="28"/>
  <c r="AB118" i="28"/>
  <c r="N118" i="28"/>
  <c r="I118" i="28"/>
  <c r="BV117" i="28"/>
  <c r="AB117" i="28"/>
  <c r="N117" i="28"/>
  <c r="I117" i="28"/>
  <c r="BV116" i="28"/>
  <c r="AB116" i="28"/>
  <c r="N116" i="28"/>
  <c r="I116" i="28"/>
  <c r="BV115" i="28"/>
  <c r="AB115" i="28"/>
  <c r="N115" i="28"/>
  <c r="I115" i="28"/>
  <c r="BV114" i="28"/>
  <c r="AB114" i="28"/>
  <c r="N114" i="28"/>
  <c r="I114" i="28"/>
  <c r="BV113" i="28"/>
  <c r="AB113" i="28"/>
  <c r="N113" i="28"/>
  <c r="I113" i="28"/>
  <c r="BV112" i="28"/>
  <c r="AB112" i="28"/>
  <c r="N112" i="28"/>
  <c r="I112" i="28"/>
  <c r="BV111" i="28"/>
  <c r="AB111" i="28"/>
  <c r="N111" i="28"/>
  <c r="I111" i="28"/>
  <c r="BV110" i="28"/>
  <c r="AB110" i="28"/>
  <c r="N110" i="28"/>
  <c r="I110" i="28"/>
  <c r="BV109" i="28"/>
  <c r="AB109" i="28"/>
  <c r="N109" i="28"/>
  <c r="I109" i="28"/>
  <c r="BV108" i="28"/>
  <c r="AB108" i="28"/>
  <c r="N108" i="28"/>
  <c r="I108" i="28"/>
  <c r="BV107" i="28"/>
  <c r="AB107" i="28"/>
  <c r="N107" i="28"/>
  <c r="I107" i="28"/>
  <c r="BV106" i="28"/>
  <c r="AB106" i="28"/>
  <c r="N106" i="28"/>
  <c r="I106" i="28"/>
  <c r="BV105" i="28"/>
  <c r="AB105" i="28"/>
  <c r="N105" i="28"/>
  <c r="I105" i="28"/>
  <c r="BV104" i="28"/>
  <c r="AB104" i="28"/>
  <c r="N104" i="28"/>
  <c r="I104" i="28"/>
  <c r="BV103" i="28"/>
  <c r="AB103" i="28"/>
  <c r="N103" i="28"/>
  <c r="I103" i="28"/>
  <c r="BV102" i="28"/>
  <c r="AB102" i="28"/>
  <c r="N102" i="28"/>
  <c r="I102" i="28"/>
  <c r="BV101" i="28"/>
  <c r="AB101" i="28"/>
  <c r="N101" i="28"/>
  <c r="I101" i="28"/>
  <c r="BV100" i="28"/>
  <c r="AB100" i="28"/>
  <c r="N100" i="28"/>
  <c r="I100" i="28"/>
  <c r="BV99" i="28"/>
  <c r="AB99" i="28"/>
  <c r="N99" i="28"/>
  <c r="I99" i="28"/>
  <c r="BV98" i="28"/>
  <c r="AB98" i="28"/>
  <c r="N98" i="28"/>
  <c r="I98" i="28"/>
  <c r="BV97" i="28"/>
  <c r="AB97" i="28"/>
  <c r="N97" i="28"/>
  <c r="I97" i="28"/>
  <c r="BV96" i="28"/>
  <c r="AB96" i="28"/>
  <c r="N96" i="28"/>
  <c r="I96" i="28"/>
  <c r="BV95" i="28"/>
  <c r="AB95" i="28"/>
  <c r="N95" i="28"/>
  <c r="I95" i="28"/>
  <c r="BV94" i="28"/>
  <c r="AB94" i="28"/>
  <c r="N94" i="28"/>
  <c r="I94" i="28"/>
  <c r="BV93" i="28"/>
  <c r="AB93" i="28"/>
  <c r="N93" i="28"/>
  <c r="I93" i="28"/>
  <c r="BV92" i="28"/>
  <c r="AB92" i="28"/>
  <c r="N92" i="28"/>
  <c r="I92" i="28"/>
  <c r="BV91" i="28"/>
  <c r="AB91" i="28"/>
  <c r="N91" i="28"/>
  <c r="I91" i="28"/>
  <c r="BV90" i="28"/>
  <c r="AB90" i="28"/>
  <c r="N90" i="28"/>
  <c r="I90" i="28"/>
  <c r="BV89" i="28"/>
  <c r="AB89" i="28"/>
  <c r="N89" i="28"/>
  <c r="I89" i="28"/>
  <c r="BV88" i="28"/>
  <c r="AB88" i="28"/>
  <c r="N88" i="28"/>
  <c r="I88" i="28"/>
  <c r="BV87" i="28"/>
  <c r="AB87" i="28"/>
  <c r="N87" i="28"/>
  <c r="I87" i="28"/>
  <c r="BV86" i="28"/>
  <c r="AB86" i="28"/>
  <c r="N86" i="28"/>
  <c r="I86" i="28"/>
  <c r="BV85" i="28"/>
  <c r="AB85" i="28"/>
  <c r="N85" i="28"/>
  <c r="I85" i="28"/>
  <c r="BV84" i="28"/>
  <c r="AB84" i="28"/>
  <c r="N84" i="28"/>
  <c r="I84" i="28"/>
  <c r="BV83" i="28"/>
  <c r="AB83" i="28"/>
  <c r="N83" i="28"/>
  <c r="I83" i="28"/>
  <c r="BV82" i="28"/>
  <c r="AB82" i="28"/>
  <c r="N82" i="28"/>
  <c r="I82" i="28"/>
  <c r="BV81" i="28"/>
  <c r="AB81" i="28"/>
  <c r="N81" i="28"/>
  <c r="I81" i="28"/>
  <c r="BV80" i="28"/>
  <c r="AB80" i="28"/>
  <c r="N80" i="28"/>
  <c r="I80" i="28"/>
  <c r="BV79" i="28"/>
  <c r="AB79" i="28"/>
  <c r="N79" i="28"/>
  <c r="I79" i="28"/>
  <c r="BV78" i="28"/>
  <c r="AB78" i="28"/>
  <c r="N78" i="28"/>
  <c r="I78" i="28"/>
  <c r="BV77" i="28"/>
  <c r="AB77" i="28"/>
  <c r="N77" i="28"/>
  <c r="I77" i="28"/>
  <c r="BV76" i="28"/>
  <c r="AB76" i="28"/>
  <c r="N76" i="28"/>
  <c r="I76" i="28"/>
  <c r="BV75" i="28"/>
  <c r="AB75" i="28"/>
  <c r="N75" i="28"/>
  <c r="I75" i="28"/>
  <c r="BV74" i="28"/>
  <c r="AB74" i="28"/>
  <c r="N74" i="28"/>
  <c r="I74" i="28"/>
  <c r="BV73" i="28"/>
  <c r="AB73" i="28"/>
  <c r="N73" i="28"/>
  <c r="I73" i="28"/>
  <c r="BV72" i="28"/>
  <c r="AB72" i="28"/>
  <c r="N72" i="28"/>
  <c r="I72" i="28"/>
  <c r="BV71" i="28"/>
  <c r="AB71" i="28"/>
  <c r="N71" i="28"/>
  <c r="I71" i="28"/>
  <c r="BV70" i="28"/>
  <c r="AB70" i="28"/>
  <c r="N70" i="28"/>
  <c r="I70" i="28"/>
  <c r="BV69" i="28"/>
  <c r="AB69" i="28"/>
  <c r="N69" i="28"/>
  <c r="I69" i="28"/>
  <c r="BV68" i="28"/>
  <c r="AB68" i="28"/>
  <c r="N68" i="28"/>
  <c r="I68" i="28"/>
  <c r="BV67" i="28"/>
  <c r="AB67" i="28"/>
  <c r="N67" i="28"/>
  <c r="I67" i="28"/>
  <c r="BV66" i="28"/>
  <c r="AB66" i="28"/>
  <c r="N66" i="28"/>
  <c r="I66" i="28"/>
  <c r="BV65" i="28"/>
  <c r="AB65" i="28"/>
  <c r="N65" i="28"/>
  <c r="I65" i="28"/>
  <c r="BV64" i="28"/>
  <c r="AB64" i="28"/>
  <c r="N64" i="28"/>
  <c r="I64" i="28"/>
  <c r="BV63" i="28"/>
  <c r="AB63" i="28"/>
  <c r="N63" i="28"/>
  <c r="I63" i="28"/>
  <c r="BV62" i="28"/>
  <c r="AB62" i="28"/>
  <c r="N62" i="28"/>
  <c r="I62" i="28"/>
  <c r="BV61" i="28"/>
  <c r="AB61" i="28"/>
  <c r="N61" i="28"/>
  <c r="I61" i="28"/>
  <c r="BV60" i="28"/>
  <c r="AB60" i="28"/>
  <c r="N60" i="28"/>
  <c r="I60" i="28"/>
  <c r="BV59" i="28"/>
  <c r="AB59" i="28"/>
  <c r="N59" i="28"/>
  <c r="I59" i="28"/>
  <c r="BV58" i="28"/>
  <c r="AB58" i="28"/>
  <c r="N58" i="28"/>
  <c r="I58" i="28"/>
  <c r="BV57" i="28"/>
  <c r="AB57" i="28"/>
  <c r="N57" i="28"/>
  <c r="I57" i="28"/>
  <c r="BV56" i="28"/>
  <c r="AB56" i="28"/>
  <c r="N56" i="28"/>
  <c r="I56" i="28"/>
  <c r="BV55" i="28"/>
  <c r="AB55" i="28"/>
  <c r="N55" i="28"/>
  <c r="I55" i="28"/>
  <c r="BV54" i="28"/>
  <c r="AB54" i="28"/>
  <c r="N54" i="28"/>
  <c r="I54" i="28"/>
  <c r="BV53" i="28"/>
  <c r="AB53" i="28"/>
  <c r="N53" i="28"/>
  <c r="I53" i="28"/>
  <c r="BV52" i="28"/>
  <c r="AB52" i="28"/>
  <c r="N52" i="28"/>
  <c r="I52" i="28"/>
  <c r="BV51" i="28"/>
  <c r="AB51" i="28"/>
  <c r="N51" i="28"/>
  <c r="I51" i="28"/>
  <c r="BV50" i="28"/>
  <c r="AB50" i="28"/>
  <c r="N50" i="28"/>
  <c r="I50" i="28"/>
  <c r="BV49" i="28"/>
  <c r="AB49" i="28"/>
  <c r="N49" i="28"/>
  <c r="I49" i="28"/>
  <c r="BV48" i="28"/>
  <c r="AB48" i="28"/>
  <c r="N48" i="28"/>
  <c r="I48" i="28"/>
  <c r="BV47" i="28"/>
  <c r="AB47" i="28"/>
  <c r="N47" i="28"/>
  <c r="I47" i="28"/>
  <c r="BV46" i="28"/>
  <c r="AB46" i="28"/>
  <c r="N46" i="28"/>
  <c r="I46" i="28"/>
  <c r="BV45" i="28"/>
  <c r="AB45" i="28"/>
  <c r="N45" i="28"/>
  <c r="I45" i="28"/>
  <c r="BV44" i="28"/>
  <c r="AB44" i="28"/>
  <c r="N44" i="28"/>
  <c r="I44" i="28"/>
  <c r="BV43" i="28"/>
  <c r="AB43" i="28"/>
  <c r="N43" i="28"/>
  <c r="I43" i="28"/>
  <c r="BV42" i="28"/>
  <c r="AB42" i="28"/>
  <c r="N42" i="28"/>
  <c r="I42" i="28"/>
  <c r="BV41" i="28"/>
  <c r="AB41" i="28"/>
  <c r="N41" i="28"/>
  <c r="I41" i="28"/>
  <c r="BV40" i="28"/>
  <c r="AB40" i="28"/>
  <c r="N40" i="28"/>
  <c r="I40" i="28"/>
  <c r="BV39" i="28"/>
  <c r="AB39" i="28"/>
  <c r="N39" i="28"/>
  <c r="I39" i="28"/>
  <c r="BV38" i="28"/>
  <c r="AB38" i="28"/>
  <c r="N38" i="28"/>
  <c r="I38" i="28"/>
  <c r="BV37" i="28"/>
  <c r="AB37" i="28"/>
  <c r="N37" i="28"/>
  <c r="I37" i="28"/>
  <c r="BV36" i="28"/>
  <c r="AB36" i="28"/>
  <c r="N36" i="28"/>
  <c r="I36" i="28"/>
  <c r="BV35" i="28"/>
  <c r="AB35" i="28"/>
  <c r="N35" i="28"/>
  <c r="I35" i="28"/>
  <c r="BV34" i="28"/>
  <c r="AB34" i="28"/>
  <c r="N34" i="28"/>
  <c r="I34" i="28"/>
  <c r="BV33" i="28"/>
  <c r="AB33" i="28"/>
  <c r="N33" i="28"/>
  <c r="I33" i="28"/>
  <c r="BV32" i="28"/>
  <c r="AB32" i="28"/>
  <c r="N32" i="28"/>
  <c r="I32" i="28"/>
  <c r="BV31" i="28"/>
  <c r="AB31" i="28"/>
  <c r="N31" i="28"/>
  <c r="I31" i="28"/>
  <c r="BV30" i="28"/>
  <c r="AB30" i="28"/>
  <c r="N30" i="28"/>
  <c r="I30" i="28"/>
  <c r="BV29" i="28"/>
  <c r="AB29" i="28"/>
  <c r="N29" i="28"/>
  <c r="I29" i="28"/>
  <c r="BV28" i="28"/>
  <c r="AB28" i="28"/>
  <c r="N28" i="28"/>
  <c r="I28" i="28"/>
  <c r="BV27" i="28"/>
  <c r="AB27" i="28"/>
  <c r="N27" i="28"/>
  <c r="I27" i="28"/>
  <c r="BV26" i="28"/>
  <c r="AB26" i="28"/>
  <c r="N26" i="28"/>
  <c r="I26" i="28"/>
  <c r="BV25" i="28"/>
  <c r="AB25" i="28"/>
  <c r="N25" i="28"/>
  <c r="I25" i="28"/>
  <c r="BV24" i="28"/>
  <c r="AB24" i="28"/>
  <c r="N24" i="28"/>
  <c r="I24" i="28"/>
  <c r="BV23" i="28"/>
  <c r="AB23" i="28"/>
  <c r="N23" i="28"/>
  <c r="I23" i="28"/>
  <c r="BV22" i="28"/>
  <c r="AB22" i="28"/>
  <c r="N22" i="28"/>
  <c r="I22" i="28"/>
  <c r="BV21" i="28"/>
  <c r="AB21" i="28"/>
  <c r="N21" i="28"/>
  <c r="I21" i="28"/>
  <c r="BV20" i="28"/>
  <c r="AB20" i="28"/>
  <c r="N20" i="28"/>
  <c r="I20" i="28"/>
  <c r="BV19" i="28"/>
  <c r="AB19" i="28"/>
  <c r="N19" i="28"/>
  <c r="I19" i="28"/>
  <c r="BV18" i="28"/>
  <c r="AB18" i="28"/>
  <c r="N18" i="28"/>
  <c r="I18" i="28"/>
  <c r="BV17" i="28"/>
  <c r="AB17" i="28"/>
  <c r="N17" i="28"/>
  <c r="I17" i="28"/>
  <c r="BV16" i="28"/>
  <c r="AB16" i="28"/>
  <c r="N16" i="28"/>
  <c r="I16" i="28"/>
  <c r="BV15" i="28"/>
  <c r="AB15" i="28"/>
  <c r="N15" i="28"/>
  <c r="I15" i="28"/>
  <c r="BV14" i="28"/>
  <c r="AB14" i="28"/>
  <c r="N14" i="28"/>
  <c r="I14" i="28"/>
  <c r="BV13" i="28"/>
  <c r="AB13" i="28"/>
  <c r="N13" i="28"/>
  <c r="I13" i="28"/>
  <c r="BV12" i="28"/>
  <c r="AB12" i="28"/>
  <c r="N12" i="28"/>
  <c r="I12" i="28"/>
  <c r="BV11" i="28"/>
  <c r="AB11" i="28"/>
  <c r="N11" i="28"/>
  <c r="I11" i="28"/>
  <c r="BV10" i="28"/>
  <c r="AB10" i="28"/>
  <c r="N10" i="28"/>
  <c r="I10" i="28"/>
  <c r="BV9" i="28"/>
  <c r="AB9" i="28"/>
  <c r="N9" i="28"/>
  <c r="I9" i="28"/>
  <c r="BV8" i="28"/>
  <c r="AB8" i="28"/>
  <c r="N8" i="28"/>
  <c r="I8" i="28"/>
  <c r="BV7" i="28"/>
  <c r="AB7" i="28"/>
  <c r="N7" i="28"/>
  <c r="I7" i="28"/>
  <c r="BV6" i="28"/>
  <c r="AB6" i="28"/>
  <c r="N6" i="28"/>
  <c r="N359" i="28" s="1"/>
  <c r="I6" i="28"/>
  <c r="I359" i="28" s="1"/>
  <c r="B1" i="28"/>
  <c r="C1" i="28" s="1"/>
  <c r="D1" i="28" s="1"/>
  <c r="E1" i="28" s="1"/>
  <c r="F1" i="28" s="1"/>
  <c r="G1" i="28" s="1"/>
  <c r="H1" i="28" s="1"/>
  <c r="I1" i="28" s="1"/>
  <c r="J1" i="28" s="1"/>
  <c r="K1" i="28" s="1"/>
  <c r="L1" i="28" s="1"/>
  <c r="M1" i="28" s="1"/>
  <c r="N1" i="28" s="1"/>
  <c r="O1" i="28" s="1"/>
  <c r="P1" i="28" s="1"/>
  <c r="Q1" i="28" s="1"/>
  <c r="R1" i="28" s="1"/>
  <c r="S1" i="28" s="1"/>
  <c r="T1" i="28" s="1"/>
  <c r="U1" i="28" s="1"/>
  <c r="V1" i="28" s="1"/>
  <c r="W1" i="28" s="1"/>
  <c r="X1" i="28" s="1"/>
  <c r="Y1" i="28" s="1"/>
  <c r="Z1" i="28" s="1"/>
  <c r="AA1" i="28" s="1"/>
  <c r="AB1" i="28" s="1"/>
  <c r="AC1" i="28" s="1"/>
  <c r="AD1" i="28" s="1"/>
  <c r="AE1" i="28" s="1"/>
  <c r="AF1" i="28" s="1"/>
  <c r="AG1" i="28" s="1"/>
  <c r="AH1" i="28" s="1"/>
  <c r="AI1" i="28" s="1"/>
  <c r="AJ1" i="28" s="1"/>
  <c r="AK1" i="28" s="1"/>
  <c r="AL1" i="28" s="1"/>
  <c r="AM1" i="28" s="1"/>
  <c r="AN1" i="28" s="1"/>
  <c r="AO1" i="28" s="1"/>
  <c r="AP1" i="28" s="1"/>
  <c r="AQ1" i="28" s="1"/>
  <c r="AR1" i="28" s="1"/>
  <c r="AS1" i="28" s="1"/>
  <c r="AT1" i="28" s="1"/>
  <c r="AU1" i="28" s="1"/>
  <c r="AV1" i="28" s="1"/>
  <c r="AW1" i="28" s="1"/>
  <c r="AX1" i="28" s="1"/>
  <c r="AY1" i="28" s="1"/>
  <c r="AZ1" i="28" s="1"/>
  <c r="BA1" i="28" s="1"/>
  <c r="BB1" i="28" s="1"/>
  <c r="BC1" i="28" s="1"/>
  <c r="BD1" i="28" s="1"/>
  <c r="BE1" i="28" s="1"/>
  <c r="BF1" i="28" s="1"/>
  <c r="BG1" i="28" s="1"/>
  <c r="BH1" i="28" s="1"/>
  <c r="BI1" i="28" s="1"/>
  <c r="BJ1" i="28" s="1"/>
  <c r="BK1" i="28" s="1"/>
  <c r="BL1" i="28" s="1"/>
  <c r="BM1" i="28" s="1"/>
  <c r="BN1" i="28" s="1"/>
  <c r="BO1" i="28" s="1"/>
  <c r="BP1" i="28" s="1"/>
  <c r="BQ1" i="28" s="1"/>
  <c r="BR1" i="28" s="1"/>
  <c r="BS1" i="28" s="1"/>
  <c r="BT1" i="28" s="1"/>
  <c r="BU1" i="28" s="1"/>
  <c r="BV1" i="28" s="1"/>
  <c r="BW1" i="28" s="1"/>
  <c r="BX1" i="28" s="1"/>
  <c r="BY1" i="28" s="1"/>
  <c r="BZ1" i="28" s="1"/>
  <c r="CA1" i="28" s="1"/>
  <c r="CB1" i="28" s="1"/>
  <c r="CC1" i="28" s="1"/>
  <c r="CD1" i="28" s="1"/>
  <c r="CE1" i="28" s="1"/>
  <c r="CF1" i="28" s="1"/>
  <c r="CG1" i="28" s="1"/>
  <c r="CH1" i="28" s="1"/>
  <c r="CI1" i="28" s="1"/>
  <c r="CJ1" i="28" s="1"/>
  <c r="CK1" i="28" s="1"/>
  <c r="CL1" i="28" s="1"/>
  <c r="L731" i="8"/>
  <c r="L730" i="8"/>
  <c r="L729" i="8"/>
  <c r="L728" i="8"/>
  <c r="L727" i="8"/>
  <c r="L723" i="8"/>
  <c r="L722" i="8"/>
  <c r="L721" i="8"/>
  <c r="L720" i="8"/>
  <c r="L719" i="8"/>
  <c r="L712" i="8"/>
  <c r="L711" i="8"/>
  <c r="L704" i="8"/>
  <c r="L703" i="8"/>
  <c r="L700" i="8"/>
  <c r="L697" i="8"/>
  <c r="L696" i="8"/>
  <c r="L695" i="8"/>
  <c r="L694" i="8"/>
  <c r="L692" i="8"/>
  <c r="L689" i="8"/>
  <c r="L688" i="8"/>
  <c r="L687" i="8"/>
  <c r="L685" i="8"/>
  <c r="L683" i="8"/>
  <c r="L682" i="8"/>
  <c r="L681" i="8"/>
  <c r="L680" i="8"/>
  <c r="L679" i="8"/>
  <c r="L678" i="8"/>
  <c r="L677" i="8"/>
  <c r="L676" i="8"/>
  <c r="L675" i="8"/>
  <c r="L674" i="8"/>
  <c r="L673" i="8"/>
  <c r="L672" i="8"/>
  <c r="L670" i="8"/>
  <c r="L669" i="8"/>
  <c r="L668" i="8"/>
  <c r="L667" i="8"/>
  <c r="L666" i="8"/>
  <c r="L665" i="8"/>
  <c r="L664" i="8"/>
  <c r="L663" i="8"/>
  <c r="L662" i="8"/>
  <c r="L661" i="8"/>
  <c r="L660" i="8"/>
  <c r="L657" i="8"/>
  <c r="L656" i="8"/>
  <c r="L655" i="8"/>
  <c r="L654" i="8"/>
  <c r="L653" i="8"/>
  <c r="L651" i="8"/>
  <c r="L650" i="8"/>
  <c r="L649" i="8"/>
  <c r="L648" i="8"/>
  <c r="L647" i="8"/>
  <c r="L646" i="8"/>
  <c r="L645" i="8"/>
  <c r="L644" i="8"/>
  <c r="L643" i="8"/>
  <c r="L642" i="8"/>
  <c r="L641" i="8"/>
  <c r="L640" i="8"/>
  <c r="L639" i="8"/>
  <c r="L638" i="8"/>
  <c r="L637" i="8"/>
  <c r="L636" i="8"/>
  <c r="L635" i="8"/>
  <c r="L634" i="8"/>
  <c r="L630" i="8"/>
  <c r="L628" i="8"/>
  <c r="L627" i="8"/>
  <c r="L626" i="8"/>
  <c r="L624" i="8"/>
  <c r="L623" i="8"/>
  <c r="L622" i="8"/>
  <c r="L620" i="8"/>
  <c r="L619" i="8"/>
  <c r="L618" i="8"/>
  <c r="L617" i="8"/>
  <c r="L616" i="8"/>
  <c r="L615" i="8"/>
  <c r="L612" i="8"/>
  <c r="L611" i="8"/>
  <c r="L610" i="8"/>
  <c r="L553" i="8"/>
  <c r="L545" i="8"/>
  <c r="L539" i="8"/>
  <c r="L531" i="8"/>
  <c r="L514" i="8"/>
  <c r="L513" i="8"/>
  <c r="L397" i="8" l="1"/>
  <c r="L407" i="8"/>
  <c r="L431" i="8"/>
  <c r="L576" i="8"/>
  <c r="L592" i="8"/>
  <c r="L370" i="8"/>
  <c r="L375" i="8"/>
  <c r="L377" i="8"/>
  <c r="L394" i="8"/>
  <c r="L405" i="8"/>
  <c r="L414" i="8"/>
  <c r="L420" i="8"/>
  <c r="L422" i="8"/>
  <c r="L424" i="8"/>
  <c r="L426" i="8"/>
  <c r="L437" i="8"/>
  <c r="L443" i="8"/>
  <c r="L449" i="8"/>
  <c r="L481" i="8"/>
  <c r="L487" i="8"/>
  <c r="L524" i="8"/>
  <c r="L526" i="8"/>
  <c r="L537" i="8"/>
  <c r="L543" i="8"/>
  <c r="L554" i="8"/>
  <c r="L558" i="8"/>
  <c r="L582" i="8"/>
  <c r="L587" i="8"/>
  <c r="L598" i="8"/>
  <c r="L602" i="8"/>
  <c r="L632" i="8"/>
  <c r="L686" i="8"/>
  <c r="L367" i="8"/>
  <c r="L384" i="8"/>
  <c r="L507" i="8"/>
  <c r="L550" i="8"/>
  <c r="L371" i="8"/>
  <c r="L386" i="8"/>
  <c r="L388" i="8"/>
  <c r="L390" i="8"/>
  <c r="L392" i="8"/>
  <c r="L409" i="8"/>
  <c r="L435" i="8"/>
  <c r="L439" i="8"/>
  <c r="L453" i="8"/>
  <c r="L456" i="8"/>
  <c r="L458" i="8"/>
  <c r="L460" i="8"/>
  <c r="L472" i="8"/>
  <c r="L477" i="8"/>
  <c r="L479" i="8"/>
  <c r="L483" i="8"/>
  <c r="L485" i="8"/>
  <c r="L489" i="8"/>
  <c r="L491" i="8"/>
  <c r="L495" i="8"/>
  <c r="L533" i="8"/>
  <c r="L535" i="8"/>
  <c r="L541" i="8"/>
  <c r="L548" i="8"/>
  <c r="L572" i="8"/>
  <c r="L574" i="8"/>
  <c r="L580" i="8"/>
  <c r="L585" i="8"/>
  <c r="L600" i="8"/>
  <c r="L604" i="8"/>
  <c r="L659" i="8"/>
  <c r="L684" i="8"/>
  <c r="L416" i="8"/>
  <c r="L441" i="8"/>
  <c r="L470" i="8"/>
  <c r="L511" i="8"/>
  <c r="L588" i="8"/>
  <c r="L359" i="8"/>
  <c r="L376" i="8"/>
  <c r="L380" i="8"/>
  <c r="L383" i="8"/>
  <c r="L399" i="8"/>
  <c r="L427" i="8"/>
  <c r="L433" i="8"/>
  <c r="L444" i="8"/>
  <c r="L446" i="8"/>
  <c r="L448" i="8"/>
  <c r="L451" i="8"/>
  <c r="L464" i="8"/>
  <c r="L466" i="8"/>
  <c r="L476" i="8"/>
  <c r="L501" i="8"/>
  <c r="L509" i="8"/>
  <c r="L517" i="8"/>
  <c r="L521" i="8"/>
  <c r="L523" i="8"/>
  <c r="L528" i="8"/>
  <c r="L555" i="8"/>
  <c r="L559" i="8"/>
  <c r="L567" i="8"/>
  <c r="L595" i="8"/>
  <c r="L608" i="8"/>
  <c r="L621" i="8"/>
  <c r="L365" i="8"/>
  <c r="L429" i="8"/>
  <c r="L493" i="8"/>
  <c r="L497" i="8"/>
  <c r="L499" i="8"/>
  <c r="L544" i="8"/>
  <c r="L577" i="8"/>
  <c r="L374" i="8"/>
  <c r="L389" i="8"/>
  <c r="L395" i="8"/>
  <c r="L410" i="8"/>
  <c r="L421" i="8"/>
  <c r="L423" i="8"/>
  <c r="L436" i="8"/>
  <c r="L438" i="8"/>
  <c r="L462" i="8"/>
  <c r="L468" i="8"/>
  <c r="L482" i="8"/>
  <c r="L488" i="8"/>
  <c r="L490" i="8"/>
  <c r="L530" i="8"/>
  <c r="L532" i="8"/>
  <c r="L536" i="8"/>
  <c r="L540" i="8"/>
  <c r="L557" i="8"/>
  <c r="L571" i="8"/>
  <c r="L578" i="8"/>
  <c r="L584" i="8"/>
  <c r="L601" i="8"/>
  <c r="L606" i="8"/>
  <c r="L614" i="8"/>
  <c r="L629" i="8"/>
  <c r="L403" i="8"/>
  <c r="L515" i="8"/>
  <c r="L519" i="8"/>
  <c r="L570" i="8"/>
  <c r="L366" i="8"/>
  <c r="L368" i="8"/>
  <c r="L393" i="8"/>
  <c r="L402" i="8"/>
  <c r="L404" i="8"/>
  <c r="L406" i="8"/>
  <c r="L408" i="8"/>
  <c r="L413" i="8"/>
  <c r="L415" i="8"/>
  <c r="L419" i="8"/>
  <c r="L425" i="8"/>
  <c r="L440" i="8"/>
  <c r="L442" i="8"/>
  <c r="L454" i="8"/>
  <c r="L457" i="8"/>
  <c r="L471" i="8"/>
  <c r="L473" i="8"/>
  <c r="L478" i="8"/>
  <c r="L480" i="8"/>
  <c r="L486" i="8"/>
  <c r="L496" i="8"/>
  <c r="L498" i="8"/>
  <c r="L506" i="8"/>
  <c r="L525" i="8"/>
  <c r="L538" i="8"/>
  <c r="L542" i="8"/>
  <c r="L547" i="8"/>
  <c r="L551" i="8"/>
  <c r="L560" i="8"/>
  <c r="L573" i="8"/>
  <c r="L575" i="8"/>
  <c r="L581" i="8"/>
  <c r="L586" i="8"/>
  <c r="L599" i="8"/>
  <c r="L603" i="8"/>
  <c r="L633" i="8"/>
  <c r="L503" i="8"/>
  <c r="L546" i="8"/>
  <c r="L564" i="8"/>
  <c r="L381" i="8"/>
  <c r="L385" i="8"/>
  <c r="L387" i="8"/>
  <c r="L391" i="8"/>
  <c r="L400" i="8"/>
  <c r="L428" i="8"/>
  <c r="L430" i="8"/>
  <c r="L432" i="8"/>
  <c r="L434" i="8"/>
  <c r="L452" i="8"/>
  <c r="L459" i="8"/>
  <c r="L475" i="8"/>
  <c r="L484" i="8"/>
  <c r="L492" i="8"/>
  <c r="L494" i="8"/>
  <c r="L504" i="8"/>
  <c r="L512" i="8"/>
  <c r="L520" i="8"/>
  <c r="L522" i="8"/>
  <c r="L534" i="8"/>
  <c r="L549" i="8"/>
  <c r="L563" i="8"/>
  <c r="L565" i="8"/>
  <c r="L591" i="8"/>
  <c r="L597" i="8"/>
  <c r="L607" i="8"/>
  <c r="L652" i="8"/>
  <c r="L401" i="8"/>
  <c r="L412" i="8"/>
  <c r="L418" i="8"/>
  <c r="L474" i="8"/>
  <c r="L561" i="8"/>
  <c r="L396" i="8"/>
  <c r="L398" i="8"/>
  <c r="L411" i="8"/>
  <c r="L417" i="8"/>
  <c r="L445" i="8"/>
  <c r="L447" i="8"/>
  <c r="L463" i="8"/>
  <c r="L465" i="8"/>
  <c r="L467" i="8"/>
  <c r="L469" i="8"/>
  <c r="L500" i="8"/>
  <c r="L502" i="8"/>
  <c r="L508" i="8"/>
  <c r="L510" i="8"/>
  <c r="L516" i="8"/>
  <c r="L518" i="8"/>
  <c r="L529" i="8"/>
  <c r="L552" i="8"/>
  <c r="L556" i="8"/>
  <c r="L568" i="8"/>
  <c r="L589" i="8"/>
  <c r="L593" i="8"/>
  <c r="L609" i="8"/>
  <c r="L625" i="8"/>
  <c r="L726" i="8"/>
  <c r="L710" i="8"/>
  <c r="L702" i="8"/>
  <c r="L690" i="8"/>
  <c r="L671" i="8"/>
  <c r="L733" i="8"/>
  <c r="L725" i="8"/>
  <c r="L717" i="8"/>
  <c r="L709" i="8"/>
  <c r="L701" i="8"/>
  <c r="O179" i="8"/>
  <c r="L732" i="8"/>
  <c r="L724" i="8"/>
  <c r="L716" i="8"/>
  <c r="L708" i="8"/>
  <c r="L699" i="8"/>
  <c r="L715" i="8"/>
  <c r="L707" i="8"/>
  <c r="L698" i="8"/>
  <c r="L706" i="8"/>
  <c r="L705" i="8"/>
  <c r="AB359" i="28"/>
  <c r="O150" i="8"/>
  <c r="M158" i="8"/>
  <c r="M288" i="8"/>
  <c r="M286" i="8"/>
  <c r="O286" i="8" l="1"/>
  <c r="O158" i="8"/>
  <c r="O288" i="8"/>
  <c r="N349" i="8"/>
  <c r="N351" i="8" s="1"/>
  <c r="T9" i="10" l="1"/>
  <c r="AG8" i="10" l="1"/>
  <c r="E51" i="14" s="1"/>
  <c r="E50" i="14"/>
  <c r="K11" i="16"/>
  <c r="K42" i="16" l="1"/>
  <c r="G35" i="1"/>
  <c r="H35" i="1"/>
  <c r="I35" i="1"/>
  <c r="J35" i="1"/>
  <c r="K35" i="1"/>
  <c r="L35" i="1"/>
  <c r="F35" i="1"/>
  <c r="J166" i="8" l="1"/>
  <c r="J8" i="8"/>
  <c r="J316" i="8" l="1"/>
  <c r="J259" i="8"/>
  <c r="J224" i="8"/>
  <c r="J221" i="8"/>
  <c r="J209" i="8"/>
  <c r="J144" i="8"/>
  <c r="J115" i="8"/>
  <c r="J24" i="8"/>
  <c r="M15" i="8"/>
  <c r="O15" i="8" s="1"/>
  <c r="J15" i="8"/>
  <c r="K15" i="8"/>
  <c r="L15"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L179" i="8" s="1"/>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354" i="8"/>
  <c r="L5" i="8" s="1"/>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K179" i="8" s="1"/>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354" i="8"/>
  <c r="K5" i="8" l="1"/>
  <c r="K288" i="8"/>
  <c r="L304" i="8"/>
  <c r="L158" i="8"/>
  <c r="K286" i="8"/>
  <c r="L288" i="8"/>
  <c r="L286" i="8"/>
  <c r="K158" i="8"/>
  <c r="K304" i="8"/>
  <c r="J734" i="8"/>
  <c r="I734" i="8"/>
  <c r="M11" i="8" l="1"/>
  <c r="O11" i="8" s="1"/>
  <c r="M12" i="8"/>
  <c r="O12" i="8" s="1"/>
  <c r="M13" i="8"/>
  <c r="O13" i="8" s="1"/>
  <c r="M14" i="8"/>
  <c r="O14" i="8" s="1"/>
  <c r="M16" i="8"/>
  <c r="O16" i="8" s="1"/>
  <c r="M17" i="8"/>
  <c r="O17" i="8" s="1"/>
  <c r="M18" i="8"/>
  <c r="O18" i="8" s="1"/>
  <c r="M19" i="8"/>
  <c r="O19" i="8" s="1"/>
  <c r="M20" i="8"/>
  <c r="O20" i="8" s="1"/>
  <c r="M21" i="8"/>
  <c r="O21" i="8" s="1"/>
  <c r="M22" i="8"/>
  <c r="O22" i="8" s="1"/>
  <c r="M23" i="8"/>
  <c r="O23" i="8" s="1"/>
  <c r="M24" i="8"/>
  <c r="O24" i="8" s="1"/>
  <c r="M25" i="8"/>
  <c r="O25" i="8" s="1"/>
  <c r="M26" i="8"/>
  <c r="O26" i="8" s="1"/>
  <c r="M27" i="8"/>
  <c r="O27" i="8" s="1"/>
  <c r="M28" i="8"/>
  <c r="O28" i="8" s="1"/>
  <c r="M29" i="8"/>
  <c r="O29" i="8" s="1"/>
  <c r="M30" i="8"/>
  <c r="O30" i="8" s="1"/>
  <c r="M31" i="8"/>
  <c r="O31" i="8" s="1"/>
  <c r="M32" i="8"/>
  <c r="O32" i="8" s="1"/>
  <c r="M33" i="8"/>
  <c r="O33" i="8" s="1"/>
  <c r="M34" i="8"/>
  <c r="O34" i="8" s="1"/>
  <c r="M35" i="8"/>
  <c r="O35" i="8" s="1"/>
  <c r="M36" i="8"/>
  <c r="O36" i="8" s="1"/>
  <c r="M37" i="8"/>
  <c r="O37" i="8" s="1"/>
  <c r="M38" i="8"/>
  <c r="O38" i="8" s="1"/>
  <c r="M39" i="8"/>
  <c r="O39" i="8" s="1"/>
  <c r="M40" i="8"/>
  <c r="O40" i="8" s="1"/>
  <c r="M41" i="8"/>
  <c r="O41" i="8" s="1"/>
  <c r="M42" i="8"/>
  <c r="O42" i="8" s="1"/>
  <c r="M43" i="8"/>
  <c r="O43" i="8" s="1"/>
  <c r="M44" i="8"/>
  <c r="O44" i="8" s="1"/>
  <c r="M45" i="8"/>
  <c r="O45" i="8" s="1"/>
  <c r="M46" i="8"/>
  <c r="O46" i="8" s="1"/>
  <c r="M47" i="8"/>
  <c r="O47" i="8" s="1"/>
  <c r="M48" i="8"/>
  <c r="O48" i="8" s="1"/>
  <c r="M49" i="8"/>
  <c r="O49" i="8" s="1"/>
  <c r="M50" i="8"/>
  <c r="O50" i="8" s="1"/>
  <c r="M51" i="8"/>
  <c r="O51" i="8" s="1"/>
  <c r="M52" i="8"/>
  <c r="O52" i="8" s="1"/>
  <c r="M53" i="8"/>
  <c r="O53" i="8" s="1"/>
  <c r="M54" i="8"/>
  <c r="O54" i="8" s="1"/>
  <c r="M55" i="8"/>
  <c r="O55" i="8" s="1"/>
  <c r="M56" i="8"/>
  <c r="O56" i="8" s="1"/>
  <c r="M57" i="8"/>
  <c r="O57" i="8" s="1"/>
  <c r="M58" i="8"/>
  <c r="O58" i="8" s="1"/>
  <c r="M59" i="8"/>
  <c r="O59" i="8" s="1"/>
  <c r="M60" i="8"/>
  <c r="O60" i="8" s="1"/>
  <c r="M61" i="8"/>
  <c r="O61" i="8" s="1"/>
  <c r="M62" i="8"/>
  <c r="O62" i="8" s="1"/>
  <c r="M63" i="8"/>
  <c r="O63" i="8" s="1"/>
  <c r="M64" i="8"/>
  <c r="O64" i="8" s="1"/>
  <c r="M65" i="8"/>
  <c r="O65" i="8" s="1"/>
  <c r="M66" i="8"/>
  <c r="O66" i="8" s="1"/>
  <c r="M67" i="8"/>
  <c r="O67" i="8" s="1"/>
  <c r="M68" i="8"/>
  <c r="O68" i="8" s="1"/>
  <c r="M69" i="8"/>
  <c r="O69" i="8" s="1"/>
  <c r="M70" i="8"/>
  <c r="O70" i="8" s="1"/>
  <c r="M71" i="8"/>
  <c r="O71" i="8" s="1"/>
  <c r="M72" i="8"/>
  <c r="O72" i="8" s="1"/>
  <c r="M73" i="8"/>
  <c r="O73" i="8" s="1"/>
  <c r="M74" i="8"/>
  <c r="O74" i="8" s="1"/>
  <c r="M75" i="8"/>
  <c r="O75" i="8" s="1"/>
  <c r="M76" i="8"/>
  <c r="O76" i="8" s="1"/>
  <c r="M77" i="8"/>
  <c r="O77" i="8" s="1"/>
  <c r="M78" i="8"/>
  <c r="O78" i="8" s="1"/>
  <c r="M79" i="8"/>
  <c r="O79" i="8" s="1"/>
  <c r="M80" i="8"/>
  <c r="O80" i="8" s="1"/>
  <c r="M81" i="8"/>
  <c r="O81" i="8" s="1"/>
  <c r="M82" i="8"/>
  <c r="O82" i="8" s="1"/>
  <c r="M83" i="8"/>
  <c r="O83" i="8" s="1"/>
  <c r="M84" i="8"/>
  <c r="O84" i="8" s="1"/>
  <c r="M85" i="8"/>
  <c r="O85" i="8" s="1"/>
  <c r="M86" i="8"/>
  <c r="O86" i="8" s="1"/>
  <c r="M87" i="8"/>
  <c r="O87" i="8" s="1"/>
  <c r="M88" i="8"/>
  <c r="O88" i="8" s="1"/>
  <c r="M89" i="8"/>
  <c r="O89" i="8" s="1"/>
  <c r="M90" i="8"/>
  <c r="O90" i="8" s="1"/>
  <c r="M91" i="8"/>
  <c r="O91" i="8" s="1"/>
  <c r="M92" i="8"/>
  <c r="O92" i="8" s="1"/>
  <c r="M93" i="8"/>
  <c r="O93" i="8" s="1"/>
  <c r="M94" i="8"/>
  <c r="O94" i="8" s="1"/>
  <c r="M95" i="8"/>
  <c r="O95" i="8" s="1"/>
  <c r="M96" i="8"/>
  <c r="O96" i="8" s="1"/>
  <c r="M97" i="8"/>
  <c r="O97" i="8" s="1"/>
  <c r="M98" i="8"/>
  <c r="O98" i="8" s="1"/>
  <c r="M99" i="8"/>
  <c r="O99" i="8" s="1"/>
  <c r="M100" i="8"/>
  <c r="O100" i="8" s="1"/>
  <c r="M101" i="8"/>
  <c r="O101" i="8" s="1"/>
  <c r="M102" i="8"/>
  <c r="O102" i="8" s="1"/>
  <c r="M103" i="8"/>
  <c r="O103" i="8" s="1"/>
  <c r="M104" i="8"/>
  <c r="O104" i="8" s="1"/>
  <c r="M105" i="8"/>
  <c r="O105" i="8" s="1"/>
  <c r="M106" i="8"/>
  <c r="O106" i="8" s="1"/>
  <c r="M107" i="8"/>
  <c r="O107" i="8" s="1"/>
  <c r="M108" i="8"/>
  <c r="O108" i="8" s="1"/>
  <c r="M109" i="8"/>
  <c r="O109" i="8" s="1"/>
  <c r="M110" i="8"/>
  <c r="O110" i="8" s="1"/>
  <c r="M111" i="8"/>
  <c r="O111" i="8" s="1"/>
  <c r="M112" i="8"/>
  <c r="O112" i="8" s="1"/>
  <c r="M113" i="8"/>
  <c r="O113" i="8" s="1"/>
  <c r="M114" i="8"/>
  <c r="O114" i="8" s="1"/>
  <c r="M115" i="8"/>
  <c r="O115" i="8" s="1"/>
  <c r="M116" i="8"/>
  <c r="O116" i="8" s="1"/>
  <c r="M117" i="8"/>
  <c r="O117" i="8" s="1"/>
  <c r="M118" i="8"/>
  <c r="O118" i="8" s="1"/>
  <c r="M119" i="8"/>
  <c r="O119" i="8" s="1"/>
  <c r="M120" i="8"/>
  <c r="O120" i="8" s="1"/>
  <c r="M121" i="8"/>
  <c r="O121" i="8" s="1"/>
  <c r="M122" i="8"/>
  <c r="O122" i="8" s="1"/>
  <c r="M123" i="8"/>
  <c r="O123" i="8" s="1"/>
  <c r="M124" i="8"/>
  <c r="O124" i="8" s="1"/>
  <c r="M125" i="8"/>
  <c r="O125" i="8" s="1"/>
  <c r="M126" i="8"/>
  <c r="O126" i="8" s="1"/>
  <c r="M127" i="8"/>
  <c r="O127" i="8" s="1"/>
  <c r="M128" i="8"/>
  <c r="O128" i="8" s="1"/>
  <c r="M129" i="8"/>
  <c r="O129" i="8" s="1"/>
  <c r="M130" i="8"/>
  <c r="O130" i="8" s="1"/>
  <c r="M131" i="8"/>
  <c r="O131" i="8" s="1"/>
  <c r="M132" i="8"/>
  <c r="O132" i="8" s="1"/>
  <c r="M133" i="8"/>
  <c r="O133" i="8" s="1"/>
  <c r="M134" i="8"/>
  <c r="O134" i="8" s="1"/>
  <c r="M135" i="8"/>
  <c r="O135" i="8" s="1"/>
  <c r="M136" i="8"/>
  <c r="O136" i="8" s="1"/>
  <c r="M137" i="8"/>
  <c r="O137" i="8" s="1"/>
  <c r="M138" i="8"/>
  <c r="O138" i="8" s="1"/>
  <c r="M139" i="8"/>
  <c r="O139" i="8" s="1"/>
  <c r="M140" i="8"/>
  <c r="O140" i="8" s="1"/>
  <c r="M141" i="8"/>
  <c r="O141" i="8" s="1"/>
  <c r="M142" i="8"/>
  <c r="O142" i="8" s="1"/>
  <c r="M143" i="8"/>
  <c r="O143" i="8" s="1"/>
  <c r="M144" i="8"/>
  <c r="O144" i="8" s="1"/>
  <c r="M145" i="8"/>
  <c r="O145" i="8" s="1"/>
  <c r="M146" i="8"/>
  <c r="O146" i="8" s="1"/>
  <c r="M147" i="8"/>
  <c r="O147" i="8" s="1"/>
  <c r="M148" i="8"/>
  <c r="O148" i="8" s="1"/>
  <c r="M149" i="8"/>
  <c r="O149" i="8" s="1"/>
  <c r="M151" i="8"/>
  <c r="O151" i="8" s="1"/>
  <c r="M152" i="8"/>
  <c r="O152" i="8" s="1"/>
  <c r="M153" i="8"/>
  <c r="O153" i="8" s="1"/>
  <c r="M154" i="8"/>
  <c r="O154" i="8" s="1"/>
  <c r="M155" i="8"/>
  <c r="O155" i="8" s="1"/>
  <c r="M156" i="8"/>
  <c r="O156" i="8" s="1"/>
  <c r="M157" i="8"/>
  <c r="O157" i="8" s="1"/>
  <c r="M159" i="8"/>
  <c r="O159" i="8" s="1"/>
  <c r="M160" i="8"/>
  <c r="O160" i="8" s="1"/>
  <c r="M161" i="8"/>
  <c r="O161" i="8" s="1"/>
  <c r="M162" i="8"/>
  <c r="O162" i="8" s="1"/>
  <c r="M163" i="8"/>
  <c r="O163" i="8" s="1"/>
  <c r="M164" i="8"/>
  <c r="O164" i="8" s="1"/>
  <c r="M165" i="8"/>
  <c r="O165" i="8" s="1"/>
  <c r="M166" i="8"/>
  <c r="O166" i="8" s="1"/>
  <c r="M167" i="8"/>
  <c r="O167" i="8" s="1"/>
  <c r="M168" i="8"/>
  <c r="O168" i="8" s="1"/>
  <c r="M169" i="8"/>
  <c r="O169" i="8" s="1"/>
  <c r="M170" i="8"/>
  <c r="O170" i="8" s="1"/>
  <c r="M171" i="8"/>
  <c r="O171" i="8" s="1"/>
  <c r="M172" i="8"/>
  <c r="O172" i="8" s="1"/>
  <c r="M173" i="8"/>
  <c r="O173" i="8" s="1"/>
  <c r="M174" i="8"/>
  <c r="O174" i="8" s="1"/>
  <c r="M175" i="8"/>
  <c r="O175" i="8" s="1"/>
  <c r="M176" i="8"/>
  <c r="O176" i="8" s="1"/>
  <c r="M177" i="8"/>
  <c r="O177" i="8" s="1"/>
  <c r="M178" i="8"/>
  <c r="O178" i="8" s="1"/>
  <c r="M180" i="8"/>
  <c r="O180" i="8" s="1"/>
  <c r="M181" i="8"/>
  <c r="O181" i="8" s="1"/>
  <c r="M182" i="8"/>
  <c r="O182" i="8" s="1"/>
  <c r="M183" i="8"/>
  <c r="O183" i="8" s="1"/>
  <c r="M184" i="8"/>
  <c r="O184" i="8" s="1"/>
  <c r="M185" i="8"/>
  <c r="O185" i="8" s="1"/>
  <c r="M186" i="8"/>
  <c r="O186" i="8" s="1"/>
  <c r="M187" i="8"/>
  <c r="O187" i="8" s="1"/>
  <c r="M188" i="8"/>
  <c r="O188" i="8" s="1"/>
  <c r="M189" i="8"/>
  <c r="O189" i="8" s="1"/>
  <c r="M190" i="8"/>
  <c r="O190" i="8" s="1"/>
  <c r="M191" i="8"/>
  <c r="O191" i="8" s="1"/>
  <c r="M192" i="8"/>
  <c r="O192" i="8" s="1"/>
  <c r="M193" i="8"/>
  <c r="O193" i="8" s="1"/>
  <c r="M194" i="8"/>
  <c r="O194" i="8" s="1"/>
  <c r="M195" i="8"/>
  <c r="O195" i="8" s="1"/>
  <c r="M196" i="8"/>
  <c r="O196" i="8" s="1"/>
  <c r="M197" i="8"/>
  <c r="O197" i="8" s="1"/>
  <c r="M198" i="8"/>
  <c r="O198" i="8" s="1"/>
  <c r="M199" i="8"/>
  <c r="O199" i="8" s="1"/>
  <c r="M200" i="8"/>
  <c r="O200" i="8" s="1"/>
  <c r="M201" i="8"/>
  <c r="O201" i="8" s="1"/>
  <c r="M202" i="8"/>
  <c r="O202" i="8" s="1"/>
  <c r="M203" i="8"/>
  <c r="O203" i="8" s="1"/>
  <c r="M204" i="8"/>
  <c r="O204" i="8" s="1"/>
  <c r="M205" i="8"/>
  <c r="O205" i="8" s="1"/>
  <c r="M206" i="8"/>
  <c r="O206" i="8" s="1"/>
  <c r="M207" i="8"/>
  <c r="O207" i="8" s="1"/>
  <c r="M208" i="8"/>
  <c r="O208" i="8" s="1"/>
  <c r="M209" i="8"/>
  <c r="O209" i="8" s="1"/>
  <c r="M210" i="8"/>
  <c r="O210" i="8" s="1"/>
  <c r="M211" i="8"/>
  <c r="O211" i="8" s="1"/>
  <c r="M212" i="8"/>
  <c r="O212" i="8" s="1"/>
  <c r="M213" i="8"/>
  <c r="O213" i="8" s="1"/>
  <c r="M214" i="8"/>
  <c r="O214" i="8" s="1"/>
  <c r="M215" i="8"/>
  <c r="O215" i="8" s="1"/>
  <c r="M216" i="8"/>
  <c r="O216" i="8" s="1"/>
  <c r="M217" i="8"/>
  <c r="O217" i="8" s="1"/>
  <c r="M218" i="8"/>
  <c r="O218" i="8" s="1"/>
  <c r="M219" i="8"/>
  <c r="O219" i="8" s="1"/>
  <c r="M220" i="8"/>
  <c r="O220" i="8" s="1"/>
  <c r="M221" i="8"/>
  <c r="O221" i="8" s="1"/>
  <c r="M222" i="8"/>
  <c r="O222" i="8" s="1"/>
  <c r="M223" i="8"/>
  <c r="O223" i="8" s="1"/>
  <c r="M224" i="8"/>
  <c r="O224" i="8" s="1"/>
  <c r="M225" i="8"/>
  <c r="O225" i="8" s="1"/>
  <c r="M226" i="8"/>
  <c r="O226" i="8" s="1"/>
  <c r="M227" i="8"/>
  <c r="O227" i="8" s="1"/>
  <c r="M228" i="8"/>
  <c r="O228" i="8" s="1"/>
  <c r="M229" i="8"/>
  <c r="O229" i="8" s="1"/>
  <c r="M230" i="8"/>
  <c r="O230" i="8" s="1"/>
  <c r="M231" i="8"/>
  <c r="O231" i="8" s="1"/>
  <c r="M232" i="8"/>
  <c r="O232" i="8" s="1"/>
  <c r="M233" i="8"/>
  <c r="O233" i="8" s="1"/>
  <c r="M234" i="8"/>
  <c r="O234" i="8" s="1"/>
  <c r="M235" i="8"/>
  <c r="O235" i="8" s="1"/>
  <c r="M236" i="8"/>
  <c r="O236" i="8" s="1"/>
  <c r="M237" i="8"/>
  <c r="O237" i="8" s="1"/>
  <c r="M238" i="8"/>
  <c r="O238" i="8" s="1"/>
  <c r="M239" i="8"/>
  <c r="O239" i="8" s="1"/>
  <c r="M240" i="8"/>
  <c r="O240" i="8" s="1"/>
  <c r="M241" i="8"/>
  <c r="O241" i="8" s="1"/>
  <c r="M242" i="8"/>
  <c r="O242" i="8" s="1"/>
  <c r="M243" i="8"/>
  <c r="O243" i="8" s="1"/>
  <c r="M244" i="8"/>
  <c r="O244" i="8" s="1"/>
  <c r="M245" i="8"/>
  <c r="O245" i="8" s="1"/>
  <c r="M246" i="8"/>
  <c r="O246" i="8" s="1"/>
  <c r="M247" i="8"/>
  <c r="O247" i="8" s="1"/>
  <c r="M248" i="8"/>
  <c r="O248" i="8" s="1"/>
  <c r="M249" i="8"/>
  <c r="O249" i="8" s="1"/>
  <c r="M250" i="8"/>
  <c r="O250" i="8" s="1"/>
  <c r="M251" i="8"/>
  <c r="O251" i="8" s="1"/>
  <c r="M252" i="8"/>
  <c r="O252" i="8" s="1"/>
  <c r="M253" i="8"/>
  <c r="O253" i="8" s="1"/>
  <c r="M254" i="8"/>
  <c r="O254" i="8" s="1"/>
  <c r="M255" i="8"/>
  <c r="O255" i="8" s="1"/>
  <c r="M256" i="8"/>
  <c r="O256" i="8" s="1"/>
  <c r="M257" i="8"/>
  <c r="O257" i="8" s="1"/>
  <c r="M258" i="8"/>
  <c r="O258" i="8" s="1"/>
  <c r="M259" i="8"/>
  <c r="O259" i="8" s="1"/>
  <c r="M260" i="8"/>
  <c r="O260" i="8" s="1"/>
  <c r="M261" i="8"/>
  <c r="O261" i="8" s="1"/>
  <c r="M262" i="8"/>
  <c r="O262" i="8" s="1"/>
  <c r="M263" i="8"/>
  <c r="O263" i="8" s="1"/>
  <c r="M264" i="8"/>
  <c r="O264" i="8" s="1"/>
  <c r="M265" i="8"/>
  <c r="O265" i="8" s="1"/>
  <c r="M266" i="8"/>
  <c r="O266" i="8" s="1"/>
  <c r="M267" i="8"/>
  <c r="O267" i="8" s="1"/>
  <c r="M268" i="8"/>
  <c r="O268" i="8" s="1"/>
  <c r="M269" i="8"/>
  <c r="O269" i="8" s="1"/>
  <c r="M270" i="8"/>
  <c r="O270" i="8" s="1"/>
  <c r="M271" i="8"/>
  <c r="O271" i="8" s="1"/>
  <c r="M272" i="8"/>
  <c r="O272" i="8" s="1"/>
  <c r="M273" i="8"/>
  <c r="O273" i="8" s="1"/>
  <c r="M274" i="8"/>
  <c r="O274" i="8" s="1"/>
  <c r="M275" i="8"/>
  <c r="O275" i="8" s="1"/>
  <c r="M276" i="8"/>
  <c r="O276" i="8" s="1"/>
  <c r="M277" i="8"/>
  <c r="O277" i="8" s="1"/>
  <c r="M278" i="8"/>
  <c r="O278" i="8" s="1"/>
  <c r="M279" i="8"/>
  <c r="O279" i="8" s="1"/>
  <c r="M280" i="8"/>
  <c r="O280" i="8" s="1"/>
  <c r="M281" i="8"/>
  <c r="O281" i="8" s="1"/>
  <c r="M282" i="8"/>
  <c r="O282" i="8" s="1"/>
  <c r="M283" i="8"/>
  <c r="O283" i="8" s="1"/>
  <c r="M284" i="8"/>
  <c r="O284" i="8" s="1"/>
  <c r="M285" i="8"/>
  <c r="O285" i="8" s="1"/>
  <c r="M287" i="8"/>
  <c r="O287" i="8" s="1"/>
  <c r="M289" i="8"/>
  <c r="O289" i="8" s="1"/>
  <c r="M290" i="8"/>
  <c r="O290" i="8" s="1"/>
  <c r="M291" i="8"/>
  <c r="O291" i="8" s="1"/>
  <c r="M292" i="8"/>
  <c r="O292" i="8" s="1"/>
  <c r="M293" i="8"/>
  <c r="O293" i="8" s="1"/>
  <c r="M294" i="8"/>
  <c r="O294" i="8" s="1"/>
  <c r="M295" i="8"/>
  <c r="O295" i="8" s="1"/>
  <c r="M296" i="8"/>
  <c r="O296" i="8" s="1"/>
  <c r="M297" i="8"/>
  <c r="O297" i="8" s="1"/>
  <c r="M298" i="8"/>
  <c r="O298" i="8" s="1"/>
  <c r="M299" i="8"/>
  <c r="O299" i="8" s="1"/>
  <c r="M300" i="8"/>
  <c r="O300" i="8" s="1"/>
  <c r="M301" i="8"/>
  <c r="O301" i="8" s="1"/>
  <c r="M302" i="8"/>
  <c r="O302" i="8" s="1"/>
  <c r="M303" i="8"/>
  <c r="O303" i="8" s="1"/>
  <c r="M304" i="8"/>
  <c r="O304" i="8" s="1"/>
  <c r="M305" i="8"/>
  <c r="O305" i="8" s="1"/>
  <c r="M306" i="8"/>
  <c r="O306" i="8" s="1"/>
  <c r="M307" i="8"/>
  <c r="O307" i="8" s="1"/>
  <c r="M308" i="8"/>
  <c r="O308" i="8" s="1"/>
  <c r="M309" i="8"/>
  <c r="O309" i="8" s="1"/>
  <c r="M310" i="8"/>
  <c r="O310" i="8" s="1"/>
  <c r="M311" i="8"/>
  <c r="O311" i="8" s="1"/>
  <c r="M312" i="8"/>
  <c r="O312" i="8" s="1"/>
  <c r="M313" i="8"/>
  <c r="O313" i="8" s="1"/>
  <c r="M314" i="8"/>
  <c r="O314" i="8" s="1"/>
  <c r="M315" i="8"/>
  <c r="O315" i="8" s="1"/>
  <c r="M316" i="8"/>
  <c r="O316" i="8" s="1"/>
  <c r="M317" i="8"/>
  <c r="O317" i="8" s="1"/>
  <c r="M318" i="8"/>
  <c r="O318" i="8" s="1"/>
  <c r="M319" i="8"/>
  <c r="O319" i="8" s="1"/>
  <c r="M320" i="8"/>
  <c r="O320" i="8" s="1"/>
  <c r="M321" i="8"/>
  <c r="O321" i="8" s="1"/>
  <c r="M322" i="8"/>
  <c r="O322" i="8" s="1"/>
  <c r="M323" i="8"/>
  <c r="O323" i="8" s="1"/>
  <c r="M324" i="8"/>
  <c r="O324" i="8" s="1"/>
  <c r="M325" i="8"/>
  <c r="O325" i="8" s="1"/>
  <c r="M326" i="8"/>
  <c r="O326" i="8" s="1"/>
  <c r="M327" i="8"/>
  <c r="O327" i="8" s="1"/>
  <c r="M328" i="8"/>
  <c r="O328" i="8" s="1"/>
  <c r="M329" i="8"/>
  <c r="O329" i="8" s="1"/>
  <c r="M330" i="8"/>
  <c r="O330" i="8" s="1"/>
  <c r="M331" i="8"/>
  <c r="O331" i="8" s="1"/>
  <c r="M332" i="8"/>
  <c r="O332" i="8" s="1"/>
  <c r="M333" i="8"/>
  <c r="O333" i="8" s="1"/>
  <c r="M334" i="8"/>
  <c r="O334" i="8" s="1"/>
  <c r="M335" i="8"/>
  <c r="O335" i="8" s="1"/>
  <c r="M336" i="8"/>
  <c r="O336" i="8" s="1"/>
  <c r="M337" i="8"/>
  <c r="O337" i="8" s="1"/>
  <c r="M338" i="8"/>
  <c r="O338" i="8" s="1"/>
  <c r="M339" i="8"/>
  <c r="O339" i="8" s="1"/>
  <c r="M340" i="8"/>
  <c r="O340" i="8" s="1"/>
  <c r="M341" i="8"/>
  <c r="O341" i="8" s="1"/>
  <c r="M342" i="8"/>
  <c r="O342" i="8" s="1"/>
  <c r="M343" i="8"/>
  <c r="O343" i="8" s="1"/>
  <c r="M344" i="8"/>
  <c r="O344" i="8" s="1"/>
  <c r="M345" i="8"/>
  <c r="O345" i="8" s="1"/>
  <c r="M346" i="8"/>
  <c r="O346" i="8" s="1"/>
  <c r="M347" i="8"/>
  <c r="O347" i="8" s="1"/>
  <c r="M348" i="8"/>
  <c r="O348" i="8" s="1"/>
  <c r="M6" i="8"/>
  <c r="O6" i="8" s="1"/>
  <c r="M7" i="8"/>
  <c r="O7" i="8" s="1"/>
  <c r="M8" i="8"/>
  <c r="O8" i="8" s="1"/>
  <c r="M9" i="8"/>
  <c r="O9" i="8" s="1"/>
  <c r="M10" i="8"/>
  <c r="O10" i="8" s="1"/>
  <c r="M5" i="8"/>
  <c r="O5" i="8" s="1"/>
  <c r="M349" i="8" l="1"/>
  <c r="M351" i="8" l="1"/>
  <c r="O349" i="8"/>
  <c r="BY362" i="26"/>
  <c r="BY1" i="26"/>
  <c r="R7" i="19" l="1"/>
  <c r="R8" i="19"/>
  <c r="R9" i="19"/>
  <c r="R10" i="19"/>
  <c r="R11" i="19"/>
  <c r="R12" i="19"/>
  <c r="R13" i="19"/>
  <c r="R14" i="19"/>
  <c r="R15" i="19"/>
  <c r="R16" i="19"/>
  <c r="R17" i="19"/>
  <c r="R18" i="19"/>
  <c r="R19" i="19"/>
  <c r="R20" i="19"/>
  <c r="R389" i="19"/>
  <c r="R22" i="19"/>
  <c r="R365" i="19"/>
  <c r="R24" i="19"/>
  <c r="R25" i="19"/>
  <c r="R26" i="19"/>
  <c r="R27" i="19"/>
  <c r="R28" i="19"/>
  <c r="R29" i="19"/>
  <c r="R30" i="19"/>
  <c r="R31" i="19"/>
  <c r="R32" i="19"/>
  <c r="R385" i="19"/>
  <c r="R34" i="19"/>
  <c r="R35" i="19"/>
  <c r="R36" i="19"/>
  <c r="R37" i="19"/>
  <c r="R38" i="19"/>
  <c r="R39" i="19"/>
  <c r="R40" i="19"/>
  <c r="R41" i="19"/>
  <c r="R42" i="19"/>
  <c r="R43" i="19"/>
  <c r="R44" i="19"/>
  <c r="R45" i="19"/>
  <c r="R46" i="19"/>
  <c r="R47" i="19"/>
  <c r="R48" i="19"/>
  <c r="R49" i="19"/>
  <c r="R50" i="19"/>
  <c r="R51" i="19"/>
  <c r="R52" i="19"/>
  <c r="R374" i="19"/>
  <c r="R54" i="19"/>
  <c r="R55" i="19"/>
  <c r="R56" i="19"/>
  <c r="R57" i="19"/>
  <c r="R58" i="19"/>
  <c r="R59" i="19"/>
  <c r="R60" i="19"/>
  <c r="R61" i="19"/>
  <c r="R62" i="19"/>
  <c r="R63" i="19"/>
  <c r="R64" i="19"/>
  <c r="R65" i="19"/>
  <c r="R66" i="19"/>
  <c r="R375" i="19"/>
  <c r="R68" i="19"/>
  <c r="R69" i="19"/>
  <c r="R70" i="19"/>
  <c r="R71" i="19"/>
  <c r="R72" i="19"/>
  <c r="R73" i="19"/>
  <c r="R74" i="19"/>
  <c r="R75" i="19"/>
  <c r="R366" i="19"/>
  <c r="R77" i="19"/>
  <c r="R78" i="19"/>
  <c r="R79" i="19"/>
  <c r="R80" i="19"/>
  <c r="R81" i="19"/>
  <c r="R82" i="19"/>
  <c r="R83" i="19"/>
  <c r="R84" i="19"/>
  <c r="R85" i="19"/>
  <c r="R86" i="19"/>
  <c r="R87" i="19"/>
  <c r="R88" i="19"/>
  <c r="R89" i="19"/>
  <c r="R90" i="19"/>
  <c r="R91" i="19"/>
  <c r="R92" i="19"/>
  <c r="R93" i="19"/>
  <c r="R94" i="19"/>
  <c r="R95" i="19"/>
  <c r="R96" i="19"/>
  <c r="R97" i="19"/>
  <c r="R98" i="19"/>
  <c r="R99" i="19"/>
  <c r="R100" i="19"/>
  <c r="R101" i="19"/>
  <c r="R102" i="19"/>
  <c r="R103" i="19"/>
  <c r="R104" i="19"/>
  <c r="R105" i="19"/>
  <c r="R106" i="19"/>
  <c r="R107" i="19"/>
  <c r="R108" i="19"/>
  <c r="R109" i="19"/>
  <c r="R110" i="19"/>
  <c r="R111" i="19"/>
  <c r="R112" i="19"/>
  <c r="R113" i="19"/>
  <c r="R114" i="19"/>
  <c r="R115" i="19"/>
  <c r="R376" i="19"/>
  <c r="R117" i="19"/>
  <c r="R118" i="19"/>
  <c r="R119" i="19"/>
  <c r="R120" i="19"/>
  <c r="R121" i="19"/>
  <c r="R122" i="19"/>
  <c r="R123" i="19"/>
  <c r="R124" i="19"/>
  <c r="R125" i="19"/>
  <c r="R126" i="19"/>
  <c r="R127" i="19"/>
  <c r="R128" i="19"/>
  <c r="R129" i="19"/>
  <c r="R130" i="19"/>
  <c r="R131" i="19"/>
  <c r="R132" i="19"/>
  <c r="R381"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370" i="19"/>
  <c r="R168" i="19"/>
  <c r="R169" i="19"/>
  <c r="R382" i="19"/>
  <c r="R171" i="19"/>
  <c r="R172" i="19"/>
  <c r="R173" i="19"/>
  <c r="R174" i="19"/>
  <c r="R175" i="19"/>
  <c r="R176" i="19"/>
  <c r="R177" i="19"/>
  <c r="R178" i="19"/>
  <c r="R179" i="19"/>
  <c r="R180" i="19"/>
  <c r="R181" i="19"/>
  <c r="R182" i="19"/>
  <c r="R183" i="19"/>
  <c r="R184" i="19"/>
  <c r="R367" i="19"/>
  <c r="R186" i="19"/>
  <c r="R187" i="19"/>
  <c r="R188" i="19"/>
  <c r="R189" i="19"/>
  <c r="R190" i="19"/>
  <c r="R191" i="19"/>
  <c r="R192" i="19"/>
  <c r="R193" i="19"/>
  <c r="R194" i="19"/>
  <c r="R195" i="19"/>
  <c r="R196" i="19"/>
  <c r="R197" i="19"/>
  <c r="R198" i="19"/>
  <c r="R377"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386" i="19"/>
  <c r="R243" i="19"/>
  <c r="R244" i="19"/>
  <c r="R245" i="19"/>
  <c r="R246" i="19"/>
  <c r="R247" i="19"/>
  <c r="R248" i="19"/>
  <c r="R249" i="19"/>
  <c r="R250" i="19"/>
  <c r="R251" i="19"/>
  <c r="R252" i="19"/>
  <c r="R253" i="19"/>
  <c r="R254" i="19"/>
  <c r="R255" i="19"/>
  <c r="R256" i="19"/>
  <c r="R257" i="19"/>
  <c r="R258" i="19"/>
  <c r="R259" i="19"/>
  <c r="R260" i="19"/>
  <c r="R261" i="19"/>
  <c r="R262" i="19"/>
  <c r="R263" i="19"/>
  <c r="R264" i="19"/>
  <c r="R265" i="19"/>
  <c r="R266" i="19"/>
  <c r="R267" i="19"/>
  <c r="R378" i="19"/>
  <c r="R269" i="19"/>
  <c r="R270" i="19"/>
  <c r="R271" i="19"/>
  <c r="R272" i="19"/>
  <c r="R273" i="19"/>
  <c r="R274" i="19"/>
  <c r="R275" i="19"/>
  <c r="R276" i="19"/>
  <c r="R277" i="19"/>
  <c r="R278" i="19"/>
  <c r="R279" i="19"/>
  <c r="R280" i="19"/>
  <c r="R281" i="19"/>
  <c r="R282" i="19"/>
  <c r="R283" i="19"/>
  <c r="R284" i="19"/>
  <c r="R285" i="19"/>
  <c r="R286" i="19"/>
  <c r="R287" i="19"/>
  <c r="R288" i="19"/>
  <c r="R289" i="19"/>
  <c r="R290" i="19"/>
  <c r="R291" i="19"/>
  <c r="R292" i="19"/>
  <c r="R293" i="19"/>
  <c r="R294" i="19"/>
  <c r="R295" i="19"/>
  <c r="R371" i="19"/>
  <c r="R297" i="19"/>
  <c r="R298" i="19"/>
  <c r="R299" i="19"/>
  <c r="R300" i="19"/>
  <c r="R301" i="19"/>
  <c r="R302" i="19"/>
  <c r="R303" i="19"/>
  <c r="R304" i="19"/>
  <c r="R305" i="19"/>
  <c r="R306" i="19"/>
  <c r="R307" i="19"/>
  <c r="R308" i="19"/>
  <c r="R309" i="19"/>
  <c r="R310" i="19"/>
  <c r="R311" i="19"/>
  <c r="R312" i="19"/>
  <c r="R313" i="19"/>
  <c r="R314" i="19"/>
  <c r="R315" i="19"/>
  <c r="R316" i="19"/>
  <c r="R317" i="19"/>
  <c r="R318" i="19"/>
  <c r="R319" i="19"/>
  <c r="R320" i="19"/>
  <c r="R321" i="19"/>
  <c r="R322" i="19"/>
  <c r="R323" i="19"/>
  <c r="R324" i="19"/>
  <c r="R325" i="19"/>
  <c r="R326" i="19"/>
  <c r="R327" i="19"/>
  <c r="R390" i="19"/>
  <c r="R329" i="19"/>
  <c r="R330" i="19"/>
  <c r="R331" i="19"/>
  <c r="R332" i="19"/>
  <c r="R333" i="19"/>
  <c r="R334" i="19"/>
  <c r="R335" i="19"/>
  <c r="R336" i="19"/>
  <c r="R337" i="19"/>
  <c r="R338" i="19"/>
  <c r="R339" i="19"/>
  <c r="R340" i="19"/>
  <c r="R341" i="19"/>
  <c r="R342" i="19"/>
  <c r="R343" i="19"/>
  <c r="R344" i="19"/>
  <c r="R345" i="19"/>
  <c r="R346" i="19"/>
  <c r="R347" i="19"/>
  <c r="R348" i="19"/>
  <c r="R349" i="19"/>
  <c r="R350" i="19"/>
  <c r="R351" i="19"/>
  <c r="R352" i="19"/>
  <c r="R353" i="19"/>
  <c r="R354" i="19"/>
  <c r="R355" i="19"/>
  <c r="R356" i="19"/>
  <c r="R357" i="19"/>
  <c r="R358" i="19"/>
  <c r="R359" i="19"/>
  <c r="R360" i="19"/>
  <c r="R6" i="19"/>
  <c r="F236" i="12"/>
  <c r="G219" i="12"/>
  <c r="E148" i="12"/>
  <c r="E141" i="12"/>
  <c r="E131" i="12"/>
  <c r="E100" i="12"/>
  <c r="F95" i="12"/>
  <c r="E94" i="12"/>
  <c r="E85" i="12"/>
  <c r="E84" i="12"/>
  <c r="E72" i="12"/>
  <c r="E69" i="12"/>
  <c r="E61" i="12"/>
  <c r="E57" i="12"/>
  <c r="E50" i="12"/>
  <c r="E49" i="12"/>
  <c r="E46" i="12"/>
  <c r="E39" i="12"/>
  <c r="G38" i="12"/>
  <c r="F33" i="12"/>
  <c r="E33" i="12"/>
  <c r="G32" i="12"/>
  <c r="E30" i="12"/>
  <c r="G29" i="12"/>
  <c r="G26" i="12"/>
  <c r="H24" i="12"/>
  <c r="E19" i="12"/>
  <c r="G18" i="12"/>
  <c r="G14" i="12"/>
  <c r="E14" i="12"/>
  <c r="I28" i="12"/>
  <c r="H35" i="12"/>
  <c r="G28" i="12"/>
  <c r="F93" i="12"/>
  <c r="E102" i="12"/>
  <c r="D10" i="12"/>
  <c r="H241" i="11"/>
  <c r="G234" i="11"/>
  <c r="H205" i="11"/>
  <c r="I189" i="11"/>
  <c r="E171" i="11"/>
  <c r="J169" i="11"/>
  <c r="H164" i="11"/>
  <c r="H132" i="11"/>
  <c r="I131" i="11"/>
  <c r="I123" i="11"/>
  <c r="I117" i="11"/>
  <c r="E101" i="11"/>
  <c r="G100" i="11"/>
  <c r="I98" i="11"/>
  <c r="I89" i="11"/>
  <c r="E88" i="11"/>
  <c r="I86" i="11"/>
  <c r="E79" i="11"/>
  <c r="E76" i="11"/>
  <c r="I75" i="11"/>
  <c r="H74" i="11"/>
  <c r="H73" i="11"/>
  <c r="E68" i="11"/>
  <c r="E67" i="11"/>
  <c r="J66" i="11"/>
  <c r="I65" i="11"/>
  <c r="I62" i="11"/>
  <c r="I59" i="11"/>
  <c r="I58" i="11"/>
  <c r="H58" i="11"/>
  <c r="H54" i="11"/>
  <c r="I49" i="11"/>
  <c r="E49" i="11"/>
  <c r="I46" i="11"/>
  <c r="I45" i="11"/>
  <c r="H42" i="11"/>
  <c r="H41" i="11"/>
  <c r="I39" i="11"/>
  <c r="I33" i="11"/>
  <c r="E33" i="11"/>
  <c r="I31" i="11"/>
  <c r="H31" i="11"/>
  <c r="H29" i="11"/>
  <c r="H27" i="11"/>
  <c r="H25" i="11"/>
  <c r="I23" i="11"/>
  <c r="H23" i="11"/>
  <c r="J20" i="11"/>
  <c r="I19" i="11"/>
  <c r="H19" i="11"/>
  <c r="H17" i="11"/>
  <c r="H13" i="11"/>
  <c r="E13" i="11"/>
  <c r="J12" i="11"/>
  <c r="I11" i="11"/>
  <c r="H11" i="11"/>
  <c r="J219" i="11"/>
  <c r="I181" i="11"/>
  <c r="H188" i="11"/>
  <c r="G134" i="11"/>
  <c r="F135" i="11"/>
  <c r="E177" i="11"/>
  <c r="D10" i="11"/>
  <c r="F9" i="11"/>
  <c r="G9" i="11" s="1"/>
  <c r="H9" i="11" s="1"/>
  <c r="I9" i="11" s="1"/>
  <c r="J9" i="11" s="1"/>
  <c r="H15" i="11" l="1"/>
  <c r="E21" i="11"/>
  <c r="I27" i="11"/>
  <c r="J34" i="11"/>
  <c r="I43" i="11"/>
  <c r="E52" i="11"/>
  <c r="E61" i="11"/>
  <c r="E71" i="11"/>
  <c r="I79" i="11"/>
  <c r="I91" i="11"/>
  <c r="E104" i="11"/>
  <c r="I141" i="11"/>
  <c r="E179" i="11"/>
  <c r="J335" i="11"/>
  <c r="E11" i="12"/>
  <c r="G16" i="12"/>
  <c r="F19" i="12"/>
  <c r="F25" i="12"/>
  <c r="I30" i="12"/>
  <c r="E34" i="12"/>
  <c r="G39" i="12"/>
  <c r="F52" i="12"/>
  <c r="I62" i="12"/>
  <c r="I76" i="12"/>
  <c r="E86" i="12"/>
  <c r="E103" i="12"/>
  <c r="E156" i="12"/>
  <c r="F249" i="12"/>
  <c r="I15" i="11"/>
  <c r="H21" i="11"/>
  <c r="J28" i="11"/>
  <c r="E35" i="11"/>
  <c r="H45" i="11"/>
  <c r="G54" i="11"/>
  <c r="H61" i="11"/>
  <c r="I71" i="11"/>
  <c r="E81" i="11"/>
  <c r="G93" i="11"/>
  <c r="I107" i="11"/>
  <c r="G150" i="11"/>
  <c r="H180" i="11"/>
  <c r="F11" i="12"/>
  <c r="I16" i="12"/>
  <c r="G19" i="12"/>
  <c r="G25" i="12"/>
  <c r="E31" i="12"/>
  <c r="G36" i="12"/>
  <c r="I39" i="12"/>
  <c r="I52" i="12"/>
  <c r="E63" i="12"/>
  <c r="E77" i="12"/>
  <c r="E87" i="12"/>
  <c r="F106" i="12"/>
  <c r="E163" i="12"/>
  <c r="J16" i="11"/>
  <c r="E29" i="11"/>
  <c r="E36" i="11"/>
  <c r="G73" i="11"/>
  <c r="I82" i="11"/>
  <c r="I93" i="11"/>
  <c r="E113" i="11"/>
  <c r="I155" i="11"/>
  <c r="E13" i="12"/>
  <c r="E17" i="12"/>
  <c r="E20" i="12"/>
  <c r="E26" i="12"/>
  <c r="G31" i="12"/>
  <c r="F37" i="12"/>
  <c r="E44" i="12"/>
  <c r="I53" i="12"/>
  <c r="E68" i="12"/>
  <c r="F78" i="12"/>
  <c r="E88" i="12"/>
  <c r="I106" i="12"/>
  <c r="I174" i="12"/>
  <c r="I18" i="12"/>
  <c r="I49" i="12"/>
  <c r="G60" i="11"/>
  <c r="I24" i="12"/>
  <c r="I74" i="12"/>
  <c r="E17" i="11"/>
  <c r="E39" i="11"/>
  <c r="E55" i="11"/>
  <c r="E83" i="11"/>
  <c r="E95" i="11"/>
  <c r="G160" i="11"/>
  <c r="F13" i="12"/>
  <c r="H17" i="12"/>
  <c r="I21" i="12"/>
  <c r="I31" i="12"/>
  <c r="H37" i="12"/>
  <c r="F54" i="12"/>
  <c r="F79" i="12"/>
  <c r="I90" i="12"/>
  <c r="F109" i="12"/>
  <c r="I177" i="12"/>
  <c r="I59" i="12"/>
  <c r="I85" i="12"/>
  <c r="E65" i="11"/>
  <c r="J24" i="11"/>
  <c r="J47" i="11"/>
  <c r="G86" i="11"/>
  <c r="E97" i="11"/>
  <c r="J121" i="11"/>
  <c r="E161" i="11"/>
  <c r="J203" i="11"/>
  <c r="G13" i="12"/>
  <c r="I17" i="12"/>
  <c r="F23" i="12"/>
  <c r="E27" i="12"/>
  <c r="E32" i="12"/>
  <c r="I37" i="12"/>
  <c r="H47" i="12"/>
  <c r="I55" i="12"/>
  <c r="E70" i="12"/>
  <c r="I81" i="12"/>
  <c r="I92" i="12"/>
  <c r="E119" i="12"/>
  <c r="F186" i="12"/>
  <c r="I38" i="12"/>
  <c r="E25" i="11"/>
  <c r="G41" i="11"/>
  <c r="E48" i="11"/>
  <c r="I13" i="12"/>
  <c r="I23" i="12"/>
  <c r="F71" i="12"/>
  <c r="F202" i="12"/>
  <c r="J365" i="12"/>
  <c r="J363" i="12"/>
  <c r="J361" i="12"/>
  <c r="J359" i="12"/>
  <c r="J357" i="12"/>
  <c r="J355" i="12"/>
  <c r="J353" i="12"/>
  <c r="J351" i="12"/>
  <c r="J349" i="12"/>
  <c r="J347" i="12"/>
  <c r="J345" i="12"/>
  <c r="J343" i="12"/>
  <c r="J341" i="12"/>
  <c r="J339" i="12"/>
  <c r="J337" i="12"/>
  <c r="J335" i="12"/>
  <c r="J333" i="12"/>
  <c r="J331" i="12"/>
  <c r="J329" i="12"/>
  <c r="J327" i="12"/>
  <c r="J325" i="12"/>
  <c r="J323" i="12"/>
  <c r="J321" i="12"/>
  <c r="J319" i="12"/>
  <c r="J317" i="12"/>
  <c r="J315" i="12"/>
  <c r="J313" i="12"/>
  <c r="J311" i="12"/>
  <c r="J309" i="12"/>
  <c r="J362" i="12"/>
  <c r="J358" i="12"/>
  <c r="J354" i="12"/>
  <c r="J350" i="12"/>
  <c r="J346" i="12"/>
  <c r="J342" i="12"/>
  <c r="J338" i="12"/>
  <c r="J334" i="12"/>
  <c r="J330" i="12"/>
  <c r="J326" i="12"/>
  <c r="J322" i="12"/>
  <c r="J318" i="12"/>
  <c r="J314" i="12"/>
  <c r="J310" i="12"/>
  <c r="J356" i="12"/>
  <c r="J324" i="12"/>
  <c r="J294" i="12"/>
  <c r="J293" i="12"/>
  <c r="J279" i="12"/>
  <c r="J277" i="12"/>
  <c r="J275" i="12"/>
  <c r="J273" i="12"/>
  <c r="J271" i="12"/>
  <c r="J269" i="12"/>
  <c r="J267" i="12"/>
  <c r="J265" i="12"/>
  <c r="J263" i="12"/>
  <c r="J261" i="12"/>
  <c r="J259" i="12"/>
  <c r="J257" i="12"/>
  <c r="J255" i="12"/>
  <c r="J360" i="12"/>
  <c r="J328" i="12"/>
  <c r="J296" i="12"/>
  <c r="J295" i="12"/>
  <c r="J340" i="12"/>
  <c r="J302" i="12"/>
  <c r="J301" i="12"/>
  <c r="J286" i="12"/>
  <c r="J285" i="12"/>
  <c r="J280" i="12"/>
  <c r="J278" i="12"/>
  <c r="J276" i="12"/>
  <c r="J274" i="12"/>
  <c r="J272" i="12"/>
  <c r="J270" i="12"/>
  <c r="J268" i="12"/>
  <c r="J266" i="12"/>
  <c r="J264" i="12"/>
  <c r="J348" i="12"/>
  <c r="J308" i="12"/>
  <c r="J344" i="12"/>
  <c r="J306" i="12"/>
  <c r="J364" i="12"/>
  <c r="J320" i="12"/>
  <c r="J304" i="12"/>
  <c r="J299" i="12"/>
  <c r="J287" i="12"/>
  <c r="J316" i="12"/>
  <c r="J297" i="12"/>
  <c r="J292" i="12"/>
  <c r="J305" i="12"/>
  <c r="J298" i="12"/>
  <c r="J281" i="12"/>
  <c r="J262" i="12"/>
  <c r="J254" i="12"/>
  <c r="J336" i="12"/>
  <c r="J244" i="12"/>
  <c r="J243" i="12"/>
  <c r="J228" i="12"/>
  <c r="J227" i="12"/>
  <c r="J212" i="12"/>
  <c r="J211" i="12"/>
  <c r="J284" i="12"/>
  <c r="J256" i="12"/>
  <c r="J246" i="12"/>
  <c r="J245" i="12"/>
  <c r="J230" i="12"/>
  <c r="J229" i="12"/>
  <c r="J214" i="12"/>
  <c r="J213" i="12"/>
  <c r="J300" i="12"/>
  <c r="J248" i="12"/>
  <c r="J247" i="12"/>
  <c r="J232" i="12"/>
  <c r="J231" i="12"/>
  <c r="J216" i="12"/>
  <c r="J215" i="12"/>
  <c r="J200" i="12"/>
  <c r="J199" i="12"/>
  <c r="J184" i="12"/>
  <c r="J352" i="12"/>
  <c r="J303" i="12"/>
  <c r="J289" i="12"/>
  <c r="J240" i="12"/>
  <c r="J239" i="12"/>
  <c r="J224" i="12"/>
  <c r="J223" i="12"/>
  <c r="J307" i="12"/>
  <c r="J291" i="12"/>
  <c r="J283" i="12"/>
  <c r="J250" i="12"/>
  <c r="J233" i="12"/>
  <c r="J210" i="12"/>
  <c r="J203" i="12"/>
  <c r="J197" i="12"/>
  <c r="J192" i="12"/>
  <c r="J290" i="12"/>
  <c r="J252" i="12"/>
  <c r="J235" i="12"/>
  <c r="J220" i="12"/>
  <c r="J218" i="12"/>
  <c r="J208" i="12"/>
  <c r="J201" i="12"/>
  <c r="J198" i="12"/>
  <c r="J187" i="12"/>
  <c r="J180" i="12"/>
  <c r="J178" i="12"/>
  <c r="J176" i="12"/>
  <c r="J174" i="12"/>
  <c r="J172" i="12"/>
  <c r="J170" i="12"/>
  <c r="J168" i="12"/>
  <c r="J166" i="12"/>
  <c r="J164" i="12"/>
  <c r="J162" i="12"/>
  <c r="J160" i="12"/>
  <c r="J158" i="12"/>
  <c r="J156" i="12"/>
  <c r="J154" i="12"/>
  <c r="J152" i="12"/>
  <c r="J150" i="12"/>
  <c r="J148" i="12"/>
  <c r="J146" i="12"/>
  <c r="J144" i="12"/>
  <c r="J142" i="12"/>
  <c r="J140" i="12"/>
  <c r="J138" i="12"/>
  <c r="J136" i="12"/>
  <c r="J134" i="12"/>
  <c r="J132" i="12"/>
  <c r="J130" i="12"/>
  <c r="J128" i="12"/>
  <c r="J126" i="12"/>
  <c r="J124" i="12"/>
  <c r="J258" i="12"/>
  <c r="J249" i="12"/>
  <c r="J234" i="12"/>
  <c r="J202" i="12"/>
  <c r="J189" i="12"/>
  <c r="J183" i="12"/>
  <c r="J312" i="12"/>
  <c r="J251" i="12"/>
  <c r="J241" i="12"/>
  <c r="J177" i="12"/>
  <c r="J161" i="12"/>
  <c r="J145" i="12"/>
  <c r="J129" i="12"/>
  <c r="J196" i="12"/>
  <c r="J194" i="12"/>
  <c r="J190" i="12"/>
  <c r="J188" i="12"/>
  <c r="J181" i="12"/>
  <c r="J165" i="12"/>
  <c r="J149" i="12"/>
  <c r="J133" i="12"/>
  <c r="J117" i="12"/>
  <c r="J109" i="12"/>
  <c r="J236" i="12"/>
  <c r="J226" i="12"/>
  <c r="J219" i="12"/>
  <c r="J186" i="12"/>
  <c r="J167" i="12"/>
  <c r="J151" i="12"/>
  <c r="J135" i="12"/>
  <c r="J116" i="12"/>
  <c r="J108" i="12"/>
  <c r="J332" i="12"/>
  <c r="J260" i="12"/>
  <c r="J242" i="12"/>
  <c r="J207" i="12"/>
  <c r="J195" i="12"/>
  <c r="J153" i="12"/>
  <c r="J143" i="12"/>
  <c r="J131" i="12"/>
  <c r="J122" i="12"/>
  <c r="J222" i="12"/>
  <c r="J209" i="12"/>
  <c r="J171" i="12"/>
  <c r="J127" i="12"/>
  <c r="J118" i="12"/>
  <c r="J112" i="12"/>
  <c r="J106" i="12"/>
  <c r="J282" i="12"/>
  <c r="J225" i="12"/>
  <c r="J206" i="12"/>
  <c r="J137" i="12"/>
  <c r="J103" i="12"/>
  <c r="J95" i="12"/>
  <c r="J87" i="12"/>
  <c r="J79" i="12"/>
  <c r="J71" i="12"/>
  <c r="J63" i="12"/>
  <c r="J55" i="12"/>
  <c r="J47" i="12"/>
  <c r="J39" i="12"/>
  <c r="J37" i="12"/>
  <c r="J35" i="12"/>
  <c r="J33" i="12"/>
  <c r="J31" i="12"/>
  <c r="J29" i="12"/>
  <c r="J27" i="12"/>
  <c r="J25" i="12"/>
  <c r="J23" i="12"/>
  <c r="J21" i="12"/>
  <c r="J19" i="12"/>
  <c r="J17" i="12"/>
  <c r="J15" i="12"/>
  <c r="J13" i="12"/>
  <c r="J11" i="12"/>
  <c r="J253" i="12"/>
  <c r="J217" i="12"/>
  <c r="J155" i="12"/>
  <c r="J139" i="12"/>
  <c r="J119" i="12"/>
  <c r="J105" i="12"/>
  <c r="J102" i="12"/>
  <c r="J94" i="12"/>
  <c r="J86" i="12"/>
  <c r="J78" i="12"/>
  <c r="J70" i="12"/>
  <c r="J62" i="12"/>
  <c r="J238" i="12"/>
  <c r="J205" i="12"/>
  <c r="J191" i="12"/>
  <c r="J182" i="12"/>
  <c r="J173" i="12"/>
  <c r="J157" i="12"/>
  <c r="J141" i="12"/>
  <c r="J114" i="12"/>
  <c r="J111" i="12"/>
  <c r="J101" i="12"/>
  <c r="J93" i="12"/>
  <c r="J85" i="12"/>
  <c r="J77" i="12"/>
  <c r="J69" i="12"/>
  <c r="J123" i="12"/>
  <c r="J113" i="12"/>
  <c r="J185" i="12"/>
  <c r="J169" i="12"/>
  <c r="J147" i="12"/>
  <c r="J120" i="12"/>
  <c r="J110" i="12"/>
  <c r="J107" i="12"/>
  <c r="J89" i="12"/>
  <c r="J76" i="12"/>
  <c r="J72" i="12"/>
  <c r="J54" i="12"/>
  <c r="J53" i="12"/>
  <c r="J52" i="12"/>
  <c r="J51" i="12"/>
  <c r="J50" i="12"/>
  <c r="J49" i="12"/>
  <c r="J48" i="12"/>
  <c r="J32" i="12"/>
  <c r="J16" i="12"/>
  <c r="J288" i="12"/>
  <c r="J204" i="12"/>
  <c r="J179" i="12"/>
  <c r="J175" i="12"/>
  <c r="J125" i="12"/>
  <c r="J237" i="12"/>
  <c r="J90" i="12"/>
  <c r="J73" i="12"/>
  <c r="J56" i="12"/>
  <c r="J221" i="12"/>
  <c r="J163" i="12"/>
  <c r="J159" i="12"/>
  <c r="J104" i="12"/>
  <c r="J91" i="12"/>
  <c r="J74" i="12"/>
  <c r="J58" i="12"/>
  <c r="J12" i="12"/>
  <c r="J22" i="12"/>
  <c r="J36" i="12"/>
  <c r="H12" i="12"/>
  <c r="H15" i="12"/>
  <c r="H22" i="12"/>
  <c r="H364" i="12"/>
  <c r="H362" i="12"/>
  <c r="H360" i="12"/>
  <c r="H358" i="12"/>
  <c r="H356" i="12"/>
  <c r="H354" i="12"/>
  <c r="H352" i="12"/>
  <c r="H350" i="12"/>
  <c r="H348" i="12"/>
  <c r="H346" i="12"/>
  <c r="H344" i="12"/>
  <c r="H342" i="12"/>
  <c r="H340" i="12"/>
  <c r="H338" i="12"/>
  <c r="H336" i="12"/>
  <c r="H334" i="12"/>
  <c r="H332" i="12"/>
  <c r="H330" i="12"/>
  <c r="H328" i="12"/>
  <c r="H326" i="12"/>
  <c r="H324" i="12"/>
  <c r="H322" i="12"/>
  <c r="H320" i="12"/>
  <c r="H318" i="12"/>
  <c r="H316" i="12"/>
  <c r="H314" i="12"/>
  <c r="H312" i="12"/>
  <c r="H310" i="12"/>
  <c r="H365" i="12"/>
  <c r="H361" i="12"/>
  <c r="H357" i="12"/>
  <c r="H353" i="12"/>
  <c r="H349" i="12"/>
  <c r="H345" i="12"/>
  <c r="H341" i="12"/>
  <c r="H337" i="12"/>
  <c r="H333" i="12"/>
  <c r="H329" i="12"/>
  <c r="H325" i="12"/>
  <c r="H321" i="12"/>
  <c r="H317" i="12"/>
  <c r="H313" i="12"/>
  <c r="H309" i="12"/>
  <c r="H307" i="12"/>
  <c r="H305" i="12"/>
  <c r="H303" i="12"/>
  <c r="H301" i="12"/>
  <c r="H299" i="12"/>
  <c r="H297" i="12"/>
  <c r="H295" i="12"/>
  <c r="H293" i="12"/>
  <c r="H291" i="12"/>
  <c r="H289" i="12"/>
  <c r="H287" i="12"/>
  <c r="H285" i="12"/>
  <c r="H283" i="12"/>
  <c r="H281" i="12"/>
  <c r="H363" i="12"/>
  <c r="H359" i="12"/>
  <c r="H355" i="12"/>
  <c r="H351" i="12"/>
  <c r="H347" i="12"/>
  <c r="H343" i="12"/>
  <c r="H339" i="12"/>
  <c r="H335" i="12"/>
  <c r="H331" i="12"/>
  <c r="H327" i="12"/>
  <c r="H323" i="12"/>
  <c r="H319" i="12"/>
  <c r="H315" i="12"/>
  <c r="H311" i="12"/>
  <c r="H308" i="12"/>
  <c r="H306" i="12"/>
  <c r="H304" i="12"/>
  <c r="H302" i="12"/>
  <c r="H300" i="12"/>
  <c r="H298" i="12"/>
  <c r="H296" i="12"/>
  <c r="H294" i="12"/>
  <c r="H292" i="12"/>
  <c r="H290" i="12"/>
  <c r="H288" i="12"/>
  <c r="H286" i="12"/>
  <c r="H284" i="12"/>
  <c r="H282" i="12"/>
  <c r="H273" i="12"/>
  <c r="H272" i="12"/>
  <c r="H260" i="12"/>
  <c r="H275" i="12"/>
  <c r="H274" i="12"/>
  <c r="H259" i="12"/>
  <c r="H256" i="12"/>
  <c r="H253" i="12"/>
  <c r="H251" i="12"/>
  <c r="H249" i="12"/>
  <c r="H247" i="12"/>
  <c r="H245" i="12"/>
  <c r="H243" i="12"/>
  <c r="H241" i="12"/>
  <c r="H239" i="12"/>
  <c r="H237" i="12"/>
  <c r="H235" i="12"/>
  <c r="H233" i="12"/>
  <c r="H231" i="12"/>
  <c r="H229" i="12"/>
  <c r="H227" i="12"/>
  <c r="H225" i="12"/>
  <c r="H223" i="12"/>
  <c r="H221" i="12"/>
  <c r="H219" i="12"/>
  <c r="H217" i="12"/>
  <c r="H215" i="12"/>
  <c r="H213" i="12"/>
  <c r="H211" i="12"/>
  <c r="H209" i="12"/>
  <c r="H207" i="12"/>
  <c r="H205" i="12"/>
  <c r="H203" i="12"/>
  <c r="H201" i="12"/>
  <c r="H199" i="12"/>
  <c r="H197" i="12"/>
  <c r="H195" i="12"/>
  <c r="H193" i="12"/>
  <c r="H191" i="12"/>
  <c r="H189" i="12"/>
  <c r="H187" i="12"/>
  <c r="H185" i="12"/>
  <c r="H183" i="12"/>
  <c r="H280" i="12"/>
  <c r="H265" i="12"/>
  <c r="H264" i="12"/>
  <c r="H263" i="12"/>
  <c r="H258" i="12"/>
  <c r="H278" i="12"/>
  <c r="H266" i="12"/>
  <c r="H255" i="12"/>
  <c r="H242" i="12"/>
  <c r="H226" i="12"/>
  <c r="H210" i="12"/>
  <c r="H276" i="12"/>
  <c r="H271" i="12"/>
  <c r="H244" i="12"/>
  <c r="H228" i="12"/>
  <c r="H212" i="12"/>
  <c r="H269" i="12"/>
  <c r="H261" i="12"/>
  <c r="H246" i="12"/>
  <c r="H230" i="12"/>
  <c r="H214" i="12"/>
  <c r="H198" i="12"/>
  <c r="H279" i="12"/>
  <c r="H270" i="12"/>
  <c r="H238" i="12"/>
  <c r="H222" i="12"/>
  <c r="H257" i="12"/>
  <c r="H248" i="12"/>
  <c r="H186" i="12"/>
  <c r="H277" i="12"/>
  <c r="H250" i="12"/>
  <c r="H192" i="12"/>
  <c r="H267" i="12"/>
  <c r="H232" i="12"/>
  <c r="H204" i="12"/>
  <c r="H194" i="12"/>
  <c r="H234" i="12"/>
  <c r="H224" i="12"/>
  <c r="H174" i="12"/>
  <c r="H173" i="12"/>
  <c r="H158" i="12"/>
  <c r="H157" i="12"/>
  <c r="H142" i="12"/>
  <c r="H141" i="12"/>
  <c r="H262" i="12"/>
  <c r="H254" i="12"/>
  <c r="H206" i="12"/>
  <c r="H178" i="12"/>
  <c r="H177" i="12"/>
  <c r="H162" i="12"/>
  <c r="H161" i="12"/>
  <c r="H146" i="12"/>
  <c r="H145" i="12"/>
  <c r="H130" i="12"/>
  <c r="H129" i="12"/>
  <c r="H119" i="12"/>
  <c r="H111" i="12"/>
  <c r="H105" i="12"/>
  <c r="H240" i="12"/>
  <c r="H200" i="12"/>
  <c r="H196" i="12"/>
  <c r="H190" i="12"/>
  <c r="H188" i="12"/>
  <c r="H184" i="12"/>
  <c r="H180" i="12"/>
  <c r="H179" i="12"/>
  <c r="H164" i="12"/>
  <c r="H163" i="12"/>
  <c r="H148" i="12"/>
  <c r="H147" i="12"/>
  <c r="H132" i="12"/>
  <c r="H131" i="12"/>
  <c r="H118" i="12"/>
  <c r="H110" i="12"/>
  <c r="H268" i="12"/>
  <c r="H236" i="12"/>
  <c r="H220" i="12"/>
  <c r="H202" i="12"/>
  <c r="H167" i="12"/>
  <c r="H138" i="12"/>
  <c r="H128" i="12"/>
  <c r="H120" i="12"/>
  <c r="H114" i="12"/>
  <c r="H108" i="12"/>
  <c r="H166" i="12"/>
  <c r="H156" i="12"/>
  <c r="H149" i="12"/>
  <c r="H144" i="12"/>
  <c r="H139" i="12"/>
  <c r="H123" i="12"/>
  <c r="H218" i="12"/>
  <c r="H176" i="12"/>
  <c r="H160" i="12"/>
  <c r="H151" i="12"/>
  <c r="H135" i="12"/>
  <c r="H121" i="12"/>
  <c r="H97" i="12"/>
  <c r="H89" i="12"/>
  <c r="H81" i="12"/>
  <c r="H73" i="12"/>
  <c r="H65" i="12"/>
  <c r="H57" i="12"/>
  <c r="H49" i="12"/>
  <c r="H41" i="12"/>
  <c r="H169" i="12"/>
  <c r="H153" i="12"/>
  <c r="H137" i="12"/>
  <c r="H116" i="12"/>
  <c r="H113" i="12"/>
  <c r="H104" i="12"/>
  <c r="H96" i="12"/>
  <c r="H88" i="12"/>
  <c r="H80" i="12"/>
  <c r="H72" i="12"/>
  <c r="H64" i="12"/>
  <c r="H56" i="12"/>
  <c r="H252" i="12"/>
  <c r="H216" i="12"/>
  <c r="H171" i="12"/>
  <c r="H155" i="12"/>
  <c r="H126" i="12"/>
  <c r="H124" i="12"/>
  <c r="H103" i="12"/>
  <c r="H95" i="12"/>
  <c r="H87" i="12"/>
  <c r="H79" i="12"/>
  <c r="H71" i="12"/>
  <c r="H208" i="12"/>
  <c r="H136" i="12"/>
  <c r="H133" i="12"/>
  <c r="H165" i="12"/>
  <c r="H154" i="12"/>
  <c r="H150" i="12"/>
  <c r="H143" i="12"/>
  <c r="H140" i="12"/>
  <c r="H115" i="12"/>
  <c r="H92" i="12"/>
  <c r="H75" i="12"/>
  <c r="H60" i="12"/>
  <c r="H40" i="12"/>
  <c r="H39" i="12"/>
  <c r="H36" i="12"/>
  <c r="H23" i="12"/>
  <c r="H20" i="12"/>
  <c r="H172" i="12"/>
  <c r="H168" i="12"/>
  <c r="H122" i="12"/>
  <c r="H117" i="12"/>
  <c r="H182" i="12"/>
  <c r="H175" i="12"/>
  <c r="H125" i="12"/>
  <c r="H112" i="12"/>
  <c r="H109" i="12"/>
  <c r="H107" i="12"/>
  <c r="H93" i="12"/>
  <c r="H76" i="12"/>
  <c r="H62" i="12"/>
  <c r="H55" i="12"/>
  <c r="H54" i="12"/>
  <c r="H53" i="12"/>
  <c r="H52" i="12"/>
  <c r="H51" i="12"/>
  <c r="H50" i="12"/>
  <c r="H152" i="12"/>
  <c r="H106" i="12"/>
  <c r="H94" i="12"/>
  <c r="H90" i="12"/>
  <c r="H77" i="12"/>
  <c r="J34" i="12"/>
  <c r="J41" i="12"/>
  <c r="J45" i="12"/>
  <c r="J60" i="12"/>
  <c r="J64" i="12"/>
  <c r="J80" i="12"/>
  <c r="J96" i="12"/>
  <c r="H127" i="12"/>
  <c r="H170" i="12"/>
  <c r="I364" i="12"/>
  <c r="I362" i="12"/>
  <c r="I360" i="12"/>
  <c r="I358" i="12"/>
  <c r="I356" i="12"/>
  <c r="I354" i="12"/>
  <c r="I352" i="12"/>
  <c r="I350" i="12"/>
  <c r="I348" i="12"/>
  <c r="I346" i="12"/>
  <c r="I344" i="12"/>
  <c r="I342" i="12"/>
  <c r="I340" i="12"/>
  <c r="I338" i="12"/>
  <c r="I336" i="12"/>
  <c r="I334" i="12"/>
  <c r="I332" i="12"/>
  <c r="I330" i="12"/>
  <c r="I328" i="12"/>
  <c r="I326" i="12"/>
  <c r="I324" i="12"/>
  <c r="I322" i="12"/>
  <c r="I320" i="12"/>
  <c r="I318" i="12"/>
  <c r="I316" i="12"/>
  <c r="I314" i="12"/>
  <c r="I312" i="12"/>
  <c r="I310" i="12"/>
  <c r="I339" i="12"/>
  <c r="I337" i="12"/>
  <c r="I308" i="12"/>
  <c r="I307" i="12"/>
  <c r="I292" i="12"/>
  <c r="I291" i="12"/>
  <c r="I343" i="12"/>
  <c r="I341" i="12"/>
  <c r="I311" i="12"/>
  <c r="I309" i="12"/>
  <c r="I294" i="12"/>
  <c r="I293" i="12"/>
  <c r="I279" i="12"/>
  <c r="I277" i="12"/>
  <c r="I275" i="12"/>
  <c r="I273" i="12"/>
  <c r="I271" i="12"/>
  <c r="I269" i="12"/>
  <c r="I267" i="12"/>
  <c r="I265" i="12"/>
  <c r="I263" i="12"/>
  <c r="I261" i="12"/>
  <c r="I355" i="12"/>
  <c r="I353" i="12"/>
  <c r="I323" i="12"/>
  <c r="I321" i="12"/>
  <c r="I300" i="12"/>
  <c r="I299" i="12"/>
  <c r="I284" i="12"/>
  <c r="I283" i="12"/>
  <c r="I331" i="12"/>
  <c r="I303" i="12"/>
  <c r="I365" i="12"/>
  <c r="I351" i="12"/>
  <c r="I327" i="12"/>
  <c r="I317" i="12"/>
  <c r="I361" i="12"/>
  <c r="I347" i="12"/>
  <c r="I313" i="12"/>
  <c r="I306" i="12"/>
  <c r="I289" i="12"/>
  <c r="I282" i="12"/>
  <c r="I274" i="12"/>
  <c r="I259" i="12"/>
  <c r="I256" i="12"/>
  <c r="I253" i="12"/>
  <c r="I251" i="12"/>
  <c r="I249" i="12"/>
  <c r="I247" i="12"/>
  <c r="I245" i="12"/>
  <c r="I243" i="12"/>
  <c r="I241" i="12"/>
  <c r="I239" i="12"/>
  <c r="I237" i="12"/>
  <c r="I235" i="12"/>
  <c r="I233" i="12"/>
  <c r="I231" i="12"/>
  <c r="I229" i="12"/>
  <c r="I227" i="12"/>
  <c r="I225" i="12"/>
  <c r="I223" i="12"/>
  <c r="I221" i="12"/>
  <c r="I219" i="12"/>
  <c r="I217" i="12"/>
  <c r="I215" i="12"/>
  <c r="I213" i="12"/>
  <c r="I211" i="12"/>
  <c r="I209" i="12"/>
  <c r="I207" i="12"/>
  <c r="I205" i="12"/>
  <c r="I203" i="12"/>
  <c r="I201" i="12"/>
  <c r="I199" i="12"/>
  <c r="I197" i="12"/>
  <c r="I195" i="12"/>
  <c r="I193" i="12"/>
  <c r="I191" i="12"/>
  <c r="I189" i="12"/>
  <c r="I187" i="12"/>
  <c r="I185" i="12"/>
  <c r="I183" i="12"/>
  <c r="I357" i="12"/>
  <c r="I304" i="12"/>
  <c r="I287" i="12"/>
  <c r="I276" i="12"/>
  <c r="I359" i="12"/>
  <c r="I349" i="12"/>
  <c r="I325" i="12"/>
  <c r="I288" i="12"/>
  <c r="I266" i="12"/>
  <c r="I252" i="12"/>
  <c r="I250" i="12"/>
  <c r="I248" i="12"/>
  <c r="I246" i="12"/>
  <c r="I244" i="12"/>
  <c r="I242" i="12"/>
  <c r="I240" i="12"/>
  <c r="I238" i="12"/>
  <c r="I236" i="12"/>
  <c r="I234" i="12"/>
  <c r="I232" i="12"/>
  <c r="I230" i="12"/>
  <c r="I228" i="12"/>
  <c r="I226" i="12"/>
  <c r="I224" i="12"/>
  <c r="I222" i="12"/>
  <c r="I220" i="12"/>
  <c r="I218" i="12"/>
  <c r="I216" i="12"/>
  <c r="I214" i="12"/>
  <c r="I212" i="12"/>
  <c r="I210" i="12"/>
  <c r="I208" i="12"/>
  <c r="I206" i="12"/>
  <c r="I204" i="12"/>
  <c r="I202" i="12"/>
  <c r="I200" i="12"/>
  <c r="I198" i="12"/>
  <c r="I196" i="12"/>
  <c r="I194" i="12"/>
  <c r="I192" i="12"/>
  <c r="I190" i="12"/>
  <c r="I188" i="12"/>
  <c r="I186" i="12"/>
  <c r="I184" i="12"/>
  <c r="I305" i="12"/>
  <c r="I301" i="12"/>
  <c r="I298" i="12"/>
  <c r="I290" i="12"/>
  <c r="I260" i="12"/>
  <c r="I363" i="12"/>
  <c r="I345" i="12"/>
  <c r="I295" i="12"/>
  <c r="I264" i="12"/>
  <c r="I335" i="12"/>
  <c r="I281" i="12"/>
  <c r="I257" i="12"/>
  <c r="I333" i="12"/>
  <c r="I315" i="12"/>
  <c r="I297" i="12"/>
  <c r="I286" i="12"/>
  <c r="I296" i="12"/>
  <c r="I285" i="12"/>
  <c r="I280" i="12"/>
  <c r="I268" i="12"/>
  <c r="I254" i="12"/>
  <c r="I278" i="12"/>
  <c r="I329" i="12"/>
  <c r="I262" i="12"/>
  <c r="I319" i="12"/>
  <c r="I182" i="12"/>
  <c r="I255" i="12"/>
  <c r="I176" i="12"/>
  <c r="I175" i="12"/>
  <c r="I160" i="12"/>
  <c r="I159" i="12"/>
  <c r="I144" i="12"/>
  <c r="I143" i="12"/>
  <c r="I180" i="12"/>
  <c r="I179" i="12"/>
  <c r="I164" i="12"/>
  <c r="I163" i="12"/>
  <c r="I148" i="12"/>
  <c r="I147" i="12"/>
  <c r="I132" i="12"/>
  <c r="I131" i="12"/>
  <c r="I118" i="12"/>
  <c r="I110" i="12"/>
  <c r="I302" i="12"/>
  <c r="I272" i="12"/>
  <c r="I181" i="12"/>
  <c r="I166" i="12"/>
  <c r="I165" i="12"/>
  <c r="I150" i="12"/>
  <c r="I149" i="12"/>
  <c r="I134" i="12"/>
  <c r="I133" i="12"/>
  <c r="I117" i="12"/>
  <c r="I109" i="12"/>
  <c r="I172" i="12"/>
  <c r="I155" i="12"/>
  <c r="I136" i="12"/>
  <c r="I125" i="12"/>
  <c r="I121" i="12"/>
  <c r="I115" i="12"/>
  <c r="I178" i="12"/>
  <c r="I173" i="12"/>
  <c r="I161" i="12"/>
  <c r="I154" i="12"/>
  <c r="I137" i="12"/>
  <c r="I111" i="12"/>
  <c r="I169" i="12"/>
  <c r="I153" i="12"/>
  <c r="I116" i="12"/>
  <c r="I113" i="12"/>
  <c r="I104" i="12"/>
  <c r="I96" i="12"/>
  <c r="I88" i="12"/>
  <c r="I80" i="12"/>
  <c r="I72" i="12"/>
  <c r="I64" i="12"/>
  <c r="I56" i="12"/>
  <c r="I48" i="12"/>
  <c r="I40" i="12"/>
  <c r="I171" i="12"/>
  <c r="I162" i="12"/>
  <c r="I146" i="12"/>
  <c r="I130" i="12"/>
  <c r="I128" i="12"/>
  <c r="I126" i="12"/>
  <c r="I124" i="12"/>
  <c r="I108" i="12"/>
  <c r="I103" i="12"/>
  <c r="I95" i="12"/>
  <c r="I87" i="12"/>
  <c r="I79" i="12"/>
  <c r="I71" i="12"/>
  <c r="I63" i="12"/>
  <c r="I139" i="12"/>
  <c r="I122" i="12"/>
  <c r="I119" i="12"/>
  <c r="I105" i="12"/>
  <c r="I102" i="12"/>
  <c r="I94" i="12"/>
  <c r="I86" i="12"/>
  <c r="I78" i="12"/>
  <c r="I70" i="12"/>
  <c r="I98" i="12"/>
  <c r="I258" i="12"/>
  <c r="I151" i="12"/>
  <c r="I140" i="12"/>
  <c r="I129" i="12"/>
  <c r="I123" i="12"/>
  <c r="I168" i="12"/>
  <c r="I158" i="12"/>
  <c r="I120" i="12"/>
  <c r="I99" i="12"/>
  <c r="I82" i="12"/>
  <c r="I69" i="12"/>
  <c r="I65" i="12"/>
  <c r="I61" i="12"/>
  <c r="I47" i="12"/>
  <c r="I46" i="12"/>
  <c r="I45" i="12"/>
  <c r="I44" i="12"/>
  <c r="I43" i="12"/>
  <c r="I42" i="12"/>
  <c r="I41" i="12"/>
  <c r="I29" i="12"/>
  <c r="I26" i="12"/>
  <c r="I157" i="12"/>
  <c r="I112" i="12"/>
  <c r="I135" i="12"/>
  <c r="I114" i="12"/>
  <c r="I100" i="12"/>
  <c r="I83" i="12"/>
  <c r="I66" i="12"/>
  <c r="I270" i="12"/>
  <c r="I170" i="12"/>
  <c r="I167" i="12"/>
  <c r="I156" i="12"/>
  <c r="I145" i="12"/>
  <c r="I141" i="12"/>
  <c r="I127" i="12"/>
  <c r="I101" i="12"/>
  <c r="I97" i="12"/>
  <c r="I84" i="12"/>
  <c r="I67" i="12"/>
  <c r="I57" i="12"/>
  <c r="I12" i="12"/>
  <c r="I15" i="12"/>
  <c r="H16" i="12"/>
  <c r="F17" i="12"/>
  <c r="E18" i="12"/>
  <c r="I22" i="12"/>
  <c r="G23" i="12"/>
  <c r="G24" i="12"/>
  <c r="E25" i="12"/>
  <c r="J28" i="12"/>
  <c r="H29" i="12"/>
  <c r="H30" i="12"/>
  <c r="F31" i="12"/>
  <c r="I35" i="12"/>
  <c r="I36" i="12"/>
  <c r="G37" i="12"/>
  <c r="E38" i="12"/>
  <c r="F40" i="12"/>
  <c r="H44" i="12"/>
  <c r="E47" i="12"/>
  <c r="I50" i="12"/>
  <c r="F55" i="12"/>
  <c r="F67" i="12"/>
  <c r="H69" i="12"/>
  <c r="F76" i="12"/>
  <c r="H78" i="12"/>
  <c r="H85" i="12"/>
  <c r="F92" i="12"/>
  <c r="F94" i="12"/>
  <c r="H99" i="12"/>
  <c r="I142" i="12"/>
  <c r="H31" i="12"/>
  <c r="H25" i="12"/>
  <c r="H63" i="12"/>
  <c r="J88" i="12"/>
  <c r="H159" i="12"/>
  <c r="H13" i="12"/>
  <c r="H18" i="12"/>
  <c r="J30" i="12"/>
  <c r="J67" i="12"/>
  <c r="H32" i="12"/>
  <c r="J59" i="12"/>
  <c r="J121" i="12"/>
  <c r="E365" i="12"/>
  <c r="E363" i="12"/>
  <c r="E361" i="12"/>
  <c r="E359" i="12"/>
  <c r="E357" i="12"/>
  <c r="E355" i="12"/>
  <c r="E353" i="12"/>
  <c r="E351" i="12"/>
  <c r="E349" i="12"/>
  <c r="E347" i="12"/>
  <c r="E345" i="12"/>
  <c r="E343" i="12"/>
  <c r="E341" i="12"/>
  <c r="E339" i="12"/>
  <c r="E337" i="12"/>
  <c r="E335" i="12"/>
  <c r="E333" i="12"/>
  <c r="E331" i="12"/>
  <c r="E329" i="12"/>
  <c r="E327" i="12"/>
  <c r="E325" i="12"/>
  <c r="E323" i="12"/>
  <c r="E321" i="12"/>
  <c r="E319" i="12"/>
  <c r="E317" i="12"/>
  <c r="E315" i="12"/>
  <c r="E313" i="12"/>
  <c r="E311" i="12"/>
  <c r="E350" i="12"/>
  <c r="E348" i="12"/>
  <c r="E318" i="12"/>
  <c r="E316" i="12"/>
  <c r="E303" i="12"/>
  <c r="E302" i="12"/>
  <c r="E287" i="12"/>
  <c r="E286" i="12"/>
  <c r="E354" i="12"/>
  <c r="E352" i="12"/>
  <c r="E322" i="12"/>
  <c r="E320" i="12"/>
  <c r="E305" i="12"/>
  <c r="E304" i="12"/>
  <c r="E289" i="12"/>
  <c r="E288" i="12"/>
  <c r="E280" i="12"/>
  <c r="E278" i="12"/>
  <c r="E276" i="12"/>
  <c r="E274" i="12"/>
  <c r="E272" i="12"/>
  <c r="E270" i="12"/>
  <c r="E268" i="12"/>
  <c r="E266" i="12"/>
  <c r="E264" i="12"/>
  <c r="E262" i="12"/>
  <c r="E260" i="12"/>
  <c r="E364" i="12"/>
  <c r="E334" i="12"/>
  <c r="E332" i="12"/>
  <c r="E295" i="12"/>
  <c r="E294" i="12"/>
  <c r="E362" i="12"/>
  <c r="E338" i="12"/>
  <c r="E328" i="12"/>
  <c r="E358" i="12"/>
  <c r="E324" i="12"/>
  <c r="E314" i="12"/>
  <c r="E310" i="12"/>
  <c r="E308" i="12"/>
  <c r="E296" i="12"/>
  <c r="E269" i="12"/>
  <c r="E254" i="12"/>
  <c r="E252" i="12"/>
  <c r="E250" i="12"/>
  <c r="E248" i="12"/>
  <c r="E246" i="12"/>
  <c r="E244" i="12"/>
  <c r="E242" i="12"/>
  <c r="E240" i="12"/>
  <c r="E238" i="12"/>
  <c r="E236" i="12"/>
  <c r="E234" i="12"/>
  <c r="E232" i="12"/>
  <c r="E230" i="12"/>
  <c r="E228" i="12"/>
  <c r="E226" i="12"/>
  <c r="E224" i="12"/>
  <c r="E222" i="12"/>
  <c r="E220" i="12"/>
  <c r="E218" i="12"/>
  <c r="E216" i="12"/>
  <c r="E214" i="12"/>
  <c r="E212" i="12"/>
  <c r="E210" i="12"/>
  <c r="E208" i="12"/>
  <c r="E206" i="12"/>
  <c r="E204" i="12"/>
  <c r="E202" i="12"/>
  <c r="E200" i="12"/>
  <c r="E198" i="12"/>
  <c r="E196" i="12"/>
  <c r="E194" i="12"/>
  <c r="E192" i="12"/>
  <c r="E190" i="12"/>
  <c r="E188" i="12"/>
  <c r="E186" i="12"/>
  <c r="E184" i="12"/>
  <c r="E182" i="12"/>
  <c r="E344" i="12"/>
  <c r="E330" i="12"/>
  <c r="E306" i="12"/>
  <c r="E301" i="12"/>
  <c r="E284" i="12"/>
  <c r="E271" i="12"/>
  <c r="E261" i="12"/>
  <c r="E257" i="12"/>
  <c r="E356" i="12"/>
  <c r="E346" i="12"/>
  <c r="E312" i="12"/>
  <c r="E307" i="12"/>
  <c r="E290" i="12"/>
  <c r="E285" i="12"/>
  <c r="E277" i="12"/>
  <c r="E259" i="12"/>
  <c r="E253" i="12"/>
  <c r="E251" i="12"/>
  <c r="E249" i="12"/>
  <c r="E247" i="12"/>
  <c r="E245" i="12"/>
  <c r="E243" i="12"/>
  <c r="E241" i="12"/>
  <c r="E239" i="12"/>
  <c r="E237" i="12"/>
  <c r="E235" i="12"/>
  <c r="E233" i="12"/>
  <c r="E231" i="12"/>
  <c r="E229" i="12"/>
  <c r="E227" i="12"/>
  <c r="E225" i="12"/>
  <c r="E223" i="12"/>
  <c r="E221" i="12"/>
  <c r="E219" i="12"/>
  <c r="E217" i="12"/>
  <c r="E215" i="12"/>
  <c r="E213" i="12"/>
  <c r="E211" i="12"/>
  <c r="E209" i="12"/>
  <c r="E207" i="12"/>
  <c r="E205" i="12"/>
  <c r="E203" i="12"/>
  <c r="E201" i="12"/>
  <c r="E199" i="12"/>
  <c r="E197" i="12"/>
  <c r="E195" i="12"/>
  <c r="E193" i="12"/>
  <c r="E191" i="12"/>
  <c r="E189" i="12"/>
  <c r="E187" i="12"/>
  <c r="E185" i="12"/>
  <c r="E293" i="12"/>
  <c r="E282" i="12"/>
  <c r="E273" i="12"/>
  <c r="E336" i="12"/>
  <c r="E326" i="12"/>
  <c r="E309" i="12"/>
  <c r="E263" i="12"/>
  <c r="E298" i="12"/>
  <c r="E255" i="12"/>
  <c r="E292" i="12"/>
  <c r="E299" i="12"/>
  <c r="E291" i="12"/>
  <c r="E265" i="12"/>
  <c r="E258" i="12"/>
  <c r="E360" i="12"/>
  <c r="E297" i="12"/>
  <c r="E283" i="12"/>
  <c r="E342" i="12"/>
  <c r="E256" i="12"/>
  <c r="E171" i="12"/>
  <c r="E170" i="12"/>
  <c r="E155" i="12"/>
  <c r="E154" i="12"/>
  <c r="E139" i="12"/>
  <c r="E138" i="12"/>
  <c r="E340" i="12"/>
  <c r="E281" i="12"/>
  <c r="E183" i="12"/>
  <c r="E175" i="12"/>
  <c r="E174" i="12"/>
  <c r="E159" i="12"/>
  <c r="E158" i="12"/>
  <c r="E143" i="12"/>
  <c r="E142" i="12"/>
  <c r="E127" i="12"/>
  <c r="E126" i="12"/>
  <c r="E121" i="12"/>
  <c r="E113" i="12"/>
  <c r="E267" i="12"/>
  <c r="E177" i="12"/>
  <c r="E176" i="12"/>
  <c r="E161" i="12"/>
  <c r="E160" i="12"/>
  <c r="E145" i="12"/>
  <c r="E144" i="12"/>
  <c r="E129" i="12"/>
  <c r="E128" i="12"/>
  <c r="E120" i="12"/>
  <c r="E112" i="12"/>
  <c r="E179" i="12"/>
  <c r="E169" i="12"/>
  <c r="E162" i="12"/>
  <c r="E157" i="12"/>
  <c r="E152" i="12"/>
  <c r="E140" i="12"/>
  <c r="E133" i="12"/>
  <c r="E124" i="12"/>
  <c r="E106" i="12"/>
  <c r="E105" i="12"/>
  <c r="E180" i="12"/>
  <c r="E151" i="12"/>
  <c r="E134" i="12"/>
  <c r="E122" i="12"/>
  <c r="E116" i="12"/>
  <c r="E110" i="12"/>
  <c r="E167" i="12"/>
  <c r="E118" i="12"/>
  <c r="E115" i="12"/>
  <c r="E107" i="12"/>
  <c r="E99" i="12"/>
  <c r="E91" i="12"/>
  <c r="E83" i="12"/>
  <c r="E75" i="12"/>
  <c r="E67" i="12"/>
  <c r="E59" i="12"/>
  <c r="E51" i="12"/>
  <c r="E43" i="12"/>
  <c r="E279" i="12"/>
  <c r="E178" i="12"/>
  <c r="E135" i="12"/>
  <c r="E98" i="12"/>
  <c r="E90" i="12"/>
  <c r="E82" i="12"/>
  <c r="E74" i="12"/>
  <c r="E66" i="12"/>
  <c r="E58" i="12"/>
  <c r="E153" i="12"/>
  <c r="E146" i="12"/>
  <c r="E137" i="12"/>
  <c r="E130" i="12"/>
  <c r="E97" i="12"/>
  <c r="E89" i="12"/>
  <c r="E81" i="12"/>
  <c r="E73" i="12"/>
  <c r="E65" i="12"/>
  <c r="E300" i="12"/>
  <c r="E181" i="12"/>
  <c r="E173" i="12"/>
  <c r="E166" i="12"/>
  <c r="E108" i="12"/>
  <c r="E147" i="12"/>
  <c r="E132" i="12"/>
  <c r="E123" i="12"/>
  <c r="E95" i="12"/>
  <c r="E78" i="12"/>
  <c r="E37" i="12"/>
  <c r="E24" i="12"/>
  <c r="E21" i="12"/>
  <c r="E165" i="12"/>
  <c r="E150" i="12"/>
  <c r="E136" i="12"/>
  <c r="E275" i="12"/>
  <c r="E172" i="12"/>
  <c r="E168" i="12"/>
  <c r="E164" i="12"/>
  <c r="E117" i="12"/>
  <c r="E96" i="12"/>
  <c r="E92" i="12"/>
  <c r="E79" i="12"/>
  <c r="E60" i="12"/>
  <c r="E42" i="12"/>
  <c r="E41" i="12"/>
  <c r="E40" i="12"/>
  <c r="E149" i="12"/>
  <c r="E114" i="12"/>
  <c r="E111" i="12"/>
  <c r="E109" i="12"/>
  <c r="E93" i="12"/>
  <c r="E80" i="12"/>
  <c r="E76" i="12"/>
  <c r="E62" i="12"/>
  <c r="E56" i="12"/>
  <c r="E55" i="12"/>
  <c r="E54" i="12"/>
  <c r="E53" i="12"/>
  <c r="E52" i="12"/>
  <c r="G11" i="12"/>
  <c r="H14" i="12"/>
  <c r="E15" i="12"/>
  <c r="J18" i="12"/>
  <c r="H19" i="12"/>
  <c r="G20" i="12"/>
  <c r="F21" i="12"/>
  <c r="I25" i="12"/>
  <c r="H26" i="12"/>
  <c r="G27" i="12"/>
  <c r="E28" i="12"/>
  <c r="I32" i="12"/>
  <c r="H33" i="12"/>
  <c r="G34" i="12"/>
  <c r="E35" i="12"/>
  <c r="J38" i="12"/>
  <c r="H42" i="12"/>
  <c r="H46" i="12"/>
  <c r="F51" i="12"/>
  <c r="I54" i="12"/>
  <c r="H68" i="12"/>
  <c r="H70" i="12"/>
  <c r="F75" i="12"/>
  <c r="F77" i="12"/>
  <c r="F84" i="12"/>
  <c r="H86" i="12"/>
  <c r="F91" i="12"/>
  <c r="J100" i="12"/>
  <c r="I107" i="12"/>
  <c r="H134" i="12"/>
  <c r="G251" i="12"/>
  <c r="J40" i="12"/>
  <c r="J44" i="12"/>
  <c r="H59" i="12"/>
  <c r="H74" i="12"/>
  <c r="J99" i="12"/>
  <c r="J193" i="12"/>
  <c r="H43" i="12"/>
  <c r="J57" i="12"/>
  <c r="J65" i="12"/>
  <c r="J83" i="12"/>
  <c r="J92" i="12"/>
  <c r="J24" i="12"/>
  <c r="J43" i="12"/>
  <c r="J61" i="12"/>
  <c r="J81" i="12"/>
  <c r="H100" i="12"/>
  <c r="F364" i="12"/>
  <c r="F362" i="12"/>
  <c r="F360" i="12"/>
  <c r="F358" i="12"/>
  <c r="F356" i="12"/>
  <c r="F354" i="12"/>
  <c r="F352" i="12"/>
  <c r="F350" i="12"/>
  <c r="F348" i="12"/>
  <c r="F346" i="12"/>
  <c r="F344" i="12"/>
  <c r="F342" i="12"/>
  <c r="F340" i="12"/>
  <c r="F338" i="12"/>
  <c r="F336" i="12"/>
  <c r="F334" i="12"/>
  <c r="F332" i="12"/>
  <c r="F330" i="12"/>
  <c r="F328" i="12"/>
  <c r="F326" i="12"/>
  <c r="F324" i="12"/>
  <c r="F322" i="12"/>
  <c r="F320" i="12"/>
  <c r="F318" i="12"/>
  <c r="F316" i="12"/>
  <c r="F314" i="12"/>
  <c r="F312" i="12"/>
  <c r="F310" i="12"/>
  <c r="F365" i="12"/>
  <c r="F361" i="12"/>
  <c r="F357" i="12"/>
  <c r="F353" i="12"/>
  <c r="F349" i="12"/>
  <c r="F345" i="12"/>
  <c r="F341" i="12"/>
  <c r="F337" i="12"/>
  <c r="F333" i="12"/>
  <c r="F329" i="12"/>
  <c r="F325" i="12"/>
  <c r="F321" i="12"/>
  <c r="F317" i="12"/>
  <c r="F313" i="12"/>
  <c r="F335" i="12"/>
  <c r="F305" i="12"/>
  <c r="F304" i="12"/>
  <c r="F289" i="12"/>
  <c r="F288" i="12"/>
  <c r="F280" i="12"/>
  <c r="F278" i="12"/>
  <c r="F276" i="12"/>
  <c r="F274" i="12"/>
  <c r="F272" i="12"/>
  <c r="F270" i="12"/>
  <c r="F268" i="12"/>
  <c r="F266" i="12"/>
  <c r="F264" i="12"/>
  <c r="F262" i="12"/>
  <c r="F260" i="12"/>
  <c r="F258" i="12"/>
  <c r="F256" i="12"/>
  <c r="F254" i="12"/>
  <c r="F339" i="12"/>
  <c r="F307" i="12"/>
  <c r="F306" i="12"/>
  <c r="F291" i="12"/>
  <c r="F290" i="12"/>
  <c r="F351" i="12"/>
  <c r="F319" i="12"/>
  <c r="F297" i="12"/>
  <c r="F296" i="12"/>
  <c r="F279" i="12"/>
  <c r="F277" i="12"/>
  <c r="F275" i="12"/>
  <c r="F273" i="12"/>
  <c r="F271" i="12"/>
  <c r="F269" i="12"/>
  <c r="F267" i="12"/>
  <c r="F265" i="12"/>
  <c r="F355" i="12"/>
  <c r="F331" i="12"/>
  <c r="F308" i="12"/>
  <c r="F303" i="12"/>
  <c r="F327" i="12"/>
  <c r="F301" i="12"/>
  <c r="F284" i="12"/>
  <c r="F261" i="12"/>
  <c r="F257" i="12"/>
  <c r="F347" i="12"/>
  <c r="F323" i="12"/>
  <c r="F299" i="12"/>
  <c r="F294" i="12"/>
  <c r="F282" i="12"/>
  <c r="F363" i="12"/>
  <c r="F315" i="12"/>
  <c r="F302" i="12"/>
  <c r="F295" i="12"/>
  <c r="F283" i="12"/>
  <c r="F309" i="12"/>
  <c r="F263" i="12"/>
  <c r="F239" i="12"/>
  <c r="F238" i="12"/>
  <c r="F223" i="12"/>
  <c r="F222" i="12"/>
  <c r="F207" i="12"/>
  <c r="F206" i="12"/>
  <c r="F298" i="12"/>
  <c r="F287" i="12"/>
  <c r="F255" i="12"/>
  <c r="F241" i="12"/>
  <c r="F240" i="12"/>
  <c r="F225" i="12"/>
  <c r="F224" i="12"/>
  <c r="F209" i="12"/>
  <c r="F208" i="12"/>
  <c r="F343" i="12"/>
  <c r="F292" i="12"/>
  <c r="F243" i="12"/>
  <c r="F242" i="12"/>
  <c r="F227" i="12"/>
  <c r="F226" i="12"/>
  <c r="F211" i="12"/>
  <c r="F210" i="12"/>
  <c r="F195" i="12"/>
  <c r="F194" i="12"/>
  <c r="F300" i="12"/>
  <c r="F281" i="12"/>
  <c r="F251" i="12"/>
  <c r="F250" i="12"/>
  <c r="F235" i="12"/>
  <c r="F234" i="12"/>
  <c r="F359" i="12"/>
  <c r="F244" i="12"/>
  <c r="F229" i="12"/>
  <c r="F217" i="12"/>
  <c r="F200" i="12"/>
  <c r="F196" i="12"/>
  <c r="F190" i="12"/>
  <c r="F185" i="12"/>
  <c r="F246" i="12"/>
  <c r="F231" i="12"/>
  <c r="F215" i="12"/>
  <c r="F205" i="12"/>
  <c r="F197" i="12"/>
  <c r="F191" i="12"/>
  <c r="F181" i="12"/>
  <c r="F179" i="12"/>
  <c r="F177" i="12"/>
  <c r="F175" i="12"/>
  <c r="F173" i="12"/>
  <c r="F171" i="12"/>
  <c r="F169" i="12"/>
  <c r="F167" i="12"/>
  <c r="F165" i="12"/>
  <c r="F163" i="12"/>
  <c r="F161" i="12"/>
  <c r="F159" i="12"/>
  <c r="F157" i="12"/>
  <c r="F155" i="12"/>
  <c r="F153" i="12"/>
  <c r="F151" i="12"/>
  <c r="F149" i="12"/>
  <c r="F147" i="12"/>
  <c r="F145" i="12"/>
  <c r="F143" i="12"/>
  <c r="F141" i="12"/>
  <c r="F139" i="12"/>
  <c r="F137" i="12"/>
  <c r="F135" i="12"/>
  <c r="F133" i="12"/>
  <c r="F131" i="12"/>
  <c r="F129" i="12"/>
  <c r="F127" i="12"/>
  <c r="F125" i="12"/>
  <c r="F123" i="12"/>
  <c r="F245" i="12"/>
  <c r="F228" i="12"/>
  <c r="F218" i="12"/>
  <c r="F199" i="12"/>
  <c r="F193" i="12"/>
  <c r="F285" i="12"/>
  <c r="F259" i="12"/>
  <c r="F248" i="12"/>
  <c r="F221" i="12"/>
  <c r="F189" i="12"/>
  <c r="F187" i="12"/>
  <c r="F172" i="12"/>
  <c r="F156" i="12"/>
  <c r="F140" i="12"/>
  <c r="F293" i="12"/>
  <c r="F247" i="12"/>
  <c r="F237" i="12"/>
  <c r="F230" i="12"/>
  <c r="F220" i="12"/>
  <c r="F176" i="12"/>
  <c r="F160" i="12"/>
  <c r="F144" i="12"/>
  <c r="F128" i="12"/>
  <c r="F120" i="12"/>
  <c r="F112" i="12"/>
  <c r="F233" i="12"/>
  <c r="F214" i="12"/>
  <c r="F203" i="12"/>
  <c r="F198" i="12"/>
  <c r="F178" i="12"/>
  <c r="F162" i="12"/>
  <c r="F146" i="12"/>
  <c r="F130" i="12"/>
  <c r="F119" i="12"/>
  <c r="F111" i="12"/>
  <c r="F253" i="12"/>
  <c r="F192" i="12"/>
  <c r="F183" i="12"/>
  <c r="F174" i="12"/>
  <c r="F150" i="12"/>
  <c r="F113" i="12"/>
  <c r="F107" i="12"/>
  <c r="F286" i="12"/>
  <c r="F213" i="12"/>
  <c r="F182" i="12"/>
  <c r="F168" i="12"/>
  <c r="F132" i="12"/>
  <c r="F126" i="12"/>
  <c r="F117" i="12"/>
  <c r="F201" i="12"/>
  <c r="F158" i="12"/>
  <c r="F142" i="12"/>
  <c r="F110" i="12"/>
  <c r="F98" i="12"/>
  <c r="F90" i="12"/>
  <c r="F82" i="12"/>
  <c r="F74" i="12"/>
  <c r="F66" i="12"/>
  <c r="F58" i="12"/>
  <c r="F50" i="12"/>
  <c r="F42" i="12"/>
  <c r="F38" i="12"/>
  <c r="F36" i="12"/>
  <c r="F34" i="12"/>
  <c r="F32" i="12"/>
  <c r="F30" i="12"/>
  <c r="F28" i="12"/>
  <c r="F26" i="12"/>
  <c r="F24" i="12"/>
  <c r="F22" i="12"/>
  <c r="F20" i="12"/>
  <c r="F18" i="12"/>
  <c r="F16" i="12"/>
  <c r="F14" i="12"/>
  <c r="F12" i="12"/>
  <c r="F232" i="12"/>
  <c r="F212" i="12"/>
  <c r="F121" i="12"/>
  <c r="F97" i="12"/>
  <c r="F89" i="12"/>
  <c r="F81" i="12"/>
  <c r="F73" i="12"/>
  <c r="F65" i="12"/>
  <c r="F57" i="12"/>
  <c r="F311" i="12"/>
  <c r="F180" i="12"/>
  <c r="F164" i="12"/>
  <c r="F148" i="12"/>
  <c r="F116" i="12"/>
  <c r="F108" i="12"/>
  <c r="F104" i="12"/>
  <c r="F96" i="12"/>
  <c r="F88" i="12"/>
  <c r="F80" i="12"/>
  <c r="F72" i="12"/>
  <c r="F64" i="12"/>
  <c r="F219" i="12"/>
  <c r="F170" i="12"/>
  <c r="F101" i="12"/>
  <c r="F216" i="12"/>
  <c r="F118" i="12"/>
  <c r="F136" i="12"/>
  <c r="F105" i="12"/>
  <c r="F102" i="12"/>
  <c r="F85" i="12"/>
  <c r="F68" i="12"/>
  <c r="F59" i="12"/>
  <c r="F27" i="12"/>
  <c r="F184" i="12"/>
  <c r="F154" i="12"/>
  <c r="F115" i="12"/>
  <c r="F252" i="12"/>
  <c r="F204" i="12"/>
  <c r="F122" i="12"/>
  <c r="F103" i="12"/>
  <c r="F99" i="12"/>
  <c r="F86" i="12"/>
  <c r="F69" i="12"/>
  <c r="F61" i="12"/>
  <c r="F49" i="12"/>
  <c r="F48" i="12"/>
  <c r="F47" i="12"/>
  <c r="F46" i="12"/>
  <c r="F45" i="12"/>
  <c r="F44" i="12"/>
  <c r="F43" i="12"/>
  <c r="F39" i="12"/>
  <c r="F188" i="12"/>
  <c r="F138" i="12"/>
  <c r="F134" i="12"/>
  <c r="F124" i="12"/>
  <c r="F100" i="12"/>
  <c r="F87" i="12"/>
  <c r="F83" i="12"/>
  <c r="F70" i="12"/>
  <c r="F63" i="12"/>
  <c r="H11" i="12"/>
  <c r="E12" i="12"/>
  <c r="I14" i="12"/>
  <c r="F15" i="12"/>
  <c r="I19" i="12"/>
  <c r="I20" i="12"/>
  <c r="G21" i="12"/>
  <c r="E22" i="12"/>
  <c r="J26" i="12"/>
  <c r="H27" i="12"/>
  <c r="E29" i="12"/>
  <c r="I33" i="12"/>
  <c r="H34" i="12"/>
  <c r="F35" i="12"/>
  <c r="J42" i="12"/>
  <c r="E45" i="12"/>
  <c r="J46" i="12"/>
  <c r="E48" i="12"/>
  <c r="I51" i="12"/>
  <c r="F56" i="12"/>
  <c r="H58" i="12"/>
  <c r="F60" i="12"/>
  <c r="H66" i="12"/>
  <c r="I68" i="12"/>
  <c r="I75" i="12"/>
  <c r="I77" i="12"/>
  <c r="H82" i="12"/>
  <c r="H84" i="12"/>
  <c r="H91" i="12"/>
  <c r="I93" i="12"/>
  <c r="H98" i="12"/>
  <c r="E101" i="12"/>
  <c r="F114" i="12"/>
  <c r="F152" i="12"/>
  <c r="F166" i="12"/>
  <c r="H181" i="12"/>
  <c r="H67" i="12"/>
  <c r="H83" i="12"/>
  <c r="H102" i="12"/>
  <c r="H38" i="12"/>
  <c r="H61" i="12"/>
  <c r="J97" i="12"/>
  <c r="G365" i="12"/>
  <c r="G363" i="12"/>
  <c r="G361" i="12"/>
  <c r="G359" i="12"/>
  <c r="G357" i="12"/>
  <c r="G355" i="12"/>
  <c r="G353" i="12"/>
  <c r="G351" i="12"/>
  <c r="G349" i="12"/>
  <c r="G347" i="12"/>
  <c r="G345" i="12"/>
  <c r="G343" i="12"/>
  <c r="G341" i="12"/>
  <c r="G339" i="12"/>
  <c r="G337" i="12"/>
  <c r="G335" i="12"/>
  <c r="G333" i="12"/>
  <c r="G331" i="12"/>
  <c r="G329" i="12"/>
  <c r="G327" i="12"/>
  <c r="G325" i="12"/>
  <c r="G323" i="12"/>
  <c r="G321" i="12"/>
  <c r="G319" i="12"/>
  <c r="G317" i="12"/>
  <c r="G315" i="12"/>
  <c r="G313" i="12"/>
  <c r="G311" i="12"/>
  <c r="G309" i="12"/>
  <c r="G307" i="12"/>
  <c r="G305" i="12"/>
  <c r="G303" i="12"/>
  <c r="G301" i="12"/>
  <c r="G299" i="12"/>
  <c r="G297" i="12"/>
  <c r="G295" i="12"/>
  <c r="G293" i="12"/>
  <c r="G291" i="12"/>
  <c r="G289" i="12"/>
  <c r="G287" i="12"/>
  <c r="G285" i="12"/>
  <c r="G283" i="12"/>
  <c r="G354" i="12"/>
  <c r="G352" i="12"/>
  <c r="G322" i="12"/>
  <c r="G320" i="12"/>
  <c r="G306" i="12"/>
  <c r="G290" i="12"/>
  <c r="G358" i="12"/>
  <c r="G356" i="12"/>
  <c r="G326" i="12"/>
  <c r="G324" i="12"/>
  <c r="G308" i="12"/>
  <c r="G292" i="12"/>
  <c r="G338" i="12"/>
  <c r="G336" i="12"/>
  <c r="G298" i="12"/>
  <c r="G282" i="12"/>
  <c r="G281" i="12"/>
  <c r="G314" i="12"/>
  <c r="G348" i="12"/>
  <c r="G334" i="12"/>
  <c r="G310" i="12"/>
  <c r="G344" i="12"/>
  <c r="G330" i="12"/>
  <c r="G294" i="12"/>
  <c r="G271" i="12"/>
  <c r="G270" i="12"/>
  <c r="G364" i="12"/>
  <c r="G340" i="12"/>
  <c r="G273" i="12"/>
  <c r="G272" i="12"/>
  <c r="G260" i="12"/>
  <c r="G342" i="12"/>
  <c r="G332" i="12"/>
  <c r="G300" i="12"/>
  <c r="G279" i="12"/>
  <c r="G278" i="12"/>
  <c r="G255" i="12"/>
  <c r="G346" i="12"/>
  <c r="G328" i="12"/>
  <c r="G268" i="12"/>
  <c r="G254" i="12"/>
  <c r="G241" i="12"/>
  <c r="G240" i="12"/>
  <c r="G225" i="12"/>
  <c r="G224" i="12"/>
  <c r="G209" i="12"/>
  <c r="G208" i="12"/>
  <c r="G318" i="12"/>
  <c r="G304" i="12"/>
  <c r="G266" i="12"/>
  <c r="G243" i="12"/>
  <c r="G242" i="12"/>
  <c r="G227" i="12"/>
  <c r="G226" i="12"/>
  <c r="G211" i="12"/>
  <c r="G210" i="12"/>
  <c r="G362" i="12"/>
  <c r="G316" i="12"/>
  <c r="G284" i="12"/>
  <c r="G276" i="12"/>
  <c r="G264" i="12"/>
  <c r="G256" i="12"/>
  <c r="G245" i="12"/>
  <c r="G244" i="12"/>
  <c r="G229" i="12"/>
  <c r="G228" i="12"/>
  <c r="G213" i="12"/>
  <c r="G212" i="12"/>
  <c r="G197" i="12"/>
  <c r="G196" i="12"/>
  <c r="G360" i="12"/>
  <c r="G274" i="12"/>
  <c r="G312" i="12"/>
  <c r="G288" i="12"/>
  <c r="G275" i="12"/>
  <c r="G262" i="12"/>
  <c r="G259" i="12"/>
  <c r="G253" i="12"/>
  <c r="G252" i="12"/>
  <c r="G237" i="12"/>
  <c r="G236" i="12"/>
  <c r="G221" i="12"/>
  <c r="G220" i="12"/>
  <c r="G269" i="12"/>
  <c r="G246" i="12"/>
  <c r="G231" i="12"/>
  <c r="G215" i="12"/>
  <c r="G205" i="12"/>
  <c r="G191" i="12"/>
  <c r="G181" i="12"/>
  <c r="G179" i="12"/>
  <c r="G177" i="12"/>
  <c r="G175" i="12"/>
  <c r="G173" i="12"/>
  <c r="G171" i="12"/>
  <c r="G169" i="12"/>
  <c r="G167" i="12"/>
  <c r="G165" i="12"/>
  <c r="G163" i="12"/>
  <c r="G161" i="12"/>
  <c r="G159" i="12"/>
  <c r="G157" i="12"/>
  <c r="G155" i="12"/>
  <c r="G153" i="12"/>
  <c r="G151" i="12"/>
  <c r="G149" i="12"/>
  <c r="G147" i="12"/>
  <c r="G145" i="12"/>
  <c r="G143" i="12"/>
  <c r="G141" i="12"/>
  <c r="G139" i="12"/>
  <c r="G137" i="12"/>
  <c r="G135" i="12"/>
  <c r="G133" i="12"/>
  <c r="G131" i="12"/>
  <c r="G129" i="12"/>
  <c r="G127" i="12"/>
  <c r="G125" i="12"/>
  <c r="G123" i="12"/>
  <c r="G121" i="12"/>
  <c r="G119" i="12"/>
  <c r="G117" i="12"/>
  <c r="G115" i="12"/>
  <c r="G113" i="12"/>
  <c r="G111" i="12"/>
  <c r="G109" i="12"/>
  <c r="G107" i="12"/>
  <c r="G350" i="12"/>
  <c r="G257" i="12"/>
  <c r="G248" i="12"/>
  <c r="G233" i="12"/>
  <c r="G203" i="12"/>
  <c r="G186" i="12"/>
  <c r="G302" i="12"/>
  <c r="G261" i="12"/>
  <c r="G247" i="12"/>
  <c r="G230" i="12"/>
  <c r="G216" i="12"/>
  <c r="G206" i="12"/>
  <c r="G188" i="12"/>
  <c r="G180" i="12"/>
  <c r="G178" i="12"/>
  <c r="G176" i="12"/>
  <c r="G174" i="12"/>
  <c r="G172" i="12"/>
  <c r="G170" i="12"/>
  <c r="G168" i="12"/>
  <c r="G166" i="12"/>
  <c r="G164" i="12"/>
  <c r="G162" i="12"/>
  <c r="G160" i="12"/>
  <c r="G158" i="12"/>
  <c r="G156" i="12"/>
  <c r="G154" i="12"/>
  <c r="G152" i="12"/>
  <c r="G150" i="12"/>
  <c r="G148" i="12"/>
  <c r="G146" i="12"/>
  <c r="G144" i="12"/>
  <c r="G142" i="12"/>
  <c r="G140" i="12"/>
  <c r="G138" i="12"/>
  <c r="G136" i="12"/>
  <c r="G134" i="12"/>
  <c r="G132" i="12"/>
  <c r="G130" i="12"/>
  <c r="G128" i="12"/>
  <c r="G126" i="12"/>
  <c r="G124" i="12"/>
  <c r="G122" i="12"/>
  <c r="G120" i="12"/>
  <c r="G118" i="12"/>
  <c r="G116" i="12"/>
  <c r="G114" i="12"/>
  <c r="G112" i="12"/>
  <c r="G110" i="12"/>
  <c r="G108" i="12"/>
  <c r="G106" i="12"/>
  <c r="G296" i="12"/>
  <c r="G238" i="12"/>
  <c r="G207" i="12"/>
  <c r="G204" i="12"/>
  <c r="G201" i="12"/>
  <c r="G185" i="12"/>
  <c r="G183" i="12"/>
  <c r="G267" i="12"/>
  <c r="G258" i="12"/>
  <c r="G217" i="12"/>
  <c r="G214" i="12"/>
  <c r="G198" i="12"/>
  <c r="G280" i="12"/>
  <c r="G250" i="12"/>
  <c r="G223" i="12"/>
  <c r="G194" i="12"/>
  <c r="G192" i="12"/>
  <c r="G105" i="12"/>
  <c r="G277" i="12"/>
  <c r="G189" i="12"/>
  <c r="G104" i="12"/>
  <c r="G102" i="12"/>
  <c r="G100" i="12"/>
  <c r="G98" i="12"/>
  <c r="G96" i="12"/>
  <c r="G94" i="12"/>
  <c r="G92" i="12"/>
  <c r="G90" i="12"/>
  <c r="G88" i="12"/>
  <c r="G86" i="12"/>
  <c r="G84" i="12"/>
  <c r="G82" i="12"/>
  <c r="G80" i="12"/>
  <c r="G78" i="12"/>
  <c r="G76" i="12"/>
  <c r="G74" i="12"/>
  <c r="G72" i="12"/>
  <c r="G70" i="12"/>
  <c r="G68" i="12"/>
  <c r="G66" i="12"/>
  <c r="G64" i="12"/>
  <c r="G62" i="12"/>
  <c r="G60" i="12"/>
  <c r="G58" i="12"/>
  <c r="G56" i="12"/>
  <c r="G54" i="12"/>
  <c r="G52" i="12"/>
  <c r="G50" i="12"/>
  <c r="G48" i="12"/>
  <c r="G46" i="12"/>
  <c r="G44" i="12"/>
  <c r="G42" i="12"/>
  <c r="G40" i="12"/>
  <c r="G263" i="12"/>
  <c r="G239" i="12"/>
  <c r="G234" i="12"/>
  <c r="G218" i="12"/>
  <c r="G200" i="12"/>
  <c r="G184" i="12"/>
  <c r="G103" i="12"/>
  <c r="G101" i="12"/>
  <c r="G99" i="12"/>
  <c r="G97" i="12"/>
  <c r="G95" i="12"/>
  <c r="G93" i="12"/>
  <c r="G91" i="12"/>
  <c r="G89" i="12"/>
  <c r="G87" i="12"/>
  <c r="G85" i="12"/>
  <c r="G83" i="12"/>
  <c r="G81" i="12"/>
  <c r="G79" i="12"/>
  <c r="G77" i="12"/>
  <c r="G75" i="12"/>
  <c r="G73" i="12"/>
  <c r="G71" i="12"/>
  <c r="G69" i="12"/>
  <c r="G67" i="12"/>
  <c r="G65" i="12"/>
  <c r="G63" i="12"/>
  <c r="G61" i="12"/>
  <c r="G59" i="12"/>
  <c r="G57" i="12"/>
  <c r="G55" i="12"/>
  <c r="G53" i="12"/>
  <c r="G51" i="12"/>
  <c r="G49" i="12"/>
  <c r="G47" i="12"/>
  <c r="G45" i="12"/>
  <c r="G43" i="12"/>
  <c r="G41" i="12"/>
  <c r="G286" i="12"/>
  <c r="G265" i="12"/>
  <c r="G232" i="12"/>
  <c r="G187" i="12"/>
  <c r="G199" i="12"/>
  <c r="G195" i="12"/>
  <c r="G193" i="12"/>
  <c r="G190" i="12"/>
  <c r="G33" i="12"/>
  <c r="G30" i="12"/>
  <c r="G17" i="12"/>
  <c r="G222" i="12"/>
  <c r="G249" i="12"/>
  <c r="G235" i="12"/>
  <c r="G202" i="12"/>
  <c r="I11" i="12"/>
  <c r="G12" i="12"/>
  <c r="J14" i="12"/>
  <c r="G15" i="12"/>
  <c r="E16" i="12"/>
  <c r="J20" i="12"/>
  <c r="H21" i="12"/>
  <c r="G22" i="12"/>
  <c r="E23" i="12"/>
  <c r="I27" i="12"/>
  <c r="H28" i="12"/>
  <c r="F29" i="12"/>
  <c r="I34" i="12"/>
  <c r="G35" i="12"/>
  <c r="E36" i="12"/>
  <c r="F41" i="12"/>
  <c r="H45" i="12"/>
  <c r="H48" i="12"/>
  <c r="F53" i="12"/>
  <c r="I58" i="12"/>
  <c r="I60" i="12"/>
  <c r="F62" i="12"/>
  <c r="E64" i="12"/>
  <c r="J66" i="12"/>
  <c r="J68" i="12"/>
  <c r="E71" i="12"/>
  <c r="I73" i="12"/>
  <c r="J75" i="12"/>
  <c r="J82" i="12"/>
  <c r="J84" i="12"/>
  <c r="I89" i="12"/>
  <c r="I91" i="12"/>
  <c r="J98" i="12"/>
  <c r="H101" i="12"/>
  <c r="E104" i="12"/>
  <c r="J115" i="12"/>
  <c r="E125" i="12"/>
  <c r="I138" i="12"/>
  <c r="I152" i="12"/>
  <c r="G182" i="12"/>
  <c r="F18" i="11"/>
  <c r="F69" i="11"/>
  <c r="G22" i="11"/>
  <c r="F33" i="11"/>
  <c r="G37" i="11"/>
  <c r="F52" i="11"/>
  <c r="G56" i="11"/>
  <c r="J62" i="11"/>
  <c r="G97" i="11"/>
  <c r="G104" i="11"/>
  <c r="J113" i="11"/>
  <c r="G142" i="11"/>
  <c r="H344" i="11"/>
  <c r="H341" i="11"/>
  <c r="H338" i="11"/>
  <c r="H335" i="11"/>
  <c r="H312" i="11"/>
  <c r="H309" i="11"/>
  <c r="H306" i="11"/>
  <c r="H303" i="11"/>
  <c r="H356" i="11"/>
  <c r="H353" i="11"/>
  <c r="H350" i="11"/>
  <c r="H347" i="11"/>
  <c r="H365" i="11"/>
  <c r="H362" i="11"/>
  <c r="H359" i="11"/>
  <c r="H336" i="11"/>
  <c r="H333" i="11"/>
  <c r="H330" i="11"/>
  <c r="H327" i="11"/>
  <c r="H304" i="11"/>
  <c r="H301" i="11"/>
  <c r="H298" i="11"/>
  <c r="H295" i="11"/>
  <c r="H272" i="11"/>
  <c r="H269" i="11"/>
  <c r="H266" i="11"/>
  <c r="H263" i="11"/>
  <c r="H360" i="11"/>
  <c r="H357" i="11"/>
  <c r="H354" i="11"/>
  <c r="H351" i="11"/>
  <c r="H363" i="11"/>
  <c r="H340" i="11"/>
  <c r="H337" i="11"/>
  <c r="H334" i="11"/>
  <c r="H331" i="11"/>
  <c r="H308" i="11"/>
  <c r="H305" i="11"/>
  <c r="H364" i="11"/>
  <c r="H361" i="11"/>
  <c r="H358" i="11"/>
  <c r="H355" i="11"/>
  <c r="H332" i="11"/>
  <c r="H329" i="11"/>
  <c r="H326" i="11"/>
  <c r="H323" i="11"/>
  <c r="H300" i="11"/>
  <c r="H297" i="11"/>
  <c r="H294" i="11"/>
  <c r="H291" i="11"/>
  <c r="H268" i="11"/>
  <c r="H342" i="11"/>
  <c r="H302" i="11"/>
  <c r="H260" i="11"/>
  <c r="H253" i="11"/>
  <c r="H235" i="11"/>
  <c r="H231" i="11"/>
  <c r="H227" i="11"/>
  <c r="H223" i="11"/>
  <c r="H219" i="11"/>
  <c r="H215" i="11"/>
  <c r="H211" i="11"/>
  <c r="H207" i="11"/>
  <c r="H203" i="11"/>
  <c r="H199" i="11"/>
  <c r="H195" i="11"/>
  <c r="H352" i="11"/>
  <c r="H346" i="11"/>
  <c r="H316" i="11"/>
  <c r="H313" i="11"/>
  <c r="H310" i="11"/>
  <c r="H307" i="11"/>
  <c r="H281" i="11"/>
  <c r="H277" i="11"/>
  <c r="H275" i="11"/>
  <c r="H273" i="11"/>
  <c r="H271" i="11"/>
  <c r="H267" i="11"/>
  <c r="H265" i="11"/>
  <c r="H258" i="11"/>
  <c r="H248" i="11"/>
  <c r="H245" i="11"/>
  <c r="H242" i="11"/>
  <c r="H239" i="11"/>
  <c r="H345" i="11"/>
  <c r="H328" i="11"/>
  <c r="H325" i="11"/>
  <c r="H322" i="11"/>
  <c r="H319" i="11"/>
  <c r="H293" i="11"/>
  <c r="H289" i="11"/>
  <c r="H287" i="11"/>
  <c r="H285" i="11"/>
  <c r="H283" i="11"/>
  <c r="H279" i="11"/>
  <c r="H256" i="11"/>
  <c r="H251" i="11"/>
  <c r="H236" i="11"/>
  <c r="H232" i="11"/>
  <c r="H228" i="11"/>
  <c r="H224" i="11"/>
  <c r="H220" i="11"/>
  <c r="H216" i="11"/>
  <c r="H212" i="11"/>
  <c r="H208" i="11"/>
  <c r="H204" i="11"/>
  <c r="H200" i="11"/>
  <c r="H196" i="11"/>
  <c r="H192" i="11"/>
  <c r="H299" i="11"/>
  <c r="H261" i="11"/>
  <c r="H240" i="11"/>
  <c r="H324" i="11"/>
  <c r="H321" i="11"/>
  <c r="H318" i="11"/>
  <c r="H315" i="11"/>
  <c r="H254" i="11"/>
  <c r="H252" i="11"/>
  <c r="H249" i="11"/>
  <c r="H246" i="11"/>
  <c r="H243" i="11"/>
  <c r="H237" i="11"/>
  <c r="H233" i="11"/>
  <c r="H229" i="11"/>
  <c r="H225" i="11"/>
  <c r="H221" i="11"/>
  <c r="H217" i="11"/>
  <c r="H213" i="11"/>
  <c r="H209" i="11"/>
  <c r="H349" i="11"/>
  <c r="H284" i="11"/>
  <c r="H280" i="11"/>
  <c r="H278" i="11"/>
  <c r="H276" i="11"/>
  <c r="H274" i="11"/>
  <c r="H270" i="11"/>
  <c r="H264" i="11"/>
  <c r="H259" i="11"/>
  <c r="H348" i="11"/>
  <c r="H339" i="11"/>
  <c r="H296" i="11"/>
  <c r="H292" i="11"/>
  <c r="H290" i="11"/>
  <c r="H288" i="11"/>
  <c r="H286" i="11"/>
  <c r="H282" i="11"/>
  <c r="H257" i="11"/>
  <c r="H320" i="11"/>
  <c r="H189" i="11"/>
  <c r="H185" i="11"/>
  <c r="H181" i="11"/>
  <c r="H177" i="11"/>
  <c r="H173" i="11"/>
  <c r="H169" i="11"/>
  <c r="H165" i="11"/>
  <c r="H161" i="11"/>
  <c r="H157" i="11"/>
  <c r="H153" i="11"/>
  <c r="H149" i="11"/>
  <c r="H145" i="11"/>
  <c r="H141" i="11"/>
  <c r="H137" i="11"/>
  <c r="H133" i="11"/>
  <c r="H129" i="11"/>
  <c r="H125" i="11"/>
  <c r="H121" i="11"/>
  <c r="H117" i="11"/>
  <c r="H113" i="11"/>
  <c r="H109" i="11"/>
  <c r="H105" i="11"/>
  <c r="H343" i="11"/>
  <c r="H317" i="11"/>
  <c r="H250" i="11"/>
  <c r="H226" i="11"/>
  <c r="H210" i="11"/>
  <c r="H314" i="11"/>
  <c r="H262" i="11"/>
  <c r="H201" i="11"/>
  <c r="H193" i="11"/>
  <c r="H190" i="11"/>
  <c r="H186" i="11"/>
  <c r="H182" i="11"/>
  <c r="H178" i="11"/>
  <c r="H174" i="11"/>
  <c r="H170" i="11"/>
  <c r="H166" i="11"/>
  <c r="H162" i="11"/>
  <c r="H158" i="11"/>
  <c r="H154" i="11"/>
  <c r="H150" i="11"/>
  <c r="H146" i="11"/>
  <c r="H142" i="11"/>
  <c r="H138" i="11"/>
  <c r="H134" i="11"/>
  <c r="H130" i="11"/>
  <c r="H126" i="11"/>
  <c r="H122" i="11"/>
  <c r="H118" i="11"/>
  <c r="H114" i="11"/>
  <c r="H110" i="11"/>
  <c r="H106" i="11"/>
  <c r="H247" i="11"/>
  <c r="H191" i="11"/>
  <c r="H187" i="11"/>
  <c r="H183" i="11"/>
  <c r="H179" i="11"/>
  <c r="H175" i="11"/>
  <c r="H171" i="11"/>
  <c r="H167" i="11"/>
  <c r="H163" i="11"/>
  <c r="H159" i="11"/>
  <c r="H155" i="11"/>
  <c r="H151" i="11"/>
  <c r="H147" i="11"/>
  <c r="H143" i="11"/>
  <c r="H139" i="11"/>
  <c r="H135" i="11"/>
  <c r="H131" i="11"/>
  <c r="H127" i="11"/>
  <c r="H123" i="11"/>
  <c r="H119" i="11"/>
  <c r="H115" i="11"/>
  <c r="H111" i="11"/>
  <c r="H107" i="11"/>
  <c r="H234" i="11"/>
  <c r="H218" i="11"/>
  <c r="H206" i="11"/>
  <c r="H160" i="11"/>
  <c r="H128" i="11"/>
  <c r="H101" i="11"/>
  <c r="H97" i="11"/>
  <c r="H93" i="11"/>
  <c r="H89" i="11"/>
  <c r="H85" i="11"/>
  <c r="H81" i="11"/>
  <c r="H77" i="11"/>
  <c r="H244" i="11"/>
  <c r="H214" i="11"/>
  <c r="H197" i="11"/>
  <c r="H184" i="11"/>
  <c r="H152" i="11"/>
  <c r="H120" i="11"/>
  <c r="H102" i="11"/>
  <c r="H98" i="11"/>
  <c r="H94" i="11"/>
  <c r="H90" i="11"/>
  <c r="H86" i="11"/>
  <c r="H82" i="11"/>
  <c r="H78" i="11"/>
  <c r="H311" i="11"/>
  <c r="H176" i="11"/>
  <c r="H144" i="11"/>
  <c r="H112" i="11"/>
  <c r="H103" i="11"/>
  <c r="H99" i="11"/>
  <c r="H95" i="11"/>
  <c r="H91" i="11"/>
  <c r="H87" i="11"/>
  <c r="H83" i="11"/>
  <c r="H79" i="11"/>
  <c r="H75" i="11"/>
  <c r="H71" i="11"/>
  <c r="H67" i="11"/>
  <c r="H63" i="11"/>
  <c r="H59" i="11"/>
  <c r="H55" i="11"/>
  <c r="H51" i="11"/>
  <c r="H47" i="11"/>
  <c r="H43" i="11"/>
  <c r="H39" i="11"/>
  <c r="H35" i="11"/>
  <c r="H238" i="11"/>
  <c r="H202" i="11"/>
  <c r="H172" i="11"/>
  <c r="H140" i="11"/>
  <c r="H108" i="11"/>
  <c r="H255" i="11"/>
  <c r="H222" i="11"/>
  <c r="H194" i="11"/>
  <c r="H168" i="11"/>
  <c r="H136" i="11"/>
  <c r="H104" i="11"/>
  <c r="H100" i="11"/>
  <c r="H96" i="11"/>
  <c r="H92" i="11"/>
  <c r="H88" i="11"/>
  <c r="H84" i="11"/>
  <c r="H80" i="11"/>
  <c r="H76" i="11"/>
  <c r="H72" i="11"/>
  <c r="H68" i="11"/>
  <c r="H64" i="11"/>
  <c r="H60" i="11"/>
  <c r="H56" i="11"/>
  <c r="H52" i="11"/>
  <c r="H48" i="11"/>
  <c r="H44" i="11"/>
  <c r="H40" i="11"/>
  <c r="H36" i="11"/>
  <c r="H32" i="11"/>
  <c r="J11" i="11"/>
  <c r="F13" i="11"/>
  <c r="H14" i="11"/>
  <c r="J15" i="11"/>
  <c r="F17" i="11"/>
  <c r="H18" i="11"/>
  <c r="J19" i="11"/>
  <c r="F21" i="11"/>
  <c r="H22" i="11"/>
  <c r="J23" i="11"/>
  <c r="F25" i="11"/>
  <c r="H26" i="11"/>
  <c r="J27" i="11"/>
  <c r="F29" i="11"/>
  <c r="H30" i="11"/>
  <c r="J31" i="11"/>
  <c r="G33" i="11"/>
  <c r="I35" i="11"/>
  <c r="H37" i="11"/>
  <c r="J39" i="11"/>
  <c r="I41" i="11"/>
  <c r="E44" i="11"/>
  <c r="G46" i="11"/>
  <c r="F48" i="11"/>
  <c r="H50" i="11"/>
  <c r="G52" i="11"/>
  <c r="I54" i="11"/>
  <c r="E57" i="11"/>
  <c r="J58" i="11"/>
  <c r="F61" i="11"/>
  <c r="E63" i="11"/>
  <c r="G65" i="11"/>
  <c r="I67" i="11"/>
  <c r="H69" i="11"/>
  <c r="J71" i="11"/>
  <c r="I73" i="11"/>
  <c r="G76" i="11"/>
  <c r="E80" i="11"/>
  <c r="I83" i="11"/>
  <c r="E87" i="11"/>
  <c r="I90" i="11"/>
  <c r="G94" i="11"/>
  <c r="I97" i="11"/>
  <c r="G101" i="11"/>
  <c r="J105" i="11"/>
  <c r="E115" i="11"/>
  <c r="H124" i="11"/>
  <c r="F143" i="11"/>
  <c r="E153" i="11"/>
  <c r="E163" i="11"/>
  <c r="I171" i="11"/>
  <c r="F191" i="11"/>
  <c r="J207" i="11"/>
  <c r="J245" i="11"/>
  <c r="F37" i="11"/>
  <c r="G363" i="11"/>
  <c r="G359" i="11"/>
  <c r="G355" i="11"/>
  <c r="G351" i="11"/>
  <c r="G347" i="11"/>
  <c r="G343" i="11"/>
  <c r="G339" i="11"/>
  <c r="G335" i="11"/>
  <c r="G331" i="11"/>
  <c r="G327" i="11"/>
  <c r="G323" i="11"/>
  <c r="G319" i="11"/>
  <c r="G315" i="11"/>
  <c r="G311" i="11"/>
  <c r="G307" i="11"/>
  <c r="G303" i="11"/>
  <c r="G299" i="11"/>
  <c r="G295" i="11"/>
  <c r="G291" i="11"/>
  <c r="G287" i="11"/>
  <c r="G283" i="11"/>
  <c r="G279" i="11"/>
  <c r="G275" i="11"/>
  <c r="G271" i="11"/>
  <c r="G267" i="11"/>
  <c r="G263" i="11"/>
  <c r="G259" i="11"/>
  <c r="G255" i="11"/>
  <c r="G364" i="11"/>
  <c r="G361" i="11"/>
  <c r="G358" i="11"/>
  <c r="G332" i="11"/>
  <c r="G329" i="11"/>
  <c r="G326" i="11"/>
  <c r="G344" i="11"/>
  <c r="G341" i="11"/>
  <c r="G338" i="11"/>
  <c r="G356" i="11"/>
  <c r="G353" i="11"/>
  <c r="G350" i="11"/>
  <c r="G324" i="11"/>
  <c r="G321" i="11"/>
  <c r="G318" i="11"/>
  <c r="G292" i="11"/>
  <c r="G289" i="11"/>
  <c r="G286" i="11"/>
  <c r="G260" i="11"/>
  <c r="G257" i="11"/>
  <c r="G254" i="11"/>
  <c r="G251" i="11"/>
  <c r="G247" i="11"/>
  <c r="G243" i="11"/>
  <c r="G239" i="11"/>
  <c r="G365" i="11"/>
  <c r="G348" i="11"/>
  <c r="G360" i="11"/>
  <c r="G357" i="11"/>
  <c r="G354" i="11"/>
  <c r="G328" i="11"/>
  <c r="G325" i="11"/>
  <c r="G322" i="11"/>
  <c r="G352" i="11"/>
  <c r="G349" i="11"/>
  <c r="G346" i="11"/>
  <c r="G320" i="11"/>
  <c r="G317" i="11"/>
  <c r="G314" i="11"/>
  <c r="G288" i="11"/>
  <c r="G285" i="11"/>
  <c r="G282" i="11"/>
  <c r="G262" i="11"/>
  <c r="G250" i="11"/>
  <c r="G362" i="11"/>
  <c r="G342" i="11"/>
  <c r="G304" i="11"/>
  <c r="G302" i="11"/>
  <c r="G269" i="11"/>
  <c r="G253" i="11"/>
  <c r="G235" i="11"/>
  <c r="G231" i="11"/>
  <c r="G227" i="11"/>
  <c r="G223" i="11"/>
  <c r="G219" i="11"/>
  <c r="G215" i="11"/>
  <c r="G211" i="11"/>
  <c r="G207" i="11"/>
  <c r="G203" i="11"/>
  <c r="G199" i="11"/>
  <c r="G195" i="11"/>
  <c r="G316" i="11"/>
  <c r="G313" i="11"/>
  <c r="G310" i="11"/>
  <c r="G281" i="11"/>
  <c r="G277" i="11"/>
  <c r="G273" i="11"/>
  <c r="G265" i="11"/>
  <c r="G258" i="11"/>
  <c r="G248" i="11"/>
  <c r="G245" i="11"/>
  <c r="G242" i="11"/>
  <c r="G345" i="11"/>
  <c r="G337" i="11"/>
  <c r="G334" i="11"/>
  <c r="G301" i="11"/>
  <c r="G297" i="11"/>
  <c r="G293" i="11"/>
  <c r="G256" i="11"/>
  <c r="G236" i="11"/>
  <c r="G232" i="11"/>
  <c r="G228" i="11"/>
  <c r="G224" i="11"/>
  <c r="G220" i="11"/>
  <c r="G216" i="11"/>
  <c r="G212" i="11"/>
  <c r="G312" i="11"/>
  <c r="G309" i="11"/>
  <c r="G306" i="11"/>
  <c r="G261" i="11"/>
  <c r="G240" i="11"/>
  <c r="G340" i="11"/>
  <c r="G336" i="11"/>
  <c r="G333" i="11"/>
  <c r="G330" i="11"/>
  <c r="G272" i="11"/>
  <c r="G268" i="11"/>
  <c r="G266" i="11"/>
  <c r="G252" i="11"/>
  <c r="G249" i="11"/>
  <c r="G246" i="11"/>
  <c r="G237" i="11"/>
  <c r="G233" i="11"/>
  <c r="G229" i="11"/>
  <c r="G225" i="11"/>
  <c r="G221" i="11"/>
  <c r="G217" i="11"/>
  <c r="G213" i="11"/>
  <c r="G209" i="11"/>
  <c r="G205" i="11"/>
  <c r="G201" i="11"/>
  <c r="G197" i="11"/>
  <c r="G193" i="11"/>
  <c r="G284" i="11"/>
  <c r="G280" i="11"/>
  <c r="G278" i="11"/>
  <c r="G276" i="11"/>
  <c r="G274" i="11"/>
  <c r="G270" i="11"/>
  <c r="G264" i="11"/>
  <c r="G298" i="11"/>
  <c r="G244" i="11"/>
  <c r="G238" i="11"/>
  <c r="G222" i="11"/>
  <c r="G202" i="11"/>
  <c r="G194" i="11"/>
  <c r="G296" i="11"/>
  <c r="G204" i="11"/>
  <c r="G196" i="11"/>
  <c r="G189" i="11"/>
  <c r="G185" i="11"/>
  <c r="G181" i="11"/>
  <c r="G177" i="11"/>
  <c r="G173" i="11"/>
  <c r="G169" i="11"/>
  <c r="G165" i="11"/>
  <c r="G161" i="11"/>
  <c r="G157" i="11"/>
  <c r="G153" i="11"/>
  <c r="G149" i="11"/>
  <c r="G145" i="11"/>
  <c r="G141" i="11"/>
  <c r="G137" i="11"/>
  <c r="G133" i="11"/>
  <c r="G129" i="11"/>
  <c r="G125" i="11"/>
  <c r="G121" i="11"/>
  <c r="G117" i="11"/>
  <c r="G113" i="11"/>
  <c r="G109" i="11"/>
  <c r="G105" i="11"/>
  <c r="G294" i="11"/>
  <c r="G226" i="11"/>
  <c r="G210" i="11"/>
  <c r="G308" i="11"/>
  <c r="G290" i="11"/>
  <c r="G241" i="11"/>
  <c r="G230" i="11"/>
  <c r="G214" i="11"/>
  <c r="G206" i="11"/>
  <c r="G198" i="11"/>
  <c r="G305" i="11"/>
  <c r="G208" i="11"/>
  <c r="G200" i="11"/>
  <c r="G191" i="11"/>
  <c r="G187" i="11"/>
  <c r="G183" i="11"/>
  <c r="G179" i="11"/>
  <c r="G175" i="11"/>
  <c r="G171" i="11"/>
  <c r="G167" i="11"/>
  <c r="G163" i="11"/>
  <c r="G159" i="11"/>
  <c r="G155" i="11"/>
  <c r="G151" i="11"/>
  <c r="G147" i="11"/>
  <c r="G143" i="11"/>
  <c r="G139" i="11"/>
  <c r="G135" i="11"/>
  <c r="G131" i="11"/>
  <c r="G127" i="11"/>
  <c r="G123" i="11"/>
  <c r="G119" i="11"/>
  <c r="G115" i="11"/>
  <c r="G111" i="11"/>
  <c r="G107" i="11"/>
  <c r="G218" i="11"/>
  <c r="G178" i="11"/>
  <c r="G164" i="11"/>
  <c r="G146" i="11"/>
  <c r="G132" i="11"/>
  <c r="G114" i="11"/>
  <c r="G188" i="11"/>
  <c r="G170" i="11"/>
  <c r="G156" i="11"/>
  <c r="G138" i="11"/>
  <c r="G124" i="11"/>
  <c r="G106" i="11"/>
  <c r="G180" i="11"/>
  <c r="G162" i="11"/>
  <c r="G148" i="11"/>
  <c r="G130" i="11"/>
  <c r="G116" i="11"/>
  <c r="G190" i="11"/>
  <c r="G176" i="11"/>
  <c r="G158" i="11"/>
  <c r="G144" i="11"/>
  <c r="G126" i="11"/>
  <c r="G112" i="11"/>
  <c r="G103" i="11"/>
  <c r="G99" i="11"/>
  <c r="G95" i="11"/>
  <c r="G91" i="11"/>
  <c r="G87" i="11"/>
  <c r="G83" i="11"/>
  <c r="G79" i="11"/>
  <c r="G75" i="11"/>
  <c r="G71" i="11"/>
  <c r="G67" i="11"/>
  <c r="G63" i="11"/>
  <c r="G59" i="11"/>
  <c r="G55" i="11"/>
  <c r="G51" i="11"/>
  <c r="G47" i="11"/>
  <c r="G43" i="11"/>
  <c r="G39" i="11"/>
  <c r="G35" i="11"/>
  <c r="G300" i="11"/>
  <c r="G186" i="11"/>
  <c r="G172" i="11"/>
  <c r="G154" i="11"/>
  <c r="G140" i="11"/>
  <c r="G122" i="11"/>
  <c r="G108" i="11"/>
  <c r="G18" i="11"/>
  <c r="G30" i="11"/>
  <c r="J43" i="11"/>
  <c r="G50" i="11"/>
  <c r="F65" i="11"/>
  <c r="G69" i="11"/>
  <c r="G90" i="11"/>
  <c r="G152" i="11"/>
  <c r="I364" i="11"/>
  <c r="I360" i="11"/>
  <c r="I356" i="11"/>
  <c r="I352" i="11"/>
  <c r="I348" i="11"/>
  <c r="I344" i="11"/>
  <c r="I340" i="11"/>
  <c r="I336" i="11"/>
  <c r="I332" i="11"/>
  <c r="I328" i="11"/>
  <c r="I324" i="11"/>
  <c r="I320" i="11"/>
  <c r="I316" i="11"/>
  <c r="I312" i="11"/>
  <c r="I308" i="11"/>
  <c r="I304" i="11"/>
  <c r="I300" i="11"/>
  <c r="I296" i="11"/>
  <c r="I292" i="11"/>
  <c r="I288" i="11"/>
  <c r="I284" i="11"/>
  <c r="I280" i="11"/>
  <c r="I276" i="11"/>
  <c r="I272" i="11"/>
  <c r="I268" i="11"/>
  <c r="I264" i="11"/>
  <c r="I260" i="11"/>
  <c r="I256" i="11"/>
  <c r="I252" i="11"/>
  <c r="I353" i="11"/>
  <c r="I350" i="11"/>
  <c r="I347" i="11"/>
  <c r="I321" i="11"/>
  <c r="I318" i="11"/>
  <c r="I315" i="11"/>
  <c r="I365" i="11"/>
  <c r="I362" i="11"/>
  <c r="I359" i="11"/>
  <c r="I345" i="11"/>
  <c r="I342" i="11"/>
  <c r="I339" i="11"/>
  <c r="I313" i="11"/>
  <c r="I310" i="11"/>
  <c r="I307" i="11"/>
  <c r="I281" i="11"/>
  <c r="I278" i="11"/>
  <c r="I275" i="11"/>
  <c r="I248" i="11"/>
  <c r="I244" i="11"/>
  <c r="I240" i="11"/>
  <c r="I363" i="11"/>
  <c r="I349" i="11"/>
  <c r="I346" i="11"/>
  <c r="I343" i="11"/>
  <c r="I317" i="11"/>
  <c r="I314" i="11"/>
  <c r="I311" i="11"/>
  <c r="I361" i="11"/>
  <c r="I358" i="11"/>
  <c r="I355" i="11"/>
  <c r="I341" i="11"/>
  <c r="I338" i="11"/>
  <c r="I335" i="11"/>
  <c r="I309" i="11"/>
  <c r="I306" i="11"/>
  <c r="I303" i="11"/>
  <c r="I277" i="11"/>
  <c r="I274" i="11"/>
  <c r="I271" i="11"/>
  <c r="I273" i="11"/>
  <c r="I269" i="11"/>
  <c r="I267" i="11"/>
  <c r="I265" i="11"/>
  <c r="I258" i="11"/>
  <c r="I245" i="11"/>
  <c r="I242" i="11"/>
  <c r="I239" i="11"/>
  <c r="I325" i="11"/>
  <c r="I322" i="11"/>
  <c r="I319" i="11"/>
  <c r="I293" i="11"/>
  <c r="I289" i="11"/>
  <c r="I287" i="11"/>
  <c r="I285" i="11"/>
  <c r="I283" i="11"/>
  <c r="I279" i="11"/>
  <c r="I251" i="11"/>
  <c r="I236" i="11"/>
  <c r="I232" i="11"/>
  <c r="I228" i="11"/>
  <c r="I224" i="11"/>
  <c r="I220" i="11"/>
  <c r="I216" i="11"/>
  <c r="I212" i="11"/>
  <c r="I208" i="11"/>
  <c r="I204" i="11"/>
  <c r="I200" i="11"/>
  <c r="I196" i="11"/>
  <c r="I351" i="11"/>
  <c r="I337" i="11"/>
  <c r="I334" i="11"/>
  <c r="I331" i="11"/>
  <c r="I301" i="11"/>
  <c r="I299" i="11"/>
  <c r="I297" i="11"/>
  <c r="I295" i="11"/>
  <c r="I291" i="11"/>
  <c r="I263" i="11"/>
  <c r="I261" i="11"/>
  <c r="I254" i="11"/>
  <c r="I249" i="11"/>
  <c r="I246" i="11"/>
  <c r="I243" i="11"/>
  <c r="I237" i="11"/>
  <c r="I233" i="11"/>
  <c r="I229" i="11"/>
  <c r="I225" i="11"/>
  <c r="I221" i="11"/>
  <c r="I217" i="11"/>
  <c r="I213" i="11"/>
  <c r="I209" i="11"/>
  <c r="I357" i="11"/>
  <c r="I333" i="11"/>
  <c r="I330" i="11"/>
  <c r="I327" i="11"/>
  <c r="I270" i="11"/>
  <c r="I266" i="11"/>
  <c r="I259" i="11"/>
  <c r="I290" i="11"/>
  <c r="I286" i="11"/>
  <c r="I282" i="11"/>
  <c r="I257" i="11"/>
  <c r="I241" i="11"/>
  <c r="I238" i="11"/>
  <c r="I234" i="11"/>
  <c r="I230" i="11"/>
  <c r="I226" i="11"/>
  <c r="I222" i="11"/>
  <c r="I218" i="11"/>
  <c r="I214" i="11"/>
  <c r="I210" i="11"/>
  <c r="I206" i="11"/>
  <c r="I202" i="11"/>
  <c r="I198" i="11"/>
  <c r="I194" i="11"/>
  <c r="I354" i="11"/>
  <c r="I305" i="11"/>
  <c r="I298" i="11"/>
  <c r="I294" i="11"/>
  <c r="I262" i="11"/>
  <c r="I255" i="11"/>
  <c r="I250" i="11"/>
  <c r="I227" i="11"/>
  <c r="I211" i="11"/>
  <c r="I207" i="11"/>
  <c r="I199" i="11"/>
  <c r="I201" i="11"/>
  <c r="I193" i="11"/>
  <c r="I190" i="11"/>
  <c r="I186" i="11"/>
  <c r="I182" i="11"/>
  <c r="I178" i="11"/>
  <c r="I174" i="11"/>
  <c r="I170" i="11"/>
  <c r="I166" i="11"/>
  <c r="I162" i="11"/>
  <c r="I158" i="11"/>
  <c r="I154" i="11"/>
  <c r="I150" i="11"/>
  <c r="I146" i="11"/>
  <c r="I142" i="11"/>
  <c r="I138" i="11"/>
  <c r="I134" i="11"/>
  <c r="I130" i="11"/>
  <c r="I126" i="11"/>
  <c r="I122" i="11"/>
  <c r="I118" i="11"/>
  <c r="I114" i="11"/>
  <c r="I110" i="11"/>
  <c r="I106" i="11"/>
  <c r="I231" i="11"/>
  <c r="I215" i="11"/>
  <c r="I235" i="11"/>
  <c r="I219" i="11"/>
  <c r="I203" i="11"/>
  <c r="I195" i="11"/>
  <c r="I329" i="11"/>
  <c r="I205" i="11"/>
  <c r="I197" i="11"/>
  <c r="I188" i="11"/>
  <c r="I184" i="11"/>
  <c r="I180" i="11"/>
  <c r="I176" i="11"/>
  <c r="I172" i="11"/>
  <c r="I168" i="11"/>
  <c r="I164" i="11"/>
  <c r="I160" i="11"/>
  <c r="I156" i="11"/>
  <c r="I152" i="11"/>
  <c r="I148" i="11"/>
  <c r="I144" i="11"/>
  <c r="I140" i="11"/>
  <c r="I136" i="11"/>
  <c r="I132" i="11"/>
  <c r="I128" i="11"/>
  <c r="I124" i="11"/>
  <c r="I120" i="11"/>
  <c r="I116" i="11"/>
  <c r="I112" i="11"/>
  <c r="I108" i="11"/>
  <c r="I104" i="11"/>
  <c r="I247" i="11"/>
  <c r="I192" i="11"/>
  <c r="I185" i="11"/>
  <c r="I167" i="11"/>
  <c r="I153" i="11"/>
  <c r="I135" i="11"/>
  <c r="I121" i="11"/>
  <c r="I326" i="11"/>
  <c r="I191" i="11"/>
  <c r="I177" i="11"/>
  <c r="I159" i="11"/>
  <c r="I145" i="11"/>
  <c r="I127" i="11"/>
  <c r="I113" i="11"/>
  <c r="I183" i="11"/>
  <c r="I169" i="11"/>
  <c r="I151" i="11"/>
  <c r="I137" i="11"/>
  <c r="I119" i="11"/>
  <c r="I105" i="11"/>
  <c r="I302" i="11"/>
  <c r="I223" i="11"/>
  <c r="I179" i="11"/>
  <c r="I165" i="11"/>
  <c r="I147" i="11"/>
  <c r="I133" i="11"/>
  <c r="I115" i="11"/>
  <c r="I100" i="11"/>
  <c r="I96" i="11"/>
  <c r="I92" i="11"/>
  <c r="I88" i="11"/>
  <c r="I84" i="11"/>
  <c r="I80" i="11"/>
  <c r="I76" i="11"/>
  <c r="I72" i="11"/>
  <c r="I68" i="11"/>
  <c r="I64" i="11"/>
  <c r="I60" i="11"/>
  <c r="I56" i="11"/>
  <c r="I52" i="11"/>
  <c r="I48" i="11"/>
  <c r="I44" i="11"/>
  <c r="I40" i="11"/>
  <c r="I36" i="11"/>
  <c r="I175" i="11"/>
  <c r="I161" i="11"/>
  <c r="I143" i="11"/>
  <c r="I129" i="11"/>
  <c r="I111" i="11"/>
  <c r="E12" i="11"/>
  <c r="G13" i="11"/>
  <c r="I14" i="11"/>
  <c r="E16" i="11"/>
  <c r="G17" i="11"/>
  <c r="I18" i="11"/>
  <c r="E20" i="11"/>
  <c r="G21" i="11"/>
  <c r="I22" i="11"/>
  <c r="E24" i="11"/>
  <c r="G25" i="11"/>
  <c r="I26" i="11"/>
  <c r="E28" i="11"/>
  <c r="G29" i="11"/>
  <c r="I30" i="11"/>
  <c r="E32" i="11"/>
  <c r="H33" i="11"/>
  <c r="J35" i="11"/>
  <c r="I37" i="11"/>
  <c r="E40" i="11"/>
  <c r="G42" i="11"/>
  <c r="F44" i="11"/>
  <c r="H46" i="11"/>
  <c r="G48" i="11"/>
  <c r="I50" i="11"/>
  <c r="E53" i="11"/>
  <c r="J54" i="11"/>
  <c r="F57" i="11"/>
  <c r="E59" i="11"/>
  <c r="G61" i="11"/>
  <c r="I63" i="11"/>
  <c r="H65" i="11"/>
  <c r="J67" i="11"/>
  <c r="I69" i="11"/>
  <c r="E72" i="11"/>
  <c r="G74" i="11"/>
  <c r="E77" i="11"/>
  <c r="G80" i="11"/>
  <c r="E84" i="11"/>
  <c r="I87" i="11"/>
  <c r="E91" i="11"/>
  <c r="I94" i="11"/>
  <c r="G98" i="11"/>
  <c r="I101" i="11"/>
  <c r="E107" i="11"/>
  <c r="H116" i="11"/>
  <c r="I125" i="11"/>
  <c r="E145" i="11"/>
  <c r="J153" i="11"/>
  <c r="I163" i="11"/>
  <c r="I173" i="11"/>
  <c r="G182" i="11"/>
  <c r="G192" i="11"/>
  <c r="E213" i="11"/>
  <c r="I253" i="11"/>
  <c r="F355" i="11"/>
  <c r="F352" i="11"/>
  <c r="F349" i="11"/>
  <c r="F346" i="11"/>
  <c r="F323" i="11"/>
  <c r="F320" i="11"/>
  <c r="F317" i="11"/>
  <c r="F314" i="11"/>
  <c r="F364" i="11"/>
  <c r="F361" i="11"/>
  <c r="F358" i="11"/>
  <c r="F347" i="11"/>
  <c r="F344" i="11"/>
  <c r="F341" i="11"/>
  <c r="F338" i="11"/>
  <c r="F315" i="11"/>
  <c r="F312" i="11"/>
  <c r="F309" i="11"/>
  <c r="F306" i="11"/>
  <c r="F283" i="11"/>
  <c r="F280" i="11"/>
  <c r="F277" i="11"/>
  <c r="F274" i="11"/>
  <c r="F365" i="11"/>
  <c r="F362" i="11"/>
  <c r="F351" i="11"/>
  <c r="F348" i="11"/>
  <c r="F345" i="11"/>
  <c r="F342" i="11"/>
  <c r="F319" i="11"/>
  <c r="F316" i="11"/>
  <c r="F313" i="11"/>
  <c r="F310" i="11"/>
  <c r="F363" i="11"/>
  <c r="F360" i="11"/>
  <c r="F357" i="11"/>
  <c r="F343" i="11"/>
  <c r="F340" i="11"/>
  <c r="F337" i="11"/>
  <c r="F334" i="11"/>
  <c r="F311" i="11"/>
  <c r="F308" i="11"/>
  <c r="F305" i="11"/>
  <c r="F302" i="11"/>
  <c r="F279" i="11"/>
  <c r="F276" i="11"/>
  <c r="F273" i="11"/>
  <c r="F270" i="11"/>
  <c r="F353" i="11"/>
  <c r="F335" i="11"/>
  <c r="F332" i="11"/>
  <c r="F329" i="11"/>
  <c r="F326" i="11"/>
  <c r="F300" i="11"/>
  <c r="F298" i="11"/>
  <c r="F296" i="11"/>
  <c r="F294" i="11"/>
  <c r="F290" i="11"/>
  <c r="F255" i="11"/>
  <c r="F247" i="11"/>
  <c r="F244" i="11"/>
  <c r="F241" i="11"/>
  <c r="F238" i="11"/>
  <c r="F234" i="11"/>
  <c r="F230" i="11"/>
  <c r="F226" i="11"/>
  <c r="F222" i="11"/>
  <c r="F218" i="11"/>
  <c r="F214" i="11"/>
  <c r="F210" i="11"/>
  <c r="F206" i="11"/>
  <c r="F202" i="11"/>
  <c r="F198" i="11"/>
  <c r="F194" i="11"/>
  <c r="F262" i="11"/>
  <c r="F260" i="11"/>
  <c r="F250" i="11"/>
  <c r="F307" i="11"/>
  <c r="F304" i="11"/>
  <c r="F275" i="11"/>
  <c r="F271" i="11"/>
  <c r="F269" i="11"/>
  <c r="F267" i="11"/>
  <c r="F253" i="11"/>
  <c r="F239" i="11"/>
  <c r="F235" i="11"/>
  <c r="F231" i="11"/>
  <c r="F227" i="11"/>
  <c r="F223" i="11"/>
  <c r="F219" i="11"/>
  <c r="F215" i="11"/>
  <c r="F211" i="11"/>
  <c r="F207" i="11"/>
  <c r="F203" i="11"/>
  <c r="F199" i="11"/>
  <c r="F195" i="11"/>
  <c r="F359" i="11"/>
  <c r="F331" i="11"/>
  <c r="F328" i="11"/>
  <c r="F325" i="11"/>
  <c r="F322" i="11"/>
  <c r="F295" i="11"/>
  <c r="F291" i="11"/>
  <c r="F289" i="11"/>
  <c r="F287" i="11"/>
  <c r="F285" i="11"/>
  <c r="F281" i="11"/>
  <c r="F265" i="11"/>
  <c r="F263" i="11"/>
  <c r="F258" i="11"/>
  <c r="F251" i="11"/>
  <c r="F248" i="11"/>
  <c r="F245" i="11"/>
  <c r="F242" i="11"/>
  <c r="F350" i="11"/>
  <c r="F301" i="11"/>
  <c r="F299" i="11"/>
  <c r="F297" i="11"/>
  <c r="F293" i="11"/>
  <c r="F256" i="11"/>
  <c r="F236" i="11"/>
  <c r="F232" i="11"/>
  <c r="F228" i="11"/>
  <c r="F224" i="11"/>
  <c r="F220" i="11"/>
  <c r="F216" i="11"/>
  <c r="F212" i="11"/>
  <c r="F356" i="11"/>
  <c r="F327" i="11"/>
  <c r="F324" i="11"/>
  <c r="F321" i="11"/>
  <c r="F318" i="11"/>
  <c r="F303" i="11"/>
  <c r="F261" i="11"/>
  <c r="F254" i="11"/>
  <c r="F243" i="11"/>
  <c r="F240" i="11"/>
  <c r="F336" i="11"/>
  <c r="F333" i="11"/>
  <c r="F330" i="11"/>
  <c r="F272" i="11"/>
  <c r="F268" i="11"/>
  <c r="F266" i="11"/>
  <c r="F259" i="11"/>
  <c r="F252" i="11"/>
  <c r="F249" i="11"/>
  <c r="F282" i="11"/>
  <c r="F192" i="11"/>
  <c r="F188" i="11"/>
  <c r="F184" i="11"/>
  <c r="F180" i="11"/>
  <c r="F176" i="11"/>
  <c r="F172" i="11"/>
  <c r="F168" i="11"/>
  <c r="F164" i="11"/>
  <c r="F160" i="11"/>
  <c r="F156" i="11"/>
  <c r="F152" i="11"/>
  <c r="F148" i="11"/>
  <c r="F144" i="11"/>
  <c r="F140" i="11"/>
  <c r="F136" i="11"/>
  <c r="F132" i="11"/>
  <c r="F128" i="11"/>
  <c r="F124" i="11"/>
  <c r="F120" i="11"/>
  <c r="F116" i="11"/>
  <c r="F112" i="11"/>
  <c r="F108" i="11"/>
  <c r="F264" i="11"/>
  <c r="F237" i="11"/>
  <c r="F221" i="11"/>
  <c r="F339" i="11"/>
  <c r="F278" i="11"/>
  <c r="F204" i="11"/>
  <c r="F196" i="11"/>
  <c r="F189" i="11"/>
  <c r="F185" i="11"/>
  <c r="F181" i="11"/>
  <c r="F177" i="11"/>
  <c r="F173" i="11"/>
  <c r="F169" i="11"/>
  <c r="F165" i="11"/>
  <c r="F161" i="11"/>
  <c r="F157" i="11"/>
  <c r="F153" i="11"/>
  <c r="F149" i="11"/>
  <c r="F145" i="11"/>
  <c r="F141" i="11"/>
  <c r="F137" i="11"/>
  <c r="F133" i="11"/>
  <c r="F129" i="11"/>
  <c r="F125" i="11"/>
  <c r="F121" i="11"/>
  <c r="F117" i="11"/>
  <c r="F113" i="11"/>
  <c r="F109" i="11"/>
  <c r="F105" i="11"/>
  <c r="F190" i="11"/>
  <c r="F186" i="11"/>
  <c r="F182" i="11"/>
  <c r="F178" i="11"/>
  <c r="F174" i="11"/>
  <c r="F170" i="11"/>
  <c r="F166" i="11"/>
  <c r="F162" i="11"/>
  <c r="F158" i="11"/>
  <c r="F154" i="11"/>
  <c r="F150" i="11"/>
  <c r="F146" i="11"/>
  <c r="F142" i="11"/>
  <c r="F138" i="11"/>
  <c r="F134" i="11"/>
  <c r="F130" i="11"/>
  <c r="F126" i="11"/>
  <c r="F122" i="11"/>
  <c r="F118" i="11"/>
  <c r="F114" i="11"/>
  <c r="F110" i="11"/>
  <c r="F106" i="11"/>
  <c r="F288" i="11"/>
  <c r="F257" i="11"/>
  <c r="F246" i="11"/>
  <c r="F229" i="11"/>
  <c r="F213" i="11"/>
  <c r="F354" i="11"/>
  <c r="F286" i="11"/>
  <c r="F233" i="11"/>
  <c r="F171" i="11"/>
  <c r="F139" i="11"/>
  <c r="F107" i="11"/>
  <c r="F104" i="11"/>
  <c r="F100" i="11"/>
  <c r="F96" i="11"/>
  <c r="F92" i="11"/>
  <c r="F88" i="11"/>
  <c r="F84" i="11"/>
  <c r="F80" i="11"/>
  <c r="F76" i="11"/>
  <c r="F205" i="11"/>
  <c r="F163" i="11"/>
  <c r="F131" i="11"/>
  <c r="F101" i="11"/>
  <c r="F97" i="11"/>
  <c r="F93" i="11"/>
  <c r="F89" i="11"/>
  <c r="F85" i="11"/>
  <c r="F81" i="11"/>
  <c r="F77" i="11"/>
  <c r="F225" i="11"/>
  <c r="F187" i="11"/>
  <c r="F155" i="11"/>
  <c r="F123" i="11"/>
  <c r="F102" i="11"/>
  <c r="F98" i="11"/>
  <c r="F94" i="11"/>
  <c r="F90" i="11"/>
  <c r="F86" i="11"/>
  <c r="F82" i="11"/>
  <c r="F78" i="11"/>
  <c r="F74" i="11"/>
  <c r="F70" i="11"/>
  <c r="F66" i="11"/>
  <c r="F62" i="11"/>
  <c r="F58" i="11"/>
  <c r="F54" i="11"/>
  <c r="F50" i="11"/>
  <c r="F46" i="11"/>
  <c r="F42" i="11"/>
  <c r="F38" i="11"/>
  <c r="F34" i="11"/>
  <c r="F209" i="11"/>
  <c r="F183" i="11"/>
  <c r="F151" i="11"/>
  <c r="F119" i="11"/>
  <c r="F208" i="11"/>
  <c r="F201" i="11"/>
  <c r="F179" i="11"/>
  <c r="F147" i="11"/>
  <c r="F115" i="11"/>
  <c r="F103" i="11"/>
  <c r="F99" i="11"/>
  <c r="F95" i="11"/>
  <c r="F91" i="11"/>
  <c r="F87" i="11"/>
  <c r="F83" i="11"/>
  <c r="F79" i="11"/>
  <c r="F75" i="11"/>
  <c r="F71" i="11"/>
  <c r="F67" i="11"/>
  <c r="F63" i="11"/>
  <c r="F59" i="11"/>
  <c r="F55" i="11"/>
  <c r="F51" i="11"/>
  <c r="F47" i="11"/>
  <c r="F43" i="11"/>
  <c r="F39" i="11"/>
  <c r="F35" i="11"/>
  <c r="F26" i="11"/>
  <c r="F30" i="11"/>
  <c r="G14" i="11"/>
  <c r="G26" i="11"/>
  <c r="F28" i="11"/>
  <c r="J30" i="11"/>
  <c r="F40" i="11"/>
  <c r="J50" i="11"/>
  <c r="G70" i="11"/>
  <c r="G77" i="11"/>
  <c r="G84" i="11"/>
  <c r="G102" i="11"/>
  <c r="F127" i="11"/>
  <c r="G136" i="11"/>
  <c r="J145" i="11"/>
  <c r="G174" i="11"/>
  <c r="G184" i="11"/>
  <c r="F193" i="11"/>
  <c r="F217" i="11"/>
  <c r="J269" i="11"/>
  <c r="E11" i="11"/>
  <c r="G12" i="11"/>
  <c r="I13" i="11"/>
  <c r="E15" i="11"/>
  <c r="G16" i="11"/>
  <c r="I17" i="11"/>
  <c r="E19" i="11"/>
  <c r="G20" i="11"/>
  <c r="I21" i="11"/>
  <c r="E23" i="11"/>
  <c r="G24" i="11"/>
  <c r="I25" i="11"/>
  <c r="E27" i="11"/>
  <c r="G28" i="11"/>
  <c r="I29" i="11"/>
  <c r="E31" i="11"/>
  <c r="G32" i="11"/>
  <c r="G34" i="11"/>
  <c r="F36" i="11"/>
  <c r="H38" i="11"/>
  <c r="G40" i="11"/>
  <c r="I42" i="11"/>
  <c r="E45" i="11"/>
  <c r="J46" i="11"/>
  <c r="F49" i="11"/>
  <c r="E51" i="11"/>
  <c r="G53" i="11"/>
  <c r="I55" i="11"/>
  <c r="H57" i="11"/>
  <c r="J59" i="11"/>
  <c r="I61" i="11"/>
  <c r="E64" i="11"/>
  <c r="G66" i="11"/>
  <c r="F68" i="11"/>
  <c r="H70" i="11"/>
  <c r="G72" i="11"/>
  <c r="I74" i="11"/>
  <c r="I77" i="11"/>
  <c r="G81" i="11"/>
  <c r="E85" i="11"/>
  <c r="G88" i="11"/>
  <c r="E92" i="11"/>
  <c r="I95" i="11"/>
  <c r="E99" i="11"/>
  <c r="I102" i="11"/>
  <c r="I109" i="11"/>
  <c r="G118" i="11"/>
  <c r="G128" i="11"/>
  <c r="J137" i="11"/>
  <c r="E147" i="11"/>
  <c r="H156" i="11"/>
  <c r="G166" i="11"/>
  <c r="F175" i="11"/>
  <c r="E185" i="11"/>
  <c r="F197" i="11"/>
  <c r="F284" i="11"/>
  <c r="J365" i="11"/>
  <c r="J362" i="11"/>
  <c r="J359" i="11"/>
  <c r="J356" i="11"/>
  <c r="J333" i="11"/>
  <c r="J330" i="11"/>
  <c r="J327" i="11"/>
  <c r="J324" i="11"/>
  <c r="J301" i="11"/>
  <c r="J345" i="11"/>
  <c r="J342" i="11"/>
  <c r="J339" i="11"/>
  <c r="J357" i="11"/>
  <c r="J354" i="11"/>
  <c r="J351" i="11"/>
  <c r="J348" i="11"/>
  <c r="J325" i="11"/>
  <c r="J322" i="11"/>
  <c r="J319" i="11"/>
  <c r="J316" i="11"/>
  <c r="J293" i="11"/>
  <c r="J290" i="11"/>
  <c r="J287" i="11"/>
  <c r="J284" i="11"/>
  <c r="J261" i="11"/>
  <c r="J258" i="11"/>
  <c r="J255" i="11"/>
  <c r="J252" i="11"/>
  <c r="J349" i="11"/>
  <c r="J346" i="11"/>
  <c r="J361" i="11"/>
  <c r="J358" i="11"/>
  <c r="J355" i="11"/>
  <c r="J352" i="11"/>
  <c r="J329" i="11"/>
  <c r="J326" i="11"/>
  <c r="J323" i="11"/>
  <c r="J320" i="11"/>
  <c r="J364" i="11"/>
  <c r="J353" i="11"/>
  <c r="J350" i="11"/>
  <c r="J347" i="11"/>
  <c r="J344" i="11"/>
  <c r="J321" i="11"/>
  <c r="J318" i="11"/>
  <c r="J315" i="11"/>
  <c r="J312" i="11"/>
  <c r="J289" i="11"/>
  <c r="J286" i="11"/>
  <c r="J283" i="11"/>
  <c r="J280" i="11"/>
  <c r="J363" i="11"/>
  <c r="J338" i="11"/>
  <c r="J313" i="11"/>
  <c r="J310" i="11"/>
  <c r="J307" i="11"/>
  <c r="J304" i="11"/>
  <c r="J285" i="11"/>
  <c r="J281" i="11"/>
  <c r="J279" i="11"/>
  <c r="J277" i="11"/>
  <c r="J275" i="11"/>
  <c r="J271" i="11"/>
  <c r="J251" i="11"/>
  <c r="J248" i="11"/>
  <c r="J236" i="11"/>
  <c r="J232" i="11"/>
  <c r="J228" i="11"/>
  <c r="J224" i="11"/>
  <c r="J220" i="11"/>
  <c r="J216" i="11"/>
  <c r="J212" i="11"/>
  <c r="J208" i="11"/>
  <c r="J204" i="11"/>
  <c r="J200" i="11"/>
  <c r="J196" i="11"/>
  <c r="J337" i="11"/>
  <c r="J334" i="11"/>
  <c r="J331" i="11"/>
  <c r="J328" i="11"/>
  <c r="J299" i="11"/>
  <c r="J297" i="11"/>
  <c r="J295" i="11"/>
  <c r="J291" i="11"/>
  <c r="J263" i="11"/>
  <c r="J256" i="11"/>
  <c r="J360" i="11"/>
  <c r="J341" i="11"/>
  <c r="J254" i="11"/>
  <c r="J249" i="11"/>
  <c r="J246" i="11"/>
  <c r="J243" i="11"/>
  <c r="J240" i="11"/>
  <c r="J237" i="11"/>
  <c r="J233" i="11"/>
  <c r="J229" i="11"/>
  <c r="J225" i="11"/>
  <c r="J221" i="11"/>
  <c r="J217" i="11"/>
  <c r="J213" i="11"/>
  <c r="J209" i="11"/>
  <c r="J205" i="11"/>
  <c r="J201" i="11"/>
  <c r="J197" i="11"/>
  <c r="J193" i="11"/>
  <c r="J309" i="11"/>
  <c r="J306" i="11"/>
  <c r="J270" i="11"/>
  <c r="J266" i="11"/>
  <c r="J259" i="11"/>
  <c r="J340" i="11"/>
  <c r="J336" i="11"/>
  <c r="J303" i="11"/>
  <c r="J282" i="11"/>
  <c r="J278" i="11"/>
  <c r="J276" i="11"/>
  <c r="J274" i="11"/>
  <c r="J272" i="11"/>
  <c r="J268" i="11"/>
  <c r="J264" i="11"/>
  <c r="J257" i="11"/>
  <c r="J241" i="11"/>
  <c r="J238" i="11"/>
  <c r="J234" i="11"/>
  <c r="J230" i="11"/>
  <c r="J226" i="11"/>
  <c r="J222" i="11"/>
  <c r="J218" i="11"/>
  <c r="J214" i="11"/>
  <c r="J210" i="11"/>
  <c r="J305" i="11"/>
  <c r="J298" i="11"/>
  <c r="J296" i="11"/>
  <c r="J294" i="11"/>
  <c r="J292" i="11"/>
  <c r="J288" i="11"/>
  <c r="J262" i="11"/>
  <c r="J250" i="11"/>
  <c r="J247" i="11"/>
  <c r="J244" i="11"/>
  <c r="J343" i="11"/>
  <c r="J317" i="11"/>
  <c r="J314" i="11"/>
  <c r="J311" i="11"/>
  <c r="J308" i="11"/>
  <c r="J302" i="11"/>
  <c r="J300" i="11"/>
  <c r="J253" i="11"/>
  <c r="J265" i="11"/>
  <c r="J190" i="11"/>
  <c r="J186" i="11"/>
  <c r="J182" i="11"/>
  <c r="J178" i="11"/>
  <c r="J174" i="11"/>
  <c r="J170" i="11"/>
  <c r="J166" i="11"/>
  <c r="J162" i="11"/>
  <c r="J158" i="11"/>
  <c r="J154" i="11"/>
  <c r="J150" i="11"/>
  <c r="J146" i="11"/>
  <c r="J142" i="11"/>
  <c r="J138" i="11"/>
  <c r="J134" i="11"/>
  <c r="J130" i="11"/>
  <c r="J126" i="11"/>
  <c r="J122" i="11"/>
  <c r="J118" i="11"/>
  <c r="J114" i="11"/>
  <c r="J110" i="11"/>
  <c r="J106" i="11"/>
  <c r="J231" i="11"/>
  <c r="J215" i="11"/>
  <c r="J242" i="11"/>
  <c r="J206" i="11"/>
  <c r="J198" i="11"/>
  <c r="J191" i="11"/>
  <c r="J187" i="11"/>
  <c r="J183" i="11"/>
  <c r="J179" i="11"/>
  <c r="J175" i="11"/>
  <c r="J171" i="11"/>
  <c r="J167" i="11"/>
  <c r="J163" i="11"/>
  <c r="J159" i="11"/>
  <c r="J155" i="11"/>
  <c r="J151" i="11"/>
  <c r="J147" i="11"/>
  <c r="J143" i="11"/>
  <c r="J139" i="11"/>
  <c r="J135" i="11"/>
  <c r="J131" i="11"/>
  <c r="J127" i="11"/>
  <c r="J123" i="11"/>
  <c r="J119" i="11"/>
  <c r="J115" i="11"/>
  <c r="J111" i="11"/>
  <c r="J107" i="11"/>
  <c r="J332" i="11"/>
  <c r="J273" i="11"/>
  <c r="J188" i="11"/>
  <c r="J184" i="11"/>
  <c r="J180" i="11"/>
  <c r="J176" i="11"/>
  <c r="J172" i="11"/>
  <c r="J168" i="11"/>
  <c r="J164" i="11"/>
  <c r="J160" i="11"/>
  <c r="J156" i="11"/>
  <c r="J152" i="11"/>
  <c r="J148" i="11"/>
  <c r="J144" i="11"/>
  <c r="J140" i="11"/>
  <c r="J136" i="11"/>
  <c r="J132" i="11"/>
  <c r="J128" i="11"/>
  <c r="J124" i="11"/>
  <c r="J120" i="11"/>
  <c r="J116" i="11"/>
  <c r="J112" i="11"/>
  <c r="J108" i="11"/>
  <c r="J104" i="11"/>
  <c r="J223" i="11"/>
  <c r="J192" i="11"/>
  <c r="J199" i="11"/>
  <c r="J181" i="11"/>
  <c r="J149" i="11"/>
  <c r="J117" i="11"/>
  <c r="J102" i="11"/>
  <c r="J98" i="11"/>
  <c r="J94" i="11"/>
  <c r="J90" i="11"/>
  <c r="J86" i="11"/>
  <c r="J82" i="11"/>
  <c r="J78" i="11"/>
  <c r="J173" i="11"/>
  <c r="J141" i="11"/>
  <c r="J109" i="11"/>
  <c r="J103" i="11"/>
  <c r="J99" i="11"/>
  <c r="J95" i="11"/>
  <c r="J91" i="11"/>
  <c r="J87" i="11"/>
  <c r="J83" i="11"/>
  <c r="J79" i="11"/>
  <c r="J75" i="11"/>
  <c r="J267" i="11"/>
  <c r="J239" i="11"/>
  <c r="J211" i="11"/>
  <c r="J202" i="11"/>
  <c r="J195" i="11"/>
  <c r="J165" i="11"/>
  <c r="J133" i="11"/>
  <c r="J100" i="11"/>
  <c r="J96" i="11"/>
  <c r="J92" i="11"/>
  <c r="J88" i="11"/>
  <c r="J84" i="11"/>
  <c r="J80" i="11"/>
  <c r="J76" i="11"/>
  <c r="J72" i="11"/>
  <c r="J68" i="11"/>
  <c r="J64" i="11"/>
  <c r="J60" i="11"/>
  <c r="J56" i="11"/>
  <c r="J52" i="11"/>
  <c r="J48" i="11"/>
  <c r="J44" i="11"/>
  <c r="J40" i="11"/>
  <c r="J36" i="11"/>
  <c r="J260" i="11"/>
  <c r="J194" i="11"/>
  <c r="J161" i="11"/>
  <c r="J129" i="11"/>
  <c r="J235" i="11"/>
  <c r="J189" i="11"/>
  <c r="J157" i="11"/>
  <c r="J125" i="11"/>
  <c r="J101" i="11"/>
  <c r="J97" i="11"/>
  <c r="J93" i="11"/>
  <c r="J89" i="11"/>
  <c r="J85" i="11"/>
  <c r="J81" i="11"/>
  <c r="J77" i="11"/>
  <c r="J73" i="11"/>
  <c r="J69" i="11"/>
  <c r="J65" i="11"/>
  <c r="J61" i="11"/>
  <c r="J57" i="11"/>
  <c r="J53" i="11"/>
  <c r="J49" i="11"/>
  <c r="J45" i="11"/>
  <c r="J41" i="11"/>
  <c r="J37" i="11"/>
  <c r="J33" i="11"/>
  <c r="J14" i="11"/>
  <c r="J18" i="11"/>
  <c r="J22" i="11"/>
  <c r="J26" i="11"/>
  <c r="F11" i="11"/>
  <c r="H12" i="11"/>
  <c r="J13" i="11"/>
  <c r="F15" i="11"/>
  <c r="H16" i="11"/>
  <c r="J17" i="11"/>
  <c r="F19" i="11"/>
  <c r="H20" i="11"/>
  <c r="J21" i="11"/>
  <c r="F23" i="11"/>
  <c r="H24" i="11"/>
  <c r="J25" i="11"/>
  <c r="F27" i="11"/>
  <c r="H28" i="11"/>
  <c r="J29" i="11"/>
  <c r="F31" i="11"/>
  <c r="I32" i="11"/>
  <c r="H34" i="11"/>
  <c r="G36" i="11"/>
  <c r="I38" i="11"/>
  <c r="E41" i="11"/>
  <c r="J42" i="11"/>
  <c r="F45" i="11"/>
  <c r="E47" i="11"/>
  <c r="G49" i="11"/>
  <c r="I51" i="11"/>
  <c r="H53" i="11"/>
  <c r="J55" i="11"/>
  <c r="I57" i="11"/>
  <c r="E60" i="11"/>
  <c r="G62" i="11"/>
  <c r="F64" i="11"/>
  <c r="H66" i="11"/>
  <c r="G68" i="11"/>
  <c r="I70" i="11"/>
  <c r="E73" i="11"/>
  <c r="J74" i="11"/>
  <c r="G78" i="11"/>
  <c r="I81" i="11"/>
  <c r="G85" i="11"/>
  <c r="E89" i="11"/>
  <c r="G92" i="11"/>
  <c r="E96" i="11"/>
  <c r="I99" i="11"/>
  <c r="E103" i="11"/>
  <c r="G110" i="11"/>
  <c r="G120" i="11"/>
  <c r="E129" i="11"/>
  <c r="E139" i="11"/>
  <c r="H148" i="11"/>
  <c r="I157" i="11"/>
  <c r="F167" i="11"/>
  <c r="J185" i="11"/>
  <c r="H198" i="11"/>
  <c r="J227" i="11"/>
  <c r="F292" i="11"/>
  <c r="F14" i="11"/>
  <c r="F22" i="11"/>
  <c r="F12" i="11"/>
  <c r="F16" i="11"/>
  <c r="F20" i="11"/>
  <c r="F24" i="11"/>
  <c r="F32" i="11"/>
  <c r="G38" i="11"/>
  <c r="G44" i="11"/>
  <c r="F53" i="11"/>
  <c r="G57" i="11"/>
  <c r="J63" i="11"/>
  <c r="F72" i="11"/>
  <c r="E362" i="11"/>
  <c r="E358" i="11"/>
  <c r="E354" i="11"/>
  <c r="E350" i="11"/>
  <c r="E346" i="11"/>
  <c r="E342" i="11"/>
  <c r="E338" i="11"/>
  <c r="E334" i="11"/>
  <c r="E330" i="11"/>
  <c r="E326" i="11"/>
  <c r="E322" i="11"/>
  <c r="E318" i="11"/>
  <c r="E314" i="11"/>
  <c r="E310" i="11"/>
  <c r="E306" i="11"/>
  <c r="E302" i="11"/>
  <c r="E298" i="11"/>
  <c r="E294" i="11"/>
  <c r="E290" i="11"/>
  <c r="E286" i="11"/>
  <c r="E282" i="11"/>
  <c r="E278" i="11"/>
  <c r="E274" i="11"/>
  <c r="E270" i="11"/>
  <c r="E266" i="11"/>
  <c r="E262" i="11"/>
  <c r="E258" i="11"/>
  <c r="E254" i="11"/>
  <c r="E343" i="11"/>
  <c r="E340" i="11"/>
  <c r="E337" i="11"/>
  <c r="E311" i="11"/>
  <c r="E308" i="11"/>
  <c r="E305" i="11"/>
  <c r="E355" i="11"/>
  <c r="E352" i="11"/>
  <c r="E349" i="11"/>
  <c r="E364" i="11"/>
  <c r="E361" i="11"/>
  <c r="E335" i="11"/>
  <c r="E332" i="11"/>
  <c r="E329" i="11"/>
  <c r="E303" i="11"/>
  <c r="E300" i="11"/>
  <c r="E297" i="11"/>
  <c r="E271" i="11"/>
  <c r="E268" i="11"/>
  <c r="E265" i="11"/>
  <c r="E250" i="11"/>
  <c r="E246" i="11"/>
  <c r="E242" i="11"/>
  <c r="E359" i="11"/>
  <c r="E356" i="11"/>
  <c r="E353" i="11"/>
  <c r="E365" i="11"/>
  <c r="E339" i="11"/>
  <c r="E336" i="11"/>
  <c r="E333" i="11"/>
  <c r="E307" i="11"/>
  <c r="E363" i="11"/>
  <c r="E360" i="11"/>
  <c r="E357" i="11"/>
  <c r="E331" i="11"/>
  <c r="E328" i="11"/>
  <c r="E325" i="11"/>
  <c r="E299" i="11"/>
  <c r="E296" i="11"/>
  <c r="E293" i="11"/>
  <c r="E267" i="11"/>
  <c r="E347" i="11"/>
  <c r="E323" i="11"/>
  <c r="E320" i="11"/>
  <c r="E317" i="11"/>
  <c r="E292" i="11"/>
  <c r="E288" i="11"/>
  <c r="E284" i="11"/>
  <c r="E264" i="11"/>
  <c r="E257" i="11"/>
  <c r="E255" i="11"/>
  <c r="E247" i="11"/>
  <c r="E244" i="11"/>
  <c r="E241" i="11"/>
  <c r="E238" i="11"/>
  <c r="E234" i="11"/>
  <c r="E230" i="11"/>
  <c r="E226" i="11"/>
  <c r="E222" i="11"/>
  <c r="E218" i="11"/>
  <c r="E214" i="11"/>
  <c r="E210" i="11"/>
  <c r="E206" i="11"/>
  <c r="E202" i="11"/>
  <c r="E198" i="11"/>
  <c r="E194" i="11"/>
  <c r="E260" i="11"/>
  <c r="E351" i="11"/>
  <c r="E341" i="11"/>
  <c r="E319" i="11"/>
  <c r="E316" i="11"/>
  <c r="E313" i="11"/>
  <c r="E304" i="11"/>
  <c r="E283" i="11"/>
  <c r="E279" i="11"/>
  <c r="E277" i="11"/>
  <c r="E275" i="11"/>
  <c r="E273" i="11"/>
  <c r="E269" i="11"/>
  <c r="E253" i="11"/>
  <c r="E239" i="11"/>
  <c r="E235" i="11"/>
  <c r="E231" i="11"/>
  <c r="E227" i="11"/>
  <c r="E223" i="11"/>
  <c r="E219" i="11"/>
  <c r="E215" i="11"/>
  <c r="E211" i="11"/>
  <c r="E345" i="11"/>
  <c r="E295" i="11"/>
  <c r="E291" i="11"/>
  <c r="E289" i="11"/>
  <c r="E287" i="11"/>
  <c r="E285" i="11"/>
  <c r="E281" i="11"/>
  <c r="E263" i="11"/>
  <c r="E251" i="11"/>
  <c r="E248" i="11"/>
  <c r="E245" i="11"/>
  <c r="E344" i="11"/>
  <c r="E315" i="11"/>
  <c r="E312" i="11"/>
  <c r="E309" i="11"/>
  <c r="E301" i="11"/>
  <c r="E256" i="11"/>
  <c r="E236" i="11"/>
  <c r="E232" i="11"/>
  <c r="E228" i="11"/>
  <c r="E224" i="11"/>
  <c r="E220" i="11"/>
  <c r="E216" i="11"/>
  <c r="E212" i="11"/>
  <c r="E208" i="11"/>
  <c r="E204" i="11"/>
  <c r="E200" i="11"/>
  <c r="E196" i="11"/>
  <c r="E327" i="11"/>
  <c r="E324" i="11"/>
  <c r="E321" i="11"/>
  <c r="E261" i="11"/>
  <c r="E348" i="11"/>
  <c r="E252" i="11"/>
  <c r="E233" i="11"/>
  <c r="E217" i="11"/>
  <c r="E205" i="11"/>
  <c r="E197" i="11"/>
  <c r="E280" i="11"/>
  <c r="E243" i="11"/>
  <c r="E207" i="11"/>
  <c r="E199" i="11"/>
  <c r="E192" i="11"/>
  <c r="E188" i="11"/>
  <c r="E184" i="11"/>
  <c r="E180" i="11"/>
  <c r="E176" i="11"/>
  <c r="E172" i="11"/>
  <c r="E168" i="11"/>
  <c r="E164" i="11"/>
  <c r="E160" i="11"/>
  <c r="E156" i="11"/>
  <c r="E152" i="11"/>
  <c r="E148" i="11"/>
  <c r="E144" i="11"/>
  <c r="E140" i="11"/>
  <c r="E136" i="11"/>
  <c r="E132" i="11"/>
  <c r="E128" i="11"/>
  <c r="E124" i="11"/>
  <c r="E120" i="11"/>
  <c r="E116" i="11"/>
  <c r="E112" i="11"/>
  <c r="E108" i="11"/>
  <c r="E249" i="11"/>
  <c r="E237" i="11"/>
  <c r="E221" i="11"/>
  <c r="E259" i="11"/>
  <c r="E225" i="11"/>
  <c r="E209" i="11"/>
  <c r="E201" i="11"/>
  <c r="E193" i="11"/>
  <c r="E272" i="11"/>
  <c r="E240" i="11"/>
  <c r="E203" i="11"/>
  <c r="E195" i="11"/>
  <c r="E190" i="11"/>
  <c r="E186" i="11"/>
  <c r="E182" i="11"/>
  <c r="E178" i="11"/>
  <c r="E174" i="11"/>
  <c r="E170" i="11"/>
  <c r="E166" i="11"/>
  <c r="E162" i="11"/>
  <c r="E158" i="11"/>
  <c r="E154" i="11"/>
  <c r="E150" i="11"/>
  <c r="E146" i="11"/>
  <c r="E142" i="11"/>
  <c r="E138" i="11"/>
  <c r="E134" i="11"/>
  <c r="E130" i="11"/>
  <c r="E126" i="11"/>
  <c r="E122" i="11"/>
  <c r="E118" i="11"/>
  <c r="E114" i="11"/>
  <c r="E110" i="11"/>
  <c r="E106" i="11"/>
  <c r="E189" i="11"/>
  <c r="E175" i="11"/>
  <c r="E157" i="11"/>
  <c r="E143" i="11"/>
  <c r="E125" i="11"/>
  <c r="E111" i="11"/>
  <c r="E276" i="11"/>
  <c r="E229" i="11"/>
  <c r="E181" i="11"/>
  <c r="E167" i="11"/>
  <c r="E149" i="11"/>
  <c r="E135" i="11"/>
  <c r="E117" i="11"/>
  <c r="E191" i="11"/>
  <c r="E173" i="11"/>
  <c r="E159" i="11"/>
  <c r="E141" i="11"/>
  <c r="E127" i="11"/>
  <c r="E109" i="11"/>
  <c r="E187" i="11"/>
  <c r="E169" i="11"/>
  <c r="E155" i="11"/>
  <c r="E137" i="11"/>
  <c r="E123" i="11"/>
  <c r="E105" i="11"/>
  <c r="E102" i="11"/>
  <c r="E98" i="11"/>
  <c r="E94" i="11"/>
  <c r="E90" i="11"/>
  <c r="E86" i="11"/>
  <c r="E82" i="11"/>
  <c r="E78" i="11"/>
  <c r="E74" i="11"/>
  <c r="E70" i="11"/>
  <c r="E66" i="11"/>
  <c r="E62" i="11"/>
  <c r="E58" i="11"/>
  <c r="E54" i="11"/>
  <c r="E50" i="11"/>
  <c r="E46" i="11"/>
  <c r="E42" i="11"/>
  <c r="E38" i="11"/>
  <c r="E34" i="11"/>
  <c r="E183" i="11"/>
  <c r="E165" i="11"/>
  <c r="E151" i="11"/>
  <c r="E133" i="11"/>
  <c r="E119" i="11"/>
  <c r="G11" i="11"/>
  <c r="I12" i="11"/>
  <c r="E14" i="11"/>
  <c r="G15" i="11"/>
  <c r="I16" i="11"/>
  <c r="E18" i="11"/>
  <c r="G19" i="11"/>
  <c r="I20" i="11"/>
  <c r="E22" i="11"/>
  <c r="G23" i="11"/>
  <c r="I24" i="11"/>
  <c r="E26" i="11"/>
  <c r="G27" i="11"/>
  <c r="I28" i="11"/>
  <c r="E30" i="11"/>
  <c r="G31" i="11"/>
  <c r="J32" i="11"/>
  <c r="I34" i="11"/>
  <c r="E37" i="11"/>
  <c r="J38" i="11"/>
  <c r="F41" i="11"/>
  <c r="E43" i="11"/>
  <c r="G45" i="11"/>
  <c r="I47" i="11"/>
  <c r="H49" i="11"/>
  <c r="J51" i="11"/>
  <c r="I53" i="11"/>
  <c r="E56" i="11"/>
  <c r="G58" i="11"/>
  <c r="F60" i="11"/>
  <c r="H62" i="11"/>
  <c r="G64" i="11"/>
  <c r="I66" i="11"/>
  <c r="E69" i="11"/>
  <c r="J70" i="11"/>
  <c r="F73" i="11"/>
  <c r="E75" i="11"/>
  <c r="I78" i="11"/>
  <c r="G82" i="11"/>
  <c r="I85" i="11"/>
  <c r="G89" i="11"/>
  <c r="E93" i="11"/>
  <c r="G96" i="11"/>
  <c r="E100" i="11"/>
  <c r="I103" i="11"/>
  <c r="F111" i="11"/>
  <c r="E121" i="11"/>
  <c r="E131" i="11"/>
  <c r="I139" i="11"/>
  <c r="I149" i="11"/>
  <c r="F159" i="11"/>
  <c r="G168" i="11"/>
  <c r="J177" i="11"/>
  <c r="I187" i="11"/>
  <c r="F200" i="11"/>
  <c r="H230" i="11"/>
  <c r="I323" i="11"/>
  <c r="F56" i="11"/>
  <c r="Q59" i="12" l="1"/>
  <c r="P79" i="12"/>
  <c r="P298" i="12"/>
  <c r="P249" i="12"/>
  <c r="N70" i="12"/>
  <c r="Q18" i="12"/>
  <c r="P43" i="12"/>
  <c r="P143" i="12"/>
  <c r="P189" i="12"/>
  <c r="P330" i="12"/>
  <c r="P27" i="12"/>
  <c r="P156" i="12"/>
  <c r="P165" i="12"/>
  <c r="P276" i="12"/>
  <c r="P292" i="12"/>
  <c r="I10" i="12"/>
  <c r="P34" i="12" s="1"/>
  <c r="N246" i="12"/>
  <c r="Q61" i="12"/>
  <c r="Q25" i="12"/>
  <c r="Q164" i="12"/>
  <c r="Q302" i="12"/>
  <c r="N17" i="12"/>
  <c r="P91" i="12"/>
  <c r="N200" i="12"/>
  <c r="P93" i="12"/>
  <c r="P20" i="12"/>
  <c r="P152" i="12"/>
  <c r="P19" i="12"/>
  <c r="Q43" i="12"/>
  <c r="Q288" i="12"/>
  <c r="Q29" i="12"/>
  <c r="Q222" i="12"/>
  <c r="Q152" i="12"/>
  <c r="Q307" i="12"/>
  <c r="Q276" i="12"/>
  <c r="Q322" i="12"/>
  <c r="P15" i="12"/>
  <c r="P141" i="12"/>
  <c r="P100" i="12"/>
  <c r="P42" i="12"/>
  <c r="P69" i="12"/>
  <c r="P140" i="12"/>
  <c r="P102" i="12"/>
  <c r="P87" i="12"/>
  <c r="P146" i="12"/>
  <c r="P80" i="12"/>
  <c r="P111" i="12"/>
  <c r="P125" i="12"/>
  <c r="P149" i="12"/>
  <c r="P118" i="12"/>
  <c r="P180" i="12"/>
  <c r="P182" i="12"/>
  <c r="P285" i="12"/>
  <c r="P335" i="12"/>
  <c r="P301" i="12"/>
  <c r="P196" i="12"/>
  <c r="P212" i="12"/>
  <c r="P228" i="12"/>
  <c r="P244" i="12"/>
  <c r="P349" i="12"/>
  <c r="P187" i="12"/>
  <c r="P203" i="12"/>
  <c r="P219" i="12"/>
  <c r="P235" i="12"/>
  <c r="P251" i="12"/>
  <c r="P313" i="12"/>
  <c r="P331" i="12"/>
  <c r="P355" i="12"/>
  <c r="P275" i="12"/>
  <c r="P343" i="12"/>
  <c r="P312" i="12"/>
  <c r="P328" i="12"/>
  <c r="P344" i="12"/>
  <c r="P360" i="12"/>
  <c r="Q41" i="12"/>
  <c r="Q52" i="12"/>
  <c r="J10" i="12"/>
  <c r="Q99" i="12" s="1"/>
  <c r="Q11" i="12"/>
  <c r="Q206" i="12"/>
  <c r="Q161" i="12"/>
  <c r="Q234" i="12"/>
  <c r="Q187" i="12"/>
  <c r="Q247" i="12"/>
  <c r="Q246" i="12"/>
  <c r="Q274" i="12"/>
  <c r="Q318" i="12"/>
  <c r="Q350" i="12"/>
  <c r="Q365" i="12"/>
  <c r="P348" i="12"/>
  <c r="P364" i="12"/>
  <c r="Q58" i="12"/>
  <c r="Q73" i="12"/>
  <c r="Q101" i="12"/>
  <c r="Q31" i="12"/>
  <c r="Q71" i="12"/>
  <c r="Q332" i="12"/>
  <c r="Q258" i="12"/>
  <c r="Q138" i="12"/>
  <c r="Q201" i="12"/>
  <c r="Q300" i="12"/>
  <c r="Q284" i="12"/>
  <c r="Q348" i="12"/>
  <c r="Q293" i="12"/>
  <c r="Q326" i="12"/>
  <c r="Q337" i="12"/>
  <c r="P51" i="12"/>
  <c r="P14" i="12"/>
  <c r="F10" i="12"/>
  <c r="M330" i="12" s="1"/>
  <c r="P142" i="12"/>
  <c r="P36" i="12"/>
  <c r="P67" i="12"/>
  <c r="P167" i="12"/>
  <c r="P112" i="12"/>
  <c r="P45" i="12"/>
  <c r="P120" i="12"/>
  <c r="P98" i="12"/>
  <c r="P122" i="12"/>
  <c r="P108" i="12"/>
  <c r="P40" i="12"/>
  <c r="P104" i="12"/>
  <c r="P161" i="12"/>
  <c r="P172" i="12"/>
  <c r="P166" i="12"/>
  <c r="P147" i="12"/>
  <c r="P159" i="12"/>
  <c r="P329" i="12"/>
  <c r="P297" i="12"/>
  <c r="P345" i="12"/>
  <c r="P186" i="12"/>
  <c r="P202" i="12"/>
  <c r="P218" i="12"/>
  <c r="P234" i="12"/>
  <c r="P250" i="12"/>
  <c r="P287" i="12"/>
  <c r="P193" i="12"/>
  <c r="P209" i="12"/>
  <c r="P225" i="12"/>
  <c r="P241" i="12"/>
  <c r="P259" i="12"/>
  <c r="P317" i="12"/>
  <c r="P299" i="12"/>
  <c r="P265" i="12"/>
  <c r="P293" i="12"/>
  <c r="P307" i="12"/>
  <c r="P318" i="12"/>
  <c r="P334" i="12"/>
  <c r="P350" i="12"/>
  <c r="Q74" i="12"/>
  <c r="Q72" i="12"/>
  <c r="Q185" i="12"/>
  <c r="Q111" i="12"/>
  <c r="Q119" i="12"/>
  <c r="Q17" i="12"/>
  <c r="Q106" i="12"/>
  <c r="Q131" i="12"/>
  <c r="Q108" i="12"/>
  <c r="Q190" i="12"/>
  <c r="Q251" i="12"/>
  <c r="Q156" i="12"/>
  <c r="Q172" i="12"/>
  <c r="Q208" i="12"/>
  <c r="Q224" i="12"/>
  <c r="Q200" i="12"/>
  <c r="Q262" i="12"/>
  <c r="Q299" i="12"/>
  <c r="Q264" i="12"/>
  <c r="Q328" i="12"/>
  <c r="Q267" i="12"/>
  <c r="Q294" i="12"/>
  <c r="Q362" i="12"/>
  <c r="Q323" i="12"/>
  <c r="Q339" i="12"/>
  <c r="N294" i="12"/>
  <c r="P77" i="12"/>
  <c r="M30" i="12"/>
  <c r="Q40" i="12"/>
  <c r="P35" i="12"/>
  <c r="P22" i="12"/>
  <c r="P84" i="12"/>
  <c r="P170" i="12"/>
  <c r="P157" i="12"/>
  <c r="P46" i="12"/>
  <c r="P158" i="12"/>
  <c r="P70" i="12"/>
  <c r="P139" i="12"/>
  <c r="P124" i="12"/>
  <c r="P48" i="12"/>
  <c r="P113" i="12"/>
  <c r="P173" i="12"/>
  <c r="P109" i="12"/>
  <c r="P181" i="12"/>
  <c r="P148" i="12"/>
  <c r="P160" i="12"/>
  <c r="P278" i="12"/>
  <c r="P315" i="12"/>
  <c r="P363" i="12"/>
  <c r="P188" i="12"/>
  <c r="P204" i="12"/>
  <c r="P220" i="12"/>
  <c r="P236" i="12"/>
  <c r="P252" i="12"/>
  <c r="P304" i="12"/>
  <c r="P195" i="12"/>
  <c r="P211" i="12"/>
  <c r="P227" i="12"/>
  <c r="P243" i="12"/>
  <c r="P274" i="12"/>
  <c r="P327" i="12"/>
  <c r="P300" i="12"/>
  <c r="P267" i="12"/>
  <c r="P294" i="12"/>
  <c r="P308" i="12"/>
  <c r="P320" i="12"/>
  <c r="P336" i="12"/>
  <c r="P352" i="12"/>
  <c r="Q91" i="12"/>
  <c r="Q237" i="12"/>
  <c r="Q48" i="12"/>
  <c r="Q76" i="12"/>
  <c r="Q113" i="12"/>
  <c r="Q114" i="12"/>
  <c r="Q62" i="12"/>
  <c r="Q139" i="12"/>
  <c r="Q19" i="12"/>
  <c r="Q35" i="12"/>
  <c r="Q87" i="12"/>
  <c r="Q112" i="12"/>
  <c r="Q143" i="12"/>
  <c r="Q116" i="12"/>
  <c r="Q109" i="12"/>
  <c r="Q194" i="12"/>
  <c r="Q312" i="12"/>
  <c r="Q126" i="12"/>
  <c r="Q142" i="12"/>
  <c r="Q158" i="12"/>
  <c r="Q174" i="12"/>
  <c r="Q218" i="12"/>
  <c r="Q210" i="12"/>
  <c r="Q239" i="12"/>
  <c r="Q215" i="12"/>
  <c r="Q214" i="12"/>
  <c r="Q212" i="12"/>
  <c r="Q281" i="12"/>
  <c r="Q304" i="12"/>
  <c r="Q266" i="12"/>
  <c r="Q285" i="12"/>
  <c r="Q360" i="12"/>
  <c r="Q269" i="12"/>
  <c r="Q324" i="12"/>
  <c r="Q334" i="12"/>
  <c r="Q309" i="12"/>
  <c r="Q325" i="12"/>
  <c r="Q341" i="12"/>
  <c r="Q357" i="12"/>
  <c r="N349" i="12"/>
  <c r="P75" i="12"/>
  <c r="Q46" i="12"/>
  <c r="Q26" i="12"/>
  <c r="H10" i="12"/>
  <c r="O136" i="12" s="1"/>
  <c r="M204" i="12"/>
  <c r="M266" i="12"/>
  <c r="M357" i="12"/>
  <c r="Q193" i="12"/>
  <c r="G10" i="12"/>
  <c r="N79" i="12" s="1"/>
  <c r="Q121" i="12"/>
  <c r="P50" i="12"/>
  <c r="P97" i="12"/>
  <c r="P270" i="12"/>
  <c r="P26" i="12"/>
  <c r="P47" i="12"/>
  <c r="P168" i="12"/>
  <c r="P78" i="12"/>
  <c r="P63" i="12"/>
  <c r="P126" i="12"/>
  <c r="P56" i="12"/>
  <c r="P116" i="12"/>
  <c r="P178" i="12"/>
  <c r="P117" i="12"/>
  <c r="P272" i="12"/>
  <c r="P163" i="12"/>
  <c r="P175" i="12"/>
  <c r="P254" i="12"/>
  <c r="P333" i="12"/>
  <c r="P260" i="12"/>
  <c r="P190" i="12"/>
  <c r="P206" i="12"/>
  <c r="P222" i="12"/>
  <c r="P238" i="12"/>
  <c r="P266" i="12"/>
  <c r="P357" i="12"/>
  <c r="P197" i="12"/>
  <c r="P213" i="12"/>
  <c r="P229" i="12"/>
  <c r="P245" i="12"/>
  <c r="P282" i="12"/>
  <c r="P351" i="12"/>
  <c r="P321" i="12"/>
  <c r="P269" i="12"/>
  <c r="P309" i="12"/>
  <c r="P337" i="12"/>
  <c r="P322" i="12"/>
  <c r="P338" i="12"/>
  <c r="P354" i="12"/>
  <c r="Q104" i="12"/>
  <c r="Q125" i="12"/>
  <c r="Q49" i="12"/>
  <c r="Q89" i="12"/>
  <c r="Q123" i="12"/>
  <c r="Q141" i="12"/>
  <c r="Q70" i="12"/>
  <c r="Q155" i="12"/>
  <c r="Q21" i="12"/>
  <c r="Q37" i="12"/>
  <c r="Q95" i="12"/>
  <c r="Q118" i="12"/>
  <c r="Q153" i="12"/>
  <c r="Q135" i="12"/>
  <c r="Q117" i="12"/>
  <c r="Q196" i="12"/>
  <c r="Q183" i="12"/>
  <c r="Q128" i="12"/>
  <c r="Q144" i="12"/>
  <c r="Q160" i="12"/>
  <c r="Q176" i="12"/>
  <c r="Q220" i="12"/>
  <c r="Q233" i="12"/>
  <c r="Q240" i="12"/>
  <c r="Q216" i="12"/>
  <c r="Q229" i="12"/>
  <c r="Q227" i="12"/>
  <c r="Q298" i="12"/>
  <c r="Q320" i="12"/>
  <c r="Q268" i="12"/>
  <c r="Q286" i="12"/>
  <c r="Q255" i="12"/>
  <c r="Q271" i="12"/>
  <c r="Q356" i="12"/>
  <c r="Q338" i="12"/>
  <c r="Q311" i="12"/>
  <c r="Q327" i="12"/>
  <c r="Q343" i="12"/>
  <c r="Q359" i="12"/>
  <c r="E10" i="12"/>
  <c r="L338" i="12" s="1"/>
  <c r="Q38" i="12"/>
  <c r="P25" i="12"/>
  <c r="P101" i="12"/>
  <c r="P66" i="12"/>
  <c r="P29" i="12"/>
  <c r="P61" i="12"/>
  <c r="P123" i="12"/>
  <c r="P86" i="12"/>
  <c r="P71" i="12"/>
  <c r="P128" i="12"/>
  <c r="P64" i="12"/>
  <c r="P153" i="12"/>
  <c r="P115" i="12"/>
  <c r="P133" i="12"/>
  <c r="P302" i="12"/>
  <c r="P164" i="12"/>
  <c r="P176" i="12"/>
  <c r="P268" i="12"/>
  <c r="P257" i="12"/>
  <c r="P290" i="12"/>
  <c r="P192" i="12"/>
  <c r="P208" i="12"/>
  <c r="P224" i="12"/>
  <c r="P240" i="12"/>
  <c r="P288" i="12"/>
  <c r="P183" i="12"/>
  <c r="P199" i="12"/>
  <c r="P215" i="12"/>
  <c r="P231" i="12"/>
  <c r="P247" i="12"/>
  <c r="P289" i="12"/>
  <c r="P365" i="12"/>
  <c r="P323" i="12"/>
  <c r="P271" i="12"/>
  <c r="P311" i="12"/>
  <c r="P339" i="12"/>
  <c r="P324" i="12"/>
  <c r="P340" i="12"/>
  <c r="P356" i="12"/>
  <c r="Q80" i="12"/>
  <c r="Q45" i="12"/>
  <c r="Q36" i="12"/>
  <c r="Q159" i="12"/>
  <c r="Q175" i="12"/>
  <c r="Q50" i="12"/>
  <c r="Q107" i="12"/>
  <c r="Q69" i="12"/>
  <c r="Q157" i="12"/>
  <c r="Q78" i="12"/>
  <c r="Q217" i="12"/>
  <c r="Q23" i="12"/>
  <c r="Q39" i="12"/>
  <c r="Q103" i="12"/>
  <c r="Q127" i="12"/>
  <c r="Q195" i="12"/>
  <c r="Q151" i="12"/>
  <c r="Q133" i="12"/>
  <c r="Q129" i="12"/>
  <c r="Q189" i="12"/>
  <c r="Q130" i="12"/>
  <c r="Q146" i="12"/>
  <c r="Q162" i="12"/>
  <c r="Q178" i="12"/>
  <c r="Q235" i="12"/>
  <c r="Q250" i="12"/>
  <c r="Q289" i="12"/>
  <c r="Q231" i="12"/>
  <c r="Q230" i="12"/>
  <c r="Q228" i="12"/>
  <c r="Q305" i="12"/>
  <c r="Q364" i="12"/>
  <c r="Q270" i="12"/>
  <c r="Q301" i="12"/>
  <c r="Q257" i="12"/>
  <c r="Q273" i="12"/>
  <c r="Q310" i="12"/>
  <c r="Q342" i="12"/>
  <c r="Q313" i="12"/>
  <c r="Q329" i="12"/>
  <c r="Q345" i="12"/>
  <c r="Q361" i="12"/>
  <c r="M318" i="12" l="1"/>
  <c r="M68" i="12"/>
  <c r="M364" i="12"/>
  <c r="M103" i="12"/>
  <c r="M40" i="12"/>
  <c r="M205" i="12"/>
  <c r="L158" i="12"/>
  <c r="L215" i="12"/>
  <c r="M302" i="12"/>
  <c r="M280" i="12"/>
  <c r="M134" i="12"/>
  <c r="M316" i="12"/>
  <c r="L237" i="12"/>
  <c r="M319" i="12"/>
  <c r="M126" i="12"/>
  <c r="L201" i="12"/>
  <c r="L238" i="12"/>
  <c r="M17" i="12"/>
  <c r="M227" i="12"/>
  <c r="M347" i="12"/>
  <c r="M275" i="12"/>
  <c r="L58" i="12"/>
  <c r="M175" i="12"/>
  <c r="L313" i="12"/>
  <c r="M63" i="12"/>
  <c r="L177" i="12"/>
  <c r="L283" i="12"/>
  <c r="L323" i="12"/>
  <c r="L133" i="12"/>
  <c r="L181" i="12"/>
  <c r="M153" i="12"/>
  <c r="L319" i="12"/>
  <c r="M224" i="12"/>
  <c r="M67" i="12"/>
  <c r="M206" i="12"/>
  <c r="M274" i="12"/>
  <c r="M38" i="12"/>
  <c r="M167" i="12"/>
  <c r="M246" i="12"/>
  <c r="L35" i="12"/>
  <c r="L108" i="12"/>
  <c r="L165" i="12"/>
  <c r="L356" i="12"/>
  <c r="L243" i="12"/>
  <c r="L292" i="12"/>
  <c r="L98" i="12"/>
  <c r="L328" i="12"/>
  <c r="L95" i="12"/>
  <c r="L233" i="12"/>
  <c r="L355" i="12"/>
  <c r="L257" i="12"/>
  <c r="L126" i="12"/>
  <c r="L198" i="12"/>
  <c r="L308" i="12"/>
  <c r="L271" i="12"/>
  <c r="L197" i="12"/>
  <c r="L112" i="12"/>
  <c r="L276" i="12"/>
  <c r="L300" i="12"/>
  <c r="L249" i="12"/>
  <c r="L53" i="12"/>
  <c r="L241" i="12"/>
  <c r="L268" i="12"/>
  <c r="L266" i="12"/>
  <c r="L324" i="12"/>
  <c r="L290" i="12"/>
  <c r="L143" i="12"/>
  <c r="L337" i="12"/>
  <c r="L91" i="12"/>
  <c r="L314" i="12"/>
  <c r="L132" i="12"/>
  <c r="L359" i="12"/>
  <c r="L28" i="12"/>
  <c r="L272" i="12"/>
  <c r="L41" i="12"/>
  <c r="L188" i="12"/>
  <c r="L263" i="12"/>
  <c r="L363" i="12"/>
  <c r="L170" i="12"/>
  <c r="L194" i="12"/>
  <c r="L113" i="12"/>
  <c r="L82" i="12"/>
  <c r="L67" i="12"/>
  <c r="L364" i="12"/>
  <c r="L247" i="12"/>
  <c r="L354" i="12"/>
  <c r="L81" i="12"/>
  <c r="L155" i="12"/>
  <c r="L127" i="12"/>
  <c r="L106" i="12"/>
  <c r="L320" i="12"/>
  <c r="L172" i="12"/>
  <c r="L301" i="12"/>
  <c r="L52" i="12"/>
  <c r="L298" i="12"/>
  <c r="L352" i="12"/>
  <c r="L83" i="12"/>
  <c r="M221" i="12"/>
  <c r="L220" i="12"/>
  <c r="M181" i="12"/>
  <c r="L269" i="12"/>
  <c r="L60" i="12"/>
  <c r="M84" i="12"/>
  <c r="M117" i="12"/>
  <c r="L340" i="12"/>
  <c r="M228" i="12"/>
  <c r="L365" i="12"/>
  <c r="M218" i="12"/>
  <c r="M110" i="12"/>
  <c r="M284" i="12"/>
  <c r="L192" i="12"/>
  <c r="L224" i="12"/>
  <c r="M94" i="12"/>
  <c r="M16" i="12"/>
  <c r="L130" i="12"/>
  <c r="M107" i="12"/>
  <c r="L256" i="12"/>
  <c r="M286" i="12"/>
  <c r="M87" i="12"/>
  <c r="M125" i="12"/>
  <c r="L166" i="12"/>
  <c r="M27" i="12"/>
  <c r="M234" i="12"/>
  <c r="M362" i="12"/>
  <c r="M49" i="12"/>
  <c r="M150" i="12"/>
  <c r="M281" i="12"/>
  <c r="M329" i="12"/>
  <c r="M20" i="12"/>
  <c r="M157" i="12"/>
  <c r="M297" i="12"/>
  <c r="M83" i="12"/>
  <c r="M168" i="12"/>
  <c r="M231" i="12"/>
  <c r="M272" i="12"/>
  <c r="M44" i="12"/>
  <c r="M192" i="12"/>
  <c r="M195" i="12"/>
  <c r="M335" i="12"/>
  <c r="M101" i="12"/>
  <c r="M111" i="12"/>
  <c r="M190" i="12"/>
  <c r="M291" i="12"/>
  <c r="M170" i="12"/>
  <c r="M119" i="12"/>
  <c r="M191" i="12"/>
  <c r="M331" i="12"/>
  <c r="M334" i="12"/>
  <c r="M55" i="12"/>
  <c r="M114" i="12"/>
  <c r="M85" i="12"/>
  <c r="M113" i="12"/>
  <c r="M169" i="12"/>
  <c r="M257" i="12"/>
  <c r="M320" i="12"/>
  <c r="M208" i="12"/>
  <c r="M75" i="12"/>
  <c r="M252" i="12"/>
  <c r="M146" i="12"/>
  <c r="M242" i="12"/>
  <c r="M361" i="12"/>
  <c r="M36" i="12"/>
  <c r="M173" i="12"/>
  <c r="M254" i="12"/>
  <c r="M43" i="12"/>
  <c r="M183" i="12"/>
  <c r="M244" i="12"/>
  <c r="M305" i="12"/>
  <c r="M86" i="12"/>
  <c r="M198" i="12"/>
  <c r="M343" i="12"/>
  <c r="M341" i="12"/>
  <c r="M104" i="12"/>
  <c r="M214" i="12"/>
  <c r="M235" i="12"/>
  <c r="M262" i="12"/>
  <c r="M108" i="12"/>
  <c r="M233" i="12"/>
  <c r="M196" i="12"/>
  <c r="M277" i="12"/>
  <c r="M350" i="12"/>
  <c r="M219" i="12"/>
  <c r="M130" i="12"/>
  <c r="M197" i="12"/>
  <c r="M355" i="12"/>
  <c r="M336" i="12"/>
  <c r="M92" i="12"/>
  <c r="M216" i="12"/>
  <c r="M298" i="12"/>
  <c r="M29" i="12"/>
  <c r="M102" i="12"/>
  <c r="M247" i="12"/>
  <c r="M223" i="12"/>
  <c r="M322" i="12"/>
  <c r="M70" i="12"/>
  <c r="M132" i="12"/>
  <c r="M229" i="12"/>
  <c r="M270" i="12"/>
  <c r="M154" i="12"/>
  <c r="M178" i="12"/>
  <c r="M292" i="12"/>
  <c r="M310" i="12"/>
  <c r="M118" i="12"/>
  <c r="M156" i="12"/>
  <c r="M287" i="12"/>
  <c r="M328" i="12"/>
  <c r="M65" i="12"/>
  <c r="M220" i="12"/>
  <c r="M211" i="12"/>
  <c r="M278" i="12"/>
  <c r="M91" i="12"/>
  <c r="M152" i="12"/>
  <c r="M73" i="12"/>
  <c r="M230" i="12"/>
  <c r="M250" i="12"/>
  <c r="M306" i="12"/>
  <c r="M116" i="12"/>
  <c r="M112" i="12"/>
  <c r="M200" i="12"/>
  <c r="M279" i="12"/>
  <c r="M352" i="12"/>
  <c r="M57" i="12"/>
  <c r="M303" i="12"/>
  <c r="M64" i="12"/>
  <c r="M248" i="12"/>
  <c r="M315" i="12"/>
  <c r="M338" i="12"/>
  <c r="M39" i="12"/>
  <c r="M174" i="12"/>
  <c r="M300" i="12"/>
  <c r="M304" i="12"/>
  <c r="M136" i="12"/>
  <c r="M144" i="12"/>
  <c r="M255" i="12"/>
  <c r="M326" i="12"/>
  <c r="M88" i="12"/>
  <c r="M193" i="12"/>
  <c r="M263" i="12"/>
  <c r="M344" i="12"/>
  <c r="M12" i="12"/>
  <c r="M187" i="12"/>
  <c r="M209" i="12"/>
  <c r="M317" i="12"/>
  <c r="M14" i="12"/>
  <c r="M189" i="12"/>
  <c r="M226" i="12"/>
  <c r="M264" i="12"/>
  <c r="M81" i="12"/>
  <c r="M237" i="12"/>
  <c r="M251" i="12"/>
  <c r="M307" i="12"/>
  <c r="M253" i="12"/>
  <c r="M290" i="12"/>
  <c r="M89" i="12"/>
  <c r="M139" i="12"/>
  <c r="M261" i="12"/>
  <c r="M115" i="12"/>
  <c r="M128" i="12"/>
  <c r="M243" i="12"/>
  <c r="M365" i="12"/>
  <c r="M80" i="12"/>
  <c r="M285" i="12"/>
  <c r="M282" i="12"/>
  <c r="M342" i="12"/>
  <c r="M212" i="12"/>
  <c r="M129" i="12"/>
  <c r="M327" i="12"/>
  <c r="M176" i="12"/>
  <c r="M276" i="12"/>
  <c r="M18" i="12"/>
  <c r="M155" i="12"/>
  <c r="M265" i="12"/>
  <c r="M105" i="12"/>
  <c r="M293" i="12"/>
  <c r="M241" i="12"/>
  <c r="M324" i="12"/>
  <c r="M60" i="12"/>
  <c r="M180" i="12"/>
  <c r="M127" i="12"/>
  <c r="M301" i="12"/>
  <c r="M358" i="12"/>
  <c r="M24" i="12"/>
  <c r="M145" i="12"/>
  <c r="M271" i="12"/>
  <c r="M77" i="12"/>
  <c r="M28" i="12"/>
  <c r="M133" i="12"/>
  <c r="M323" i="12"/>
  <c r="M332" i="12"/>
  <c r="M47" i="12"/>
  <c r="M66" i="12"/>
  <c r="M135" i="12"/>
  <c r="M207" i="12"/>
  <c r="M321" i="12"/>
  <c r="M138" i="12"/>
  <c r="M32" i="12"/>
  <c r="M245" i="12"/>
  <c r="M225" i="12"/>
  <c r="M288" i="12"/>
  <c r="M131" i="12"/>
  <c r="M313" i="12"/>
  <c r="M82" i="12"/>
  <c r="M171" i="12"/>
  <c r="M339" i="12"/>
  <c r="M164" i="12"/>
  <c r="M259" i="12"/>
  <c r="M363" i="12"/>
  <c r="M356" i="12"/>
  <c r="M41" i="12"/>
  <c r="M35" i="12"/>
  <c r="M22" i="12"/>
  <c r="M159" i="12"/>
  <c r="M269" i="12"/>
  <c r="M42" i="12"/>
  <c r="M177" i="12"/>
  <c r="M258" i="12"/>
  <c r="M46" i="12"/>
  <c r="M58" i="12"/>
  <c r="M165" i="12"/>
  <c r="M308" i="12"/>
  <c r="M348" i="12"/>
  <c r="M122" i="12"/>
  <c r="M201" i="12"/>
  <c r="M151" i="12"/>
  <c r="M295" i="12"/>
  <c r="M353" i="12"/>
  <c r="M48" i="12"/>
  <c r="M74" i="12"/>
  <c r="M137" i="12"/>
  <c r="M222" i="12"/>
  <c r="M325" i="12"/>
  <c r="M31" i="12"/>
  <c r="M97" i="12"/>
  <c r="M268" i="12"/>
  <c r="M179" i="12"/>
  <c r="N274" i="12"/>
  <c r="Q60" i="12"/>
  <c r="Q321" i="12"/>
  <c r="Q287" i="12"/>
  <c r="Q170" i="12"/>
  <c r="Q122" i="12"/>
  <c r="Q54" i="12"/>
  <c r="Q349" i="12"/>
  <c r="Q344" i="12"/>
  <c r="Q150" i="12"/>
  <c r="Q55" i="12"/>
  <c r="Q204" i="12"/>
  <c r="Q279" i="12"/>
  <c r="Q192" i="12"/>
  <c r="Q225" i="12"/>
  <c r="Q56" i="12"/>
  <c r="N51" i="12"/>
  <c r="P58" i="12"/>
  <c r="Q272" i="12"/>
  <c r="Q148" i="12"/>
  <c r="Q253" i="12"/>
  <c r="N164" i="12"/>
  <c r="P279" i="12"/>
  <c r="P248" i="12"/>
  <c r="P155" i="12"/>
  <c r="P57" i="12"/>
  <c r="P68" i="12"/>
  <c r="N112" i="12"/>
  <c r="P291" i="12"/>
  <c r="P359" i="12"/>
  <c r="P150" i="12"/>
  <c r="P145" i="12"/>
  <c r="P32" i="12"/>
  <c r="Q34" i="12"/>
  <c r="P233" i="12"/>
  <c r="P281" i="12"/>
  <c r="P94" i="12"/>
  <c r="Q355" i="12"/>
  <c r="Q280" i="12"/>
  <c r="Q203" i="12"/>
  <c r="Q236" i="12"/>
  <c r="Q238" i="12"/>
  <c r="Q88" i="12"/>
  <c r="Q358" i="12"/>
  <c r="Q254" i="12"/>
  <c r="Q154" i="12"/>
  <c r="Q282" i="12"/>
  <c r="Q16" i="12"/>
  <c r="Q333" i="12"/>
  <c r="Q244" i="12"/>
  <c r="Q134" i="12"/>
  <c r="Q27" i="12"/>
  <c r="Q221" i="12"/>
  <c r="Q28" i="12"/>
  <c r="Q295" i="12"/>
  <c r="Q168" i="12"/>
  <c r="Q63" i="12"/>
  <c r="N308" i="12"/>
  <c r="Q66" i="12"/>
  <c r="Q363" i="12"/>
  <c r="Q292" i="12"/>
  <c r="Q202" i="12"/>
  <c r="Q86" i="12"/>
  <c r="N76" i="12"/>
  <c r="Q83" i="12"/>
  <c r="P263" i="12"/>
  <c r="P216" i="12"/>
  <c r="P96" i="12"/>
  <c r="Q30" i="12"/>
  <c r="Q97" i="12"/>
  <c r="P73" i="12"/>
  <c r="P277" i="12"/>
  <c r="P246" i="12"/>
  <c r="P136" i="12"/>
  <c r="P12" i="12"/>
  <c r="Q100" i="12"/>
  <c r="P342" i="12"/>
  <c r="P217" i="12"/>
  <c r="P255" i="12"/>
  <c r="P65" i="12"/>
  <c r="N275" i="12"/>
  <c r="Q347" i="12"/>
  <c r="Q243" i="12"/>
  <c r="Q145" i="12"/>
  <c r="Q173" i="12"/>
  <c r="N190" i="12"/>
  <c r="N263" i="12"/>
  <c r="P284" i="12"/>
  <c r="P200" i="12"/>
  <c r="P171" i="12"/>
  <c r="Q65" i="12"/>
  <c r="N335" i="12"/>
  <c r="P261" i="12"/>
  <c r="P214" i="12"/>
  <c r="P88" i="12"/>
  <c r="N260" i="12"/>
  <c r="P326" i="12"/>
  <c r="P201" i="12"/>
  <c r="P179" i="12"/>
  <c r="P41" i="12"/>
  <c r="N354" i="12"/>
  <c r="Q316" i="12"/>
  <c r="Q136" i="12"/>
  <c r="Q102" i="12"/>
  <c r="N206" i="12"/>
  <c r="N323" i="12"/>
  <c r="Q67" i="12"/>
  <c r="Q315" i="12"/>
  <c r="Q232" i="12"/>
  <c r="Q149" i="12"/>
  <c r="Q110" i="12"/>
  <c r="P11" i="12"/>
  <c r="Q75" i="12"/>
  <c r="P256" i="12"/>
  <c r="P295" i="12"/>
  <c r="P103" i="12"/>
  <c r="N346" i="12"/>
  <c r="N158" i="12"/>
  <c r="P283" i="12"/>
  <c r="P198" i="12"/>
  <c r="P162" i="12"/>
  <c r="N171" i="12"/>
  <c r="P310" i="12"/>
  <c r="P325" i="12"/>
  <c r="P134" i="12"/>
  <c r="P83" i="12"/>
  <c r="N281" i="12"/>
  <c r="Q265" i="12"/>
  <c r="Q199" i="12"/>
  <c r="Q241" i="12"/>
  <c r="Q15" i="12"/>
  <c r="Q96" i="12"/>
  <c r="Q277" i="12"/>
  <c r="Q352" i="12"/>
  <c r="Q165" i="12"/>
  <c r="Q94" i="12"/>
  <c r="Q351" i="12"/>
  <c r="Q336" i="12"/>
  <c r="Q249" i="12"/>
  <c r="Q191" i="12"/>
  <c r="N96" i="12"/>
  <c r="N225" i="12"/>
  <c r="Q346" i="12"/>
  <c r="Q303" i="12"/>
  <c r="Q167" i="12"/>
  <c r="Q51" i="12"/>
  <c r="Q20" i="12"/>
  <c r="P239" i="12"/>
  <c r="P286" i="12"/>
  <c r="P119" i="12"/>
  <c r="N157" i="12"/>
  <c r="P253" i="12"/>
  <c r="P264" i="12"/>
  <c r="P95" i="12"/>
  <c r="N72" i="12"/>
  <c r="P341" i="12"/>
  <c r="P242" i="12"/>
  <c r="P121" i="12"/>
  <c r="P127" i="12"/>
  <c r="N363" i="12"/>
  <c r="Q330" i="12"/>
  <c r="Q211" i="12"/>
  <c r="Q140" i="12"/>
  <c r="Q79" i="12"/>
  <c r="Q32" i="12"/>
  <c r="Q44" i="12"/>
  <c r="N229" i="12"/>
  <c r="Q296" i="12"/>
  <c r="Q223" i="12"/>
  <c r="Q188" i="12"/>
  <c r="Q105" i="12"/>
  <c r="Q261" i="12"/>
  <c r="Q291" i="12"/>
  <c r="Q186" i="12"/>
  <c r="Q182" i="12"/>
  <c r="Q319" i="12"/>
  <c r="Q256" i="12"/>
  <c r="Q181" i="12"/>
  <c r="Q147" i="12"/>
  <c r="N45" i="12"/>
  <c r="N145" i="12"/>
  <c r="Q275" i="12"/>
  <c r="Q283" i="12"/>
  <c r="Q171" i="12"/>
  <c r="Q163" i="12"/>
  <c r="Q42" i="12"/>
  <c r="Q68" i="12"/>
  <c r="Q64" i="12"/>
  <c r="P207" i="12"/>
  <c r="P262" i="12"/>
  <c r="P99" i="12"/>
  <c r="N130" i="12"/>
  <c r="Q84" i="12"/>
  <c r="P237" i="12"/>
  <c r="P296" i="12"/>
  <c r="P105" i="12"/>
  <c r="P353" i="12"/>
  <c r="P210" i="12"/>
  <c r="P169" i="12"/>
  <c r="Q92" i="12"/>
  <c r="P33" i="12"/>
  <c r="N356" i="12"/>
  <c r="Q213" i="12"/>
  <c r="Q124" i="12"/>
  <c r="Q33" i="12"/>
  <c r="Q90" i="12"/>
  <c r="Q24" i="12"/>
  <c r="Q353" i="12"/>
  <c r="Q278" i="12"/>
  <c r="Q197" i="12"/>
  <c r="Q226" i="12"/>
  <c r="Q205" i="12"/>
  <c r="Q340" i="12"/>
  <c r="Q290" i="12"/>
  <c r="Q242" i="12"/>
  <c r="Q120" i="12"/>
  <c r="Q354" i="12"/>
  <c r="Q248" i="12"/>
  <c r="Q219" i="12"/>
  <c r="Q53" i="12"/>
  <c r="P89" i="12"/>
  <c r="N118" i="12"/>
  <c r="Q259" i="12"/>
  <c r="Q252" i="12"/>
  <c r="Q137" i="12"/>
  <c r="Q57" i="12"/>
  <c r="N310" i="12"/>
  <c r="Q98" i="12"/>
  <c r="P332" i="12"/>
  <c r="P191" i="12"/>
  <c r="P144" i="12"/>
  <c r="P44" i="12"/>
  <c r="N42" i="12"/>
  <c r="P346" i="12"/>
  <c r="P205" i="12"/>
  <c r="P319" i="12"/>
  <c r="P82" i="12"/>
  <c r="P107" i="12"/>
  <c r="P303" i="12"/>
  <c r="P194" i="12"/>
  <c r="P72" i="12"/>
  <c r="P60" i="12"/>
  <c r="N154" i="12"/>
  <c r="O223" i="12"/>
  <c r="O116" i="12"/>
  <c r="O310" i="12"/>
  <c r="O256" i="12"/>
  <c r="O248" i="12"/>
  <c r="O176" i="12"/>
  <c r="O76" i="12"/>
  <c r="O324" i="12"/>
  <c r="O282" i="12"/>
  <c r="O214" i="12"/>
  <c r="O166" i="12"/>
  <c r="O182" i="12"/>
  <c r="O42" i="12"/>
  <c r="O83" i="12"/>
  <c r="O361" i="12"/>
  <c r="O251" i="12"/>
  <c r="O277" i="12"/>
  <c r="O151" i="12"/>
  <c r="O55" i="12"/>
  <c r="O14" i="12"/>
  <c r="O22" i="12"/>
  <c r="O343" i="12"/>
  <c r="O185" i="12"/>
  <c r="O188" i="12"/>
  <c r="O71" i="12"/>
  <c r="O82" i="12"/>
  <c r="O339" i="12"/>
  <c r="O183" i="12"/>
  <c r="O184" i="12"/>
  <c r="O208" i="12"/>
  <c r="O363" i="12"/>
  <c r="O195" i="12"/>
  <c r="O105" i="12"/>
  <c r="O124" i="12"/>
  <c r="O78" i="12"/>
  <c r="O293" i="12"/>
  <c r="O209" i="12"/>
  <c r="O161" i="12"/>
  <c r="O64" i="12"/>
  <c r="N293" i="12"/>
  <c r="N284" i="12"/>
  <c r="N115" i="12"/>
  <c r="N258" i="12"/>
  <c r="N77" i="12"/>
  <c r="N355" i="12"/>
  <c r="N340" i="12"/>
  <c r="N177" i="12"/>
  <c r="N150" i="12"/>
  <c r="N62" i="12"/>
  <c r="N202" i="12"/>
  <c r="N54" i="12"/>
  <c r="N306" i="12"/>
  <c r="N197" i="12"/>
  <c r="N186" i="12"/>
  <c r="N277" i="12"/>
  <c r="N57" i="12"/>
  <c r="L121" i="12"/>
  <c r="N142" i="12"/>
  <c r="N37" i="12"/>
  <c r="N344" i="12"/>
  <c r="N231" i="12"/>
  <c r="N162" i="12"/>
  <c r="N74" i="12"/>
  <c r="N33" i="12"/>
  <c r="N176" i="12"/>
  <c r="N265" i="12"/>
  <c r="L259" i="12"/>
  <c r="N205" i="12"/>
  <c r="L38" i="12"/>
  <c r="L270" i="12"/>
  <c r="L261" i="12"/>
  <c r="L171" i="12"/>
  <c r="L74" i="12"/>
  <c r="N298" i="12"/>
  <c r="N252" i="12"/>
  <c r="N201" i="12"/>
  <c r="L104" i="12"/>
  <c r="N247" i="12"/>
  <c r="O332" i="12"/>
  <c r="O290" i="12"/>
  <c r="O269" i="12"/>
  <c r="O128" i="12"/>
  <c r="O172" i="12"/>
  <c r="L54" i="12"/>
  <c r="N167" i="12"/>
  <c r="N140" i="12"/>
  <c r="N52" i="12"/>
  <c r="L16" i="12"/>
  <c r="L325" i="12"/>
  <c r="L226" i="12"/>
  <c r="L203" i="12"/>
  <c r="L140" i="12"/>
  <c r="L79" i="12"/>
  <c r="N311" i="12"/>
  <c r="N266" i="12"/>
  <c r="N248" i="12"/>
  <c r="N82" i="12"/>
  <c r="O337" i="12"/>
  <c r="O239" i="12"/>
  <c r="O194" i="12"/>
  <c r="O73" i="12"/>
  <c r="O152" i="12"/>
  <c r="L348" i="12"/>
  <c r="L208" i="12"/>
  <c r="L185" i="12"/>
  <c r="L116" i="12"/>
  <c r="L93" i="12"/>
  <c r="O365" i="12"/>
  <c r="O253" i="12"/>
  <c r="O186" i="12"/>
  <c r="O160" i="12"/>
  <c r="O62" i="12"/>
  <c r="L18" i="12"/>
  <c r="L353" i="12"/>
  <c r="L254" i="12"/>
  <c r="L231" i="12"/>
  <c r="L176" i="12"/>
  <c r="L78" i="12"/>
  <c r="N365" i="12"/>
  <c r="O329" i="12"/>
  <c r="O235" i="12"/>
  <c r="O224" i="12"/>
  <c r="O57" i="12"/>
  <c r="O94" i="12"/>
  <c r="L274" i="12"/>
  <c r="L284" i="12"/>
  <c r="L342" i="12"/>
  <c r="L90" i="12"/>
  <c r="N27" i="12"/>
  <c r="O102" i="12"/>
  <c r="N282" i="12"/>
  <c r="O352" i="12"/>
  <c r="O311" i="12"/>
  <c r="O266" i="12"/>
  <c r="O132" i="12"/>
  <c r="O140" i="12"/>
  <c r="O18" i="12"/>
  <c r="L334" i="12"/>
  <c r="L285" i="12"/>
  <c r="L281" i="12"/>
  <c r="L97" i="12"/>
  <c r="M51" i="12"/>
  <c r="M349" i="12"/>
  <c r="M283" i="12"/>
  <c r="M149" i="12"/>
  <c r="M158" i="12"/>
  <c r="M59" i="12"/>
  <c r="M166" i="12"/>
  <c r="N326" i="12"/>
  <c r="N312" i="12"/>
  <c r="O350" i="12"/>
  <c r="O308" i="12"/>
  <c r="O255" i="12"/>
  <c r="O131" i="12"/>
  <c r="O115" i="12"/>
  <c r="O362" i="12"/>
  <c r="O331" i="12"/>
  <c r="O265" i="12"/>
  <c r="O179" i="12"/>
  <c r="O133" i="12"/>
  <c r="O25" i="12"/>
  <c r="L294" i="12"/>
  <c r="L253" i="12"/>
  <c r="L174" i="12"/>
  <c r="L73" i="12"/>
  <c r="Q263" i="12"/>
  <c r="Q184" i="12"/>
  <c r="Q177" i="12"/>
  <c r="Q13" i="12"/>
  <c r="Q12" i="12"/>
  <c r="O359" i="12"/>
  <c r="O193" i="12"/>
  <c r="O240" i="12"/>
  <c r="O103" i="12"/>
  <c r="M360" i="12"/>
  <c r="M351" i="12"/>
  <c r="M359" i="12"/>
  <c r="M160" i="12"/>
  <c r="M311" i="12"/>
  <c r="O34" i="12"/>
  <c r="N322" i="12"/>
  <c r="N213" i="12"/>
  <c r="N233" i="12"/>
  <c r="N192" i="12"/>
  <c r="N61" i="12"/>
  <c r="M337" i="12"/>
  <c r="M239" i="12"/>
  <c r="M143" i="12"/>
  <c r="M98" i="12"/>
  <c r="M69" i="12"/>
  <c r="N339" i="12"/>
  <c r="N278" i="12"/>
  <c r="N161" i="12"/>
  <c r="N134" i="12"/>
  <c r="N46" i="12"/>
  <c r="N22" i="12"/>
  <c r="L230" i="12"/>
  <c r="O19" i="12"/>
  <c r="N83" i="12"/>
  <c r="Q331" i="12"/>
  <c r="Q306" i="12"/>
  <c r="Q180" i="12"/>
  <c r="Q207" i="12"/>
  <c r="Q77" i="12"/>
  <c r="M340" i="12"/>
  <c r="M267" i="12"/>
  <c r="M215" i="12"/>
  <c r="M162" i="12"/>
  <c r="M72" i="12"/>
  <c r="O66" i="12"/>
  <c r="N338" i="12"/>
  <c r="N259" i="12"/>
  <c r="N180" i="12"/>
  <c r="N92" i="12"/>
  <c r="N41" i="12"/>
  <c r="L361" i="12"/>
  <c r="L151" i="12"/>
  <c r="N250" i="12"/>
  <c r="P138" i="12"/>
  <c r="P361" i="12"/>
  <c r="P232" i="12"/>
  <c r="P132" i="12"/>
  <c r="P258" i="12"/>
  <c r="O69" i="12"/>
  <c r="M289" i="12"/>
  <c r="M240" i="12"/>
  <c r="M123" i="12"/>
  <c r="M34" i="12"/>
  <c r="M188" i="12"/>
  <c r="N351" i="12"/>
  <c r="N272" i="12"/>
  <c r="N173" i="12"/>
  <c r="N146" i="12"/>
  <c r="N58" i="12"/>
  <c r="N12" i="12"/>
  <c r="N144" i="12"/>
  <c r="Q14" i="12"/>
  <c r="L207" i="12"/>
  <c r="N121" i="12"/>
  <c r="P362" i="12"/>
  <c r="P347" i="12"/>
  <c r="P230" i="12"/>
  <c r="P131" i="12"/>
  <c r="P151" i="12"/>
  <c r="M76" i="12"/>
  <c r="L332" i="12"/>
  <c r="L277" i="12"/>
  <c r="L183" i="12"/>
  <c r="L89" i="12"/>
  <c r="P54" i="12"/>
  <c r="N330" i="12"/>
  <c r="N215" i="12"/>
  <c r="N104" i="12"/>
  <c r="L287" i="12"/>
  <c r="N110" i="12"/>
  <c r="O316" i="12"/>
  <c r="O275" i="12"/>
  <c r="O238" i="12"/>
  <c r="O139" i="12"/>
  <c r="O109" i="12"/>
  <c r="P273" i="12"/>
  <c r="P185" i="12"/>
  <c r="P280" i="12"/>
  <c r="P130" i="12"/>
  <c r="O16" i="12"/>
  <c r="N20" i="12"/>
  <c r="N151" i="12"/>
  <c r="N124" i="12"/>
  <c r="N239" i="12"/>
  <c r="L350" i="12"/>
  <c r="L210" i="12"/>
  <c r="L187" i="12"/>
  <c r="L122" i="12"/>
  <c r="L109" i="12"/>
  <c r="M346" i="12"/>
  <c r="M273" i="12"/>
  <c r="M185" i="12"/>
  <c r="M203" i="12"/>
  <c r="M96" i="12"/>
  <c r="M56" i="12"/>
  <c r="N295" i="12"/>
  <c r="N316" i="12"/>
  <c r="N216" i="12"/>
  <c r="N66" i="12"/>
  <c r="O234" i="12"/>
  <c r="O228" i="12"/>
  <c r="O261" i="12"/>
  <c r="O120" i="12"/>
  <c r="O168" i="12"/>
  <c r="L343" i="12"/>
  <c r="L244" i="12"/>
  <c r="L221" i="12"/>
  <c r="L129" i="12"/>
  <c r="O344" i="12"/>
  <c r="O302" i="12"/>
  <c r="O210" i="12"/>
  <c r="O268" i="12"/>
  <c r="O60" i="12"/>
  <c r="O91" i="12"/>
  <c r="N348" i="12"/>
  <c r="N220" i="12"/>
  <c r="N168" i="12"/>
  <c r="N80" i="12"/>
  <c r="N195" i="12"/>
  <c r="N249" i="12"/>
  <c r="N307" i="12"/>
  <c r="N242" i="12"/>
  <c r="N129" i="12"/>
  <c r="N238" i="12"/>
  <c r="N91" i="12"/>
  <c r="L239" i="12"/>
  <c r="N237" i="12"/>
  <c r="N353" i="12"/>
  <c r="N273" i="12"/>
  <c r="N175" i="12"/>
  <c r="N148" i="12"/>
  <c r="N60" i="12"/>
  <c r="L295" i="12"/>
  <c r="L114" i="12"/>
  <c r="N67" i="12"/>
  <c r="L22" i="12"/>
  <c r="N319" i="12"/>
  <c r="N209" i="12"/>
  <c r="N141" i="12"/>
  <c r="N114" i="12"/>
  <c r="N103" i="12"/>
  <c r="O48" i="12"/>
  <c r="N280" i="12"/>
  <c r="L144" i="12"/>
  <c r="N185" i="12"/>
  <c r="L347" i="12"/>
  <c r="L248" i="12"/>
  <c r="L225" i="12"/>
  <c r="L145" i="12"/>
  <c r="L21" i="12"/>
  <c r="O59" i="12"/>
  <c r="N328" i="12"/>
  <c r="N139" i="12"/>
  <c r="N40" i="12"/>
  <c r="L265" i="12"/>
  <c r="N232" i="12"/>
  <c r="O317" i="12"/>
  <c r="O229" i="12"/>
  <c r="O158" i="12"/>
  <c r="O169" i="12"/>
  <c r="O44" i="12"/>
  <c r="O70" i="12"/>
  <c r="N119" i="12"/>
  <c r="N183" i="12"/>
  <c r="N81" i="12"/>
  <c r="Q82" i="12"/>
  <c r="L280" i="12"/>
  <c r="L330" i="12"/>
  <c r="L360" i="12"/>
  <c r="L178" i="12"/>
  <c r="M21" i="12"/>
  <c r="M314" i="12"/>
  <c r="M299" i="12"/>
  <c r="M163" i="12"/>
  <c r="M213" i="12"/>
  <c r="O181" i="12"/>
  <c r="N324" i="12"/>
  <c r="N288" i="12"/>
  <c r="N122" i="12"/>
  <c r="N234" i="12"/>
  <c r="O307" i="12"/>
  <c r="O141" i="12"/>
  <c r="O30" i="12"/>
  <c r="O333" i="12"/>
  <c r="O237" i="12"/>
  <c r="O65" i="12"/>
  <c r="O106" i="12"/>
  <c r="O303" i="12"/>
  <c r="O254" i="12"/>
  <c r="O99" i="12"/>
  <c r="O294" i="12"/>
  <c r="O167" i="12"/>
  <c r="O38" i="12"/>
  <c r="O292" i="12"/>
  <c r="O138" i="12"/>
  <c r="O264" i="12"/>
  <c r="O98" i="12"/>
  <c r="O28" i="12"/>
  <c r="O349" i="12"/>
  <c r="O245" i="12"/>
  <c r="O267" i="12"/>
  <c r="O97" i="12"/>
  <c r="O52" i="12"/>
  <c r="O29" i="12"/>
  <c r="N34" i="12"/>
  <c r="N135" i="12"/>
  <c r="N108" i="12"/>
  <c r="N97" i="12"/>
  <c r="O84" i="12"/>
  <c r="N352" i="12"/>
  <c r="N228" i="12"/>
  <c r="N50" i="12"/>
  <c r="O291" i="12"/>
  <c r="O207" i="12"/>
  <c r="O146" i="12"/>
  <c r="O56" i="12"/>
  <c r="L47" i="12"/>
  <c r="L278" i="12"/>
  <c r="L306" i="12"/>
  <c r="L297" i="12"/>
  <c r="L135" i="12"/>
  <c r="O305" i="12"/>
  <c r="O221" i="12"/>
  <c r="O262" i="12"/>
  <c r="O113" i="12"/>
  <c r="O170" i="12"/>
  <c r="L321" i="12"/>
  <c r="L222" i="12"/>
  <c r="L199" i="12"/>
  <c r="L124" i="12"/>
  <c r="L42" i="12"/>
  <c r="O100" i="12"/>
  <c r="O11" i="12"/>
  <c r="N333" i="12"/>
  <c r="O287" i="12"/>
  <c r="O203" i="12"/>
  <c r="O130" i="12"/>
  <c r="O216" i="12"/>
  <c r="O13" i="12"/>
  <c r="L358" i="12"/>
  <c r="L245" i="12"/>
  <c r="L142" i="12"/>
  <c r="L173" i="12"/>
  <c r="O86" i="12"/>
  <c r="N347" i="12"/>
  <c r="N342" i="12"/>
  <c r="O320" i="12"/>
  <c r="O272" i="12"/>
  <c r="O279" i="12"/>
  <c r="O149" i="12"/>
  <c r="O125" i="12"/>
  <c r="L349" i="12"/>
  <c r="L250" i="12"/>
  <c r="L227" i="12"/>
  <c r="L160" i="12"/>
  <c r="L24" i="12"/>
  <c r="N361" i="12"/>
  <c r="N271" i="12"/>
  <c r="O318" i="12"/>
  <c r="O260" i="12"/>
  <c r="O270" i="12"/>
  <c r="O144" i="12"/>
  <c r="O112" i="12"/>
  <c r="O330" i="12"/>
  <c r="O288" i="12"/>
  <c r="O355" i="12"/>
  <c r="O191" i="12"/>
  <c r="O200" i="12"/>
  <c r="O95" i="12"/>
  <c r="L262" i="12"/>
  <c r="L312" i="12"/>
  <c r="L139" i="12"/>
  <c r="L146" i="12"/>
  <c r="O289" i="12"/>
  <c r="O205" i="12"/>
  <c r="O145" i="12"/>
  <c r="O252" i="12"/>
  <c r="L318" i="12"/>
  <c r="L206" i="12"/>
  <c r="L293" i="12"/>
  <c r="L110" i="12"/>
  <c r="L80" i="12"/>
  <c r="N317" i="12"/>
  <c r="O15" i="12"/>
  <c r="O347" i="12"/>
  <c r="O187" i="12"/>
  <c r="O190" i="12"/>
  <c r="O79" i="12"/>
  <c r="L351" i="12"/>
  <c r="L252" i="12"/>
  <c r="L229" i="12"/>
  <c r="L161" i="12"/>
  <c r="L37" i="12"/>
  <c r="L12" i="12"/>
  <c r="N331" i="12"/>
  <c r="N268" i="12"/>
  <c r="O357" i="12"/>
  <c r="O249" i="12"/>
  <c r="O250" i="12"/>
  <c r="O135" i="12"/>
  <c r="O54" i="12"/>
  <c r="N23" i="12"/>
  <c r="L333" i="12"/>
  <c r="L234" i="12"/>
  <c r="L211" i="12"/>
  <c r="L169" i="12"/>
  <c r="L164" i="12"/>
  <c r="M33" i="12"/>
  <c r="M11" i="12"/>
  <c r="M37" i="12"/>
  <c r="M95" i="12"/>
  <c r="M186" i="12"/>
  <c r="M236" i="12"/>
  <c r="M202" i="12"/>
  <c r="M19" i="12"/>
  <c r="M13" i="12"/>
  <c r="M93" i="12"/>
  <c r="M54" i="12"/>
  <c r="M71" i="12"/>
  <c r="M23" i="12"/>
  <c r="M106" i="12"/>
  <c r="M25" i="12"/>
  <c r="M52" i="12"/>
  <c r="M79" i="12"/>
  <c r="M78" i="12"/>
  <c r="M109" i="12"/>
  <c r="M249" i="12"/>
  <c r="M124" i="12"/>
  <c r="N345" i="12"/>
  <c r="N332" i="12"/>
  <c r="Q169" i="12"/>
  <c r="O353" i="12"/>
  <c r="O247" i="12"/>
  <c r="O192" i="12"/>
  <c r="O121" i="12"/>
  <c r="O53" i="12"/>
  <c r="Q317" i="12"/>
  <c r="Q297" i="12"/>
  <c r="Q166" i="12"/>
  <c r="Q209" i="12"/>
  <c r="Q85" i="12"/>
  <c r="O314" i="12"/>
  <c r="O274" i="12"/>
  <c r="O222" i="12"/>
  <c r="O123" i="12"/>
  <c r="O107" i="12"/>
  <c r="L327" i="12"/>
  <c r="L228" i="12"/>
  <c r="L205" i="12"/>
  <c r="L152" i="12"/>
  <c r="Q335" i="12"/>
  <c r="Q308" i="12"/>
  <c r="Q198" i="12"/>
  <c r="Q260" i="12"/>
  <c r="Q93" i="12"/>
  <c r="O328" i="12"/>
  <c r="O286" i="12"/>
  <c r="O246" i="12"/>
  <c r="O114" i="12"/>
  <c r="O122" i="12"/>
  <c r="M312" i="12"/>
  <c r="M294" i="12"/>
  <c r="M161" i="12"/>
  <c r="M182" i="12"/>
  <c r="M184" i="12"/>
  <c r="N357" i="12"/>
  <c r="N364" i="12"/>
  <c r="N179" i="12"/>
  <c r="N152" i="12"/>
  <c r="N64" i="12"/>
  <c r="N235" i="12"/>
  <c r="Q22" i="12"/>
  <c r="M256" i="12"/>
  <c r="M194" i="12"/>
  <c r="M140" i="12"/>
  <c r="M121" i="12"/>
  <c r="N291" i="12"/>
  <c r="N276" i="12"/>
  <c r="N113" i="12"/>
  <c r="N217" i="12"/>
  <c r="N75" i="12"/>
  <c r="L191" i="12"/>
  <c r="N137" i="12"/>
  <c r="N133" i="12"/>
  <c r="Q314" i="12"/>
  <c r="Q245" i="12"/>
  <c r="Q132" i="12"/>
  <c r="Q47" i="12"/>
  <c r="Q179" i="12"/>
  <c r="M333" i="12"/>
  <c r="M238" i="12"/>
  <c r="M141" i="12"/>
  <c r="M90" i="12"/>
  <c r="M61" i="12"/>
  <c r="N337" i="12"/>
  <c r="N255" i="12"/>
  <c r="N159" i="12"/>
  <c r="N132" i="12"/>
  <c r="N44" i="12"/>
  <c r="P38" i="12"/>
  <c r="P31" i="12"/>
  <c r="P17" i="12"/>
  <c r="P18" i="12"/>
  <c r="P37" i="12"/>
  <c r="P24" i="12"/>
  <c r="P85" i="12"/>
  <c r="P90" i="12"/>
  <c r="P106" i="12"/>
  <c r="P16" i="12"/>
  <c r="P13" i="12"/>
  <c r="P53" i="12"/>
  <c r="P59" i="12"/>
  <c r="P39" i="12"/>
  <c r="P177" i="12"/>
  <c r="P28" i="12"/>
  <c r="P74" i="12"/>
  <c r="P30" i="12"/>
  <c r="P21" i="12"/>
  <c r="P62" i="12"/>
  <c r="P23" i="12"/>
  <c r="P76" i="12"/>
  <c r="P174" i="12"/>
  <c r="P49" i="12"/>
  <c r="P55" i="12"/>
  <c r="P52" i="12"/>
  <c r="P81" i="12"/>
  <c r="P92" i="12"/>
  <c r="L246" i="12"/>
  <c r="O33" i="12"/>
  <c r="N15" i="12"/>
  <c r="P316" i="12"/>
  <c r="P223" i="12"/>
  <c r="P184" i="12"/>
  <c r="P154" i="12"/>
  <c r="P135" i="12"/>
  <c r="M354" i="12"/>
  <c r="M296" i="12"/>
  <c r="M217" i="12"/>
  <c r="M120" i="12"/>
  <c r="M148" i="12"/>
  <c r="L45" i="12"/>
  <c r="N303" i="12"/>
  <c r="N226" i="12"/>
  <c r="N125" i="12"/>
  <c r="N204" i="12"/>
  <c r="N87" i="12"/>
  <c r="L71" i="12"/>
  <c r="N88" i="12"/>
  <c r="L345" i="12"/>
  <c r="L43" i="12"/>
  <c r="N86" i="12"/>
  <c r="P314" i="12"/>
  <c r="P221" i="12"/>
  <c r="P305" i="12"/>
  <c r="P137" i="12"/>
  <c r="P114" i="12"/>
  <c r="L331" i="12"/>
  <c r="L232" i="12"/>
  <c r="L209" i="12"/>
  <c r="L162" i="12"/>
  <c r="L117" i="12"/>
  <c r="Q81" i="12"/>
  <c r="N208" i="12"/>
  <c r="N123" i="12"/>
  <c r="N85" i="12"/>
  <c r="L107" i="12"/>
  <c r="Q115" i="12"/>
  <c r="O297" i="12"/>
  <c r="O213" i="12"/>
  <c r="O177" i="12"/>
  <c r="O80" i="12"/>
  <c r="P358" i="12"/>
  <c r="P306" i="12"/>
  <c r="P226" i="12"/>
  <c r="P110" i="12"/>
  <c r="P129" i="12"/>
  <c r="O85" i="12"/>
  <c r="O134" i="12"/>
  <c r="N257" i="12"/>
  <c r="N223" i="12"/>
  <c r="N65" i="12"/>
  <c r="L125" i="12"/>
  <c r="L264" i="12"/>
  <c r="L346" i="12"/>
  <c r="L154" i="12"/>
  <c r="L153" i="12"/>
  <c r="M345" i="12"/>
  <c r="M309" i="12"/>
  <c r="M147" i="12"/>
  <c r="M142" i="12"/>
  <c r="M99" i="12"/>
  <c r="O61" i="12"/>
  <c r="N314" i="12"/>
  <c r="N221" i="12"/>
  <c r="N106" i="12"/>
  <c r="N95" i="12"/>
  <c r="O23" i="12"/>
  <c r="O334" i="12"/>
  <c r="O212" i="12"/>
  <c r="O20" i="12"/>
  <c r="O304" i="12"/>
  <c r="O110" i="12"/>
  <c r="O360" i="12"/>
  <c r="O164" i="12"/>
  <c r="O165" i="12"/>
  <c r="O58" i="12"/>
  <c r="O74" i="12"/>
  <c r="O358" i="12"/>
  <c r="O323" i="12"/>
  <c r="O263" i="12"/>
  <c r="O163" i="12"/>
  <c r="O154" i="12"/>
  <c r="O63" i="12"/>
  <c r="L27" i="12"/>
  <c r="L20" i="12"/>
  <c r="L14" i="12"/>
  <c r="L11" i="12"/>
  <c r="L17" i="12"/>
  <c r="L156" i="12"/>
  <c r="L26" i="12"/>
  <c r="L33" i="12"/>
  <c r="L50" i="12"/>
  <c r="L85" i="12"/>
  <c r="L70" i="12"/>
  <c r="L119" i="12"/>
  <c r="L87" i="12"/>
  <c r="L84" i="12"/>
  <c r="L31" i="12"/>
  <c r="L94" i="12"/>
  <c r="L49" i="12"/>
  <c r="L102" i="12"/>
  <c r="L19" i="12"/>
  <c r="L69" i="12"/>
  <c r="L163" i="12"/>
  <c r="L63" i="12"/>
  <c r="L77" i="12"/>
  <c r="L34" i="12"/>
  <c r="L30" i="12"/>
  <c r="L44" i="12"/>
  <c r="L68" i="12"/>
  <c r="L72" i="12"/>
  <c r="L141" i="12"/>
  <c r="L86" i="12"/>
  <c r="L46" i="12"/>
  <c r="L39" i="12"/>
  <c r="L100" i="12"/>
  <c r="L61" i="12"/>
  <c r="L131" i="12"/>
  <c r="L103" i="12"/>
  <c r="L13" i="12"/>
  <c r="L57" i="12"/>
  <c r="L148" i="12"/>
  <c r="L32" i="12"/>
  <c r="L88" i="12"/>
  <c r="O12" i="12"/>
  <c r="O351" i="12"/>
  <c r="O189" i="12"/>
  <c r="O196" i="12"/>
  <c r="O87" i="12"/>
  <c r="O31" i="12"/>
  <c r="L322" i="12"/>
  <c r="L190" i="12"/>
  <c r="L255" i="12"/>
  <c r="L75" i="12"/>
  <c r="N11" i="12"/>
  <c r="O354" i="12"/>
  <c r="O315" i="12"/>
  <c r="O278" i="12"/>
  <c r="O147" i="12"/>
  <c r="O143" i="12"/>
  <c r="L335" i="12"/>
  <c r="L236" i="12"/>
  <c r="L213" i="12"/>
  <c r="L179" i="12"/>
  <c r="L168" i="12"/>
  <c r="O43" i="12"/>
  <c r="O27" i="12"/>
  <c r="N315" i="12"/>
  <c r="N318" i="12"/>
  <c r="O325" i="12"/>
  <c r="O233" i="12"/>
  <c r="O174" i="12"/>
  <c r="O49" i="12"/>
  <c r="O90" i="12"/>
  <c r="L317" i="12"/>
  <c r="L218" i="12"/>
  <c r="L195" i="12"/>
  <c r="L105" i="12"/>
  <c r="L40" i="12"/>
  <c r="N329" i="12"/>
  <c r="N254" i="12"/>
  <c r="O321" i="12"/>
  <c r="O231" i="12"/>
  <c r="O173" i="12"/>
  <c r="O41" i="12"/>
  <c r="O77" i="12"/>
  <c r="O345" i="12"/>
  <c r="O243" i="12"/>
  <c r="O232" i="12"/>
  <c r="O89" i="12"/>
  <c r="O51" i="12"/>
  <c r="L311" i="12"/>
  <c r="L212" i="12"/>
  <c r="L189" i="12"/>
  <c r="L134" i="12"/>
  <c r="O312" i="12"/>
  <c r="O259" i="12"/>
  <c r="O257" i="12"/>
  <c r="O218" i="12"/>
  <c r="O93" i="12"/>
  <c r="N341" i="12"/>
  <c r="N279" i="12"/>
  <c r="N163" i="12"/>
  <c r="N136" i="12"/>
  <c r="N48" i="12"/>
  <c r="O21" i="12"/>
  <c r="N320" i="12"/>
  <c r="N212" i="12"/>
  <c r="N203" i="12"/>
  <c r="N105" i="12"/>
  <c r="N59" i="12"/>
  <c r="N182" i="12"/>
  <c r="L175" i="12"/>
  <c r="N174" i="12"/>
  <c r="N63" i="12"/>
  <c r="N321" i="12"/>
  <c r="N224" i="12"/>
  <c r="N143" i="12"/>
  <c r="N116" i="12"/>
  <c r="N184" i="12"/>
  <c r="L23" i="12"/>
  <c r="L182" i="12"/>
  <c r="N287" i="12"/>
  <c r="N256" i="12"/>
  <c r="N109" i="12"/>
  <c r="N198" i="12"/>
  <c r="N71" i="12"/>
  <c r="O101" i="12"/>
  <c r="N56" i="12"/>
  <c r="L289" i="12"/>
  <c r="L147" i="12"/>
  <c r="N99" i="12"/>
  <c r="L315" i="12"/>
  <c r="L216" i="12"/>
  <c r="L193" i="12"/>
  <c r="L180" i="12"/>
  <c r="L149" i="12"/>
  <c r="N301" i="12"/>
  <c r="N211" i="12"/>
  <c r="N261" i="12"/>
  <c r="N53" i="12"/>
  <c r="L96" i="12"/>
  <c r="N138" i="12"/>
  <c r="O281" i="12"/>
  <c r="O197" i="12"/>
  <c r="O111" i="12"/>
  <c r="O126" i="12"/>
  <c r="L150" i="12"/>
  <c r="N230" i="12"/>
  <c r="N100" i="12"/>
  <c r="N49" i="12"/>
  <c r="L362" i="12"/>
  <c r="L251" i="12"/>
  <c r="L159" i="12"/>
  <c r="L65" i="12"/>
  <c r="M50" i="12"/>
  <c r="M45" i="12"/>
  <c r="N359" i="12"/>
  <c r="N270" i="12"/>
  <c r="N181" i="12"/>
  <c r="N267" i="12"/>
  <c r="O226" i="12"/>
  <c r="O75" i="12"/>
  <c r="O327" i="12"/>
  <c r="O300" i="12"/>
  <c r="O276" i="12"/>
  <c r="O236" i="12"/>
  <c r="O40" i="12"/>
  <c r="O356" i="12"/>
  <c r="O258" i="12"/>
  <c r="O148" i="12"/>
  <c r="O150" i="12"/>
  <c r="N14" i="12"/>
  <c r="N19" i="12"/>
  <c r="N32" i="12"/>
  <c r="N29" i="12"/>
  <c r="N31" i="12"/>
  <c r="N16" i="12"/>
  <c r="N25" i="12"/>
  <c r="N219" i="12"/>
  <c r="N36" i="12"/>
  <c r="N28" i="12"/>
  <c r="N18" i="12"/>
  <c r="N39" i="12"/>
  <c r="N38" i="12"/>
  <c r="N26" i="12"/>
  <c r="N13" i="12"/>
  <c r="O338" i="12"/>
  <c r="O296" i="12"/>
  <c r="O244" i="12"/>
  <c r="O202" i="12"/>
  <c r="O36" i="12"/>
  <c r="L48" i="12"/>
  <c r="N299" i="12"/>
  <c r="N210" i="12"/>
  <c r="O301" i="12"/>
  <c r="O217" i="12"/>
  <c r="O206" i="12"/>
  <c r="O96" i="12"/>
  <c r="L303" i="12"/>
  <c r="L202" i="12"/>
  <c r="L273" i="12"/>
  <c r="L118" i="12"/>
  <c r="L62" i="12"/>
  <c r="L29" i="12"/>
  <c r="N313" i="12"/>
  <c r="N304" i="12"/>
  <c r="O299" i="12"/>
  <c r="O215" i="12"/>
  <c r="O178" i="12"/>
  <c r="O88" i="12"/>
  <c r="O313" i="12"/>
  <c r="O227" i="12"/>
  <c r="O157" i="12"/>
  <c r="O153" i="12"/>
  <c r="L286" i="12"/>
  <c r="L196" i="12"/>
  <c r="L309" i="12"/>
  <c r="L99" i="12"/>
  <c r="O341" i="12"/>
  <c r="O241" i="12"/>
  <c r="O204" i="12"/>
  <c r="O81" i="12"/>
  <c r="O50" i="12"/>
  <c r="N325" i="12"/>
  <c r="N240" i="12"/>
  <c r="N147" i="12"/>
  <c r="N120" i="12"/>
  <c r="N218" i="12"/>
  <c r="L36" i="12"/>
  <c r="N292" i="12"/>
  <c r="N262" i="12"/>
  <c r="N188" i="12"/>
  <c r="N94" i="12"/>
  <c r="N43" i="12"/>
  <c r="L157" i="12"/>
  <c r="N126" i="12"/>
  <c r="N35" i="12"/>
  <c r="N305" i="12"/>
  <c r="N227" i="12"/>
  <c r="N127" i="12"/>
  <c r="N207" i="12"/>
  <c r="N89" i="12"/>
  <c r="O45" i="12"/>
  <c r="L223" i="12"/>
  <c r="N153" i="12"/>
  <c r="N117" i="12"/>
  <c r="L101" i="12"/>
  <c r="N290" i="12"/>
  <c r="N196" i="12"/>
  <c r="N302" i="12"/>
  <c r="N189" i="12"/>
  <c r="N55" i="12"/>
  <c r="N155" i="12"/>
  <c r="N101" i="12"/>
  <c r="L310" i="12"/>
  <c r="L55" i="12"/>
  <c r="L302" i="12"/>
  <c r="L200" i="12"/>
  <c r="L336" i="12"/>
  <c r="L115" i="12"/>
  <c r="L56" i="12"/>
  <c r="N285" i="12"/>
  <c r="N245" i="12"/>
  <c r="N160" i="12"/>
  <c r="N30" i="12"/>
  <c r="O364" i="12"/>
  <c r="O335" i="12"/>
  <c r="O280" i="12"/>
  <c r="O180" i="12"/>
  <c r="L92" i="12"/>
  <c r="N236" i="12"/>
  <c r="N172" i="12"/>
  <c r="N84" i="12"/>
  <c r="N187" i="12"/>
  <c r="L357" i="12"/>
  <c r="L296" i="12"/>
  <c r="L235" i="12"/>
  <c r="L267" i="12"/>
  <c r="L123" i="12"/>
  <c r="N251" i="12"/>
  <c r="M199" i="12"/>
  <c r="M26" i="12"/>
  <c r="M100" i="12"/>
  <c r="N343" i="12"/>
  <c r="N300" i="12"/>
  <c r="N165" i="12"/>
  <c r="N194" i="12"/>
  <c r="N199" i="12"/>
  <c r="O17" i="12"/>
  <c r="O47" i="12"/>
  <c r="O24" i="12"/>
  <c r="O37" i="12"/>
  <c r="O35" i="12"/>
  <c r="O219" i="12"/>
  <c r="O104" i="12"/>
  <c r="O46" i="12"/>
  <c r="O336" i="12"/>
  <c r="O346" i="12"/>
  <c r="O342" i="12"/>
  <c r="O319" i="12"/>
  <c r="O159" i="12"/>
  <c r="O326" i="12"/>
  <c r="O284" i="12"/>
  <c r="O230" i="12"/>
  <c r="O108" i="12"/>
  <c r="O117" i="12"/>
  <c r="L339" i="12"/>
  <c r="L240" i="12"/>
  <c r="L217" i="12"/>
  <c r="L120" i="12"/>
  <c r="L275" i="12"/>
  <c r="O340" i="12"/>
  <c r="O298" i="12"/>
  <c r="O271" i="12"/>
  <c r="O220" i="12"/>
  <c r="O39" i="12"/>
  <c r="O32" i="12"/>
  <c r="L260" i="12"/>
  <c r="L307" i="12"/>
  <c r="L138" i="12"/>
  <c r="L137" i="12"/>
  <c r="O26" i="12"/>
  <c r="O322" i="12"/>
  <c r="O273" i="12"/>
  <c r="O198" i="12"/>
  <c r="O156" i="12"/>
  <c r="O175" i="12"/>
  <c r="L316" i="12"/>
  <c r="L204" i="12"/>
  <c r="L282" i="12"/>
  <c r="L167" i="12"/>
  <c r="L76" i="12"/>
  <c r="N283" i="12"/>
  <c r="N244" i="12"/>
  <c r="O285" i="12"/>
  <c r="O201" i="12"/>
  <c r="O129" i="12"/>
  <c r="O171" i="12"/>
  <c r="L305" i="12"/>
  <c r="L186" i="12"/>
  <c r="L299" i="12"/>
  <c r="L59" i="12"/>
  <c r="L15" i="12"/>
  <c r="N297" i="12"/>
  <c r="N362" i="12"/>
  <c r="O283" i="12"/>
  <c r="O199" i="12"/>
  <c r="O119" i="12"/>
  <c r="O155" i="12"/>
  <c r="O295" i="12"/>
  <c r="O211" i="12"/>
  <c r="O162" i="12"/>
  <c r="O72" i="12"/>
  <c r="O127" i="12"/>
  <c r="L288" i="12"/>
  <c r="L344" i="12"/>
  <c r="L258" i="12"/>
  <c r="L279" i="12"/>
  <c r="O309" i="12"/>
  <c r="O225" i="12"/>
  <c r="O142" i="12"/>
  <c r="O137" i="12"/>
  <c r="N309" i="12"/>
  <c r="N243" i="12"/>
  <c r="N131" i="12"/>
  <c r="N296" i="12"/>
  <c r="N93" i="12"/>
  <c r="L64" i="12"/>
  <c r="N334" i="12"/>
  <c r="N269" i="12"/>
  <c r="N166" i="12"/>
  <c r="N78" i="12"/>
  <c r="N193" i="12"/>
  <c r="L329" i="12"/>
  <c r="L66" i="12"/>
  <c r="N102" i="12"/>
  <c r="N21" i="12"/>
  <c r="N289" i="12"/>
  <c r="N264" i="12"/>
  <c r="N111" i="12"/>
  <c r="N214" i="12"/>
  <c r="N73" i="12"/>
  <c r="L326" i="12"/>
  <c r="N350" i="12"/>
  <c r="N47" i="12"/>
  <c r="N24" i="12"/>
  <c r="O67" i="12"/>
  <c r="N336" i="12"/>
  <c r="N253" i="12"/>
  <c r="N178" i="12"/>
  <c r="N90" i="12"/>
  <c r="N286" i="12"/>
  <c r="N107" i="12"/>
  <c r="N69" i="12"/>
  <c r="L214" i="12"/>
  <c r="O68" i="12"/>
  <c r="N170" i="12"/>
  <c r="L25" i="12"/>
  <c r="L304" i="12"/>
  <c r="L184" i="12"/>
  <c r="L291" i="12"/>
  <c r="L51" i="12"/>
  <c r="N358" i="12"/>
  <c r="N360" i="12"/>
  <c r="N128" i="12"/>
  <c r="M53" i="12"/>
  <c r="N169" i="12"/>
  <c r="O348" i="12"/>
  <c r="O306" i="12"/>
  <c r="O242" i="12"/>
  <c r="O118" i="12"/>
  <c r="O92" i="12"/>
  <c r="L111" i="12"/>
  <c r="N191" i="12"/>
  <c r="N156" i="12"/>
  <c r="N68" i="12"/>
  <c r="N222" i="12"/>
  <c r="L341" i="12"/>
  <c r="L242" i="12"/>
  <c r="L219" i="12"/>
  <c r="L128" i="12"/>
  <c r="L136" i="12"/>
  <c r="M260" i="12"/>
  <c r="M210" i="12"/>
  <c r="M172" i="12"/>
  <c r="M232" i="12"/>
  <c r="M15" i="12"/>
  <c r="N327" i="12"/>
  <c r="N241" i="12"/>
  <c r="N149" i="12"/>
  <c r="N98" i="12"/>
  <c r="M62" i="12"/>
  <c r="I34" i="1" l="1"/>
  <c r="F34" i="1"/>
  <c r="E47" i="14" s="1"/>
  <c r="G34" i="1"/>
  <c r="H34" i="1"/>
  <c r="J34" i="1"/>
  <c r="K34" i="1"/>
  <c r="L6" i="8"/>
  <c r="L7" i="8"/>
  <c r="L8" i="8"/>
  <c r="L9" i="8"/>
  <c r="L10" i="8"/>
  <c r="L11" i="8"/>
  <c r="L12" i="8"/>
  <c r="L13" i="8"/>
  <c r="L14"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1" i="8"/>
  <c r="L152" i="8"/>
  <c r="L153" i="8"/>
  <c r="L154" i="8"/>
  <c r="L155" i="8"/>
  <c r="L156" i="8"/>
  <c r="L157" i="8"/>
  <c r="L159" i="8"/>
  <c r="L160" i="8"/>
  <c r="L161" i="8"/>
  <c r="L162" i="8"/>
  <c r="L163" i="8"/>
  <c r="L164" i="8"/>
  <c r="L165" i="8"/>
  <c r="L166" i="8"/>
  <c r="L167" i="8"/>
  <c r="L168" i="8"/>
  <c r="L169" i="8"/>
  <c r="L170" i="8"/>
  <c r="L171" i="8"/>
  <c r="L172" i="8"/>
  <c r="L173" i="8"/>
  <c r="L174" i="8"/>
  <c r="L175" i="8"/>
  <c r="L176" i="8"/>
  <c r="L177" i="8"/>
  <c r="L178"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7" i="8"/>
  <c r="L289" i="8"/>
  <c r="L290" i="8"/>
  <c r="L291" i="8"/>
  <c r="L292" i="8"/>
  <c r="L293" i="8"/>
  <c r="L294" i="8"/>
  <c r="L295" i="8"/>
  <c r="L296" i="8"/>
  <c r="L297" i="8"/>
  <c r="L298" i="8"/>
  <c r="L299" i="8"/>
  <c r="L300" i="8"/>
  <c r="L301" i="8"/>
  <c r="L302" i="8"/>
  <c r="L303"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CL362" i="26"/>
  <c r="CK362" i="26"/>
  <c r="CJ362" i="26"/>
  <c r="CI362" i="26"/>
  <c r="CH362" i="26"/>
  <c r="CG362" i="26"/>
  <c r="CF362" i="26"/>
  <c r="CE362" i="26"/>
  <c r="CD362" i="26"/>
  <c r="CC362" i="26"/>
  <c r="CB362" i="26"/>
  <c r="CA362" i="26"/>
  <c r="BZ362" i="26"/>
  <c r="BX362" i="26"/>
  <c r="BW362" i="26"/>
  <c r="BU362" i="26"/>
  <c r="BT362" i="26"/>
  <c r="BS362" i="26"/>
  <c r="BR362" i="26"/>
  <c r="BQ362" i="26"/>
  <c r="BP362" i="26"/>
  <c r="BO362" i="26"/>
  <c r="BN362" i="26"/>
  <c r="BM362" i="26"/>
  <c r="BL362" i="26"/>
  <c r="BK362" i="26"/>
  <c r="BJ362" i="26"/>
  <c r="BI362" i="26"/>
  <c r="BH362" i="26"/>
  <c r="BG362" i="26"/>
  <c r="BF362" i="26"/>
  <c r="BE362" i="26"/>
  <c r="BD362" i="26"/>
  <c r="BC362" i="26"/>
  <c r="BB362" i="26"/>
  <c r="BA362" i="26"/>
  <c r="AZ362" i="26"/>
  <c r="AY362" i="26"/>
  <c r="AX362" i="26"/>
  <c r="AW362" i="26"/>
  <c r="AV362" i="26"/>
  <c r="AU362" i="26"/>
  <c r="AS362" i="26"/>
  <c r="AR362" i="26"/>
  <c r="AQ362" i="26"/>
  <c r="AP362" i="26"/>
  <c r="AO362" i="26"/>
  <c r="AN362" i="26"/>
  <c r="AM362" i="26"/>
  <c r="AL362" i="26"/>
  <c r="AK362" i="26"/>
  <c r="AJ362" i="26"/>
  <c r="AI362" i="26"/>
  <c r="AH362" i="26"/>
  <c r="AG362" i="26"/>
  <c r="AF362" i="26"/>
  <c r="AE362" i="26"/>
  <c r="AD362" i="26"/>
  <c r="AA362" i="26"/>
  <c r="Z362" i="26"/>
  <c r="Y362" i="26"/>
  <c r="X362" i="26"/>
  <c r="W362" i="26"/>
  <c r="V362" i="26"/>
  <c r="U362" i="26"/>
  <c r="T362" i="26"/>
  <c r="S362" i="26"/>
  <c r="R362" i="26"/>
  <c r="Q362" i="26"/>
  <c r="P362" i="26"/>
  <c r="O362" i="26"/>
  <c r="M362" i="26"/>
  <c r="L362" i="26"/>
  <c r="K362" i="26"/>
  <c r="J362" i="26"/>
  <c r="H362" i="26"/>
  <c r="G362" i="26"/>
  <c r="F362" i="26"/>
  <c r="E362" i="26"/>
  <c r="D362" i="26"/>
  <c r="BV360" i="26"/>
  <c r="N360" i="26"/>
  <c r="I360" i="26"/>
  <c r="BV359" i="26"/>
  <c r="N359" i="26"/>
  <c r="I359" i="26"/>
  <c r="BV358" i="26"/>
  <c r="N358" i="26"/>
  <c r="I358" i="26"/>
  <c r="BV357" i="26"/>
  <c r="N357" i="26"/>
  <c r="I357" i="26"/>
  <c r="BV356" i="26"/>
  <c r="N356" i="26"/>
  <c r="I356" i="26"/>
  <c r="BV355" i="26"/>
  <c r="N355" i="26"/>
  <c r="I355" i="26"/>
  <c r="BV354" i="26"/>
  <c r="N354" i="26"/>
  <c r="I354" i="26"/>
  <c r="BV353" i="26"/>
  <c r="N353" i="26"/>
  <c r="I353" i="26"/>
  <c r="BV352" i="26"/>
  <c r="N352" i="26"/>
  <c r="I352" i="26"/>
  <c r="BV351" i="26"/>
  <c r="N351" i="26"/>
  <c r="I351" i="26"/>
  <c r="BV350" i="26"/>
  <c r="N350" i="26"/>
  <c r="I350" i="26"/>
  <c r="BV349" i="26"/>
  <c r="N349" i="26"/>
  <c r="I349" i="26"/>
  <c r="BV348" i="26"/>
  <c r="N348" i="26"/>
  <c r="I348" i="26"/>
  <c r="BV347" i="26"/>
  <c r="N347" i="26"/>
  <c r="I347" i="26"/>
  <c r="BV346" i="26"/>
  <c r="N346" i="26"/>
  <c r="I346" i="26"/>
  <c r="BV345" i="26"/>
  <c r="N345" i="26"/>
  <c r="I345" i="26"/>
  <c r="BV344" i="26"/>
  <c r="N344" i="26"/>
  <c r="I344" i="26"/>
  <c r="BV343" i="26"/>
  <c r="N343" i="26"/>
  <c r="I343" i="26"/>
  <c r="BV342" i="26"/>
  <c r="N342" i="26"/>
  <c r="I342" i="26"/>
  <c r="BV341" i="26"/>
  <c r="N341" i="26"/>
  <c r="I341" i="26"/>
  <c r="BV340" i="26"/>
  <c r="N340" i="26"/>
  <c r="I340" i="26"/>
  <c r="BV339" i="26"/>
  <c r="N339" i="26"/>
  <c r="I339" i="26"/>
  <c r="BV338" i="26"/>
  <c r="N338" i="26"/>
  <c r="I338" i="26"/>
  <c r="BV337" i="26"/>
  <c r="N337" i="26"/>
  <c r="I337" i="26"/>
  <c r="BV336" i="26"/>
  <c r="N336" i="26"/>
  <c r="I336" i="26"/>
  <c r="BV335" i="26"/>
  <c r="N335" i="26"/>
  <c r="I335" i="26"/>
  <c r="BV334" i="26"/>
  <c r="N334" i="26"/>
  <c r="I334" i="26"/>
  <c r="BV333" i="26"/>
  <c r="N333" i="26"/>
  <c r="I333" i="26"/>
  <c r="BV332" i="26"/>
  <c r="N332" i="26"/>
  <c r="I332" i="26"/>
  <c r="BV331" i="26"/>
  <c r="N331" i="26"/>
  <c r="I331" i="26"/>
  <c r="BV330" i="26"/>
  <c r="N330" i="26"/>
  <c r="I330" i="26"/>
  <c r="BV329" i="26"/>
  <c r="N329" i="26"/>
  <c r="I329" i="26"/>
  <c r="BV328" i="26"/>
  <c r="N328" i="26"/>
  <c r="I328" i="26"/>
  <c r="BV327" i="26"/>
  <c r="N327" i="26"/>
  <c r="I327" i="26"/>
  <c r="BV326" i="26"/>
  <c r="N326" i="26"/>
  <c r="I326" i="26"/>
  <c r="BV325" i="26"/>
  <c r="N325" i="26"/>
  <c r="I325" i="26"/>
  <c r="BV324" i="26"/>
  <c r="N324" i="26"/>
  <c r="I324" i="26"/>
  <c r="BV323" i="26"/>
  <c r="N323" i="26"/>
  <c r="I323" i="26"/>
  <c r="BV322" i="26"/>
  <c r="N322" i="26"/>
  <c r="I322" i="26"/>
  <c r="BV321" i="26"/>
  <c r="N321" i="26"/>
  <c r="I321" i="26"/>
  <c r="BV320" i="26"/>
  <c r="N320" i="26"/>
  <c r="I320" i="26"/>
  <c r="BV319" i="26"/>
  <c r="N319" i="26"/>
  <c r="I319" i="26"/>
  <c r="BV318" i="26"/>
  <c r="N318" i="26"/>
  <c r="I318" i="26"/>
  <c r="BV317" i="26"/>
  <c r="N317" i="26"/>
  <c r="I317" i="26"/>
  <c r="BV316" i="26"/>
  <c r="N316" i="26"/>
  <c r="I316" i="26"/>
  <c r="BV315" i="26"/>
  <c r="N315" i="26"/>
  <c r="I315" i="26"/>
  <c r="BV314" i="26"/>
  <c r="N314" i="26"/>
  <c r="I314" i="26"/>
  <c r="BV313" i="26"/>
  <c r="N313" i="26"/>
  <c r="I313" i="26"/>
  <c r="BV312" i="26"/>
  <c r="N312" i="26"/>
  <c r="I312" i="26"/>
  <c r="BV311" i="26"/>
  <c r="N311" i="26"/>
  <c r="I311" i="26"/>
  <c r="BV310" i="26"/>
  <c r="N310" i="26"/>
  <c r="I310" i="26"/>
  <c r="BV309" i="26"/>
  <c r="N309" i="26"/>
  <c r="I309" i="26"/>
  <c r="BV308" i="26"/>
  <c r="N308" i="26"/>
  <c r="I308" i="26"/>
  <c r="BV307" i="26"/>
  <c r="N307" i="26"/>
  <c r="I307" i="26"/>
  <c r="BV306" i="26"/>
  <c r="N306" i="26"/>
  <c r="I306" i="26"/>
  <c r="BV305" i="26"/>
  <c r="N305" i="26"/>
  <c r="I305" i="26"/>
  <c r="BV304" i="26"/>
  <c r="N304" i="26"/>
  <c r="I304" i="26"/>
  <c r="BV303" i="26"/>
  <c r="N303" i="26"/>
  <c r="I303" i="26"/>
  <c r="BV302" i="26"/>
  <c r="N302" i="26"/>
  <c r="I302" i="26"/>
  <c r="BV301" i="26"/>
  <c r="N301" i="26"/>
  <c r="I301" i="26"/>
  <c r="BV300" i="26"/>
  <c r="N300" i="26"/>
  <c r="I300" i="26"/>
  <c r="BV299" i="26"/>
  <c r="N299" i="26"/>
  <c r="I299" i="26"/>
  <c r="BV298" i="26"/>
  <c r="N298" i="26"/>
  <c r="I298" i="26"/>
  <c r="BV297" i="26"/>
  <c r="N297" i="26"/>
  <c r="I297" i="26"/>
  <c r="BV296" i="26"/>
  <c r="N296" i="26"/>
  <c r="I296" i="26"/>
  <c r="BV295" i="26"/>
  <c r="N295" i="26"/>
  <c r="I295" i="26"/>
  <c r="BV294" i="26"/>
  <c r="N294" i="26"/>
  <c r="I294" i="26"/>
  <c r="BV293" i="26"/>
  <c r="N293" i="26"/>
  <c r="I293" i="26"/>
  <c r="BV292" i="26"/>
  <c r="N292" i="26"/>
  <c r="I292" i="26"/>
  <c r="BV291" i="26"/>
  <c r="N291" i="26"/>
  <c r="I291" i="26"/>
  <c r="BV290" i="26"/>
  <c r="N290" i="26"/>
  <c r="I290" i="26"/>
  <c r="BV289" i="26"/>
  <c r="N289" i="26"/>
  <c r="I289" i="26"/>
  <c r="BV288" i="26"/>
  <c r="N288" i="26"/>
  <c r="I288" i="26"/>
  <c r="BV287" i="26"/>
  <c r="N287" i="26"/>
  <c r="I287" i="26"/>
  <c r="BV286" i="26"/>
  <c r="N286" i="26"/>
  <c r="I286" i="26"/>
  <c r="BV285" i="26"/>
  <c r="N285" i="26"/>
  <c r="I285" i="26"/>
  <c r="BV284" i="26"/>
  <c r="N284" i="26"/>
  <c r="I284" i="26"/>
  <c r="BV283" i="26"/>
  <c r="N283" i="26"/>
  <c r="I283" i="26"/>
  <c r="BV282" i="26"/>
  <c r="N282" i="26"/>
  <c r="I282" i="26"/>
  <c r="BV281" i="26"/>
  <c r="N281" i="26"/>
  <c r="I281" i="26"/>
  <c r="BV280" i="26"/>
  <c r="N280" i="26"/>
  <c r="I280" i="26"/>
  <c r="BV279" i="26"/>
  <c r="N279" i="26"/>
  <c r="I279" i="26"/>
  <c r="BV278" i="26"/>
  <c r="N278" i="26"/>
  <c r="I278" i="26"/>
  <c r="BV277" i="26"/>
  <c r="N277" i="26"/>
  <c r="I277" i="26"/>
  <c r="BV276" i="26"/>
  <c r="N276" i="26"/>
  <c r="I276" i="26"/>
  <c r="BV275" i="26"/>
  <c r="N275" i="26"/>
  <c r="I275" i="26"/>
  <c r="BV274" i="26"/>
  <c r="N274" i="26"/>
  <c r="I274" i="26"/>
  <c r="BV273" i="26"/>
  <c r="N273" i="26"/>
  <c r="I273" i="26"/>
  <c r="BV272" i="26"/>
  <c r="N272" i="26"/>
  <c r="I272" i="26"/>
  <c r="BV271" i="26"/>
  <c r="N271" i="26"/>
  <c r="I271" i="26"/>
  <c r="BV270" i="26"/>
  <c r="N270" i="26"/>
  <c r="I270" i="26"/>
  <c r="BV269" i="26"/>
  <c r="N269" i="26"/>
  <c r="I269" i="26"/>
  <c r="BV268" i="26"/>
  <c r="N268" i="26"/>
  <c r="I268" i="26"/>
  <c r="BV267" i="26"/>
  <c r="N267" i="26"/>
  <c r="I267" i="26"/>
  <c r="BV266" i="26"/>
  <c r="N266" i="26"/>
  <c r="I266" i="26"/>
  <c r="BV265" i="26"/>
  <c r="N265" i="26"/>
  <c r="I265" i="26"/>
  <c r="BV264" i="26"/>
  <c r="N264" i="26"/>
  <c r="I264" i="26"/>
  <c r="BV263" i="26"/>
  <c r="N263" i="26"/>
  <c r="I263" i="26"/>
  <c r="BV262" i="26"/>
  <c r="N262" i="26"/>
  <c r="I262" i="26"/>
  <c r="BV261" i="26"/>
  <c r="N261" i="26"/>
  <c r="I261" i="26"/>
  <c r="BV260" i="26"/>
  <c r="N260" i="26"/>
  <c r="I260" i="26"/>
  <c r="BV259" i="26"/>
  <c r="N259" i="26"/>
  <c r="I259" i="26"/>
  <c r="BV258" i="26"/>
  <c r="N258" i="26"/>
  <c r="I258" i="26"/>
  <c r="BV257" i="26"/>
  <c r="N257" i="26"/>
  <c r="I257" i="26"/>
  <c r="BV256" i="26"/>
  <c r="N256" i="26"/>
  <c r="I256" i="26"/>
  <c r="BV255" i="26"/>
  <c r="N255" i="26"/>
  <c r="I255" i="26"/>
  <c r="BV254" i="26"/>
  <c r="N254" i="26"/>
  <c r="I254" i="26"/>
  <c r="BV253" i="26"/>
  <c r="N253" i="26"/>
  <c r="I253" i="26"/>
  <c r="BV252" i="26"/>
  <c r="N252" i="26"/>
  <c r="I252" i="26"/>
  <c r="BV251" i="26"/>
  <c r="N251" i="26"/>
  <c r="I251" i="26"/>
  <c r="BV250" i="26"/>
  <c r="N250" i="26"/>
  <c r="I250" i="26"/>
  <c r="BV249" i="26"/>
  <c r="N249" i="26"/>
  <c r="I249" i="26"/>
  <c r="BV248" i="26"/>
  <c r="N248" i="26"/>
  <c r="I248" i="26"/>
  <c r="BV247" i="26"/>
  <c r="N247" i="26"/>
  <c r="I247" i="26"/>
  <c r="BV246" i="26"/>
  <c r="N246" i="26"/>
  <c r="I246" i="26"/>
  <c r="BV245" i="26"/>
  <c r="N245" i="26"/>
  <c r="I245" i="26"/>
  <c r="BV244" i="26"/>
  <c r="N244" i="26"/>
  <c r="I244" i="26"/>
  <c r="BV243" i="26"/>
  <c r="N243" i="26"/>
  <c r="I243" i="26"/>
  <c r="BV242" i="26"/>
  <c r="N242" i="26"/>
  <c r="I242" i="26"/>
  <c r="BV241" i="26"/>
  <c r="N241" i="26"/>
  <c r="I241" i="26"/>
  <c r="BV240" i="26"/>
  <c r="N240" i="26"/>
  <c r="I240" i="26"/>
  <c r="BV239" i="26"/>
  <c r="N239" i="26"/>
  <c r="I239" i="26"/>
  <c r="BV238" i="26"/>
  <c r="N238" i="26"/>
  <c r="I238" i="26"/>
  <c r="BV237" i="26"/>
  <c r="N237" i="26"/>
  <c r="I237" i="26"/>
  <c r="BV236" i="26"/>
  <c r="N236" i="26"/>
  <c r="I236" i="26"/>
  <c r="BV235" i="26"/>
  <c r="N235" i="26"/>
  <c r="I235" i="26"/>
  <c r="BV234" i="26"/>
  <c r="N234" i="26"/>
  <c r="I234" i="26"/>
  <c r="BV233" i="26"/>
  <c r="N233" i="26"/>
  <c r="I233" i="26"/>
  <c r="BV232" i="26"/>
  <c r="N232" i="26"/>
  <c r="I232" i="26"/>
  <c r="BV231" i="26"/>
  <c r="N231" i="26"/>
  <c r="I231" i="26"/>
  <c r="BV230" i="26"/>
  <c r="N230" i="26"/>
  <c r="I230" i="26"/>
  <c r="BV229" i="26"/>
  <c r="N229" i="26"/>
  <c r="I229" i="26"/>
  <c r="BV228" i="26"/>
  <c r="N228" i="26"/>
  <c r="I228" i="26"/>
  <c r="BV227" i="26"/>
  <c r="N227" i="26"/>
  <c r="I227" i="26"/>
  <c r="BV226" i="26"/>
  <c r="N226" i="26"/>
  <c r="I226" i="26"/>
  <c r="BV225" i="26"/>
  <c r="N225" i="26"/>
  <c r="I225" i="26"/>
  <c r="BV224" i="26"/>
  <c r="N224" i="26"/>
  <c r="I224" i="26"/>
  <c r="BV223" i="26"/>
  <c r="N223" i="26"/>
  <c r="I223" i="26"/>
  <c r="BV222" i="26"/>
  <c r="N222" i="26"/>
  <c r="I222" i="26"/>
  <c r="BV221" i="26"/>
  <c r="N221" i="26"/>
  <c r="I221" i="26"/>
  <c r="BV220" i="26"/>
  <c r="N220" i="26"/>
  <c r="I220" i="26"/>
  <c r="BV219" i="26"/>
  <c r="N219" i="26"/>
  <c r="I219" i="26"/>
  <c r="BV218" i="26"/>
  <c r="N218" i="26"/>
  <c r="I218" i="26"/>
  <c r="BV217" i="26"/>
  <c r="N217" i="26"/>
  <c r="I217" i="26"/>
  <c r="BV216" i="26"/>
  <c r="N216" i="26"/>
  <c r="I216" i="26"/>
  <c r="BV215" i="26"/>
  <c r="N215" i="26"/>
  <c r="I215" i="26"/>
  <c r="BV214" i="26"/>
  <c r="N214" i="26"/>
  <c r="I214" i="26"/>
  <c r="BV213" i="26"/>
  <c r="N213" i="26"/>
  <c r="I213" i="26"/>
  <c r="BV212" i="26"/>
  <c r="N212" i="26"/>
  <c r="I212" i="26"/>
  <c r="BV211" i="26"/>
  <c r="N211" i="26"/>
  <c r="I211" i="26"/>
  <c r="BV210" i="26"/>
  <c r="N210" i="26"/>
  <c r="I210" i="26"/>
  <c r="BV209" i="26"/>
  <c r="N209" i="26"/>
  <c r="I209" i="26"/>
  <c r="BV208" i="26"/>
  <c r="N208" i="26"/>
  <c r="I208" i="26"/>
  <c r="BV207" i="26"/>
  <c r="N207" i="26"/>
  <c r="I207" i="26"/>
  <c r="BV206" i="26"/>
  <c r="N206" i="26"/>
  <c r="I206" i="26"/>
  <c r="BV205" i="26"/>
  <c r="N205" i="26"/>
  <c r="I205" i="26"/>
  <c r="BV204" i="26"/>
  <c r="N204" i="26"/>
  <c r="I204" i="26"/>
  <c r="BV203" i="26"/>
  <c r="N203" i="26"/>
  <c r="I203" i="26"/>
  <c r="BV202" i="26"/>
  <c r="N202" i="26"/>
  <c r="I202" i="26"/>
  <c r="BV201" i="26"/>
  <c r="N201" i="26"/>
  <c r="I201" i="26"/>
  <c r="BV200" i="26"/>
  <c r="N200" i="26"/>
  <c r="I200" i="26"/>
  <c r="BV199" i="26"/>
  <c r="N199" i="26"/>
  <c r="I199" i="26"/>
  <c r="BV198" i="26"/>
  <c r="N198" i="26"/>
  <c r="I198" i="26"/>
  <c r="BV197" i="26"/>
  <c r="N197" i="26"/>
  <c r="I197" i="26"/>
  <c r="BV196" i="26"/>
  <c r="N196" i="26"/>
  <c r="I196" i="26"/>
  <c r="BV195" i="26"/>
  <c r="N195" i="26"/>
  <c r="I195" i="26"/>
  <c r="BV194" i="26"/>
  <c r="N194" i="26"/>
  <c r="I194" i="26"/>
  <c r="BV193" i="26"/>
  <c r="N193" i="26"/>
  <c r="I193" i="26"/>
  <c r="BV192" i="26"/>
  <c r="N192" i="26"/>
  <c r="I192" i="26"/>
  <c r="BV191" i="26"/>
  <c r="N191" i="26"/>
  <c r="I191" i="26"/>
  <c r="BV190" i="26"/>
  <c r="N190" i="26"/>
  <c r="I190" i="26"/>
  <c r="BV189" i="26"/>
  <c r="N189" i="26"/>
  <c r="I189" i="26"/>
  <c r="BV188" i="26"/>
  <c r="N188" i="26"/>
  <c r="I188" i="26"/>
  <c r="BV187" i="26"/>
  <c r="N187" i="26"/>
  <c r="I187" i="26"/>
  <c r="BV186" i="26"/>
  <c r="N186" i="26"/>
  <c r="I186" i="26"/>
  <c r="BV185" i="26"/>
  <c r="N185" i="26"/>
  <c r="I185" i="26"/>
  <c r="BV184" i="26"/>
  <c r="N184" i="26"/>
  <c r="I184" i="26"/>
  <c r="BV183" i="26"/>
  <c r="N183" i="26"/>
  <c r="I183" i="26"/>
  <c r="BV182" i="26"/>
  <c r="N182" i="26"/>
  <c r="I182" i="26"/>
  <c r="BV181" i="26"/>
  <c r="N181" i="26"/>
  <c r="I181" i="26"/>
  <c r="BV180" i="26"/>
  <c r="N180" i="26"/>
  <c r="I180" i="26"/>
  <c r="BV179" i="26"/>
  <c r="N179" i="26"/>
  <c r="I179" i="26"/>
  <c r="BV178" i="26"/>
  <c r="N178" i="26"/>
  <c r="I178" i="26"/>
  <c r="BV177" i="26"/>
  <c r="N177" i="26"/>
  <c r="I177" i="26"/>
  <c r="BV176" i="26"/>
  <c r="N176" i="26"/>
  <c r="I176" i="26"/>
  <c r="BV175" i="26"/>
  <c r="N175" i="26"/>
  <c r="I175" i="26"/>
  <c r="BV174" i="26"/>
  <c r="N174" i="26"/>
  <c r="I174" i="26"/>
  <c r="BV173" i="26"/>
  <c r="N173" i="26"/>
  <c r="I173" i="26"/>
  <c r="BV172" i="26"/>
  <c r="N172" i="26"/>
  <c r="I172" i="26"/>
  <c r="BV171" i="26"/>
  <c r="N171" i="26"/>
  <c r="I171" i="26"/>
  <c r="BV170" i="26"/>
  <c r="N170" i="26"/>
  <c r="I170" i="26"/>
  <c r="BV169" i="26"/>
  <c r="N169" i="26"/>
  <c r="I169" i="26"/>
  <c r="BV168" i="26"/>
  <c r="N168" i="26"/>
  <c r="I168" i="26"/>
  <c r="BV167" i="26"/>
  <c r="N167" i="26"/>
  <c r="I167" i="26"/>
  <c r="BV166" i="26"/>
  <c r="N166" i="26"/>
  <c r="I166" i="26"/>
  <c r="BV165" i="26"/>
  <c r="N165" i="26"/>
  <c r="I165" i="26"/>
  <c r="BV164" i="26"/>
  <c r="N164" i="26"/>
  <c r="I164" i="26"/>
  <c r="BV163" i="26"/>
  <c r="N163" i="26"/>
  <c r="I163" i="26"/>
  <c r="BV162" i="26"/>
  <c r="N162" i="26"/>
  <c r="I162" i="26"/>
  <c r="BV161" i="26"/>
  <c r="N161" i="26"/>
  <c r="I161" i="26"/>
  <c r="BV160" i="26"/>
  <c r="N160" i="26"/>
  <c r="I160" i="26"/>
  <c r="BV159" i="26"/>
  <c r="N159" i="26"/>
  <c r="I159" i="26"/>
  <c r="BV158" i="26"/>
  <c r="N158" i="26"/>
  <c r="I158" i="26"/>
  <c r="BV157" i="26"/>
  <c r="N157" i="26"/>
  <c r="I157" i="26"/>
  <c r="BV156" i="26"/>
  <c r="N156" i="26"/>
  <c r="I156" i="26"/>
  <c r="BV155" i="26"/>
  <c r="N155" i="26"/>
  <c r="I155" i="26"/>
  <c r="BV154" i="26"/>
  <c r="N154" i="26"/>
  <c r="I154" i="26"/>
  <c r="BV153" i="26"/>
  <c r="N153" i="26"/>
  <c r="I153" i="26"/>
  <c r="BV152" i="26"/>
  <c r="N152" i="26"/>
  <c r="I152" i="26"/>
  <c r="BV151" i="26"/>
  <c r="N151" i="26"/>
  <c r="I151" i="26"/>
  <c r="BV150" i="26"/>
  <c r="N150" i="26"/>
  <c r="I150" i="26"/>
  <c r="BV149" i="26"/>
  <c r="N149" i="26"/>
  <c r="I149" i="26"/>
  <c r="BV148" i="26"/>
  <c r="N148" i="26"/>
  <c r="I148" i="26"/>
  <c r="BV147" i="26"/>
  <c r="N147" i="26"/>
  <c r="I147" i="26"/>
  <c r="BV146" i="26"/>
  <c r="N146" i="26"/>
  <c r="I146" i="26"/>
  <c r="BV145" i="26"/>
  <c r="N145" i="26"/>
  <c r="I145" i="26"/>
  <c r="BV144" i="26"/>
  <c r="N144" i="26"/>
  <c r="I144" i="26"/>
  <c r="BV143" i="26"/>
  <c r="N143" i="26"/>
  <c r="I143" i="26"/>
  <c r="BV142" i="26"/>
  <c r="N142" i="26"/>
  <c r="I142" i="26"/>
  <c r="BV141" i="26"/>
  <c r="N141" i="26"/>
  <c r="I141" i="26"/>
  <c r="BV140" i="26"/>
  <c r="N140" i="26"/>
  <c r="I140" i="26"/>
  <c r="BV139" i="26"/>
  <c r="N139" i="26"/>
  <c r="I139" i="26"/>
  <c r="BV138" i="26"/>
  <c r="N138" i="26"/>
  <c r="I138" i="26"/>
  <c r="BV137" i="26"/>
  <c r="N137" i="26"/>
  <c r="I137" i="26"/>
  <c r="BV136" i="26"/>
  <c r="N136" i="26"/>
  <c r="I136" i="26"/>
  <c r="BV135" i="26"/>
  <c r="N135" i="26"/>
  <c r="I135" i="26"/>
  <c r="BV134" i="26"/>
  <c r="N134" i="26"/>
  <c r="I134" i="26"/>
  <c r="BV133" i="26"/>
  <c r="N133" i="26"/>
  <c r="I133" i="26"/>
  <c r="BV132" i="26"/>
  <c r="N132" i="26"/>
  <c r="I132" i="26"/>
  <c r="BV131" i="26"/>
  <c r="N131" i="26"/>
  <c r="I131" i="26"/>
  <c r="BV130" i="26"/>
  <c r="N130" i="26"/>
  <c r="I130" i="26"/>
  <c r="BV129" i="26"/>
  <c r="N129" i="26"/>
  <c r="I129" i="26"/>
  <c r="BV128" i="26"/>
  <c r="N128" i="26"/>
  <c r="I128" i="26"/>
  <c r="BV127" i="26"/>
  <c r="N127" i="26"/>
  <c r="I127" i="26"/>
  <c r="BV126" i="26"/>
  <c r="N126" i="26"/>
  <c r="I126" i="26"/>
  <c r="BV125" i="26"/>
  <c r="N125" i="26"/>
  <c r="I125" i="26"/>
  <c r="BV124" i="26"/>
  <c r="N124" i="26"/>
  <c r="I124" i="26"/>
  <c r="BV123" i="26"/>
  <c r="N123" i="26"/>
  <c r="I123" i="26"/>
  <c r="BV122" i="26"/>
  <c r="N122" i="26"/>
  <c r="I122" i="26"/>
  <c r="BV121" i="26"/>
  <c r="N121" i="26"/>
  <c r="I121" i="26"/>
  <c r="BV120" i="26"/>
  <c r="N120" i="26"/>
  <c r="I120" i="26"/>
  <c r="BV119" i="26"/>
  <c r="N119" i="26"/>
  <c r="I119" i="26"/>
  <c r="BV118" i="26"/>
  <c r="N118" i="26"/>
  <c r="I118" i="26"/>
  <c r="BV117" i="26"/>
  <c r="N117" i="26"/>
  <c r="I117" i="26"/>
  <c r="BV116" i="26"/>
  <c r="N116" i="26"/>
  <c r="I116" i="26"/>
  <c r="BV115" i="26"/>
  <c r="N115" i="26"/>
  <c r="I115" i="26"/>
  <c r="BV114" i="26"/>
  <c r="N114" i="26"/>
  <c r="I114" i="26"/>
  <c r="BV113" i="26"/>
  <c r="N113" i="26"/>
  <c r="I113" i="26"/>
  <c r="BV112" i="26"/>
  <c r="N112" i="26"/>
  <c r="I112" i="26"/>
  <c r="BV111" i="26"/>
  <c r="N111" i="26"/>
  <c r="I111" i="26"/>
  <c r="BV110" i="26"/>
  <c r="N110" i="26"/>
  <c r="I110" i="26"/>
  <c r="BV109" i="26"/>
  <c r="N109" i="26"/>
  <c r="I109" i="26"/>
  <c r="BV108" i="26"/>
  <c r="N108" i="26"/>
  <c r="I108" i="26"/>
  <c r="BV107" i="26"/>
  <c r="N107" i="26"/>
  <c r="I107" i="26"/>
  <c r="BV106" i="26"/>
  <c r="N106" i="26"/>
  <c r="I106" i="26"/>
  <c r="BV105" i="26"/>
  <c r="N105" i="26"/>
  <c r="I105" i="26"/>
  <c r="BV104" i="26"/>
  <c r="N104" i="26"/>
  <c r="I104" i="26"/>
  <c r="BV103" i="26"/>
  <c r="N103" i="26"/>
  <c r="I103" i="26"/>
  <c r="BV102" i="26"/>
  <c r="N102" i="26"/>
  <c r="I102" i="26"/>
  <c r="BV101" i="26"/>
  <c r="N101" i="26"/>
  <c r="I101" i="26"/>
  <c r="BV100" i="26"/>
  <c r="N100" i="26"/>
  <c r="I100" i="26"/>
  <c r="BV99" i="26"/>
  <c r="N99" i="26"/>
  <c r="I99" i="26"/>
  <c r="BV98" i="26"/>
  <c r="N98" i="26"/>
  <c r="I98" i="26"/>
  <c r="BV97" i="26"/>
  <c r="N97" i="26"/>
  <c r="I97" i="26"/>
  <c r="BV96" i="26"/>
  <c r="N96" i="26"/>
  <c r="I96" i="26"/>
  <c r="BV95" i="26"/>
  <c r="N95" i="26"/>
  <c r="I95" i="26"/>
  <c r="BV94" i="26"/>
  <c r="N94" i="26"/>
  <c r="I94" i="26"/>
  <c r="BV93" i="26"/>
  <c r="N93" i="26"/>
  <c r="I93" i="26"/>
  <c r="BV92" i="26"/>
  <c r="N92" i="26"/>
  <c r="I92" i="26"/>
  <c r="BV91" i="26"/>
  <c r="N91" i="26"/>
  <c r="I91" i="26"/>
  <c r="BV90" i="26"/>
  <c r="N90" i="26"/>
  <c r="I90" i="26"/>
  <c r="BV89" i="26"/>
  <c r="N89" i="26"/>
  <c r="I89" i="26"/>
  <c r="BV88" i="26"/>
  <c r="N88" i="26"/>
  <c r="I88" i="26"/>
  <c r="BV87" i="26"/>
  <c r="N87" i="26"/>
  <c r="I87" i="26"/>
  <c r="BV86" i="26"/>
  <c r="N86" i="26"/>
  <c r="I86" i="26"/>
  <c r="BV85" i="26"/>
  <c r="N85" i="26"/>
  <c r="I85" i="26"/>
  <c r="BV84" i="26"/>
  <c r="N84" i="26"/>
  <c r="I84" i="26"/>
  <c r="BV83" i="26"/>
  <c r="N83" i="26"/>
  <c r="I83" i="26"/>
  <c r="BV82" i="26"/>
  <c r="N82" i="26"/>
  <c r="I82" i="26"/>
  <c r="BV81" i="26"/>
  <c r="N81" i="26"/>
  <c r="I81" i="26"/>
  <c r="BV80" i="26"/>
  <c r="N80" i="26"/>
  <c r="I80" i="26"/>
  <c r="BV79" i="26"/>
  <c r="N79" i="26"/>
  <c r="I79" i="26"/>
  <c r="BV78" i="26"/>
  <c r="N78" i="26"/>
  <c r="I78" i="26"/>
  <c r="BV77" i="26"/>
  <c r="N77" i="26"/>
  <c r="I77" i="26"/>
  <c r="BV76" i="26"/>
  <c r="N76" i="26"/>
  <c r="I76" i="26"/>
  <c r="BV75" i="26"/>
  <c r="N75" i="26"/>
  <c r="I75" i="26"/>
  <c r="BV74" i="26"/>
  <c r="N74" i="26"/>
  <c r="I74" i="26"/>
  <c r="BV73" i="26"/>
  <c r="N73" i="26"/>
  <c r="I73" i="26"/>
  <c r="BV72" i="26"/>
  <c r="N72" i="26"/>
  <c r="I72" i="26"/>
  <c r="BV71" i="26"/>
  <c r="N71" i="26"/>
  <c r="I71" i="26"/>
  <c r="BV70" i="26"/>
  <c r="N70" i="26"/>
  <c r="I70" i="26"/>
  <c r="BV69" i="26"/>
  <c r="N69" i="26"/>
  <c r="I69" i="26"/>
  <c r="BV68" i="26"/>
  <c r="N68" i="26"/>
  <c r="I68" i="26"/>
  <c r="BV67" i="26"/>
  <c r="N67" i="26"/>
  <c r="I67" i="26"/>
  <c r="BV66" i="26"/>
  <c r="N66" i="26"/>
  <c r="I66" i="26"/>
  <c r="BV65" i="26"/>
  <c r="N65" i="26"/>
  <c r="I65" i="26"/>
  <c r="BV64" i="26"/>
  <c r="N64" i="26"/>
  <c r="I64" i="26"/>
  <c r="BV63" i="26"/>
  <c r="N63" i="26"/>
  <c r="I63" i="26"/>
  <c r="BV62" i="26"/>
  <c r="N62" i="26"/>
  <c r="I62" i="26"/>
  <c r="BV61" i="26"/>
  <c r="N61" i="26"/>
  <c r="I61" i="26"/>
  <c r="BV60" i="26"/>
  <c r="N60" i="26"/>
  <c r="I60" i="26"/>
  <c r="BV59" i="26"/>
  <c r="N59" i="26"/>
  <c r="I59" i="26"/>
  <c r="BV58" i="26"/>
  <c r="N58" i="26"/>
  <c r="I58" i="26"/>
  <c r="BV57" i="26"/>
  <c r="N57" i="26"/>
  <c r="I57" i="26"/>
  <c r="BV56" i="26"/>
  <c r="N56" i="26"/>
  <c r="I56" i="26"/>
  <c r="BV55" i="26"/>
  <c r="N55" i="26"/>
  <c r="I55" i="26"/>
  <c r="BV54" i="26"/>
  <c r="N54" i="26"/>
  <c r="I54" i="26"/>
  <c r="BV53" i="26"/>
  <c r="N53" i="26"/>
  <c r="I53" i="26"/>
  <c r="BV52" i="26"/>
  <c r="N52" i="26"/>
  <c r="I52" i="26"/>
  <c r="BV51" i="26"/>
  <c r="N51" i="26"/>
  <c r="I51" i="26"/>
  <c r="BV50" i="26"/>
  <c r="N50" i="26"/>
  <c r="I50" i="26"/>
  <c r="BV49" i="26"/>
  <c r="N49" i="26"/>
  <c r="I49" i="26"/>
  <c r="BV48" i="26"/>
  <c r="N48" i="26"/>
  <c r="I48" i="26"/>
  <c r="BV47" i="26"/>
  <c r="N47" i="26"/>
  <c r="I47" i="26"/>
  <c r="BV46" i="26"/>
  <c r="N46" i="26"/>
  <c r="I46" i="26"/>
  <c r="BV45" i="26"/>
  <c r="N45" i="26"/>
  <c r="I45" i="26"/>
  <c r="BV44" i="26"/>
  <c r="N44" i="26"/>
  <c r="I44" i="26"/>
  <c r="BV43" i="26"/>
  <c r="N43" i="26"/>
  <c r="I43" i="26"/>
  <c r="BV42" i="26"/>
  <c r="N42" i="26"/>
  <c r="I42" i="26"/>
  <c r="BV41" i="26"/>
  <c r="N41" i="26"/>
  <c r="I41" i="26"/>
  <c r="BV40" i="26"/>
  <c r="N40" i="26"/>
  <c r="I40" i="26"/>
  <c r="BV39" i="26"/>
  <c r="N39" i="26"/>
  <c r="I39" i="26"/>
  <c r="BV38" i="26"/>
  <c r="N38" i="26"/>
  <c r="I38" i="26"/>
  <c r="BV37" i="26"/>
  <c r="N37" i="26"/>
  <c r="I37" i="26"/>
  <c r="BV36" i="26"/>
  <c r="N36" i="26"/>
  <c r="I36" i="26"/>
  <c r="BV35" i="26"/>
  <c r="N35" i="26"/>
  <c r="I35" i="26"/>
  <c r="BV34" i="26"/>
  <c r="N34" i="26"/>
  <c r="I34" i="26"/>
  <c r="BV33" i="26"/>
  <c r="N33" i="26"/>
  <c r="I33" i="26"/>
  <c r="BV32" i="26"/>
  <c r="N32" i="26"/>
  <c r="I32" i="26"/>
  <c r="BV31" i="26"/>
  <c r="N31" i="26"/>
  <c r="I31" i="26"/>
  <c r="BV30" i="26"/>
  <c r="N30" i="26"/>
  <c r="I30" i="26"/>
  <c r="BV29" i="26"/>
  <c r="N29" i="26"/>
  <c r="I29" i="26"/>
  <c r="BV28" i="26"/>
  <c r="N28" i="26"/>
  <c r="I28" i="26"/>
  <c r="BV27" i="26"/>
  <c r="N27" i="26"/>
  <c r="I27" i="26"/>
  <c r="BV26" i="26"/>
  <c r="N26" i="26"/>
  <c r="I26" i="26"/>
  <c r="BV25" i="26"/>
  <c r="N25" i="26"/>
  <c r="I25" i="26"/>
  <c r="BV24" i="26"/>
  <c r="N24" i="26"/>
  <c r="I24" i="26"/>
  <c r="BV23" i="26"/>
  <c r="N23" i="26"/>
  <c r="I23" i="26"/>
  <c r="BV22" i="26"/>
  <c r="N22" i="26"/>
  <c r="I22" i="26"/>
  <c r="BV21" i="26"/>
  <c r="N21" i="26"/>
  <c r="I21" i="26"/>
  <c r="BV20" i="26"/>
  <c r="N20" i="26"/>
  <c r="I20" i="26"/>
  <c r="BV19" i="26"/>
  <c r="N19" i="26"/>
  <c r="I19" i="26"/>
  <c r="BV18" i="26"/>
  <c r="N18" i="26"/>
  <c r="I18" i="26"/>
  <c r="BV17" i="26"/>
  <c r="N17" i="26"/>
  <c r="I17" i="26"/>
  <c r="BV16" i="26"/>
  <c r="N16" i="26"/>
  <c r="I16" i="26"/>
  <c r="BV15" i="26"/>
  <c r="N15" i="26"/>
  <c r="I15" i="26"/>
  <c r="BV14" i="26"/>
  <c r="N14" i="26"/>
  <c r="I14" i="26"/>
  <c r="BV13" i="26"/>
  <c r="N13" i="26"/>
  <c r="I13" i="26"/>
  <c r="BV12" i="26"/>
  <c r="N12" i="26"/>
  <c r="I12" i="26"/>
  <c r="BV11" i="26"/>
  <c r="N11" i="26"/>
  <c r="I11" i="26"/>
  <c r="BV10" i="26"/>
  <c r="N10" i="26"/>
  <c r="I10" i="26"/>
  <c r="I362" i="26" s="1"/>
  <c r="BV9" i="26"/>
  <c r="N9" i="26"/>
  <c r="I9" i="26"/>
  <c r="BV8" i="26"/>
  <c r="N8" i="26"/>
  <c r="I8" i="26"/>
  <c r="BV7" i="26"/>
  <c r="N7" i="26"/>
  <c r="I7" i="26"/>
  <c r="BV6" i="26"/>
  <c r="BV362" i="26" s="1"/>
  <c r="N6" i="26"/>
  <c r="N362" i="26" s="1"/>
  <c r="I6" i="26"/>
  <c r="B1" i="26"/>
  <c r="C1" i="26" s="1"/>
  <c r="D1" i="26" s="1"/>
  <c r="E1" i="26" s="1"/>
  <c r="F1" i="26" s="1"/>
  <c r="G1" i="26" s="1"/>
  <c r="H1" i="26" s="1"/>
  <c r="I1" i="26" s="1"/>
  <c r="J1" i="26" s="1"/>
  <c r="K1" i="26" s="1"/>
  <c r="L1" i="26" s="1"/>
  <c r="M1" i="26" s="1"/>
  <c r="N1" i="26" s="1"/>
  <c r="O1" i="26" s="1"/>
  <c r="P1" i="26" s="1"/>
  <c r="Q1" i="26" s="1"/>
  <c r="R1" i="26" s="1"/>
  <c r="S1" i="26" s="1"/>
  <c r="T1" i="26" s="1"/>
  <c r="U1" i="26" s="1"/>
  <c r="V1" i="26" s="1"/>
  <c r="W1" i="26" s="1"/>
  <c r="X1" i="26" s="1"/>
  <c r="Y1" i="26" s="1"/>
  <c r="Z1" i="26" s="1"/>
  <c r="AA1" i="26" s="1"/>
  <c r="AB1" i="26" s="1"/>
  <c r="AC1" i="26" s="1"/>
  <c r="AD1" i="26" s="1"/>
  <c r="AE1" i="26" s="1"/>
  <c r="AF1" i="26" s="1"/>
  <c r="AG1" i="26" s="1"/>
  <c r="AH1" i="26" s="1"/>
  <c r="AI1" i="26" s="1"/>
  <c r="AJ1" i="26" s="1"/>
  <c r="AK1" i="26" s="1"/>
  <c r="AL1" i="26" s="1"/>
  <c r="AM1" i="26" s="1"/>
  <c r="AN1" i="26" s="1"/>
  <c r="AO1" i="26" s="1"/>
  <c r="AP1" i="26" s="1"/>
  <c r="AQ1" i="26" s="1"/>
  <c r="AR1" i="26" s="1"/>
  <c r="AS1" i="26" s="1"/>
  <c r="AT1" i="26" s="1"/>
  <c r="AU1" i="26" s="1"/>
  <c r="AV1" i="26" s="1"/>
  <c r="AW1" i="26" s="1"/>
  <c r="AX1" i="26" s="1"/>
  <c r="AY1" i="26" s="1"/>
  <c r="AZ1" i="26" s="1"/>
  <c r="BA1" i="26" s="1"/>
  <c r="BB1" i="26" s="1"/>
  <c r="BC1" i="26" s="1"/>
  <c r="BD1" i="26" s="1"/>
  <c r="BE1" i="26" s="1"/>
  <c r="BF1" i="26" s="1"/>
  <c r="BG1" i="26" s="1"/>
  <c r="BH1" i="26" s="1"/>
  <c r="BI1" i="26" s="1"/>
  <c r="BJ1" i="26" s="1"/>
  <c r="BK1" i="26" s="1"/>
  <c r="BL1" i="26" s="1"/>
  <c r="BM1" i="26" s="1"/>
  <c r="BN1" i="26" s="1"/>
  <c r="BO1" i="26" s="1"/>
  <c r="BP1" i="26" s="1"/>
  <c r="BQ1" i="26" s="1"/>
  <c r="BR1" i="26" s="1"/>
  <c r="BS1" i="26" s="1"/>
  <c r="BT1" i="26" s="1"/>
  <c r="BU1" i="26" s="1"/>
  <c r="BV1" i="26" s="1"/>
  <c r="BW1" i="26" s="1"/>
  <c r="BX1" i="26" s="1"/>
  <c r="BZ1" i="26" s="1"/>
  <c r="CA1" i="26" s="1"/>
  <c r="CB1" i="26" s="1"/>
  <c r="CC1" i="26" s="1"/>
  <c r="CD1" i="26" s="1"/>
  <c r="CE1" i="26" s="1"/>
  <c r="CF1" i="26" s="1"/>
  <c r="CG1" i="26" s="1"/>
  <c r="CH1" i="26" s="1"/>
  <c r="CI1" i="26" s="1"/>
  <c r="CJ1" i="26" s="1"/>
  <c r="CK1" i="26" s="1"/>
  <c r="CL1" i="26" s="1"/>
  <c r="L349" i="8" l="1"/>
  <c r="L351" i="8" s="1"/>
  <c r="AC362" i="26"/>
  <c r="AB362" i="26"/>
  <c r="A35" i="27"/>
  <c r="A34" i="27"/>
  <c r="A33" i="27"/>
  <c r="A32" i="27"/>
  <c r="A31" i="27"/>
  <c r="A30" i="27"/>
  <c r="A29" i="27"/>
  <c r="A28" i="27"/>
  <c r="A23" i="27"/>
  <c r="A18" i="27"/>
  <c r="A76" i="27" s="1"/>
  <c r="A17" i="27"/>
  <c r="A51" i="27" s="1"/>
  <c r="A16" i="27"/>
  <c r="A50" i="27" s="1"/>
  <c r="A15" i="27"/>
  <c r="A61" i="27" s="1"/>
  <c r="A14" i="27"/>
  <c r="A72" i="27" s="1"/>
  <c r="A13" i="27"/>
  <c r="A71" i="27" s="1"/>
  <c r="A12" i="27"/>
  <c r="A46" i="27" s="1"/>
  <c r="A11" i="27"/>
  <c r="A45" i="27" s="1"/>
  <c r="A6" i="27"/>
  <c r="A67" i="27" s="1"/>
  <c r="A48" i="27" l="1"/>
  <c r="A47" i="27"/>
  <c r="A58" i="27"/>
  <c r="A73" i="27"/>
  <c r="A52" i="27"/>
  <c r="A63" i="27"/>
  <c r="A70" i="27"/>
  <c r="A60" i="27"/>
  <c r="A75" i="27"/>
  <c r="A49" i="27"/>
  <c r="A57" i="27"/>
  <c r="A62" i="27"/>
  <c r="A69" i="27"/>
  <c r="A40" i="27"/>
  <c r="A59" i="27"/>
  <c r="A74" i="27"/>
  <c r="A55" i="27"/>
  <c r="A64" i="27"/>
  <c r="R9" i="10"/>
  <c r="Q9" i="10"/>
  <c r="G16" i="20" l="1"/>
  <c r="Q362" i="19" l="1"/>
  <c r="Q363" i="19" s="1"/>
  <c r="AG3" i="23" l="1"/>
  <c r="AH3" i="23"/>
  <c r="I30" i="16"/>
  <c r="I23" i="16"/>
  <c r="I24" i="16"/>
  <c r="AG4" i="23" l="1"/>
  <c r="AH4" i="23"/>
  <c r="J11" i="16" l="1"/>
  <c r="J42" i="16" s="1"/>
  <c r="D52" i="14" l="1"/>
  <c r="S9" i="10" l="1"/>
  <c r="AF8" i="10" s="1"/>
  <c r="D51" i="14" s="1"/>
  <c r="I25" i="16"/>
  <c r="D50" i="14" l="1"/>
  <c r="K33" i="1" l="1"/>
  <c r="D250" i="24" l="1"/>
  <c r="C250" i="24"/>
  <c r="B250" i="24"/>
  <c r="C248" i="24"/>
  <c r="B248" i="24"/>
  <c r="D218" i="24"/>
  <c r="C218" i="24"/>
  <c r="B218" i="24"/>
  <c r="C216" i="24"/>
  <c r="B216" i="24"/>
  <c r="D154" i="24"/>
  <c r="C154" i="24"/>
  <c r="B154" i="24"/>
  <c r="C152" i="24"/>
  <c r="B152" i="24"/>
  <c r="D122" i="24"/>
  <c r="C122" i="24"/>
  <c r="B122" i="24"/>
  <c r="C120" i="24"/>
  <c r="B120" i="24"/>
  <c r="D90" i="24"/>
  <c r="C90" i="24"/>
  <c r="B90" i="24"/>
  <c r="C88" i="24"/>
  <c r="B88" i="24"/>
  <c r="D58" i="24"/>
  <c r="C58" i="24"/>
  <c r="B58" i="24"/>
  <c r="C56" i="24"/>
  <c r="B56" i="24"/>
  <c r="D26" i="24"/>
  <c r="C26" i="24"/>
  <c r="B26" i="24"/>
  <c r="C24" i="24"/>
  <c r="B24" i="24"/>
  <c r="C186" i="24"/>
  <c r="B186" i="24"/>
  <c r="C184" i="24"/>
  <c r="B184" i="24"/>
  <c r="N14" i="20"/>
  <c r="M14" i="20"/>
  <c r="B240" i="24" s="1"/>
  <c r="N13" i="20"/>
  <c r="M13" i="20"/>
  <c r="B208" i="24" s="1"/>
  <c r="N11" i="20"/>
  <c r="M11" i="20"/>
  <c r="B144" i="24" s="1"/>
  <c r="N10" i="20"/>
  <c r="M10" i="20"/>
  <c r="B111" i="24" s="1"/>
  <c r="N9" i="20"/>
  <c r="M9" i="20"/>
  <c r="B80" i="24" s="1"/>
  <c r="N8" i="20"/>
  <c r="M8" i="20"/>
  <c r="B47" i="24" s="1"/>
  <c r="N7" i="20"/>
  <c r="B57" i="27" s="1"/>
  <c r="M7" i="20"/>
  <c r="B16" i="24" s="1"/>
  <c r="N12" i="20"/>
  <c r="M12" i="20"/>
  <c r="B175" i="24" s="1"/>
  <c r="B62" i="27" l="1"/>
  <c r="B61" i="27"/>
  <c r="B60" i="27"/>
  <c r="B59" i="27"/>
  <c r="B58" i="27"/>
  <c r="D211" i="24"/>
  <c r="D138" i="24"/>
  <c r="F247" i="24"/>
  <c r="C243" i="24"/>
  <c r="B207" i="24"/>
  <c r="C207" i="24" s="1"/>
  <c r="F151" i="24"/>
  <c r="F153" i="24" s="1"/>
  <c r="G147" i="24"/>
  <c r="E147" i="24"/>
  <c r="B151" i="24"/>
  <c r="B147" i="24"/>
  <c r="B135" i="24" s="1"/>
  <c r="G151" i="24"/>
  <c r="G153" i="24" s="1"/>
  <c r="B112" i="24"/>
  <c r="D115" i="24"/>
  <c r="E105" i="24" s="1"/>
  <c r="E107" i="24" s="1"/>
  <c r="D119" i="24"/>
  <c r="D121" i="24" s="1"/>
  <c r="G87" i="24"/>
  <c r="G89" i="24" s="1"/>
  <c r="B247" i="24"/>
  <c r="C247" i="24"/>
  <c r="D247" i="24"/>
  <c r="E247" i="24"/>
  <c r="G243" i="24"/>
  <c r="G247" i="24"/>
  <c r="D234" i="24"/>
  <c r="E243" i="24"/>
  <c r="B239" i="24"/>
  <c r="C239" i="24" s="1"/>
  <c r="B243" i="24"/>
  <c r="F243" i="24"/>
  <c r="H247" i="24"/>
  <c r="D243" i="24"/>
  <c r="I243" i="24"/>
  <c r="H243" i="24"/>
  <c r="I211" i="24"/>
  <c r="D202" i="24"/>
  <c r="B215" i="24"/>
  <c r="H211" i="24"/>
  <c r="C215" i="24"/>
  <c r="G211" i="24"/>
  <c r="D215" i="24"/>
  <c r="F211" i="24"/>
  <c r="E215" i="24"/>
  <c r="E211" i="24"/>
  <c r="F215" i="24"/>
  <c r="B211" i="24"/>
  <c r="G215" i="24"/>
  <c r="C211" i="24"/>
  <c r="H215" i="24"/>
  <c r="B179" i="24"/>
  <c r="D179" i="24"/>
  <c r="D183" i="24"/>
  <c r="C179" i="24"/>
  <c r="I179" i="24"/>
  <c r="F179" i="24"/>
  <c r="H183" i="24"/>
  <c r="B176" i="24"/>
  <c r="C176" i="24" s="1"/>
  <c r="E179" i="24"/>
  <c r="B183" i="24"/>
  <c r="C183" i="24"/>
  <c r="D186" i="24"/>
  <c r="D166" i="24" s="1"/>
  <c r="H179" i="24"/>
  <c r="F183" i="24"/>
  <c r="D170" i="24"/>
  <c r="E183" i="24"/>
  <c r="G179" i="24"/>
  <c r="G183" i="24"/>
  <c r="B143" i="24"/>
  <c r="C143" i="24" s="1"/>
  <c r="F147" i="24"/>
  <c r="H151" i="24"/>
  <c r="H153" i="24" s="1"/>
  <c r="C147" i="24"/>
  <c r="C135" i="24" s="1"/>
  <c r="C151" i="24"/>
  <c r="D147" i="24"/>
  <c r="G137" i="24" s="1"/>
  <c r="G139" i="24" s="1"/>
  <c r="D151" i="24"/>
  <c r="D153" i="24" s="1"/>
  <c r="I147" i="24"/>
  <c r="E151" i="24"/>
  <c r="E153" i="24" s="1"/>
  <c r="H147" i="24"/>
  <c r="C115" i="24"/>
  <c r="C103" i="24" s="1"/>
  <c r="C119" i="24"/>
  <c r="E119" i="24"/>
  <c r="E121" i="24" s="1"/>
  <c r="H115" i="24"/>
  <c r="F119" i="24"/>
  <c r="F121" i="24" s="1"/>
  <c r="I115" i="24"/>
  <c r="D106" i="24"/>
  <c r="G115" i="24"/>
  <c r="G119" i="24"/>
  <c r="G121" i="24" s="1"/>
  <c r="F115" i="24"/>
  <c r="H119" i="24"/>
  <c r="H121" i="24" s="1"/>
  <c r="E115" i="24"/>
  <c r="B115" i="24"/>
  <c r="B103" i="24" s="1"/>
  <c r="B119" i="24"/>
  <c r="C87" i="24"/>
  <c r="D87" i="24"/>
  <c r="B79" i="24"/>
  <c r="F83" i="24"/>
  <c r="H87" i="24"/>
  <c r="E87" i="24"/>
  <c r="H83" i="24"/>
  <c r="F87" i="24"/>
  <c r="F89" i="24" s="1"/>
  <c r="E83" i="24"/>
  <c r="B83" i="24"/>
  <c r="B87" i="24"/>
  <c r="C83" i="24"/>
  <c r="D83" i="24"/>
  <c r="E73" i="24" s="1"/>
  <c r="E75" i="24" s="1"/>
  <c r="I83" i="24"/>
  <c r="D74" i="24"/>
  <c r="G83" i="24"/>
  <c r="H51" i="24"/>
  <c r="F55" i="24"/>
  <c r="D42" i="24"/>
  <c r="G51" i="24"/>
  <c r="G55" i="24"/>
  <c r="B48" i="24"/>
  <c r="C48" i="24" s="1"/>
  <c r="E51" i="24"/>
  <c r="B51" i="24"/>
  <c r="B55" i="24"/>
  <c r="C51" i="24"/>
  <c r="C39" i="24" s="1"/>
  <c r="C55" i="24"/>
  <c r="D51" i="24"/>
  <c r="D55" i="24"/>
  <c r="D57" i="24" s="1"/>
  <c r="I51" i="24"/>
  <c r="E55" i="24"/>
  <c r="E57" i="24" s="1"/>
  <c r="F51" i="24"/>
  <c r="H55" i="24"/>
  <c r="D10" i="24"/>
  <c r="C19" i="24"/>
  <c r="C7" i="24" s="1"/>
  <c r="C23" i="24"/>
  <c r="E23" i="24"/>
  <c r="G19" i="24"/>
  <c r="F23" i="24"/>
  <c r="F25" i="24" s="1"/>
  <c r="B19" i="24"/>
  <c r="B7" i="24" s="1"/>
  <c r="B23" i="24"/>
  <c r="I19" i="24"/>
  <c r="H19" i="24"/>
  <c r="B15" i="24"/>
  <c r="F19" i="24"/>
  <c r="G23" i="24"/>
  <c r="G25" i="24" s="1"/>
  <c r="D19" i="24"/>
  <c r="D23" i="24"/>
  <c r="E19" i="24"/>
  <c r="H23" i="24"/>
  <c r="D230" i="24"/>
  <c r="C230" i="24"/>
  <c r="B230" i="24"/>
  <c r="G225" i="24"/>
  <c r="I254" i="24"/>
  <c r="H254" i="24"/>
  <c r="G254" i="24"/>
  <c r="F254" i="24"/>
  <c r="E254" i="24"/>
  <c r="D254" i="24"/>
  <c r="I253" i="24"/>
  <c r="H253" i="24"/>
  <c r="G253" i="24"/>
  <c r="F253" i="24"/>
  <c r="E253" i="24"/>
  <c r="D253" i="24"/>
  <c r="I230" i="24"/>
  <c r="H230" i="24"/>
  <c r="G230" i="24"/>
  <c r="F230" i="24"/>
  <c r="E230" i="24"/>
  <c r="D198" i="24"/>
  <c r="C198" i="24"/>
  <c r="B198" i="24"/>
  <c r="G193" i="24"/>
  <c r="I222" i="24"/>
  <c r="H222" i="24"/>
  <c r="G222" i="24"/>
  <c r="F222" i="24"/>
  <c r="E222" i="24"/>
  <c r="D222" i="24"/>
  <c r="I221" i="24"/>
  <c r="H221" i="24"/>
  <c r="G221" i="24"/>
  <c r="F221" i="24"/>
  <c r="E221" i="24"/>
  <c r="D221" i="24"/>
  <c r="I198" i="24"/>
  <c r="H198" i="24"/>
  <c r="G198" i="24"/>
  <c r="F198" i="24"/>
  <c r="E198" i="24"/>
  <c r="C166" i="24"/>
  <c r="B166" i="24"/>
  <c r="G161" i="24"/>
  <c r="I190" i="24"/>
  <c r="H190" i="24"/>
  <c r="G190" i="24"/>
  <c r="F190" i="24"/>
  <c r="E190" i="24"/>
  <c r="D190" i="24"/>
  <c r="I189" i="24"/>
  <c r="H189" i="24"/>
  <c r="G189" i="24"/>
  <c r="F189" i="24"/>
  <c r="E189" i="24"/>
  <c r="D189" i="24"/>
  <c r="I166" i="24"/>
  <c r="H166" i="24"/>
  <c r="G166" i="24"/>
  <c r="F166" i="24"/>
  <c r="E166" i="24"/>
  <c r="C134" i="24"/>
  <c r="B134" i="24"/>
  <c r="C144" i="24"/>
  <c r="G129" i="24"/>
  <c r="I158" i="24"/>
  <c r="H158" i="24"/>
  <c r="G158" i="24"/>
  <c r="F158" i="24"/>
  <c r="E158" i="24"/>
  <c r="D158" i="24"/>
  <c r="I157" i="24"/>
  <c r="H157" i="24"/>
  <c r="G157" i="24"/>
  <c r="F157" i="24"/>
  <c r="E157" i="24"/>
  <c r="D157" i="24"/>
  <c r="I134" i="24"/>
  <c r="H134" i="24"/>
  <c r="G134" i="24"/>
  <c r="F134" i="24"/>
  <c r="E134" i="24"/>
  <c r="D134" i="24"/>
  <c r="D102" i="24"/>
  <c r="C102" i="24"/>
  <c r="G97" i="24"/>
  <c r="I126" i="24"/>
  <c r="H126" i="24"/>
  <c r="G126" i="24"/>
  <c r="F126" i="24"/>
  <c r="E126" i="24"/>
  <c r="D126" i="24"/>
  <c r="I125" i="24"/>
  <c r="H125" i="24"/>
  <c r="G125" i="24"/>
  <c r="F125" i="24"/>
  <c r="E125" i="24"/>
  <c r="D125" i="24"/>
  <c r="I102" i="24"/>
  <c r="H102" i="24"/>
  <c r="G102" i="24"/>
  <c r="F102" i="24"/>
  <c r="E102" i="24"/>
  <c r="B102" i="24"/>
  <c r="D70" i="24"/>
  <c r="C70" i="24"/>
  <c r="B70" i="24"/>
  <c r="C80" i="24"/>
  <c r="G65" i="24"/>
  <c r="I94" i="24"/>
  <c r="H94" i="24"/>
  <c r="G94" i="24"/>
  <c r="F94" i="24"/>
  <c r="E94" i="24"/>
  <c r="D94" i="24"/>
  <c r="I93" i="24"/>
  <c r="H93" i="24"/>
  <c r="G93" i="24"/>
  <c r="F93" i="24"/>
  <c r="E93" i="24"/>
  <c r="D93" i="24"/>
  <c r="I70" i="24"/>
  <c r="H70" i="24"/>
  <c r="G70" i="24"/>
  <c r="F70" i="24"/>
  <c r="E70" i="24"/>
  <c r="I62" i="24"/>
  <c r="H62" i="24"/>
  <c r="G62" i="24"/>
  <c r="F62" i="24"/>
  <c r="E62" i="24"/>
  <c r="D62" i="24"/>
  <c r="I61" i="24"/>
  <c r="H61" i="24"/>
  <c r="G61" i="24"/>
  <c r="F61" i="24"/>
  <c r="E61" i="24"/>
  <c r="D61" i="24"/>
  <c r="D29" i="24"/>
  <c r="E29" i="24"/>
  <c r="F29" i="24"/>
  <c r="G29" i="24"/>
  <c r="H29" i="24"/>
  <c r="I29" i="24"/>
  <c r="D30" i="24"/>
  <c r="E30" i="24"/>
  <c r="F30" i="24"/>
  <c r="G30" i="24"/>
  <c r="H30" i="24"/>
  <c r="I30" i="24"/>
  <c r="D38" i="24"/>
  <c r="C38" i="24"/>
  <c r="B38" i="24"/>
  <c r="G33" i="24"/>
  <c r="I38" i="24"/>
  <c r="H38" i="24"/>
  <c r="G38" i="24"/>
  <c r="F38" i="24"/>
  <c r="E38" i="24"/>
  <c r="C6" i="24"/>
  <c r="E6" i="24"/>
  <c r="F6" i="24"/>
  <c r="G6" i="24"/>
  <c r="H6" i="24"/>
  <c r="I6" i="24"/>
  <c r="D6" i="24"/>
  <c r="B6" i="24"/>
  <c r="I95" i="24"/>
  <c r="H159" i="24"/>
  <c r="G159" i="24"/>
  <c r="F191" i="24"/>
  <c r="E223" i="24"/>
  <c r="C47" i="14"/>
  <c r="C95" i="24" s="1"/>
  <c r="B47" i="14"/>
  <c r="B95" i="24" s="1"/>
  <c r="G1" i="24"/>
  <c r="G35" i="14"/>
  <c r="G8" i="14"/>
  <c r="AJ3" i="23"/>
  <c r="AI3" i="23"/>
  <c r="AL3" i="23"/>
  <c r="AK3" i="23"/>
  <c r="B50" i="27" l="1"/>
  <c r="B49" i="27"/>
  <c r="B47" i="27"/>
  <c r="B48" i="27"/>
  <c r="B77" i="27"/>
  <c r="B46" i="27"/>
  <c r="B65" i="27"/>
  <c r="B45" i="27"/>
  <c r="F137" i="24"/>
  <c r="F139" i="24" s="1"/>
  <c r="D144" i="24"/>
  <c r="D133" i="24" s="1"/>
  <c r="E144" i="24"/>
  <c r="E133" i="24" s="1"/>
  <c r="F144" i="24"/>
  <c r="F133" i="24" s="1"/>
  <c r="G144" i="24"/>
  <c r="G133" i="24" s="1"/>
  <c r="H144" i="24"/>
  <c r="H133" i="24" s="1"/>
  <c r="I144" i="24"/>
  <c r="I133" i="24" s="1"/>
  <c r="I176" i="24"/>
  <c r="I165" i="24" s="1"/>
  <c r="D176" i="24"/>
  <c r="D165" i="24" s="1"/>
  <c r="E176" i="24"/>
  <c r="E165" i="24" s="1"/>
  <c r="F176" i="24"/>
  <c r="F165" i="24" s="1"/>
  <c r="H176" i="24"/>
  <c r="H165" i="24" s="1"/>
  <c r="G176" i="24"/>
  <c r="G165" i="24" s="1"/>
  <c r="F80" i="24"/>
  <c r="F69" i="24" s="1"/>
  <c r="G80" i="24"/>
  <c r="G69" i="24" s="1"/>
  <c r="H80" i="24"/>
  <c r="H69" i="24" s="1"/>
  <c r="I80" i="24"/>
  <c r="I69" i="24" s="1"/>
  <c r="D80" i="24"/>
  <c r="D69" i="24" s="1"/>
  <c r="E80" i="24"/>
  <c r="E69" i="24" s="1"/>
  <c r="I48" i="24"/>
  <c r="I37" i="24" s="1"/>
  <c r="D48" i="24"/>
  <c r="D37" i="24" s="1"/>
  <c r="E48" i="24"/>
  <c r="E37" i="24" s="1"/>
  <c r="F48" i="24"/>
  <c r="F37" i="24" s="1"/>
  <c r="G48" i="24"/>
  <c r="G37" i="24" s="1"/>
  <c r="H48" i="24"/>
  <c r="H37" i="24" s="1"/>
  <c r="F223" i="24"/>
  <c r="G223" i="24"/>
  <c r="H223" i="24"/>
  <c r="I159" i="24"/>
  <c r="E95" i="24"/>
  <c r="E127" i="24"/>
  <c r="G191" i="24"/>
  <c r="E255" i="24"/>
  <c r="E31" i="24"/>
  <c r="I63" i="24"/>
  <c r="F95" i="24"/>
  <c r="F127" i="24"/>
  <c r="H191" i="24"/>
  <c r="F255" i="24"/>
  <c r="G127" i="24"/>
  <c r="I191" i="24"/>
  <c r="G255" i="24"/>
  <c r="B159" i="24"/>
  <c r="B31" i="24"/>
  <c r="G95" i="24"/>
  <c r="H127" i="24"/>
  <c r="B191" i="24"/>
  <c r="I223" i="24"/>
  <c r="H255" i="24"/>
  <c r="C63" i="24"/>
  <c r="I31" i="24"/>
  <c r="E63" i="24"/>
  <c r="H95" i="24"/>
  <c r="I127" i="24"/>
  <c r="E159" i="24"/>
  <c r="C191" i="24"/>
  <c r="B223" i="24"/>
  <c r="I255" i="24"/>
  <c r="H31" i="24"/>
  <c r="F63" i="24"/>
  <c r="B127" i="24"/>
  <c r="F159" i="24"/>
  <c r="C223" i="24"/>
  <c r="B255" i="24"/>
  <c r="B63" i="24"/>
  <c r="G31" i="24"/>
  <c r="G63" i="24"/>
  <c r="C127" i="24"/>
  <c r="E191" i="24"/>
  <c r="C255" i="24"/>
  <c r="C31" i="24"/>
  <c r="C159" i="24"/>
  <c r="F31" i="24"/>
  <c r="H63" i="24"/>
  <c r="C240" i="24"/>
  <c r="C231" i="24"/>
  <c r="H249" i="24"/>
  <c r="H25" i="24"/>
  <c r="I41" i="24"/>
  <c r="I43" i="24" s="1"/>
  <c r="D89" i="24"/>
  <c r="C57" i="24"/>
  <c r="E89" i="24"/>
  <c r="D9" i="24"/>
  <c r="D25" i="24"/>
  <c r="C47" i="24"/>
  <c r="D47" i="24" s="1"/>
  <c r="F57" i="24"/>
  <c r="B71" i="24"/>
  <c r="B89" i="24"/>
  <c r="H89" i="24"/>
  <c r="G57" i="24"/>
  <c r="C71" i="24"/>
  <c r="E25" i="24"/>
  <c r="B39" i="24"/>
  <c r="B57" i="24"/>
  <c r="H57" i="24"/>
  <c r="D249" i="24"/>
  <c r="B231" i="24"/>
  <c r="E249" i="24"/>
  <c r="F249" i="24"/>
  <c r="I233" i="24"/>
  <c r="I235" i="24" s="1"/>
  <c r="G249" i="24"/>
  <c r="C208" i="24"/>
  <c r="B199" i="24"/>
  <c r="B217" i="24"/>
  <c r="E217" i="24"/>
  <c r="D217" i="24"/>
  <c r="C199" i="24"/>
  <c r="F217" i="24"/>
  <c r="E201" i="24"/>
  <c r="E203" i="24" s="1"/>
  <c r="G217" i="24"/>
  <c r="H217" i="24"/>
  <c r="F185" i="24"/>
  <c r="E185" i="24"/>
  <c r="G185" i="24"/>
  <c r="C175" i="24"/>
  <c r="H185" i="24"/>
  <c r="B167" i="24"/>
  <c r="B185" i="24"/>
  <c r="C167" i="24"/>
  <c r="C185" i="24"/>
  <c r="E169" i="24"/>
  <c r="E171" i="24" s="1"/>
  <c r="D185" i="24"/>
  <c r="C249" i="24"/>
  <c r="B249" i="24"/>
  <c r="D239" i="24"/>
  <c r="C217" i="24"/>
  <c r="D207" i="24"/>
  <c r="C153" i="24"/>
  <c r="B153" i="24"/>
  <c r="H137" i="24"/>
  <c r="H139" i="24" s="1"/>
  <c r="I137" i="24"/>
  <c r="I139" i="24" s="1"/>
  <c r="D137" i="24"/>
  <c r="D139" i="24" s="1"/>
  <c r="E137" i="24"/>
  <c r="E139" i="24" s="1"/>
  <c r="D143" i="24"/>
  <c r="C121" i="24"/>
  <c r="B121" i="24"/>
  <c r="D105" i="24"/>
  <c r="D107" i="24" s="1"/>
  <c r="G105" i="24"/>
  <c r="G107" i="24" s="1"/>
  <c r="I105" i="24"/>
  <c r="I107" i="24" s="1"/>
  <c r="F105" i="24"/>
  <c r="F107" i="24" s="1"/>
  <c r="H105" i="24"/>
  <c r="H107" i="24" s="1"/>
  <c r="C111" i="24"/>
  <c r="C112" i="24"/>
  <c r="D112" i="24" s="1"/>
  <c r="C89" i="24"/>
  <c r="D73" i="24"/>
  <c r="G73" i="24"/>
  <c r="G75" i="24" s="1"/>
  <c r="I73" i="24"/>
  <c r="I75" i="24" s="1"/>
  <c r="F73" i="24"/>
  <c r="F75" i="24" s="1"/>
  <c r="H73" i="24"/>
  <c r="H75" i="24" s="1"/>
  <c r="C79" i="24"/>
  <c r="E41" i="24"/>
  <c r="E43" i="24" s="1"/>
  <c r="D41" i="24"/>
  <c r="D43" i="24" s="1"/>
  <c r="G41" i="24"/>
  <c r="G43" i="24" s="1"/>
  <c r="C25" i="24"/>
  <c r="B25" i="24"/>
  <c r="C15" i="24"/>
  <c r="B42" i="27" l="1"/>
  <c r="AK4" i="23"/>
  <c r="AJ4" i="23"/>
  <c r="AI4" i="23"/>
  <c r="I112" i="24"/>
  <c r="I101" i="24" s="1"/>
  <c r="H240" i="24"/>
  <c r="H229" i="24" s="1"/>
  <c r="F240" i="24"/>
  <c r="F229" i="24" s="1"/>
  <c r="I240" i="24"/>
  <c r="I229" i="24" s="1"/>
  <c r="D240" i="24"/>
  <c r="D229" i="24" s="1"/>
  <c r="E240" i="24"/>
  <c r="E229" i="24" s="1"/>
  <c r="G240" i="24"/>
  <c r="G229" i="24" s="1"/>
  <c r="F208" i="24"/>
  <c r="F197" i="24" s="1"/>
  <c r="G208" i="24"/>
  <c r="G197" i="24" s="1"/>
  <c r="H208" i="24"/>
  <c r="H197" i="24" s="1"/>
  <c r="I208" i="24"/>
  <c r="I197" i="24" s="1"/>
  <c r="D208" i="24"/>
  <c r="D197" i="24" s="1"/>
  <c r="E208" i="24"/>
  <c r="E197" i="24" s="1"/>
  <c r="H112" i="24"/>
  <c r="H101" i="24" s="1"/>
  <c r="G112" i="24"/>
  <c r="G101" i="24" s="1"/>
  <c r="F112" i="24"/>
  <c r="F101" i="24" s="1"/>
  <c r="E112" i="24"/>
  <c r="E101" i="24" s="1"/>
  <c r="H41" i="24"/>
  <c r="H43" i="24" s="1"/>
  <c r="F41" i="24"/>
  <c r="F43" i="24" s="1"/>
  <c r="D11" i="24"/>
  <c r="H201" i="24"/>
  <c r="H203" i="24" s="1"/>
  <c r="D169" i="24"/>
  <c r="D175" i="24"/>
  <c r="E175" i="24" s="1"/>
  <c r="I201" i="24"/>
  <c r="I203" i="24" s="1"/>
  <c r="H169" i="24"/>
  <c r="H171" i="24" s="1"/>
  <c r="G169" i="24"/>
  <c r="G171" i="24" s="1"/>
  <c r="I169" i="24"/>
  <c r="I171" i="24" s="1"/>
  <c r="F169" i="24"/>
  <c r="F171" i="24" s="1"/>
  <c r="E9" i="24"/>
  <c r="E11" i="24" s="1"/>
  <c r="F9" i="24"/>
  <c r="F11" i="24" s="1"/>
  <c r="D75" i="24"/>
  <c r="H9" i="24"/>
  <c r="H11" i="24" s="1"/>
  <c r="G9" i="24"/>
  <c r="G11" i="24" s="1"/>
  <c r="I9" i="24"/>
  <c r="I11" i="24" s="1"/>
  <c r="D233" i="24"/>
  <c r="E233" i="24"/>
  <c r="E235" i="24" s="1"/>
  <c r="H233" i="24"/>
  <c r="H235" i="24" s="1"/>
  <c r="G233" i="24"/>
  <c r="G235" i="24" s="1"/>
  <c r="F233" i="24"/>
  <c r="F235" i="24" s="1"/>
  <c r="G201" i="24"/>
  <c r="G203" i="24" s="1"/>
  <c r="D201" i="24"/>
  <c r="F201" i="24"/>
  <c r="F203" i="24" s="1"/>
  <c r="E239" i="24"/>
  <c r="D228" i="24"/>
  <c r="E207" i="24"/>
  <c r="D196" i="24"/>
  <c r="D132" i="24"/>
  <c r="D136" i="24" s="1"/>
  <c r="D140" i="24" s="1"/>
  <c r="E143" i="24"/>
  <c r="D101" i="24"/>
  <c r="D111" i="24"/>
  <c r="D79" i="24"/>
  <c r="E47" i="24"/>
  <c r="D36" i="24"/>
  <c r="D40" i="24" s="1"/>
  <c r="D44" i="24" s="1"/>
  <c r="D15" i="24"/>
  <c r="AL4" i="23"/>
  <c r="D232" i="24" l="1"/>
  <c r="D200" i="24"/>
  <c r="D171" i="24"/>
  <c r="D164" i="24"/>
  <c r="D168" i="24" s="1"/>
  <c r="D203" i="24"/>
  <c r="D235" i="24"/>
  <c r="E228" i="24"/>
  <c r="E232" i="24" s="1"/>
  <c r="E236" i="24" s="1"/>
  <c r="F239" i="24"/>
  <c r="F207" i="24"/>
  <c r="E196" i="24"/>
  <c r="E200" i="24" s="1"/>
  <c r="E204" i="24" s="1"/>
  <c r="F175" i="24"/>
  <c r="E164" i="24"/>
  <c r="E168" i="24" s="1"/>
  <c r="E172" i="24" s="1"/>
  <c r="F143" i="24"/>
  <c r="E132" i="24"/>
  <c r="E136" i="24" s="1"/>
  <c r="E140" i="24" s="1"/>
  <c r="E111" i="24"/>
  <c r="D100" i="24"/>
  <c r="D104" i="24" s="1"/>
  <c r="D108" i="24" s="1"/>
  <c r="E79" i="24"/>
  <c r="D68" i="24"/>
  <c r="D72" i="24" s="1"/>
  <c r="D76" i="24" s="1"/>
  <c r="F47" i="24"/>
  <c r="E36" i="24"/>
  <c r="E40" i="24" s="1"/>
  <c r="E44" i="24" s="1"/>
  <c r="E15" i="24"/>
  <c r="D4" i="24"/>
  <c r="D236" i="24" l="1"/>
  <c r="D204" i="24"/>
  <c r="D172" i="24"/>
  <c r="G239" i="24"/>
  <c r="F228" i="24"/>
  <c r="F232" i="24" s="1"/>
  <c r="F236" i="24" s="1"/>
  <c r="G207" i="24"/>
  <c r="F196" i="24"/>
  <c r="F200" i="24" s="1"/>
  <c r="F204" i="24" s="1"/>
  <c r="G175" i="24"/>
  <c r="F164" i="24"/>
  <c r="F168" i="24" s="1"/>
  <c r="F172" i="24" s="1"/>
  <c r="G143" i="24"/>
  <c r="F132" i="24"/>
  <c r="F136" i="24" s="1"/>
  <c r="F140" i="24" s="1"/>
  <c r="F111" i="24"/>
  <c r="E100" i="24"/>
  <c r="E104" i="24" s="1"/>
  <c r="E108" i="24" s="1"/>
  <c r="F79" i="24"/>
  <c r="E68" i="24"/>
  <c r="E72" i="24" s="1"/>
  <c r="E76" i="24" s="1"/>
  <c r="G47" i="24"/>
  <c r="F36" i="24"/>
  <c r="F40" i="24" s="1"/>
  <c r="F44" i="24" s="1"/>
  <c r="E4" i="24"/>
  <c r="F15" i="24"/>
  <c r="H239" i="24" l="1"/>
  <c r="G228" i="24"/>
  <c r="G232" i="24" s="1"/>
  <c r="G236" i="24" s="1"/>
  <c r="H207" i="24"/>
  <c r="G196" i="24"/>
  <c r="G200" i="24" s="1"/>
  <c r="G204" i="24" s="1"/>
  <c r="H175" i="24"/>
  <c r="G164" i="24"/>
  <c r="G168" i="24" s="1"/>
  <c r="G172" i="24" s="1"/>
  <c r="H143" i="24"/>
  <c r="G132" i="24"/>
  <c r="G136" i="24" s="1"/>
  <c r="G140" i="24" s="1"/>
  <c r="G111" i="24"/>
  <c r="F100" i="24"/>
  <c r="F104" i="24" s="1"/>
  <c r="F108" i="24" s="1"/>
  <c r="G79" i="24"/>
  <c r="F68" i="24"/>
  <c r="F72" i="24" s="1"/>
  <c r="F76" i="24" s="1"/>
  <c r="H47" i="24"/>
  <c r="G36" i="24"/>
  <c r="G40" i="24" s="1"/>
  <c r="G44" i="24" s="1"/>
  <c r="F4" i="24"/>
  <c r="G15" i="24"/>
  <c r="B12" i="27" l="1"/>
  <c r="B29" i="27"/>
  <c r="B32" i="27"/>
  <c r="B15" i="27"/>
  <c r="B33" i="27"/>
  <c r="B16" i="27"/>
  <c r="B34" i="27"/>
  <c r="B17" i="27"/>
  <c r="B18" i="27"/>
  <c r="B35" i="27"/>
  <c r="I239" i="24"/>
  <c r="I228" i="24" s="1"/>
  <c r="I232" i="24" s="1"/>
  <c r="I236" i="24" s="1"/>
  <c r="H228" i="24"/>
  <c r="H232" i="24" s="1"/>
  <c r="H236" i="24" s="1"/>
  <c r="I207" i="24"/>
  <c r="I196" i="24" s="1"/>
  <c r="I200" i="24" s="1"/>
  <c r="I204" i="24" s="1"/>
  <c r="H196" i="24"/>
  <c r="H200" i="24" s="1"/>
  <c r="H204" i="24" s="1"/>
  <c r="I175" i="24"/>
  <c r="I164" i="24" s="1"/>
  <c r="I168" i="24" s="1"/>
  <c r="I172" i="24" s="1"/>
  <c r="H164" i="24"/>
  <c r="H168" i="24" s="1"/>
  <c r="H172" i="24" s="1"/>
  <c r="I143" i="24"/>
  <c r="I132" i="24" s="1"/>
  <c r="I136" i="24" s="1"/>
  <c r="I140" i="24" s="1"/>
  <c r="H132" i="24"/>
  <c r="H136" i="24" s="1"/>
  <c r="H140" i="24" s="1"/>
  <c r="H111" i="24"/>
  <c r="G100" i="24"/>
  <c r="G104" i="24" s="1"/>
  <c r="G108" i="24" s="1"/>
  <c r="H79" i="24"/>
  <c r="G68" i="24"/>
  <c r="G72" i="24" s="1"/>
  <c r="G76" i="24" s="1"/>
  <c r="I47" i="24"/>
  <c r="I36" i="24" s="1"/>
  <c r="I40" i="24" s="1"/>
  <c r="I44" i="24" s="1"/>
  <c r="H36" i="24"/>
  <c r="H40" i="24" s="1"/>
  <c r="H44" i="24" s="1"/>
  <c r="G4" i="24"/>
  <c r="H15" i="24"/>
  <c r="B30" i="27" l="1"/>
  <c r="B13" i="27"/>
  <c r="B31" i="27"/>
  <c r="B14" i="27"/>
  <c r="I111" i="24"/>
  <c r="I100" i="24" s="1"/>
  <c r="I104" i="24" s="1"/>
  <c r="I108" i="24" s="1"/>
  <c r="H100" i="24"/>
  <c r="H104" i="24" s="1"/>
  <c r="H108" i="24" s="1"/>
  <c r="I79" i="24"/>
  <c r="I68" i="24" s="1"/>
  <c r="I72" i="24" s="1"/>
  <c r="I76" i="24" s="1"/>
  <c r="H68" i="24"/>
  <c r="H72" i="24" s="1"/>
  <c r="H76" i="24" s="1"/>
  <c r="H4" i="24"/>
  <c r="I15" i="24"/>
  <c r="I4" i="24" l="1"/>
  <c r="G1" i="14" l="1"/>
  <c r="B5" i="20"/>
  <c r="B6" i="20"/>
  <c r="L38" i="14" l="1"/>
  <c r="L39" i="14" s="1"/>
  <c r="L40" i="14" s="1"/>
  <c r="B67" i="27"/>
  <c r="B55" i="27"/>
  <c r="G30" i="14"/>
  <c r="F30" i="14"/>
  <c r="E30" i="14"/>
  <c r="D30" i="14"/>
  <c r="C30" i="14"/>
  <c r="I30" i="14"/>
  <c r="H30" i="14"/>
  <c r="J30" i="14"/>
  <c r="B30" i="14"/>
  <c r="B23" i="14"/>
  <c r="B22" i="14"/>
  <c r="G26" i="14"/>
  <c r="G16" i="14" s="1"/>
  <c r="F26" i="14"/>
  <c r="E26" i="14"/>
  <c r="C16" i="24"/>
  <c r="B40" i="27" l="1"/>
  <c r="L45" i="16"/>
  <c r="L5" i="14"/>
  <c r="K20" i="20"/>
  <c r="L17" i="16"/>
  <c r="L40" i="16" s="1"/>
  <c r="J31" i="16"/>
  <c r="F16" i="14"/>
  <c r="E16" i="14"/>
  <c r="I31" i="16"/>
  <c r="F16" i="24"/>
  <c r="F5" i="24" s="1"/>
  <c r="F8" i="24" s="1"/>
  <c r="F12" i="24" s="1"/>
  <c r="E16" i="24"/>
  <c r="E5" i="24" s="1"/>
  <c r="E8" i="24" s="1"/>
  <c r="E12" i="24" s="1"/>
  <c r="G16" i="24"/>
  <c r="G5" i="24" s="1"/>
  <c r="G8" i="24" s="1"/>
  <c r="G12" i="24" s="1"/>
  <c r="D16" i="24"/>
  <c r="D5" i="24" s="1"/>
  <c r="D8" i="24" s="1"/>
  <c r="D12" i="24" s="1"/>
  <c r="I16" i="24"/>
  <c r="I5" i="24" s="1"/>
  <c r="I8" i="24" s="1"/>
  <c r="I12" i="24" s="1"/>
  <c r="H16" i="24"/>
  <c r="H5" i="24" s="1"/>
  <c r="H8" i="24" s="1"/>
  <c r="H12" i="24" s="1"/>
  <c r="E13" i="14"/>
  <c r="E11" i="16" s="1"/>
  <c r="E42" i="16" s="1"/>
  <c r="F13" i="14"/>
  <c r="F11" i="16" s="1"/>
  <c r="F42" i="16" s="1"/>
  <c r="G11" i="16"/>
  <c r="G42" i="16" s="1"/>
  <c r="H11" i="16"/>
  <c r="H42" i="16" s="1"/>
  <c r="I11" i="16"/>
  <c r="I42" i="16" s="1"/>
  <c r="D13" i="14"/>
  <c r="D11" i="16" s="1"/>
  <c r="D42" i="16" s="1"/>
  <c r="C13" i="14"/>
  <c r="C11" i="16" s="1"/>
  <c r="C42" i="16" s="1"/>
  <c r="B13" i="14"/>
  <c r="B11" i="16" s="1"/>
  <c r="B42" i="16" s="1"/>
  <c r="B28" i="27" l="1"/>
  <c r="B25" i="27" s="1"/>
  <c r="B11" i="27"/>
  <c r="B8" i="27" s="1"/>
  <c r="K18" i="14"/>
  <c r="J36" i="16"/>
  <c r="K4" i="16"/>
  <c r="K6" i="16" s="1"/>
  <c r="K15" i="16" s="1"/>
  <c r="C52" i="14" l="1"/>
  <c r="B52" i="14"/>
  <c r="C50" i="14"/>
  <c r="B50" i="14"/>
  <c r="V10" i="10" l="1"/>
  <c r="F23" i="17" l="1"/>
  <c r="G23" i="17" s="1"/>
  <c r="F24" i="17"/>
  <c r="G24" i="17" s="1"/>
  <c r="F25" i="17"/>
  <c r="G25" i="17" s="1"/>
  <c r="F26" i="17"/>
  <c r="G26" i="17" s="1"/>
  <c r="F392" i="17"/>
  <c r="G392" i="17" s="1"/>
  <c r="F28" i="17"/>
  <c r="G28" i="17" s="1"/>
  <c r="F368" i="17"/>
  <c r="F30" i="17"/>
  <c r="G30" i="17" s="1"/>
  <c r="F31" i="17"/>
  <c r="G31" i="17" s="1"/>
  <c r="F32" i="17"/>
  <c r="G32" i="17" s="1"/>
  <c r="F33" i="17"/>
  <c r="G33" i="17" s="1"/>
  <c r="F34" i="17"/>
  <c r="G34" i="17" s="1"/>
  <c r="F35" i="17"/>
  <c r="G35" i="17" s="1"/>
  <c r="F36" i="17"/>
  <c r="G36" i="17" s="1"/>
  <c r="F37" i="17"/>
  <c r="G37" i="17" s="1"/>
  <c r="F38" i="17"/>
  <c r="G38" i="17" s="1"/>
  <c r="F388" i="17"/>
  <c r="F40" i="17"/>
  <c r="G40" i="17" s="1"/>
  <c r="F41" i="17"/>
  <c r="G41" i="17" s="1"/>
  <c r="F42" i="17"/>
  <c r="G42" i="17" s="1"/>
  <c r="F43" i="17"/>
  <c r="G43" i="17" s="1"/>
  <c r="F44" i="17"/>
  <c r="G44" i="17" s="1"/>
  <c r="F45" i="17"/>
  <c r="G45" i="17" s="1"/>
  <c r="F46" i="17"/>
  <c r="G46" i="17" s="1"/>
  <c r="F47" i="17"/>
  <c r="G47" i="17" s="1"/>
  <c r="F48" i="17"/>
  <c r="G48" i="17" s="1"/>
  <c r="F49" i="17"/>
  <c r="G49" i="17" s="1"/>
  <c r="F50" i="17"/>
  <c r="G50" i="17" s="1"/>
  <c r="F51" i="17"/>
  <c r="G51" i="17" s="1"/>
  <c r="F52" i="17"/>
  <c r="G52" i="17" s="1"/>
  <c r="F53" i="17"/>
  <c r="G53" i="17" s="1"/>
  <c r="F54" i="17"/>
  <c r="G54" i="17" s="1"/>
  <c r="F55" i="17"/>
  <c r="G55" i="17" s="1"/>
  <c r="F56" i="17"/>
  <c r="G56" i="17" s="1"/>
  <c r="F57" i="17"/>
  <c r="G57" i="17" s="1"/>
  <c r="F58" i="17"/>
  <c r="G58" i="17" s="1"/>
  <c r="F377" i="17"/>
  <c r="F60" i="17"/>
  <c r="G60" i="17" s="1"/>
  <c r="F61" i="17"/>
  <c r="G61" i="17" s="1"/>
  <c r="F62" i="17"/>
  <c r="G62" i="17" s="1"/>
  <c r="F63" i="17"/>
  <c r="G63" i="17" s="1"/>
  <c r="F64" i="17"/>
  <c r="G64" i="17" s="1"/>
  <c r="F65" i="17"/>
  <c r="G65" i="17" s="1"/>
  <c r="F66" i="17"/>
  <c r="G66" i="17" s="1"/>
  <c r="F67" i="17"/>
  <c r="G67" i="17" s="1"/>
  <c r="F68" i="17"/>
  <c r="G68" i="17" s="1"/>
  <c r="F69" i="17"/>
  <c r="G69" i="17" s="1"/>
  <c r="F70" i="17"/>
  <c r="G70" i="17" s="1"/>
  <c r="F71" i="17"/>
  <c r="G71" i="17" s="1"/>
  <c r="F72" i="17"/>
  <c r="G72" i="17" s="1"/>
  <c r="F378" i="17"/>
  <c r="G378" i="17" s="1"/>
  <c r="F74" i="17"/>
  <c r="G74" i="17" s="1"/>
  <c r="F75" i="17"/>
  <c r="G75" i="17" s="1"/>
  <c r="F76" i="17"/>
  <c r="G76" i="17" s="1"/>
  <c r="F77" i="17"/>
  <c r="G77" i="17" s="1"/>
  <c r="F78" i="17"/>
  <c r="G78" i="17" s="1"/>
  <c r="F79" i="17"/>
  <c r="G79" i="17" s="1"/>
  <c r="F80" i="17"/>
  <c r="G80" i="17" s="1"/>
  <c r="F81" i="17"/>
  <c r="G81" i="17" s="1"/>
  <c r="F369" i="17"/>
  <c r="G369" i="17" s="1"/>
  <c r="F83" i="17"/>
  <c r="G83" i="17" s="1"/>
  <c r="F84" i="17"/>
  <c r="G84" i="17" s="1"/>
  <c r="F85" i="17"/>
  <c r="G85" i="17" s="1"/>
  <c r="F86" i="17"/>
  <c r="G86" i="17" s="1"/>
  <c r="F87" i="17"/>
  <c r="G87" i="17" s="1"/>
  <c r="F88" i="17"/>
  <c r="G88" i="17" s="1"/>
  <c r="F89" i="17"/>
  <c r="G89" i="17" s="1"/>
  <c r="F90" i="17"/>
  <c r="G90" i="17" s="1"/>
  <c r="F91" i="17"/>
  <c r="G91" i="17" s="1"/>
  <c r="F92" i="17"/>
  <c r="G92" i="17" s="1"/>
  <c r="F93" i="17"/>
  <c r="G93" i="17" s="1"/>
  <c r="F94" i="17"/>
  <c r="G94" i="17" s="1"/>
  <c r="F95" i="17"/>
  <c r="G95" i="17" s="1"/>
  <c r="F96" i="17"/>
  <c r="G96" i="17" s="1"/>
  <c r="F97" i="17"/>
  <c r="G97" i="17" s="1"/>
  <c r="F98" i="17"/>
  <c r="G98" i="17" s="1"/>
  <c r="F99" i="17"/>
  <c r="G99" i="17" s="1"/>
  <c r="F100" i="17"/>
  <c r="G100" i="17" s="1"/>
  <c r="F101" i="17"/>
  <c r="G101" i="17" s="1"/>
  <c r="F102" i="17"/>
  <c r="G102" i="17" s="1"/>
  <c r="F103" i="17"/>
  <c r="G103" i="17" s="1"/>
  <c r="F104" i="17"/>
  <c r="G104" i="17" s="1"/>
  <c r="F105" i="17"/>
  <c r="G105" i="17" s="1"/>
  <c r="F106" i="17"/>
  <c r="G106" i="17" s="1"/>
  <c r="F107" i="17"/>
  <c r="G107" i="17" s="1"/>
  <c r="F108" i="17"/>
  <c r="G108" i="17" s="1"/>
  <c r="F109" i="17"/>
  <c r="G109" i="17" s="1"/>
  <c r="F110" i="17"/>
  <c r="G110" i="17" s="1"/>
  <c r="F111" i="17"/>
  <c r="G111" i="17" s="1"/>
  <c r="F112" i="17"/>
  <c r="G112" i="17" s="1"/>
  <c r="F113" i="17"/>
  <c r="G113" i="17" s="1"/>
  <c r="F114" i="17"/>
  <c r="G114" i="17" s="1"/>
  <c r="F115" i="17"/>
  <c r="G115" i="17" s="1"/>
  <c r="F116" i="17"/>
  <c r="G116" i="17" s="1"/>
  <c r="F117" i="17"/>
  <c r="G117" i="17" s="1"/>
  <c r="F118" i="17"/>
  <c r="G118" i="17" s="1"/>
  <c r="F119" i="17"/>
  <c r="G119" i="17" s="1"/>
  <c r="F120" i="17"/>
  <c r="G120" i="17" s="1"/>
  <c r="F121" i="17"/>
  <c r="G121" i="17" s="1"/>
  <c r="F379" i="17"/>
  <c r="G379" i="17" s="1"/>
  <c r="F123" i="17"/>
  <c r="G123" i="17" s="1"/>
  <c r="F124" i="17"/>
  <c r="G124" i="17" s="1"/>
  <c r="F125" i="17"/>
  <c r="G125" i="17" s="1"/>
  <c r="F126" i="17"/>
  <c r="G126" i="17" s="1"/>
  <c r="F127" i="17"/>
  <c r="G127" i="17" s="1"/>
  <c r="F128" i="17"/>
  <c r="G128" i="17" s="1"/>
  <c r="F129" i="17"/>
  <c r="G129" i="17" s="1"/>
  <c r="F130" i="17"/>
  <c r="G130" i="17" s="1"/>
  <c r="F131" i="17"/>
  <c r="G131" i="17" s="1"/>
  <c r="F132" i="17"/>
  <c r="G132" i="17" s="1"/>
  <c r="F133" i="17"/>
  <c r="G133" i="17" s="1"/>
  <c r="F134" i="17"/>
  <c r="G134" i="17" s="1"/>
  <c r="F135" i="17"/>
  <c r="G135" i="17" s="1"/>
  <c r="F136" i="17"/>
  <c r="G136" i="17" s="1"/>
  <c r="F137" i="17"/>
  <c r="G137" i="17" s="1"/>
  <c r="F138" i="17"/>
  <c r="G138" i="17" s="1"/>
  <c r="F384" i="17"/>
  <c r="F140" i="17"/>
  <c r="G140" i="17" s="1"/>
  <c r="F141" i="17"/>
  <c r="G141" i="17" s="1"/>
  <c r="F142" i="17"/>
  <c r="G142" i="17" s="1"/>
  <c r="F143" i="17"/>
  <c r="G143" i="17" s="1"/>
  <c r="F144" i="17"/>
  <c r="G144" i="17" s="1"/>
  <c r="F145" i="17"/>
  <c r="G145" i="17" s="1"/>
  <c r="F146" i="17"/>
  <c r="G146" i="17" s="1"/>
  <c r="F147" i="17"/>
  <c r="G147" i="17" s="1"/>
  <c r="F148" i="17"/>
  <c r="G148" i="17" s="1"/>
  <c r="F149" i="17"/>
  <c r="G149" i="17" s="1"/>
  <c r="F150" i="17"/>
  <c r="G150" i="17" s="1"/>
  <c r="F151" i="17"/>
  <c r="G151" i="17" s="1"/>
  <c r="F152" i="17"/>
  <c r="G152" i="17" s="1"/>
  <c r="F153" i="17"/>
  <c r="G153" i="17" s="1"/>
  <c r="F154" i="17"/>
  <c r="G154" i="17" s="1"/>
  <c r="F155" i="17"/>
  <c r="G155" i="17" s="1"/>
  <c r="F156" i="17"/>
  <c r="G156" i="17" s="1"/>
  <c r="F157" i="17"/>
  <c r="G157" i="17" s="1"/>
  <c r="F158" i="17"/>
  <c r="G158" i="17" s="1"/>
  <c r="F159" i="17"/>
  <c r="G159" i="17" s="1"/>
  <c r="F160" i="17"/>
  <c r="G160" i="17" s="1"/>
  <c r="F161" i="17"/>
  <c r="G161" i="17" s="1"/>
  <c r="F162" i="17"/>
  <c r="G162" i="17" s="1"/>
  <c r="F163" i="17"/>
  <c r="G163" i="17" s="1"/>
  <c r="F164" i="17"/>
  <c r="G164" i="17" s="1"/>
  <c r="F165" i="17"/>
  <c r="G165" i="17" s="1"/>
  <c r="F166" i="17"/>
  <c r="G166" i="17" s="1"/>
  <c r="F167" i="17"/>
  <c r="G167" i="17" s="1"/>
  <c r="F168" i="17"/>
  <c r="G168" i="17" s="1"/>
  <c r="F169" i="17"/>
  <c r="G169" i="17" s="1"/>
  <c r="F170" i="17"/>
  <c r="G170" i="17" s="1"/>
  <c r="F171" i="17"/>
  <c r="G171" i="17" s="1"/>
  <c r="F172" i="17"/>
  <c r="G172" i="17" s="1"/>
  <c r="F373" i="17"/>
  <c r="F174" i="17"/>
  <c r="G174" i="17" s="1"/>
  <c r="F175" i="17"/>
  <c r="G175" i="17" s="1"/>
  <c r="F385" i="17"/>
  <c r="G385" i="17" s="1"/>
  <c r="F177" i="17"/>
  <c r="G177" i="17" s="1"/>
  <c r="F178" i="17"/>
  <c r="G178" i="17" s="1"/>
  <c r="F179" i="17"/>
  <c r="G179" i="17" s="1"/>
  <c r="F180" i="17"/>
  <c r="G180" i="17" s="1"/>
  <c r="F181" i="17"/>
  <c r="G181" i="17" s="1"/>
  <c r="F182" i="17"/>
  <c r="G182" i="17" s="1"/>
  <c r="F183" i="17"/>
  <c r="G183" i="17" s="1"/>
  <c r="F184" i="17"/>
  <c r="G184" i="17" s="1"/>
  <c r="F185" i="17"/>
  <c r="G185" i="17" s="1"/>
  <c r="F186" i="17"/>
  <c r="G186" i="17" s="1"/>
  <c r="F187" i="17"/>
  <c r="G187" i="17" s="1"/>
  <c r="F188" i="17"/>
  <c r="G188" i="17" s="1"/>
  <c r="F189" i="17"/>
  <c r="G189" i="17" s="1"/>
  <c r="F190" i="17"/>
  <c r="G190" i="17" s="1"/>
  <c r="F370" i="17"/>
  <c r="G370" i="17" s="1"/>
  <c r="F192" i="17"/>
  <c r="G192" i="17" s="1"/>
  <c r="F193" i="17"/>
  <c r="G193" i="17" s="1"/>
  <c r="F194" i="17"/>
  <c r="G194" i="17" s="1"/>
  <c r="F195" i="17"/>
  <c r="G195" i="17" s="1"/>
  <c r="F196" i="17"/>
  <c r="G196" i="17" s="1"/>
  <c r="F197" i="17"/>
  <c r="G197" i="17" s="1"/>
  <c r="F198" i="17"/>
  <c r="G198" i="17" s="1"/>
  <c r="F199" i="17"/>
  <c r="G199" i="17" s="1"/>
  <c r="F200" i="17"/>
  <c r="G200" i="17" s="1"/>
  <c r="F201" i="17"/>
  <c r="G201" i="17" s="1"/>
  <c r="F202" i="17"/>
  <c r="G202" i="17" s="1"/>
  <c r="F203" i="17"/>
  <c r="G203" i="17" s="1"/>
  <c r="F204" i="17"/>
  <c r="G204" i="17" s="1"/>
  <c r="F380" i="17"/>
  <c r="G380" i="17" s="1"/>
  <c r="F206" i="17"/>
  <c r="G206" i="17" s="1"/>
  <c r="F207" i="17"/>
  <c r="G207" i="17" s="1"/>
  <c r="F208" i="17"/>
  <c r="G208" i="17" s="1"/>
  <c r="F209" i="17"/>
  <c r="G209" i="17" s="1"/>
  <c r="F210" i="17"/>
  <c r="G210" i="17" s="1"/>
  <c r="F211" i="17"/>
  <c r="G211" i="17" s="1"/>
  <c r="F212" i="17"/>
  <c r="G212" i="17" s="1"/>
  <c r="F213" i="17"/>
  <c r="G213" i="17" s="1"/>
  <c r="F214" i="17"/>
  <c r="G214" i="17" s="1"/>
  <c r="F215" i="17"/>
  <c r="G215" i="17" s="1"/>
  <c r="F216" i="17"/>
  <c r="G216" i="17" s="1"/>
  <c r="F217" i="17"/>
  <c r="G217" i="17" s="1"/>
  <c r="F218" i="17"/>
  <c r="G218" i="17" s="1"/>
  <c r="F219" i="17"/>
  <c r="G219" i="17" s="1"/>
  <c r="F220" i="17"/>
  <c r="G220" i="17" s="1"/>
  <c r="F221" i="17"/>
  <c r="G221" i="17" s="1"/>
  <c r="F222" i="17"/>
  <c r="G222" i="17" s="1"/>
  <c r="F223" i="17"/>
  <c r="G223" i="17" s="1"/>
  <c r="F224" i="17"/>
  <c r="G224" i="17" s="1"/>
  <c r="F225" i="17"/>
  <c r="G225" i="17" s="1"/>
  <c r="F226" i="17"/>
  <c r="G226" i="17" s="1"/>
  <c r="F227" i="17"/>
  <c r="G227" i="17" s="1"/>
  <c r="F228" i="17"/>
  <c r="G228" i="17" s="1"/>
  <c r="F229" i="17"/>
  <c r="G229" i="17" s="1"/>
  <c r="F230" i="17"/>
  <c r="G230" i="17" s="1"/>
  <c r="F231" i="17"/>
  <c r="G231" i="17" s="1"/>
  <c r="F232" i="17"/>
  <c r="G232" i="17" s="1"/>
  <c r="F233" i="17"/>
  <c r="G233" i="17" s="1"/>
  <c r="F234" i="17"/>
  <c r="G234" i="17" s="1"/>
  <c r="F235" i="17"/>
  <c r="G235" i="17" s="1"/>
  <c r="F236" i="17"/>
  <c r="G236" i="17" s="1"/>
  <c r="F237" i="17"/>
  <c r="G237" i="17" s="1"/>
  <c r="F238" i="17"/>
  <c r="G238" i="17" s="1"/>
  <c r="F239" i="17"/>
  <c r="G239" i="17" s="1"/>
  <c r="F240" i="17"/>
  <c r="G240" i="17" s="1"/>
  <c r="F241" i="17"/>
  <c r="G241" i="17" s="1"/>
  <c r="F242" i="17"/>
  <c r="G242" i="17" s="1"/>
  <c r="F243" i="17"/>
  <c r="G243" i="17" s="1"/>
  <c r="F244" i="17"/>
  <c r="G244" i="17" s="1"/>
  <c r="F245" i="17"/>
  <c r="G245" i="17" s="1"/>
  <c r="F246" i="17"/>
  <c r="G246" i="17" s="1"/>
  <c r="F247" i="17"/>
  <c r="G247" i="17" s="1"/>
  <c r="F389" i="17"/>
  <c r="G389" i="17" s="1"/>
  <c r="F249" i="17"/>
  <c r="G249" i="17" s="1"/>
  <c r="F250" i="17"/>
  <c r="G250" i="17" s="1"/>
  <c r="F251" i="17"/>
  <c r="G251" i="17" s="1"/>
  <c r="F252" i="17"/>
  <c r="G252" i="17" s="1"/>
  <c r="F253" i="17"/>
  <c r="G253" i="17" s="1"/>
  <c r="F254" i="17"/>
  <c r="G254" i="17" s="1"/>
  <c r="F255" i="17"/>
  <c r="G255" i="17" s="1"/>
  <c r="F256" i="17"/>
  <c r="G256" i="17" s="1"/>
  <c r="F257" i="17"/>
  <c r="G257" i="17" s="1"/>
  <c r="F258" i="17"/>
  <c r="G258" i="17" s="1"/>
  <c r="F259" i="17"/>
  <c r="G259" i="17" s="1"/>
  <c r="F260" i="17"/>
  <c r="G260" i="17" s="1"/>
  <c r="F261" i="17"/>
  <c r="G261" i="17" s="1"/>
  <c r="F262" i="17"/>
  <c r="G262" i="17" s="1"/>
  <c r="F263" i="17"/>
  <c r="G263" i="17" s="1"/>
  <c r="F264" i="17"/>
  <c r="G264" i="17" s="1"/>
  <c r="F265" i="17"/>
  <c r="G265" i="17" s="1"/>
  <c r="F266" i="17"/>
  <c r="G266" i="17" s="1"/>
  <c r="F267" i="17"/>
  <c r="G267" i="17" s="1"/>
  <c r="F268" i="17"/>
  <c r="G268" i="17" s="1"/>
  <c r="F269" i="17"/>
  <c r="G269" i="17" s="1"/>
  <c r="F270" i="17"/>
  <c r="G270" i="17" s="1"/>
  <c r="F271" i="17"/>
  <c r="G271" i="17" s="1"/>
  <c r="F272" i="17"/>
  <c r="G272" i="17" s="1"/>
  <c r="F273" i="17"/>
  <c r="G273" i="17" s="1"/>
  <c r="F274" i="17"/>
  <c r="G274" i="17" s="1"/>
  <c r="F275" i="17"/>
  <c r="G275" i="17" s="1"/>
  <c r="F276" i="17"/>
  <c r="G276" i="17" s="1"/>
  <c r="F277" i="17"/>
  <c r="G277" i="17" s="1"/>
  <c r="F278" i="17"/>
  <c r="G278" i="17" s="1"/>
  <c r="F279" i="17"/>
  <c r="G279" i="17" s="1"/>
  <c r="F280" i="17"/>
  <c r="G280" i="17" s="1"/>
  <c r="F281" i="17"/>
  <c r="G281" i="17" s="1"/>
  <c r="F282" i="17"/>
  <c r="G282" i="17" s="1"/>
  <c r="F283" i="17"/>
  <c r="G283" i="17" s="1"/>
  <c r="F284" i="17"/>
  <c r="G284" i="17" s="1"/>
  <c r="F285" i="17"/>
  <c r="G285" i="17" s="1"/>
  <c r="F286" i="17"/>
  <c r="G286" i="17" s="1"/>
  <c r="F287" i="17"/>
  <c r="G287" i="17" s="1"/>
  <c r="F288" i="17"/>
  <c r="G288" i="17" s="1"/>
  <c r="F289" i="17"/>
  <c r="G289" i="17" s="1"/>
  <c r="F290" i="17"/>
  <c r="G290" i="17" s="1"/>
  <c r="F291" i="17"/>
  <c r="G291" i="17" s="1"/>
  <c r="F292" i="17"/>
  <c r="G292" i="17" s="1"/>
  <c r="F293" i="17"/>
  <c r="G293" i="17" s="1"/>
  <c r="F294" i="17"/>
  <c r="G294" i="17" s="1"/>
  <c r="F295" i="17"/>
  <c r="G295" i="17" s="1"/>
  <c r="F296" i="17"/>
  <c r="G296" i="17" s="1"/>
  <c r="F297" i="17"/>
  <c r="G297" i="17" s="1"/>
  <c r="F298" i="17"/>
  <c r="G298" i="17" s="1"/>
  <c r="F299" i="17"/>
  <c r="G299" i="17" s="1"/>
  <c r="F300" i="17"/>
  <c r="G300" i="17" s="1"/>
  <c r="F301" i="17"/>
  <c r="G301" i="17" s="1"/>
  <c r="F374" i="17"/>
  <c r="G374" i="17" s="1"/>
  <c r="F303" i="17"/>
  <c r="G303" i="17" s="1"/>
  <c r="F304" i="17"/>
  <c r="G304" i="17" s="1"/>
  <c r="F305" i="17"/>
  <c r="G305" i="17" s="1"/>
  <c r="F306" i="17"/>
  <c r="G306" i="17" s="1"/>
  <c r="F307" i="17"/>
  <c r="G307" i="17" s="1"/>
  <c r="F308" i="17"/>
  <c r="G308" i="17" s="1"/>
  <c r="F309" i="17"/>
  <c r="G309" i="17" s="1"/>
  <c r="F310" i="17"/>
  <c r="G310" i="17" s="1"/>
  <c r="F311" i="17"/>
  <c r="G311" i="17" s="1"/>
  <c r="F312" i="17"/>
  <c r="G312" i="17" s="1"/>
  <c r="F313" i="17"/>
  <c r="G313" i="17" s="1"/>
  <c r="F314" i="17"/>
  <c r="G314" i="17" s="1"/>
  <c r="F315" i="17"/>
  <c r="G315" i="17" s="1"/>
  <c r="F316" i="17"/>
  <c r="G316" i="17" s="1"/>
  <c r="F317" i="17"/>
  <c r="G317" i="17" s="1"/>
  <c r="F318" i="17"/>
  <c r="G318" i="17" s="1"/>
  <c r="F319" i="17"/>
  <c r="G319" i="17" s="1"/>
  <c r="F320" i="17"/>
  <c r="G320" i="17" s="1"/>
  <c r="F321" i="17"/>
  <c r="G321" i="17" s="1"/>
  <c r="F322" i="17"/>
  <c r="G322" i="17" s="1"/>
  <c r="F323" i="17"/>
  <c r="G323" i="17" s="1"/>
  <c r="F324" i="17"/>
  <c r="G324" i="17" s="1"/>
  <c r="F325" i="17"/>
  <c r="G325" i="17" s="1"/>
  <c r="F326" i="17"/>
  <c r="G326" i="17" s="1"/>
  <c r="F327" i="17"/>
  <c r="G327" i="17" s="1"/>
  <c r="F328" i="17"/>
  <c r="G328" i="17" s="1"/>
  <c r="F329" i="17"/>
  <c r="G329" i="17" s="1"/>
  <c r="F330" i="17"/>
  <c r="G330" i="17" s="1"/>
  <c r="F331" i="17"/>
  <c r="G331" i="17" s="1"/>
  <c r="F332" i="17"/>
  <c r="G332" i="17" s="1"/>
  <c r="F333" i="17"/>
  <c r="G333" i="17" s="1"/>
  <c r="F393" i="17"/>
  <c r="G393" i="17" s="1"/>
  <c r="F335" i="17"/>
  <c r="G335" i="17" s="1"/>
  <c r="F336" i="17"/>
  <c r="G336" i="17" s="1"/>
  <c r="F337" i="17"/>
  <c r="G337" i="17" s="1"/>
  <c r="F338" i="17"/>
  <c r="G338" i="17" s="1"/>
  <c r="F339" i="17"/>
  <c r="G339" i="17" s="1"/>
  <c r="F340" i="17"/>
  <c r="G340" i="17" s="1"/>
  <c r="F341" i="17"/>
  <c r="G341" i="17" s="1"/>
  <c r="F342" i="17"/>
  <c r="G342" i="17" s="1"/>
  <c r="F343" i="17"/>
  <c r="G343" i="17" s="1"/>
  <c r="F344" i="17"/>
  <c r="G344" i="17" s="1"/>
  <c r="F345" i="17"/>
  <c r="G345" i="17" s="1"/>
  <c r="F346" i="17"/>
  <c r="G346" i="17" s="1"/>
  <c r="F347" i="17"/>
  <c r="G347" i="17" s="1"/>
  <c r="F348" i="17"/>
  <c r="G348" i="17" s="1"/>
  <c r="F349" i="17"/>
  <c r="G349" i="17" s="1"/>
  <c r="F350" i="17"/>
  <c r="G350" i="17" s="1"/>
  <c r="F351" i="17"/>
  <c r="G351" i="17" s="1"/>
  <c r="F352" i="17"/>
  <c r="G352" i="17" s="1"/>
  <c r="F353" i="17"/>
  <c r="G353" i="17" s="1"/>
  <c r="F354" i="17"/>
  <c r="G354" i="17" s="1"/>
  <c r="F355" i="17"/>
  <c r="G355" i="17" s="1"/>
  <c r="F356" i="17"/>
  <c r="G356" i="17" s="1"/>
  <c r="F357" i="17"/>
  <c r="G357" i="17" s="1"/>
  <c r="F358" i="17"/>
  <c r="G358" i="17" s="1"/>
  <c r="F359" i="17"/>
  <c r="G359" i="17" s="1"/>
  <c r="F360" i="17"/>
  <c r="G360" i="17" s="1"/>
  <c r="F361" i="17"/>
  <c r="G361" i="17" s="1"/>
  <c r="F362" i="17"/>
  <c r="G362" i="17" s="1"/>
  <c r="F363" i="17"/>
  <c r="G363" i="17" s="1"/>
  <c r="F364" i="17"/>
  <c r="G364" i="17" s="1"/>
  <c r="F365" i="17"/>
  <c r="G365" i="17" s="1"/>
  <c r="F366" i="17"/>
  <c r="G366" i="17" s="1"/>
  <c r="F13" i="17"/>
  <c r="G13" i="17" s="1"/>
  <c r="F14" i="17"/>
  <c r="G14" i="17" s="1"/>
  <c r="F15" i="17"/>
  <c r="G15" i="17" s="1"/>
  <c r="F16" i="17"/>
  <c r="G16" i="17" s="1"/>
  <c r="F17" i="17"/>
  <c r="G17" i="17" s="1"/>
  <c r="F18" i="17"/>
  <c r="G18" i="17" s="1"/>
  <c r="F19" i="17"/>
  <c r="G19" i="17" s="1"/>
  <c r="F20" i="17"/>
  <c r="G20" i="17" s="1"/>
  <c r="F21" i="17"/>
  <c r="G21" i="17" s="1"/>
  <c r="F22" i="17"/>
  <c r="G22" i="17" s="1"/>
  <c r="F12" i="17"/>
  <c r="G12" i="17" s="1"/>
  <c r="G388" i="17" l="1"/>
  <c r="G390" i="17" s="1"/>
  <c r="D17" i="14" s="1"/>
  <c r="F390" i="17"/>
  <c r="G384" i="17"/>
  <c r="G386" i="17" s="1"/>
  <c r="F386" i="17"/>
  <c r="G377" i="17"/>
  <c r="G382" i="17" s="1"/>
  <c r="F382" i="17"/>
  <c r="G373" i="17"/>
  <c r="G375" i="17" s="1"/>
  <c r="F375" i="17"/>
  <c r="G368" i="17"/>
  <c r="G371" i="17" s="1"/>
  <c r="F371" i="17"/>
  <c r="H30" i="16"/>
  <c r="G30" i="16"/>
  <c r="F30" i="16"/>
  <c r="E30" i="16"/>
  <c r="D30" i="16"/>
  <c r="C30" i="16"/>
  <c r="B30" i="16"/>
  <c r="D24" i="16"/>
  <c r="E24" i="16"/>
  <c r="F24" i="16"/>
  <c r="G24" i="16"/>
  <c r="H24" i="16"/>
  <c r="D23" i="16"/>
  <c r="E23" i="16"/>
  <c r="F23" i="16"/>
  <c r="G23" i="16"/>
  <c r="H23" i="16"/>
  <c r="E33" i="1" l="1"/>
  <c r="F33" i="1"/>
  <c r="G33" i="1"/>
  <c r="H33" i="1"/>
  <c r="I33" i="1"/>
  <c r="J33" i="1"/>
  <c r="D1" i="10" l="1"/>
  <c r="E1" i="10" s="1"/>
  <c r="F1" i="10" s="1"/>
  <c r="G1" i="10" s="1"/>
  <c r="H1" i="10" s="1"/>
  <c r="I1" i="10" s="1"/>
  <c r="J1" i="10" s="1"/>
  <c r="K1" i="10" s="1"/>
  <c r="L1" i="10" s="1"/>
  <c r="M1" i="10" s="1"/>
  <c r="N1" i="10" s="1"/>
  <c r="O1" i="10" s="1"/>
  <c r="P1" i="10" s="1"/>
  <c r="Q1" i="10" s="1"/>
  <c r="R1" i="10" s="1"/>
  <c r="S1" i="10" s="1"/>
  <c r="AB1" i="10" s="1"/>
  <c r="AC1" i="10" s="1"/>
  <c r="AD1" i="10" s="1"/>
  <c r="AE1" i="10" s="1"/>
  <c r="AF1" i="10" s="1"/>
  <c r="AJ1" i="10" s="1"/>
  <c r="AK1" i="10" s="1"/>
  <c r="AL1" i="10" s="1"/>
  <c r="AM1" i="10" s="1"/>
  <c r="AN1" i="10" s="1"/>
  <c r="AA344" i="10"/>
  <c r="Z344" i="10"/>
  <c r="Y344" i="10"/>
  <c r="X344" i="10"/>
  <c r="W344" i="10"/>
  <c r="V344" i="10"/>
  <c r="AA343" i="10"/>
  <c r="Z343" i="10"/>
  <c r="Y343" i="10"/>
  <c r="X343" i="10"/>
  <c r="W343" i="10"/>
  <c r="V343" i="10"/>
  <c r="AA342" i="10"/>
  <c r="Z342" i="10"/>
  <c r="Y342" i="10"/>
  <c r="X342" i="10"/>
  <c r="W342" i="10"/>
  <c r="V342" i="10"/>
  <c r="AA341" i="10"/>
  <c r="Z341" i="10"/>
  <c r="Y341" i="10"/>
  <c r="X341" i="10"/>
  <c r="W341" i="10"/>
  <c r="V341" i="10"/>
  <c r="AA340" i="10"/>
  <c r="Z340" i="10"/>
  <c r="Y340" i="10"/>
  <c r="X340" i="10"/>
  <c r="W340" i="10"/>
  <c r="V340" i="10"/>
  <c r="AA339" i="10"/>
  <c r="Z339" i="10"/>
  <c r="Y339" i="10"/>
  <c r="X339" i="10"/>
  <c r="W339" i="10"/>
  <c r="V339" i="10"/>
  <c r="AA338" i="10"/>
  <c r="Z338" i="10"/>
  <c r="Y338" i="10"/>
  <c r="X338" i="10"/>
  <c r="W338" i="10"/>
  <c r="V338" i="10"/>
  <c r="AA337" i="10"/>
  <c r="Z337" i="10"/>
  <c r="Y337" i="10"/>
  <c r="X337" i="10"/>
  <c r="W337" i="10"/>
  <c r="V337" i="10"/>
  <c r="AA336" i="10"/>
  <c r="Z336" i="10"/>
  <c r="Y336" i="10"/>
  <c r="X336" i="10"/>
  <c r="W336" i="10"/>
  <c r="V336" i="10"/>
  <c r="AA335" i="10"/>
  <c r="Z335" i="10"/>
  <c r="Y335" i="10"/>
  <c r="X335" i="10"/>
  <c r="W335" i="10"/>
  <c r="V335" i="10"/>
  <c r="AA334" i="10"/>
  <c r="Z334" i="10"/>
  <c r="Y334" i="10"/>
  <c r="X334" i="10"/>
  <c r="W334" i="10"/>
  <c r="V334" i="10"/>
  <c r="AA333" i="10"/>
  <c r="Z333" i="10"/>
  <c r="Y333" i="10"/>
  <c r="X333" i="10"/>
  <c r="W333" i="10"/>
  <c r="V333" i="10"/>
  <c r="AA332" i="10"/>
  <c r="Z332" i="10"/>
  <c r="Y332" i="10"/>
  <c r="X332" i="10"/>
  <c r="W332" i="10"/>
  <c r="V332" i="10"/>
  <c r="AA331" i="10"/>
  <c r="Z331" i="10"/>
  <c r="Y331" i="10"/>
  <c r="X331" i="10"/>
  <c r="W331" i="10"/>
  <c r="V331" i="10"/>
  <c r="AA330" i="10"/>
  <c r="Z330" i="10"/>
  <c r="Y330" i="10"/>
  <c r="X330" i="10"/>
  <c r="W330" i="10"/>
  <c r="V330" i="10"/>
  <c r="AA329" i="10"/>
  <c r="Z329" i="10"/>
  <c r="Y329" i="10"/>
  <c r="X329" i="10"/>
  <c r="W329" i="10"/>
  <c r="V329" i="10"/>
  <c r="AA328" i="10"/>
  <c r="Z328" i="10"/>
  <c r="Y328" i="10"/>
  <c r="X328" i="10"/>
  <c r="W328" i="10"/>
  <c r="V328" i="10"/>
  <c r="AA327" i="10"/>
  <c r="Z327" i="10"/>
  <c r="Y327" i="10"/>
  <c r="X327" i="10"/>
  <c r="W327" i="10"/>
  <c r="V327" i="10"/>
  <c r="AA326" i="10"/>
  <c r="Z326" i="10"/>
  <c r="Y326" i="10"/>
  <c r="X326" i="10"/>
  <c r="W326" i="10"/>
  <c r="V326" i="10"/>
  <c r="AA325" i="10"/>
  <c r="Z325" i="10"/>
  <c r="Y325" i="10"/>
  <c r="X325" i="10"/>
  <c r="W325" i="10"/>
  <c r="V325" i="10"/>
  <c r="AA324" i="10"/>
  <c r="Z324" i="10"/>
  <c r="Y324" i="10"/>
  <c r="X324" i="10"/>
  <c r="W324" i="10"/>
  <c r="V324" i="10"/>
  <c r="AA323" i="10"/>
  <c r="Z323" i="10"/>
  <c r="Y323" i="10"/>
  <c r="X323" i="10"/>
  <c r="W323" i="10"/>
  <c r="V323" i="10"/>
  <c r="AA322" i="10"/>
  <c r="Z322" i="10"/>
  <c r="Y322" i="10"/>
  <c r="X322" i="10"/>
  <c r="W322" i="10"/>
  <c r="V322" i="10"/>
  <c r="AA321" i="10"/>
  <c r="Z321" i="10"/>
  <c r="Y321" i="10"/>
  <c r="X321" i="10"/>
  <c r="W321" i="10"/>
  <c r="V321" i="10"/>
  <c r="AA320" i="10"/>
  <c r="Z320" i="10"/>
  <c r="Y320" i="10"/>
  <c r="X320" i="10"/>
  <c r="W320" i="10"/>
  <c r="V320" i="10"/>
  <c r="AA319" i="10"/>
  <c r="Z319" i="10"/>
  <c r="Y319" i="10"/>
  <c r="X319" i="10"/>
  <c r="W319" i="10"/>
  <c r="V319" i="10"/>
  <c r="AA318" i="10"/>
  <c r="Z318" i="10"/>
  <c r="Y318" i="10"/>
  <c r="X318" i="10"/>
  <c r="W318" i="10"/>
  <c r="V318" i="10"/>
  <c r="AA316" i="10"/>
  <c r="Z316" i="10"/>
  <c r="Y316" i="10"/>
  <c r="X316" i="10"/>
  <c r="W316" i="10"/>
  <c r="V316" i="10"/>
  <c r="AA317" i="10"/>
  <c r="Z317" i="10"/>
  <c r="Y317" i="10"/>
  <c r="X317" i="10"/>
  <c r="W317" i="10"/>
  <c r="V317" i="10"/>
  <c r="AA395" i="10"/>
  <c r="Z395" i="10"/>
  <c r="Y395" i="10"/>
  <c r="X395" i="10"/>
  <c r="W395" i="10"/>
  <c r="V395" i="10"/>
  <c r="AA314" i="10"/>
  <c r="Z314" i="10"/>
  <c r="Y314" i="10"/>
  <c r="X314" i="10"/>
  <c r="W314" i="10"/>
  <c r="V314" i="10"/>
  <c r="AA313" i="10"/>
  <c r="Z313" i="10"/>
  <c r="Y313" i="10"/>
  <c r="X313" i="10"/>
  <c r="W313" i="10"/>
  <c r="V313" i="10"/>
  <c r="AA312" i="10"/>
  <c r="Z312" i="10"/>
  <c r="Y312" i="10"/>
  <c r="X312" i="10"/>
  <c r="W312" i="10"/>
  <c r="V312" i="10"/>
  <c r="AA311" i="10"/>
  <c r="Z311" i="10"/>
  <c r="Y311" i="10"/>
  <c r="X311" i="10"/>
  <c r="W311" i="10"/>
  <c r="V311" i="10"/>
  <c r="AA310" i="10"/>
  <c r="Z310" i="10"/>
  <c r="Y310" i="10"/>
  <c r="X310" i="10"/>
  <c r="W310" i="10"/>
  <c r="V310" i="10"/>
  <c r="AA309" i="10"/>
  <c r="Z309" i="10"/>
  <c r="Y309" i="10"/>
  <c r="X309" i="10"/>
  <c r="W309" i="10"/>
  <c r="V309" i="10"/>
  <c r="AA308" i="10"/>
  <c r="Z308" i="10"/>
  <c r="Y308" i="10"/>
  <c r="X308" i="10"/>
  <c r="W308" i="10"/>
  <c r="V308" i="10"/>
  <c r="AA307" i="10"/>
  <c r="Z307" i="10"/>
  <c r="Y307" i="10"/>
  <c r="X307" i="10"/>
  <c r="W307" i="10"/>
  <c r="V307" i="10"/>
  <c r="AA306" i="10"/>
  <c r="Z306" i="10"/>
  <c r="Y306" i="10"/>
  <c r="X306" i="10"/>
  <c r="W306" i="10"/>
  <c r="V306" i="10"/>
  <c r="AA305" i="10"/>
  <c r="Z305" i="10"/>
  <c r="Y305" i="10"/>
  <c r="X305" i="10"/>
  <c r="W305" i="10"/>
  <c r="V305" i="10"/>
  <c r="AA304" i="10"/>
  <c r="Z304" i="10"/>
  <c r="Y304" i="10"/>
  <c r="X304" i="10"/>
  <c r="W304" i="10"/>
  <c r="V304" i="10"/>
  <c r="AA303" i="10"/>
  <c r="Z303" i="10"/>
  <c r="Y303" i="10"/>
  <c r="X303" i="10"/>
  <c r="W303" i="10"/>
  <c r="V303" i="10"/>
  <c r="AA302" i="10"/>
  <c r="Z302" i="10"/>
  <c r="Y302" i="10"/>
  <c r="X302" i="10"/>
  <c r="W302" i="10"/>
  <c r="V302" i="10"/>
  <c r="AA301" i="10"/>
  <c r="Z301" i="10"/>
  <c r="Y301" i="10"/>
  <c r="X301" i="10"/>
  <c r="W301" i="10"/>
  <c r="V301" i="10"/>
  <c r="AA300" i="10"/>
  <c r="Z300" i="10"/>
  <c r="Y300" i="10"/>
  <c r="X300" i="10"/>
  <c r="W300" i="10"/>
  <c r="V300" i="10"/>
  <c r="AA299" i="10"/>
  <c r="Z299" i="10"/>
  <c r="Y299" i="10"/>
  <c r="X299" i="10"/>
  <c r="W299" i="10"/>
  <c r="V299" i="10"/>
  <c r="AA298" i="10"/>
  <c r="Z298" i="10"/>
  <c r="Y298" i="10"/>
  <c r="X298" i="10"/>
  <c r="W298" i="10"/>
  <c r="V298" i="10"/>
  <c r="AA297" i="10"/>
  <c r="Z297" i="10"/>
  <c r="Y297" i="10"/>
  <c r="X297" i="10"/>
  <c r="W297" i="10"/>
  <c r="V297" i="10"/>
  <c r="AA296" i="10"/>
  <c r="Z296" i="10"/>
  <c r="Y296" i="10"/>
  <c r="X296" i="10"/>
  <c r="W296" i="10"/>
  <c r="V296" i="10"/>
  <c r="AA295" i="10"/>
  <c r="Z295" i="10"/>
  <c r="Y295" i="10"/>
  <c r="X295" i="10"/>
  <c r="W295" i="10"/>
  <c r="V295" i="10"/>
  <c r="AA294" i="10"/>
  <c r="Z294" i="10"/>
  <c r="Y294" i="10"/>
  <c r="X294" i="10"/>
  <c r="W294" i="10"/>
  <c r="V294" i="10"/>
  <c r="AA293" i="10"/>
  <c r="Z293" i="10"/>
  <c r="Y293" i="10"/>
  <c r="X293" i="10"/>
  <c r="W293" i="10"/>
  <c r="V293" i="10"/>
  <c r="AA292" i="10"/>
  <c r="Z292" i="10"/>
  <c r="Y292" i="10"/>
  <c r="X292" i="10"/>
  <c r="W292" i="10"/>
  <c r="V292" i="10"/>
  <c r="AA291" i="10"/>
  <c r="Z291" i="10"/>
  <c r="Y291" i="10"/>
  <c r="X291" i="10"/>
  <c r="W291" i="10"/>
  <c r="V291" i="10"/>
  <c r="AA290" i="10"/>
  <c r="Z290" i="10"/>
  <c r="Y290" i="10"/>
  <c r="X290" i="10"/>
  <c r="W290" i="10"/>
  <c r="V290" i="10"/>
  <c r="AA289" i="10"/>
  <c r="Z289" i="10"/>
  <c r="Y289" i="10"/>
  <c r="X289" i="10"/>
  <c r="W289" i="10"/>
  <c r="V289" i="10"/>
  <c r="AA288" i="10"/>
  <c r="Z288" i="10"/>
  <c r="Y288" i="10"/>
  <c r="X288" i="10"/>
  <c r="W288" i="10"/>
  <c r="V288" i="10"/>
  <c r="AA287" i="10"/>
  <c r="Z287" i="10"/>
  <c r="Y287" i="10"/>
  <c r="X287" i="10"/>
  <c r="W287" i="10"/>
  <c r="V287" i="10"/>
  <c r="AA286" i="10"/>
  <c r="Z286" i="10"/>
  <c r="Y286" i="10"/>
  <c r="X286" i="10"/>
  <c r="W286" i="10"/>
  <c r="V286" i="10"/>
  <c r="AA380" i="10"/>
  <c r="Z380" i="10"/>
  <c r="Y380" i="10"/>
  <c r="X380" i="10"/>
  <c r="W380" i="10"/>
  <c r="V380" i="10"/>
  <c r="AA284" i="10"/>
  <c r="Z284" i="10"/>
  <c r="Y284" i="10"/>
  <c r="X284" i="10"/>
  <c r="W284" i="10"/>
  <c r="V284" i="10"/>
  <c r="AA283" i="10"/>
  <c r="Z283" i="10"/>
  <c r="Y283" i="10"/>
  <c r="X283" i="10"/>
  <c r="W283" i="10"/>
  <c r="V283" i="10"/>
  <c r="AA282" i="10"/>
  <c r="Z282" i="10"/>
  <c r="Y282" i="10"/>
  <c r="X282" i="10"/>
  <c r="W282" i="10"/>
  <c r="V282" i="10"/>
  <c r="AA281" i="10"/>
  <c r="Z281" i="10"/>
  <c r="Y281" i="10"/>
  <c r="X281" i="10"/>
  <c r="W281" i="10"/>
  <c r="V281" i="10"/>
  <c r="AA280" i="10"/>
  <c r="Z280" i="10"/>
  <c r="Y280" i="10"/>
  <c r="X280" i="10"/>
  <c r="W280" i="10"/>
  <c r="V280" i="10"/>
  <c r="AA279" i="10"/>
  <c r="Z279" i="10"/>
  <c r="Y279" i="10"/>
  <c r="X279" i="10"/>
  <c r="W279" i="10"/>
  <c r="V279" i="10"/>
  <c r="AA278" i="10"/>
  <c r="Z278" i="10"/>
  <c r="Y278" i="10"/>
  <c r="X278" i="10"/>
  <c r="W278" i="10"/>
  <c r="V278" i="10"/>
  <c r="AA277" i="10"/>
  <c r="Z277" i="10"/>
  <c r="Y277" i="10"/>
  <c r="X277" i="10"/>
  <c r="W277" i="10"/>
  <c r="V277" i="10"/>
  <c r="AA276" i="10"/>
  <c r="Z276" i="10"/>
  <c r="Y276" i="10"/>
  <c r="X276" i="10"/>
  <c r="W276" i="10"/>
  <c r="V276" i="10"/>
  <c r="AA275" i="10"/>
  <c r="Z275" i="10"/>
  <c r="Y275" i="10"/>
  <c r="X275" i="10"/>
  <c r="W275" i="10"/>
  <c r="V275" i="10"/>
  <c r="AA274" i="10"/>
  <c r="Z274" i="10"/>
  <c r="Y274" i="10"/>
  <c r="X274" i="10"/>
  <c r="W274" i="10"/>
  <c r="V274" i="10"/>
  <c r="AA273" i="10"/>
  <c r="Z273" i="10"/>
  <c r="Y273" i="10"/>
  <c r="X273" i="10"/>
  <c r="W273" i="10"/>
  <c r="V273" i="10"/>
  <c r="AA272" i="10"/>
  <c r="Z272" i="10"/>
  <c r="Y272" i="10"/>
  <c r="X272" i="10"/>
  <c r="W272" i="10"/>
  <c r="V272" i="10"/>
  <c r="AA271" i="10"/>
  <c r="Z271" i="10"/>
  <c r="Y271" i="10"/>
  <c r="X271" i="10"/>
  <c r="W271" i="10"/>
  <c r="V271" i="10"/>
  <c r="AA270" i="10"/>
  <c r="Z270" i="10"/>
  <c r="Y270" i="10"/>
  <c r="X270" i="10"/>
  <c r="W270" i="10"/>
  <c r="V270" i="10"/>
  <c r="AA269" i="10"/>
  <c r="Z269" i="10"/>
  <c r="Y269" i="10"/>
  <c r="X269" i="10"/>
  <c r="W269" i="10"/>
  <c r="V269" i="10"/>
  <c r="AA268" i="10"/>
  <c r="Z268" i="10"/>
  <c r="Y268" i="10"/>
  <c r="X268" i="10"/>
  <c r="W268" i="10"/>
  <c r="V268" i="10"/>
  <c r="AA267" i="10"/>
  <c r="Z267" i="10"/>
  <c r="Y267" i="10"/>
  <c r="X267" i="10"/>
  <c r="W267" i="10"/>
  <c r="V267" i="10"/>
  <c r="AA266" i="10"/>
  <c r="Z266" i="10"/>
  <c r="Y266" i="10"/>
  <c r="X266" i="10"/>
  <c r="W266" i="10"/>
  <c r="V266" i="10"/>
  <c r="AA265" i="10"/>
  <c r="Z265" i="10"/>
  <c r="Y265" i="10"/>
  <c r="X265" i="10"/>
  <c r="W265" i="10"/>
  <c r="V265" i="10"/>
  <c r="AA264" i="10"/>
  <c r="Z264" i="10"/>
  <c r="Y264" i="10"/>
  <c r="X264" i="10"/>
  <c r="W264" i="10"/>
  <c r="V264" i="10"/>
  <c r="AA263" i="10"/>
  <c r="Z263" i="10"/>
  <c r="Y263" i="10"/>
  <c r="X263" i="10"/>
  <c r="W263" i="10"/>
  <c r="V263" i="10"/>
  <c r="AA262" i="10"/>
  <c r="Z262" i="10"/>
  <c r="Y262" i="10"/>
  <c r="X262" i="10"/>
  <c r="W262" i="10"/>
  <c r="V262" i="10"/>
  <c r="AA261" i="10"/>
  <c r="Z261" i="10"/>
  <c r="Y261" i="10"/>
  <c r="X261" i="10"/>
  <c r="W261" i="10"/>
  <c r="V261" i="10"/>
  <c r="AA260" i="10"/>
  <c r="Z260" i="10"/>
  <c r="Y260" i="10"/>
  <c r="X260" i="10"/>
  <c r="W260" i="10"/>
  <c r="V260" i="10"/>
  <c r="AA259" i="10"/>
  <c r="Z259" i="10"/>
  <c r="Y259" i="10"/>
  <c r="X259" i="10"/>
  <c r="W259" i="10"/>
  <c r="V259" i="10"/>
  <c r="AA386" i="10"/>
  <c r="Z386" i="10"/>
  <c r="Y386" i="10"/>
  <c r="X386" i="10"/>
  <c r="W386" i="10"/>
  <c r="V386" i="10"/>
  <c r="AA257" i="10"/>
  <c r="Z257" i="10"/>
  <c r="Y257" i="10"/>
  <c r="X257" i="10"/>
  <c r="W257" i="10"/>
  <c r="V257" i="10"/>
  <c r="AA256" i="10"/>
  <c r="Z256" i="10"/>
  <c r="Y256" i="10"/>
  <c r="X256" i="10"/>
  <c r="W256" i="10"/>
  <c r="V256" i="10"/>
  <c r="AA255" i="10"/>
  <c r="Z255" i="10"/>
  <c r="Y255" i="10"/>
  <c r="X255" i="10"/>
  <c r="W255" i="10"/>
  <c r="V255" i="10"/>
  <c r="AA254" i="10"/>
  <c r="Z254" i="10"/>
  <c r="Y254" i="10"/>
  <c r="X254" i="10"/>
  <c r="W254" i="10"/>
  <c r="V254" i="10"/>
  <c r="AA253" i="10"/>
  <c r="Z253" i="10"/>
  <c r="Y253" i="10"/>
  <c r="X253" i="10"/>
  <c r="W253" i="10"/>
  <c r="V253" i="10"/>
  <c r="AA252" i="10"/>
  <c r="Z252" i="10"/>
  <c r="Y252" i="10"/>
  <c r="X252" i="10"/>
  <c r="W252" i="10"/>
  <c r="V252" i="10"/>
  <c r="AA251" i="10"/>
  <c r="Z251" i="10"/>
  <c r="Y251" i="10"/>
  <c r="X251" i="10"/>
  <c r="W251" i="10"/>
  <c r="V251" i="10"/>
  <c r="AA250" i="10"/>
  <c r="Z250" i="10"/>
  <c r="Y250" i="10"/>
  <c r="X250" i="10"/>
  <c r="W250" i="10"/>
  <c r="V250" i="10"/>
  <c r="AA249" i="10"/>
  <c r="Z249" i="10"/>
  <c r="Y249" i="10"/>
  <c r="X249" i="10"/>
  <c r="W249" i="10"/>
  <c r="V249" i="10"/>
  <c r="AA248" i="10"/>
  <c r="Z248" i="10"/>
  <c r="Y248" i="10"/>
  <c r="X248" i="10"/>
  <c r="W248" i="10"/>
  <c r="V248" i="10"/>
  <c r="AA247" i="10"/>
  <c r="Z247" i="10"/>
  <c r="Y247" i="10"/>
  <c r="X247" i="10"/>
  <c r="W247" i="10"/>
  <c r="V247" i="10"/>
  <c r="AA246" i="10"/>
  <c r="Z246" i="10"/>
  <c r="Y246" i="10"/>
  <c r="X246" i="10"/>
  <c r="W246" i="10"/>
  <c r="V246" i="10"/>
  <c r="AA245" i="10"/>
  <c r="Z245" i="10"/>
  <c r="Y245" i="10"/>
  <c r="X245" i="10"/>
  <c r="W245" i="10"/>
  <c r="V245" i="10"/>
  <c r="AA244" i="10"/>
  <c r="Z244" i="10"/>
  <c r="Y244" i="10"/>
  <c r="X244" i="10"/>
  <c r="W244" i="10"/>
  <c r="V244" i="10"/>
  <c r="AA243" i="10"/>
  <c r="Z243" i="10"/>
  <c r="Y243" i="10"/>
  <c r="X243" i="10"/>
  <c r="W243" i="10"/>
  <c r="V243" i="10"/>
  <c r="AA242" i="10"/>
  <c r="Z242" i="10"/>
  <c r="Y242" i="10"/>
  <c r="X242" i="10"/>
  <c r="W242" i="10"/>
  <c r="V242" i="10"/>
  <c r="AA241" i="10"/>
  <c r="Z241" i="10"/>
  <c r="Y241" i="10"/>
  <c r="X241" i="10"/>
  <c r="W241" i="10"/>
  <c r="V241" i="10"/>
  <c r="AA240" i="10"/>
  <c r="Z240" i="10"/>
  <c r="Y240" i="10"/>
  <c r="X240" i="10"/>
  <c r="W240" i="10"/>
  <c r="V240" i="10"/>
  <c r="AA239" i="10"/>
  <c r="Z239" i="10"/>
  <c r="Y239" i="10"/>
  <c r="X239" i="10"/>
  <c r="W239" i="10"/>
  <c r="V239" i="10"/>
  <c r="AA238" i="10"/>
  <c r="Z238" i="10"/>
  <c r="Y238" i="10"/>
  <c r="X238" i="10"/>
  <c r="W238" i="10"/>
  <c r="V238" i="10"/>
  <c r="AA237" i="10"/>
  <c r="Z237" i="10"/>
  <c r="Y237" i="10"/>
  <c r="X237" i="10"/>
  <c r="W237" i="10"/>
  <c r="V237" i="10"/>
  <c r="AA236" i="10"/>
  <c r="Z236" i="10"/>
  <c r="Y236" i="10"/>
  <c r="X236" i="10"/>
  <c r="W236" i="10"/>
  <c r="V236" i="10"/>
  <c r="AA235" i="10"/>
  <c r="Z235" i="10"/>
  <c r="Y235" i="10"/>
  <c r="X235" i="10"/>
  <c r="W235" i="10"/>
  <c r="V235" i="10"/>
  <c r="AA233" i="10"/>
  <c r="Z233" i="10"/>
  <c r="Y233" i="10"/>
  <c r="X233" i="10"/>
  <c r="W233" i="10"/>
  <c r="V233" i="10"/>
  <c r="AA232" i="10"/>
  <c r="Z232" i="10"/>
  <c r="Y232" i="10"/>
  <c r="X232" i="10"/>
  <c r="W232" i="10"/>
  <c r="V232" i="10"/>
  <c r="AA231" i="10"/>
  <c r="Z231" i="10"/>
  <c r="Y231" i="10"/>
  <c r="X231" i="10"/>
  <c r="W231" i="10"/>
  <c r="V231" i="10"/>
  <c r="AA230" i="10"/>
  <c r="Z230" i="10"/>
  <c r="Y230" i="10"/>
  <c r="X230" i="10"/>
  <c r="W230" i="10"/>
  <c r="V230" i="10"/>
  <c r="AA229" i="10"/>
  <c r="Z229" i="10"/>
  <c r="Y229" i="10"/>
  <c r="X229" i="10"/>
  <c r="W229" i="10"/>
  <c r="V229" i="10"/>
  <c r="AA228" i="10"/>
  <c r="Z228" i="10"/>
  <c r="Y228" i="10"/>
  <c r="X228" i="10"/>
  <c r="W228" i="10"/>
  <c r="V228" i="10"/>
  <c r="AA227" i="10"/>
  <c r="Z227" i="10"/>
  <c r="Y227" i="10"/>
  <c r="X227" i="10"/>
  <c r="W227" i="10"/>
  <c r="V227" i="10"/>
  <c r="AA226" i="10"/>
  <c r="Z226" i="10"/>
  <c r="Y226" i="10"/>
  <c r="X226" i="10"/>
  <c r="W226" i="10"/>
  <c r="V226" i="10"/>
  <c r="AA225" i="10"/>
  <c r="Z225" i="10"/>
  <c r="Y225" i="10"/>
  <c r="X225" i="10"/>
  <c r="W225" i="10"/>
  <c r="V225" i="10"/>
  <c r="AA224" i="10"/>
  <c r="Z224" i="10"/>
  <c r="Y224" i="10"/>
  <c r="X224" i="10"/>
  <c r="W224" i="10"/>
  <c r="V224" i="10"/>
  <c r="AA223" i="10"/>
  <c r="Z223" i="10"/>
  <c r="Y223" i="10"/>
  <c r="X223" i="10"/>
  <c r="W223" i="10"/>
  <c r="V223" i="10"/>
  <c r="AA222" i="10"/>
  <c r="Z222" i="10"/>
  <c r="Y222" i="10"/>
  <c r="X222" i="10"/>
  <c r="W222" i="10"/>
  <c r="V222" i="10"/>
  <c r="AA221" i="10"/>
  <c r="Z221" i="10"/>
  <c r="Y221" i="10"/>
  <c r="X221" i="10"/>
  <c r="W221" i="10"/>
  <c r="V221" i="10"/>
  <c r="AA220" i="10"/>
  <c r="Z220" i="10"/>
  <c r="Y220" i="10"/>
  <c r="X220" i="10"/>
  <c r="W220" i="10"/>
  <c r="V220" i="10"/>
  <c r="AA219" i="10"/>
  <c r="Z219" i="10"/>
  <c r="Y219" i="10"/>
  <c r="X219" i="10"/>
  <c r="W219" i="10"/>
  <c r="V219" i="10"/>
  <c r="AA218" i="10"/>
  <c r="Z218" i="10"/>
  <c r="Y218" i="10"/>
  <c r="X218" i="10"/>
  <c r="W218" i="10"/>
  <c r="V218" i="10"/>
  <c r="AA217" i="10"/>
  <c r="Z217" i="10"/>
  <c r="Y217" i="10"/>
  <c r="X217" i="10"/>
  <c r="W217" i="10"/>
  <c r="V217" i="10"/>
  <c r="AA216" i="10"/>
  <c r="Z216" i="10"/>
  <c r="Y216" i="10"/>
  <c r="X216" i="10"/>
  <c r="W216" i="10"/>
  <c r="V216" i="10"/>
  <c r="AA215" i="10"/>
  <c r="Z215" i="10"/>
  <c r="Y215" i="10"/>
  <c r="X215" i="10"/>
  <c r="W215" i="10"/>
  <c r="V215" i="10"/>
  <c r="AA214" i="10"/>
  <c r="Z214" i="10"/>
  <c r="Y214" i="10"/>
  <c r="X214" i="10"/>
  <c r="W214" i="10"/>
  <c r="V214" i="10"/>
  <c r="AA213" i="10"/>
  <c r="Z213" i="10"/>
  <c r="Y213" i="10"/>
  <c r="X213" i="10"/>
  <c r="W213" i="10"/>
  <c r="V213" i="10"/>
  <c r="AA212" i="10"/>
  <c r="Z212" i="10"/>
  <c r="Y212" i="10"/>
  <c r="X212" i="10"/>
  <c r="W212" i="10"/>
  <c r="V212" i="10"/>
  <c r="AA211" i="10"/>
  <c r="Z211" i="10"/>
  <c r="Y211" i="10"/>
  <c r="X211" i="10"/>
  <c r="W211" i="10"/>
  <c r="V211" i="10"/>
  <c r="AA210" i="10"/>
  <c r="Z210" i="10"/>
  <c r="Y210" i="10"/>
  <c r="X210" i="10"/>
  <c r="W210" i="10"/>
  <c r="V210" i="10"/>
  <c r="AA209" i="10"/>
  <c r="Z209" i="10"/>
  <c r="Y209" i="10"/>
  <c r="X209" i="10"/>
  <c r="W209" i="10"/>
  <c r="V209" i="10"/>
  <c r="AA208" i="10"/>
  <c r="Z208" i="10"/>
  <c r="Y208" i="10"/>
  <c r="X208" i="10"/>
  <c r="W208" i="10"/>
  <c r="V208" i="10"/>
  <c r="AA207" i="10"/>
  <c r="Z207" i="10"/>
  <c r="Y207" i="10"/>
  <c r="X207" i="10"/>
  <c r="W207" i="10"/>
  <c r="V207" i="10"/>
  <c r="AA206" i="10"/>
  <c r="Z206" i="10"/>
  <c r="Y206" i="10"/>
  <c r="X206" i="10"/>
  <c r="W206" i="10"/>
  <c r="V206" i="10"/>
  <c r="AA205" i="10"/>
  <c r="Z205" i="10"/>
  <c r="Y205" i="10"/>
  <c r="X205" i="10"/>
  <c r="W205" i="10"/>
  <c r="V205" i="10"/>
  <c r="AA204" i="10"/>
  <c r="Z204" i="10"/>
  <c r="Y204" i="10"/>
  <c r="X204" i="10"/>
  <c r="W204" i="10"/>
  <c r="V204" i="10"/>
  <c r="AA203" i="10"/>
  <c r="Z203" i="10"/>
  <c r="Y203" i="10"/>
  <c r="X203" i="10"/>
  <c r="W203" i="10"/>
  <c r="V203" i="10"/>
  <c r="AA202" i="10"/>
  <c r="Z202" i="10"/>
  <c r="Y202" i="10"/>
  <c r="X202" i="10"/>
  <c r="W202" i="10"/>
  <c r="V202" i="10"/>
  <c r="AA200" i="10"/>
  <c r="Z200" i="10"/>
  <c r="Y200" i="10"/>
  <c r="X200" i="10"/>
  <c r="W200" i="10"/>
  <c r="V200" i="10"/>
  <c r="AA199" i="10"/>
  <c r="Z199" i="10"/>
  <c r="Y199" i="10"/>
  <c r="X199" i="10"/>
  <c r="W199" i="10"/>
  <c r="V199" i="10"/>
  <c r="AA198" i="10"/>
  <c r="Z198" i="10"/>
  <c r="Y198" i="10"/>
  <c r="X198" i="10"/>
  <c r="W198" i="10"/>
  <c r="V198" i="10"/>
  <c r="AA197" i="10"/>
  <c r="Z197" i="10"/>
  <c r="Y197" i="10"/>
  <c r="X197" i="10"/>
  <c r="W197" i="10"/>
  <c r="V197" i="10"/>
  <c r="AA196" i="10"/>
  <c r="Z196" i="10"/>
  <c r="Y196" i="10"/>
  <c r="X196" i="10"/>
  <c r="W196" i="10"/>
  <c r="V196" i="10"/>
  <c r="AA195" i="10"/>
  <c r="Z195" i="10"/>
  <c r="Y195" i="10"/>
  <c r="X195" i="10"/>
  <c r="W195" i="10"/>
  <c r="V195" i="10"/>
  <c r="AA194" i="10"/>
  <c r="Z194" i="10"/>
  <c r="Y194" i="10"/>
  <c r="X194" i="10"/>
  <c r="W194" i="10"/>
  <c r="V194" i="10"/>
  <c r="AA193" i="10"/>
  <c r="Z193" i="10"/>
  <c r="Y193" i="10"/>
  <c r="X193" i="10"/>
  <c r="W193" i="10"/>
  <c r="V193" i="10"/>
  <c r="AA385" i="10"/>
  <c r="Z385" i="10"/>
  <c r="Y385" i="10"/>
  <c r="X385" i="10"/>
  <c r="W385" i="10"/>
  <c r="V385" i="10"/>
  <c r="AA191" i="10"/>
  <c r="Z191" i="10"/>
  <c r="Y191" i="10"/>
  <c r="X191" i="10"/>
  <c r="W191" i="10"/>
  <c r="V191" i="10"/>
  <c r="AA190" i="10"/>
  <c r="Z190" i="10"/>
  <c r="Y190" i="10"/>
  <c r="X190" i="10"/>
  <c r="W190" i="10"/>
  <c r="V190" i="10"/>
  <c r="AA189" i="10"/>
  <c r="Z189" i="10"/>
  <c r="Y189" i="10"/>
  <c r="X189" i="10"/>
  <c r="W189" i="10"/>
  <c r="V189" i="10"/>
  <c r="AA188" i="10"/>
  <c r="Z188" i="10"/>
  <c r="Y188" i="10"/>
  <c r="X188" i="10"/>
  <c r="W188" i="10"/>
  <c r="V188" i="10"/>
  <c r="AA187" i="10"/>
  <c r="Z187" i="10"/>
  <c r="Y187" i="10"/>
  <c r="X187" i="10"/>
  <c r="W187" i="10"/>
  <c r="V187" i="10"/>
  <c r="AA186" i="10"/>
  <c r="Z186" i="10"/>
  <c r="Y186" i="10"/>
  <c r="X186" i="10"/>
  <c r="W186" i="10"/>
  <c r="V186" i="10"/>
  <c r="AA185" i="10"/>
  <c r="Z185" i="10"/>
  <c r="Y185" i="10"/>
  <c r="X185" i="10"/>
  <c r="W185" i="10"/>
  <c r="V185" i="10"/>
  <c r="AA184" i="10"/>
  <c r="Z184" i="10"/>
  <c r="Y184" i="10"/>
  <c r="X184" i="10"/>
  <c r="W184" i="10"/>
  <c r="V184" i="10"/>
  <c r="AA182" i="10"/>
  <c r="Z182" i="10"/>
  <c r="Y182" i="10"/>
  <c r="X182" i="10"/>
  <c r="W182" i="10"/>
  <c r="V182" i="10"/>
  <c r="AA181" i="10"/>
  <c r="Z181" i="10"/>
  <c r="Y181" i="10"/>
  <c r="X181" i="10"/>
  <c r="W181" i="10"/>
  <c r="V181" i="10"/>
  <c r="AA180" i="10"/>
  <c r="Z180" i="10"/>
  <c r="Y180" i="10"/>
  <c r="X180" i="10"/>
  <c r="W180" i="10"/>
  <c r="V180" i="10"/>
  <c r="AA376" i="10"/>
  <c r="Z376" i="10"/>
  <c r="Y376" i="10"/>
  <c r="X376" i="10"/>
  <c r="W376" i="10"/>
  <c r="V376" i="10"/>
  <c r="AA179" i="10"/>
  <c r="Z179" i="10"/>
  <c r="Y179" i="10"/>
  <c r="X179" i="10"/>
  <c r="W179" i="10"/>
  <c r="V179" i="10"/>
  <c r="AA178" i="10"/>
  <c r="Z178" i="10"/>
  <c r="Y178" i="10"/>
  <c r="X178" i="10"/>
  <c r="W178" i="10"/>
  <c r="V178" i="10"/>
  <c r="AA177" i="10"/>
  <c r="Z177" i="10"/>
  <c r="Y177" i="10"/>
  <c r="X177" i="10"/>
  <c r="W177" i="10"/>
  <c r="V177" i="10"/>
  <c r="AA176" i="10"/>
  <c r="Z176" i="10"/>
  <c r="Y176" i="10"/>
  <c r="X176" i="10"/>
  <c r="W176" i="10"/>
  <c r="V176" i="10"/>
  <c r="AA175" i="10"/>
  <c r="Z175" i="10"/>
  <c r="Y175" i="10"/>
  <c r="X175" i="10"/>
  <c r="W175" i="10"/>
  <c r="V175" i="10"/>
  <c r="AA174" i="10"/>
  <c r="Z174" i="10"/>
  <c r="Y174" i="10"/>
  <c r="X174" i="10"/>
  <c r="W174" i="10"/>
  <c r="V174" i="10"/>
  <c r="AA173" i="10"/>
  <c r="Z173" i="10"/>
  <c r="Y173" i="10"/>
  <c r="X173" i="10"/>
  <c r="W173" i="10"/>
  <c r="V173" i="10"/>
  <c r="AA172" i="10"/>
  <c r="Z172" i="10"/>
  <c r="Y172" i="10"/>
  <c r="X172" i="10"/>
  <c r="W172" i="10"/>
  <c r="V172" i="10"/>
  <c r="AA171" i="10"/>
  <c r="Z171" i="10"/>
  <c r="Y171" i="10"/>
  <c r="X171" i="10"/>
  <c r="W171" i="10"/>
  <c r="V171" i="10"/>
  <c r="AA170" i="10"/>
  <c r="Z170" i="10"/>
  <c r="Y170" i="10"/>
  <c r="X170" i="10"/>
  <c r="W170" i="10"/>
  <c r="V170" i="10"/>
  <c r="AA169" i="10"/>
  <c r="Z169" i="10"/>
  <c r="Y169" i="10"/>
  <c r="X169" i="10"/>
  <c r="W169" i="10"/>
  <c r="V169" i="10"/>
  <c r="AA168" i="10"/>
  <c r="Z168" i="10"/>
  <c r="Y168" i="10"/>
  <c r="X168" i="10"/>
  <c r="W168" i="10"/>
  <c r="V168" i="10"/>
  <c r="AA167" i="10"/>
  <c r="Z167" i="10"/>
  <c r="Y167" i="10"/>
  <c r="X167" i="10"/>
  <c r="W167" i="10"/>
  <c r="V167" i="10"/>
  <c r="AA389" i="10"/>
  <c r="Z389" i="10"/>
  <c r="Y389" i="10"/>
  <c r="X389" i="10"/>
  <c r="W389" i="10"/>
  <c r="V389" i="10"/>
  <c r="AA166" i="10"/>
  <c r="Z166" i="10"/>
  <c r="Y166" i="10"/>
  <c r="X166" i="10"/>
  <c r="W166" i="10"/>
  <c r="V166" i="10"/>
  <c r="AA165" i="10"/>
  <c r="Z165" i="10"/>
  <c r="Y165" i="10"/>
  <c r="X165" i="10"/>
  <c r="W165" i="10"/>
  <c r="V165" i="10"/>
  <c r="AA379" i="10"/>
  <c r="Z379" i="10"/>
  <c r="Y379" i="10"/>
  <c r="X379" i="10"/>
  <c r="W379" i="10"/>
  <c r="V379" i="10"/>
  <c r="AA162" i="10"/>
  <c r="Z162" i="10"/>
  <c r="Y162" i="10"/>
  <c r="X162" i="10"/>
  <c r="W162" i="10"/>
  <c r="V162" i="10"/>
  <c r="AA161" i="10"/>
  <c r="Z161" i="10"/>
  <c r="Y161" i="10"/>
  <c r="X161" i="10"/>
  <c r="W161" i="10"/>
  <c r="V161" i="10"/>
  <c r="AA160" i="10"/>
  <c r="Z160" i="10"/>
  <c r="Y160" i="10"/>
  <c r="X160" i="10"/>
  <c r="W160" i="10"/>
  <c r="V160" i="10"/>
  <c r="AA159" i="10"/>
  <c r="Z159" i="10"/>
  <c r="Y159" i="10"/>
  <c r="X159" i="10"/>
  <c r="W159" i="10"/>
  <c r="V159" i="10"/>
  <c r="AA158" i="10"/>
  <c r="Z158" i="10"/>
  <c r="Y158" i="10"/>
  <c r="X158" i="10"/>
  <c r="W158" i="10"/>
  <c r="V158" i="10"/>
  <c r="AA157" i="10"/>
  <c r="Z157" i="10"/>
  <c r="Y157" i="10"/>
  <c r="X157" i="10"/>
  <c r="W157" i="10"/>
  <c r="V157" i="10"/>
  <c r="AA156" i="10"/>
  <c r="Z156" i="10"/>
  <c r="Y156" i="10"/>
  <c r="X156" i="10"/>
  <c r="W156" i="10"/>
  <c r="V156" i="10"/>
  <c r="AA155" i="10"/>
  <c r="Z155" i="10"/>
  <c r="Y155" i="10"/>
  <c r="X155" i="10"/>
  <c r="W155" i="10"/>
  <c r="V155" i="10"/>
  <c r="AA154" i="10"/>
  <c r="Z154" i="10"/>
  <c r="Y154" i="10"/>
  <c r="X154" i="10"/>
  <c r="W154" i="10"/>
  <c r="V154" i="10"/>
  <c r="AA153" i="10"/>
  <c r="Z153" i="10"/>
  <c r="Y153" i="10"/>
  <c r="X153" i="10"/>
  <c r="W153" i="10"/>
  <c r="V153" i="10"/>
  <c r="AA152" i="10"/>
  <c r="Z152" i="10"/>
  <c r="Y152" i="10"/>
  <c r="X152" i="10"/>
  <c r="W152" i="10"/>
  <c r="V152" i="10"/>
  <c r="AA151" i="10"/>
  <c r="Z151" i="10"/>
  <c r="Y151" i="10"/>
  <c r="X151" i="10"/>
  <c r="W151" i="10"/>
  <c r="V151" i="10"/>
  <c r="AA150" i="10"/>
  <c r="Z150" i="10"/>
  <c r="Y150" i="10"/>
  <c r="X150" i="10"/>
  <c r="W150" i="10"/>
  <c r="V150" i="10"/>
  <c r="AA149" i="10"/>
  <c r="Z149" i="10"/>
  <c r="Y149" i="10"/>
  <c r="X149" i="10"/>
  <c r="W149" i="10"/>
  <c r="V149" i="10"/>
  <c r="AA148" i="10"/>
  <c r="Z148" i="10"/>
  <c r="Y148" i="10"/>
  <c r="X148" i="10"/>
  <c r="W148" i="10"/>
  <c r="V148" i="10"/>
  <c r="AA147" i="10"/>
  <c r="Z147" i="10"/>
  <c r="Y147" i="10"/>
  <c r="X147" i="10"/>
  <c r="W147" i="10"/>
  <c r="V147" i="10"/>
  <c r="AA146" i="10"/>
  <c r="Z146" i="10"/>
  <c r="Y146" i="10"/>
  <c r="X146" i="10"/>
  <c r="W146" i="10"/>
  <c r="V146" i="10"/>
  <c r="AA145" i="10"/>
  <c r="Z145" i="10"/>
  <c r="Y145" i="10"/>
  <c r="X145" i="10"/>
  <c r="W145" i="10"/>
  <c r="V145" i="10"/>
  <c r="AA144" i="10"/>
  <c r="Z144" i="10"/>
  <c r="Y144" i="10"/>
  <c r="X144" i="10"/>
  <c r="W144" i="10"/>
  <c r="V144" i="10"/>
  <c r="AA143" i="10"/>
  <c r="Z143" i="10"/>
  <c r="Y143" i="10"/>
  <c r="X143" i="10"/>
  <c r="W143" i="10"/>
  <c r="V143" i="10"/>
  <c r="AA142" i="10"/>
  <c r="Z142" i="10"/>
  <c r="Y142" i="10"/>
  <c r="X142" i="10"/>
  <c r="W142" i="10"/>
  <c r="V142" i="10"/>
  <c r="AA141" i="10"/>
  <c r="Z141" i="10"/>
  <c r="Y141" i="10"/>
  <c r="X141" i="10"/>
  <c r="W141" i="10"/>
  <c r="V141" i="10"/>
  <c r="AA140" i="10"/>
  <c r="Z140" i="10"/>
  <c r="Y140" i="10"/>
  <c r="X140" i="10"/>
  <c r="W140" i="10"/>
  <c r="V140" i="10"/>
  <c r="AA139" i="10"/>
  <c r="Z139" i="10"/>
  <c r="Y139" i="10"/>
  <c r="X139" i="10"/>
  <c r="W139" i="10"/>
  <c r="V139" i="10"/>
  <c r="AA138" i="10"/>
  <c r="Z138" i="10"/>
  <c r="Y138" i="10"/>
  <c r="X138" i="10"/>
  <c r="W138" i="10"/>
  <c r="V138" i="10"/>
  <c r="AA137" i="10"/>
  <c r="Z137" i="10"/>
  <c r="Y137" i="10"/>
  <c r="X137" i="10"/>
  <c r="W137" i="10"/>
  <c r="V137" i="10"/>
  <c r="AA136" i="10"/>
  <c r="Z136" i="10"/>
  <c r="Y136" i="10"/>
  <c r="X136" i="10"/>
  <c r="W136" i="10"/>
  <c r="V136" i="10"/>
  <c r="AA135" i="10"/>
  <c r="Z135" i="10"/>
  <c r="Y135" i="10"/>
  <c r="X135" i="10"/>
  <c r="W135" i="10"/>
  <c r="V135" i="10"/>
  <c r="AA134" i="10"/>
  <c r="Z134" i="10"/>
  <c r="Y134" i="10"/>
  <c r="X134" i="10"/>
  <c r="W134" i="10"/>
  <c r="V134" i="10"/>
  <c r="AA133" i="10"/>
  <c r="Z133" i="10"/>
  <c r="Y133" i="10"/>
  <c r="X133" i="10"/>
  <c r="W133" i="10"/>
  <c r="V133" i="10"/>
  <c r="AA132" i="10"/>
  <c r="Z132" i="10"/>
  <c r="Y132" i="10"/>
  <c r="X132" i="10"/>
  <c r="W132" i="10"/>
  <c r="V132" i="10"/>
  <c r="AA388" i="10"/>
  <c r="Z388" i="10"/>
  <c r="Y388" i="10"/>
  <c r="X388" i="10"/>
  <c r="W388" i="10"/>
  <c r="V388" i="10"/>
  <c r="AA130" i="10"/>
  <c r="Z130" i="10"/>
  <c r="Y130" i="10"/>
  <c r="X130" i="10"/>
  <c r="W130" i="10"/>
  <c r="V130" i="10"/>
  <c r="AA129" i="10"/>
  <c r="Z129" i="10"/>
  <c r="Y129" i="10"/>
  <c r="X129" i="10"/>
  <c r="W129" i="10"/>
  <c r="V129" i="10"/>
  <c r="AA128" i="10"/>
  <c r="Z128" i="10"/>
  <c r="Y128" i="10"/>
  <c r="X128" i="10"/>
  <c r="W128" i="10"/>
  <c r="V128" i="10"/>
  <c r="AA127" i="10"/>
  <c r="Z127" i="10"/>
  <c r="Y127" i="10"/>
  <c r="X127" i="10"/>
  <c r="W127" i="10"/>
  <c r="V127" i="10"/>
  <c r="AA126" i="10"/>
  <c r="Z126" i="10"/>
  <c r="Y126" i="10"/>
  <c r="X126" i="10"/>
  <c r="W126" i="10"/>
  <c r="V126" i="10"/>
  <c r="AA125" i="10"/>
  <c r="Z125" i="10"/>
  <c r="Y125" i="10"/>
  <c r="X125" i="10"/>
  <c r="W125" i="10"/>
  <c r="V125" i="10"/>
  <c r="AA123" i="10"/>
  <c r="Z123" i="10"/>
  <c r="Y123" i="10"/>
  <c r="X123" i="10"/>
  <c r="W123" i="10"/>
  <c r="V123" i="10"/>
  <c r="AA122" i="10"/>
  <c r="Z122" i="10"/>
  <c r="Y122" i="10"/>
  <c r="X122" i="10"/>
  <c r="W122" i="10"/>
  <c r="V122" i="10"/>
  <c r="AA121" i="10"/>
  <c r="Z121" i="10"/>
  <c r="Y121" i="10"/>
  <c r="X121" i="10"/>
  <c r="W121" i="10"/>
  <c r="V121" i="10"/>
  <c r="AA120" i="10"/>
  <c r="Z120" i="10"/>
  <c r="Y120" i="10"/>
  <c r="X120" i="10"/>
  <c r="W120" i="10"/>
  <c r="V120" i="10"/>
  <c r="AA119" i="10"/>
  <c r="Z119" i="10"/>
  <c r="Y119" i="10"/>
  <c r="X119" i="10"/>
  <c r="W119" i="10"/>
  <c r="V119" i="10"/>
  <c r="AA377" i="10"/>
  <c r="Z377" i="10"/>
  <c r="Y377" i="10"/>
  <c r="X377" i="10"/>
  <c r="W377" i="10"/>
  <c r="V377" i="10"/>
  <c r="AA118" i="10"/>
  <c r="Z118" i="10"/>
  <c r="Y118" i="10"/>
  <c r="X118" i="10"/>
  <c r="W118" i="10"/>
  <c r="V118" i="10"/>
  <c r="AA117" i="10"/>
  <c r="Z117" i="10"/>
  <c r="Y117" i="10"/>
  <c r="X117" i="10"/>
  <c r="W117" i="10"/>
  <c r="V117" i="10"/>
  <c r="AA116" i="10"/>
  <c r="Z116" i="10"/>
  <c r="Y116" i="10"/>
  <c r="X116" i="10"/>
  <c r="W116" i="10"/>
  <c r="V116" i="10"/>
  <c r="AA384" i="10"/>
  <c r="Z384" i="10"/>
  <c r="Y384" i="10"/>
  <c r="X384" i="10"/>
  <c r="W384" i="10"/>
  <c r="V384" i="10"/>
  <c r="AA114" i="10"/>
  <c r="Z114" i="10"/>
  <c r="Y114" i="10"/>
  <c r="X114" i="10"/>
  <c r="W114" i="10"/>
  <c r="V114" i="10"/>
  <c r="AA113" i="10"/>
  <c r="Z113" i="10"/>
  <c r="Y113" i="10"/>
  <c r="X113" i="10"/>
  <c r="W113" i="10"/>
  <c r="V113" i="10"/>
  <c r="AA112" i="10"/>
  <c r="Z112" i="10"/>
  <c r="Y112" i="10"/>
  <c r="X112" i="10"/>
  <c r="W112" i="10"/>
  <c r="V112" i="10"/>
  <c r="AA111" i="10"/>
  <c r="Z111" i="10"/>
  <c r="Y111" i="10"/>
  <c r="X111" i="10"/>
  <c r="W111" i="10"/>
  <c r="V111" i="10"/>
  <c r="AA110" i="10"/>
  <c r="Z110" i="10"/>
  <c r="Y110" i="10"/>
  <c r="X110" i="10"/>
  <c r="W110" i="10"/>
  <c r="V110" i="10"/>
  <c r="AA109" i="10"/>
  <c r="Z109" i="10"/>
  <c r="Y109" i="10"/>
  <c r="X109" i="10"/>
  <c r="W109" i="10"/>
  <c r="V109" i="10"/>
  <c r="AA108" i="10"/>
  <c r="Z108" i="10"/>
  <c r="Y108" i="10"/>
  <c r="X108" i="10"/>
  <c r="W108" i="10"/>
  <c r="V108" i="10"/>
  <c r="AA107" i="10"/>
  <c r="Z107" i="10"/>
  <c r="Y107" i="10"/>
  <c r="X107" i="10"/>
  <c r="W107" i="10"/>
  <c r="V107" i="10"/>
  <c r="AA106" i="10"/>
  <c r="Z106" i="10"/>
  <c r="Y106" i="10"/>
  <c r="X106" i="10"/>
  <c r="W106" i="10"/>
  <c r="V106" i="10"/>
  <c r="AA105" i="10"/>
  <c r="Z105" i="10"/>
  <c r="Y105" i="10"/>
  <c r="X105" i="10"/>
  <c r="W105" i="10"/>
  <c r="V105" i="10"/>
  <c r="AA104" i="10"/>
  <c r="Z104" i="10"/>
  <c r="Y104" i="10"/>
  <c r="X104" i="10"/>
  <c r="W104" i="10"/>
  <c r="V104" i="10"/>
  <c r="AA103" i="10"/>
  <c r="Z103" i="10"/>
  <c r="Y103" i="10"/>
  <c r="X103" i="10"/>
  <c r="W103" i="10"/>
  <c r="V103" i="10"/>
  <c r="AA102" i="10"/>
  <c r="Z102" i="10"/>
  <c r="Y102" i="10"/>
  <c r="X102" i="10"/>
  <c r="W102" i="10"/>
  <c r="V102" i="10"/>
  <c r="AA101" i="10"/>
  <c r="Z101" i="10"/>
  <c r="Y101" i="10"/>
  <c r="X101" i="10"/>
  <c r="W101" i="10"/>
  <c r="V101" i="10"/>
  <c r="AA100" i="10"/>
  <c r="Z100" i="10"/>
  <c r="Y100" i="10"/>
  <c r="X100" i="10"/>
  <c r="W100" i="10"/>
  <c r="V100" i="10"/>
  <c r="AA99" i="10"/>
  <c r="Z99" i="10"/>
  <c r="Y99" i="10"/>
  <c r="X99" i="10"/>
  <c r="W99" i="10"/>
  <c r="V99" i="10"/>
  <c r="AA98" i="10"/>
  <c r="Z98" i="10"/>
  <c r="Y98" i="10"/>
  <c r="X98" i="10"/>
  <c r="W98" i="10"/>
  <c r="V98" i="10"/>
  <c r="AA97" i="10"/>
  <c r="Z97" i="10"/>
  <c r="Y97" i="10"/>
  <c r="X97" i="10"/>
  <c r="W97" i="10"/>
  <c r="V97" i="10"/>
  <c r="AA96" i="10"/>
  <c r="Z96" i="10"/>
  <c r="Y96" i="10"/>
  <c r="X96" i="10"/>
  <c r="W96" i="10"/>
  <c r="V96" i="10"/>
  <c r="AA95" i="10"/>
  <c r="Z95" i="10"/>
  <c r="Y95" i="10"/>
  <c r="X95" i="10"/>
  <c r="W95" i="10"/>
  <c r="V95" i="10"/>
  <c r="AA94" i="10"/>
  <c r="Z94" i="10"/>
  <c r="Y94" i="10"/>
  <c r="X94" i="10"/>
  <c r="W94" i="10"/>
  <c r="V94" i="10"/>
  <c r="AA92" i="10"/>
  <c r="Z92" i="10"/>
  <c r="Y92" i="10"/>
  <c r="X92" i="10"/>
  <c r="W92" i="10"/>
  <c r="V92" i="10"/>
  <c r="AA91" i="10"/>
  <c r="Z91" i="10"/>
  <c r="Y91" i="10"/>
  <c r="X91" i="10"/>
  <c r="W91" i="10"/>
  <c r="V91" i="10"/>
  <c r="AA90" i="10"/>
  <c r="Z90" i="10"/>
  <c r="Y90" i="10"/>
  <c r="X90" i="10"/>
  <c r="W90" i="10"/>
  <c r="V90" i="10"/>
  <c r="AA89" i="10"/>
  <c r="Z89" i="10"/>
  <c r="Y89" i="10"/>
  <c r="X89" i="10"/>
  <c r="W89" i="10"/>
  <c r="V89" i="10"/>
  <c r="AA88" i="10"/>
  <c r="Z88" i="10"/>
  <c r="Y88" i="10"/>
  <c r="X88" i="10"/>
  <c r="W88" i="10"/>
  <c r="V88" i="10"/>
  <c r="AA87" i="10"/>
  <c r="Z87" i="10"/>
  <c r="Y87" i="10"/>
  <c r="X87" i="10"/>
  <c r="W87" i="10"/>
  <c r="V87" i="10"/>
  <c r="AA86" i="10"/>
  <c r="Z86" i="10"/>
  <c r="Y86" i="10"/>
  <c r="X86" i="10"/>
  <c r="W86" i="10"/>
  <c r="V86" i="10"/>
  <c r="AA85" i="10"/>
  <c r="Z85" i="10"/>
  <c r="Y85" i="10"/>
  <c r="X85" i="10"/>
  <c r="W85" i="10"/>
  <c r="V85" i="10"/>
  <c r="AA84" i="10"/>
  <c r="Z84" i="10"/>
  <c r="Y84" i="10"/>
  <c r="X84" i="10"/>
  <c r="W84" i="10"/>
  <c r="V84" i="10"/>
  <c r="AA83" i="10"/>
  <c r="Z83" i="10"/>
  <c r="Y83" i="10"/>
  <c r="X83" i="10"/>
  <c r="W83" i="10"/>
  <c r="V83" i="10"/>
  <c r="AA82" i="10"/>
  <c r="Z82" i="10"/>
  <c r="Y82" i="10"/>
  <c r="X82" i="10"/>
  <c r="W82" i="10"/>
  <c r="V82" i="10"/>
  <c r="AA81" i="10"/>
  <c r="Z81" i="10"/>
  <c r="Y81" i="10"/>
  <c r="X81" i="10"/>
  <c r="W81" i="10"/>
  <c r="V81" i="10"/>
  <c r="AA80" i="10"/>
  <c r="Z80" i="10"/>
  <c r="Y80" i="10"/>
  <c r="X80" i="10"/>
  <c r="W80" i="10"/>
  <c r="V80" i="10"/>
  <c r="AA79" i="10"/>
  <c r="Z79" i="10"/>
  <c r="Y79" i="10"/>
  <c r="X79" i="10"/>
  <c r="W79" i="10"/>
  <c r="V79" i="10"/>
  <c r="AA77" i="10"/>
  <c r="Z77" i="10"/>
  <c r="Y77" i="10"/>
  <c r="X77" i="10"/>
  <c r="W77" i="10"/>
  <c r="V77" i="10"/>
  <c r="AA76" i="10"/>
  <c r="Z76" i="10"/>
  <c r="Y76" i="10"/>
  <c r="X76" i="10"/>
  <c r="W76" i="10"/>
  <c r="V76" i="10"/>
  <c r="AA75" i="10"/>
  <c r="Z75" i="10"/>
  <c r="Y75" i="10"/>
  <c r="X75" i="10"/>
  <c r="W75" i="10"/>
  <c r="V75" i="10"/>
  <c r="AA74" i="10"/>
  <c r="Z74" i="10"/>
  <c r="Y74" i="10"/>
  <c r="X74" i="10"/>
  <c r="W74" i="10"/>
  <c r="V74" i="10"/>
  <c r="AA375" i="10"/>
  <c r="Z375" i="10"/>
  <c r="Y375" i="10"/>
  <c r="X375" i="10"/>
  <c r="W375" i="10"/>
  <c r="V375" i="10"/>
  <c r="AA73" i="10"/>
  <c r="Z73" i="10"/>
  <c r="Y73" i="10"/>
  <c r="X73" i="10"/>
  <c r="W73" i="10"/>
  <c r="V73" i="10"/>
  <c r="AA72" i="10"/>
  <c r="Z72" i="10"/>
  <c r="Y72" i="10"/>
  <c r="X72" i="10"/>
  <c r="W72" i="10"/>
  <c r="V72" i="10"/>
  <c r="AA71" i="10"/>
  <c r="Z71" i="10"/>
  <c r="Y71" i="10"/>
  <c r="X71" i="10"/>
  <c r="W71" i="10"/>
  <c r="V71" i="10"/>
  <c r="AA70" i="10"/>
  <c r="Z70" i="10"/>
  <c r="Y70" i="10"/>
  <c r="X70" i="10"/>
  <c r="W70" i="10"/>
  <c r="V70" i="10"/>
  <c r="AA69" i="10"/>
  <c r="Z69" i="10"/>
  <c r="Y69" i="10"/>
  <c r="X69" i="10"/>
  <c r="W69" i="10"/>
  <c r="V69" i="10"/>
  <c r="AA68" i="10"/>
  <c r="Z68" i="10"/>
  <c r="Y68" i="10"/>
  <c r="X68" i="10"/>
  <c r="W68" i="10"/>
  <c r="V68" i="10"/>
  <c r="AA67" i="10"/>
  <c r="Z67" i="10"/>
  <c r="Y67" i="10"/>
  <c r="X67" i="10"/>
  <c r="W67" i="10"/>
  <c r="V67" i="10"/>
  <c r="AA66" i="10"/>
  <c r="Z66" i="10"/>
  <c r="Y66" i="10"/>
  <c r="X66" i="10"/>
  <c r="W66" i="10"/>
  <c r="V66" i="10"/>
  <c r="AA383" i="10"/>
  <c r="Z383" i="10"/>
  <c r="Y383" i="10"/>
  <c r="X383" i="10"/>
  <c r="W383" i="10"/>
  <c r="V383" i="10"/>
  <c r="AA64" i="10"/>
  <c r="Z64" i="10"/>
  <c r="Y64" i="10"/>
  <c r="X64" i="10"/>
  <c r="W64" i="10"/>
  <c r="V64" i="10"/>
  <c r="AA63" i="10"/>
  <c r="Z63" i="10"/>
  <c r="Y63" i="10"/>
  <c r="X63" i="10"/>
  <c r="W63" i="10"/>
  <c r="V63" i="10"/>
  <c r="AA62" i="10"/>
  <c r="Z62" i="10"/>
  <c r="Y62" i="10"/>
  <c r="X62" i="10"/>
  <c r="W62" i="10"/>
  <c r="V62" i="10"/>
  <c r="AA61" i="10"/>
  <c r="Z61" i="10"/>
  <c r="Y61" i="10"/>
  <c r="X61" i="10"/>
  <c r="W61" i="10"/>
  <c r="V61" i="10"/>
  <c r="AA60" i="10"/>
  <c r="Z60" i="10"/>
  <c r="Y60" i="10"/>
  <c r="X60" i="10"/>
  <c r="W60" i="10"/>
  <c r="V60" i="10"/>
  <c r="AA59" i="10"/>
  <c r="Z59" i="10"/>
  <c r="Y59" i="10"/>
  <c r="X59" i="10"/>
  <c r="W59" i="10"/>
  <c r="V59" i="10"/>
  <c r="AA58" i="10"/>
  <c r="Z58" i="10"/>
  <c r="Y58" i="10"/>
  <c r="X58" i="10"/>
  <c r="W58" i="10"/>
  <c r="V58" i="10"/>
  <c r="AA57" i="10"/>
  <c r="Z57" i="10"/>
  <c r="Y57" i="10"/>
  <c r="X57" i="10"/>
  <c r="W57" i="10"/>
  <c r="V57" i="10"/>
  <c r="AA56" i="10"/>
  <c r="Z56" i="10"/>
  <c r="Y56" i="10"/>
  <c r="X56" i="10"/>
  <c r="W56" i="10"/>
  <c r="V56" i="10"/>
  <c r="AA55" i="10"/>
  <c r="Z55" i="10"/>
  <c r="Y55" i="10"/>
  <c r="X55" i="10"/>
  <c r="W55" i="10"/>
  <c r="V55" i="10"/>
  <c r="AA54" i="10"/>
  <c r="Z54" i="10"/>
  <c r="Y54" i="10"/>
  <c r="X54" i="10"/>
  <c r="W54" i="10"/>
  <c r="V54" i="10"/>
  <c r="AA53" i="10"/>
  <c r="Z53" i="10"/>
  <c r="Y53" i="10"/>
  <c r="X53" i="10"/>
  <c r="W53" i="10"/>
  <c r="V53" i="10"/>
  <c r="AA382" i="10"/>
  <c r="Z382" i="10"/>
  <c r="Y382" i="10"/>
  <c r="X382" i="10"/>
  <c r="W382" i="10"/>
  <c r="V382" i="10"/>
  <c r="AA51" i="10"/>
  <c r="Z51" i="10"/>
  <c r="Y51" i="10"/>
  <c r="X51" i="10"/>
  <c r="W51" i="10"/>
  <c r="V51" i="10"/>
  <c r="AA50" i="10"/>
  <c r="Z50" i="10"/>
  <c r="Y50" i="10"/>
  <c r="X50" i="10"/>
  <c r="W50" i="10"/>
  <c r="V50" i="10"/>
  <c r="AA49" i="10"/>
  <c r="Z49" i="10"/>
  <c r="Y49" i="10"/>
  <c r="X49" i="10"/>
  <c r="W49" i="10"/>
  <c r="V49" i="10"/>
  <c r="AA48" i="10"/>
  <c r="Z48" i="10"/>
  <c r="Y48" i="10"/>
  <c r="X48" i="10"/>
  <c r="W48" i="10"/>
  <c r="V48" i="10"/>
  <c r="AA47" i="10"/>
  <c r="Z47" i="10"/>
  <c r="Y47" i="10"/>
  <c r="X47" i="10"/>
  <c r="W47" i="10"/>
  <c r="V47" i="10"/>
  <c r="AA46" i="10"/>
  <c r="Z46" i="10"/>
  <c r="Y46" i="10"/>
  <c r="X46" i="10"/>
  <c r="W46" i="10"/>
  <c r="V46" i="10"/>
  <c r="AA45" i="10"/>
  <c r="Z45" i="10"/>
  <c r="Y45" i="10"/>
  <c r="X45" i="10"/>
  <c r="W45" i="10"/>
  <c r="V45" i="10"/>
  <c r="AA44" i="10"/>
  <c r="Z44" i="10"/>
  <c r="Y44" i="10"/>
  <c r="X44" i="10"/>
  <c r="W44" i="10"/>
  <c r="V44" i="10"/>
  <c r="AA43" i="10"/>
  <c r="Z43" i="10"/>
  <c r="Y43" i="10"/>
  <c r="X43" i="10"/>
  <c r="W43" i="10"/>
  <c r="V43" i="10"/>
  <c r="AA42" i="10"/>
  <c r="Z42" i="10"/>
  <c r="Y42" i="10"/>
  <c r="X42" i="10"/>
  <c r="W42" i="10"/>
  <c r="V42" i="10"/>
  <c r="AA41" i="10"/>
  <c r="Z41" i="10"/>
  <c r="Y41" i="10"/>
  <c r="X41" i="10"/>
  <c r="W41" i="10"/>
  <c r="V41" i="10"/>
  <c r="AA40" i="10"/>
  <c r="Z40" i="10"/>
  <c r="Y40" i="10"/>
  <c r="X40" i="10"/>
  <c r="W40" i="10"/>
  <c r="V40" i="10"/>
  <c r="AA39" i="10"/>
  <c r="Z39" i="10"/>
  <c r="Y39" i="10"/>
  <c r="X39" i="10"/>
  <c r="W39" i="10"/>
  <c r="V39" i="10"/>
  <c r="AA38" i="10"/>
  <c r="Z38" i="10"/>
  <c r="Y38" i="10"/>
  <c r="X38" i="10"/>
  <c r="W38" i="10"/>
  <c r="V38" i="10"/>
  <c r="AA37" i="10"/>
  <c r="Z37" i="10"/>
  <c r="Y37" i="10"/>
  <c r="X37" i="10"/>
  <c r="W37" i="10"/>
  <c r="V37" i="10"/>
  <c r="AA36" i="10"/>
  <c r="Z36" i="10"/>
  <c r="Y36" i="10"/>
  <c r="X36" i="10"/>
  <c r="W36" i="10"/>
  <c r="V36" i="10"/>
  <c r="AA35" i="10"/>
  <c r="Z35" i="10"/>
  <c r="Y35" i="10"/>
  <c r="X35" i="10"/>
  <c r="W35" i="10"/>
  <c r="V35" i="10"/>
  <c r="AA34" i="10"/>
  <c r="Z34" i="10"/>
  <c r="Y34" i="10"/>
  <c r="X34" i="10"/>
  <c r="W34" i="10"/>
  <c r="V34" i="10"/>
  <c r="AA33" i="10"/>
  <c r="Z33" i="10"/>
  <c r="Y33" i="10"/>
  <c r="X33" i="10"/>
  <c r="W33" i="10"/>
  <c r="V33" i="10"/>
  <c r="AA31" i="10"/>
  <c r="Z31" i="10"/>
  <c r="Y31" i="10"/>
  <c r="X31" i="10"/>
  <c r="W31" i="10"/>
  <c r="V31" i="10"/>
  <c r="AA30" i="10"/>
  <c r="Z30" i="10"/>
  <c r="Y30" i="10"/>
  <c r="X30" i="10"/>
  <c r="W30" i="10"/>
  <c r="V30" i="10"/>
  <c r="AA29" i="10"/>
  <c r="Z29" i="10"/>
  <c r="Y29" i="10"/>
  <c r="X29" i="10"/>
  <c r="W29" i="10"/>
  <c r="V29" i="10"/>
  <c r="AA28" i="10"/>
  <c r="Z28" i="10"/>
  <c r="Y28" i="10"/>
  <c r="X28" i="10"/>
  <c r="W28" i="10"/>
  <c r="V28" i="10"/>
  <c r="AA27" i="10"/>
  <c r="Z27" i="10"/>
  <c r="Y27" i="10"/>
  <c r="X27" i="10"/>
  <c r="W27" i="10"/>
  <c r="V27" i="10"/>
  <c r="AA26" i="10"/>
  <c r="Z26" i="10"/>
  <c r="Y26" i="10"/>
  <c r="X26" i="10"/>
  <c r="W26" i="10"/>
  <c r="V26" i="10"/>
  <c r="AA25" i="10"/>
  <c r="Z25" i="10"/>
  <c r="Y25" i="10"/>
  <c r="X25" i="10"/>
  <c r="W25" i="10"/>
  <c r="V25" i="10"/>
  <c r="AA374" i="10"/>
  <c r="Z374" i="10"/>
  <c r="Y374" i="10"/>
  <c r="X374" i="10"/>
  <c r="W374" i="10"/>
  <c r="V374" i="10"/>
  <c r="AA394" i="10"/>
  <c r="Z394" i="10"/>
  <c r="K38" i="14" s="1"/>
  <c r="K45" i="16" s="1"/>
  <c r="Y394" i="10"/>
  <c r="X394" i="10"/>
  <c r="W394" i="10"/>
  <c r="V394" i="10"/>
  <c r="AA22" i="10"/>
  <c r="Z22" i="10"/>
  <c r="Y22" i="10"/>
  <c r="X22" i="10"/>
  <c r="W22" i="10"/>
  <c r="V22" i="10"/>
  <c r="AA21" i="10"/>
  <c r="Z21" i="10"/>
  <c r="Y21" i="10"/>
  <c r="X21" i="10"/>
  <c r="W21" i="10"/>
  <c r="V21" i="10"/>
  <c r="AA20" i="10"/>
  <c r="Z20" i="10"/>
  <c r="Y20" i="10"/>
  <c r="X20" i="10"/>
  <c r="W20" i="10"/>
  <c r="V20" i="10"/>
  <c r="AA19" i="10"/>
  <c r="Z19" i="10"/>
  <c r="Y19" i="10"/>
  <c r="X19" i="10"/>
  <c r="W19" i="10"/>
  <c r="V19" i="10"/>
  <c r="AA18" i="10"/>
  <c r="Z18" i="10"/>
  <c r="Y18" i="10"/>
  <c r="X18" i="10"/>
  <c r="W18" i="10"/>
  <c r="V18" i="10"/>
  <c r="AA17" i="10"/>
  <c r="Z17" i="10"/>
  <c r="Y17" i="10"/>
  <c r="X17" i="10"/>
  <c r="W17" i="10"/>
  <c r="V17" i="10"/>
  <c r="AA16" i="10"/>
  <c r="Z16" i="10"/>
  <c r="Y16" i="10"/>
  <c r="X16" i="10"/>
  <c r="W16" i="10"/>
  <c r="V16" i="10"/>
  <c r="AA15" i="10"/>
  <c r="Z15" i="10"/>
  <c r="Y15" i="10"/>
  <c r="X15" i="10"/>
  <c r="W15" i="10"/>
  <c r="V15" i="10"/>
  <c r="AA14" i="10"/>
  <c r="Z14" i="10"/>
  <c r="Y14" i="10"/>
  <c r="X14" i="10"/>
  <c r="W14" i="10"/>
  <c r="V14" i="10"/>
  <c r="AA13" i="10"/>
  <c r="Z13" i="10"/>
  <c r="Y13" i="10"/>
  <c r="X13" i="10"/>
  <c r="W13" i="10"/>
  <c r="V13" i="10"/>
  <c r="AA12" i="10"/>
  <c r="Z12" i="10"/>
  <c r="Y12" i="10"/>
  <c r="X12" i="10"/>
  <c r="W12" i="10"/>
  <c r="V12" i="10"/>
  <c r="AA11" i="10"/>
  <c r="Z11" i="10"/>
  <c r="Y11" i="10"/>
  <c r="X11" i="10"/>
  <c r="W11" i="10"/>
  <c r="V11" i="10"/>
  <c r="AA10" i="10"/>
  <c r="Z10" i="10"/>
  <c r="Y10" i="10"/>
  <c r="X10" i="10"/>
  <c r="W10" i="10"/>
  <c r="C9" i="10"/>
  <c r="D374" i="10" s="1"/>
  <c r="K6" i="10"/>
  <c r="F6" i="10"/>
  <c r="M112" i="13"/>
  <c r="M82" i="13"/>
  <c r="J38" i="14" l="1"/>
  <c r="G6" i="10"/>
  <c r="M6" i="10" s="1"/>
  <c r="D376" i="10"/>
  <c r="D375" i="10"/>
  <c r="D377" i="10"/>
  <c r="L6" i="10"/>
  <c r="V9" i="10" l="1"/>
  <c r="AI8" i="10" s="1"/>
  <c r="G51" i="14" s="1"/>
  <c r="J45" i="16"/>
  <c r="L395" i="10"/>
  <c r="K395" i="10"/>
  <c r="P395" i="10"/>
  <c r="O395" i="10"/>
  <c r="N395" i="10"/>
  <c r="M395" i="10"/>
  <c r="P380" i="10"/>
  <c r="O380" i="10"/>
  <c r="N380" i="10"/>
  <c r="M380" i="10"/>
  <c r="L380" i="10"/>
  <c r="K380" i="10"/>
  <c r="K386" i="10"/>
  <c r="M386" i="10"/>
  <c r="L386" i="10"/>
  <c r="P386" i="10"/>
  <c r="O386" i="10"/>
  <c r="N386" i="10"/>
  <c r="H6" i="10"/>
  <c r="O388" i="10"/>
  <c r="K388" i="10"/>
  <c r="P388" i="10"/>
  <c r="N388" i="10"/>
  <c r="L388" i="10"/>
  <c r="M388" i="10"/>
  <c r="O389" i="10"/>
  <c r="N389" i="10"/>
  <c r="M389" i="10"/>
  <c r="P389" i="10"/>
  <c r="K389" i="10"/>
  <c r="L389" i="10"/>
  <c r="P376" i="10"/>
  <c r="L376" i="10"/>
  <c r="M376" i="10"/>
  <c r="K376" i="10"/>
  <c r="N376" i="10"/>
  <c r="O376" i="10"/>
  <c r="O379" i="10"/>
  <c r="P379" i="10"/>
  <c r="K379" i="10"/>
  <c r="L379" i="10"/>
  <c r="N379" i="10"/>
  <c r="M379" i="10"/>
  <c r="P385" i="10"/>
  <c r="L385" i="10"/>
  <c r="O385" i="10"/>
  <c r="M385" i="10"/>
  <c r="N385" i="10"/>
  <c r="K385" i="10"/>
  <c r="N375" i="10"/>
  <c r="K375" i="10"/>
  <c r="O375" i="10"/>
  <c r="P375" i="10"/>
  <c r="M375" i="10"/>
  <c r="L375" i="10"/>
  <c r="K377" i="10"/>
  <c r="M377" i="10"/>
  <c r="P377" i="10"/>
  <c r="L377" i="10"/>
  <c r="N377" i="10"/>
  <c r="O377" i="10"/>
  <c r="N384" i="10"/>
  <c r="O384" i="10"/>
  <c r="K384" i="10"/>
  <c r="P384" i="10"/>
  <c r="M384" i="10"/>
  <c r="L384" i="10"/>
  <c r="P382" i="10"/>
  <c r="N382" i="10"/>
  <c r="M382" i="10"/>
  <c r="L382" i="10"/>
  <c r="K382" i="10"/>
  <c r="O382" i="10"/>
  <c r="M383" i="10"/>
  <c r="P383" i="10"/>
  <c r="O383" i="10"/>
  <c r="N383" i="10"/>
  <c r="L383" i="10"/>
  <c r="K383" i="10"/>
  <c r="O394" i="10"/>
  <c r="P394" i="10"/>
  <c r="K394" i="10"/>
  <c r="L394" i="10"/>
  <c r="N394" i="10"/>
  <c r="M394" i="10"/>
  <c r="K374" i="10"/>
  <c r="P374" i="10"/>
  <c r="M374" i="10"/>
  <c r="N374" i="10"/>
  <c r="L374" i="10"/>
  <c r="O374" i="10"/>
  <c r="D9" i="10"/>
  <c r="AI23" i="10" l="1"/>
  <c r="AI234" i="10"/>
  <c r="AI78" i="10"/>
  <c r="AI183" i="10"/>
  <c r="AI164" i="10"/>
  <c r="AI391" i="10"/>
  <c r="AI24" i="10"/>
  <c r="AI392" i="10"/>
  <c r="AI201" i="10"/>
  <c r="AI124" i="10"/>
  <c r="AI93" i="10"/>
  <c r="AI10" i="10"/>
  <c r="AI12" i="10"/>
  <c r="AI49" i="10"/>
  <c r="AI81" i="10"/>
  <c r="AI114" i="10"/>
  <c r="AI146" i="10"/>
  <c r="AI178" i="10"/>
  <c r="AI211" i="10"/>
  <c r="AI244" i="10"/>
  <c r="AI276" i="10"/>
  <c r="AI308" i="10"/>
  <c r="AI340" i="10"/>
  <c r="AI44" i="10"/>
  <c r="AI80" i="10"/>
  <c r="AI113" i="10"/>
  <c r="AI145" i="10"/>
  <c r="AI177" i="10"/>
  <c r="AI210" i="10"/>
  <c r="AI243" i="10"/>
  <c r="AI275" i="10"/>
  <c r="AI307" i="10"/>
  <c r="AI339" i="10"/>
  <c r="AI39" i="10"/>
  <c r="AI71" i="10"/>
  <c r="AI104" i="10"/>
  <c r="AI136" i="10"/>
  <c r="AI168" i="10"/>
  <c r="AI205" i="10"/>
  <c r="AI238" i="10"/>
  <c r="AI270" i="10"/>
  <c r="AI302" i="10"/>
  <c r="AI334" i="10"/>
  <c r="AI34" i="10"/>
  <c r="AI66" i="10"/>
  <c r="AI103" i="10"/>
  <c r="AI143" i="10"/>
  <c r="AI179" i="10"/>
  <c r="AI212" i="10"/>
  <c r="AI245" i="10"/>
  <c r="AI277" i="10"/>
  <c r="AI309" i="10"/>
  <c r="AI341" i="10"/>
  <c r="AI182" i="10"/>
  <c r="AI249" i="10"/>
  <c r="AI281" i="10"/>
  <c r="AI313" i="10"/>
  <c r="AI316" i="10"/>
  <c r="AI321" i="10"/>
  <c r="AI379" i="10"/>
  <c r="AI174" i="10"/>
  <c r="AI141" i="10"/>
  <c r="AI335" i="10"/>
  <c r="AI165" i="10"/>
  <c r="AI29" i="10"/>
  <c r="AI175" i="10"/>
  <c r="AI16" i="10"/>
  <c r="AI53" i="10"/>
  <c r="AI85" i="10"/>
  <c r="AI118" i="10"/>
  <c r="AI150" i="10"/>
  <c r="AI181" i="10"/>
  <c r="AI215" i="10"/>
  <c r="AI248" i="10"/>
  <c r="AI280" i="10"/>
  <c r="AI312" i="10"/>
  <c r="AI344" i="10"/>
  <c r="AI48" i="10"/>
  <c r="AI84" i="10"/>
  <c r="AI117" i="10"/>
  <c r="AI149" i="10"/>
  <c r="AI180" i="10"/>
  <c r="AI214" i="10"/>
  <c r="AI247" i="10"/>
  <c r="AI279" i="10"/>
  <c r="AI311" i="10"/>
  <c r="AI343" i="10"/>
  <c r="AI43" i="10"/>
  <c r="AI74" i="10"/>
  <c r="AI108" i="10"/>
  <c r="AI140" i="10"/>
  <c r="AI172" i="10"/>
  <c r="AI209" i="10"/>
  <c r="AI242" i="10"/>
  <c r="AI274" i="10"/>
  <c r="AI306" i="10"/>
  <c r="AI338" i="10"/>
  <c r="AI38" i="10"/>
  <c r="AI70" i="10"/>
  <c r="AI107" i="10"/>
  <c r="AI147" i="10"/>
  <c r="AI216" i="10"/>
  <c r="AI11" i="10"/>
  <c r="AI257" i="10"/>
  <c r="AI110" i="10"/>
  <c r="AI239" i="10"/>
  <c r="AI132" i="10"/>
  <c r="AI298" i="10"/>
  <c r="AI208" i="10"/>
  <c r="AI20" i="10"/>
  <c r="AI57" i="10"/>
  <c r="AI89" i="10"/>
  <c r="AI121" i="10"/>
  <c r="AI154" i="10"/>
  <c r="AI186" i="10"/>
  <c r="AI219" i="10"/>
  <c r="AI252" i="10"/>
  <c r="AI284" i="10"/>
  <c r="AI317" i="10"/>
  <c r="AI15" i="10"/>
  <c r="AI56" i="10"/>
  <c r="AI88" i="10"/>
  <c r="AI120" i="10"/>
  <c r="AI153" i="10"/>
  <c r="AI185" i="10"/>
  <c r="AI218" i="10"/>
  <c r="AI251" i="10"/>
  <c r="AI283" i="10"/>
  <c r="AI395" i="10"/>
  <c r="AI14" i="10"/>
  <c r="AI47" i="10"/>
  <c r="AI79" i="10"/>
  <c r="AI112" i="10"/>
  <c r="AI144" i="10"/>
  <c r="AI176" i="10"/>
  <c r="AI213" i="10"/>
  <c r="AI246" i="10"/>
  <c r="AI278" i="10"/>
  <c r="AI310" i="10"/>
  <c r="AI342" i="10"/>
  <c r="AI42" i="10"/>
  <c r="AI77" i="10"/>
  <c r="AI111" i="10"/>
  <c r="AI151" i="10"/>
  <c r="AI187" i="10"/>
  <c r="AI220" i="10"/>
  <c r="AI253" i="10"/>
  <c r="AI380" i="10"/>
  <c r="AI394" i="10"/>
  <c r="AI224" i="10"/>
  <c r="AI142" i="10"/>
  <c r="AI173" i="10"/>
  <c r="AI100" i="10"/>
  <c r="AI330" i="10"/>
  <c r="AI241" i="10"/>
  <c r="AI28" i="10"/>
  <c r="AI61" i="10"/>
  <c r="AI94" i="10"/>
  <c r="AI126" i="10"/>
  <c r="AI158" i="10"/>
  <c r="AI190" i="10"/>
  <c r="AI223" i="10"/>
  <c r="AI256" i="10"/>
  <c r="AI288" i="10"/>
  <c r="AI320" i="10"/>
  <c r="AI19" i="10"/>
  <c r="AI60" i="10"/>
  <c r="AI92" i="10"/>
  <c r="AI125" i="10"/>
  <c r="AI157" i="10"/>
  <c r="AI189" i="10"/>
  <c r="AI222" i="10"/>
  <c r="AI255" i="10"/>
  <c r="AI287" i="10"/>
  <c r="AI319" i="10"/>
  <c r="AI18" i="10"/>
  <c r="AI51" i="10"/>
  <c r="AI83" i="10"/>
  <c r="AI116" i="10"/>
  <c r="AI148" i="10"/>
  <c r="AI184" i="10"/>
  <c r="AI217" i="10"/>
  <c r="AI250" i="10"/>
  <c r="AI282" i="10"/>
  <c r="AI314" i="10"/>
  <c r="AI13" i="10"/>
  <c r="AI46" i="10"/>
  <c r="AI82" i="10"/>
  <c r="AI384" i="10"/>
  <c r="AI155" i="10"/>
  <c r="AI191" i="10"/>
  <c r="AI289" i="10"/>
  <c r="AI207" i="10"/>
  <c r="AI109" i="10"/>
  <c r="AI35" i="10"/>
  <c r="AI266" i="10"/>
  <c r="AI139" i="10"/>
  <c r="AI33" i="10"/>
  <c r="AI383" i="10"/>
  <c r="AI98" i="10"/>
  <c r="AI130" i="10"/>
  <c r="AI162" i="10"/>
  <c r="AI194" i="10"/>
  <c r="AI227" i="10"/>
  <c r="AI260" i="10"/>
  <c r="AI292" i="10"/>
  <c r="AI324" i="10"/>
  <c r="AI27" i="10"/>
  <c r="AI64" i="10"/>
  <c r="AI97" i="10"/>
  <c r="AI129" i="10"/>
  <c r="AI161" i="10"/>
  <c r="AI193" i="10"/>
  <c r="AI226" i="10"/>
  <c r="AI259" i="10"/>
  <c r="AI291" i="10"/>
  <c r="AI323" i="10"/>
  <c r="AI22" i="10"/>
  <c r="AI55" i="10"/>
  <c r="AI87" i="10"/>
  <c r="AI119" i="10"/>
  <c r="AI152" i="10"/>
  <c r="AI188" i="10"/>
  <c r="AI221" i="10"/>
  <c r="AI254" i="10"/>
  <c r="AI286" i="10"/>
  <c r="AI318" i="10"/>
  <c r="AI17" i="10"/>
  <c r="AI50" i="10"/>
  <c r="AI86" i="10"/>
  <c r="AI122" i="10"/>
  <c r="AI159" i="10"/>
  <c r="AI195" i="10"/>
  <c r="AI228" i="10"/>
  <c r="AI261" i="10"/>
  <c r="AI293" i="10"/>
  <c r="AI325" i="10"/>
  <c r="AI388" i="10"/>
  <c r="AI21" i="10"/>
  <c r="AI127" i="10"/>
  <c r="AI199" i="10"/>
  <c r="AI232" i="10"/>
  <c r="AI297" i="10"/>
  <c r="AI382" i="10"/>
  <c r="AI333" i="10"/>
  <c r="AI76" i="10"/>
  <c r="AI271" i="10"/>
  <c r="AI200" i="10"/>
  <c r="AI62" i="10"/>
  <c r="AI273" i="10"/>
  <c r="AI37" i="10"/>
  <c r="AI69" i="10"/>
  <c r="AI102" i="10"/>
  <c r="AI134" i="10"/>
  <c r="AI389" i="10"/>
  <c r="AI198" i="10"/>
  <c r="AI231" i="10"/>
  <c r="AI264" i="10"/>
  <c r="AI296" i="10"/>
  <c r="AI328" i="10"/>
  <c r="AI31" i="10"/>
  <c r="AI68" i="10"/>
  <c r="AI101" i="10"/>
  <c r="AI133" i="10"/>
  <c r="AI166" i="10"/>
  <c r="AI197" i="10"/>
  <c r="AI230" i="10"/>
  <c r="AI263" i="10"/>
  <c r="AI295" i="10"/>
  <c r="AI327" i="10"/>
  <c r="AI26" i="10"/>
  <c r="AI59" i="10"/>
  <c r="AI91" i="10"/>
  <c r="AI123" i="10"/>
  <c r="AI156" i="10"/>
  <c r="AI385" i="10"/>
  <c r="AI225" i="10"/>
  <c r="AI386" i="10"/>
  <c r="AI290" i="10"/>
  <c r="AI322" i="10"/>
  <c r="AI54" i="10"/>
  <c r="AI90" i="10"/>
  <c r="AI167" i="10"/>
  <c r="AI265" i="10"/>
  <c r="AI329" i="10"/>
  <c r="AI45" i="10"/>
  <c r="AI240" i="10"/>
  <c r="AI272" i="10"/>
  <c r="AI304" i="10"/>
  <c r="AI336" i="10"/>
  <c r="AI40" i="10"/>
  <c r="AI75" i="10"/>
  <c r="AI206" i="10"/>
  <c r="AI303" i="10"/>
  <c r="AI67" i="10"/>
  <c r="AI233" i="10"/>
  <c r="AI99" i="10"/>
  <c r="AI337" i="10"/>
  <c r="AI41" i="10"/>
  <c r="AI73" i="10"/>
  <c r="AI106" i="10"/>
  <c r="AI138" i="10"/>
  <c r="AI170" i="10"/>
  <c r="AI203" i="10"/>
  <c r="AI236" i="10"/>
  <c r="AI268" i="10"/>
  <c r="AI300" i="10"/>
  <c r="AI332" i="10"/>
  <c r="AI36" i="10"/>
  <c r="AI72" i="10"/>
  <c r="AI105" i="10"/>
  <c r="AI137" i="10"/>
  <c r="AI169" i="10"/>
  <c r="AI202" i="10"/>
  <c r="AI235" i="10"/>
  <c r="AI267" i="10"/>
  <c r="AI299" i="10"/>
  <c r="AI331" i="10"/>
  <c r="AI30" i="10"/>
  <c r="AI63" i="10"/>
  <c r="AI96" i="10"/>
  <c r="AI128" i="10"/>
  <c r="AI160" i="10"/>
  <c r="AI196" i="10"/>
  <c r="AI229" i="10"/>
  <c r="AI262" i="10"/>
  <c r="AI294" i="10"/>
  <c r="AI326" i="10"/>
  <c r="AI25" i="10"/>
  <c r="AI58" i="10"/>
  <c r="AI95" i="10"/>
  <c r="AI135" i="10"/>
  <c r="AI171" i="10"/>
  <c r="AI204" i="10"/>
  <c r="AI237" i="10"/>
  <c r="AI269" i="10"/>
  <c r="AI301" i="10"/>
  <c r="AI305" i="10"/>
  <c r="N6" i="10"/>
  <c r="I6" i="10"/>
  <c r="AI347" i="10" l="1"/>
  <c r="AI4" i="10"/>
  <c r="W9" i="10"/>
  <c r="X9" i="10" s="1"/>
  <c r="Y9" i="10" s="1"/>
  <c r="Z9" i="10" s="1"/>
  <c r="AA9" i="10" s="1"/>
  <c r="O6" i="10"/>
  <c r="J6" i="10"/>
  <c r="D32" i="14"/>
  <c r="B32" i="14"/>
  <c r="C32" i="14"/>
  <c r="H25" i="16"/>
  <c r="G25" i="16"/>
  <c r="D5" i="16"/>
  <c r="C38" i="14"/>
  <c r="C45" i="16" s="1"/>
  <c r="B38" i="14"/>
  <c r="I38" i="14"/>
  <c r="H38" i="14"/>
  <c r="G38" i="14"/>
  <c r="F38" i="14"/>
  <c r="E38" i="14"/>
  <c r="E45" i="16" s="1"/>
  <c r="D38" i="14"/>
  <c r="D45" i="16" s="1"/>
  <c r="B25" i="16"/>
  <c r="F25" i="16"/>
  <c r="E25" i="16"/>
  <c r="C46" i="14"/>
  <c r="C45" i="14"/>
  <c r="B46" i="14"/>
  <c r="B45" i="14"/>
  <c r="F45" i="16" l="1"/>
  <c r="F39" i="14"/>
  <c r="E20" i="20" s="1"/>
  <c r="G45" i="16"/>
  <c r="H45" i="16"/>
  <c r="I45" i="16"/>
  <c r="AN8" i="10"/>
  <c r="AN23" i="10" s="1"/>
  <c r="AK8" i="10"/>
  <c r="AK23" i="10" s="1"/>
  <c r="AJ8" i="10"/>
  <c r="AJ23" i="10" s="1"/>
  <c r="AM8" i="10"/>
  <c r="AM23" i="10" s="1"/>
  <c r="AL8" i="10"/>
  <c r="AL23" i="10" s="1"/>
  <c r="P6" i="10"/>
  <c r="E39" i="14"/>
  <c r="D20" i="20" s="1"/>
  <c r="D39" i="14"/>
  <c r="C20" i="20" s="1"/>
  <c r="C158" i="24"/>
  <c r="C133" i="24" s="1"/>
  <c r="C222" i="24"/>
  <c r="C197" i="24" s="1"/>
  <c r="C62" i="24"/>
  <c r="C37" i="24" s="1"/>
  <c r="C190" i="24"/>
  <c r="C165" i="24" s="1"/>
  <c r="C30" i="24"/>
  <c r="C5" i="24" s="1"/>
  <c r="C94" i="24"/>
  <c r="C69" i="24" s="1"/>
  <c r="C254" i="24"/>
  <c r="C229" i="24" s="1"/>
  <c r="C126" i="24"/>
  <c r="C101" i="24" s="1"/>
  <c r="B221" i="24"/>
  <c r="B196" i="24" s="1"/>
  <c r="B61" i="24"/>
  <c r="B36" i="24" s="1"/>
  <c r="B29" i="24"/>
  <c r="B4" i="24" s="1"/>
  <c r="B189" i="24"/>
  <c r="B164" i="24" s="1"/>
  <c r="B157" i="24"/>
  <c r="B132" i="24" s="1"/>
  <c r="B93" i="24"/>
  <c r="B68" i="24" s="1"/>
  <c r="B253" i="24"/>
  <c r="B228" i="24" s="1"/>
  <c r="B125" i="24"/>
  <c r="B100" i="24" s="1"/>
  <c r="B30" i="24"/>
  <c r="B5" i="24" s="1"/>
  <c r="B222" i="24"/>
  <c r="B197" i="24" s="1"/>
  <c r="B62" i="24"/>
  <c r="B37" i="24" s="1"/>
  <c r="B190" i="24"/>
  <c r="B165" i="24" s="1"/>
  <c r="B158" i="24"/>
  <c r="B133" i="24" s="1"/>
  <c r="B94" i="24"/>
  <c r="B69" i="24" s="1"/>
  <c r="B254" i="24"/>
  <c r="B229" i="24" s="1"/>
  <c r="B126" i="24"/>
  <c r="B101" i="24" s="1"/>
  <c r="C157" i="24"/>
  <c r="C132" i="24" s="1"/>
  <c r="C136" i="24" s="1"/>
  <c r="C140" i="24" s="1"/>
  <c r="C93" i="24"/>
  <c r="C68" i="24" s="1"/>
  <c r="C221" i="24"/>
  <c r="C196" i="24" s="1"/>
  <c r="C61" i="24"/>
  <c r="C36" i="24" s="1"/>
  <c r="C189" i="24"/>
  <c r="C164" i="24" s="1"/>
  <c r="C29" i="24"/>
  <c r="C4" i="24" s="1"/>
  <c r="C253" i="24"/>
  <c r="C228" i="24" s="1"/>
  <c r="C125" i="24"/>
  <c r="C100" i="24" s="1"/>
  <c r="B39" i="14"/>
  <c r="B45" i="16"/>
  <c r="C39" i="14"/>
  <c r="B20" i="20" s="1"/>
  <c r="B23" i="16"/>
  <c r="C23" i="16"/>
  <c r="B24" i="16"/>
  <c r="C24" i="16"/>
  <c r="G363" i="15"/>
  <c r="F363" i="15"/>
  <c r="G362" i="15"/>
  <c r="F362" i="15"/>
  <c r="G361" i="15"/>
  <c r="F361" i="15"/>
  <c r="G360" i="15"/>
  <c r="F360" i="15"/>
  <c r="G359" i="15"/>
  <c r="F359" i="15"/>
  <c r="G358" i="15"/>
  <c r="F358" i="15"/>
  <c r="G357" i="15"/>
  <c r="F357" i="15"/>
  <c r="G356" i="15"/>
  <c r="F356" i="15"/>
  <c r="G355" i="15"/>
  <c r="F355" i="15"/>
  <c r="G354" i="15"/>
  <c r="F354" i="15"/>
  <c r="G353" i="15"/>
  <c r="F353" i="15"/>
  <c r="G352" i="15"/>
  <c r="F352" i="15"/>
  <c r="G351" i="15"/>
  <c r="F351" i="15"/>
  <c r="G350" i="15"/>
  <c r="F350" i="15"/>
  <c r="G349" i="15"/>
  <c r="F349" i="15"/>
  <c r="G348" i="15"/>
  <c r="F348" i="15"/>
  <c r="G347" i="15"/>
  <c r="F347" i="15"/>
  <c r="G346" i="15"/>
  <c r="F346" i="15"/>
  <c r="G345" i="15"/>
  <c r="F345" i="15"/>
  <c r="G344" i="15"/>
  <c r="F344" i="15"/>
  <c r="G343" i="15"/>
  <c r="F343" i="15"/>
  <c r="G342" i="15"/>
  <c r="F342" i="15"/>
  <c r="G341" i="15"/>
  <c r="F341" i="15"/>
  <c r="G340" i="15"/>
  <c r="F340" i="15"/>
  <c r="G339" i="15"/>
  <c r="F339" i="15"/>
  <c r="G338" i="15"/>
  <c r="F338" i="15"/>
  <c r="G337" i="15"/>
  <c r="F337" i="15"/>
  <c r="G336" i="15"/>
  <c r="F336" i="15"/>
  <c r="G335" i="15"/>
  <c r="F335" i="15"/>
  <c r="G334" i="15"/>
  <c r="F334" i="15"/>
  <c r="G333" i="15"/>
  <c r="F333" i="15"/>
  <c r="G332" i="15"/>
  <c r="F332" i="15"/>
  <c r="G331" i="15"/>
  <c r="F331" i="15"/>
  <c r="G330" i="15"/>
  <c r="F330" i="15"/>
  <c r="G329" i="15"/>
  <c r="F329" i="15"/>
  <c r="G328" i="15"/>
  <c r="F328" i="15"/>
  <c r="G327" i="15"/>
  <c r="F327" i="15"/>
  <c r="G326" i="15"/>
  <c r="F326" i="15"/>
  <c r="G325" i="15"/>
  <c r="F325" i="15"/>
  <c r="G324" i="15"/>
  <c r="F324" i="15"/>
  <c r="G323" i="15"/>
  <c r="F323" i="15"/>
  <c r="G322" i="15"/>
  <c r="F322" i="15"/>
  <c r="G321" i="15"/>
  <c r="F321" i="15"/>
  <c r="G320" i="15"/>
  <c r="F320" i="15"/>
  <c r="G319" i="15"/>
  <c r="F319" i="15"/>
  <c r="G318" i="15"/>
  <c r="F318" i="15"/>
  <c r="G317" i="15"/>
  <c r="F317" i="15"/>
  <c r="G316" i="15"/>
  <c r="F316" i="15"/>
  <c r="G315" i="15"/>
  <c r="F315" i="15"/>
  <c r="G314" i="15"/>
  <c r="F314" i="15"/>
  <c r="G313" i="15"/>
  <c r="F313" i="15"/>
  <c r="G312" i="15"/>
  <c r="F312" i="15"/>
  <c r="G311" i="15"/>
  <c r="F311" i="15"/>
  <c r="G310" i="15"/>
  <c r="F310" i="15"/>
  <c r="G309" i="15"/>
  <c r="F309" i="15"/>
  <c r="G308" i="15"/>
  <c r="F308" i="15"/>
  <c r="G307" i="15"/>
  <c r="F307" i="15"/>
  <c r="G306" i="15"/>
  <c r="F306" i="15"/>
  <c r="G305" i="15"/>
  <c r="F305" i="15"/>
  <c r="G304" i="15"/>
  <c r="F304" i="15"/>
  <c r="G303" i="15"/>
  <c r="F303" i="15"/>
  <c r="G302" i="15"/>
  <c r="F302" i="15"/>
  <c r="G301" i="15"/>
  <c r="F301" i="15"/>
  <c r="G300" i="15"/>
  <c r="F300" i="15"/>
  <c r="G299" i="15"/>
  <c r="F299" i="15"/>
  <c r="G298" i="15"/>
  <c r="F298" i="15"/>
  <c r="G297" i="15"/>
  <c r="F297" i="15"/>
  <c r="G296" i="15"/>
  <c r="F296" i="15"/>
  <c r="G295" i="15"/>
  <c r="F295" i="15"/>
  <c r="G294" i="15"/>
  <c r="F294" i="15"/>
  <c r="G293" i="15"/>
  <c r="F293" i="15"/>
  <c r="G292" i="15"/>
  <c r="F292" i="15"/>
  <c r="G291" i="15"/>
  <c r="F291" i="15"/>
  <c r="G290" i="15"/>
  <c r="F290" i="15"/>
  <c r="G289" i="15"/>
  <c r="F289" i="15"/>
  <c r="G288" i="15"/>
  <c r="F288" i="15"/>
  <c r="G287" i="15"/>
  <c r="F287" i="15"/>
  <c r="G286" i="15"/>
  <c r="F286" i="15"/>
  <c r="G285" i="15"/>
  <c r="F285" i="15"/>
  <c r="G284" i="15"/>
  <c r="F284" i="15"/>
  <c r="G283" i="15"/>
  <c r="F283" i="15"/>
  <c r="G282" i="15"/>
  <c r="F282" i="15"/>
  <c r="G281" i="15"/>
  <c r="F281" i="15"/>
  <c r="G280" i="15"/>
  <c r="F280" i="15"/>
  <c r="G279" i="15"/>
  <c r="F279" i="15"/>
  <c r="G278" i="15"/>
  <c r="F278" i="15"/>
  <c r="G277" i="15"/>
  <c r="F277" i="15"/>
  <c r="G276" i="15"/>
  <c r="F276" i="15"/>
  <c r="G275" i="15"/>
  <c r="F275" i="15"/>
  <c r="G274" i="15"/>
  <c r="F274" i="15"/>
  <c r="G273" i="15"/>
  <c r="F273" i="15"/>
  <c r="G272" i="15"/>
  <c r="F272" i="15"/>
  <c r="G271" i="15"/>
  <c r="F271" i="15"/>
  <c r="G270" i="15"/>
  <c r="F270" i="15"/>
  <c r="G269" i="15"/>
  <c r="F269" i="15"/>
  <c r="G268" i="15"/>
  <c r="F268" i="15"/>
  <c r="G267" i="15"/>
  <c r="F267" i="15"/>
  <c r="G266" i="15"/>
  <c r="F266" i="15"/>
  <c r="G265" i="15"/>
  <c r="F265" i="15"/>
  <c r="G264" i="15"/>
  <c r="F264" i="15"/>
  <c r="G263" i="15"/>
  <c r="F263" i="15"/>
  <c r="G262" i="15"/>
  <c r="F262" i="15"/>
  <c r="G261" i="15"/>
  <c r="F261" i="15"/>
  <c r="G260" i="15"/>
  <c r="F260" i="15"/>
  <c r="G259" i="15"/>
  <c r="F259" i="15"/>
  <c r="G258" i="15"/>
  <c r="F258" i="15"/>
  <c r="G257" i="15"/>
  <c r="F257" i="15"/>
  <c r="G256" i="15"/>
  <c r="F256" i="15"/>
  <c r="G255" i="15"/>
  <c r="F255" i="15"/>
  <c r="G254" i="15"/>
  <c r="F254" i="15"/>
  <c r="G253" i="15"/>
  <c r="F253" i="15"/>
  <c r="G252" i="15"/>
  <c r="F252" i="15"/>
  <c r="G251" i="15"/>
  <c r="F251" i="15"/>
  <c r="G250" i="15"/>
  <c r="F250" i="15"/>
  <c r="G249" i="15"/>
  <c r="F249" i="15"/>
  <c r="G248" i="15"/>
  <c r="F248" i="15"/>
  <c r="G247" i="15"/>
  <c r="F247" i="15"/>
  <c r="G246" i="15"/>
  <c r="F246" i="15"/>
  <c r="G245" i="15"/>
  <c r="F245" i="15"/>
  <c r="G244" i="15"/>
  <c r="F244" i="15"/>
  <c r="G243" i="15"/>
  <c r="F243" i="15"/>
  <c r="G242" i="15"/>
  <c r="F242" i="15"/>
  <c r="G241" i="15"/>
  <c r="F241" i="15"/>
  <c r="G240" i="15"/>
  <c r="F240" i="15"/>
  <c r="G239" i="15"/>
  <c r="F239" i="15"/>
  <c r="G238" i="15"/>
  <c r="F238" i="15"/>
  <c r="G237" i="15"/>
  <c r="F237" i="15"/>
  <c r="G236" i="15"/>
  <c r="F236" i="15"/>
  <c r="G235" i="15"/>
  <c r="F235" i="15"/>
  <c r="G234" i="15"/>
  <c r="F234" i="15"/>
  <c r="G233" i="15"/>
  <c r="F233" i="15"/>
  <c r="G232" i="15"/>
  <c r="F232" i="15"/>
  <c r="G231" i="15"/>
  <c r="F231" i="15"/>
  <c r="G230" i="15"/>
  <c r="F230" i="15"/>
  <c r="G229" i="15"/>
  <c r="F229" i="15"/>
  <c r="G228" i="15"/>
  <c r="F228" i="15"/>
  <c r="G227" i="15"/>
  <c r="F227" i="15"/>
  <c r="G226" i="15"/>
  <c r="F226" i="15"/>
  <c r="G225" i="15"/>
  <c r="F225" i="15"/>
  <c r="G224" i="15"/>
  <c r="F224" i="15"/>
  <c r="G223" i="15"/>
  <c r="F223" i="15"/>
  <c r="G222" i="15"/>
  <c r="F222" i="15"/>
  <c r="G221" i="15"/>
  <c r="F221" i="15"/>
  <c r="G220" i="15"/>
  <c r="F220" i="15"/>
  <c r="G219" i="15"/>
  <c r="F219" i="15"/>
  <c r="G218" i="15"/>
  <c r="F218" i="15"/>
  <c r="G217" i="15"/>
  <c r="F217" i="15"/>
  <c r="G216" i="15"/>
  <c r="F216" i="15"/>
  <c r="G215" i="15"/>
  <c r="F215" i="15"/>
  <c r="G214" i="15"/>
  <c r="F214" i="15"/>
  <c r="G213" i="15"/>
  <c r="F213" i="15"/>
  <c r="G212" i="15"/>
  <c r="F212" i="15"/>
  <c r="G211" i="15"/>
  <c r="F211" i="15"/>
  <c r="G210" i="15"/>
  <c r="F210" i="15"/>
  <c r="G209" i="15"/>
  <c r="F209" i="15"/>
  <c r="G208" i="15"/>
  <c r="F208" i="15"/>
  <c r="G207" i="15"/>
  <c r="F207" i="15"/>
  <c r="G206" i="15"/>
  <c r="F206" i="15"/>
  <c r="G205" i="15"/>
  <c r="F205" i="15"/>
  <c r="G204" i="15"/>
  <c r="F204" i="15"/>
  <c r="G203" i="15"/>
  <c r="F203" i="15"/>
  <c r="G202" i="15"/>
  <c r="F202" i="15"/>
  <c r="G201" i="15"/>
  <c r="F201" i="15"/>
  <c r="G200" i="15"/>
  <c r="F200" i="15"/>
  <c r="G199" i="15"/>
  <c r="F199" i="15"/>
  <c r="G198" i="15"/>
  <c r="F198" i="15"/>
  <c r="G197" i="15"/>
  <c r="F197" i="15"/>
  <c r="G196" i="15"/>
  <c r="F196" i="15"/>
  <c r="G195" i="15"/>
  <c r="F195" i="15"/>
  <c r="G194" i="15"/>
  <c r="F194" i="15"/>
  <c r="G193" i="15"/>
  <c r="F193" i="15"/>
  <c r="G192" i="15"/>
  <c r="F192" i="15"/>
  <c r="G191" i="15"/>
  <c r="F191" i="15"/>
  <c r="G190" i="15"/>
  <c r="F190" i="15"/>
  <c r="G189" i="15"/>
  <c r="F189" i="15"/>
  <c r="G188" i="15"/>
  <c r="F188" i="15"/>
  <c r="G187" i="15"/>
  <c r="F187" i="15"/>
  <c r="G186" i="15"/>
  <c r="F186" i="15"/>
  <c r="G185" i="15"/>
  <c r="F185" i="15"/>
  <c r="G184" i="15"/>
  <c r="F184" i="15"/>
  <c r="G183" i="15"/>
  <c r="F183" i="15"/>
  <c r="G182" i="15"/>
  <c r="F182" i="15"/>
  <c r="G181" i="15"/>
  <c r="F181" i="15"/>
  <c r="G180" i="15"/>
  <c r="F180" i="15"/>
  <c r="G179" i="15"/>
  <c r="F179" i="15"/>
  <c r="G178" i="15"/>
  <c r="F178" i="15"/>
  <c r="G177" i="15"/>
  <c r="F177" i="15"/>
  <c r="G176" i="15"/>
  <c r="F176" i="15"/>
  <c r="G175" i="15"/>
  <c r="F175" i="15"/>
  <c r="G174" i="15"/>
  <c r="F174" i="15"/>
  <c r="G173" i="15"/>
  <c r="F173" i="15"/>
  <c r="G172" i="15"/>
  <c r="F172" i="15"/>
  <c r="G171" i="15"/>
  <c r="F171" i="15"/>
  <c r="G170" i="15"/>
  <c r="F170" i="15"/>
  <c r="G169" i="15"/>
  <c r="F169" i="15"/>
  <c r="G168" i="15"/>
  <c r="F168" i="15"/>
  <c r="G167" i="15"/>
  <c r="F167" i="15"/>
  <c r="G166" i="15"/>
  <c r="F166" i="15"/>
  <c r="G165" i="15"/>
  <c r="F165" i="15"/>
  <c r="G164" i="15"/>
  <c r="F164" i="15"/>
  <c r="G163" i="15"/>
  <c r="F163" i="15"/>
  <c r="G162" i="15"/>
  <c r="F162" i="15"/>
  <c r="G161" i="15"/>
  <c r="F161" i="15"/>
  <c r="G160" i="15"/>
  <c r="F160" i="15"/>
  <c r="G159" i="15"/>
  <c r="F159" i="15"/>
  <c r="G158" i="15"/>
  <c r="F158" i="15"/>
  <c r="G157" i="15"/>
  <c r="F157" i="15"/>
  <c r="G156" i="15"/>
  <c r="F156" i="15"/>
  <c r="G155" i="15"/>
  <c r="F155" i="15"/>
  <c r="G154" i="15"/>
  <c r="F154" i="15"/>
  <c r="G153" i="15"/>
  <c r="F153" i="15"/>
  <c r="G152" i="15"/>
  <c r="F152" i="15"/>
  <c r="G151" i="15"/>
  <c r="F151" i="15"/>
  <c r="G150" i="15"/>
  <c r="F150" i="15"/>
  <c r="G149" i="15"/>
  <c r="F149" i="15"/>
  <c r="G148" i="15"/>
  <c r="F148" i="15"/>
  <c r="G147" i="15"/>
  <c r="F147" i="15"/>
  <c r="G146" i="15"/>
  <c r="F146" i="15"/>
  <c r="G145" i="15"/>
  <c r="F145" i="15"/>
  <c r="G144" i="15"/>
  <c r="F144" i="15"/>
  <c r="G143" i="15"/>
  <c r="F143" i="15"/>
  <c r="G142" i="15"/>
  <c r="F142" i="15"/>
  <c r="G141" i="15"/>
  <c r="F141" i="15"/>
  <c r="G140" i="15"/>
  <c r="F140" i="15"/>
  <c r="G139" i="15"/>
  <c r="F139" i="15"/>
  <c r="G138" i="15"/>
  <c r="F138" i="15"/>
  <c r="G137" i="15"/>
  <c r="F137" i="15"/>
  <c r="G136" i="15"/>
  <c r="F136" i="15"/>
  <c r="G135" i="15"/>
  <c r="F135" i="15"/>
  <c r="G134" i="15"/>
  <c r="F134" i="15"/>
  <c r="G133" i="15"/>
  <c r="F133" i="15"/>
  <c r="G132" i="15"/>
  <c r="F132" i="15"/>
  <c r="G131" i="15"/>
  <c r="F131" i="15"/>
  <c r="G130" i="15"/>
  <c r="F130" i="15"/>
  <c r="G129" i="15"/>
  <c r="F129" i="15"/>
  <c r="G128" i="15"/>
  <c r="F128" i="15"/>
  <c r="G127" i="15"/>
  <c r="F127" i="15"/>
  <c r="G126" i="15"/>
  <c r="F126" i="15"/>
  <c r="G125" i="15"/>
  <c r="F125" i="15"/>
  <c r="G124" i="15"/>
  <c r="F124" i="15"/>
  <c r="G123" i="15"/>
  <c r="F123" i="15"/>
  <c r="G122" i="15"/>
  <c r="F122" i="15"/>
  <c r="G121" i="15"/>
  <c r="F121" i="15"/>
  <c r="G120" i="15"/>
  <c r="F120" i="15"/>
  <c r="G119" i="15"/>
  <c r="F119" i="15"/>
  <c r="G118" i="15"/>
  <c r="F118" i="15"/>
  <c r="G117" i="15"/>
  <c r="F117" i="15"/>
  <c r="G116" i="15"/>
  <c r="F116" i="15"/>
  <c r="G115" i="15"/>
  <c r="F115" i="15"/>
  <c r="G114" i="15"/>
  <c r="F114" i="15"/>
  <c r="G113" i="15"/>
  <c r="F113" i="15"/>
  <c r="G112" i="15"/>
  <c r="F112" i="15"/>
  <c r="G111" i="15"/>
  <c r="F111" i="15"/>
  <c r="G110" i="15"/>
  <c r="F110" i="15"/>
  <c r="G109" i="15"/>
  <c r="F109" i="15"/>
  <c r="G108" i="15"/>
  <c r="F108" i="15"/>
  <c r="G107" i="15"/>
  <c r="F107" i="15"/>
  <c r="G106" i="15"/>
  <c r="F106" i="15"/>
  <c r="G105" i="15"/>
  <c r="F105" i="15"/>
  <c r="G104" i="15"/>
  <c r="F104" i="15"/>
  <c r="G103" i="15"/>
  <c r="F103" i="15"/>
  <c r="G102" i="15"/>
  <c r="F102" i="15"/>
  <c r="G101" i="15"/>
  <c r="F101" i="15"/>
  <c r="G100" i="15"/>
  <c r="F100" i="15"/>
  <c r="G99" i="15"/>
  <c r="F99" i="15"/>
  <c r="G98" i="15"/>
  <c r="F98" i="15"/>
  <c r="G97" i="15"/>
  <c r="F97" i="15"/>
  <c r="G96" i="15"/>
  <c r="F96" i="15"/>
  <c r="G95" i="15"/>
  <c r="F95" i="15"/>
  <c r="G94" i="15"/>
  <c r="F94" i="15"/>
  <c r="G93" i="15"/>
  <c r="F93" i="15"/>
  <c r="G92" i="15"/>
  <c r="F92" i="15"/>
  <c r="G91" i="15"/>
  <c r="F91" i="15"/>
  <c r="G90" i="15"/>
  <c r="F90" i="15"/>
  <c r="G89" i="15"/>
  <c r="F89" i="15"/>
  <c r="G88" i="15"/>
  <c r="F88" i="15"/>
  <c r="G87" i="15"/>
  <c r="F87" i="15"/>
  <c r="G86" i="15"/>
  <c r="F86" i="15"/>
  <c r="G85" i="15"/>
  <c r="F85" i="15"/>
  <c r="G84" i="15"/>
  <c r="F84" i="15"/>
  <c r="G83" i="15"/>
  <c r="F83" i="15"/>
  <c r="G82" i="15"/>
  <c r="F82" i="15"/>
  <c r="G81" i="15"/>
  <c r="F81" i="15"/>
  <c r="G80" i="15"/>
  <c r="F80" i="15"/>
  <c r="G79" i="15"/>
  <c r="F79" i="15"/>
  <c r="G78" i="15"/>
  <c r="F78" i="15"/>
  <c r="G77" i="15"/>
  <c r="F77" i="15"/>
  <c r="G76" i="15"/>
  <c r="F76" i="15"/>
  <c r="G75" i="15"/>
  <c r="F75" i="15"/>
  <c r="G74" i="15"/>
  <c r="F74" i="15"/>
  <c r="G73" i="15"/>
  <c r="F73" i="15"/>
  <c r="G72" i="15"/>
  <c r="F72" i="15"/>
  <c r="G71" i="15"/>
  <c r="F71" i="15"/>
  <c r="G70" i="15"/>
  <c r="F70" i="15"/>
  <c r="G69" i="15"/>
  <c r="F69" i="15"/>
  <c r="G68" i="15"/>
  <c r="F68" i="15"/>
  <c r="G67" i="15"/>
  <c r="F67" i="15"/>
  <c r="G66" i="15"/>
  <c r="F66" i="15"/>
  <c r="G65" i="15"/>
  <c r="F65" i="15"/>
  <c r="G64" i="15"/>
  <c r="F64" i="15"/>
  <c r="G63" i="15"/>
  <c r="F63" i="15"/>
  <c r="G62" i="15"/>
  <c r="F62" i="15"/>
  <c r="G61" i="15"/>
  <c r="F61" i="15"/>
  <c r="G60" i="15"/>
  <c r="F60" i="15"/>
  <c r="G59" i="15"/>
  <c r="F59" i="15"/>
  <c r="G58" i="15"/>
  <c r="F58" i="15"/>
  <c r="G57" i="15"/>
  <c r="F57" i="15"/>
  <c r="G56" i="15"/>
  <c r="F56" i="15"/>
  <c r="G55" i="15"/>
  <c r="F55" i="15"/>
  <c r="G54" i="15"/>
  <c r="F54" i="15"/>
  <c r="G53" i="15"/>
  <c r="F53" i="15"/>
  <c r="G52" i="15"/>
  <c r="F52" i="15"/>
  <c r="G51" i="15"/>
  <c r="F51" i="15"/>
  <c r="G50" i="15"/>
  <c r="F50" i="15"/>
  <c r="G49" i="15"/>
  <c r="F49" i="15"/>
  <c r="G48" i="15"/>
  <c r="F48" i="15"/>
  <c r="G47" i="15"/>
  <c r="F47" i="15"/>
  <c r="G46" i="15"/>
  <c r="F46" i="15"/>
  <c r="G45" i="15"/>
  <c r="F45" i="15"/>
  <c r="G44" i="15"/>
  <c r="F44" i="15"/>
  <c r="G43" i="15"/>
  <c r="F43" i="15"/>
  <c r="G42" i="15"/>
  <c r="F42" i="15"/>
  <c r="G41" i="15"/>
  <c r="F41" i="15"/>
  <c r="G40" i="15"/>
  <c r="F40" i="15"/>
  <c r="G39" i="15"/>
  <c r="F39" i="15"/>
  <c r="G38" i="15"/>
  <c r="F38" i="15"/>
  <c r="G37" i="15"/>
  <c r="F37" i="15"/>
  <c r="G36" i="15"/>
  <c r="F36" i="15"/>
  <c r="G35" i="15"/>
  <c r="F35" i="15"/>
  <c r="G34" i="15"/>
  <c r="F34" i="15"/>
  <c r="G33" i="15"/>
  <c r="F33" i="15"/>
  <c r="G32" i="15"/>
  <c r="F32" i="15"/>
  <c r="G31" i="15"/>
  <c r="F31" i="15"/>
  <c r="G30" i="15"/>
  <c r="F30" i="15"/>
  <c r="G29" i="15"/>
  <c r="F29" i="15"/>
  <c r="G28" i="15"/>
  <c r="F28" i="15"/>
  <c r="G27" i="15"/>
  <c r="F27" i="15"/>
  <c r="G26" i="15"/>
  <c r="F26" i="15"/>
  <c r="G25" i="15"/>
  <c r="F25" i="15"/>
  <c r="G24" i="15"/>
  <c r="F24" i="15"/>
  <c r="G23" i="15"/>
  <c r="F23" i="15"/>
  <c r="G22" i="15"/>
  <c r="F22" i="15"/>
  <c r="G21" i="15"/>
  <c r="F21" i="15"/>
  <c r="G20" i="15"/>
  <c r="F20" i="15"/>
  <c r="G19" i="15"/>
  <c r="F19" i="15"/>
  <c r="G18" i="15"/>
  <c r="F18" i="15"/>
  <c r="G17" i="15"/>
  <c r="F17" i="15"/>
  <c r="G16" i="15"/>
  <c r="F16" i="15"/>
  <c r="G15" i="15"/>
  <c r="F15" i="15"/>
  <c r="G14" i="15"/>
  <c r="F14" i="15"/>
  <c r="G13" i="15"/>
  <c r="F13" i="15"/>
  <c r="G12" i="15"/>
  <c r="F12" i="15"/>
  <c r="G11" i="15"/>
  <c r="F11" i="15"/>
  <c r="G10" i="15"/>
  <c r="F10" i="15"/>
  <c r="G9" i="15"/>
  <c r="F9" i="15"/>
  <c r="K47" i="16" l="1"/>
  <c r="L47" i="16"/>
  <c r="AN164" i="10"/>
  <c r="AN78" i="10"/>
  <c r="AL78" i="10"/>
  <c r="AL164" i="10"/>
  <c r="AM164" i="10"/>
  <c r="AM78" i="10"/>
  <c r="AJ164" i="10"/>
  <c r="AJ78" i="10"/>
  <c r="AK78" i="10"/>
  <c r="AK164" i="10"/>
  <c r="AN234" i="10"/>
  <c r="AN183" i="10"/>
  <c r="AL234" i="10"/>
  <c r="AL183" i="10"/>
  <c r="AM234" i="10"/>
  <c r="AM183" i="10"/>
  <c r="AJ183" i="10"/>
  <c r="AJ234" i="10"/>
  <c r="AK183" i="10"/>
  <c r="AK234" i="10"/>
  <c r="C232" i="24"/>
  <c r="C236" i="24" s="1"/>
  <c r="AN24" i="10"/>
  <c r="AN391" i="10"/>
  <c r="AL24" i="10"/>
  <c r="AL391" i="10"/>
  <c r="AM24" i="10"/>
  <c r="AM391" i="10"/>
  <c r="AJ24" i="10"/>
  <c r="AJ391" i="10"/>
  <c r="AK24" i="10"/>
  <c r="AK391" i="10"/>
  <c r="AL14" i="10"/>
  <c r="AL18" i="10"/>
  <c r="AL22" i="10"/>
  <c r="AL26" i="10"/>
  <c r="AL30" i="10"/>
  <c r="AL34" i="10"/>
  <c r="AL38" i="10"/>
  <c r="AL42" i="10"/>
  <c r="AL46" i="10"/>
  <c r="AL50" i="10"/>
  <c r="AL54" i="10"/>
  <c r="AL58" i="10"/>
  <c r="AL62" i="10"/>
  <c r="AL66" i="10"/>
  <c r="AL70" i="10"/>
  <c r="AL74" i="10"/>
  <c r="AL79" i="10"/>
  <c r="AL83" i="10"/>
  <c r="AL87" i="10"/>
  <c r="AL91" i="10"/>
  <c r="AL95" i="10"/>
  <c r="AL99" i="10"/>
  <c r="AL103" i="10"/>
  <c r="AL107" i="10"/>
  <c r="AL111" i="10"/>
  <c r="AL384" i="10"/>
  <c r="AL119" i="10"/>
  <c r="AL123" i="10"/>
  <c r="AL13" i="10"/>
  <c r="AL17" i="10"/>
  <c r="AL15" i="10"/>
  <c r="AL29" i="10"/>
  <c r="AL31" i="10"/>
  <c r="AL48" i="10"/>
  <c r="AL63" i="10"/>
  <c r="AL383" i="10"/>
  <c r="AL81" i="10"/>
  <c r="AL96" i="10"/>
  <c r="AL98" i="10"/>
  <c r="AL113" i="10"/>
  <c r="AL25" i="10"/>
  <c r="AL27" i="10"/>
  <c r="AL44" i="10"/>
  <c r="AL382" i="10"/>
  <c r="AL67" i="10"/>
  <c r="AL69" i="10"/>
  <c r="AL85" i="10"/>
  <c r="AL21" i="10"/>
  <c r="AL394" i="10"/>
  <c r="AL40" i="10"/>
  <c r="AL56" i="10"/>
  <c r="AL71" i="10"/>
  <c r="AL73" i="10"/>
  <c r="AL89" i="10"/>
  <c r="AL104" i="10"/>
  <c r="AL106" i="10"/>
  <c r="AL121" i="10"/>
  <c r="AL132" i="10"/>
  <c r="AL136" i="10"/>
  <c r="AL16" i="10"/>
  <c r="AL36" i="10"/>
  <c r="AL60" i="10"/>
  <c r="AL75" i="10"/>
  <c r="AL77" i="10"/>
  <c r="AL93" i="10"/>
  <c r="AL108" i="10"/>
  <c r="AL110" i="10"/>
  <c r="AL128" i="10"/>
  <c r="AL11" i="10"/>
  <c r="AL19" i="10"/>
  <c r="AL392" i="10"/>
  <c r="AL45" i="10"/>
  <c r="AL47" i="10"/>
  <c r="AL49" i="10"/>
  <c r="AL64" i="10"/>
  <c r="AL80" i="10"/>
  <c r="AL82" i="10"/>
  <c r="AL97" i="10"/>
  <c r="AL112" i="10"/>
  <c r="AL114" i="10"/>
  <c r="AL28" i="10"/>
  <c r="AL41" i="10"/>
  <c r="AL43" i="10"/>
  <c r="AL51" i="10"/>
  <c r="AL53" i="10"/>
  <c r="AL68" i="10"/>
  <c r="AL84" i="10"/>
  <c r="AL86" i="10"/>
  <c r="AL12" i="10"/>
  <c r="AL20" i="10"/>
  <c r="AL33" i="10"/>
  <c r="AL35" i="10"/>
  <c r="AL59" i="10"/>
  <c r="AL61" i="10"/>
  <c r="AL76" i="10"/>
  <c r="AL92" i="10"/>
  <c r="AL94" i="10"/>
  <c r="AL109" i="10"/>
  <c r="AL124" i="10"/>
  <c r="AL116" i="10"/>
  <c r="AL126" i="10"/>
  <c r="AL134" i="10"/>
  <c r="AL39" i="10"/>
  <c r="AL57" i="10"/>
  <c r="AL102" i="10"/>
  <c r="AL105" i="10"/>
  <c r="AL122" i="10"/>
  <c r="AL129" i="10"/>
  <c r="AL388" i="10"/>
  <c r="AL117" i="10"/>
  <c r="AL125" i="10"/>
  <c r="AL133" i="10"/>
  <c r="AL135" i="10"/>
  <c r="AL100" i="10"/>
  <c r="AL118" i="10"/>
  <c r="AL120" i="10"/>
  <c r="AL208" i="10"/>
  <c r="AL212" i="10"/>
  <c r="AL216" i="10"/>
  <c r="AL220" i="10"/>
  <c r="AL224" i="10"/>
  <c r="AL228" i="10"/>
  <c r="AL232" i="10"/>
  <c r="AL236" i="10"/>
  <c r="AL240" i="10"/>
  <c r="AL244" i="10"/>
  <c r="AL72" i="10"/>
  <c r="AL210" i="10"/>
  <c r="AL225" i="10"/>
  <c r="AL227" i="10"/>
  <c r="AL242" i="10"/>
  <c r="AL254" i="10"/>
  <c r="AL262" i="10"/>
  <c r="AL270" i="10"/>
  <c r="AL273" i="10"/>
  <c r="AL277" i="10"/>
  <c r="AL281" i="10"/>
  <c r="AL380" i="10"/>
  <c r="AL289" i="10"/>
  <c r="AL293" i="10"/>
  <c r="AL297" i="10"/>
  <c r="AL301" i="10"/>
  <c r="AL305" i="10"/>
  <c r="AL88" i="10"/>
  <c r="AL214" i="10"/>
  <c r="AL229" i="10"/>
  <c r="AL231" i="10"/>
  <c r="AL246" i="10"/>
  <c r="AL251" i="10"/>
  <c r="AL259" i="10"/>
  <c r="AL267" i="10"/>
  <c r="AL55" i="10"/>
  <c r="AL90" i="10"/>
  <c r="AL139" i="10"/>
  <c r="AL209" i="10"/>
  <c r="AL211" i="10"/>
  <c r="AL226" i="10"/>
  <c r="AL241" i="10"/>
  <c r="AL243" i="10"/>
  <c r="AL250" i="10"/>
  <c r="AL386" i="10"/>
  <c r="AL266" i="10"/>
  <c r="AL275" i="10"/>
  <c r="AL213" i="10"/>
  <c r="AL215" i="10"/>
  <c r="AL230" i="10"/>
  <c r="AL245" i="10"/>
  <c r="AL247" i="10"/>
  <c r="AL255" i="10"/>
  <c r="AL263" i="10"/>
  <c r="AL271" i="10"/>
  <c r="AL206" i="10"/>
  <c r="AL219" i="10"/>
  <c r="AL261" i="10"/>
  <c r="AL296" i="10"/>
  <c r="AL306" i="10"/>
  <c r="AL319" i="10"/>
  <c r="AL323" i="10"/>
  <c r="AL327" i="10"/>
  <c r="AL331" i="10"/>
  <c r="AL335" i="10"/>
  <c r="AL339" i="10"/>
  <c r="AL343" i="10"/>
  <c r="AL330" i="10"/>
  <c r="AL338" i="10"/>
  <c r="AL342" i="10"/>
  <c r="AL130" i="10"/>
  <c r="AL237" i="10"/>
  <c r="AL256" i="10"/>
  <c r="AL279" i="10"/>
  <c r="AL286" i="10"/>
  <c r="AL291" i="10"/>
  <c r="AL309" i="10"/>
  <c r="AL312" i="10"/>
  <c r="AL326" i="10"/>
  <c r="AL334" i="10"/>
  <c r="AL217" i="10"/>
  <c r="AL222" i="10"/>
  <c r="AL235" i="10"/>
  <c r="AL253" i="10"/>
  <c r="AL268" i="10"/>
  <c r="AL288" i="10"/>
  <c r="AL298" i="10"/>
  <c r="AL303" i="10"/>
  <c r="AL395" i="10"/>
  <c r="AL318" i="10"/>
  <c r="AL322" i="10"/>
  <c r="AL37" i="10"/>
  <c r="AL137" i="10"/>
  <c r="AL207" i="10"/>
  <c r="AL248" i="10"/>
  <c r="AL265" i="10"/>
  <c r="AL276" i="10"/>
  <c r="AL283" i="10"/>
  <c r="AL300" i="10"/>
  <c r="AL308" i="10"/>
  <c r="AL10" i="10"/>
  <c r="AL201" i="10"/>
  <c r="AL233" i="10"/>
  <c r="AL238" i="10"/>
  <c r="AL260" i="10"/>
  <c r="AL274" i="10"/>
  <c r="AL278" i="10"/>
  <c r="AL280" i="10"/>
  <c r="AL290" i="10"/>
  <c r="AL295" i="10"/>
  <c r="AL311" i="10"/>
  <c r="AL314" i="10"/>
  <c r="AL321" i="10"/>
  <c r="AL325" i="10"/>
  <c r="AL329" i="10"/>
  <c r="AL333" i="10"/>
  <c r="AL337" i="10"/>
  <c r="AL341" i="10"/>
  <c r="AL252" i="10"/>
  <c r="AL269" i="10"/>
  <c r="AL282" i="10"/>
  <c r="AL101" i="10"/>
  <c r="AL127" i="10"/>
  <c r="AL138" i="10"/>
  <c r="AL205" i="10"/>
  <c r="AL218" i="10"/>
  <c r="AL223" i="10"/>
  <c r="AL257" i="10"/>
  <c r="AL272" i="10"/>
  <c r="AL292" i="10"/>
  <c r="AL302" i="10"/>
  <c r="AL316" i="10"/>
  <c r="I39" i="14"/>
  <c r="H20" i="20" s="1"/>
  <c r="AL287" i="10"/>
  <c r="AL304" i="10"/>
  <c r="AL221" i="10"/>
  <c r="AL239" i="10"/>
  <c r="AL249" i="10"/>
  <c r="AL264" i="10"/>
  <c r="AL284" i="10"/>
  <c r="AL294" i="10"/>
  <c r="AL299" i="10"/>
  <c r="AL313" i="10"/>
  <c r="AL317" i="10"/>
  <c r="AL307" i="10"/>
  <c r="AL344" i="10"/>
  <c r="AL340" i="10"/>
  <c r="AL336" i="10"/>
  <c r="AL332" i="10"/>
  <c r="AL310" i="10"/>
  <c r="AL324" i="10"/>
  <c r="AL328" i="10"/>
  <c r="AL320" i="10"/>
  <c r="AL177" i="10"/>
  <c r="AL165" i="10"/>
  <c r="AL167" i="10"/>
  <c r="AL166" i="10"/>
  <c r="AL190" i="10"/>
  <c r="AL150" i="10"/>
  <c r="AL180" i="10"/>
  <c r="AL185" i="10"/>
  <c r="AL144" i="10"/>
  <c r="AL176" i="10"/>
  <c r="AL188" i="10"/>
  <c r="AL145" i="10"/>
  <c r="AL147" i="10"/>
  <c r="AL179" i="10"/>
  <c r="AL191" i="10"/>
  <c r="AL146" i="10"/>
  <c r="AL170" i="10"/>
  <c r="AL203" i="10"/>
  <c r="AL154" i="10"/>
  <c r="AL189" i="10"/>
  <c r="AL379" i="10"/>
  <c r="AL186" i="10"/>
  <c r="AL156" i="10"/>
  <c r="AL200" i="10"/>
  <c r="AL159" i="10"/>
  <c r="AL204" i="10"/>
  <c r="AL181" i="10"/>
  <c r="AL182" i="10"/>
  <c r="AL193" i="10"/>
  <c r="AL141" i="10"/>
  <c r="AL142" i="10"/>
  <c r="AL149" i="10"/>
  <c r="AL168" i="10"/>
  <c r="AL157" i="10"/>
  <c r="AL171" i="10"/>
  <c r="AL148" i="10"/>
  <c r="AL385" i="10"/>
  <c r="AL151" i="10"/>
  <c r="AL161" i="10"/>
  <c r="AL169" i="10"/>
  <c r="AL140" i="10"/>
  <c r="AL172" i="10"/>
  <c r="AL184" i="10"/>
  <c r="AL143" i="10"/>
  <c r="AL175" i="10"/>
  <c r="AL187" i="10"/>
  <c r="AL153" i="10"/>
  <c r="AL197" i="10"/>
  <c r="AL198" i="10"/>
  <c r="AL173" i="10"/>
  <c r="AL152" i="10"/>
  <c r="AL196" i="10"/>
  <c r="AL155" i="10"/>
  <c r="AL199" i="10"/>
  <c r="AL202" i="10"/>
  <c r="AL162" i="10"/>
  <c r="AL178" i="10"/>
  <c r="AL194" i="10"/>
  <c r="AL195" i="10"/>
  <c r="AL174" i="10"/>
  <c r="AL389" i="10"/>
  <c r="AL160" i="10"/>
  <c r="AL158" i="10"/>
  <c r="AM12" i="10"/>
  <c r="AM16" i="10"/>
  <c r="AM20" i="10"/>
  <c r="AM28" i="10"/>
  <c r="AM392" i="10"/>
  <c r="AM36" i="10"/>
  <c r="AM40" i="10"/>
  <c r="AM44" i="10"/>
  <c r="AM14" i="10"/>
  <c r="AM18" i="10"/>
  <c r="AM22" i="10"/>
  <c r="AM26" i="10"/>
  <c r="AM30" i="10"/>
  <c r="AM34" i="10"/>
  <c r="AM38" i="10"/>
  <c r="AM42" i="10"/>
  <c r="AM46" i="10"/>
  <c r="AM50" i="10"/>
  <c r="AM54" i="10"/>
  <c r="AM58" i="10"/>
  <c r="AM62" i="10"/>
  <c r="AM66" i="10"/>
  <c r="AM70" i="10"/>
  <c r="AM74" i="10"/>
  <c r="AM79" i="10"/>
  <c r="AM83" i="10"/>
  <c r="AM87" i="10"/>
  <c r="AM91" i="10"/>
  <c r="AM95" i="10"/>
  <c r="AM99" i="10"/>
  <c r="AM103" i="10"/>
  <c r="AM107" i="10"/>
  <c r="AM111" i="10"/>
  <c r="AM384" i="10"/>
  <c r="AM119" i="10"/>
  <c r="AM123" i="10"/>
  <c r="AM127" i="10"/>
  <c r="AM13" i="10"/>
  <c r="AM17" i="10"/>
  <c r="AM21" i="10"/>
  <c r="AM25" i="10"/>
  <c r="AM29" i="10"/>
  <c r="AM33" i="10"/>
  <c r="AM37" i="10"/>
  <c r="AM41" i="10"/>
  <c r="AM45" i="10"/>
  <c r="AM49" i="10"/>
  <c r="AM53" i="10"/>
  <c r="AM57" i="10"/>
  <c r="AM61" i="10"/>
  <c r="AM383" i="10"/>
  <c r="AM69" i="10"/>
  <c r="AM73" i="10"/>
  <c r="AM77" i="10"/>
  <c r="AM82" i="10"/>
  <c r="AM86" i="10"/>
  <c r="AM90" i="10"/>
  <c r="AM94" i="10"/>
  <c r="AM98" i="10"/>
  <c r="AM102" i="10"/>
  <c r="AM106" i="10"/>
  <c r="AM110" i="10"/>
  <c r="AM114" i="10"/>
  <c r="AM118" i="10"/>
  <c r="AM122" i="10"/>
  <c r="AM126" i="10"/>
  <c r="AM35" i="10"/>
  <c r="AM59" i="10"/>
  <c r="AM76" i="10"/>
  <c r="AM92" i="10"/>
  <c r="AM109" i="10"/>
  <c r="AM15" i="10"/>
  <c r="AM31" i="10"/>
  <c r="AM48" i="10"/>
  <c r="AM63" i="10"/>
  <c r="AM81" i="10"/>
  <c r="AM96" i="10"/>
  <c r="AM27" i="10"/>
  <c r="AM382" i="10"/>
  <c r="AM67" i="10"/>
  <c r="AM85" i="10"/>
  <c r="AM100" i="10"/>
  <c r="AM117" i="10"/>
  <c r="AM394" i="10"/>
  <c r="AM56" i="10"/>
  <c r="AM71" i="10"/>
  <c r="AM89" i="10"/>
  <c r="AM104" i="10"/>
  <c r="AM121" i="10"/>
  <c r="AM132" i="10"/>
  <c r="AM136" i="10"/>
  <c r="AM60" i="10"/>
  <c r="AM75" i="10"/>
  <c r="AM93" i="10"/>
  <c r="AM108" i="10"/>
  <c r="AM11" i="10"/>
  <c r="AM19" i="10"/>
  <c r="AM47" i="10"/>
  <c r="AM64" i="10"/>
  <c r="AM80" i="10"/>
  <c r="AM97" i="10"/>
  <c r="AM39" i="10"/>
  <c r="AM55" i="10"/>
  <c r="AM72" i="10"/>
  <c r="AM88" i="10"/>
  <c r="AM105" i="10"/>
  <c r="AM120" i="10"/>
  <c r="AM130" i="10"/>
  <c r="AM134" i="10"/>
  <c r="AM138" i="10"/>
  <c r="AM84" i="10"/>
  <c r="AM43" i="10"/>
  <c r="AM101" i="10"/>
  <c r="AM112" i="10"/>
  <c r="AM124" i="10"/>
  <c r="AM207" i="10"/>
  <c r="AM211" i="10"/>
  <c r="AM215" i="10"/>
  <c r="AM219" i="10"/>
  <c r="AM223" i="10"/>
  <c r="AM227" i="10"/>
  <c r="AM231" i="10"/>
  <c r="AM235" i="10"/>
  <c r="AM239" i="10"/>
  <c r="AM243" i="10"/>
  <c r="AM247" i="10"/>
  <c r="AM251" i="10"/>
  <c r="AM255" i="10"/>
  <c r="AM259" i="10"/>
  <c r="AM263" i="10"/>
  <c r="AM267" i="10"/>
  <c r="AM271" i="10"/>
  <c r="AM113" i="10"/>
  <c r="AM206" i="10"/>
  <c r="AM210" i="10"/>
  <c r="AM214" i="10"/>
  <c r="AM218" i="10"/>
  <c r="AM222" i="10"/>
  <c r="AM226" i="10"/>
  <c r="AM230" i="10"/>
  <c r="AM238" i="10"/>
  <c r="AM242" i="10"/>
  <c r="AM246" i="10"/>
  <c r="AM250" i="10"/>
  <c r="AM254" i="10"/>
  <c r="AM386" i="10"/>
  <c r="AM262" i="10"/>
  <c r="AM266" i="10"/>
  <c r="AM270" i="10"/>
  <c r="AM129" i="10"/>
  <c r="AM388" i="10"/>
  <c r="AM137" i="10"/>
  <c r="AM139" i="10"/>
  <c r="AM208" i="10"/>
  <c r="AM221" i="10"/>
  <c r="AM240" i="10"/>
  <c r="AM249" i="10"/>
  <c r="AM257" i="10"/>
  <c r="AM265" i="10"/>
  <c r="AM212" i="10"/>
  <c r="AM225" i="10"/>
  <c r="AM244" i="10"/>
  <c r="AM273" i="10"/>
  <c r="AM277" i="10"/>
  <c r="AM281" i="10"/>
  <c r="AM380" i="10"/>
  <c r="AM289" i="10"/>
  <c r="AM293" i="10"/>
  <c r="AM297" i="10"/>
  <c r="AM301" i="10"/>
  <c r="AM305" i="10"/>
  <c r="AM309" i="10"/>
  <c r="AM313" i="10"/>
  <c r="AM316" i="10"/>
  <c r="AM128" i="10"/>
  <c r="AM201" i="10"/>
  <c r="AM205" i="10"/>
  <c r="AM224" i="10"/>
  <c r="AM237" i="10"/>
  <c r="AM253" i="10"/>
  <c r="AM261" i="10"/>
  <c r="AM269" i="10"/>
  <c r="AM51" i="10"/>
  <c r="AM133" i="10"/>
  <c r="AM209" i="10"/>
  <c r="AM228" i="10"/>
  <c r="AM241" i="10"/>
  <c r="AM275" i="10"/>
  <c r="AM279" i="10"/>
  <c r="AM135" i="10"/>
  <c r="AM264" i="10"/>
  <c r="AM284" i="10"/>
  <c r="AM294" i="10"/>
  <c r="AM299" i="10"/>
  <c r="AM317" i="10"/>
  <c r="AM213" i="10"/>
  <c r="AM232" i="10"/>
  <c r="AM296" i="10"/>
  <c r="AM306" i="10"/>
  <c r="AM319" i="10"/>
  <c r="AM323" i="10"/>
  <c r="AM327" i="10"/>
  <c r="AM331" i="10"/>
  <c r="AM335" i="10"/>
  <c r="AM339" i="10"/>
  <c r="AM343" i="10"/>
  <c r="AM125" i="10"/>
  <c r="AM256" i="10"/>
  <c r="AM286" i="10"/>
  <c r="AM291" i="10"/>
  <c r="AM312" i="10"/>
  <c r="AM68" i="10"/>
  <c r="AM217" i="10"/>
  <c r="AM229" i="10"/>
  <c r="AM268" i="10"/>
  <c r="AM288" i="10"/>
  <c r="AM298" i="10"/>
  <c r="AM303" i="10"/>
  <c r="AM395" i="10"/>
  <c r="AM318" i="10"/>
  <c r="AM322" i="10"/>
  <c r="AM326" i="10"/>
  <c r="AM330" i="10"/>
  <c r="AM334" i="10"/>
  <c r="AM338" i="10"/>
  <c r="AM342" i="10"/>
  <c r="AM220" i="10"/>
  <c r="AM248" i="10"/>
  <c r="AM276" i="10"/>
  <c r="AM283" i="10"/>
  <c r="AM300" i="10"/>
  <c r="AM308" i="10"/>
  <c r="AM10" i="10"/>
  <c r="AM302" i="10"/>
  <c r="AM233" i="10"/>
  <c r="AM245" i="10"/>
  <c r="AM260" i="10"/>
  <c r="AM274" i="10"/>
  <c r="AM278" i="10"/>
  <c r="AM280" i="10"/>
  <c r="AM290" i="10"/>
  <c r="AM295" i="10"/>
  <c r="AM311" i="10"/>
  <c r="AM314" i="10"/>
  <c r="AM321" i="10"/>
  <c r="AM325" i="10"/>
  <c r="AM329" i="10"/>
  <c r="AM333" i="10"/>
  <c r="AM337" i="10"/>
  <c r="AM341" i="10"/>
  <c r="AM116" i="10"/>
  <c r="AM236" i="10"/>
  <c r="AM272" i="10"/>
  <c r="AM292" i="10"/>
  <c r="AM216" i="10"/>
  <c r="AM252" i="10"/>
  <c r="AM282" i="10"/>
  <c r="AM287" i="10"/>
  <c r="AM304" i="10"/>
  <c r="AM307" i="10"/>
  <c r="AM310" i="10"/>
  <c r="AM320" i="10"/>
  <c r="AM324" i="10"/>
  <c r="AM328" i="10"/>
  <c r="AM332" i="10"/>
  <c r="AM336" i="10"/>
  <c r="AM340" i="10"/>
  <c r="AM344" i="10"/>
  <c r="J39" i="14"/>
  <c r="I20" i="20" s="1"/>
  <c r="AM153" i="10"/>
  <c r="AM169" i="10"/>
  <c r="AM385" i="10"/>
  <c r="AM146" i="10"/>
  <c r="AM162" i="10"/>
  <c r="AM178" i="10"/>
  <c r="AM194" i="10"/>
  <c r="AM189" i="10"/>
  <c r="AM144" i="10"/>
  <c r="AM160" i="10"/>
  <c r="AM176" i="10"/>
  <c r="AM143" i="10"/>
  <c r="AM159" i="10"/>
  <c r="AM175" i="10"/>
  <c r="AM191" i="10"/>
  <c r="AM154" i="10"/>
  <c r="AM167" i="10"/>
  <c r="AM141" i="10"/>
  <c r="AM157" i="10"/>
  <c r="AM173" i="10"/>
  <c r="AM196" i="10"/>
  <c r="AM150" i="10"/>
  <c r="AM389" i="10"/>
  <c r="AM181" i="10"/>
  <c r="AM198" i="10"/>
  <c r="AM148" i="10"/>
  <c r="AM179" i="10"/>
  <c r="AM186" i="10"/>
  <c r="AM180" i="10"/>
  <c r="AM168" i="10"/>
  <c r="AM199" i="10"/>
  <c r="AM193" i="10"/>
  <c r="AM165" i="10"/>
  <c r="AM379" i="10"/>
  <c r="AM145" i="10"/>
  <c r="AM161" i="10"/>
  <c r="AM177" i="10"/>
  <c r="AM184" i="10"/>
  <c r="AM200" i="10"/>
  <c r="AM203" i="10"/>
  <c r="AM152" i="10"/>
  <c r="AM151" i="10"/>
  <c r="AM149" i="10"/>
  <c r="AM166" i="10"/>
  <c r="AM188" i="10"/>
  <c r="AM142" i="10"/>
  <c r="AM158" i="10"/>
  <c r="AM174" i="10"/>
  <c r="AM190" i="10"/>
  <c r="AM185" i="10"/>
  <c r="AM202" i="10"/>
  <c r="AM140" i="10"/>
  <c r="AM156" i="10"/>
  <c r="AM172" i="10"/>
  <c r="AM155" i="10"/>
  <c r="AM171" i="10"/>
  <c r="AM187" i="10"/>
  <c r="AM204" i="10"/>
  <c r="AM147" i="10"/>
  <c r="AM195" i="10"/>
  <c r="AM170" i="10"/>
  <c r="AM197" i="10"/>
  <c r="AM182" i="10"/>
  <c r="AJ13" i="10"/>
  <c r="AJ17" i="10"/>
  <c r="AJ21" i="10"/>
  <c r="AJ25" i="10"/>
  <c r="AJ29" i="10"/>
  <c r="AJ33" i="10"/>
  <c r="AJ37" i="10"/>
  <c r="AJ41" i="10"/>
  <c r="AJ45" i="10"/>
  <c r="AJ49" i="10"/>
  <c r="AJ53" i="10"/>
  <c r="AJ57" i="10"/>
  <c r="AJ61" i="10"/>
  <c r="AJ383" i="10"/>
  <c r="AJ69" i="10"/>
  <c r="AJ73" i="10"/>
  <c r="AJ77" i="10"/>
  <c r="AJ82" i="10"/>
  <c r="AJ86" i="10"/>
  <c r="AJ90" i="10"/>
  <c r="AJ94" i="10"/>
  <c r="AJ98" i="10"/>
  <c r="AJ102" i="10"/>
  <c r="AJ106" i="10"/>
  <c r="AJ110" i="10"/>
  <c r="AJ114" i="10"/>
  <c r="AJ118" i="10"/>
  <c r="AJ122" i="10"/>
  <c r="AJ12" i="10"/>
  <c r="AJ16" i="10"/>
  <c r="AJ20" i="10"/>
  <c r="AJ18" i="10"/>
  <c r="AJ27" i="10"/>
  <c r="AJ42" i="10"/>
  <c r="AJ44" i="10"/>
  <c r="AJ382" i="10"/>
  <c r="AJ54" i="10"/>
  <c r="AJ71" i="10"/>
  <c r="AJ85" i="10"/>
  <c r="AJ87" i="10"/>
  <c r="AJ104" i="10"/>
  <c r="AJ117" i="10"/>
  <c r="AJ394" i="10"/>
  <c r="AJ38" i="10"/>
  <c r="AJ40" i="10"/>
  <c r="AJ56" i="10"/>
  <c r="AJ58" i="10"/>
  <c r="AJ75" i="10"/>
  <c r="AJ89" i="10"/>
  <c r="AJ91" i="10"/>
  <c r="AJ34" i="10"/>
  <c r="AJ36" i="10"/>
  <c r="AJ60" i="10"/>
  <c r="AJ62" i="10"/>
  <c r="AJ80" i="10"/>
  <c r="AJ93" i="10"/>
  <c r="AJ95" i="10"/>
  <c r="AJ112" i="10"/>
  <c r="AJ388" i="10"/>
  <c r="AJ135" i="10"/>
  <c r="AJ139" i="10"/>
  <c r="AJ11" i="10"/>
  <c r="AJ19" i="10"/>
  <c r="AJ30" i="10"/>
  <c r="AJ392" i="10"/>
  <c r="AJ47" i="10"/>
  <c r="AJ51" i="10"/>
  <c r="AJ64" i="10"/>
  <c r="AJ66" i="10"/>
  <c r="AJ84" i="10"/>
  <c r="AJ97" i="10"/>
  <c r="AJ99" i="10"/>
  <c r="AJ116" i="10"/>
  <c r="AJ125" i="10"/>
  <c r="AJ14" i="10"/>
  <c r="AJ26" i="10"/>
  <c r="AJ28" i="10"/>
  <c r="AJ43" i="10"/>
  <c r="AJ55" i="10"/>
  <c r="AJ68" i="10"/>
  <c r="AJ70" i="10"/>
  <c r="AJ88" i="10"/>
  <c r="AJ101" i="10"/>
  <c r="AJ103" i="10"/>
  <c r="AJ22" i="10"/>
  <c r="AJ39" i="10"/>
  <c r="AJ59" i="10"/>
  <c r="AJ72" i="10"/>
  <c r="AJ74" i="10"/>
  <c r="AJ92" i="10"/>
  <c r="AJ15" i="10"/>
  <c r="AJ31" i="10"/>
  <c r="AJ46" i="10"/>
  <c r="AJ48" i="10"/>
  <c r="AJ50" i="10"/>
  <c r="AJ67" i="10"/>
  <c r="AJ81" i="10"/>
  <c r="AJ83" i="10"/>
  <c r="AJ100" i="10"/>
  <c r="AJ113" i="10"/>
  <c r="AJ384" i="10"/>
  <c r="AJ129" i="10"/>
  <c r="AJ111" i="10"/>
  <c r="AJ124" i="10"/>
  <c r="AJ128" i="10"/>
  <c r="AJ132" i="10"/>
  <c r="AJ134" i="10"/>
  <c r="AJ79" i="10"/>
  <c r="AJ108" i="10"/>
  <c r="AJ119" i="10"/>
  <c r="AJ63" i="10"/>
  <c r="AJ109" i="10"/>
  <c r="AJ127" i="10"/>
  <c r="AJ133" i="10"/>
  <c r="AJ120" i="10"/>
  <c r="AJ137" i="10"/>
  <c r="AJ76" i="10"/>
  <c r="AJ107" i="10"/>
  <c r="AJ130" i="10"/>
  <c r="AJ207" i="10"/>
  <c r="AJ211" i="10"/>
  <c r="AJ215" i="10"/>
  <c r="AJ219" i="10"/>
  <c r="AJ223" i="10"/>
  <c r="AJ227" i="10"/>
  <c r="AJ231" i="10"/>
  <c r="AJ235" i="10"/>
  <c r="AJ239" i="10"/>
  <c r="AJ243" i="10"/>
  <c r="AJ247" i="10"/>
  <c r="AJ126" i="10"/>
  <c r="AJ214" i="10"/>
  <c r="AJ216" i="10"/>
  <c r="AJ229" i="10"/>
  <c r="AJ246" i="10"/>
  <c r="AJ248" i="10"/>
  <c r="AJ256" i="10"/>
  <c r="AJ264" i="10"/>
  <c r="AJ272" i="10"/>
  <c r="AJ276" i="10"/>
  <c r="AJ280" i="10"/>
  <c r="AJ284" i="10"/>
  <c r="AJ288" i="10"/>
  <c r="AJ292" i="10"/>
  <c r="AJ296" i="10"/>
  <c r="AJ300" i="10"/>
  <c r="AJ304" i="10"/>
  <c r="AJ105" i="10"/>
  <c r="AJ123" i="10"/>
  <c r="AJ138" i="10"/>
  <c r="AJ218" i="10"/>
  <c r="AJ220" i="10"/>
  <c r="AJ233" i="10"/>
  <c r="AJ35" i="10"/>
  <c r="AJ96" i="10"/>
  <c r="AJ136" i="10"/>
  <c r="AJ213" i="10"/>
  <c r="AJ230" i="10"/>
  <c r="AJ232" i="10"/>
  <c r="AJ245" i="10"/>
  <c r="AJ252" i="10"/>
  <c r="AJ260" i="10"/>
  <c r="AJ268" i="10"/>
  <c r="AJ274" i="10"/>
  <c r="AJ217" i="10"/>
  <c r="AJ236" i="10"/>
  <c r="AJ209" i="10"/>
  <c r="AJ228" i="10"/>
  <c r="AJ237" i="10"/>
  <c r="AJ270" i="10"/>
  <c r="AJ273" i="10"/>
  <c r="AJ281" i="10"/>
  <c r="AJ298" i="10"/>
  <c r="AJ303" i="10"/>
  <c r="AJ312" i="10"/>
  <c r="AJ395" i="10"/>
  <c r="AJ318" i="10"/>
  <c r="AJ322" i="10"/>
  <c r="AJ326" i="10"/>
  <c r="AJ330" i="10"/>
  <c r="AJ334" i="10"/>
  <c r="AJ338" i="10"/>
  <c r="AJ342" i="10"/>
  <c r="AJ325" i="10"/>
  <c r="AJ333" i="10"/>
  <c r="AJ222" i="10"/>
  <c r="AJ240" i="10"/>
  <c r="AJ250" i="10"/>
  <c r="AJ253" i="10"/>
  <c r="AJ259" i="10"/>
  <c r="AJ283" i="10"/>
  <c r="AJ293" i="10"/>
  <c r="AJ10" i="10"/>
  <c r="AJ329" i="10"/>
  <c r="AJ337" i="10"/>
  <c r="AJ341" i="10"/>
  <c r="AJ210" i="10"/>
  <c r="AJ225" i="10"/>
  <c r="AJ244" i="10"/>
  <c r="AJ262" i="10"/>
  <c r="AJ265" i="10"/>
  <c r="AJ271" i="10"/>
  <c r="AJ290" i="10"/>
  <c r="AJ295" i="10"/>
  <c r="AJ305" i="10"/>
  <c r="AJ308" i="10"/>
  <c r="AJ311" i="10"/>
  <c r="AJ314" i="10"/>
  <c r="AJ321" i="10"/>
  <c r="AJ201" i="10"/>
  <c r="AJ238" i="10"/>
  <c r="AJ251" i="10"/>
  <c r="AJ278" i="10"/>
  <c r="AJ380" i="10"/>
  <c r="AJ302" i="10"/>
  <c r="AJ316" i="10"/>
  <c r="G39" i="14"/>
  <c r="AJ205" i="10"/>
  <c r="AJ226" i="10"/>
  <c r="AJ241" i="10"/>
  <c r="AJ254" i="10"/>
  <c r="AJ257" i="10"/>
  <c r="AJ263" i="10"/>
  <c r="AJ282" i="10"/>
  <c r="AJ287" i="10"/>
  <c r="AJ297" i="10"/>
  <c r="AJ307" i="10"/>
  <c r="AJ310" i="10"/>
  <c r="AJ320" i="10"/>
  <c r="AJ324" i="10"/>
  <c r="AJ328" i="10"/>
  <c r="AJ332" i="10"/>
  <c r="AJ336" i="10"/>
  <c r="AJ340" i="10"/>
  <c r="AJ344" i="10"/>
  <c r="AJ289" i="10"/>
  <c r="AJ306" i="10"/>
  <c r="AJ121" i="10"/>
  <c r="AJ208" i="10"/>
  <c r="AJ266" i="10"/>
  <c r="AJ269" i="10"/>
  <c r="AJ294" i="10"/>
  <c r="AJ299" i="10"/>
  <c r="AJ313" i="10"/>
  <c r="AJ212" i="10"/>
  <c r="AJ221" i="10"/>
  <c r="AJ242" i="10"/>
  <c r="AJ249" i="10"/>
  <c r="AJ255" i="10"/>
  <c r="AJ206" i="10"/>
  <c r="AJ224" i="10"/>
  <c r="AJ386" i="10"/>
  <c r="AJ261" i="10"/>
  <c r="AJ267" i="10"/>
  <c r="AJ275" i="10"/>
  <c r="AJ277" i="10"/>
  <c r="AJ279" i="10"/>
  <c r="AJ286" i="10"/>
  <c r="AJ291" i="10"/>
  <c r="AJ301" i="10"/>
  <c r="AJ309" i="10"/>
  <c r="AJ339" i="10"/>
  <c r="AJ335" i="10"/>
  <c r="AJ327" i="10"/>
  <c r="AJ331" i="10"/>
  <c r="AJ323" i="10"/>
  <c r="AJ319" i="10"/>
  <c r="AJ317" i="10"/>
  <c r="AJ343" i="10"/>
  <c r="AJ141" i="10"/>
  <c r="AJ172" i="10"/>
  <c r="AJ145" i="10"/>
  <c r="AJ143" i="10"/>
  <c r="AJ175" i="10"/>
  <c r="AJ187" i="10"/>
  <c r="AJ140" i="10"/>
  <c r="AJ146" i="10"/>
  <c r="AJ178" i="10"/>
  <c r="AJ190" i="10"/>
  <c r="AJ169" i="10"/>
  <c r="AJ202" i="10"/>
  <c r="AJ173" i="10"/>
  <c r="AJ161" i="10"/>
  <c r="AJ155" i="10"/>
  <c r="AJ199" i="10"/>
  <c r="AJ158" i="10"/>
  <c r="AJ203" i="10"/>
  <c r="AJ180" i="10"/>
  <c r="AJ157" i="10"/>
  <c r="AJ188" i="10"/>
  <c r="AJ167" i="10"/>
  <c r="AJ152" i="10"/>
  <c r="AJ170" i="10"/>
  <c r="AJ181" i="10"/>
  <c r="AJ153" i="10"/>
  <c r="AJ193" i="10"/>
  <c r="AJ179" i="10"/>
  <c r="AJ184" i="10"/>
  <c r="AJ185" i="10"/>
  <c r="AJ200" i="10"/>
  <c r="AJ182" i="10"/>
  <c r="AJ197" i="10"/>
  <c r="AJ385" i="10"/>
  <c r="AJ191" i="10"/>
  <c r="AJ148" i="10"/>
  <c r="AJ156" i="10"/>
  <c r="AJ196" i="10"/>
  <c r="AJ159" i="10"/>
  <c r="AJ204" i="10"/>
  <c r="AJ165" i="10"/>
  <c r="AJ162" i="10"/>
  <c r="AJ171" i="10"/>
  <c r="AJ186" i="10"/>
  <c r="AJ160" i="10"/>
  <c r="AJ144" i="10"/>
  <c r="AJ168" i="10"/>
  <c r="AJ151" i="10"/>
  <c r="AJ195" i="10"/>
  <c r="AJ149" i="10"/>
  <c r="AJ176" i="10"/>
  <c r="AJ154" i="10"/>
  <c r="AJ198" i="10"/>
  <c r="AJ177" i="10"/>
  <c r="AJ379" i="10"/>
  <c r="AJ166" i="10"/>
  <c r="AJ389" i="10"/>
  <c r="AJ189" i="10"/>
  <c r="AJ147" i="10"/>
  <c r="AJ150" i="10"/>
  <c r="AJ194" i="10"/>
  <c r="AJ142" i="10"/>
  <c r="AJ174" i="10"/>
  <c r="AK11" i="10"/>
  <c r="AK15" i="10"/>
  <c r="AK19" i="10"/>
  <c r="AK394" i="10"/>
  <c r="AK27" i="10"/>
  <c r="AK31" i="10"/>
  <c r="AK35" i="10"/>
  <c r="AK39" i="10"/>
  <c r="AK43" i="10"/>
  <c r="AK47" i="10"/>
  <c r="AK13" i="10"/>
  <c r="AK17" i="10"/>
  <c r="AK21" i="10"/>
  <c r="AK25" i="10"/>
  <c r="AK29" i="10"/>
  <c r="AK33" i="10"/>
  <c r="AK37" i="10"/>
  <c r="AK41" i="10"/>
  <c r="AK45" i="10"/>
  <c r="AK49" i="10"/>
  <c r="AK53" i="10"/>
  <c r="AK57" i="10"/>
  <c r="AK61" i="10"/>
  <c r="AK383" i="10"/>
  <c r="AK69" i="10"/>
  <c r="AK73" i="10"/>
  <c r="AK77" i="10"/>
  <c r="AK82" i="10"/>
  <c r="AK86" i="10"/>
  <c r="AK90" i="10"/>
  <c r="AK94" i="10"/>
  <c r="AK98" i="10"/>
  <c r="AK102" i="10"/>
  <c r="AK106" i="10"/>
  <c r="AK110" i="10"/>
  <c r="AK114" i="10"/>
  <c r="AK118" i="10"/>
  <c r="AK122" i="10"/>
  <c r="AK126" i="10"/>
  <c r="AK12" i="10"/>
  <c r="AK16" i="10"/>
  <c r="AK20" i="10"/>
  <c r="AK28" i="10"/>
  <c r="AK392" i="10"/>
  <c r="AK36" i="10"/>
  <c r="AK40" i="10"/>
  <c r="AK44" i="10"/>
  <c r="AK48" i="10"/>
  <c r="AK382" i="10"/>
  <c r="AK56" i="10"/>
  <c r="AK60" i="10"/>
  <c r="AK64" i="10"/>
  <c r="AK68" i="10"/>
  <c r="AK72" i="10"/>
  <c r="AK76" i="10"/>
  <c r="AK81" i="10"/>
  <c r="AK85" i="10"/>
  <c r="AK89" i="10"/>
  <c r="AK93" i="10"/>
  <c r="AK97" i="10"/>
  <c r="AK101" i="10"/>
  <c r="AK105" i="10"/>
  <c r="AK109" i="10"/>
  <c r="AK113" i="10"/>
  <c r="AK117" i="10"/>
  <c r="AK121" i="10"/>
  <c r="AK125" i="10"/>
  <c r="AK129" i="10"/>
  <c r="AK46" i="10"/>
  <c r="AK50" i="10"/>
  <c r="AK67" i="10"/>
  <c r="AK83" i="10"/>
  <c r="AK100" i="10"/>
  <c r="AK384" i="10"/>
  <c r="AK18" i="10"/>
  <c r="AK42" i="10"/>
  <c r="AK54" i="10"/>
  <c r="AK71" i="10"/>
  <c r="AK87" i="10"/>
  <c r="AK38" i="10"/>
  <c r="AK58" i="10"/>
  <c r="AK75" i="10"/>
  <c r="AK91" i="10"/>
  <c r="AK108" i="10"/>
  <c r="AK123" i="10"/>
  <c r="AK128" i="10"/>
  <c r="AK34" i="10"/>
  <c r="AK62" i="10"/>
  <c r="AK80" i="10"/>
  <c r="AK95" i="10"/>
  <c r="AK112" i="10"/>
  <c r="AK388" i="10"/>
  <c r="AK135" i="10"/>
  <c r="AK139" i="10"/>
  <c r="AK30" i="10"/>
  <c r="AK51" i="10"/>
  <c r="AK66" i="10"/>
  <c r="AK84" i="10"/>
  <c r="AK99" i="10"/>
  <c r="AK116" i="10"/>
  <c r="AK14" i="10"/>
  <c r="AK26" i="10"/>
  <c r="AK55" i="10"/>
  <c r="AK70" i="10"/>
  <c r="AK88" i="10"/>
  <c r="AK63" i="10"/>
  <c r="AK79" i="10"/>
  <c r="AK96" i="10"/>
  <c r="AK111" i="10"/>
  <c r="AK133" i="10"/>
  <c r="AK137" i="10"/>
  <c r="AK107" i="10"/>
  <c r="AK130" i="10"/>
  <c r="AK136" i="10"/>
  <c r="AK138" i="10"/>
  <c r="AK206" i="10"/>
  <c r="AK210" i="10"/>
  <c r="AK214" i="10"/>
  <c r="AK218" i="10"/>
  <c r="AK222" i="10"/>
  <c r="AK226" i="10"/>
  <c r="AK230" i="10"/>
  <c r="AK238" i="10"/>
  <c r="AK242" i="10"/>
  <c r="AK246" i="10"/>
  <c r="AK250" i="10"/>
  <c r="AK254" i="10"/>
  <c r="AK386" i="10"/>
  <c r="AK262" i="10"/>
  <c r="AK266" i="10"/>
  <c r="AK270" i="10"/>
  <c r="AK74" i="10"/>
  <c r="AK92" i="10"/>
  <c r="AK201" i="10"/>
  <c r="AK205" i="10"/>
  <c r="AK209" i="10"/>
  <c r="AK213" i="10"/>
  <c r="AK217" i="10"/>
  <c r="AK221" i="10"/>
  <c r="AK225" i="10"/>
  <c r="AK229" i="10"/>
  <c r="AK233" i="10"/>
  <c r="AK237" i="10"/>
  <c r="AK241" i="10"/>
  <c r="AK245" i="10"/>
  <c r="AK249" i="10"/>
  <c r="AK253" i="10"/>
  <c r="AK257" i="10"/>
  <c r="AK261" i="10"/>
  <c r="AK265" i="10"/>
  <c r="AK269" i="10"/>
  <c r="AK22" i="10"/>
  <c r="AK127" i="10"/>
  <c r="AK59" i="10"/>
  <c r="AK212" i="10"/>
  <c r="AK231" i="10"/>
  <c r="AK244" i="10"/>
  <c r="AK251" i="10"/>
  <c r="AK259" i="10"/>
  <c r="AK267" i="10"/>
  <c r="AK216" i="10"/>
  <c r="AK235" i="10"/>
  <c r="AK248" i="10"/>
  <c r="AK256" i="10"/>
  <c r="AK264" i="10"/>
  <c r="AK272" i="10"/>
  <c r="AK276" i="10"/>
  <c r="AK280" i="10"/>
  <c r="AK284" i="10"/>
  <c r="AK288" i="10"/>
  <c r="AK292" i="10"/>
  <c r="AK296" i="10"/>
  <c r="AK300" i="10"/>
  <c r="AK304" i="10"/>
  <c r="AK308" i="10"/>
  <c r="AK312" i="10"/>
  <c r="AK317" i="10"/>
  <c r="AK124" i="10"/>
  <c r="AK132" i="10"/>
  <c r="AK120" i="10"/>
  <c r="AK215" i="10"/>
  <c r="AK228" i="10"/>
  <c r="AK247" i="10"/>
  <c r="AK255" i="10"/>
  <c r="AK263" i="10"/>
  <c r="AK271" i="10"/>
  <c r="AK103" i="10"/>
  <c r="AK219" i="10"/>
  <c r="AK232" i="10"/>
  <c r="AK252" i="10"/>
  <c r="AK260" i="10"/>
  <c r="AK268" i="10"/>
  <c r="AK274" i="10"/>
  <c r="AK278" i="10"/>
  <c r="AK224" i="10"/>
  <c r="AK243" i="10"/>
  <c r="AK275" i="10"/>
  <c r="AK277" i="10"/>
  <c r="AK279" i="10"/>
  <c r="AK286" i="10"/>
  <c r="AK291" i="10"/>
  <c r="AK301" i="10"/>
  <c r="AK309" i="10"/>
  <c r="AK10" i="10"/>
  <c r="AK104" i="10"/>
  <c r="AK273" i="10"/>
  <c r="AK281" i="10"/>
  <c r="AK298" i="10"/>
  <c r="AK303" i="10"/>
  <c r="AK395" i="10"/>
  <c r="AK318" i="10"/>
  <c r="AK322" i="10"/>
  <c r="AK326" i="10"/>
  <c r="AK330" i="10"/>
  <c r="AK334" i="10"/>
  <c r="AK338" i="10"/>
  <c r="AK342" i="10"/>
  <c r="AK119" i="10"/>
  <c r="AK207" i="10"/>
  <c r="AK240" i="10"/>
  <c r="AK283" i="10"/>
  <c r="AK293" i="10"/>
  <c r="AK220" i="10"/>
  <c r="AK290" i="10"/>
  <c r="AK295" i="10"/>
  <c r="AK305" i="10"/>
  <c r="AK311" i="10"/>
  <c r="AK314" i="10"/>
  <c r="AK321" i="10"/>
  <c r="AK325" i="10"/>
  <c r="AK329" i="10"/>
  <c r="AK333" i="10"/>
  <c r="AK337" i="10"/>
  <c r="AK341" i="10"/>
  <c r="AK211" i="10"/>
  <c r="AK223" i="10"/>
  <c r="AK380" i="10"/>
  <c r="AK302" i="10"/>
  <c r="AK316" i="10"/>
  <c r="H39" i="14"/>
  <c r="AK134" i="10"/>
  <c r="AK208" i="10"/>
  <c r="AK227" i="10"/>
  <c r="AK239" i="10"/>
  <c r="AK236" i="10"/>
  <c r="AK282" i="10"/>
  <c r="AK287" i="10"/>
  <c r="AK297" i="10"/>
  <c r="AK307" i="10"/>
  <c r="AK310" i="10"/>
  <c r="AK320" i="10"/>
  <c r="AK324" i="10"/>
  <c r="AK328" i="10"/>
  <c r="AK332" i="10"/>
  <c r="AK336" i="10"/>
  <c r="AK340" i="10"/>
  <c r="AK344" i="10"/>
  <c r="AK299" i="10"/>
  <c r="AK289" i="10"/>
  <c r="AK306" i="10"/>
  <c r="AK319" i="10"/>
  <c r="AK323" i="10"/>
  <c r="AK327" i="10"/>
  <c r="AK331" i="10"/>
  <c r="AK335" i="10"/>
  <c r="AK339" i="10"/>
  <c r="AK343" i="10"/>
  <c r="AK313" i="10"/>
  <c r="AK294" i="10"/>
  <c r="AK188" i="10"/>
  <c r="AK143" i="10"/>
  <c r="AK159" i="10"/>
  <c r="AK175" i="10"/>
  <c r="AK142" i="10"/>
  <c r="AK158" i="10"/>
  <c r="AK174" i="10"/>
  <c r="AK190" i="10"/>
  <c r="AK166" i="10"/>
  <c r="AK140" i="10"/>
  <c r="AK156" i="10"/>
  <c r="AK172" i="10"/>
  <c r="AK195" i="10"/>
  <c r="AK149" i="10"/>
  <c r="AK197" i="10"/>
  <c r="AK153" i="10"/>
  <c r="AK202" i="10"/>
  <c r="AK150" i="10"/>
  <c r="AK204" i="10"/>
  <c r="AK385" i="10"/>
  <c r="AK147" i="10"/>
  <c r="AK379" i="10"/>
  <c r="AK179" i="10"/>
  <c r="AK146" i="10"/>
  <c r="AK162" i="10"/>
  <c r="AK178" i="10"/>
  <c r="AK194" i="10"/>
  <c r="AK160" i="10"/>
  <c r="AK199" i="10"/>
  <c r="AK169" i="10"/>
  <c r="AK181" i="10"/>
  <c r="AK165" i="10"/>
  <c r="AK189" i="10"/>
  <c r="AK144" i="10"/>
  <c r="AK176" i="10"/>
  <c r="AK196" i="10"/>
  <c r="AK151" i="10"/>
  <c r="AK167" i="10"/>
  <c r="AK198" i="10"/>
  <c r="AK148" i="10"/>
  <c r="AK184" i="10"/>
  <c r="AK200" i="10"/>
  <c r="AK155" i="10"/>
  <c r="AK171" i="10"/>
  <c r="AK154" i="10"/>
  <c r="AK170" i="10"/>
  <c r="AK186" i="10"/>
  <c r="AK203" i="10"/>
  <c r="AK157" i="10"/>
  <c r="AK152" i="10"/>
  <c r="AK168" i="10"/>
  <c r="AK191" i="10"/>
  <c r="AK145" i="10"/>
  <c r="AK161" i="10"/>
  <c r="AK177" i="10"/>
  <c r="AK193" i="10"/>
  <c r="AK180" i="10"/>
  <c r="AK182" i="10"/>
  <c r="AK185" i="10"/>
  <c r="AK389" i="10"/>
  <c r="AK187" i="10"/>
  <c r="AK141" i="10"/>
  <c r="AK173" i="10"/>
  <c r="AN11" i="10"/>
  <c r="AN15" i="10"/>
  <c r="AN19" i="10"/>
  <c r="AN394" i="10"/>
  <c r="AN27" i="10"/>
  <c r="AN31" i="10"/>
  <c r="AN35" i="10"/>
  <c r="AN39" i="10"/>
  <c r="AN43" i="10"/>
  <c r="AN47" i="10"/>
  <c r="AN51" i="10"/>
  <c r="AN55" i="10"/>
  <c r="AN59" i="10"/>
  <c r="AN63" i="10"/>
  <c r="AN67" i="10"/>
  <c r="AN71" i="10"/>
  <c r="AN75" i="10"/>
  <c r="AN80" i="10"/>
  <c r="AN84" i="10"/>
  <c r="AN88" i="10"/>
  <c r="AN92" i="10"/>
  <c r="AN96" i="10"/>
  <c r="AN100" i="10"/>
  <c r="AN104" i="10"/>
  <c r="AN108" i="10"/>
  <c r="AN112" i="10"/>
  <c r="AN116" i="10"/>
  <c r="AN120" i="10"/>
  <c r="AN14" i="10"/>
  <c r="AN18" i="10"/>
  <c r="AN12" i="10"/>
  <c r="AN20" i="10"/>
  <c r="AN33" i="10"/>
  <c r="AN61" i="10"/>
  <c r="AN72" i="10"/>
  <c r="AN79" i="10"/>
  <c r="AN94" i="10"/>
  <c r="AN105" i="10"/>
  <c r="AN111" i="10"/>
  <c r="AN29" i="10"/>
  <c r="AN46" i="10"/>
  <c r="AN50" i="10"/>
  <c r="AN383" i="10"/>
  <c r="AN76" i="10"/>
  <c r="AN83" i="10"/>
  <c r="AN98" i="10"/>
  <c r="AN13" i="10"/>
  <c r="AN25" i="10"/>
  <c r="AN42" i="10"/>
  <c r="AN44" i="10"/>
  <c r="AN48" i="10"/>
  <c r="AN54" i="10"/>
  <c r="AN69" i="10"/>
  <c r="AN81" i="10"/>
  <c r="AN87" i="10"/>
  <c r="AN102" i="10"/>
  <c r="AN113" i="10"/>
  <c r="AN119" i="10"/>
  <c r="AN126" i="10"/>
  <c r="AN129" i="10"/>
  <c r="AN133" i="10"/>
  <c r="AN137" i="10"/>
  <c r="AN21" i="10"/>
  <c r="AN38" i="10"/>
  <c r="AN40" i="10"/>
  <c r="AN382" i="10"/>
  <c r="AN58" i="10"/>
  <c r="AN73" i="10"/>
  <c r="AN85" i="10"/>
  <c r="AN91" i="10"/>
  <c r="AN106" i="10"/>
  <c r="AN117" i="10"/>
  <c r="AN123" i="10"/>
  <c r="AN16" i="10"/>
  <c r="AN34" i="10"/>
  <c r="AN36" i="10"/>
  <c r="AN56" i="10"/>
  <c r="AN62" i="10"/>
  <c r="AN77" i="10"/>
  <c r="AN89" i="10"/>
  <c r="AN95" i="10"/>
  <c r="AN110" i="10"/>
  <c r="AN30" i="10"/>
  <c r="AN392" i="10"/>
  <c r="AN45" i="10"/>
  <c r="AN49" i="10"/>
  <c r="AN60" i="10"/>
  <c r="AN66" i="10"/>
  <c r="AN82" i="10"/>
  <c r="AN93" i="10"/>
  <c r="AN99" i="10"/>
  <c r="AN22" i="10"/>
  <c r="AN37" i="10"/>
  <c r="AN57" i="10"/>
  <c r="AN68" i="10"/>
  <c r="AN74" i="10"/>
  <c r="AN90" i="10"/>
  <c r="AN101" i="10"/>
  <c r="AN107" i="10"/>
  <c r="AN122" i="10"/>
  <c r="AN127" i="10"/>
  <c r="AN384" i="10"/>
  <c r="AN118" i="10"/>
  <c r="AN139" i="10"/>
  <c r="AN121" i="10"/>
  <c r="AN128" i="10"/>
  <c r="AN130" i="10"/>
  <c r="AN132" i="10"/>
  <c r="AN138" i="10"/>
  <c r="AN109" i="10"/>
  <c r="AN17" i="10"/>
  <c r="AN41" i="10"/>
  <c r="AN103" i="10"/>
  <c r="AN125" i="10"/>
  <c r="AN135" i="10"/>
  <c r="AN201" i="10"/>
  <c r="AN205" i="10"/>
  <c r="AN209" i="10"/>
  <c r="AN213" i="10"/>
  <c r="AN217" i="10"/>
  <c r="AN221" i="10"/>
  <c r="AN225" i="10"/>
  <c r="AN229" i="10"/>
  <c r="AN233" i="10"/>
  <c r="AN237" i="10"/>
  <c r="AN241" i="10"/>
  <c r="AN245" i="10"/>
  <c r="AN26" i="10"/>
  <c r="AN53" i="10"/>
  <c r="AN134" i="10"/>
  <c r="AN206" i="10"/>
  <c r="AN223" i="10"/>
  <c r="AN236" i="10"/>
  <c r="AN238" i="10"/>
  <c r="AN252" i="10"/>
  <c r="AN260" i="10"/>
  <c r="AN268" i="10"/>
  <c r="AN274" i="10"/>
  <c r="AN278" i="10"/>
  <c r="AN282" i="10"/>
  <c r="AN286" i="10"/>
  <c r="AN290" i="10"/>
  <c r="AN294" i="10"/>
  <c r="AN298" i="10"/>
  <c r="AN302" i="10"/>
  <c r="AN388" i="10"/>
  <c r="AN208" i="10"/>
  <c r="AN210" i="10"/>
  <c r="AN227" i="10"/>
  <c r="AN240" i="10"/>
  <c r="AN242" i="10"/>
  <c r="AN249" i="10"/>
  <c r="AN254" i="10"/>
  <c r="AN257" i="10"/>
  <c r="AN262" i="10"/>
  <c r="AN265" i="10"/>
  <c r="AN270" i="10"/>
  <c r="AN28" i="10"/>
  <c r="AN114" i="10"/>
  <c r="AN124" i="10"/>
  <c r="AN207" i="10"/>
  <c r="AN220" i="10"/>
  <c r="AN222" i="10"/>
  <c r="AN239" i="10"/>
  <c r="AN248" i="10"/>
  <c r="AN256" i="10"/>
  <c r="AN264" i="10"/>
  <c r="AN272" i="10"/>
  <c r="AN64" i="10"/>
  <c r="AN70" i="10"/>
  <c r="AN97" i="10"/>
  <c r="AN136" i="10"/>
  <c r="AN211" i="10"/>
  <c r="AN224" i="10"/>
  <c r="AN226" i="10"/>
  <c r="AN243" i="10"/>
  <c r="AN250" i="10"/>
  <c r="AN253" i="10"/>
  <c r="AN386" i="10"/>
  <c r="AN261" i="10"/>
  <c r="AN266" i="10"/>
  <c r="AN269" i="10"/>
  <c r="AN216" i="10"/>
  <c r="AN267" i="10"/>
  <c r="AN287" i="10"/>
  <c r="AN289" i="10"/>
  <c r="AN304" i="10"/>
  <c r="AN307" i="10"/>
  <c r="AN310" i="10"/>
  <c r="AN313" i="10"/>
  <c r="AN320" i="10"/>
  <c r="AN324" i="10"/>
  <c r="AN328" i="10"/>
  <c r="AN332" i="10"/>
  <c r="AN336" i="10"/>
  <c r="AN340" i="10"/>
  <c r="AN344" i="10"/>
  <c r="AN335" i="10"/>
  <c r="AN339" i="10"/>
  <c r="AN219" i="10"/>
  <c r="AN228" i="10"/>
  <c r="AN247" i="10"/>
  <c r="AN275" i="10"/>
  <c r="AN277" i="10"/>
  <c r="AN284" i="10"/>
  <c r="AN299" i="10"/>
  <c r="AN301" i="10"/>
  <c r="AN317" i="10"/>
  <c r="AN331" i="10"/>
  <c r="AN343" i="10"/>
  <c r="AN232" i="10"/>
  <c r="AN259" i="10"/>
  <c r="AN273" i="10"/>
  <c r="AN279" i="10"/>
  <c r="AN281" i="10"/>
  <c r="AN296" i="10"/>
  <c r="AN306" i="10"/>
  <c r="AN309" i="10"/>
  <c r="AN319" i="10"/>
  <c r="AN323" i="10"/>
  <c r="AN214" i="10"/>
  <c r="AN235" i="10"/>
  <c r="AN244" i="10"/>
  <c r="AN271" i="10"/>
  <c r="AN291" i="10"/>
  <c r="AN293" i="10"/>
  <c r="AN312" i="10"/>
  <c r="AN251" i="10"/>
  <c r="AN288" i="10"/>
  <c r="AN303" i="10"/>
  <c r="AN305" i="10"/>
  <c r="AN395" i="10"/>
  <c r="AN318" i="10"/>
  <c r="AN322" i="10"/>
  <c r="AN326" i="10"/>
  <c r="AN330" i="10"/>
  <c r="AN334" i="10"/>
  <c r="AN338" i="10"/>
  <c r="AN342" i="10"/>
  <c r="AN218" i="10"/>
  <c r="AN295" i="10"/>
  <c r="AN86" i="10"/>
  <c r="AN215" i="10"/>
  <c r="AN230" i="10"/>
  <c r="AN263" i="10"/>
  <c r="AN276" i="10"/>
  <c r="AN283" i="10"/>
  <c r="AN380" i="10"/>
  <c r="AN300" i="10"/>
  <c r="AN308" i="10"/>
  <c r="AN10" i="10"/>
  <c r="AN280" i="10"/>
  <c r="AN297" i="10"/>
  <c r="AN212" i="10"/>
  <c r="AN231" i="10"/>
  <c r="AN246" i="10"/>
  <c r="AN255" i="10"/>
  <c r="AN292" i="10"/>
  <c r="K39" i="14"/>
  <c r="J20" i="20" s="1"/>
  <c r="AN321" i="10"/>
  <c r="AN316" i="10"/>
  <c r="AN327" i="10"/>
  <c r="AN314" i="10"/>
  <c r="AN341" i="10"/>
  <c r="AN337" i="10"/>
  <c r="AN333" i="10"/>
  <c r="AN311" i="10"/>
  <c r="AN325" i="10"/>
  <c r="AN329" i="10"/>
  <c r="AN162" i="10"/>
  <c r="AN153" i="10"/>
  <c r="AN197" i="10"/>
  <c r="AN186" i="10"/>
  <c r="AN156" i="10"/>
  <c r="AN200" i="10"/>
  <c r="AN143" i="10"/>
  <c r="AN179" i="10"/>
  <c r="AN202" i="10"/>
  <c r="AN166" i="10"/>
  <c r="AN190" i="10"/>
  <c r="AN168" i="10"/>
  <c r="AN170" i="10"/>
  <c r="AN191" i="10"/>
  <c r="AN157" i="10"/>
  <c r="AN160" i="10"/>
  <c r="AN147" i="10"/>
  <c r="AN154" i="10"/>
  <c r="AN149" i="10"/>
  <c r="AN155" i="10"/>
  <c r="AN167" i="10"/>
  <c r="AN194" i="10"/>
  <c r="AN142" i="10"/>
  <c r="AN145" i="10"/>
  <c r="AN177" i="10"/>
  <c r="AN189" i="10"/>
  <c r="AN198" i="10"/>
  <c r="AN148" i="10"/>
  <c r="AN385" i="10"/>
  <c r="AN178" i="10"/>
  <c r="AN171" i="10"/>
  <c r="AN204" i="10"/>
  <c r="AN203" i="10"/>
  <c r="AN182" i="10"/>
  <c r="AN184" i="10"/>
  <c r="AN152" i="10"/>
  <c r="AN196" i="10"/>
  <c r="AN151" i="10"/>
  <c r="AN169" i="10"/>
  <c r="AN180" i="10"/>
  <c r="AN140" i="10"/>
  <c r="AN172" i="10"/>
  <c r="AN379" i="10"/>
  <c r="AN195" i="10"/>
  <c r="AN175" i="10"/>
  <c r="AN161" i="10"/>
  <c r="AN174" i="10"/>
  <c r="AN165" i="10"/>
  <c r="AN159" i="10"/>
  <c r="AN187" i="10"/>
  <c r="AN389" i="10"/>
  <c r="AN150" i="10"/>
  <c r="AN141" i="10"/>
  <c r="AN173" i="10"/>
  <c r="AN185" i="10"/>
  <c r="AN181" i="10"/>
  <c r="AN144" i="10"/>
  <c r="AN176" i="10"/>
  <c r="AN188" i="10"/>
  <c r="AN158" i="10"/>
  <c r="AN199" i="10"/>
  <c r="AN193" i="10"/>
  <c r="AN146" i="10"/>
  <c r="B17" i="16"/>
  <c r="B40" i="16" s="1"/>
  <c r="D40" i="14"/>
  <c r="E40" i="14"/>
  <c r="C40" i="14"/>
  <c r="F47" i="16"/>
  <c r="J47" i="16"/>
  <c r="C168" i="24"/>
  <c r="C172" i="24" s="1"/>
  <c r="C104" i="24"/>
  <c r="C108" i="24" s="1"/>
  <c r="C200" i="24"/>
  <c r="C204" i="24" s="1"/>
  <c r="C40" i="24"/>
  <c r="C44" i="24" s="1"/>
  <c r="B232" i="24"/>
  <c r="B236" i="24" s="1"/>
  <c r="B8" i="24"/>
  <c r="B12" i="24" s="1"/>
  <c r="B200" i="24"/>
  <c r="B204" i="24" s="1"/>
  <c r="B104" i="24"/>
  <c r="B108" i="24" s="1"/>
  <c r="B72" i="24"/>
  <c r="B76" i="24" s="1"/>
  <c r="B136" i="24"/>
  <c r="B140" i="24" s="1"/>
  <c r="C8" i="24"/>
  <c r="C12" i="24" s="1"/>
  <c r="B168" i="24"/>
  <c r="B172" i="24" s="1"/>
  <c r="C72" i="24"/>
  <c r="C76" i="24" s="1"/>
  <c r="B40" i="24"/>
  <c r="B44" i="24" s="1"/>
  <c r="C47" i="16"/>
  <c r="H47" i="16"/>
  <c r="B5" i="14"/>
  <c r="B40" i="14"/>
  <c r="D47" i="16"/>
  <c r="I47" i="16"/>
  <c r="G47" i="16"/>
  <c r="E47" i="16"/>
  <c r="D5" i="14"/>
  <c r="D17" i="16"/>
  <c r="D40" i="16" s="1"/>
  <c r="C5" i="14"/>
  <c r="C17" i="16"/>
  <c r="C40" i="16" s="1"/>
  <c r="I17" i="16"/>
  <c r="I40" i="16" s="1"/>
  <c r="F40" i="14"/>
  <c r="F17" i="16"/>
  <c r="F40" i="16" s="1"/>
  <c r="F5" i="14"/>
  <c r="E5" i="14"/>
  <c r="E17" i="16"/>
  <c r="E40" i="16" s="1"/>
  <c r="H17" i="16" l="1"/>
  <c r="H40" i="16" s="1"/>
  <c r="G20" i="20"/>
  <c r="G5" i="14"/>
  <c r="F20" i="20"/>
  <c r="K17" i="16"/>
  <c r="K40" i="16" s="1"/>
  <c r="H5" i="14"/>
  <c r="I40" i="14"/>
  <c r="I5" i="14"/>
  <c r="H40" i="14"/>
  <c r="J5" i="14"/>
  <c r="J17" i="16"/>
  <c r="J40" i="16" s="1"/>
  <c r="J40" i="14"/>
  <c r="G40" i="14"/>
  <c r="G17" i="16"/>
  <c r="G40" i="16" s="1"/>
  <c r="K40" i="14"/>
  <c r="K5" i="14"/>
  <c r="B12" i="14"/>
  <c r="B11" i="14"/>
  <c r="C22" i="14"/>
  <c r="B28" i="16" s="1"/>
  <c r="C23" i="14"/>
  <c r="AM4" i="10" l="1"/>
  <c r="AN4" i="10"/>
  <c r="K23" i="14"/>
  <c r="K12" i="14" s="1"/>
  <c r="L23" i="14"/>
  <c r="AM347" i="10"/>
  <c r="AJ4" i="10"/>
  <c r="AK4" i="10"/>
  <c r="AJ347" i="10"/>
  <c r="AN347" i="10"/>
  <c r="AL4" i="10"/>
  <c r="AL347" i="10"/>
  <c r="AK347" i="10"/>
  <c r="D23" i="14"/>
  <c r="C29" i="16" s="1"/>
  <c r="J23" i="14"/>
  <c r="B9" i="16"/>
  <c r="B10" i="16"/>
  <c r="B41" i="16" s="1"/>
  <c r="B46" i="16" s="1"/>
  <c r="G23" i="14"/>
  <c r="B29" i="16"/>
  <c r="C11" i="14"/>
  <c r="D22" i="14"/>
  <c r="C28" i="16" s="1"/>
  <c r="H23" i="14"/>
  <c r="F23" i="14"/>
  <c r="I23" i="14"/>
  <c r="E23" i="14"/>
  <c r="C12" i="14"/>
  <c r="F371" i="8"/>
  <c r="F482" i="8"/>
  <c r="F383" i="8"/>
  <c r="F392" i="8"/>
  <c r="F365" i="8"/>
  <c r="H8" i="8" s="1"/>
  <c r="F355" i="8"/>
  <c r="F356" i="8"/>
  <c r="F357" i="8"/>
  <c r="F358" i="8"/>
  <c r="F359" i="8"/>
  <c r="F360" i="8"/>
  <c r="F361" i="8"/>
  <c r="F362" i="8"/>
  <c r="F363" i="8"/>
  <c r="F364" i="8"/>
  <c r="F366" i="8"/>
  <c r="F367" i="8"/>
  <c r="F368" i="8"/>
  <c r="F369" i="8"/>
  <c r="F370" i="8"/>
  <c r="F372" i="8"/>
  <c r="F373" i="8"/>
  <c r="F374" i="8"/>
  <c r="H15" i="8" s="1"/>
  <c r="F375" i="8"/>
  <c r="F376" i="8"/>
  <c r="F377" i="8"/>
  <c r="F378" i="8"/>
  <c r="F379" i="8"/>
  <c r="F380" i="8"/>
  <c r="F381" i="8"/>
  <c r="F382" i="8"/>
  <c r="F384" i="8"/>
  <c r="F385" i="8"/>
  <c r="H24" i="8" s="1"/>
  <c r="F386" i="8"/>
  <c r="F387" i="8"/>
  <c r="F388" i="8"/>
  <c r="F389" i="8"/>
  <c r="F390" i="8"/>
  <c r="F391"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H115" i="8" s="1"/>
  <c r="F479" i="8"/>
  <c r="F480" i="8"/>
  <c r="F481"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H144" i="8" s="1"/>
  <c r="F508" i="8"/>
  <c r="F509" i="8"/>
  <c r="F510" i="8"/>
  <c r="F511" i="8"/>
  <c r="F512" i="8"/>
  <c r="F513" i="8"/>
  <c r="F514" i="8"/>
  <c r="F515" i="8"/>
  <c r="F516" i="8"/>
  <c r="F517" i="8"/>
  <c r="F518" i="8"/>
  <c r="F519" i="8"/>
  <c r="F520" i="8"/>
  <c r="F521" i="8"/>
  <c r="F522" i="8"/>
  <c r="F523" i="8"/>
  <c r="F524" i="8"/>
  <c r="F525" i="8"/>
  <c r="F526" i="8"/>
  <c r="F527" i="8"/>
  <c r="F528" i="8"/>
  <c r="F529" i="8"/>
  <c r="F530" i="8"/>
  <c r="H166" i="8" s="1"/>
  <c r="F531" i="8"/>
  <c r="F532" i="8"/>
  <c r="F533" i="8"/>
  <c r="F534" i="8"/>
  <c r="F535" i="8"/>
  <c r="F536" i="8"/>
  <c r="F537" i="8"/>
  <c r="F538" i="8"/>
  <c r="F539" i="8"/>
  <c r="F540" i="8"/>
  <c r="F541" i="8"/>
  <c r="F542" i="8"/>
  <c r="F543" i="8"/>
  <c r="F544" i="8"/>
  <c r="F545" i="8"/>
  <c r="H179" i="8" s="1"/>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H209" i="8" s="1"/>
  <c r="F579" i="8"/>
  <c r="F580" i="8"/>
  <c r="F581" i="8"/>
  <c r="F582" i="8"/>
  <c r="F583" i="8"/>
  <c r="F584" i="8"/>
  <c r="F585" i="8"/>
  <c r="F586" i="8"/>
  <c r="F587" i="8"/>
  <c r="F588" i="8"/>
  <c r="F589" i="8"/>
  <c r="F590" i="8"/>
  <c r="F591" i="8"/>
  <c r="F592" i="8"/>
  <c r="H221" i="8" s="1"/>
  <c r="F593" i="8"/>
  <c r="F594" i="8"/>
  <c r="F595" i="8"/>
  <c r="F596" i="8"/>
  <c r="F597" i="8"/>
  <c r="H224" i="8" s="1"/>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H259" i="8" s="1"/>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H316" i="8" s="1"/>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354" i="8"/>
  <c r="G355" i="8"/>
  <c r="G356" i="8"/>
  <c r="G357" i="8"/>
  <c r="G358" i="8"/>
  <c r="G359" i="8"/>
  <c r="G360" i="8"/>
  <c r="G361" i="8"/>
  <c r="G362" i="8"/>
  <c r="G363" i="8"/>
  <c r="G364" i="8"/>
  <c r="G365" i="8"/>
  <c r="I8" i="8" s="1"/>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I166" i="8" s="1"/>
  <c r="G531" i="8"/>
  <c r="G532" i="8"/>
  <c r="G533" i="8"/>
  <c r="G534" i="8"/>
  <c r="G535" i="8"/>
  <c r="G536" i="8"/>
  <c r="G537" i="8"/>
  <c r="G538" i="8"/>
  <c r="G539" i="8"/>
  <c r="G540" i="8"/>
  <c r="G541" i="8"/>
  <c r="G542" i="8"/>
  <c r="G543" i="8"/>
  <c r="G544" i="8"/>
  <c r="G545" i="8"/>
  <c r="I179" i="8" s="1"/>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354" i="8"/>
  <c r="F10" i="7"/>
  <c r="H10" i="7"/>
  <c r="J10" i="7"/>
  <c r="L10" i="7"/>
  <c r="N10" i="7"/>
  <c r="G11" i="7"/>
  <c r="G10" i="7" s="1"/>
  <c r="I11" i="7"/>
  <c r="I10" i="7" s="1"/>
  <c r="K11" i="7"/>
  <c r="M11" i="7"/>
  <c r="O11" i="7"/>
  <c r="G12" i="7"/>
  <c r="I12" i="7"/>
  <c r="K12" i="7"/>
  <c r="M12" i="7"/>
  <c r="O12" i="7"/>
  <c r="G13" i="7"/>
  <c r="I13" i="7"/>
  <c r="K13" i="7"/>
  <c r="M13" i="7"/>
  <c r="O13" i="7"/>
  <c r="G14" i="7"/>
  <c r="I14" i="7"/>
  <c r="K14" i="7"/>
  <c r="M14" i="7"/>
  <c r="O14" i="7"/>
  <c r="G15" i="7"/>
  <c r="I15" i="7"/>
  <c r="K15" i="7"/>
  <c r="M15" i="7"/>
  <c r="O15" i="7"/>
  <c r="G16" i="7"/>
  <c r="I16" i="7"/>
  <c r="K16" i="7"/>
  <c r="M16" i="7"/>
  <c r="O16" i="7"/>
  <c r="G17" i="7"/>
  <c r="I17" i="7"/>
  <c r="K17" i="7"/>
  <c r="M17" i="7"/>
  <c r="O17" i="7"/>
  <c r="G18" i="7"/>
  <c r="I18" i="7"/>
  <c r="K18" i="7"/>
  <c r="M18" i="7"/>
  <c r="O18" i="7"/>
  <c r="G19" i="7"/>
  <c r="I19" i="7"/>
  <c r="K19" i="7"/>
  <c r="M19" i="7"/>
  <c r="O19" i="7"/>
  <c r="G20" i="7"/>
  <c r="I20" i="7"/>
  <c r="K20" i="7"/>
  <c r="M20" i="7"/>
  <c r="O20" i="7"/>
  <c r="G21" i="7"/>
  <c r="I21" i="7"/>
  <c r="K21" i="7"/>
  <c r="M21" i="7"/>
  <c r="O21" i="7"/>
  <c r="G22" i="7"/>
  <c r="I22" i="7"/>
  <c r="K22" i="7"/>
  <c r="M22" i="7"/>
  <c r="O22" i="7"/>
  <c r="G23" i="7"/>
  <c r="I23" i="7"/>
  <c r="K23" i="7"/>
  <c r="M23" i="7"/>
  <c r="O23" i="7"/>
  <c r="G24" i="7"/>
  <c r="I24" i="7"/>
  <c r="K24" i="7"/>
  <c r="M24" i="7"/>
  <c r="O24" i="7"/>
  <c r="G25" i="7"/>
  <c r="I25" i="7"/>
  <c r="K25" i="7"/>
  <c r="M25" i="7"/>
  <c r="O25" i="7"/>
  <c r="G26" i="7"/>
  <c r="I26" i="7"/>
  <c r="K26" i="7"/>
  <c r="M26" i="7"/>
  <c r="O26" i="7"/>
  <c r="G27" i="7"/>
  <c r="I27" i="7"/>
  <c r="K27" i="7"/>
  <c r="M27" i="7"/>
  <c r="O27" i="7"/>
  <c r="G28" i="7"/>
  <c r="I28" i="7"/>
  <c r="K28" i="7"/>
  <c r="M28" i="7"/>
  <c r="O28" i="7"/>
  <c r="G29" i="7"/>
  <c r="I29" i="7"/>
  <c r="K29" i="7"/>
  <c r="M29" i="7"/>
  <c r="O29" i="7"/>
  <c r="G30" i="7"/>
  <c r="I30" i="7"/>
  <c r="K30" i="7"/>
  <c r="M30" i="7"/>
  <c r="O30" i="7"/>
  <c r="G31" i="7"/>
  <c r="I31" i="7"/>
  <c r="K31" i="7"/>
  <c r="M31" i="7"/>
  <c r="O31" i="7"/>
  <c r="G32" i="7"/>
  <c r="I32" i="7"/>
  <c r="K32" i="7"/>
  <c r="M32" i="7"/>
  <c r="O32" i="7"/>
  <c r="G33" i="7"/>
  <c r="I33" i="7"/>
  <c r="K33" i="7"/>
  <c r="M33" i="7"/>
  <c r="O33" i="7"/>
  <c r="G34" i="7"/>
  <c r="I34" i="7"/>
  <c r="K34" i="7"/>
  <c r="M34" i="7"/>
  <c r="O34" i="7"/>
  <c r="G35" i="7"/>
  <c r="I35" i="7"/>
  <c r="K35" i="7"/>
  <c r="M35" i="7"/>
  <c r="O35" i="7"/>
  <c r="G36" i="7"/>
  <c r="I36" i="7"/>
  <c r="K36" i="7"/>
  <c r="M36" i="7"/>
  <c r="O36" i="7"/>
  <c r="G37" i="7"/>
  <c r="I37" i="7"/>
  <c r="K37" i="7"/>
  <c r="M37" i="7"/>
  <c r="O37" i="7"/>
  <c r="G38" i="7"/>
  <c r="I38" i="7"/>
  <c r="K38" i="7"/>
  <c r="M38" i="7"/>
  <c r="O38" i="7"/>
  <c r="G39" i="7"/>
  <c r="I39" i="7"/>
  <c r="K39" i="7"/>
  <c r="M39" i="7"/>
  <c r="O39" i="7"/>
  <c r="G40" i="7"/>
  <c r="I40" i="7"/>
  <c r="K40" i="7"/>
  <c r="M40" i="7"/>
  <c r="O40" i="7"/>
  <c r="G41" i="7"/>
  <c r="I41" i="7"/>
  <c r="K41" i="7"/>
  <c r="M41" i="7"/>
  <c r="O41" i="7"/>
  <c r="G42" i="7"/>
  <c r="I42" i="7"/>
  <c r="K42" i="7"/>
  <c r="M42" i="7"/>
  <c r="O42" i="7"/>
  <c r="G43" i="7"/>
  <c r="I43" i="7"/>
  <c r="K43" i="7"/>
  <c r="M43" i="7"/>
  <c r="O43" i="7"/>
  <c r="G44" i="7"/>
  <c r="I44" i="7"/>
  <c r="K44" i="7"/>
  <c r="M44" i="7"/>
  <c r="O44" i="7"/>
  <c r="G45" i="7"/>
  <c r="I45" i="7"/>
  <c r="K45" i="7"/>
  <c r="M45" i="7"/>
  <c r="O45" i="7"/>
  <c r="G46" i="7"/>
  <c r="I46" i="7"/>
  <c r="K46" i="7"/>
  <c r="M46" i="7"/>
  <c r="O46" i="7"/>
  <c r="G47" i="7"/>
  <c r="I47" i="7"/>
  <c r="K47" i="7"/>
  <c r="M47" i="7"/>
  <c r="O47" i="7"/>
  <c r="G48" i="7"/>
  <c r="I48" i="7"/>
  <c r="K48" i="7"/>
  <c r="M48" i="7"/>
  <c r="O48" i="7"/>
  <c r="G49" i="7"/>
  <c r="I49" i="7"/>
  <c r="K49" i="7"/>
  <c r="M49" i="7"/>
  <c r="O49" i="7"/>
  <c r="G50" i="7"/>
  <c r="I50" i="7"/>
  <c r="K50" i="7"/>
  <c r="M50" i="7"/>
  <c r="O50" i="7"/>
  <c r="G51" i="7"/>
  <c r="I51" i="7"/>
  <c r="K51" i="7"/>
  <c r="M51" i="7"/>
  <c r="O51" i="7"/>
  <c r="G52" i="7"/>
  <c r="I52" i="7"/>
  <c r="K52" i="7"/>
  <c r="M52" i="7"/>
  <c r="O52" i="7"/>
  <c r="G53" i="7"/>
  <c r="I53" i="7"/>
  <c r="K53" i="7"/>
  <c r="M53" i="7"/>
  <c r="O53" i="7"/>
  <c r="G54" i="7"/>
  <c r="I54" i="7"/>
  <c r="K54" i="7"/>
  <c r="M54" i="7"/>
  <c r="O54" i="7"/>
  <c r="G55" i="7"/>
  <c r="I55" i="7"/>
  <c r="K55" i="7"/>
  <c r="M55" i="7"/>
  <c r="O55" i="7"/>
  <c r="G56" i="7"/>
  <c r="I56" i="7"/>
  <c r="K56" i="7"/>
  <c r="M56" i="7"/>
  <c r="O56" i="7"/>
  <c r="G57" i="7"/>
  <c r="I57" i="7"/>
  <c r="K57" i="7"/>
  <c r="M57" i="7"/>
  <c r="O57" i="7"/>
  <c r="G58" i="7"/>
  <c r="I58" i="7"/>
  <c r="K58" i="7"/>
  <c r="M58" i="7"/>
  <c r="O58" i="7"/>
  <c r="G59" i="7"/>
  <c r="I59" i="7"/>
  <c r="K59" i="7"/>
  <c r="M59" i="7"/>
  <c r="O59" i="7"/>
  <c r="G60" i="7"/>
  <c r="I60" i="7"/>
  <c r="K60" i="7"/>
  <c r="M60" i="7"/>
  <c r="O60" i="7"/>
  <c r="G61" i="7"/>
  <c r="I61" i="7"/>
  <c r="K61" i="7"/>
  <c r="M61" i="7"/>
  <c r="O61" i="7"/>
  <c r="G62" i="7"/>
  <c r="I62" i="7"/>
  <c r="K62" i="7"/>
  <c r="M62" i="7"/>
  <c r="O62" i="7"/>
  <c r="G63" i="7"/>
  <c r="I63" i="7"/>
  <c r="K63" i="7"/>
  <c r="M63" i="7"/>
  <c r="O63" i="7"/>
  <c r="G64" i="7"/>
  <c r="I64" i="7"/>
  <c r="K64" i="7"/>
  <c r="M64" i="7"/>
  <c r="O64" i="7"/>
  <c r="G65" i="7"/>
  <c r="I65" i="7"/>
  <c r="K65" i="7"/>
  <c r="M65" i="7"/>
  <c r="O65" i="7"/>
  <c r="G66" i="7"/>
  <c r="I66" i="7"/>
  <c r="K66" i="7"/>
  <c r="M66" i="7"/>
  <c r="O66" i="7"/>
  <c r="G67" i="7"/>
  <c r="I67" i="7"/>
  <c r="K67" i="7"/>
  <c r="M67" i="7"/>
  <c r="O67" i="7"/>
  <c r="G68" i="7"/>
  <c r="I68" i="7"/>
  <c r="K68" i="7"/>
  <c r="M68" i="7"/>
  <c r="O68" i="7"/>
  <c r="G69" i="7"/>
  <c r="I69" i="7"/>
  <c r="K69" i="7"/>
  <c r="M69" i="7"/>
  <c r="O69" i="7"/>
  <c r="G70" i="7"/>
  <c r="I70" i="7"/>
  <c r="K70" i="7"/>
  <c r="M70" i="7"/>
  <c r="O70" i="7"/>
  <c r="G71" i="7"/>
  <c r="I71" i="7"/>
  <c r="K71" i="7"/>
  <c r="M71" i="7"/>
  <c r="O71" i="7"/>
  <c r="G72" i="7"/>
  <c r="I72" i="7"/>
  <c r="K72" i="7"/>
  <c r="M72" i="7"/>
  <c r="O72" i="7"/>
  <c r="G73" i="7"/>
  <c r="I73" i="7"/>
  <c r="K73" i="7"/>
  <c r="M73" i="7"/>
  <c r="O73" i="7"/>
  <c r="G74" i="7"/>
  <c r="I74" i="7"/>
  <c r="K74" i="7"/>
  <c r="M74" i="7"/>
  <c r="O74" i="7"/>
  <c r="G75" i="7"/>
  <c r="I75" i="7"/>
  <c r="K75" i="7"/>
  <c r="M75" i="7"/>
  <c r="O75" i="7"/>
  <c r="G76" i="7"/>
  <c r="I76" i="7"/>
  <c r="K76" i="7"/>
  <c r="M76" i="7"/>
  <c r="O76" i="7"/>
  <c r="G77" i="7"/>
  <c r="I77" i="7"/>
  <c r="K77" i="7"/>
  <c r="M77" i="7"/>
  <c r="O77" i="7"/>
  <c r="G78" i="7"/>
  <c r="I78" i="7"/>
  <c r="K78" i="7"/>
  <c r="M78" i="7"/>
  <c r="O78" i="7"/>
  <c r="G79" i="7"/>
  <c r="I79" i="7"/>
  <c r="K79" i="7"/>
  <c r="M79" i="7"/>
  <c r="O79" i="7"/>
  <c r="G80" i="7"/>
  <c r="I80" i="7"/>
  <c r="K80" i="7"/>
  <c r="M80" i="7"/>
  <c r="O80" i="7"/>
  <c r="G81" i="7"/>
  <c r="I81" i="7"/>
  <c r="K81" i="7"/>
  <c r="M81" i="7"/>
  <c r="O81" i="7"/>
  <c r="G82" i="7"/>
  <c r="I82" i="7"/>
  <c r="K82" i="7"/>
  <c r="M82" i="7"/>
  <c r="O82" i="7"/>
  <c r="G83" i="7"/>
  <c r="I83" i="7"/>
  <c r="K83" i="7"/>
  <c r="M83" i="7"/>
  <c r="O83" i="7"/>
  <c r="G84" i="7"/>
  <c r="I84" i="7"/>
  <c r="K84" i="7"/>
  <c r="M84" i="7"/>
  <c r="O84" i="7"/>
  <c r="G85" i="7"/>
  <c r="I85" i="7"/>
  <c r="K85" i="7"/>
  <c r="M85" i="7"/>
  <c r="O85" i="7"/>
  <c r="G86" i="7"/>
  <c r="I86" i="7"/>
  <c r="K86" i="7"/>
  <c r="M86" i="7"/>
  <c r="O86" i="7"/>
  <c r="G87" i="7"/>
  <c r="I87" i="7"/>
  <c r="K87" i="7"/>
  <c r="M87" i="7"/>
  <c r="O87" i="7"/>
  <c r="G88" i="7"/>
  <c r="I88" i="7"/>
  <c r="K88" i="7"/>
  <c r="M88" i="7"/>
  <c r="O88" i="7"/>
  <c r="G89" i="7"/>
  <c r="I89" i="7"/>
  <c r="K89" i="7"/>
  <c r="M89" i="7"/>
  <c r="O89" i="7"/>
  <c r="G90" i="7"/>
  <c r="I90" i="7"/>
  <c r="K90" i="7"/>
  <c r="M90" i="7"/>
  <c r="O90" i="7"/>
  <c r="G91" i="7"/>
  <c r="I91" i="7"/>
  <c r="K91" i="7"/>
  <c r="M91" i="7"/>
  <c r="O91" i="7"/>
  <c r="G92" i="7"/>
  <c r="I92" i="7"/>
  <c r="K92" i="7"/>
  <c r="M92" i="7"/>
  <c r="O92" i="7"/>
  <c r="G93" i="7"/>
  <c r="I93" i="7"/>
  <c r="K93" i="7"/>
  <c r="M93" i="7"/>
  <c r="O93" i="7"/>
  <c r="G94" i="7"/>
  <c r="I94" i="7"/>
  <c r="K94" i="7"/>
  <c r="M94" i="7"/>
  <c r="O94" i="7"/>
  <c r="G95" i="7"/>
  <c r="I95" i="7"/>
  <c r="K95" i="7"/>
  <c r="M95" i="7"/>
  <c r="O95" i="7"/>
  <c r="G96" i="7"/>
  <c r="I96" i="7"/>
  <c r="K96" i="7"/>
  <c r="M96" i="7"/>
  <c r="O96" i="7"/>
  <c r="G97" i="7"/>
  <c r="I97" i="7"/>
  <c r="K97" i="7"/>
  <c r="M97" i="7"/>
  <c r="O97" i="7"/>
  <c r="G98" i="7"/>
  <c r="I98" i="7"/>
  <c r="K98" i="7"/>
  <c r="M98" i="7"/>
  <c r="O98" i="7"/>
  <c r="G99" i="7"/>
  <c r="I99" i="7"/>
  <c r="K99" i="7"/>
  <c r="M99" i="7"/>
  <c r="O99" i="7"/>
  <c r="G100" i="7"/>
  <c r="I100" i="7"/>
  <c r="K100" i="7"/>
  <c r="M100" i="7"/>
  <c r="O100" i="7"/>
  <c r="G101" i="7"/>
  <c r="I101" i="7"/>
  <c r="K101" i="7"/>
  <c r="M101" i="7"/>
  <c r="O101" i="7"/>
  <c r="G102" i="7"/>
  <c r="I102" i="7"/>
  <c r="K102" i="7"/>
  <c r="M102" i="7"/>
  <c r="O102" i="7"/>
  <c r="G103" i="7"/>
  <c r="I103" i="7"/>
  <c r="K103" i="7"/>
  <c r="M103" i="7"/>
  <c r="O103" i="7"/>
  <c r="G104" i="7"/>
  <c r="I104" i="7"/>
  <c r="K104" i="7"/>
  <c r="M104" i="7"/>
  <c r="O104" i="7"/>
  <c r="G105" i="7"/>
  <c r="I105" i="7"/>
  <c r="K105" i="7"/>
  <c r="M105" i="7"/>
  <c r="O105" i="7"/>
  <c r="G106" i="7"/>
  <c r="I106" i="7"/>
  <c r="K106" i="7"/>
  <c r="M106" i="7"/>
  <c r="O106" i="7"/>
  <c r="G107" i="7"/>
  <c r="I107" i="7"/>
  <c r="K107" i="7"/>
  <c r="M107" i="7"/>
  <c r="O107" i="7"/>
  <c r="G108" i="7"/>
  <c r="I108" i="7"/>
  <c r="K108" i="7"/>
  <c r="M108" i="7"/>
  <c r="O108" i="7"/>
  <c r="G109" i="7"/>
  <c r="I109" i="7"/>
  <c r="K109" i="7"/>
  <c r="M109" i="7"/>
  <c r="O109" i="7"/>
  <c r="G110" i="7"/>
  <c r="I110" i="7"/>
  <c r="K110" i="7"/>
  <c r="M110" i="7"/>
  <c r="O110" i="7"/>
  <c r="G111" i="7"/>
  <c r="I111" i="7"/>
  <c r="K111" i="7"/>
  <c r="M111" i="7"/>
  <c r="O111" i="7"/>
  <c r="G112" i="7"/>
  <c r="I112" i="7"/>
  <c r="K112" i="7"/>
  <c r="M112" i="7"/>
  <c r="O112" i="7"/>
  <c r="G113" i="7"/>
  <c r="I113" i="7"/>
  <c r="K113" i="7"/>
  <c r="M113" i="7"/>
  <c r="O113" i="7"/>
  <c r="G114" i="7"/>
  <c r="I114" i="7"/>
  <c r="K114" i="7"/>
  <c r="M114" i="7"/>
  <c r="O114" i="7"/>
  <c r="G115" i="7"/>
  <c r="I115" i="7"/>
  <c r="K115" i="7"/>
  <c r="M115" i="7"/>
  <c r="O115" i="7"/>
  <c r="G116" i="7"/>
  <c r="I116" i="7"/>
  <c r="K116" i="7"/>
  <c r="M116" i="7"/>
  <c r="O116" i="7"/>
  <c r="G117" i="7"/>
  <c r="I117" i="7"/>
  <c r="K117" i="7"/>
  <c r="M117" i="7"/>
  <c r="O117" i="7"/>
  <c r="G118" i="7"/>
  <c r="I118" i="7"/>
  <c r="K118" i="7"/>
  <c r="M118" i="7"/>
  <c r="O118" i="7"/>
  <c r="G119" i="7"/>
  <c r="I119" i="7"/>
  <c r="K119" i="7"/>
  <c r="M119" i="7"/>
  <c r="O119" i="7"/>
  <c r="G120" i="7"/>
  <c r="I120" i="7"/>
  <c r="K120" i="7"/>
  <c r="M120" i="7"/>
  <c r="O120" i="7"/>
  <c r="G121" i="7"/>
  <c r="I121" i="7"/>
  <c r="K121" i="7"/>
  <c r="M121" i="7"/>
  <c r="O121" i="7"/>
  <c r="G122" i="7"/>
  <c r="I122" i="7"/>
  <c r="K122" i="7"/>
  <c r="M122" i="7"/>
  <c r="O122" i="7"/>
  <c r="G123" i="7"/>
  <c r="I123" i="7"/>
  <c r="K123" i="7"/>
  <c r="M123" i="7"/>
  <c r="O123" i="7"/>
  <c r="G124" i="7"/>
  <c r="I124" i="7"/>
  <c r="K124" i="7"/>
  <c r="M124" i="7"/>
  <c r="O124" i="7"/>
  <c r="G125" i="7"/>
  <c r="I125" i="7"/>
  <c r="K125" i="7"/>
  <c r="M125" i="7"/>
  <c r="O125" i="7"/>
  <c r="G126" i="7"/>
  <c r="I126" i="7"/>
  <c r="K126" i="7"/>
  <c r="M126" i="7"/>
  <c r="O126" i="7"/>
  <c r="G127" i="7"/>
  <c r="I127" i="7"/>
  <c r="K127" i="7"/>
  <c r="M127" i="7"/>
  <c r="O127" i="7"/>
  <c r="G128" i="7"/>
  <c r="I128" i="7"/>
  <c r="K128" i="7"/>
  <c r="M128" i="7"/>
  <c r="O128" i="7"/>
  <c r="G129" i="7"/>
  <c r="I129" i="7"/>
  <c r="K129" i="7"/>
  <c r="M129" i="7"/>
  <c r="O129" i="7"/>
  <c r="G130" i="7"/>
  <c r="I130" i="7"/>
  <c r="K130" i="7"/>
  <c r="M130" i="7"/>
  <c r="O130" i="7"/>
  <c r="G131" i="7"/>
  <c r="I131" i="7"/>
  <c r="K131" i="7"/>
  <c r="M131" i="7"/>
  <c r="O131" i="7"/>
  <c r="G132" i="7"/>
  <c r="I132" i="7"/>
  <c r="K132" i="7"/>
  <c r="M132" i="7"/>
  <c r="O132" i="7"/>
  <c r="G133" i="7"/>
  <c r="I133" i="7"/>
  <c r="K133" i="7"/>
  <c r="M133" i="7"/>
  <c r="O133" i="7"/>
  <c r="G134" i="7"/>
  <c r="I134" i="7"/>
  <c r="K134" i="7"/>
  <c r="M134" i="7"/>
  <c r="O134" i="7"/>
  <c r="G135" i="7"/>
  <c r="I135" i="7"/>
  <c r="K135" i="7"/>
  <c r="M135" i="7"/>
  <c r="O135" i="7"/>
  <c r="G136" i="7"/>
  <c r="I136" i="7"/>
  <c r="K136" i="7"/>
  <c r="M136" i="7"/>
  <c r="O136" i="7"/>
  <c r="G137" i="7"/>
  <c r="I137" i="7"/>
  <c r="K137" i="7"/>
  <c r="M137" i="7"/>
  <c r="O137" i="7"/>
  <c r="G138" i="7"/>
  <c r="I138" i="7"/>
  <c r="K138" i="7"/>
  <c r="M138" i="7"/>
  <c r="O138" i="7"/>
  <c r="G139" i="7"/>
  <c r="I139" i="7"/>
  <c r="K139" i="7"/>
  <c r="M139" i="7"/>
  <c r="O139" i="7"/>
  <c r="G140" i="7"/>
  <c r="I140" i="7"/>
  <c r="K140" i="7"/>
  <c r="M140" i="7"/>
  <c r="O140" i="7"/>
  <c r="G141" i="7"/>
  <c r="I141" i="7"/>
  <c r="K141" i="7"/>
  <c r="M141" i="7"/>
  <c r="O141" i="7"/>
  <c r="G142" i="7"/>
  <c r="I142" i="7"/>
  <c r="K142" i="7"/>
  <c r="M142" i="7"/>
  <c r="O142" i="7"/>
  <c r="G143" i="7"/>
  <c r="I143" i="7"/>
  <c r="K143" i="7"/>
  <c r="M143" i="7"/>
  <c r="O143" i="7"/>
  <c r="G144" i="7"/>
  <c r="I144" i="7"/>
  <c r="K144" i="7"/>
  <c r="M144" i="7"/>
  <c r="O144" i="7"/>
  <c r="G145" i="7"/>
  <c r="I145" i="7"/>
  <c r="K145" i="7"/>
  <c r="M145" i="7"/>
  <c r="O145" i="7"/>
  <c r="G146" i="7"/>
  <c r="I146" i="7"/>
  <c r="K146" i="7"/>
  <c r="M146" i="7"/>
  <c r="O146" i="7"/>
  <c r="G147" i="7"/>
  <c r="I147" i="7"/>
  <c r="K147" i="7"/>
  <c r="M147" i="7"/>
  <c r="O147" i="7"/>
  <c r="G148" i="7"/>
  <c r="I148" i="7"/>
  <c r="K148" i="7"/>
  <c r="M148" i="7"/>
  <c r="O148" i="7"/>
  <c r="G149" i="7"/>
  <c r="I149" i="7"/>
  <c r="K149" i="7"/>
  <c r="M149" i="7"/>
  <c r="O149" i="7"/>
  <c r="G150" i="7"/>
  <c r="I150" i="7"/>
  <c r="K150" i="7"/>
  <c r="M150" i="7"/>
  <c r="O150" i="7"/>
  <c r="G151" i="7"/>
  <c r="I151" i="7"/>
  <c r="K151" i="7"/>
  <c r="M151" i="7"/>
  <c r="O151" i="7"/>
  <c r="G152" i="7"/>
  <c r="I152" i="7"/>
  <c r="K152" i="7"/>
  <c r="M152" i="7"/>
  <c r="O152" i="7"/>
  <c r="G153" i="7"/>
  <c r="I153" i="7"/>
  <c r="K153" i="7"/>
  <c r="M153" i="7"/>
  <c r="O153" i="7"/>
  <c r="G154" i="7"/>
  <c r="I154" i="7"/>
  <c r="K154" i="7"/>
  <c r="M154" i="7"/>
  <c r="O154" i="7"/>
  <c r="G155" i="7"/>
  <c r="I155" i="7"/>
  <c r="K155" i="7"/>
  <c r="M155" i="7"/>
  <c r="O155" i="7"/>
  <c r="G156" i="7"/>
  <c r="I156" i="7"/>
  <c r="K156" i="7"/>
  <c r="M156" i="7"/>
  <c r="O156" i="7"/>
  <c r="G157" i="7"/>
  <c r="I157" i="7"/>
  <c r="K157" i="7"/>
  <c r="M157" i="7"/>
  <c r="O157" i="7"/>
  <c r="G158" i="7"/>
  <c r="I158" i="7"/>
  <c r="K158" i="7"/>
  <c r="M158" i="7"/>
  <c r="O158" i="7"/>
  <c r="G159" i="7"/>
  <c r="I159" i="7"/>
  <c r="K159" i="7"/>
  <c r="M159" i="7"/>
  <c r="O159" i="7"/>
  <c r="G160" i="7"/>
  <c r="I160" i="7"/>
  <c r="K160" i="7"/>
  <c r="M160" i="7"/>
  <c r="O160" i="7"/>
  <c r="G161" i="7"/>
  <c r="I161" i="7"/>
  <c r="K161" i="7"/>
  <c r="M161" i="7"/>
  <c r="O161" i="7"/>
  <c r="G162" i="7"/>
  <c r="I162" i="7"/>
  <c r="K162" i="7"/>
  <c r="M162" i="7"/>
  <c r="O162" i="7"/>
  <c r="G163" i="7"/>
  <c r="I163" i="7"/>
  <c r="K163" i="7"/>
  <c r="M163" i="7"/>
  <c r="O163" i="7"/>
  <c r="G164" i="7"/>
  <c r="I164" i="7"/>
  <c r="K164" i="7"/>
  <c r="M164" i="7"/>
  <c r="O164" i="7"/>
  <c r="G165" i="7"/>
  <c r="I165" i="7"/>
  <c r="K165" i="7"/>
  <c r="M165" i="7"/>
  <c r="O165" i="7"/>
  <c r="G166" i="7"/>
  <c r="I166" i="7"/>
  <c r="K166" i="7"/>
  <c r="M166" i="7"/>
  <c r="O166" i="7"/>
  <c r="G167" i="7"/>
  <c r="I167" i="7"/>
  <c r="K167" i="7"/>
  <c r="M167" i="7"/>
  <c r="O167" i="7"/>
  <c r="G168" i="7"/>
  <c r="I168" i="7"/>
  <c r="K168" i="7"/>
  <c r="M168" i="7"/>
  <c r="O168" i="7"/>
  <c r="G169" i="7"/>
  <c r="I169" i="7"/>
  <c r="K169" i="7"/>
  <c r="M169" i="7"/>
  <c r="O169" i="7"/>
  <c r="G170" i="7"/>
  <c r="I170" i="7"/>
  <c r="K170" i="7"/>
  <c r="M170" i="7"/>
  <c r="O170" i="7"/>
  <c r="G171" i="7"/>
  <c r="I171" i="7"/>
  <c r="K171" i="7"/>
  <c r="M171" i="7"/>
  <c r="O171" i="7"/>
  <c r="G172" i="7"/>
  <c r="I172" i="7"/>
  <c r="K172" i="7"/>
  <c r="M172" i="7"/>
  <c r="O172" i="7"/>
  <c r="G173" i="7"/>
  <c r="I173" i="7"/>
  <c r="K173" i="7"/>
  <c r="M173" i="7"/>
  <c r="O173" i="7"/>
  <c r="G174" i="7"/>
  <c r="I174" i="7"/>
  <c r="K174" i="7"/>
  <c r="M174" i="7"/>
  <c r="O174" i="7"/>
  <c r="G175" i="7"/>
  <c r="I175" i="7"/>
  <c r="K175" i="7"/>
  <c r="M175" i="7"/>
  <c r="O175" i="7"/>
  <c r="G176" i="7"/>
  <c r="I176" i="7"/>
  <c r="K176" i="7"/>
  <c r="M176" i="7"/>
  <c r="O176" i="7"/>
  <c r="G177" i="7"/>
  <c r="I177" i="7"/>
  <c r="K177" i="7"/>
  <c r="M177" i="7"/>
  <c r="O177" i="7"/>
  <c r="G178" i="7"/>
  <c r="I178" i="7"/>
  <c r="K178" i="7"/>
  <c r="M178" i="7"/>
  <c r="O178" i="7"/>
  <c r="G179" i="7"/>
  <c r="I179" i="7"/>
  <c r="K179" i="7"/>
  <c r="M179" i="7"/>
  <c r="O179" i="7"/>
  <c r="G180" i="7"/>
  <c r="I180" i="7"/>
  <c r="K180" i="7"/>
  <c r="M180" i="7"/>
  <c r="O180" i="7"/>
  <c r="G181" i="7"/>
  <c r="I181" i="7"/>
  <c r="K181" i="7"/>
  <c r="M181" i="7"/>
  <c r="O181" i="7"/>
  <c r="G182" i="7"/>
  <c r="I182" i="7"/>
  <c r="K182" i="7"/>
  <c r="M182" i="7"/>
  <c r="O182" i="7"/>
  <c r="G183" i="7"/>
  <c r="I183" i="7"/>
  <c r="K183" i="7"/>
  <c r="M183" i="7"/>
  <c r="O183" i="7"/>
  <c r="G184" i="7"/>
  <c r="I184" i="7"/>
  <c r="K184" i="7"/>
  <c r="M184" i="7"/>
  <c r="O184" i="7"/>
  <c r="G185" i="7"/>
  <c r="I185" i="7"/>
  <c r="K185" i="7"/>
  <c r="M185" i="7"/>
  <c r="O185" i="7"/>
  <c r="G186" i="7"/>
  <c r="I186" i="7"/>
  <c r="K186" i="7"/>
  <c r="M186" i="7"/>
  <c r="O186" i="7"/>
  <c r="G187" i="7"/>
  <c r="I187" i="7"/>
  <c r="K187" i="7"/>
  <c r="M187" i="7"/>
  <c r="O187" i="7"/>
  <c r="G188" i="7"/>
  <c r="I188" i="7"/>
  <c r="K188" i="7"/>
  <c r="M188" i="7"/>
  <c r="O188" i="7"/>
  <c r="G189" i="7"/>
  <c r="I189" i="7"/>
  <c r="K189" i="7"/>
  <c r="M189" i="7"/>
  <c r="O189" i="7"/>
  <c r="G190" i="7"/>
  <c r="I190" i="7"/>
  <c r="K190" i="7"/>
  <c r="M190" i="7"/>
  <c r="O190" i="7"/>
  <c r="G191" i="7"/>
  <c r="I191" i="7"/>
  <c r="K191" i="7"/>
  <c r="M191" i="7"/>
  <c r="O191" i="7"/>
  <c r="G192" i="7"/>
  <c r="I192" i="7"/>
  <c r="K192" i="7"/>
  <c r="M192" i="7"/>
  <c r="O192" i="7"/>
  <c r="G193" i="7"/>
  <c r="I193" i="7"/>
  <c r="K193" i="7"/>
  <c r="M193" i="7"/>
  <c r="O193" i="7"/>
  <c r="G194" i="7"/>
  <c r="I194" i="7"/>
  <c r="K194" i="7"/>
  <c r="M194" i="7"/>
  <c r="O194" i="7"/>
  <c r="G195" i="7"/>
  <c r="I195" i="7"/>
  <c r="K195" i="7"/>
  <c r="M195" i="7"/>
  <c r="O195" i="7"/>
  <c r="G196" i="7"/>
  <c r="I196" i="7"/>
  <c r="K196" i="7"/>
  <c r="M196" i="7"/>
  <c r="O196" i="7"/>
  <c r="G197" i="7"/>
  <c r="I197" i="7"/>
  <c r="K197" i="7"/>
  <c r="M197" i="7"/>
  <c r="O197" i="7"/>
  <c r="G198" i="7"/>
  <c r="I198" i="7"/>
  <c r="K198" i="7"/>
  <c r="M198" i="7"/>
  <c r="O198" i="7"/>
  <c r="G199" i="7"/>
  <c r="I199" i="7"/>
  <c r="K199" i="7"/>
  <c r="M199" i="7"/>
  <c r="O199" i="7"/>
  <c r="G200" i="7"/>
  <c r="I200" i="7"/>
  <c r="K200" i="7"/>
  <c r="M200" i="7"/>
  <c r="O200" i="7"/>
  <c r="G201" i="7"/>
  <c r="I201" i="7"/>
  <c r="K201" i="7"/>
  <c r="M201" i="7"/>
  <c r="O201" i="7"/>
  <c r="G202" i="7"/>
  <c r="I202" i="7"/>
  <c r="K202" i="7"/>
  <c r="M202" i="7"/>
  <c r="O202" i="7"/>
  <c r="G203" i="7"/>
  <c r="I203" i="7"/>
  <c r="K203" i="7"/>
  <c r="M203" i="7"/>
  <c r="O203" i="7"/>
  <c r="G204" i="7"/>
  <c r="I204" i="7"/>
  <c r="K204" i="7"/>
  <c r="M204" i="7"/>
  <c r="O204" i="7"/>
  <c r="G205" i="7"/>
  <c r="I205" i="7"/>
  <c r="K205" i="7"/>
  <c r="M205" i="7"/>
  <c r="O205" i="7"/>
  <c r="G206" i="7"/>
  <c r="I206" i="7"/>
  <c r="K206" i="7"/>
  <c r="M206" i="7"/>
  <c r="O206" i="7"/>
  <c r="G207" i="7"/>
  <c r="I207" i="7"/>
  <c r="K207" i="7"/>
  <c r="M207" i="7"/>
  <c r="O207" i="7"/>
  <c r="G208" i="7"/>
  <c r="I208" i="7"/>
  <c r="K208" i="7"/>
  <c r="M208" i="7"/>
  <c r="O208" i="7"/>
  <c r="G209" i="7"/>
  <c r="I209" i="7"/>
  <c r="K209" i="7"/>
  <c r="M209" i="7"/>
  <c r="O209" i="7"/>
  <c r="G210" i="7"/>
  <c r="I210" i="7"/>
  <c r="K210" i="7"/>
  <c r="M210" i="7"/>
  <c r="O210" i="7"/>
  <c r="G211" i="7"/>
  <c r="I211" i="7"/>
  <c r="K211" i="7"/>
  <c r="M211" i="7"/>
  <c r="O211" i="7"/>
  <c r="G212" i="7"/>
  <c r="I212" i="7"/>
  <c r="K212" i="7"/>
  <c r="M212" i="7"/>
  <c r="O212" i="7"/>
  <c r="G213" i="7"/>
  <c r="I213" i="7"/>
  <c r="K213" i="7"/>
  <c r="M213" i="7"/>
  <c r="O213" i="7"/>
  <c r="G214" i="7"/>
  <c r="I214" i="7"/>
  <c r="K214" i="7"/>
  <c r="M214" i="7"/>
  <c r="O214" i="7"/>
  <c r="G215" i="7"/>
  <c r="I215" i="7"/>
  <c r="K215" i="7"/>
  <c r="M215" i="7"/>
  <c r="O215" i="7"/>
  <c r="G216" i="7"/>
  <c r="I216" i="7"/>
  <c r="K216" i="7"/>
  <c r="M216" i="7"/>
  <c r="O216" i="7"/>
  <c r="G217" i="7"/>
  <c r="I217" i="7"/>
  <c r="K217" i="7"/>
  <c r="M217" i="7"/>
  <c r="O217" i="7"/>
  <c r="G218" i="7"/>
  <c r="I218" i="7"/>
  <c r="K218" i="7"/>
  <c r="M218" i="7"/>
  <c r="O218" i="7"/>
  <c r="G219" i="7"/>
  <c r="I219" i="7"/>
  <c r="K219" i="7"/>
  <c r="M219" i="7"/>
  <c r="O219" i="7"/>
  <c r="G220" i="7"/>
  <c r="I220" i="7"/>
  <c r="K220" i="7"/>
  <c r="M220" i="7"/>
  <c r="O220" i="7"/>
  <c r="G221" i="7"/>
  <c r="I221" i="7"/>
  <c r="K221" i="7"/>
  <c r="M221" i="7"/>
  <c r="O221" i="7"/>
  <c r="G222" i="7"/>
  <c r="I222" i="7"/>
  <c r="K222" i="7"/>
  <c r="M222" i="7"/>
  <c r="O222" i="7"/>
  <c r="G223" i="7"/>
  <c r="I223" i="7"/>
  <c r="K223" i="7"/>
  <c r="M223" i="7"/>
  <c r="O223" i="7"/>
  <c r="G224" i="7"/>
  <c r="I224" i="7"/>
  <c r="K224" i="7"/>
  <c r="M224" i="7"/>
  <c r="O224" i="7"/>
  <c r="G225" i="7"/>
  <c r="I225" i="7"/>
  <c r="K225" i="7"/>
  <c r="M225" i="7"/>
  <c r="O225" i="7"/>
  <c r="G226" i="7"/>
  <c r="I226" i="7"/>
  <c r="K226" i="7"/>
  <c r="M226" i="7"/>
  <c r="O226" i="7"/>
  <c r="G227" i="7"/>
  <c r="I227" i="7"/>
  <c r="K227" i="7"/>
  <c r="M227" i="7"/>
  <c r="O227" i="7"/>
  <c r="G228" i="7"/>
  <c r="I228" i="7"/>
  <c r="K228" i="7"/>
  <c r="M228" i="7"/>
  <c r="O228" i="7"/>
  <c r="G229" i="7"/>
  <c r="I229" i="7"/>
  <c r="K229" i="7"/>
  <c r="M229" i="7"/>
  <c r="O229" i="7"/>
  <c r="G230" i="7"/>
  <c r="I230" i="7"/>
  <c r="K230" i="7"/>
  <c r="M230" i="7"/>
  <c r="O230" i="7"/>
  <c r="G231" i="7"/>
  <c r="I231" i="7"/>
  <c r="K231" i="7"/>
  <c r="M231" i="7"/>
  <c r="O231" i="7"/>
  <c r="G232" i="7"/>
  <c r="I232" i="7"/>
  <c r="K232" i="7"/>
  <c r="M232" i="7"/>
  <c r="O232" i="7"/>
  <c r="G233" i="7"/>
  <c r="I233" i="7"/>
  <c r="K233" i="7"/>
  <c r="M233" i="7"/>
  <c r="O233" i="7"/>
  <c r="G234" i="7"/>
  <c r="I234" i="7"/>
  <c r="K234" i="7"/>
  <c r="M234" i="7"/>
  <c r="O234" i="7"/>
  <c r="G235" i="7"/>
  <c r="I235" i="7"/>
  <c r="K235" i="7"/>
  <c r="M235" i="7"/>
  <c r="O235" i="7"/>
  <c r="G236" i="7"/>
  <c r="I236" i="7"/>
  <c r="K236" i="7"/>
  <c r="M236" i="7"/>
  <c r="O236" i="7"/>
  <c r="G237" i="7"/>
  <c r="I237" i="7"/>
  <c r="K237" i="7"/>
  <c r="M237" i="7"/>
  <c r="O237" i="7"/>
  <c r="G238" i="7"/>
  <c r="I238" i="7"/>
  <c r="K238" i="7"/>
  <c r="M238" i="7"/>
  <c r="O238" i="7"/>
  <c r="G239" i="7"/>
  <c r="I239" i="7"/>
  <c r="K239" i="7"/>
  <c r="M239" i="7"/>
  <c r="O239" i="7"/>
  <c r="G240" i="7"/>
  <c r="I240" i="7"/>
  <c r="K240" i="7"/>
  <c r="M240" i="7"/>
  <c r="O240" i="7"/>
  <c r="G241" i="7"/>
  <c r="I241" i="7"/>
  <c r="K241" i="7"/>
  <c r="M241" i="7"/>
  <c r="O241" i="7"/>
  <c r="G242" i="7"/>
  <c r="I242" i="7"/>
  <c r="K242" i="7"/>
  <c r="M242" i="7"/>
  <c r="O242" i="7"/>
  <c r="G243" i="7"/>
  <c r="I243" i="7"/>
  <c r="K243" i="7"/>
  <c r="M243" i="7"/>
  <c r="O243" i="7"/>
  <c r="G244" i="7"/>
  <c r="I244" i="7"/>
  <c r="K244" i="7"/>
  <c r="M244" i="7"/>
  <c r="O244" i="7"/>
  <c r="G245" i="7"/>
  <c r="I245" i="7"/>
  <c r="K245" i="7"/>
  <c r="M245" i="7"/>
  <c r="O245" i="7"/>
  <c r="G246" i="7"/>
  <c r="I246" i="7"/>
  <c r="K246" i="7"/>
  <c r="M246" i="7"/>
  <c r="O246" i="7"/>
  <c r="G247" i="7"/>
  <c r="I247" i="7"/>
  <c r="K247" i="7"/>
  <c r="M247" i="7"/>
  <c r="O247" i="7"/>
  <c r="G248" i="7"/>
  <c r="I248" i="7"/>
  <c r="K248" i="7"/>
  <c r="M248" i="7"/>
  <c r="O248" i="7"/>
  <c r="G249" i="7"/>
  <c r="I249" i="7"/>
  <c r="K249" i="7"/>
  <c r="M249" i="7"/>
  <c r="O249" i="7"/>
  <c r="G250" i="7"/>
  <c r="I250" i="7"/>
  <c r="K250" i="7"/>
  <c r="M250" i="7"/>
  <c r="O250" i="7"/>
  <c r="G251" i="7"/>
  <c r="I251" i="7"/>
  <c r="K251" i="7"/>
  <c r="M251" i="7"/>
  <c r="O251" i="7"/>
  <c r="G252" i="7"/>
  <c r="I252" i="7"/>
  <c r="K252" i="7"/>
  <c r="M252" i="7"/>
  <c r="O252" i="7"/>
  <c r="G253" i="7"/>
  <c r="I253" i="7"/>
  <c r="K253" i="7"/>
  <c r="M253" i="7"/>
  <c r="O253" i="7"/>
  <c r="G254" i="7"/>
  <c r="I254" i="7"/>
  <c r="K254" i="7"/>
  <c r="M254" i="7"/>
  <c r="O254" i="7"/>
  <c r="G255" i="7"/>
  <c r="I255" i="7"/>
  <c r="K255" i="7"/>
  <c r="M255" i="7"/>
  <c r="O255" i="7"/>
  <c r="G256" i="7"/>
  <c r="I256" i="7"/>
  <c r="K256" i="7"/>
  <c r="M256" i="7"/>
  <c r="O256" i="7"/>
  <c r="G257" i="7"/>
  <c r="I257" i="7"/>
  <c r="K257" i="7"/>
  <c r="M257" i="7"/>
  <c r="O257" i="7"/>
  <c r="G258" i="7"/>
  <c r="I258" i="7"/>
  <c r="K258" i="7"/>
  <c r="M258" i="7"/>
  <c r="O258" i="7"/>
  <c r="G259" i="7"/>
  <c r="I259" i="7"/>
  <c r="K259" i="7"/>
  <c r="M259" i="7"/>
  <c r="O259" i="7"/>
  <c r="G260" i="7"/>
  <c r="I260" i="7"/>
  <c r="K260" i="7"/>
  <c r="M260" i="7"/>
  <c r="O260" i="7"/>
  <c r="G261" i="7"/>
  <c r="I261" i="7"/>
  <c r="K261" i="7"/>
  <c r="M261" i="7"/>
  <c r="O261" i="7"/>
  <c r="G262" i="7"/>
  <c r="I262" i="7"/>
  <c r="K262" i="7"/>
  <c r="M262" i="7"/>
  <c r="O262" i="7"/>
  <c r="G263" i="7"/>
  <c r="I263" i="7"/>
  <c r="K263" i="7"/>
  <c r="M263" i="7"/>
  <c r="O263" i="7"/>
  <c r="G264" i="7"/>
  <c r="I264" i="7"/>
  <c r="K264" i="7"/>
  <c r="M264" i="7"/>
  <c r="O264" i="7"/>
  <c r="G265" i="7"/>
  <c r="I265" i="7"/>
  <c r="K265" i="7"/>
  <c r="M265" i="7"/>
  <c r="O265" i="7"/>
  <c r="G266" i="7"/>
  <c r="I266" i="7"/>
  <c r="K266" i="7"/>
  <c r="M266" i="7"/>
  <c r="O266" i="7"/>
  <c r="G267" i="7"/>
  <c r="I267" i="7"/>
  <c r="K267" i="7"/>
  <c r="M267" i="7"/>
  <c r="O267" i="7"/>
  <c r="G268" i="7"/>
  <c r="I268" i="7"/>
  <c r="K268" i="7"/>
  <c r="M268" i="7"/>
  <c r="O268" i="7"/>
  <c r="G269" i="7"/>
  <c r="I269" i="7"/>
  <c r="K269" i="7"/>
  <c r="M269" i="7"/>
  <c r="O269" i="7"/>
  <c r="G270" i="7"/>
  <c r="I270" i="7"/>
  <c r="K270" i="7"/>
  <c r="M270" i="7"/>
  <c r="O270" i="7"/>
  <c r="G271" i="7"/>
  <c r="I271" i="7"/>
  <c r="K271" i="7"/>
  <c r="M271" i="7"/>
  <c r="O271" i="7"/>
  <c r="G272" i="7"/>
  <c r="I272" i="7"/>
  <c r="K272" i="7"/>
  <c r="M272" i="7"/>
  <c r="O272" i="7"/>
  <c r="G273" i="7"/>
  <c r="I273" i="7"/>
  <c r="K273" i="7"/>
  <c r="M273" i="7"/>
  <c r="O273" i="7"/>
  <c r="G274" i="7"/>
  <c r="I274" i="7"/>
  <c r="K274" i="7"/>
  <c r="M274" i="7"/>
  <c r="O274" i="7"/>
  <c r="G275" i="7"/>
  <c r="I275" i="7"/>
  <c r="K275" i="7"/>
  <c r="M275" i="7"/>
  <c r="O275" i="7"/>
  <c r="G276" i="7"/>
  <c r="I276" i="7"/>
  <c r="K276" i="7"/>
  <c r="M276" i="7"/>
  <c r="O276" i="7"/>
  <c r="G277" i="7"/>
  <c r="I277" i="7"/>
  <c r="K277" i="7"/>
  <c r="M277" i="7"/>
  <c r="O277" i="7"/>
  <c r="G278" i="7"/>
  <c r="I278" i="7"/>
  <c r="K278" i="7"/>
  <c r="M278" i="7"/>
  <c r="O278" i="7"/>
  <c r="G279" i="7"/>
  <c r="I279" i="7"/>
  <c r="K279" i="7"/>
  <c r="M279" i="7"/>
  <c r="O279" i="7"/>
  <c r="G280" i="7"/>
  <c r="I280" i="7"/>
  <c r="K280" i="7"/>
  <c r="M280" i="7"/>
  <c r="O280" i="7"/>
  <c r="G281" i="7"/>
  <c r="I281" i="7"/>
  <c r="K281" i="7"/>
  <c r="M281" i="7"/>
  <c r="O281" i="7"/>
  <c r="G282" i="7"/>
  <c r="I282" i="7"/>
  <c r="K282" i="7"/>
  <c r="M282" i="7"/>
  <c r="O282" i="7"/>
  <c r="G283" i="7"/>
  <c r="I283" i="7"/>
  <c r="K283" i="7"/>
  <c r="M283" i="7"/>
  <c r="O283" i="7"/>
  <c r="G284" i="7"/>
  <c r="I284" i="7"/>
  <c r="K284" i="7"/>
  <c r="M284" i="7"/>
  <c r="O284" i="7"/>
  <c r="G285" i="7"/>
  <c r="I285" i="7"/>
  <c r="K285" i="7"/>
  <c r="M285" i="7"/>
  <c r="O285" i="7"/>
  <c r="G286" i="7"/>
  <c r="I286" i="7"/>
  <c r="K286" i="7"/>
  <c r="M286" i="7"/>
  <c r="O286" i="7"/>
  <c r="G287" i="7"/>
  <c r="I287" i="7"/>
  <c r="K287" i="7"/>
  <c r="M287" i="7"/>
  <c r="O287" i="7"/>
  <c r="G288" i="7"/>
  <c r="I288" i="7"/>
  <c r="K288" i="7"/>
  <c r="M288" i="7"/>
  <c r="O288" i="7"/>
  <c r="G289" i="7"/>
  <c r="I289" i="7"/>
  <c r="K289" i="7"/>
  <c r="M289" i="7"/>
  <c r="O289" i="7"/>
  <c r="G290" i="7"/>
  <c r="I290" i="7"/>
  <c r="K290" i="7"/>
  <c r="M290" i="7"/>
  <c r="O290" i="7"/>
  <c r="G291" i="7"/>
  <c r="I291" i="7"/>
  <c r="K291" i="7"/>
  <c r="M291" i="7"/>
  <c r="O291" i="7"/>
  <c r="G292" i="7"/>
  <c r="I292" i="7"/>
  <c r="K292" i="7"/>
  <c r="M292" i="7"/>
  <c r="O292" i="7"/>
  <c r="G293" i="7"/>
  <c r="I293" i="7"/>
  <c r="K293" i="7"/>
  <c r="M293" i="7"/>
  <c r="O293" i="7"/>
  <c r="G294" i="7"/>
  <c r="I294" i="7"/>
  <c r="K294" i="7"/>
  <c r="M294" i="7"/>
  <c r="O294" i="7"/>
  <c r="G295" i="7"/>
  <c r="I295" i="7"/>
  <c r="K295" i="7"/>
  <c r="M295" i="7"/>
  <c r="O295" i="7"/>
  <c r="G296" i="7"/>
  <c r="I296" i="7"/>
  <c r="K296" i="7"/>
  <c r="M296" i="7"/>
  <c r="O296" i="7"/>
  <c r="G297" i="7"/>
  <c r="I297" i="7"/>
  <c r="K297" i="7"/>
  <c r="M297" i="7"/>
  <c r="O297" i="7"/>
  <c r="G298" i="7"/>
  <c r="I298" i="7"/>
  <c r="K298" i="7"/>
  <c r="M298" i="7"/>
  <c r="O298" i="7"/>
  <c r="G299" i="7"/>
  <c r="I299" i="7"/>
  <c r="K299" i="7"/>
  <c r="M299" i="7"/>
  <c r="O299" i="7"/>
  <c r="G300" i="7"/>
  <c r="I300" i="7"/>
  <c r="K300" i="7"/>
  <c r="M300" i="7"/>
  <c r="O300" i="7"/>
  <c r="G301" i="7"/>
  <c r="I301" i="7"/>
  <c r="K301" i="7"/>
  <c r="M301" i="7"/>
  <c r="O301" i="7"/>
  <c r="G302" i="7"/>
  <c r="I302" i="7"/>
  <c r="K302" i="7"/>
  <c r="M302" i="7"/>
  <c r="O302" i="7"/>
  <c r="G303" i="7"/>
  <c r="I303" i="7"/>
  <c r="K303" i="7"/>
  <c r="M303" i="7"/>
  <c r="O303" i="7"/>
  <c r="G304" i="7"/>
  <c r="I304" i="7"/>
  <c r="K304" i="7"/>
  <c r="M304" i="7"/>
  <c r="O304" i="7"/>
  <c r="G305" i="7"/>
  <c r="I305" i="7"/>
  <c r="K305" i="7"/>
  <c r="M305" i="7"/>
  <c r="O305" i="7"/>
  <c r="G306" i="7"/>
  <c r="I306" i="7"/>
  <c r="K306" i="7"/>
  <c r="M306" i="7"/>
  <c r="O306" i="7"/>
  <c r="G307" i="7"/>
  <c r="I307" i="7"/>
  <c r="K307" i="7"/>
  <c r="M307" i="7"/>
  <c r="O307" i="7"/>
  <c r="G308" i="7"/>
  <c r="I308" i="7"/>
  <c r="K308" i="7"/>
  <c r="M308" i="7"/>
  <c r="O308" i="7"/>
  <c r="G309" i="7"/>
  <c r="I309" i="7"/>
  <c r="K309" i="7"/>
  <c r="M309" i="7"/>
  <c r="O309" i="7"/>
  <c r="G310" i="7"/>
  <c r="I310" i="7"/>
  <c r="K310" i="7"/>
  <c r="M310" i="7"/>
  <c r="O310" i="7"/>
  <c r="G311" i="7"/>
  <c r="I311" i="7"/>
  <c r="K311" i="7"/>
  <c r="M311" i="7"/>
  <c r="O311" i="7"/>
  <c r="G312" i="7"/>
  <c r="I312" i="7"/>
  <c r="K312" i="7"/>
  <c r="M312" i="7"/>
  <c r="O312" i="7"/>
  <c r="G313" i="7"/>
  <c r="I313" i="7"/>
  <c r="K313" i="7"/>
  <c r="M313" i="7"/>
  <c r="O313" i="7"/>
  <c r="G314" i="7"/>
  <c r="I314" i="7"/>
  <c r="K314" i="7"/>
  <c r="M314" i="7"/>
  <c r="O314" i="7"/>
  <c r="G315" i="7"/>
  <c r="I315" i="7"/>
  <c r="K315" i="7"/>
  <c r="M315" i="7"/>
  <c r="O315" i="7"/>
  <c r="G316" i="7"/>
  <c r="I316" i="7"/>
  <c r="K316" i="7"/>
  <c r="M316" i="7"/>
  <c r="O316" i="7"/>
  <c r="G317" i="7"/>
  <c r="I317" i="7"/>
  <c r="K317" i="7"/>
  <c r="M317" i="7"/>
  <c r="O317" i="7"/>
  <c r="G318" i="7"/>
  <c r="I318" i="7"/>
  <c r="K318" i="7"/>
  <c r="M318" i="7"/>
  <c r="O318" i="7"/>
  <c r="G319" i="7"/>
  <c r="I319" i="7"/>
  <c r="K319" i="7"/>
  <c r="M319" i="7"/>
  <c r="O319" i="7"/>
  <c r="G320" i="7"/>
  <c r="I320" i="7"/>
  <c r="K320" i="7"/>
  <c r="M320" i="7"/>
  <c r="O320" i="7"/>
  <c r="G321" i="7"/>
  <c r="I321" i="7"/>
  <c r="K321" i="7"/>
  <c r="M321" i="7"/>
  <c r="O321" i="7"/>
  <c r="G322" i="7"/>
  <c r="I322" i="7"/>
  <c r="K322" i="7"/>
  <c r="M322" i="7"/>
  <c r="O322" i="7"/>
  <c r="G323" i="7"/>
  <c r="I323" i="7"/>
  <c r="K323" i="7"/>
  <c r="M323" i="7"/>
  <c r="O323" i="7"/>
  <c r="G324" i="7"/>
  <c r="I324" i="7"/>
  <c r="K324" i="7"/>
  <c r="M324" i="7"/>
  <c r="O324" i="7"/>
  <c r="G325" i="7"/>
  <c r="I325" i="7"/>
  <c r="K325" i="7"/>
  <c r="M325" i="7"/>
  <c r="O325" i="7"/>
  <c r="G326" i="7"/>
  <c r="I326" i="7"/>
  <c r="K326" i="7"/>
  <c r="M326" i="7"/>
  <c r="O326" i="7"/>
  <c r="G327" i="7"/>
  <c r="I327" i="7"/>
  <c r="K327" i="7"/>
  <c r="M327" i="7"/>
  <c r="O327" i="7"/>
  <c r="G328" i="7"/>
  <c r="I328" i="7"/>
  <c r="K328" i="7"/>
  <c r="M328" i="7"/>
  <c r="O328" i="7"/>
  <c r="G329" i="7"/>
  <c r="I329" i="7"/>
  <c r="K329" i="7"/>
  <c r="M329" i="7"/>
  <c r="O329" i="7"/>
  <c r="G330" i="7"/>
  <c r="I330" i="7"/>
  <c r="K330" i="7"/>
  <c r="M330" i="7"/>
  <c r="O330" i="7"/>
  <c r="G331" i="7"/>
  <c r="I331" i="7"/>
  <c r="K331" i="7"/>
  <c r="M331" i="7"/>
  <c r="O331" i="7"/>
  <c r="G332" i="7"/>
  <c r="I332" i="7"/>
  <c r="K332" i="7"/>
  <c r="M332" i="7"/>
  <c r="O332" i="7"/>
  <c r="G333" i="7"/>
  <c r="I333" i="7"/>
  <c r="K333" i="7"/>
  <c r="M333" i="7"/>
  <c r="O333" i="7"/>
  <c r="G334" i="7"/>
  <c r="I334" i="7"/>
  <c r="K334" i="7"/>
  <c r="M334" i="7"/>
  <c r="O334" i="7"/>
  <c r="G335" i="7"/>
  <c r="I335" i="7"/>
  <c r="K335" i="7"/>
  <c r="M335" i="7"/>
  <c r="O335" i="7"/>
  <c r="G336" i="7"/>
  <c r="I336" i="7"/>
  <c r="K336" i="7"/>
  <c r="M336" i="7"/>
  <c r="O336" i="7"/>
  <c r="G337" i="7"/>
  <c r="I337" i="7"/>
  <c r="K337" i="7"/>
  <c r="M337" i="7"/>
  <c r="O337" i="7"/>
  <c r="G338" i="7"/>
  <c r="I338" i="7"/>
  <c r="K338" i="7"/>
  <c r="M338" i="7"/>
  <c r="O338" i="7"/>
  <c r="G339" i="7"/>
  <c r="I339" i="7"/>
  <c r="K339" i="7"/>
  <c r="M339" i="7"/>
  <c r="O339" i="7"/>
  <c r="G340" i="7"/>
  <c r="I340" i="7"/>
  <c r="K340" i="7"/>
  <c r="M340" i="7"/>
  <c r="O340" i="7"/>
  <c r="G341" i="7"/>
  <c r="I341" i="7"/>
  <c r="K341" i="7"/>
  <c r="M341" i="7"/>
  <c r="O341" i="7"/>
  <c r="G342" i="7"/>
  <c r="I342" i="7"/>
  <c r="K342" i="7"/>
  <c r="M342" i="7"/>
  <c r="O342" i="7"/>
  <c r="G343" i="7"/>
  <c r="I343" i="7"/>
  <c r="K343" i="7"/>
  <c r="M343" i="7"/>
  <c r="O343" i="7"/>
  <c r="G344" i="7"/>
  <c r="I344" i="7"/>
  <c r="K344" i="7"/>
  <c r="M344" i="7"/>
  <c r="O344" i="7"/>
  <c r="G345" i="7"/>
  <c r="I345" i="7"/>
  <c r="K345" i="7"/>
  <c r="M345" i="7"/>
  <c r="O345" i="7"/>
  <c r="G346" i="7"/>
  <c r="I346" i="7"/>
  <c r="K346" i="7"/>
  <c r="M346" i="7"/>
  <c r="O346" i="7"/>
  <c r="G347" i="7"/>
  <c r="I347" i="7"/>
  <c r="K347" i="7"/>
  <c r="M347" i="7"/>
  <c r="O347" i="7"/>
  <c r="G348" i="7"/>
  <c r="I348" i="7"/>
  <c r="K348" i="7"/>
  <c r="M348" i="7"/>
  <c r="O348" i="7"/>
  <c r="G349" i="7"/>
  <c r="I349" i="7"/>
  <c r="K349" i="7"/>
  <c r="M349" i="7"/>
  <c r="O349" i="7"/>
  <c r="G350" i="7"/>
  <c r="I350" i="7"/>
  <c r="K350" i="7"/>
  <c r="M350" i="7"/>
  <c r="O350" i="7"/>
  <c r="G351" i="7"/>
  <c r="I351" i="7"/>
  <c r="K351" i="7"/>
  <c r="M351" i="7"/>
  <c r="O351" i="7"/>
  <c r="G352" i="7"/>
  <c r="I352" i="7"/>
  <c r="K352" i="7"/>
  <c r="M352" i="7"/>
  <c r="O352" i="7"/>
  <c r="G353" i="7"/>
  <c r="I353" i="7"/>
  <c r="K353" i="7"/>
  <c r="M353" i="7"/>
  <c r="O353" i="7"/>
  <c r="G354" i="7"/>
  <c r="I354" i="7"/>
  <c r="K354" i="7"/>
  <c r="M354" i="7"/>
  <c r="O354" i="7"/>
  <c r="G355" i="7"/>
  <c r="I355" i="7"/>
  <c r="K355" i="7"/>
  <c r="M355" i="7"/>
  <c r="O355" i="7"/>
  <c r="G356" i="7"/>
  <c r="I356" i="7"/>
  <c r="K356" i="7"/>
  <c r="M356" i="7"/>
  <c r="O356" i="7"/>
  <c r="G357" i="7"/>
  <c r="I357" i="7"/>
  <c r="K357" i="7"/>
  <c r="M357" i="7"/>
  <c r="O357" i="7"/>
  <c r="G358" i="7"/>
  <c r="I358" i="7"/>
  <c r="K358" i="7"/>
  <c r="M358" i="7"/>
  <c r="O358" i="7"/>
  <c r="G359" i="7"/>
  <c r="I359" i="7"/>
  <c r="K359" i="7"/>
  <c r="M359" i="7"/>
  <c r="O359" i="7"/>
  <c r="G360" i="7"/>
  <c r="I360" i="7"/>
  <c r="K360" i="7"/>
  <c r="M360" i="7"/>
  <c r="O360" i="7"/>
  <c r="G361" i="7"/>
  <c r="I361" i="7"/>
  <c r="K361" i="7"/>
  <c r="M361" i="7"/>
  <c r="O361" i="7"/>
  <c r="G362" i="7"/>
  <c r="I362" i="7"/>
  <c r="K362" i="7"/>
  <c r="M362" i="7"/>
  <c r="O362" i="7"/>
  <c r="G363" i="7"/>
  <c r="I363" i="7"/>
  <c r="K363" i="7"/>
  <c r="M363" i="7"/>
  <c r="O363" i="7"/>
  <c r="G364" i="7"/>
  <c r="I364" i="7"/>
  <c r="K364" i="7"/>
  <c r="M364" i="7"/>
  <c r="O364" i="7"/>
  <c r="G365" i="7"/>
  <c r="I365" i="7"/>
  <c r="K365" i="7"/>
  <c r="M365" i="7"/>
  <c r="O365" i="7"/>
  <c r="G366" i="7"/>
  <c r="I366" i="7"/>
  <c r="K366" i="7"/>
  <c r="M366" i="7"/>
  <c r="O366" i="7"/>
  <c r="G367" i="7"/>
  <c r="I367" i="7"/>
  <c r="K367" i="7"/>
  <c r="M367" i="7"/>
  <c r="O367" i="7"/>
  <c r="G368" i="7"/>
  <c r="I368" i="7"/>
  <c r="K368" i="7"/>
  <c r="M368" i="7"/>
  <c r="O368" i="7"/>
  <c r="G369" i="7"/>
  <c r="I369" i="7"/>
  <c r="K369" i="7"/>
  <c r="M369" i="7"/>
  <c r="O369" i="7"/>
  <c r="G370" i="7"/>
  <c r="I370" i="7"/>
  <c r="K370" i="7"/>
  <c r="M370" i="7"/>
  <c r="O370" i="7"/>
  <c r="G371" i="7"/>
  <c r="I371" i="7"/>
  <c r="K371" i="7"/>
  <c r="M371" i="7"/>
  <c r="O371" i="7"/>
  <c r="G372" i="7"/>
  <c r="I372" i="7"/>
  <c r="K372" i="7"/>
  <c r="M372" i="7"/>
  <c r="O372" i="7"/>
  <c r="G373" i="7"/>
  <c r="I373" i="7"/>
  <c r="K373" i="7"/>
  <c r="M373" i="7"/>
  <c r="O373" i="7"/>
  <c r="G374" i="7"/>
  <c r="I374" i="7"/>
  <c r="K374" i="7"/>
  <c r="M374" i="7"/>
  <c r="O374" i="7"/>
  <c r="G375" i="7"/>
  <c r="I375" i="7"/>
  <c r="K375" i="7"/>
  <c r="M375" i="7"/>
  <c r="O375" i="7"/>
  <c r="G376" i="7"/>
  <c r="I376" i="7"/>
  <c r="K376" i="7"/>
  <c r="M376" i="7"/>
  <c r="O376" i="7"/>
  <c r="G377" i="7"/>
  <c r="I377" i="7"/>
  <c r="K377" i="7"/>
  <c r="M377" i="7"/>
  <c r="O377" i="7"/>
  <c r="G378" i="7"/>
  <c r="I378" i="7"/>
  <c r="K378" i="7"/>
  <c r="M378" i="7"/>
  <c r="O378" i="7"/>
  <c r="G379" i="7"/>
  <c r="I379" i="7"/>
  <c r="K379" i="7"/>
  <c r="M379" i="7"/>
  <c r="O379" i="7"/>
  <c r="G380" i="7"/>
  <c r="I380" i="7"/>
  <c r="K380" i="7"/>
  <c r="M380" i="7"/>
  <c r="O380" i="7"/>
  <c r="G381" i="7"/>
  <c r="I381" i="7"/>
  <c r="K381" i="7"/>
  <c r="M381" i="7"/>
  <c r="O381" i="7"/>
  <c r="G382" i="7"/>
  <c r="I382" i="7"/>
  <c r="K382" i="7"/>
  <c r="M382" i="7"/>
  <c r="O382" i="7"/>
  <c r="G383" i="7"/>
  <c r="I383" i="7"/>
  <c r="K383" i="7"/>
  <c r="M383" i="7"/>
  <c r="O383" i="7"/>
  <c r="G384" i="7"/>
  <c r="I384" i="7"/>
  <c r="K384" i="7"/>
  <c r="M384" i="7"/>
  <c r="O384" i="7"/>
  <c r="G385" i="7"/>
  <c r="I385" i="7"/>
  <c r="K385" i="7"/>
  <c r="M385" i="7"/>
  <c r="O385" i="7"/>
  <c r="G386" i="7"/>
  <c r="I386" i="7"/>
  <c r="K386" i="7"/>
  <c r="M386" i="7"/>
  <c r="O386" i="7"/>
  <c r="G387" i="7"/>
  <c r="I387" i="7"/>
  <c r="K387" i="7"/>
  <c r="M387" i="7"/>
  <c r="O387" i="7"/>
  <c r="G388" i="7"/>
  <c r="I388" i="7"/>
  <c r="K388" i="7"/>
  <c r="M388" i="7"/>
  <c r="O388" i="7"/>
  <c r="G389" i="7"/>
  <c r="I389" i="7"/>
  <c r="K389" i="7"/>
  <c r="M389" i="7"/>
  <c r="O389" i="7"/>
  <c r="G390" i="7"/>
  <c r="I390" i="7"/>
  <c r="K390" i="7"/>
  <c r="M390" i="7"/>
  <c r="O390" i="7"/>
  <c r="G391" i="7"/>
  <c r="I391" i="7"/>
  <c r="K391" i="7"/>
  <c r="M391" i="7"/>
  <c r="O391" i="7"/>
  <c r="G392" i="7"/>
  <c r="I392" i="7"/>
  <c r="K392" i="7"/>
  <c r="M392" i="7"/>
  <c r="O392" i="7"/>
  <c r="G393" i="7"/>
  <c r="I393" i="7"/>
  <c r="K393" i="7"/>
  <c r="M393" i="7"/>
  <c r="O393" i="7"/>
  <c r="G394" i="7"/>
  <c r="I394" i="7"/>
  <c r="K394" i="7"/>
  <c r="M394" i="7"/>
  <c r="O394" i="7"/>
  <c r="G395" i="7"/>
  <c r="I395" i="7"/>
  <c r="K395" i="7"/>
  <c r="M395" i="7"/>
  <c r="O395" i="7"/>
  <c r="G396" i="7"/>
  <c r="I396" i="7"/>
  <c r="K396" i="7"/>
  <c r="M396" i="7"/>
  <c r="O396" i="7"/>
  <c r="G397" i="7"/>
  <c r="I397" i="7"/>
  <c r="K397" i="7"/>
  <c r="M397" i="7"/>
  <c r="O397" i="7"/>
  <c r="G398" i="7"/>
  <c r="I398" i="7"/>
  <c r="K398" i="7"/>
  <c r="M398" i="7"/>
  <c r="O398" i="7"/>
  <c r="E10"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11" i="9"/>
  <c r="D10" i="9"/>
  <c r="E142" i="7"/>
  <c r="E110" i="7"/>
  <c r="E94" i="7"/>
  <c r="E86" i="7"/>
  <c r="E78" i="7"/>
  <c r="E46" i="7"/>
  <c r="E30" i="7"/>
  <c r="E22" i="7"/>
  <c r="E14" i="7"/>
  <c r="D10" i="7"/>
  <c r="E397" i="7" s="1"/>
  <c r="L12" i="14" l="1"/>
  <c r="K29" i="16"/>
  <c r="J29" i="16"/>
  <c r="K10" i="16"/>
  <c r="K41" i="16" s="1"/>
  <c r="K46" i="16" s="1"/>
  <c r="K48" i="16" s="1"/>
  <c r="K49" i="16" s="1"/>
  <c r="H150" i="8"/>
  <c r="I150" i="8"/>
  <c r="I343" i="8"/>
  <c r="I330" i="8"/>
  <c r="I322" i="8"/>
  <c r="I307" i="8"/>
  <c r="I300" i="8"/>
  <c r="I293" i="8"/>
  <c r="I285" i="8"/>
  <c r="I256" i="8"/>
  <c r="I213" i="8"/>
  <c r="I199" i="8"/>
  <c r="H288" i="8"/>
  <c r="I314" i="8"/>
  <c r="H286" i="8"/>
  <c r="I158" i="8"/>
  <c r="H164" i="8"/>
  <c r="H5" i="8"/>
  <c r="I286" i="8"/>
  <c r="I288" i="8"/>
  <c r="I12" i="8"/>
  <c r="H158" i="8"/>
  <c r="I278" i="8"/>
  <c r="I270" i="8"/>
  <c r="I264" i="8"/>
  <c r="I248" i="8"/>
  <c r="I220" i="8"/>
  <c r="I205" i="8"/>
  <c r="I192" i="8"/>
  <c r="I185" i="8"/>
  <c r="I177" i="8"/>
  <c r="I329" i="8"/>
  <c r="I292" i="8"/>
  <c r="I321" i="8"/>
  <c r="I342" i="8"/>
  <c r="I240" i="8"/>
  <c r="I233" i="8"/>
  <c r="I170" i="8"/>
  <c r="I155" i="8"/>
  <c r="I148" i="8"/>
  <c r="I222" i="8"/>
  <c r="I318" i="8"/>
  <c r="I339" i="8"/>
  <c r="I281" i="8"/>
  <c r="I347" i="8"/>
  <c r="I326" i="8"/>
  <c r="I297" i="8"/>
  <c r="I279" i="8"/>
  <c r="I271" i="8"/>
  <c r="I265" i="8"/>
  <c r="I249" i="8"/>
  <c r="I140" i="8"/>
  <c r="I132" i="8"/>
  <c r="I267" i="8"/>
  <c r="I252" i="8"/>
  <c r="I237" i="8"/>
  <c r="I216" i="8"/>
  <c r="I188" i="8"/>
  <c r="I181" i="8"/>
  <c r="I160" i="8"/>
  <c r="I151" i="8"/>
  <c r="I136" i="8"/>
  <c r="I128" i="8"/>
  <c r="I120" i="8"/>
  <c r="I111" i="8"/>
  <c r="I103" i="8"/>
  <c r="I96" i="8"/>
  <c r="I82" i="8"/>
  <c r="I74" i="8"/>
  <c r="I66" i="8"/>
  <c r="I58" i="8"/>
  <c r="I50" i="8"/>
  <c r="I42" i="8"/>
  <c r="I34" i="8"/>
  <c r="I260" i="8"/>
  <c r="I230" i="8"/>
  <c r="H304" i="8"/>
  <c r="I274" i="8"/>
  <c r="I244" i="8"/>
  <c r="I331" i="8"/>
  <c r="I284" i="8"/>
  <c r="I334" i="8"/>
  <c r="I273" i="8"/>
  <c r="I345" i="8"/>
  <c r="I335" i="8"/>
  <c r="I198" i="8"/>
  <c r="I164" i="8"/>
  <c r="I241" i="8"/>
  <c r="I234" i="8"/>
  <c r="I227" i="8"/>
  <c r="I206" i="8"/>
  <c r="I193" i="8"/>
  <c r="I186" i="8"/>
  <c r="I178" i="8"/>
  <c r="I171" i="8"/>
  <c r="I156" i="8"/>
  <c r="I149" i="8"/>
  <c r="I141" i="8"/>
  <c r="I133" i="8"/>
  <c r="I125" i="8"/>
  <c r="I108" i="8"/>
  <c r="I100" i="8"/>
  <c r="I87" i="8"/>
  <c r="I79" i="8"/>
  <c r="I71" i="8"/>
  <c r="I63" i="8"/>
  <c r="I55" i="8"/>
  <c r="I47" i="8"/>
  <c r="I39" i="8"/>
  <c r="I11" i="8"/>
  <c r="I124" i="8"/>
  <c r="I116" i="8"/>
  <c r="I93" i="8"/>
  <c r="I306" i="8"/>
  <c r="I304" i="8"/>
  <c r="I312" i="8"/>
  <c r="I266" i="8"/>
  <c r="H6" i="8"/>
  <c r="H7" i="8"/>
  <c r="I7" i="8"/>
  <c r="I67" i="8"/>
  <c r="I59" i="8"/>
  <c r="I51" i="8"/>
  <c r="I210" i="8"/>
  <c r="I196" i="8"/>
  <c r="I90" i="8"/>
  <c r="I20" i="8"/>
  <c r="I337" i="8"/>
  <c r="I23" i="8"/>
  <c r="I6" i="8"/>
  <c r="H113" i="8"/>
  <c r="I5" i="8"/>
  <c r="C26" i="14" s="1"/>
  <c r="C14" i="14" s="1"/>
  <c r="I344" i="8"/>
  <c r="I31" i="8"/>
  <c r="I107" i="8"/>
  <c r="I86" i="8"/>
  <c r="I78" i="8"/>
  <c r="I70" i="8"/>
  <c r="I62" i="8"/>
  <c r="I54" i="8"/>
  <c r="I46" i="8"/>
  <c r="I38" i="8"/>
  <c r="I30" i="8"/>
  <c r="I10" i="8"/>
  <c r="H313" i="8"/>
  <c r="H222" i="8"/>
  <c r="H219" i="8"/>
  <c r="I212" i="8"/>
  <c r="I204" i="8"/>
  <c r="I163" i="8"/>
  <c r="I154" i="8"/>
  <c r="I147" i="8"/>
  <c r="I139" i="8"/>
  <c r="I131" i="8"/>
  <c r="I123" i="8"/>
  <c r="I99" i="8"/>
  <c r="I341" i="8"/>
  <c r="I305" i="8"/>
  <c r="I299" i="8"/>
  <c r="I291" i="8"/>
  <c r="H257" i="8"/>
  <c r="I43" i="8"/>
  <c r="I35" i="8"/>
  <c r="I27" i="8"/>
  <c r="I14" i="8"/>
  <c r="I311" i="8"/>
  <c r="I243" i="8"/>
  <c r="I324" i="8"/>
  <c r="I336" i="8"/>
  <c r="I226" i="8"/>
  <c r="I224" i="8"/>
  <c r="H142" i="8"/>
  <c r="I277" i="8"/>
  <c r="I269" i="8"/>
  <c r="I263" i="8"/>
  <c r="I255" i="8"/>
  <c r="I247" i="8"/>
  <c r="I191" i="8"/>
  <c r="I184" i="8"/>
  <c r="I176" i="8"/>
  <c r="I169" i="8"/>
  <c r="I114" i="8"/>
  <c r="I106" i="8"/>
  <c r="I92" i="8"/>
  <c r="I85" i="8"/>
  <c r="I77" i="8"/>
  <c r="I69" i="8"/>
  <c r="I61" i="8"/>
  <c r="I53" i="8"/>
  <c r="I45" i="8"/>
  <c r="I37" i="8"/>
  <c r="I29" i="8"/>
  <c r="I21" i="8"/>
  <c r="I328" i="8"/>
  <c r="I320" i="8"/>
  <c r="I283" i="8"/>
  <c r="I276" i="8"/>
  <c r="I262" i="8"/>
  <c r="I254" i="8"/>
  <c r="I246" i="8"/>
  <c r="I239" i="8"/>
  <c r="I232" i="8"/>
  <c r="I225" i="8"/>
  <c r="I218" i="8"/>
  <c r="I203" i="8"/>
  <c r="I197" i="8"/>
  <c r="I190" i="8"/>
  <c r="I183" i="8"/>
  <c r="I175" i="8"/>
  <c r="I168" i="8"/>
  <c r="I162" i="8"/>
  <c r="I153" i="8"/>
  <c r="I146" i="8"/>
  <c r="I144" i="8"/>
  <c r="I138" i="8"/>
  <c r="I130" i="8"/>
  <c r="I122" i="8"/>
  <c r="I105" i="8"/>
  <c r="I98" i="8"/>
  <c r="I91" i="8"/>
  <c r="I84" i="8"/>
  <c r="I76" i="8"/>
  <c r="I68" i="8"/>
  <c r="I60" i="8"/>
  <c r="I52" i="8"/>
  <c r="I44" i="8"/>
  <c r="I36" i="8"/>
  <c r="I28" i="8"/>
  <c r="I16" i="8"/>
  <c r="I9" i="8"/>
  <c r="I348" i="8"/>
  <c r="I340" i="8"/>
  <c r="I327" i="8"/>
  <c r="I319" i="8"/>
  <c r="I316" i="8"/>
  <c r="I298" i="8"/>
  <c r="I290" i="8"/>
  <c r="I282" i="8"/>
  <c r="I275" i="8"/>
  <c r="I268" i="8"/>
  <c r="I261" i="8"/>
  <c r="I259" i="8"/>
  <c r="I253" i="8"/>
  <c r="I245" i="8"/>
  <c r="I238" i="8"/>
  <c r="I231" i="8"/>
  <c r="I217" i="8"/>
  <c r="I211" i="8"/>
  <c r="I209" i="8"/>
  <c r="I202" i="8"/>
  <c r="I207" i="8"/>
  <c r="I189" i="8"/>
  <c r="I182" i="8"/>
  <c r="I174" i="8"/>
  <c r="I167" i="8"/>
  <c r="I161" i="8"/>
  <c r="I152" i="8"/>
  <c r="I145" i="8"/>
  <c r="I137" i="8"/>
  <c r="I129" i="8"/>
  <c r="I121" i="8"/>
  <c r="I112" i="8"/>
  <c r="I104" i="8"/>
  <c r="I97" i="8"/>
  <c r="I113" i="8"/>
  <c r="I83" i="8"/>
  <c r="I75" i="8"/>
  <c r="I22" i="8"/>
  <c r="I313" i="8"/>
  <c r="I219" i="8"/>
  <c r="I142" i="8"/>
  <c r="I26" i="8"/>
  <c r="I24" i="8"/>
  <c r="H22" i="8"/>
  <c r="H13" i="8"/>
  <c r="I346" i="8"/>
  <c r="I338" i="8"/>
  <c r="I333" i="8"/>
  <c r="I325" i="8"/>
  <c r="I317" i="8"/>
  <c r="I310" i="8"/>
  <c r="I303" i="8"/>
  <c r="I296" i="8"/>
  <c r="I289" i="8"/>
  <c r="I280" i="8"/>
  <c r="I258" i="8"/>
  <c r="I251" i="8"/>
  <c r="I236" i="8"/>
  <c r="I229" i="8"/>
  <c r="I223" i="8"/>
  <c r="I221" i="8"/>
  <c r="I215" i="8"/>
  <c r="I208" i="8"/>
  <c r="I201" i="8"/>
  <c r="I195" i="8"/>
  <c r="I187" i="8"/>
  <c r="I180" i="8"/>
  <c r="I173" i="8"/>
  <c r="I159" i="8"/>
  <c r="I143" i="8"/>
  <c r="I135" i="8"/>
  <c r="I127" i="8"/>
  <c r="I119" i="8"/>
  <c r="I110" i="8"/>
  <c r="I102" i="8"/>
  <c r="I95" i="8"/>
  <c r="I89" i="8"/>
  <c r="I81" i="8"/>
  <c r="I73" i="8"/>
  <c r="I65" i="8"/>
  <c r="I57" i="8"/>
  <c r="I49" i="8"/>
  <c r="I41" i="8"/>
  <c r="I33" i="8"/>
  <c r="I25" i="8"/>
  <c r="I19" i="8"/>
  <c r="I13" i="8"/>
  <c r="I332" i="8"/>
  <c r="I315" i="8"/>
  <c r="I309" i="8"/>
  <c r="I302" i="8"/>
  <c r="I295" i="8"/>
  <c r="I287" i="8"/>
  <c r="I272" i="8"/>
  <c r="I257" i="8"/>
  <c r="I250" i="8"/>
  <c r="I242" i="8"/>
  <c r="I235" i="8"/>
  <c r="I228" i="8"/>
  <c r="I200" i="8"/>
  <c r="I194" i="8"/>
  <c r="I172" i="8"/>
  <c r="I157" i="8"/>
  <c r="I134" i="8"/>
  <c r="I126" i="8"/>
  <c r="I118" i="8"/>
  <c r="I109" i="8"/>
  <c r="I101" i="8"/>
  <c r="I88" i="8"/>
  <c r="I80" i="8"/>
  <c r="I72" i="8"/>
  <c r="I64" i="8"/>
  <c r="I56" i="8"/>
  <c r="I48" i="8"/>
  <c r="I40" i="8"/>
  <c r="I32" i="8"/>
  <c r="I18" i="8"/>
  <c r="I323" i="8"/>
  <c r="I308" i="8"/>
  <c r="I301" i="8"/>
  <c r="I294" i="8"/>
  <c r="I214" i="8"/>
  <c r="I165" i="8"/>
  <c r="I117" i="8"/>
  <c r="I115" i="8"/>
  <c r="I94" i="8"/>
  <c r="I17" i="8"/>
  <c r="I15" i="8"/>
  <c r="H207" i="8"/>
  <c r="D12" i="14"/>
  <c r="D10" i="16" s="1"/>
  <c r="D41" i="16" s="1"/>
  <c r="D46" i="16" s="1"/>
  <c r="D48" i="16" s="1"/>
  <c r="D49" i="16" s="1"/>
  <c r="I29" i="16"/>
  <c r="J12" i="14"/>
  <c r="J35" i="16" s="1"/>
  <c r="B12" i="16"/>
  <c r="B16" i="16" s="1"/>
  <c r="B35" i="16"/>
  <c r="C10" i="16"/>
  <c r="C41" i="16" s="1"/>
  <c r="C46" i="16" s="1"/>
  <c r="C48" i="16" s="1"/>
  <c r="C49" i="16" s="1"/>
  <c r="B34" i="16"/>
  <c r="C9" i="16"/>
  <c r="F12" i="14"/>
  <c r="F10" i="16" s="1"/>
  <c r="F41" i="16" s="1"/>
  <c r="F46" i="16" s="1"/>
  <c r="F48" i="16" s="1"/>
  <c r="F49" i="16" s="1"/>
  <c r="E29" i="16"/>
  <c r="H12" i="14"/>
  <c r="H10" i="16" s="1"/>
  <c r="H41" i="16" s="1"/>
  <c r="H46" i="16" s="1"/>
  <c r="H48" i="16" s="1"/>
  <c r="H49" i="16" s="1"/>
  <c r="G29" i="16"/>
  <c r="G12" i="14"/>
  <c r="G10" i="16" s="1"/>
  <c r="G41" i="16" s="1"/>
  <c r="G46" i="16" s="1"/>
  <c r="G48" i="16" s="1"/>
  <c r="G49" i="16" s="1"/>
  <c r="F29" i="16"/>
  <c r="E12" i="14"/>
  <c r="D29" i="16"/>
  <c r="I12" i="14"/>
  <c r="I10" i="16" s="1"/>
  <c r="I41" i="16" s="1"/>
  <c r="I46" i="16" s="1"/>
  <c r="I48" i="16" s="1"/>
  <c r="I49" i="16" s="1"/>
  <c r="H29" i="16"/>
  <c r="E22" i="14"/>
  <c r="D28" i="16" s="1"/>
  <c r="D11" i="14"/>
  <c r="D9" i="16" s="1"/>
  <c r="G734" i="8"/>
  <c r="E38" i="7"/>
  <c r="E102" i="7"/>
  <c r="E54" i="7"/>
  <c r="E118" i="7"/>
  <c r="E62" i="7"/>
  <c r="E126" i="7"/>
  <c r="E70" i="7"/>
  <c r="E134" i="7"/>
  <c r="E150" i="7"/>
  <c r="E174" i="7"/>
  <c r="E230" i="7"/>
  <c r="E262" i="7"/>
  <c r="E294" i="7"/>
  <c r="E318" i="7"/>
  <c r="E326" i="7"/>
  <c r="E358" i="7"/>
  <c r="E382" i="7"/>
  <c r="E390" i="7"/>
  <c r="E398" i="7"/>
  <c r="E15" i="7"/>
  <c r="E23" i="7"/>
  <c r="E31" i="7"/>
  <c r="E39" i="7"/>
  <c r="E47" i="7"/>
  <c r="E55" i="7"/>
  <c r="E63" i="7"/>
  <c r="E71" i="7"/>
  <c r="E79" i="7"/>
  <c r="E87" i="7"/>
  <c r="E95" i="7"/>
  <c r="E103" i="7"/>
  <c r="E111" i="7"/>
  <c r="E119" i="7"/>
  <c r="E127" i="7"/>
  <c r="E135" i="7"/>
  <c r="E143" i="7"/>
  <c r="E151" i="7"/>
  <c r="E159" i="7"/>
  <c r="E167" i="7"/>
  <c r="E175" i="7"/>
  <c r="E183" i="7"/>
  <c r="E191" i="7"/>
  <c r="E199" i="7"/>
  <c r="E207" i="7"/>
  <c r="E215" i="7"/>
  <c r="E223" i="7"/>
  <c r="E231" i="7"/>
  <c r="E239" i="7"/>
  <c r="E247" i="7"/>
  <c r="E255" i="7"/>
  <c r="E263" i="7"/>
  <c r="E271" i="7"/>
  <c r="E279" i="7"/>
  <c r="E287" i="7"/>
  <c r="E295" i="7"/>
  <c r="E303" i="7"/>
  <c r="E311" i="7"/>
  <c r="E319" i="7"/>
  <c r="E327" i="7"/>
  <c r="E335" i="7"/>
  <c r="E343" i="7"/>
  <c r="E351" i="7"/>
  <c r="E359" i="7"/>
  <c r="E367" i="7"/>
  <c r="E375" i="7"/>
  <c r="E383" i="7"/>
  <c r="E391" i="7"/>
  <c r="E190" i="7"/>
  <c r="E238" i="7"/>
  <c r="E286" i="7"/>
  <c r="E334" i="7"/>
  <c r="E16" i="7"/>
  <c r="E40" i="7"/>
  <c r="E64" i="7"/>
  <c r="E88" i="7"/>
  <c r="E112" i="7"/>
  <c r="E120" i="7"/>
  <c r="E144" i="7"/>
  <c r="E160" i="7"/>
  <c r="E168" i="7"/>
  <c r="E192" i="7"/>
  <c r="E200" i="7"/>
  <c r="E208" i="7"/>
  <c r="E216" i="7"/>
  <c r="E224" i="7"/>
  <c r="E232" i="7"/>
  <c r="E240" i="7"/>
  <c r="E248" i="7"/>
  <c r="E256" i="7"/>
  <c r="E264" i="7"/>
  <c r="E272" i="7"/>
  <c r="E280" i="7"/>
  <c r="E288" i="7"/>
  <c r="E296" i="7"/>
  <c r="E304" i="7"/>
  <c r="E312" i="7"/>
  <c r="E320" i="7"/>
  <c r="E328" i="7"/>
  <c r="E336" i="7"/>
  <c r="E344" i="7"/>
  <c r="E352" i="7"/>
  <c r="E360" i="7"/>
  <c r="E368" i="7"/>
  <c r="E376" i="7"/>
  <c r="E384" i="7"/>
  <c r="E392" i="7"/>
  <c r="E198" i="7"/>
  <c r="E246" i="7"/>
  <c r="E302" i="7"/>
  <c r="E342" i="7"/>
  <c r="E24" i="7"/>
  <c r="E48" i="7"/>
  <c r="E72" i="7"/>
  <c r="E96" i="7"/>
  <c r="E136" i="7"/>
  <c r="E184" i="7"/>
  <c r="E17" i="7"/>
  <c r="E25" i="7"/>
  <c r="E33" i="7"/>
  <c r="E41" i="7"/>
  <c r="E49" i="7"/>
  <c r="E57" i="7"/>
  <c r="E65" i="7"/>
  <c r="E73" i="7"/>
  <c r="E81" i="7"/>
  <c r="E89" i="7"/>
  <c r="E97" i="7"/>
  <c r="E105" i="7"/>
  <c r="E113" i="7"/>
  <c r="E121" i="7"/>
  <c r="E129" i="7"/>
  <c r="E137" i="7"/>
  <c r="E145" i="7"/>
  <c r="E153" i="7"/>
  <c r="E161" i="7"/>
  <c r="E169" i="7"/>
  <c r="E177" i="7"/>
  <c r="E185" i="7"/>
  <c r="E193" i="7"/>
  <c r="E201" i="7"/>
  <c r="E209" i="7"/>
  <c r="E217" i="7"/>
  <c r="E225" i="7"/>
  <c r="E233" i="7"/>
  <c r="E241" i="7"/>
  <c r="E249" i="7"/>
  <c r="E257" i="7"/>
  <c r="E265" i="7"/>
  <c r="E273" i="7"/>
  <c r="E281" i="7"/>
  <c r="E289" i="7"/>
  <c r="E297" i="7"/>
  <c r="E305" i="7"/>
  <c r="E313" i="7"/>
  <c r="E321" i="7"/>
  <c r="E329" i="7"/>
  <c r="E337" i="7"/>
  <c r="E345" i="7"/>
  <c r="E353" i="7"/>
  <c r="E361" i="7"/>
  <c r="E369" i="7"/>
  <c r="E377" i="7"/>
  <c r="E385" i="7"/>
  <c r="E393" i="7"/>
  <c r="E18" i="7"/>
  <c r="E26" i="7"/>
  <c r="E34" i="7"/>
  <c r="E42" i="7"/>
  <c r="E50" i="7"/>
  <c r="E58" i="7"/>
  <c r="E66" i="7"/>
  <c r="E74" i="7"/>
  <c r="E82" i="7"/>
  <c r="E90" i="7"/>
  <c r="E98" i="7"/>
  <c r="E106" i="7"/>
  <c r="E114" i="7"/>
  <c r="E122" i="7"/>
  <c r="E130" i="7"/>
  <c r="E138" i="7"/>
  <c r="E146" i="7"/>
  <c r="E154" i="7"/>
  <c r="E162" i="7"/>
  <c r="E170" i="7"/>
  <c r="E178" i="7"/>
  <c r="E186" i="7"/>
  <c r="E194" i="7"/>
  <c r="E202" i="7"/>
  <c r="E210" i="7"/>
  <c r="E218" i="7"/>
  <c r="E226" i="7"/>
  <c r="E234" i="7"/>
  <c r="E242" i="7"/>
  <c r="E250" i="7"/>
  <c r="E258" i="7"/>
  <c r="E266" i="7"/>
  <c r="E274" i="7"/>
  <c r="E282" i="7"/>
  <c r="E290" i="7"/>
  <c r="E298" i="7"/>
  <c r="E306" i="7"/>
  <c r="E314" i="7"/>
  <c r="E322" i="7"/>
  <c r="E330" i="7"/>
  <c r="E338" i="7"/>
  <c r="E346" i="7"/>
  <c r="E354" i="7"/>
  <c r="E362" i="7"/>
  <c r="E370" i="7"/>
  <c r="E378" i="7"/>
  <c r="E386" i="7"/>
  <c r="E394" i="7"/>
  <c r="E158" i="7"/>
  <c r="E182" i="7"/>
  <c r="E222" i="7"/>
  <c r="E254" i="7"/>
  <c r="E278" i="7"/>
  <c r="E310" i="7"/>
  <c r="E350" i="7"/>
  <c r="E32" i="7"/>
  <c r="E56" i="7"/>
  <c r="E80" i="7"/>
  <c r="E104" i="7"/>
  <c r="E128" i="7"/>
  <c r="E152" i="7"/>
  <c r="E176" i="7"/>
  <c r="E11" i="7"/>
  <c r="E19" i="7"/>
  <c r="E27" i="7"/>
  <c r="E35" i="7"/>
  <c r="E43" i="7"/>
  <c r="E51" i="7"/>
  <c r="E59" i="7"/>
  <c r="E67" i="7"/>
  <c r="E75" i="7"/>
  <c r="E83" i="7"/>
  <c r="E91" i="7"/>
  <c r="E99" i="7"/>
  <c r="E107" i="7"/>
  <c r="E115" i="7"/>
  <c r="E123" i="7"/>
  <c r="E131" i="7"/>
  <c r="E139" i="7"/>
  <c r="E147" i="7"/>
  <c r="E155" i="7"/>
  <c r="E163" i="7"/>
  <c r="E171" i="7"/>
  <c r="E179" i="7"/>
  <c r="E187" i="7"/>
  <c r="E195" i="7"/>
  <c r="E203" i="7"/>
  <c r="E211" i="7"/>
  <c r="E219" i="7"/>
  <c r="E227" i="7"/>
  <c r="E235" i="7"/>
  <c r="E243" i="7"/>
  <c r="E251" i="7"/>
  <c r="E259" i="7"/>
  <c r="E267" i="7"/>
  <c r="E275" i="7"/>
  <c r="E283" i="7"/>
  <c r="E291" i="7"/>
  <c r="E299" i="7"/>
  <c r="E307" i="7"/>
  <c r="E315" i="7"/>
  <c r="E323" i="7"/>
  <c r="E331" i="7"/>
  <c r="E339" i="7"/>
  <c r="E347" i="7"/>
  <c r="E355" i="7"/>
  <c r="E363" i="7"/>
  <c r="E371" i="7"/>
  <c r="E379" i="7"/>
  <c r="E387" i="7"/>
  <c r="E395" i="7"/>
  <c r="E166" i="7"/>
  <c r="E214" i="7"/>
  <c r="E270" i="7"/>
  <c r="E374" i="7"/>
  <c r="E20" i="7"/>
  <c r="E28" i="7"/>
  <c r="E44" i="7"/>
  <c r="E52" i="7"/>
  <c r="E68" i="7"/>
  <c r="E76" i="7"/>
  <c r="E92" i="7"/>
  <c r="E108" i="7"/>
  <c r="E124" i="7"/>
  <c r="E140" i="7"/>
  <c r="E156" i="7"/>
  <c r="E164" i="7"/>
  <c r="E172" i="7"/>
  <c r="E180" i="7"/>
  <c r="E196" i="7"/>
  <c r="E204" i="7"/>
  <c r="E212" i="7"/>
  <c r="E220" i="7"/>
  <c r="E228" i="7"/>
  <c r="E236" i="7"/>
  <c r="E244" i="7"/>
  <c r="E252" i="7"/>
  <c r="E260" i="7"/>
  <c r="E268" i="7"/>
  <c r="E276" i="7"/>
  <c r="E284" i="7"/>
  <c r="E292" i="7"/>
  <c r="E300" i="7"/>
  <c r="E308" i="7"/>
  <c r="E316" i="7"/>
  <c r="E324" i="7"/>
  <c r="E332" i="7"/>
  <c r="E340" i="7"/>
  <c r="E348" i="7"/>
  <c r="E356" i="7"/>
  <c r="E364" i="7"/>
  <c r="E372" i="7"/>
  <c r="E380" i="7"/>
  <c r="E388" i="7"/>
  <c r="E396" i="7"/>
  <c r="E206" i="7"/>
  <c r="E366" i="7"/>
  <c r="E12" i="7"/>
  <c r="E36" i="7"/>
  <c r="E60" i="7"/>
  <c r="E84" i="7"/>
  <c r="E100" i="7"/>
  <c r="E116" i="7"/>
  <c r="E132" i="7"/>
  <c r="E148" i="7"/>
  <c r="E188" i="7"/>
  <c r="E13" i="7"/>
  <c r="E21" i="7"/>
  <c r="E29" i="7"/>
  <c r="E37" i="7"/>
  <c r="E45" i="7"/>
  <c r="E53" i="7"/>
  <c r="E61" i="7"/>
  <c r="E69" i="7"/>
  <c r="E77" i="7"/>
  <c r="E85" i="7"/>
  <c r="E93" i="7"/>
  <c r="E101" i="7"/>
  <c r="E109" i="7"/>
  <c r="E117" i="7"/>
  <c r="E125" i="7"/>
  <c r="E133" i="7"/>
  <c r="E141" i="7"/>
  <c r="E149" i="7"/>
  <c r="E157" i="7"/>
  <c r="E165" i="7"/>
  <c r="E173" i="7"/>
  <c r="E181" i="7"/>
  <c r="E189" i="7"/>
  <c r="E197" i="7"/>
  <c r="E205" i="7"/>
  <c r="E213" i="7"/>
  <c r="E221" i="7"/>
  <c r="E229" i="7"/>
  <c r="E237" i="7"/>
  <c r="E245" i="7"/>
  <c r="E253" i="7"/>
  <c r="E261" i="7"/>
  <c r="E269" i="7"/>
  <c r="E277" i="7"/>
  <c r="E285" i="7"/>
  <c r="E293" i="7"/>
  <c r="E301" i="7"/>
  <c r="E309" i="7"/>
  <c r="E317" i="7"/>
  <c r="E325" i="7"/>
  <c r="E333" i="7"/>
  <c r="E341" i="7"/>
  <c r="E349" i="7"/>
  <c r="E357" i="7"/>
  <c r="E365" i="7"/>
  <c r="E373" i="7"/>
  <c r="E381" i="7"/>
  <c r="E389" i="7"/>
  <c r="L15" i="14" l="1"/>
  <c r="L19" i="14" s="1"/>
  <c r="L10" i="16"/>
  <c r="K35" i="16"/>
  <c r="I349" i="8"/>
  <c r="I351" i="8" s="1"/>
  <c r="D12" i="16"/>
  <c r="D16" i="16" s="1"/>
  <c r="C35" i="16"/>
  <c r="J10" i="16"/>
  <c r="J41" i="16" s="1"/>
  <c r="J46" i="16" s="1"/>
  <c r="J48" i="16" s="1"/>
  <c r="J49" i="16" s="1"/>
  <c r="I35" i="16"/>
  <c r="C12" i="16"/>
  <c r="C16" i="16" s="1"/>
  <c r="D35" i="16"/>
  <c r="E10" i="16"/>
  <c r="E41" i="16" s="1"/>
  <c r="E46" i="16" s="1"/>
  <c r="E48" i="16" s="1"/>
  <c r="E49" i="16" s="1"/>
  <c r="C15" i="14"/>
  <c r="C19" i="14" s="1"/>
  <c r="C3" i="16"/>
  <c r="C6" i="16" s="1"/>
  <c r="C15" i="16" s="1"/>
  <c r="F35" i="16"/>
  <c r="G35" i="16"/>
  <c r="H35" i="16"/>
  <c r="E35" i="16"/>
  <c r="D15" i="14"/>
  <c r="C34" i="16"/>
  <c r="F22" i="14"/>
  <c r="E28" i="16" s="1"/>
  <c r="E11" i="14"/>
  <c r="E9" i="16" s="1"/>
  <c r="E10" i="7"/>
  <c r="L4" i="14" l="1"/>
  <c r="L6" i="14" s="1"/>
  <c r="K19" i="20"/>
  <c r="B19" i="20"/>
  <c r="L41" i="16"/>
  <c r="L46" i="16" s="1"/>
  <c r="L48" i="16" s="1"/>
  <c r="L49" i="16" s="1"/>
  <c r="L12" i="16"/>
  <c r="L16" i="16" s="1"/>
  <c r="L18" i="16" s="1"/>
  <c r="C4" i="14"/>
  <c r="C6" i="14" s="1"/>
  <c r="C18" i="16"/>
  <c r="E12" i="16"/>
  <c r="E16" i="16" s="1"/>
  <c r="E15" i="14"/>
  <c r="D34" i="16"/>
  <c r="G22" i="14"/>
  <c r="F28" i="16" s="1"/>
  <c r="F11" i="14"/>
  <c r="F9" i="16" s="1"/>
  <c r="F12" i="16" s="1"/>
  <c r="F16" i="16" s="1"/>
  <c r="K6" i="8"/>
  <c r="K7" i="8"/>
  <c r="K8" i="8"/>
  <c r="K9" i="8"/>
  <c r="K10" i="8"/>
  <c r="K11" i="8"/>
  <c r="K12" i="8"/>
  <c r="K13" i="8"/>
  <c r="K14"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1" i="8"/>
  <c r="K152" i="8"/>
  <c r="K153" i="8"/>
  <c r="K154" i="8"/>
  <c r="K155" i="8"/>
  <c r="K156" i="8"/>
  <c r="K157" i="8"/>
  <c r="K159" i="8"/>
  <c r="K160" i="8"/>
  <c r="K161" i="8"/>
  <c r="K162" i="8"/>
  <c r="K163" i="8"/>
  <c r="K164" i="8"/>
  <c r="K165" i="8"/>
  <c r="K166" i="8"/>
  <c r="K167" i="8"/>
  <c r="K168" i="8"/>
  <c r="K169" i="8"/>
  <c r="K170" i="8"/>
  <c r="K171" i="8"/>
  <c r="K172" i="8"/>
  <c r="K173" i="8"/>
  <c r="K174" i="8"/>
  <c r="K175" i="8"/>
  <c r="K176" i="8"/>
  <c r="K177" i="8"/>
  <c r="K178"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7" i="8"/>
  <c r="K289" i="8"/>
  <c r="K290" i="8"/>
  <c r="K291" i="8"/>
  <c r="K292" i="8"/>
  <c r="K293" i="8"/>
  <c r="K294" i="8"/>
  <c r="K295" i="8"/>
  <c r="K296" i="8"/>
  <c r="K297" i="8"/>
  <c r="K298" i="8"/>
  <c r="K299" i="8"/>
  <c r="K300" i="8"/>
  <c r="K301" i="8"/>
  <c r="K302" i="8"/>
  <c r="K303"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J9" i="8"/>
  <c r="J10" i="8"/>
  <c r="J11" i="8"/>
  <c r="J12" i="8"/>
  <c r="J14" i="8"/>
  <c r="J16" i="8"/>
  <c r="J17" i="8"/>
  <c r="J18" i="8"/>
  <c r="J19" i="8"/>
  <c r="J20" i="8"/>
  <c r="J21" i="8"/>
  <c r="J23"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4"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3" i="8"/>
  <c r="J145" i="8"/>
  <c r="J146" i="8"/>
  <c r="J147" i="8"/>
  <c r="J148" i="8"/>
  <c r="J149" i="8"/>
  <c r="J151" i="8"/>
  <c r="J152" i="8"/>
  <c r="J153" i="8"/>
  <c r="J154" i="8"/>
  <c r="J155" i="8"/>
  <c r="J156" i="8"/>
  <c r="J157" i="8"/>
  <c r="J159" i="8"/>
  <c r="J160" i="8"/>
  <c r="J161" i="8"/>
  <c r="J162" i="8"/>
  <c r="J163" i="8"/>
  <c r="J165" i="8"/>
  <c r="J167" i="8"/>
  <c r="J168" i="8"/>
  <c r="J169" i="8"/>
  <c r="J170" i="8"/>
  <c r="J171" i="8"/>
  <c r="J172" i="8"/>
  <c r="J173" i="8"/>
  <c r="J174" i="8"/>
  <c r="J175" i="8"/>
  <c r="J176" i="8"/>
  <c r="J177" i="8"/>
  <c r="J178"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8" i="8"/>
  <c r="J210" i="8"/>
  <c r="J211" i="8"/>
  <c r="J212" i="8"/>
  <c r="J213" i="8"/>
  <c r="J214" i="8"/>
  <c r="J215" i="8"/>
  <c r="J216" i="8"/>
  <c r="J217" i="8"/>
  <c r="J218" i="8"/>
  <c r="J220" i="8"/>
  <c r="J223"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8"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7" i="8"/>
  <c r="J289" i="8"/>
  <c r="J290" i="8"/>
  <c r="J291" i="8"/>
  <c r="J292" i="8"/>
  <c r="J293" i="8"/>
  <c r="J294" i="8"/>
  <c r="J295" i="8"/>
  <c r="J296" i="8"/>
  <c r="J297" i="8"/>
  <c r="J298" i="8"/>
  <c r="J299" i="8"/>
  <c r="J300" i="8"/>
  <c r="J301" i="8"/>
  <c r="J302" i="8"/>
  <c r="J303" i="8"/>
  <c r="J305" i="8"/>
  <c r="J306" i="8"/>
  <c r="J307" i="8"/>
  <c r="J308" i="8"/>
  <c r="J309" i="8"/>
  <c r="J310" i="8"/>
  <c r="J311" i="8"/>
  <c r="J312" i="8"/>
  <c r="J314" i="8"/>
  <c r="J315"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F15" i="14" l="1"/>
  <c r="E34" i="16"/>
  <c r="H22" i="14"/>
  <c r="G28" i="16" s="1"/>
  <c r="G11" i="14"/>
  <c r="G9" i="16" s="1"/>
  <c r="G12" i="16" s="1"/>
  <c r="G16" i="16" s="1"/>
  <c r="D26" i="14"/>
  <c r="K349" i="8"/>
  <c r="K351" i="8" s="1"/>
  <c r="J4" i="16" l="1"/>
  <c r="J6" i="16" s="1"/>
  <c r="J15" i="16" s="1"/>
  <c r="J18" i="14"/>
  <c r="E18" i="14"/>
  <c r="E19" i="14" s="1"/>
  <c r="D19" i="20" s="1"/>
  <c r="I36" i="16"/>
  <c r="F31" i="16"/>
  <c r="G15" i="14"/>
  <c r="F34" i="16"/>
  <c r="G31" i="16"/>
  <c r="E31" i="16"/>
  <c r="H31" i="16"/>
  <c r="I22" i="14"/>
  <c r="J22" i="14" s="1"/>
  <c r="K22" i="14" s="1"/>
  <c r="L22" i="14" s="1"/>
  <c r="K28" i="16" s="1"/>
  <c r="H9" i="16"/>
  <c r="H12" i="16" s="1"/>
  <c r="H16" i="16" s="1"/>
  <c r="D16" i="14"/>
  <c r="D18" i="14" s="1"/>
  <c r="D19" i="14" s="1"/>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J179" i="8" s="1"/>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354" i="8"/>
  <c r="C19" i="20" l="1"/>
  <c r="C21" i="20" s="1"/>
  <c r="J28" i="16"/>
  <c r="J158" i="8"/>
  <c r="J288" i="8"/>
  <c r="J286" i="8"/>
  <c r="J304" i="8"/>
  <c r="J164" i="8"/>
  <c r="J6" i="8"/>
  <c r="J5" i="8"/>
  <c r="J7" i="8"/>
  <c r="J22" i="8"/>
  <c r="J207" i="8"/>
  <c r="J113" i="8"/>
  <c r="J313" i="8"/>
  <c r="J222" i="8"/>
  <c r="J219" i="8"/>
  <c r="J142" i="8"/>
  <c r="J13" i="8"/>
  <c r="J257" i="8"/>
  <c r="D21" i="20"/>
  <c r="E4" i="14"/>
  <c r="E6" i="14" s="1"/>
  <c r="I28" i="16"/>
  <c r="D4" i="14"/>
  <c r="D6" i="14" s="1"/>
  <c r="F4" i="16"/>
  <c r="F6" i="16" s="1"/>
  <c r="F15" i="16" s="1"/>
  <c r="F18" i="16" s="1"/>
  <c r="F18" i="14"/>
  <c r="F19" i="14" s="1"/>
  <c r="E19" i="20" s="1"/>
  <c r="E21" i="20" s="1"/>
  <c r="G4" i="16"/>
  <c r="G6" i="16" s="1"/>
  <c r="G15" i="16" s="1"/>
  <c r="G18" i="16" s="1"/>
  <c r="G18" i="14"/>
  <c r="G19" i="14" s="1"/>
  <c r="H4" i="16"/>
  <c r="H6" i="16" s="1"/>
  <c r="H15" i="16" s="1"/>
  <c r="H18" i="16" s="1"/>
  <c r="H18" i="14"/>
  <c r="I4" i="16"/>
  <c r="I6" i="16" s="1"/>
  <c r="I15" i="16" s="1"/>
  <c r="I18" i="14"/>
  <c r="D36" i="16"/>
  <c r="E4" i="16"/>
  <c r="E6" i="16" s="1"/>
  <c r="E15" i="16" s="1"/>
  <c r="E18" i="16" s="1"/>
  <c r="D4" i="16"/>
  <c r="D6" i="16" s="1"/>
  <c r="D15" i="16" s="1"/>
  <c r="D18" i="16" s="1"/>
  <c r="C36" i="16"/>
  <c r="C37" i="16"/>
  <c r="G36" i="16"/>
  <c r="H15" i="14"/>
  <c r="G34" i="16"/>
  <c r="E36" i="16"/>
  <c r="F36" i="16"/>
  <c r="H36" i="16"/>
  <c r="I9" i="16"/>
  <c r="I12" i="16" s="1"/>
  <c r="I16" i="16" s="1"/>
  <c r="H28" i="16"/>
  <c r="H734" i="8"/>
  <c r="F19" i="20" l="1"/>
  <c r="F21" i="20" s="1"/>
  <c r="B6" i="27"/>
  <c r="K15" i="14"/>
  <c r="K19" i="14" s="1"/>
  <c r="J34" i="16"/>
  <c r="K9" i="16"/>
  <c r="K12" i="16" s="1"/>
  <c r="K16" i="16" s="1"/>
  <c r="K18" i="16" s="1"/>
  <c r="G4" i="14"/>
  <c r="G6" i="14" s="1"/>
  <c r="F4" i="14"/>
  <c r="F6" i="14" s="1"/>
  <c r="J9" i="16"/>
  <c r="J12" i="16" s="1"/>
  <c r="J16" i="16" s="1"/>
  <c r="J18" i="16" s="1"/>
  <c r="I34" i="16"/>
  <c r="J15" i="14"/>
  <c r="J19" i="14" s="1"/>
  <c r="I19" i="20" s="1"/>
  <c r="I18" i="16"/>
  <c r="H19" i="14"/>
  <c r="E37" i="16"/>
  <c r="F37" i="16"/>
  <c r="I15" i="14"/>
  <c r="H34" i="16"/>
  <c r="D37" i="16"/>
  <c r="J349" i="8"/>
  <c r="J351" i="8" s="1"/>
  <c r="G19" i="20" l="1"/>
  <c r="G21" i="20" s="1"/>
  <c r="J19" i="20"/>
  <c r="J21" i="20" s="1"/>
  <c r="K37" i="16"/>
  <c r="K4" i="14"/>
  <c r="K6" i="14" s="1"/>
  <c r="K21" i="20"/>
  <c r="J37" i="16"/>
  <c r="J4" i="14"/>
  <c r="J6" i="14" s="1"/>
  <c r="G37" i="16"/>
  <c r="H4" i="14"/>
  <c r="H6" i="14" s="1"/>
  <c r="I19" i="14"/>
  <c r="H19" i="20" s="1"/>
  <c r="H21" i="20" s="1"/>
  <c r="H18" i="8"/>
  <c r="DE361" i="5"/>
  <c r="DD361" i="5"/>
  <c r="DC361" i="5"/>
  <c r="DB361" i="5"/>
  <c r="DA361" i="5"/>
  <c r="CZ361" i="5"/>
  <c r="CY361" i="5"/>
  <c r="CX361" i="5"/>
  <c r="CW361" i="5"/>
  <c r="CV361" i="5"/>
  <c r="CU361" i="5"/>
  <c r="CT361" i="5"/>
  <c r="CS361" i="5"/>
  <c r="CR361" i="5"/>
  <c r="CQ361" i="5"/>
  <c r="CP361" i="5"/>
  <c r="CO361" i="5"/>
  <c r="CN361" i="5"/>
  <c r="CM361" i="5"/>
  <c r="CL361" i="5"/>
  <c r="CK361" i="5"/>
  <c r="CJ361" i="5"/>
  <c r="CI361" i="5"/>
  <c r="CH361" i="5"/>
  <c r="CG361" i="5"/>
  <c r="CF361" i="5"/>
  <c r="CE361" i="5"/>
  <c r="CD361" i="5"/>
  <c r="CC361" i="5"/>
  <c r="CB361" i="5"/>
  <c r="CA361" i="5"/>
  <c r="BZ361" i="5"/>
  <c r="BY361" i="5"/>
  <c r="BX361" i="5"/>
  <c r="BW361" i="5"/>
  <c r="BV361" i="5"/>
  <c r="BU361" i="5"/>
  <c r="BT361" i="5"/>
  <c r="BS361" i="5"/>
  <c r="BR361" i="5"/>
  <c r="BQ361" i="5"/>
  <c r="BP361" i="5"/>
  <c r="BO361" i="5"/>
  <c r="BN361" i="5"/>
  <c r="BM361" i="5"/>
  <c r="BL361" i="5"/>
  <c r="BK361" i="5"/>
  <c r="BJ361" i="5"/>
  <c r="BI361" i="5"/>
  <c r="BH361" i="5"/>
  <c r="BG361" i="5"/>
  <c r="BF361" i="5"/>
  <c r="BE361" i="5"/>
  <c r="BD361" i="5"/>
  <c r="BC361" i="5"/>
  <c r="BB361" i="5"/>
  <c r="BA361" i="5"/>
  <c r="AZ361" i="5"/>
  <c r="AY361" i="5"/>
  <c r="AX361" i="5"/>
  <c r="AW361" i="5"/>
  <c r="AV361" i="5"/>
  <c r="AU361" i="5"/>
  <c r="AT361" i="5"/>
  <c r="AS361" i="5"/>
  <c r="AR361" i="5"/>
  <c r="AQ361" i="5"/>
  <c r="AP361" i="5"/>
  <c r="AO361" i="5"/>
  <c r="AN361" i="5"/>
  <c r="AM361" i="5"/>
  <c r="AL361" i="5"/>
  <c r="AK361" i="5"/>
  <c r="AJ361" i="5"/>
  <c r="AI361" i="5"/>
  <c r="AH361" i="5"/>
  <c r="AG361" i="5"/>
  <c r="AF361" i="5"/>
  <c r="AE361" i="5"/>
  <c r="AD361" i="5"/>
  <c r="AC361" i="5"/>
  <c r="AB361" i="5"/>
  <c r="AA361" i="5"/>
  <c r="Z361" i="5"/>
  <c r="Y361" i="5"/>
  <c r="X361" i="5"/>
  <c r="W361" i="5"/>
  <c r="V361" i="5"/>
  <c r="U361" i="5"/>
  <c r="T361" i="5"/>
  <c r="S361" i="5"/>
  <c r="R361" i="5"/>
  <c r="Q361" i="5"/>
  <c r="P361" i="5"/>
  <c r="O361" i="5"/>
  <c r="N361" i="5"/>
  <c r="M361" i="5"/>
  <c r="L361" i="5"/>
  <c r="K361" i="5"/>
  <c r="J361" i="5"/>
  <c r="I361" i="5"/>
  <c r="H361" i="5"/>
  <c r="G361" i="5"/>
  <c r="F361" i="5"/>
  <c r="E361" i="5"/>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AP1" i="5" s="1"/>
  <c r="AQ1" i="5" s="1"/>
  <c r="AR1" i="5" s="1"/>
  <c r="AS1" i="5" s="1"/>
  <c r="AT1" i="5" s="1"/>
  <c r="AU1" i="5" s="1"/>
  <c r="AV1" i="5" s="1"/>
  <c r="AW1" i="5" s="1"/>
  <c r="AX1" i="5" s="1"/>
  <c r="AY1" i="5" s="1"/>
  <c r="AZ1" i="5" s="1"/>
  <c r="BA1" i="5" s="1"/>
  <c r="BB1" i="5" s="1"/>
  <c r="BC1" i="5" s="1"/>
  <c r="BD1" i="5" s="1"/>
  <c r="BE1" i="5" s="1"/>
  <c r="BF1" i="5" s="1"/>
  <c r="BG1" i="5" s="1"/>
  <c r="BH1" i="5" s="1"/>
  <c r="BI1" i="5" s="1"/>
  <c r="BJ1" i="5" s="1"/>
  <c r="BK1" i="5" s="1"/>
  <c r="BL1" i="5" s="1"/>
  <c r="BM1" i="5" s="1"/>
  <c r="BN1" i="5" s="1"/>
  <c r="BO1" i="5" s="1"/>
  <c r="BP1" i="5" s="1"/>
  <c r="BQ1" i="5" s="1"/>
  <c r="BR1" i="5" s="1"/>
  <c r="BS1" i="5" s="1"/>
  <c r="BT1" i="5" s="1"/>
  <c r="BU1" i="5" s="1"/>
  <c r="BV1" i="5" s="1"/>
  <c r="BW1" i="5" s="1"/>
  <c r="BX1" i="5" s="1"/>
  <c r="BY1" i="5" s="1"/>
  <c r="BZ1" i="5" s="1"/>
  <c r="CA1" i="5" s="1"/>
  <c r="CB1" i="5" s="1"/>
  <c r="CC1" i="5" s="1"/>
  <c r="CD1" i="5" s="1"/>
  <c r="CE1" i="5" s="1"/>
  <c r="CF1" i="5" s="1"/>
  <c r="CG1" i="5" s="1"/>
  <c r="CH1" i="5" s="1"/>
  <c r="CI1" i="5" s="1"/>
  <c r="CJ1" i="5" s="1"/>
  <c r="CK1" i="5" s="1"/>
  <c r="CL1" i="5" s="1"/>
  <c r="CM1" i="5" s="1"/>
  <c r="CN1" i="5" s="1"/>
  <c r="CO1" i="5" s="1"/>
  <c r="CP1" i="5" s="1"/>
  <c r="CQ1" i="5" s="1"/>
  <c r="CR1" i="5" s="1"/>
  <c r="CS1" i="5" s="1"/>
  <c r="CT1" i="5" s="1"/>
  <c r="CU1" i="5" s="1"/>
  <c r="CV1" i="5" s="1"/>
  <c r="CW1" i="5" s="1"/>
  <c r="CX1" i="5" s="1"/>
  <c r="CY1" i="5" s="1"/>
  <c r="CZ1" i="5" s="1"/>
  <c r="DA1" i="5" s="1"/>
  <c r="B1" i="5"/>
  <c r="I37" i="16" l="1"/>
  <c r="I21" i="20"/>
  <c r="H37" i="16"/>
  <c r="I4" i="14"/>
  <c r="I6" i="14" s="1"/>
  <c r="H186" i="8"/>
  <c r="H34" i="8"/>
  <c r="H116" i="8"/>
  <c r="H241" i="8"/>
  <c r="H312" i="8"/>
  <c r="H314" i="8"/>
  <c r="H187" i="8"/>
  <c r="H236" i="8"/>
  <c r="H342" i="8"/>
  <c r="H189" i="8"/>
  <c r="H243" i="8"/>
  <c r="H192" i="8"/>
  <c r="H119" i="8"/>
  <c r="H239" i="8"/>
  <c r="H238" i="8"/>
  <c r="H344" i="8"/>
  <c r="H68" i="8"/>
  <c r="H254" i="8"/>
  <c r="H183" i="8"/>
  <c r="H252" i="8"/>
  <c r="H230" i="8"/>
  <c r="H138" i="8"/>
  <c r="H181" i="8"/>
  <c r="H105" i="8"/>
  <c r="H104" i="8"/>
  <c r="H295" i="8"/>
  <c r="H44" i="8"/>
  <c r="H333" i="8"/>
  <c r="H43" i="8"/>
  <c r="H177" i="8"/>
  <c r="H133" i="8"/>
  <c r="H328" i="8"/>
  <c r="H213" i="8"/>
  <c r="H58" i="8"/>
  <c r="H94" i="8"/>
  <c r="H284" i="8"/>
  <c r="H21" i="8"/>
  <c r="H165" i="8"/>
  <c r="H203" i="8"/>
  <c r="H279" i="8"/>
  <c r="H52" i="8"/>
  <c r="H161" i="8"/>
  <c r="H20" i="8"/>
  <c r="H79" i="8"/>
  <c r="H265" i="8"/>
  <c r="H261" i="8"/>
  <c r="H193" i="8"/>
  <c r="H120" i="8"/>
  <c r="H117" i="8"/>
  <c r="H114" i="8"/>
  <c r="H309" i="8"/>
  <c r="H141" i="8"/>
  <c r="H67" i="8"/>
  <c r="H65" i="8"/>
  <c r="H233" i="8"/>
  <c r="H109" i="8"/>
  <c r="H227" i="8"/>
  <c r="H225" i="8"/>
  <c r="H250" i="8"/>
  <c r="H99" i="8"/>
  <c r="H220" i="8"/>
  <c r="H290" i="8"/>
  <c r="H348" i="8"/>
  <c r="H176" i="8"/>
  <c r="H212" i="8"/>
  <c r="H210" i="8"/>
  <c r="H41" i="8"/>
  <c r="H324" i="8"/>
  <c r="H282" i="8"/>
  <c r="H278" i="8"/>
  <c r="H163" i="8"/>
  <c r="H201" i="8"/>
  <c r="H127" i="8"/>
  <c r="H198" i="8"/>
  <c r="H264" i="8"/>
  <c r="H260" i="8"/>
  <c r="H17" i="8"/>
  <c r="H45" i="8"/>
  <c r="H305" i="8"/>
  <c r="H232" i="8"/>
  <c r="H35" i="8"/>
  <c r="H242" i="8"/>
  <c r="H191" i="8"/>
  <c r="H145" i="8"/>
  <c r="H46" i="8"/>
  <c r="H237" i="8"/>
  <c r="H32" i="8"/>
  <c r="H256" i="8"/>
  <c r="H306" i="8"/>
  <c r="H29" i="8"/>
  <c r="H338" i="8"/>
  <c r="H27" i="8"/>
  <c r="H336" i="8"/>
  <c r="H299" i="8"/>
  <c r="H12" i="8"/>
  <c r="H298" i="8"/>
  <c r="H62" i="8"/>
  <c r="H223" i="8"/>
  <c r="H332" i="8"/>
  <c r="H249" i="8"/>
  <c r="H330" i="8"/>
  <c r="H96" i="8"/>
  <c r="H217" i="8"/>
  <c r="H214" i="8"/>
  <c r="H131" i="8"/>
  <c r="H171" i="8"/>
  <c r="H56" i="8"/>
  <c r="H168" i="8"/>
  <c r="H205" i="8"/>
  <c r="H53" i="8"/>
  <c r="H280" i="8"/>
  <c r="H275" i="8"/>
  <c r="H84" i="8"/>
  <c r="H82" i="8"/>
  <c r="H267" i="8"/>
  <c r="H153" i="8"/>
  <c r="H143" i="8"/>
  <c r="H303" i="8"/>
  <c r="H335" i="8"/>
  <c r="H26" i="8"/>
  <c r="H102" i="8"/>
  <c r="H101" i="8"/>
  <c r="H134" i="8"/>
  <c r="H42" i="8"/>
  <c r="H216" i="8"/>
  <c r="H175" i="8"/>
  <c r="H247" i="8"/>
  <c r="H57" i="8"/>
  <c r="H91" i="8"/>
  <c r="H323" i="8"/>
  <c r="H246" i="8"/>
  <c r="H277" i="8"/>
  <c r="H321" i="8"/>
  <c r="H83" i="8"/>
  <c r="H270" i="8"/>
  <c r="H245" i="8"/>
  <c r="H318" i="8"/>
  <c r="H73" i="8"/>
  <c r="H334" i="8"/>
  <c r="H244" i="8"/>
  <c r="H147" i="8"/>
  <c r="H118" i="8"/>
  <c r="H311" i="8"/>
  <c r="H235" i="8"/>
  <c r="H14" i="8"/>
  <c r="H185" i="8"/>
  <c r="H255" i="8"/>
  <c r="H140" i="8"/>
  <c r="H302" i="8"/>
  <c r="H111" i="8"/>
  <c r="H229" i="8"/>
  <c r="H108" i="8"/>
  <c r="H226" i="8"/>
  <c r="H60" i="8"/>
  <c r="H294" i="8"/>
  <c r="H100" i="8"/>
  <c r="H98" i="8"/>
  <c r="H329" i="8"/>
  <c r="H218" i="8"/>
  <c r="H215" i="8"/>
  <c r="H174" i="8"/>
  <c r="H173" i="8"/>
  <c r="H170" i="8"/>
  <c r="H285" i="8"/>
  <c r="H93" i="8"/>
  <c r="H54" i="8"/>
  <c r="H202" i="8"/>
  <c r="H129" i="8"/>
  <c r="H50" i="8"/>
  <c r="H38" i="8"/>
  <c r="H266" i="8"/>
  <c r="H123" i="8"/>
  <c r="H112" i="8"/>
  <c r="H231" i="8"/>
  <c r="H137" i="8"/>
  <c r="H61" i="8"/>
  <c r="H70" i="8"/>
  <c r="H148" i="8"/>
  <c r="H190" i="8"/>
  <c r="H69" i="8"/>
  <c r="H188" i="8"/>
  <c r="H310" i="8"/>
  <c r="H308" i="8"/>
  <c r="H307" i="8"/>
  <c r="H234" i="8"/>
  <c r="H339" i="8"/>
  <c r="H139" i="8"/>
  <c r="H337" i="8"/>
  <c r="H182" i="8"/>
  <c r="H64" i="8"/>
  <c r="H251" i="8"/>
  <c r="H106" i="8"/>
  <c r="H178" i="8"/>
  <c r="H103" i="8"/>
  <c r="H97" i="8"/>
  <c r="H95" i="8"/>
  <c r="H327" i="8"/>
  <c r="H326" i="8"/>
  <c r="H130" i="8"/>
  <c r="H287" i="8"/>
  <c r="H206" i="8"/>
  <c r="H167" i="8"/>
  <c r="H283" i="8"/>
  <c r="H87" i="8"/>
  <c r="H271" i="8"/>
  <c r="H157" i="8"/>
  <c r="H197" i="8"/>
  <c r="H317" i="8"/>
  <c r="H195" i="8"/>
  <c r="H74" i="8"/>
  <c r="H315" i="8"/>
  <c r="H263" i="8"/>
  <c r="H155" i="8"/>
  <c r="H268" i="8"/>
  <c r="H81" i="8"/>
  <c r="H49" i="8"/>
  <c r="H272" i="8"/>
  <c r="H320" i="8"/>
  <c r="H88" i="8"/>
  <c r="H72" i="8"/>
  <c r="H258" i="8"/>
  <c r="H36" i="8"/>
  <c r="H152" i="8"/>
  <c r="H77" i="8"/>
  <c r="H156" i="8"/>
  <c r="H199" i="8"/>
  <c r="H19" i="8"/>
  <c r="H159" i="8"/>
  <c r="H162" i="8"/>
  <c r="H40" i="8"/>
  <c r="H194" i="8"/>
  <c r="H124" i="8"/>
  <c r="H76" i="8"/>
  <c r="H78" i="8"/>
  <c r="H37" i="8"/>
  <c r="H80" i="8"/>
  <c r="H269" i="8"/>
  <c r="H160" i="8"/>
  <c r="H273" i="8"/>
  <c r="H89" i="8"/>
  <c r="H151" i="8"/>
  <c r="H262" i="8"/>
  <c r="H154" i="8"/>
  <c r="H48" i="8"/>
  <c r="H319" i="8"/>
  <c r="H128" i="8"/>
  <c r="H51" i="8"/>
  <c r="H347" i="8"/>
  <c r="H274" i="8"/>
  <c r="H122" i="8"/>
  <c r="H146" i="8"/>
  <c r="H240" i="8"/>
  <c r="H345" i="8"/>
  <c r="H343" i="8"/>
  <c r="H341" i="8"/>
  <c r="H31" i="8"/>
  <c r="H184" i="8"/>
  <c r="H66" i="8"/>
  <c r="H28" i="8"/>
  <c r="H301" i="8"/>
  <c r="H300" i="8"/>
  <c r="H63" i="8"/>
  <c r="H136" i="8"/>
  <c r="H25" i="8"/>
  <c r="H11" i="8"/>
  <c r="H135" i="8"/>
  <c r="H293" i="8"/>
  <c r="H291" i="8"/>
  <c r="H59" i="8"/>
  <c r="H211" i="8"/>
  <c r="H325" i="8"/>
  <c r="H208" i="8"/>
  <c r="H55" i="8"/>
  <c r="H281" i="8"/>
  <c r="H276" i="8"/>
  <c r="H86" i="8"/>
  <c r="H200" i="8"/>
  <c r="H126" i="8"/>
  <c r="H346" i="8"/>
  <c r="H340" i="8"/>
  <c r="H30" i="8"/>
  <c r="H253" i="8"/>
  <c r="H110" i="8"/>
  <c r="H228" i="8"/>
  <c r="H107" i="8"/>
  <c r="H180" i="8"/>
  <c r="H297" i="8"/>
  <c r="H296" i="8"/>
  <c r="H292" i="8"/>
  <c r="H331" i="8"/>
  <c r="H9" i="8"/>
  <c r="H132" i="8"/>
  <c r="H289" i="8"/>
  <c r="H248" i="8"/>
  <c r="H172" i="8"/>
  <c r="H169" i="8"/>
  <c r="H92" i="8"/>
  <c r="H204" i="8"/>
  <c r="H322" i="8"/>
  <c r="H90" i="8"/>
  <c r="H85" i="8"/>
  <c r="H39" i="8"/>
  <c r="H125" i="8"/>
  <c r="H75" i="8"/>
  <c r="H47" i="8"/>
  <c r="F60" i="1"/>
  <c r="G60" i="1"/>
  <c r="H60" i="1"/>
  <c r="I60" i="1"/>
  <c r="E60" i="1"/>
  <c r="F55" i="1"/>
  <c r="F57" i="1" s="1"/>
  <c r="G55" i="1"/>
  <c r="G57" i="1" s="1"/>
  <c r="H55" i="1"/>
  <c r="H57" i="1" s="1"/>
  <c r="I55" i="1"/>
  <c r="I57" i="1" s="1"/>
  <c r="E55" i="1"/>
  <c r="G50" i="1"/>
  <c r="H50" i="1"/>
  <c r="I50" i="1"/>
  <c r="J50" i="1"/>
  <c r="F50" i="1"/>
  <c r="G47" i="1"/>
  <c r="H47" i="1"/>
  <c r="I47" i="1"/>
  <c r="J47" i="1"/>
  <c r="F47" i="1"/>
  <c r="G44" i="1"/>
  <c r="H44" i="1"/>
  <c r="I44" i="1"/>
  <c r="J44" i="1"/>
  <c r="F44" i="1"/>
  <c r="F53" i="1"/>
  <c r="G53" i="1"/>
  <c r="H53" i="1"/>
  <c r="I53" i="1"/>
  <c r="E53" i="1"/>
  <c r="H196" i="8" l="1"/>
  <c r="H33" i="8"/>
  <c r="H16" i="8"/>
  <c r="H149" i="8"/>
  <c r="B26" i="14"/>
  <c r="H23" i="8"/>
  <c r="H71" i="8"/>
  <c r="H10" i="8"/>
  <c r="H121" i="8"/>
  <c r="G41" i="1"/>
  <c r="H41" i="1"/>
  <c r="I41" i="1"/>
  <c r="J41" i="1"/>
  <c r="F41" i="1"/>
  <c r="E29" i="1"/>
  <c r="F29" i="1"/>
  <c r="G29" i="1"/>
  <c r="H29" i="1"/>
  <c r="I29" i="1"/>
  <c r="J29" i="1"/>
  <c r="J45" i="1" s="1"/>
  <c r="E30" i="1"/>
  <c r="F30" i="1"/>
  <c r="G30" i="1"/>
  <c r="H30" i="1"/>
  <c r="I30" i="1"/>
  <c r="J30" i="1"/>
  <c r="E32" i="1"/>
  <c r="D47" i="14" s="1"/>
  <c r="F32" i="1"/>
  <c r="G32" i="1"/>
  <c r="H32" i="1"/>
  <c r="I32" i="1"/>
  <c r="J32" i="1"/>
  <c r="F28" i="1"/>
  <c r="G28" i="1"/>
  <c r="H28" i="1"/>
  <c r="I28" i="1"/>
  <c r="J28" i="1"/>
  <c r="E28" i="1"/>
  <c r="I42" i="1" l="1"/>
  <c r="J51" i="1"/>
  <c r="H349" i="8"/>
  <c r="H351" i="8" s="1"/>
  <c r="D255" i="24"/>
  <c r="D244" i="24" s="1"/>
  <c r="D95" i="24"/>
  <c r="D84" i="24" s="1"/>
  <c r="D63" i="24"/>
  <c r="D52" i="24" s="1"/>
  <c r="D31" i="24"/>
  <c r="D20" i="24" s="1"/>
  <c r="D159" i="24"/>
  <c r="D148" i="24" s="1"/>
  <c r="D191" i="24"/>
  <c r="D180" i="24" s="1"/>
  <c r="D223" i="24"/>
  <c r="D212" i="24" s="1"/>
  <c r="D127" i="24"/>
  <c r="D116" i="24" s="1"/>
  <c r="C25" i="16"/>
  <c r="D25" i="16"/>
  <c r="D27" i="14"/>
  <c r="B14" i="14"/>
  <c r="B3" i="16" s="1"/>
  <c r="B6" i="16" s="1"/>
  <c r="B15" i="16" s="1"/>
  <c r="B18" i="16" s="1"/>
  <c r="B31" i="16"/>
  <c r="F42" i="1"/>
  <c r="H42" i="1"/>
  <c r="E61" i="1"/>
  <c r="F734" i="8"/>
  <c r="I48" i="1"/>
  <c r="I56" i="1"/>
  <c r="I58" i="1" s="1"/>
  <c r="H48" i="1"/>
  <c r="H56" i="1"/>
  <c r="I51" i="1"/>
  <c r="I61" i="1"/>
  <c r="G48" i="1"/>
  <c r="G56" i="1"/>
  <c r="E54" i="1"/>
  <c r="H51" i="1"/>
  <c r="H61" i="1"/>
  <c r="F56" i="1"/>
  <c r="J42" i="1"/>
  <c r="G51" i="1"/>
  <c r="G61" i="1"/>
  <c r="E57" i="1"/>
  <c r="E56" i="1"/>
  <c r="F51" i="1"/>
  <c r="F61" i="1"/>
  <c r="G54" i="1"/>
  <c r="G45" i="1"/>
  <c r="F48" i="1"/>
  <c r="G42" i="1"/>
  <c r="I54" i="1"/>
  <c r="I45" i="1"/>
  <c r="F54" i="1"/>
  <c r="F45" i="1"/>
  <c r="J48" i="1"/>
  <c r="H45" i="1"/>
  <c r="H54" i="1"/>
  <c r="D31" i="16" l="1"/>
  <c r="C31" i="16"/>
  <c r="B36" i="16"/>
  <c r="B15" i="14"/>
  <c r="B19" i="14" s="1"/>
  <c r="E58" i="1"/>
  <c r="H58" i="1"/>
  <c r="F58" i="1"/>
  <c r="G58" i="1"/>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N14" i="2"/>
  <c r="N13" i="2"/>
  <c r="N12" i="2"/>
  <c r="N11" i="2"/>
  <c r="U10" i="2"/>
  <c r="G4" i="2"/>
  <c r="L50" i="2" s="1"/>
  <c r="R50" i="2" s="1"/>
  <c r="F4" i="2"/>
  <c r="K50" i="2" s="1"/>
  <c r="Q50" i="2" s="1"/>
  <c r="E4" i="2"/>
  <c r="J50" i="2" s="1"/>
  <c r="P50" i="2" s="1"/>
  <c r="D4" i="2"/>
  <c r="B4" i="14" l="1"/>
  <c r="B6" i="14" s="1"/>
  <c r="B23" i="27"/>
  <c r="B37" i="16"/>
  <c r="B21" i="20"/>
  <c r="I387" i="2"/>
  <c r="O387" i="2" s="1"/>
  <c r="I379" i="2"/>
  <c r="O379" i="2" s="1"/>
  <c r="I390" i="2"/>
  <c r="O390" i="2" s="1"/>
  <c r="I382" i="2"/>
  <c r="O382" i="2" s="1"/>
  <c r="I374" i="2"/>
  <c r="O374" i="2" s="1"/>
  <c r="I366" i="2"/>
  <c r="O366" i="2" s="1"/>
  <c r="I358" i="2"/>
  <c r="O358" i="2" s="1"/>
  <c r="I350" i="2"/>
  <c r="O350" i="2" s="1"/>
  <c r="I342" i="2"/>
  <c r="O342" i="2" s="1"/>
  <c r="I385" i="2"/>
  <c r="O385" i="2" s="1"/>
  <c r="I377" i="2"/>
  <c r="O377" i="2" s="1"/>
  <c r="I369" i="2"/>
  <c r="O369" i="2" s="1"/>
  <c r="I361" i="2"/>
  <c r="O361" i="2" s="1"/>
  <c r="I353" i="2"/>
  <c r="O353" i="2" s="1"/>
  <c r="I345" i="2"/>
  <c r="O345" i="2" s="1"/>
  <c r="S345" i="2" s="1"/>
  <c r="V345" i="2" s="1"/>
  <c r="I337" i="2"/>
  <c r="O337" i="2" s="1"/>
  <c r="I388" i="2"/>
  <c r="O388" i="2" s="1"/>
  <c r="I380" i="2"/>
  <c r="O380" i="2" s="1"/>
  <c r="I372" i="2"/>
  <c r="O372" i="2" s="1"/>
  <c r="I364" i="2"/>
  <c r="O364" i="2" s="1"/>
  <c r="I356" i="2"/>
  <c r="O356" i="2" s="1"/>
  <c r="I348" i="2"/>
  <c r="O348" i="2" s="1"/>
  <c r="I340" i="2"/>
  <c r="O340" i="2" s="1"/>
  <c r="I383" i="2"/>
  <c r="O383" i="2" s="1"/>
  <c r="I375" i="2"/>
  <c r="O375" i="2" s="1"/>
  <c r="I367" i="2"/>
  <c r="O367" i="2" s="1"/>
  <c r="I359" i="2"/>
  <c r="O359" i="2" s="1"/>
  <c r="I351" i="2"/>
  <c r="O351" i="2" s="1"/>
  <c r="I343" i="2"/>
  <c r="O343" i="2" s="1"/>
  <c r="I335" i="2"/>
  <c r="O335" i="2" s="1"/>
  <c r="I370" i="2"/>
  <c r="O370" i="2" s="1"/>
  <c r="I362" i="2"/>
  <c r="O362" i="2" s="1"/>
  <c r="I354" i="2"/>
  <c r="O354" i="2" s="1"/>
  <c r="I346" i="2"/>
  <c r="O346" i="2" s="1"/>
  <c r="I338" i="2"/>
  <c r="O338" i="2" s="1"/>
  <c r="I336" i="2"/>
  <c r="O336" i="2" s="1"/>
  <c r="I331" i="2"/>
  <c r="O331" i="2" s="1"/>
  <c r="I389" i="2"/>
  <c r="O389" i="2" s="1"/>
  <c r="I386" i="2"/>
  <c r="O386" i="2" s="1"/>
  <c r="S386" i="2" s="1"/>
  <c r="V386" i="2" s="1"/>
  <c r="I376" i="2"/>
  <c r="O376" i="2" s="1"/>
  <c r="I334" i="2"/>
  <c r="O334" i="2" s="1"/>
  <c r="I326" i="2"/>
  <c r="O326" i="2" s="1"/>
  <c r="I318" i="2"/>
  <c r="O318" i="2" s="1"/>
  <c r="I310" i="2"/>
  <c r="O310" i="2" s="1"/>
  <c r="I371" i="2"/>
  <c r="O371" i="2" s="1"/>
  <c r="I363" i="2"/>
  <c r="O363" i="2" s="1"/>
  <c r="I355" i="2"/>
  <c r="O355" i="2" s="1"/>
  <c r="I347" i="2"/>
  <c r="O347" i="2" s="1"/>
  <c r="I339" i="2"/>
  <c r="O339" i="2" s="1"/>
  <c r="I329" i="2"/>
  <c r="O329" i="2" s="1"/>
  <c r="I321" i="2"/>
  <c r="O321" i="2" s="1"/>
  <c r="I313" i="2"/>
  <c r="O313" i="2" s="1"/>
  <c r="I373" i="2"/>
  <c r="O373" i="2" s="1"/>
  <c r="I365" i="2"/>
  <c r="O365" i="2" s="1"/>
  <c r="I357" i="2"/>
  <c r="O357" i="2" s="1"/>
  <c r="I349" i="2"/>
  <c r="O349" i="2" s="1"/>
  <c r="I341" i="2"/>
  <c r="O341" i="2" s="1"/>
  <c r="I332" i="2"/>
  <c r="O332" i="2" s="1"/>
  <c r="I324" i="2"/>
  <c r="O324" i="2" s="1"/>
  <c r="I316" i="2"/>
  <c r="O316" i="2" s="1"/>
  <c r="I327" i="2"/>
  <c r="O327" i="2" s="1"/>
  <c r="I319" i="2"/>
  <c r="O319" i="2" s="1"/>
  <c r="I384" i="2"/>
  <c r="O384" i="2" s="1"/>
  <c r="I381" i="2"/>
  <c r="O381" i="2" s="1"/>
  <c r="I378" i="2"/>
  <c r="O378" i="2" s="1"/>
  <c r="I330" i="2"/>
  <c r="O330" i="2" s="1"/>
  <c r="I322" i="2"/>
  <c r="O322" i="2" s="1"/>
  <c r="I314" i="2"/>
  <c r="O314" i="2" s="1"/>
  <c r="I333" i="2"/>
  <c r="O333" i="2" s="1"/>
  <c r="I325" i="2"/>
  <c r="O325" i="2" s="1"/>
  <c r="I317" i="2"/>
  <c r="O317" i="2" s="1"/>
  <c r="I309" i="2"/>
  <c r="O309" i="2" s="1"/>
  <c r="I368" i="2"/>
  <c r="O368" i="2" s="1"/>
  <c r="I360" i="2"/>
  <c r="O360" i="2" s="1"/>
  <c r="I352" i="2"/>
  <c r="O352" i="2" s="1"/>
  <c r="I344" i="2"/>
  <c r="O344" i="2" s="1"/>
  <c r="I328" i="2"/>
  <c r="O328" i="2" s="1"/>
  <c r="I320" i="2"/>
  <c r="O320" i="2" s="1"/>
  <c r="I312" i="2"/>
  <c r="O312" i="2" s="1"/>
  <c r="I315" i="2"/>
  <c r="O315" i="2" s="1"/>
  <c r="I301" i="2"/>
  <c r="O301" i="2" s="1"/>
  <c r="I293" i="2"/>
  <c r="O293" i="2" s="1"/>
  <c r="I285" i="2"/>
  <c r="O285" i="2" s="1"/>
  <c r="I277" i="2"/>
  <c r="O277" i="2" s="1"/>
  <c r="I269" i="2"/>
  <c r="O269" i="2" s="1"/>
  <c r="I261" i="2"/>
  <c r="O261" i="2" s="1"/>
  <c r="I304" i="2"/>
  <c r="O304" i="2" s="1"/>
  <c r="I296" i="2"/>
  <c r="O296" i="2" s="1"/>
  <c r="I288" i="2"/>
  <c r="O288" i="2" s="1"/>
  <c r="I280" i="2"/>
  <c r="O280" i="2" s="1"/>
  <c r="I272" i="2"/>
  <c r="O272" i="2" s="1"/>
  <c r="I264" i="2"/>
  <c r="O264" i="2" s="1"/>
  <c r="I307" i="2"/>
  <c r="O307" i="2" s="1"/>
  <c r="I299" i="2"/>
  <c r="O299" i="2" s="1"/>
  <c r="I291" i="2"/>
  <c r="O291" i="2" s="1"/>
  <c r="I283" i="2"/>
  <c r="O283" i="2" s="1"/>
  <c r="I275" i="2"/>
  <c r="O275" i="2" s="1"/>
  <c r="I267" i="2"/>
  <c r="O267" i="2" s="1"/>
  <c r="I259" i="2"/>
  <c r="O259" i="2" s="1"/>
  <c r="I302" i="2"/>
  <c r="O302" i="2" s="1"/>
  <c r="I294" i="2"/>
  <c r="O294" i="2" s="1"/>
  <c r="I286" i="2"/>
  <c r="O286" i="2" s="1"/>
  <c r="I278" i="2"/>
  <c r="O278" i="2" s="1"/>
  <c r="I270" i="2"/>
  <c r="O270" i="2" s="1"/>
  <c r="I262" i="2"/>
  <c r="O262" i="2" s="1"/>
  <c r="I323" i="2"/>
  <c r="O323" i="2" s="1"/>
  <c r="I305" i="2"/>
  <c r="O305" i="2" s="1"/>
  <c r="I297" i="2"/>
  <c r="O297" i="2" s="1"/>
  <c r="I289" i="2"/>
  <c r="O289" i="2" s="1"/>
  <c r="I281" i="2"/>
  <c r="O281" i="2" s="1"/>
  <c r="I273" i="2"/>
  <c r="O273" i="2" s="1"/>
  <c r="I265" i="2"/>
  <c r="O265" i="2" s="1"/>
  <c r="I257" i="2"/>
  <c r="O257" i="2" s="1"/>
  <c r="I308" i="2"/>
  <c r="O308" i="2" s="1"/>
  <c r="I300" i="2"/>
  <c r="O300" i="2" s="1"/>
  <c r="I292" i="2"/>
  <c r="O292" i="2" s="1"/>
  <c r="I284" i="2"/>
  <c r="O284" i="2" s="1"/>
  <c r="I276" i="2"/>
  <c r="O276" i="2" s="1"/>
  <c r="I268" i="2"/>
  <c r="O268" i="2" s="1"/>
  <c r="I260" i="2"/>
  <c r="O260" i="2" s="1"/>
  <c r="I303" i="2"/>
  <c r="O303" i="2" s="1"/>
  <c r="I295" i="2"/>
  <c r="O295" i="2" s="1"/>
  <c r="I287" i="2"/>
  <c r="O287" i="2" s="1"/>
  <c r="I279" i="2"/>
  <c r="O279" i="2" s="1"/>
  <c r="I271" i="2"/>
  <c r="O271" i="2" s="1"/>
  <c r="I263" i="2"/>
  <c r="O263" i="2" s="1"/>
  <c r="I256" i="2"/>
  <c r="O256" i="2" s="1"/>
  <c r="I248" i="2"/>
  <c r="O248" i="2" s="1"/>
  <c r="I240" i="2"/>
  <c r="O240" i="2" s="1"/>
  <c r="I232" i="2"/>
  <c r="O232" i="2" s="1"/>
  <c r="I224" i="2"/>
  <c r="O224" i="2" s="1"/>
  <c r="I216" i="2"/>
  <c r="O216" i="2" s="1"/>
  <c r="I298" i="2"/>
  <c r="O298" i="2" s="1"/>
  <c r="I282" i="2"/>
  <c r="O282" i="2" s="1"/>
  <c r="I266" i="2"/>
  <c r="O266" i="2" s="1"/>
  <c r="S266" i="2" s="1"/>
  <c r="V266" i="2" s="1"/>
  <c r="I251" i="2"/>
  <c r="O251" i="2" s="1"/>
  <c r="I243" i="2"/>
  <c r="O243" i="2" s="1"/>
  <c r="I235" i="2"/>
  <c r="O235" i="2" s="1"/>
  <c r="I227" i="2"/>
  <c r="O227" i="2" s="1"/>
  <c r="I219" i="2"/>
  <c r="O219" i="2" s="1"/>
  <c r="I254" i="2"/>
  <c r="O254" i="2" s="1"/>
  <c r="I246" i="2"/>
  <c r="O246" i="2" s="1"/>
  <c r="I238" i="2"/>
  <c r="O238" i="2" s="1"/>
  <c r="I230" i="2"/>
  <c r="O230" i="2" s="1"/>
  <c r="I222" i="2"/>
  <c r="O222" i="2" s="1"/>
  <c r="I214" i="2"/>
  <c r="O214" i="2" s="1"/>
  <c r="I311" i="2"/>
  <c r="O311" i="2" s="1"/>
  <c r="I249" i="2"/>
  <c r="O249" i="2" s="1"/>
  <c r="I241" i="2"/>
  <c r="O241" i="2" s="1"/>
  <c r="I233" i="2"/>
  <c r="O233" i="2" s="1"/>
  <c r="I225" i="2"/>
  <c r="O225" i="2" s="1"/>
  <c r="I217" i="2"/>
  <c r="O217" i="2" s="1"/>
  <c r="I252" i="2"/>
  <c r="O252" i="2" s="1"/>
  <c r="I244" i="2"/>
  <c r="O244" i="2" s="1"/>
  <c r="I236" i="2"/>
  <c r="O236" i="2" s="1"/>
  <c r="I228" i="2"/>
  <c r="O228" i="2" s="1"/>
  <c r="I220" i="2"/>
  <c r="O220" i="2" s="1"/>
  <c r="I212" i="2"/>
  <c r="O212" i="2" s="1"/>
  <c r="I306" i="2"/>
  <c r="O306" i="2" s="1"/>
  <c r="I290" i="2"/>
  <c r="O290" i="2" s="1"/>
  <c r="I274" i="2"/>
  <c r="O274" i="2" s="1"/>
  <c r="I258" i="2"/>
  <c r="O258" i="2" s="1"/>
  <c r="I255" i="2"/>
  <c r="O255" i="2" s="1"/>
  <c r="I247" i="2"/>
  <c r="O247" i="2" s="1"/>
  <c r="I239" i="2"/>
  <c r="O239" i="2" s="1"/>
  <c r="I231" i="2"/>
  <c r="O231" i="2" s="1"/>
  <c r="I223" i="2"/>
  <c r="O223" i="2" s="1"/>
  <c r="I215" i="2"/>
  <c r="O215" i="2" s="1"/>
  <c r="I250" i="2"/>
  <c r="O250" i="2" s="1"/>
  <c r="I242" i="2"/>
  <c r="O242" i="2" s="1"/>
  <c r="I234" i="2"/>
  <c r="O234" i="2" s="1"/>
  <c r="I226" i="2"/>
  <c r="O226" i="2" s="1"/>
  <c r="I218" i="2"/>
  <c r="O218" i="2" s="1"/>
  <c r="I253" i="2"/>
  <c r="O253" i="2" s="1"/>
  <c r="I245" i="2"/>
  <c r="O245" i="2" s="1"/>
  <c r="I237" i="2"/>
  <c r="O237" i="2" s="1"/>
  <c r="I229" i="2"/>
  <c r="O229" i="2" s="1"/>
  <c r="I221" i="2"/>
  <c r="O221" i="2" s="1"/>
  <c r="I213" i="2"/>
  <c r="O213" i="2" s="1"/>
  <c r="I206" i="2"/>
  <c r="O206" i="2" s="1"/>
  <c r="I198" i="2"/>
  <c r="O198" i="2" s="1"/>
  <c r="I190" i="2"/>
  <c r="O190" i="2" s="1"/>
  <c r="I182" i="2"/>
  <c r="O182" i="2" s="1"/>
  <c r="I174" i="2"/>
  <c r="O174" i="2" s="1"/>
  <c r="I166" i="2"/>
  <c r="O166" i="2" s="1"/>
  <c r="I209" i="2"/>
  <c r="O209" i="2" s="1"/>
  <c r="I201" i="2"/>
  <c r="O201" i="2" s="1"/>
  <c r="I193" i="2"/>
  <c r="O193" i="2" s="1"/>
  <c r="I185" i="2"/>
  <c r="O185" i="2" s="1"/>
  <c r="I177" i="2"/>
  <c r="O177" i="2" s="1"/>
  <c r="I169" i="2"/>
  <c r="O169" i="2" s="1"/>
  <c r="I161" i="2"/>
  <c r="O161" i="2" s="1"/>
  <c r="I204" i="2"/>
  <c r="O204" i="2" s="1"/>
  <c r="I196" i="2"/>
  <c r="O196" i="2" s="1"/>
  <c r="I188" i="2"/>
  <c r="O188" i="2" s="1"/>
  <c r="I180" i="2"/>
  <c r="O180" i="2" s="1"/>
  <c r="I172" i="2"/>
  <c r="O172" i="2" s="1"/>
  <c r="I164" i="2"/>
  <c r="O164" i="2" s="1"/>
  <c r="I207" i="2"/>
  <c r="O207" i="2" s="1"/>
  <c r="I199" i="2"/>
  <c r="O199" i="2" s="1"/>
  <c r="I191" i="2"/>
  <c r="O191" i="2" s="1"/>
  <c r="I183" i="2"/>
  <c r="O183" i="2" s="1"/>
  <c r="I175" i="2"/>
  <c r="O175" i="2" s="1"/>
  <c r="I167" i="2"/>
  <c r="O167" i="2" s="1"/>
  <c r="I159" i="2"/>
  <c r="O159" i="2" s="1"/>
  <c r="I210" i="2"/>
  <c r="O210" i="2" s="1"/>
  <c r="I202" i="2"/>
  <c r="O202" i="2" s="1"/>
  <c r="I194" i="2"/>
  <c r="O194" i="2" s="1"/>
  <c r="I186" i="2"/>
  <c r="O186" i="2" s="1"/>
  <c r="I178" i="2"/>
  <c r="O178" i="2" s="1"/>
  <c r="I170" i="2"/>
  <c r="O170" i="2" s="1"/>
  <c r="I162" i="2"/>
  <c r="O162" i="2" s="1"/>
  <c r="I205" i="2"/>
  <c r="O205" i="2" s="1"/>
  <c r="I197" i="2"/>
  <c r="O197" i="2" s="1"/>
  <c r="I189" i="2"/>
  <c r="O189" i="2" s="1"/>
  <c r="I181" i="2"/>
  <c r="O181" i="2" s="1"/>
  <c r="I173" i="2"/>
  <c r="O173" i="2" s="1"/>
  <c r="I165" i="2"/>
  <c r="O165" i="2" s="1"/>
  <c r="I208" i="2"/>
  <c r="O208" i="2" s="1"/>
  <c r="I200" i="2"/>
  <c r="O200" i="2" s="1"/>
  <c r="I192" i="2"/>
  <c r="O192" i="2" s="1"/>
  <c r="I184" i="2"/>
  <c r="O184" i="2" s="1"/>
  <c r="I176" i="2"/>
  <c r="O176" i="2" s="1"/>
  <c r="I168" i="2"/>
  <c r="O168" i="2" s="1"/>
  <c r="I160" i="2"/>
  <c r="O160" i="2" s="1"/>
  <c r="I211" i="2"/>
  <c r="O211" i="2" s="1"/>
  <c r="I203" i="2"/>
  <c r="O203" i="2" s="1"/>
  <c r="I195" i="2"/>
  <c r="O195" i="2" s="1"/>
  <c r="I187" i="2"/>
  <c r="O187" i="2" s="1"/>
  <c r="I179" i="2"/>
  <c r="O179" i="2" s="1"/>
  <c r="I171" i="2"/>
  <c r="O171" i="2" s="1"/>
  <c r="I163" i="2"/>
  <c r="O163" i="2" s="1"/>
  <c r="I154" i="2"/>
  <c r="O154" i="2" s="1"/>
  <c r="I146" i="2"/>
  <c r="O146" i="2" s="1"/>
  <c r="I138" i="2"/>
  <c r="O138" i="2" s="1"/>
  <c r="I130" i="2"/>
  <c r="O130" i="2" s="1"/>
  <c r="I122" i="2"/>
  <c r="O122" i="2" s="1"/>
  <c r="I114" i="2"/>
  <c r="O114" i="2" s="1"/>
  <c r="I157" i="2"/>
  <c r="O157" i="2" s="1"/>
  <c r="I149" i="2"/>
  <c r="O149" i="2" s="1"/>
  <c r="I141" i="2"/>
  <c r="O141" i="2" s="1"/>
  <c r="I133" i="2"/>
  <c r="O133" i="2" s="1"/>
  <c r="I125" i="2"/>
  <c r="O125" i="2" s="1"/>
  <c r="I117" i="2"/>
  <c r="O117" i="2" s="1"/>
  <c r="I109" i="2"/>
  <c r="O109" i="2" s="1"/>
  <c r="I152" i="2"/>
  <c r="O152" i="2" s="1"/>
  <c r="I144" i="2"/>
  <c r="O144" i="2" s="1"/>
  <c r="I136" i="2"/>
  <c r="O136" i="2" s="1"/>
  <c r="I128" i="2"/>
  <c r="O128" i="2" s="1"/>
  <c r="I120" i="2"/>
  <c r="O120" i="2" s="1"/>
  <c r="I112" i="2"/>
  <c r="O112" i="2" s="1"/>
  <c r="I155" i="2"/>
  <c r="O155" i="2" s="1"/>
  <c r="I147" i="2"/>
  <c r="O147" i="2" s="1"/>
  <c r="I139" i="2"/>
  <c r="O139" i="2" s="1"/>
  <c r="I131" i="2"/>
  <c r="O131" i="2" s="1"/>
  <c r="I123" i="2"/>
  <c r="O123" i="2" s="1"/>
  <c r="I115" i="2"/>
  <c r="O115" i="2" s="1"/>
  <c r="I107" i="2"/>
  <c r="O107" i="2" s="1"/>
  <c r="I158" i="2"/>
  <c r="O158" i="2" s="1"/>
  <c r="I150" i="2"/>
  <c r="O150" i="2" s="1"/>
  <c r="I142" i="2"/>
  <c r="O142" i="2" s="1"/>
  <c r="I134" i="2"/>
  <c r="O134" i="2" s="1"/>
  <c r="I126" i="2"/>
  <c r="O126" i="2" s="1"/>
  <c r="I118" i="2"/>
  <c r="O118" i="2" s="1"/>
  <c r="I110" i="2"/>
  <c r="O110" i="2" s="1"/>
  <c r="I153" i="2"/>
  <c r="O153" i="2" s="1"/>
  <c r="I145" i="2"/>
  <c r="O145" i="2" s="1"/>
  <c r="I137" i="2"/>
  <c r="O137" i="2" s="1"/>
  <c r="I129" i="2"/>
  <c r="O129" i="2" s="1"/>
  <c r="I121" i="2"/>
  <c r="O121" i="2" s="1"/>
  <c r="I113" i="2"/>
  <c r="O113" i="2" s="1"/>
  <c r="S113" i="2" s="1"/>
  <c r="V113" i="2" s="1"/>
  <c r="I156" i="2"/>
  <c r="O156" i="2" s="1"/>
  <c r="I148" i="2"/>
  <c r="O148" i="2" s="1"/>
  <c r="I140" i="2"/>
  <c r="O140" i="2" s="1"/>
  <c r="I132" i="2"/>
  <c r="O132" i="2" s="1"/>
  <c r="I124" i="2"/>
  <c r="O124" i="2" s="1"/>
  <c r="I116" i="2"/>
  <c r="O116" i="2" s="1"/>
  <c r="I108" i="2"/>
  <c r="O108" i="2" s="1"/>
  <c r="I151" i="2"/>
  <c r="O151" i="2" s="1"/>
  <c r="I143" i="2"/>
  <c r="O143" i="2" s="1"/>
  <c r="I135" i="2"/>
  <c r="O135" i="2" s="1"/>
  <c r="I127" i="2"/>
  <c r="O127" i="2" s="1"/>
  <c r="I119" i="2"/>
  <c r="O119" i="2" s="1"/>
  <c r="I111" i="2"/>
  <c r="O111" i="2" s="1"/>
  <c r="I101" i="2"/>
  <c r="O101" i="2" s="1"/>
  <c r="I93" i="2"/>
  <c r="O93" i="2" s="1"/>
  <c r="I85" i="2"/>
  <c r="O85" i="2" s="1"/>
  <c r="I77" i="2"/>
  <c r="O77" i="2" s="1"/>
  <c r="I69" i="2"/>
  <c r="O69" i="2" s="1"/>
  <c r="I61" i="2"/>
  <c r="O61" i="2" s="1"/>
  <c r="I104" i="2"/>
  <c r="O104" i="2" s="1"/>
  <c r="I96" i="2"/>
  <c r="O96" i="2" s="1"/>
  <c r="I88" i="2"/>
  <c r="O88" i="2" s="1"/>
  <c r="I80" i="2"/>
  <c r="O80" i="2" s="1"/>
  <c r="I72" i="2"/>
  <c r="O72" i="2" s="1"/>
  <c r="I64" i="2"/>
  <c r="O64" i="2" s="1"/>
  <c r="I56" i="2"/>
  <c r="O56" i="2" s="1"/>
  <c r="I99" i="2"/>
  <c r="O99" i="2" s="1"/>
  <c r="I91" i="2"/>
  <c r="O91" i="2" s="1"/>
  <c r="I83" i="2"/>
  <c r="O83" i="2" s="1"/>
  <c r="I75" i="2"/>
  <c r="O75" i="2" s="1"/>
  <c r="I67" i="2"/>
  <c r="O67" i="2" s="1"/>
  <c r="I59" i="2"/>
  <c r="O59" i="2" s="1"/>
  <c r="I102" i="2"/>
  <c r="O102" i="2" s="1"/>
  <c r="I94" i="2"/>
  <c r="O94" i="2" s="1"/>
  <c r="I86" i="2"/>
  <c r="O86" i="2" s="1"/>
  <c r="I78" i="2"/>
  <c r="O78" i="2" s="1"/>
  <c r="I70" i="2"/>
  <c r="O70" i="2" s="1"/>
  <c r="I62" i="2"/>
  <c r="O62" i="2" s="1"/>
  <c r="I54" i="2"/>
  <c r="O54" i="2" s="1"/>
  <c r="I105" i="2"/>
  <c r="O105" i="2" s="1"/>
  <c r="I97" i="2"/>
  <c r="O97" i="2" s="1"/>
  <c r="I89" i="2"/>
  <c r="O89" i="2" s="1"/>
  <c r="I81" i="2"/>
  <c r="O81" i="2" s="1"/>
  <c r="I73" i="2"/>
  <c r="O73" i="2" s="1"/>
  <c r="I65" i="2"/>
  <c r="O65" i="2" s="1"/>
  <c r="I57" i="2"/>
  <c r="O57" i="2" s="1"/>
  <c r="I100" i="2"/>
  <c r="O100" i="2" s="1"/>
  <c r="I92" i="2"/>
  <c r="O92" i="2" s="1"/>
  <c r="I84" i="2"/>
  <c r="O84" i="2" s="1"/>
  <c r="I76" i="2"/>
  <c r="O76" i="2" s="1"/>
  <c r="I68" i="2"/>
  <c r="O68" i="2" s="1"/>
  <c r="I60" i="2"/>
  <c r="O60" i="2" s="1"/>
  <c r="I103" i="2"/>
  <c r="O103" i="2" s="1"/>
  <c r="I95" i="2"/>
  <c r="O95" i="2" s="1"/>
  <c r="I87" i="2"/>
  <c r="O87" i="2" s="1"/>
  <c r="I79" i="2"/>
  <c r="O79" i="2" s="1"/>
  <c r="I71" i="2"/>
  <c r="O71" i="2" s="1"/>
  <c r="I63" i="2"/>
  <c r="O63" i="2" s="1"/>
  <c r="I55" i="2"/>
  <c r="O55" i="2" s="1"/>
  <c r="I106" i="2"/>
  <c r="O106" i="2" s="1"/>
  <c r="I98" i="2"/>
  <c r="O98" i="2" s="1"/>
  <c r="I90" i="2"/>
  <c r="O90" i="2" s="1"/>
  <c r="I82" i="2"/>
  <c r="O82" i="2" s="1"/>
  <c r="I74" i="2"/>
  <c r="O74" i="2" s="1"/>
  <c r="I66" i="2"/>
  <c r="O66" i="2" s="1"/>
  <c r="I58" i="2"/>
  <c r="O58" i="2" s="1"/>
  <c r="K13" i="2"/>
  <c r="Q13" i="2" s="1"/>
  <c r="I15" i="2"/>
  <c r="O15" i="2" s="1"/>
  <c r="L16" i="2"/>
  <c r="R16" i="2" s="1"/>
  <c r="J18" i="2"/>
  <c r="P18" i="2" s="1"/>
  <c r="K21" i="2"/>
  <c r="Q21" i="2" s="1"/>
  <c r="I23" i="2"/>
  <c r="O23" i="2" s="1"/>
  <c r="L24" i="2"/>
  <c r="R24" i="2" s="1"/>
  <c r="J26" i="2"/>
  <c r="P26" i="2" s="1"/>
  <c r="K29" i="2"/>
  <c r="Q29" i="2" s="1"/>
  <c r="I31" i="2"/>
  <c r="O31" i="2" s="1"/>
  <c r="L32" i="2"/>
  <c r="R32" i="2" s="1"/>
  <c r="J34" i="2"/>
  <c r="P34" i="2" s="1"/>
  <c r="K37" i="2"/>
  <c r="Q37" i="2" s="1"/>
  <c r="I39" i="2"/>
  <c r="O39" i="2" s="1"/>
  <c r="L40" i="2"/>
  <c r="R40" i="2" s="1"/>
  <c r="J42" i="2"/>
  <c r="P42" i="2" s="1"/>
  <c r="K45" i="2"/>
  <c r="Q45" i="2" s="1"/>
  <c r="I47" i="2"/>
  <c r="O47" i="2" s="1"/>
  <c r="L48" i="2"/>
  <c r="R48" i="2" s="1"/>
  <c r="K53" i="2"/>
  <c r="Q53" i="2" s="1"/>
  <c r="J390" i="2"/>
  <c r="P390" i="2" s="1"/>
  <c r="J382" i="2"/>
  <c r="P382" i="2" s="1"/>
  <c r="J385" i="2"/>
  <c r="P385" i="2" s="1"/>
  <c r="J377" i="2"/>
  <c r="P377" i="2" s="1"/>
  <c r="J369" i="2"/>
  <c r="P369" i="2" s="1"/>
  <c r="J361" i="2"/>
  <c r="P361" i="2" s="1"/>
  <c r="J353" i="2"/>
  <c r="P353" i="2" s="1"/>
  <c r="J345" i="2"/>
  <c r="P345" i="2" s="1"/>
  <c r="J337" i="2"/>
  <c r="P337" i="2" s="1"/>
  <c r="J388" i="2"/>
  <c r="P388" i="2" s="1"/>
  <c r="J380" i="2"/>
  <c r="P380" i="2" s="1"/>
  <c r="J372" i="2"/>
  <c r="P372" i="2" s="1"/>
  <c r="J364" i="2"/>
  <c r="P364" i="2" s="1"/>
  <c r="J356" i="2"/>
  <c r="P356" i="2" s="1"/>
  <c r="J348" i="2"/>
  <c r="P348" i="2" s="1"/>
  <c r="J340" i="2"/>
  <c r="P340" i="2" s="1"/>
  <c r="J383" i="2"/>
  <c r="P383" i="2" s="1"/>
  <c r="J375" i="2"/>
  <c r="P375" i="2" s="1"/>
  <c r="J367" i="2"/>
  <c r="P367" i="2" s="1"/>
  <c r="J359" i="2"/>
  <c r="P359" i="2" s="1"/>
  <c r="J351" i="2"/>
  <c r="P351" i="2" s="1"/>
  <c r="J343" i="2"/>
  <c r="P343" i="2" s="1"/>
  <c r="J335" i="2"/>
  <c r="P335" i="2" s="1"/>
  <c r="J386" i="2"/>
  <c r="P386" i="2" s="1"/>
  <c r="J378" i="2"/>
  <c r="P378" i="2" s="1"/>
  <c r="J370" i="2"/>
  <c r="P370" i="2" s="1"/>
  <c r="J362" i="2"/>
  <c r="P362" i="2" s="1"/>
  <c r="J354" i="2"/>
  <c r="P354" i="2" s="1"/>
  <c r="J346" i="2"/>
  <c r="P346" i="2" s="1"/>
  <c r="J338" i="2"/>
  <c r="P338" i="2" s="1"/>
  <c r="J389" i="2"/>
  <c r="P389" i="2" s="1"/>
  <c r="J379" i="2"/>
  <c r="P379" i="2" s="1"/>
  <c r="J376" i="2"/>
  <c r="P376" i="2" s="1"/>
  <c r="J334" i="2"/>
  <c r="P334" i="2" s="1"/>
  <c r="J371" i="2"/>
  <c r="P371" i="2" s="1"/>
  <c r="J363" i="2"/>
  <c r="P363" i="2" s="1"/>
  <c r="J355" i="2"/>
  <c r="P355" i="2" s="1"/>
  <c r="J347" i="2"/>
  <c r="P347" i="2" s="1"/>
  <c r="J339" i="2"/>
  <c r="P339" i="2" s="1"/>
  <c r="J329" i="2"/>
  <c r="P329" i="2" s="1"/>
  <c r="J321" i="2"/>
  <c r="P321" i="2" s="1"/>
  <c r="J313" i="2"/>
  <c r="P313" i="2" s="1"/>
  <c r="J373" i="2"/>
  <c r="P373" i="2" s="1"/>
  <c r="J365" i="2"/>
  <c r="P365" i="2" s="1"/>
  <c r="J357" i="2"/>
  <c r="P357" i="2" s="1"/>
  <c r="J349" i="2"/>
  <c r="P349" i="2" s="1"/>
  <c r="J341" i="2"/>
  <c r="P341" i="2" s="1"/>
  <c r="J332" i="2"/>
  <c r="P332" i="2" s="1"/>
  <c r="J324" i="2"/>
  <c r="P324" i="2" s="1"/>
  <c r="J316" i="2"/>
  <c r="P316" i="2" s="1"/>
  <c r="J308" i="2"/>
  <c r="P308" i="2" s="1"/>
  <c r="J327" i="2"/>
  <c r="P327" i="2" s="1"/>
  <c r="J319" i="2"/>
  <c r="P319" i="2" s="1"/>
  <c r="J311" i="2"/>
  <c r="P311" i="2" s="1"/>
  <c r="J387" i="2"/>
  <c r="P387" i="2" s="1"/>
  <c r="J384" i="2"/>
  <c r="P384" i="2" s="1"/>
  <c r="J381" i="2"/>
  <c r="P381" i="2" s="1"/>
  <c r="J374" i="2"/>
  <c r="P374" i="2" s="1"/>
  <c r="S374" i="2" s="1"/>
  <c r="V374" i="2" s="1"/>
  <c r="J366" i="2"/>
  <c r="P366" i="2" s="1"/>
  <c r="J358" i="2"/>
  <c r="P358" i="2" s="1"/>
  <c r="J350" i="2"/>
  <c r="P350" i="2" s="1"/>
  <c r="J342" i="2"/>
  <c r="P342" i="2" s="1"/>
  <c r="J330" i="2"/>
  <c r="P330" i="2" s="1"/>
  <c r="J322" i="2"/>
  <c r="P322" i="2" s="1"/>
  <c r="J333" i="2"/>
  <c r="P333" i="2" s="1"/>
  <c r="J325" i="2"/>
  <c r="P325" i="2" s="1"/>
  <c r="J317" i="2"/>
  <c r="P317" i="2" s="1"/>
  <c r="J309" i="2"/>
  <c r="P309" i="2" s="1"/>
  <c r="J368" i="2"/>
  <c r="P368" i="2" s="1"/>
  <c r="J360" i="2"/>
  <c r="P360" i="2" s="1"/>
  <c r="J352" i="2"/>
  <c r="P352" i="2" s="1"/>
  <c r="J344" i="2"/>
  <c r="P344" i="2" s="1"/>
  <c r="J328" i="2"/>
  <c r="P328" i="2" s="1"/>
  <c r="J320" i="2"/>
  <c r="P320" i="2" s="1"/>
  <c r="S320" i="2" s="1"/>
  <c r="V320" i="2" s="1"/>
  <c r="J312" i="2"/>
  <c r="P312" i="2" s="1"/>
  <c r="J336" i="2"/>
  <c r="P336" i="2" s="1"/>
  <c r="J331" i="2"/>
  <c r="P331" i="2" s="1"/>
  <c r="J323" i="2"/>
  <c r="P323" i="2" s="1"/>
  <c r="J315" i="2"/>
  <c r="P315" i="2" s="1"/>
  <c r="J318" i="2"/>
  <c r="P318" i="2" s="1"/>
  <c r="J304" i="2"/>
  <c r="P304" i="2" s="1"/>
  <c r="J296" i="2"/>
  <c r="P296" i="2" s="1"/>
  <c r="J288" i="2"/>
  <c r="P288" i="2" s="1"/>
  <c r="J280" i="2"/>
  <c r="P280" i="2" s="1"/>
  <c r="J272" i="2"/>
  <c r="P272" i="2" s="1"/>
  <c r="J264" i="2"/>
  <c r="P264" i="2" s="1"/>
  <c r="J307" i="2"/>
  <c r="P307" i="2" s="1"/>
  <c r="J299" i="2"/>
  <c r="P299" i="2" s="1"/>
  <c r="J291" i="2"/>
  <c r="P291" i="2" s="1"/>
  <c r="J283" i="2"/>
  <c r="P283" i="2" s="1"/>
  <c r="J275" i="2"/>
  <c r="P275" i="2" s="1"/>
  <c r="J267" i="2"/>
  <c r="P267" i="2" s="1"/>
  <c r="J259" i="2"/>
  <c r="P259" i="2" s="1"/>
  <c r="J302" i="2"/>
  <c r="P302" i="2" s="1"/>
  <c r="J294" i="2"/>
  <c r="P294" i="2" s="1"/>
  <c r="J286" i="2"/>
  <c r="P286" i="2" s="1"/>
  <c r="J278" i="2"/>
  <c r="P278" i="2" s="1"/>
  <c r="J270" i="2"/>
  <c r="P270" i="2" s="1"/>
  <c r="J262" i="2"/>
  <c r="P262" i="2" s="1"/>
  <c r="J314" i="2"/>
  <c r="P314" i="2" s="1"/>
  <c r="J310" i="2"/>
  <c r="P310" i="2" s="1"/>
  <c r="J305" i="2"/>
  <c r="P305" i="2" s="1"/>
  <c r="J297" i="2"/>
  <c r="P297" i="2" s="1"/>
  <c r="J289" i="2"/>
  <c r="P289" i="2" s="1"/>
  <c r="J281" i="2"/>
  <c r="P281" i="2" s="1"/>
  <c r="J273" i="2"/>
  <c r="P273" i="2" s="1"/>
  <c r="J265" i="2"/>
  <c r="P265" i="2" s="1"/>
  <c r="J257" i="2"/>
  <c r="P257" i="2" s="1"/>
  <c r="J326" i="2"/>
  <c r="P326" i="2" s="1"/>
  <c r="J300" i="2"/>
  <c r="P300" i="2" s="1"/>
  <c r="J292" i="2"/>
  <c r="P292" i="2" s="1"/>
  <c r="J284" i="2"/>
  <c r="P284" i="2" s="1"/>
  <c r="J276" i="2"/>
  <c r="P276" i="2" s="1"/>
  <c r="J268" i="2"/>
  <c r="P268" i="2" s="1"/>
  <c r="J260" i="2"/>
  <c r="P260" i="2" s="1"/>
  <c r="J303" i="2"/>
  <c r="P303" i="2" s="1"/>
  <c r="J295" i="2"/>
  <c r="P295" i="2" s="1"/>
  <c r="J287" i="2"/>
  <c r="P287" i="2" s="1"/>
  <c r="J279" i="2"/>
  <c r="P279" i="2" s="1"/>
  <c r="J271" i="2"/>
  <c r="P271" i="2" s="1"/>
  <c r="J263" i="2"/>
  <c r="P263" i="2" s="1"/>
  <c r="J306" i="2"/>
  <c r="P306" i="2" s="1"/>
  <c r="J298" i="2"/>
  <c r="P298" i="2" s="1"/>
  <c r="J290" i="2"/>
  <c r="P290" i="2" s="1"/>
  <c r="J282" i="2"/>
  <c r="P282" i="2" s="1"/>
  <c r="J274" i="2"/>
  <c r="P274" i="2" s="1"/>
  <c r="J266" i="2"/>
  <c r="P266" i="2" s="1"/>
  <c r="J258" i="2"/>
  <c r="P258" i="2" s="1"/>
  <c r="J251" i="2"/>
  <c r="P251" i="2" s="1"/>
  <c r="J243" i="2"/>
  <c r="P243" i="2" s="1"/>
  <c r="J235" i="2"/>
  <c r="P235" i="2" s="1"/>
  <c r="J227" i="2"/>
  <c r="P227" i="2" s="1"/>
  <c r="J219" i="2"/>
  <c r="P219" i="2" s="1"/>
  <c r="J301" i="2"/>
  <c r="P301" i="2" s="1"/>
  <c r="J285" i="2"/>
  <c r="P285" i="2" s="1"/>
  <c r="J269" i="2"/>
  <c r="P269" i="2" s="1"/>
  <c r="J254" i="2"/>
  <c r="P254" i="2" s="1"/>
  <c r="J246" i="2"/>
  <c r="P246" i="2" s="1"/>
  <c r="J238" i="2"/>
  <c r="P238" i="2" s="1"/>
  <c r="J230" i="2"/>
  <c r="P230" i="2" s="1"/>
  <c r="J222" i="2"/>
  <c r="P222" i="2" s="1"/>
  <c r="J214" i="2"/>
  <c r="P214" i="2" s="1"/>
  <c r="J249" i="2"/>
  <c r="P249" i="2" s="1"/>
  <c r="J241" i="2"/>
  <c r="P241" i="2" s="1"/>
  <c r="J233" i="2"/>
  <c r="P233" i="2" s="1"/>
  <c r="J225" i="2"/>
  <c r="P225" i="2" s="1"/>
  <c r="J217" i="2"/>
  <c r="P217" i="2" s="1"/>
  <c r="J252" i="2"/>
  <c r="P252" i="2" s="1"/>
  <c r="J244" i="2"/>
  <c r="P244" i="2" s="1"/>
  <c r="J236" i="2"/>
  <c r="P236" i="2" s="1"/>
  <c r="J228" i="2"/>
  <c r="P228" i="2" s="1"/>
  <c r="J220" i="2"/>
  <c r="P220" i="2" s="1"/>
  <c r="J212" i="2"/>
  <c r="P212" i="2" s="1"/>
  <c r="J255" i="2"/>
  <c r="P255" i="2" s="1"/>
  <c r="J247" i="2"/>
  <c r="P247" i="2" s="1"/>
  <c r="J239" i="2"/>
  <c r="P239" i="2" s="1"/>
  <c r="J231" i="2"/>
  <c r="P231" i="2" s="1"/>
  <c r="J223" i="2"/>
  <c r="P223" i="2" s="1"/>
  <c r="J215" i="2"/>
  <c r="P215" i="2" s="1"/>
  <c r="J293" i="2"/>
  <c r="P293" i="2" s="1"/>
  <c r="J277" i="2"/>
  <c r="P277" i="2" s="1"/>
  <c r="J261" i="2"/>
  <c r="P261" i="2" s="1"/>
  <c r="J250" i="2"/>
  <c r="P250" i="2" s="1"/>
  <c r="J242" i="2"/>
  <c r="P242" i="2" s="1"/>
  <c r="J234" i="2"/>
  <c r="P234" i="2" s="1"/>
  <c r="J226" i="2"/>
  <c r="P226" i="2" s="1"/>
  <c r="J218" i="2"/>
  <c r="P218" i="2" s="1"/>
  <c r="J253" i="2"/>
  <c r="P253" i="2" s="1"/>
  <c r="J245" i="2"/>
  <c r="P245" i="2" s="1"/>
  <c r="J237" i="2"/>
  <c r="P237" i="2" s="1"/>
  <c r="J229" i="2"/>
  <c r="P229" i="2" s="1"/>
  <c r="J221" i="2"/>
  <c r="P221" i="2" s="1"/>
  <c r="J213" i="2"/>
  <c r="P213" i="2" s="1"/>
  <c r="J256" i="2"/>
  <c r="P256" i="2" s="1"/>
  <c r="J248" i="2"/>
  <c r="P248" i="2" s="1"/>
  <c r="J240" i="2"/>
  <c r="P240" i="2" s="1"/>
  <c r="J232" i="2"/>
  <c r="P232" i="2" s="1"/>
  <c r="J224" i="2"/>
  <c r="P224" i="2" s="1"/>
  <c r="J216" i="2"/>
  <c r="P216" i="2" s="1"/>
  <c r="J209" i="2"/>
  <c r="P209" i="2" s="1"/>
  <c r="J201" i="2"/>
  <c r="P201" i="2" s="1"/>
  <c r="J193" i="2"/>
  <c r="P193" i="2" s="1"/>
  <c r="J185" i="2"/>
  <c r="P185" i="2" s="1"/>
  <c r="J177" i="2"/>
  <c r="P177" i="2" s="1"/>
  <c r="J169" i="2"/>
  <c r="P169" i="2" s="1"/>
  <c r="J161" i="2"/>
  <c r="P161" i="2" s="1"/>
  <c r="J204" i="2"/>
  <c r="P204" i="2" s="1"/>
  <c r="J196" i="2"/>
  <c r="P196" i="2" s="1"/>
  <c r="J188" i="2"/>
  <c r="P188" i="2" s="1"/>
  <c r="J180" i="2"/>
  <c r="P180" i="2" s="1"/>
  <c r="J172" i="2"/>
  <c r="P172" i="2" s="1"/>
  <c r="J164" i="2"/>
  <c r="P164" i="2" s="1"/>
  <c r="J207" i="2"/>
  <c r="P207" i="2" s="1"/>
  <c r="J199" i="2"/>
  <c r="P199" i="2" s="1"/>
  <c r="J191" i="2"/>
  <c r="P191" i="2" s="1"/>
  <c r="J183" i="2"/>
  <c r="P183" i="2" s="1"/>
  <c r="J175" i="2"/>
  <c r="P175" i="2" s="1"/>
  <c r="J167" i="2"/>
  <c r="P167" i="2" s="1"/>
  <c r="J159" i="2"/>
  <c r="P159" i="2" s="1"/>
  <c r="J210" i="2"/>
  <c r="P210" i="2" s="1"/>
  <c r="J202" i="2"/>
  <c r="P202" i="2" s="1"/>
  <c r="J194" i="2"/>
  <c r="P194" i="2" s="1"/>
  <c r="J186" i="2"/>
  <c r="P186" i="2" s="1"/>
  <c r="J178" i="2"/>
  <c r="P178" i="2" s="1"/>
  <c r="J170" i="2"/>
  <c r="P170" i="2" s="1"/>
  <c r="J162" i="2"/>
  <c r="P162" i="2" s="1"/>
  <c r="J205" i="2"/>
  <c r="P205" i="2" s="1"/>
  <c r="J197" i="2"/>
  <c r="P197" i="2" s="1"/>
  <c r="J189" i="2"/>
  <c r="P189" i="2" s="1"/>
  <c r="J181" i="2"/>
  <c r="P181" i="2" s="1"/>
  <c r="J173" i="2"/>
  <c r="P173" i="2" s="1"/>
  <c r="J165" i="2"/>
  <c r="P165" i="2" s="1"/>
  <c r="J208" i="2"/>
  <c r="P208" i="2" s="1"/>
  <c r="J200" i="2"/>
  <c r="P200" i="2" s="1"/>
  <c r="J192" i="2"/>
  <c r="P192" i="2" s="1"/>
  <c r="J184" i="2"/>
  <c r="P184" i="2" s="1"/>
  <c r="J176" i="2"/>
  <c r="P176" i="2" s="1"/>
  <c r="J168" i="2"/>
  <c r="P168" i="2" s="1"/>
  <c r="S168" i="2" s="1"/>
  <c r="V168" i="2" s="1"/>
  <c r="J160" i="2"/>
  <c r="P160" i="2" s="1"/>
  <c r="J211" i="2"/>
  <c r="P211" i="2" s="1"/>
  <c r="J203" i="2"/>
  <c r="P203" i="2" s="1"/>
  <c r="J195" i="2"/>
  <c r="P195" i="2" s="1"/>
  <c r="J187" i="2"/>
  <c r="P187" i="2" s="1"/>
  <c r="J179" i="2"/>
  <c r="P179" i="2" s="1"/>
  <c r="J171" i="2"/>
  <c r="P171" i="2" s="1"/>
  <c r="J163" i="2"/>
  <c r="P163" i="2" s="1"/>
  <c r="S163" i="2" s="1"/>
  <c r="V163" i="2" s="1"/>
  <c r="J206" i="2"/>
  <c r="P206" i="2" s="1"/>
  <c r="J198" i="2"/>
  <c r="P198" i="2" s="1"/>
  <c r="J190" i="2"/>
  <c r="P190" i="2" s="1"/>
  <c r="J182" i="2"/>
  <c r="P182" i="2" s="1"/>
  <c r="J174" i="2"/>
  <c r="P174" i="2" s="1"/>
  <c r="J166" i="2"/>
  <c r="P166" i="2" s="1"/>
  <c r="J157" i="2"/>
  <c r="P157" i="2" s="1"/>
  <c r="J149" i="2"/>
  <c r="P149" i="2" s="1"/>
  <c r="J141" i="2"/>
  <c r="P141" i="2" s="1"/>
  <c r="J133" i="2"/>
  <c r="P133" i="2" s="1"/>
  <c r="J125" i="2"/>
  <c r="P125" i="2" s="1"/>
  <c r="J117" i="2"/>
  <c r="P117" i="2" s="1"/>
  <c r="J109" i="2"/>
  <c r="P109" i="2" s="1"/>
  <c r="J152" i="2"/>
  <c r="P152" i="2" s="1"/>
  <c r="J144" i="2"/>
  <c r="P144" i="2" s="1"/>
  <c r="J136" i="2"/>
  <c r="P136" i="2" s="1"/>
  <c r="J128" i="2"/>
  <c r="P128" i="2" s="1"/>
  <c r="J120" i="2"/>
  <c r="P120" i="2" s="1"/>
  <c r="J112" i="2"/>
  <c r="P112" i="2" s="1"/>
  <c r="J155" i="2"/>
  <c r="P155" i="2" s="1"/>
  <c r="J147" i="2"/>
  <c r="P147" i="2" s="1"/>
  <c r="J139" i="2"/>
  <c r="P139" i="2" s="1"/>
  <c r="J131" i="2"/>
  <c r="P131" i="2" s="1"/>
  <c r="J123" i="2"/>
  <c r="P123" i="2" s="1"/>
  <c r="J115" i="2"/>
  <c r="P115" i="2" s="1"/>
  <c r="J107" i="2"/>
  <c r="P107" i="2" s="1"/>
  <c r="J158" i="2"/>
  <c r="P158" i="2" s="1"/>
  <c r="J150" i="2"/>
  <c r="P150" i="2" s="1"/>
  <c r="J142" i="2"/>
  <c r="P142" i="2" s="1"/>
  <c r="J134" i="2"/>
  <c r="P134" i="2" s="1"/>
  <c r="J126" i="2"/>
  <c r="P126" i="2" s="1"/>
  <c r="J118" i="2"/>
  <c r="P118" i="2" s="1"/>
  <c r="S118" i="2" s="1"/>
  <c r="V118" i="2" s="1"/>
  <c r="J110" i="2"/>
  <c r="P110" i="2" s="1"/>
  <c r="J153" i="2"/>
  <c r="P153" i="2" s="1"/>
  <c r="J145" i="2"/>
  <c r="P145" i="2" s="1"/>
  <c r="J137" i="2"/>
  <c r="P137" i="2" s="1"/>
  <c r="J129" i="2"/>
  <c r="P129" i="2" s="1"/>
  <c r="J121" i="2"/>
  <c r="P121" i="2" s="1"/>
  <c r="J113" i="2"/>
  <c r="P113" i="2" s="1"/>
  <c r="J156" i="2"/>
  <c r="P156" i="2" s="1"/>
  <c r="S156" i="2" s="1"/>
  <c r="V156" i="2" s="1"/>
  <c r="J148" i="2"/>
  <c r="P148" i="2" s="1"/>
  <c r="J140" i="2"/>
  <c r="P140" i="2" s="1"/>
  <c r="J132" i="2"/>
  <c r="P132" i="2" s="1"/>
  <c r="J124" i="2"/>
  <c r="P124" i="2" s="1"/>
  <c r="J116" i="2"/>
  <c r="P116" i="2" s="1"/>
  <c r="J108" i="2"/>
  <c r="P108" i="2" s="1"/>
  <c r="J151" i="2"/>
  <c r="P151" i="2" s="1"/>
  <c r="J143" i="2"/>
  <c r="P143" i="2" s="1"/>
  <c r="S143" i="2" s="1"/>
  <c r="V143" i="2" s="1"/>
  <c r="J135" i="2"/>
  <c r="P135" i="2" s="1"/>
  <c r="J127" i="2"/>
  <c r="P127" i="2" s="1"/>
  <c r="J119" i="2"/>
  <c r="P119" i="2" s="1"/>
  <c r="J111" i="2"/>
  <c r="P111" i="2" s="1"/>
  <c r="J154" i="2"/>
  <c r="P154" i="2" s="1"/>
  <c r="J146" i="2"/>
  <c r="P146" i="2" s="1"/>
  <c r="J138" i="2"/>
  <c r="P138" i="2" s="1"/>
  <c r="J130" i="2"/>
  <c r="P130" i="2" s="1"/>
  <c r="S130" i="2" s="1"/>
  <c r="V130" i="2" s="1"/>
  <c r="J122" i="2"/>
  <c r="P122" i="2" s="1"/>
  <c r="J114" i="2"/>
  <c r="P114" i="2" s="1"/>
  <c r="J104" i="2"/>
  <c r="P104" i="2" s="1"/>
  <c r="J96" i="2"/>
  <c r="P96" i="2" s="1"/>
  <c r="J88" i="2"/>
  <c r="P88" i="2" s="1"/>
  <c r="J80" i="2"/>
  <c r="P80" i="2" s="1"/>
  <c r="J72" i="2"/>
  <c r="P72" i="2" s="1"/>
  <c r="J64" i="2"/>
  <c r="P64" i="2" s="1"/>
  <c r="J99" i="2"/>
  <c r="P99" i="2" s="1"/>
  <c r="J91" i="2"/>
  <c r="P91" i="2" s="1"/>
  <c r="J83" i="2"/>
  <c r="P83" i="2" s="1"/>
  <c r="J75" i="2"/>
  <c r="P75" i="2" s="1"/>
  <c r="J67" i="2"/>
  <c r="P67" i="2" s="1"/>
  <c r="J59" i="2"/>
  <c r="P59" i="2" s="1"/>
  <c r="J102" i="2"/>
  <c r="P102" i="2" s="1"/>
  <c r="J94" i="2"/>
  <c r="P94" i="2" s="1"/>
  <c r="J86" i="2"/>
  <c r="P86" i="2" s="1"/>
  <c r="J78" i="2"/>
  <c r="P78" i="2" s="1"/>
  <c r="J70" i="2"/>
  <c r="P70" i="2" s="1"/>
  <c r="J62" i="2"/>
  <c r="P62" i="2" s="1"/>
  <c r="J54" i="2"/>
  <c r="P54" i="2" s="1"/>
  <c r="J105" i="2"/>
  <c r="P105" i="2" s="1"/>
  <c r="J97" i="2"/>
  <c r="P97" i="2" s="1"/>
  <c r="J89" i="2"/>
  <c r="P89" i="2" s="1"/>
  <c r="J81" i="2"/>
  <c r="P81" i="2" s="1"/>
  <c r="J73" i="2"/>
  <c r="P73" i="2" s="1"/>
  <c r="J65" i="2"/>
  <c r="P65" i="2" s="1"/>
  <c r="J57" i="2"/>
  <c r="P57" i="2" s="1"/>
  <c r="J100" i="2"/>
  <c r="P100" i="2" s="1"/>
  <c r="J92" i="2"/>
  <c r="P92" i="2" s="1"/>
  <c r="J84" i="2"/>
  <c r="P84" i="2" s="1"/>
  <c r="J76" i="2"/>
  <c r="P76" i="2" s="1"/>
  <c r="J68" i="2"/>
  <c r="P68" i="2" s="1"/>
  <c r="J60" i="2"/>
  <c r="P60" i="2" s="1"/>
  <c r="J103" i="2"/>
  <c r="P103" i="2" s="1"/>
  <c r="J95" i="2"/>
  <c r="P95" i="2" s="1"/>
  <c r="J87" i="2"/>
  <c r="P87" i="2" s="1"/>
  <c r="J79" i="2"/>
  <c r="P79" i="2" s="1"/>
  <c r="J71" i="2"/>
  <c r="P71" i="2" s="1"/>
  <c r="J63" i="2"/>
  <c r="P63" i="2" s="1"/>
  <c r="J55" i="2"/>
  <c r="P55" i="2" s="1"/>
  <c r="J106" i="2"/>
  <c r="P106" i="2" s="1"/>
  <c r="J98" i="2"/>
  <c r="P98" i="2" s="1"/>
  <c r="J90" i="2"/>
  <c r="P90" i="2" s="1"/>
  <c r="J82" i="2"/>
  <c r="P82" i="2" s="1"/>
  <c r="J74" i="2"/>
  <c r="P74" i="2" s="1"/>
  <c r="J66" i="2"/>
  <c r="P66" i="2" s="1"/>
  <c r="J58" i="2"/>
  <c r="P58" i="2" s="1"/>
  <c r="J101" i="2"/>
  <c r="P101" i="2" s="1"/>
  <c r="J93" i="2"/>
  <c r="P93" i="2" s="1"/>
  <c r="J85" i="2"/>
  <c r="P85" i="2" s="1"/>
  <c r="J77" i="2"/>
  <c r="P77" i="2" s="1"/>
  <c r="J69" i="2"/>
  <c r="P69" i="2" s="1"/>
  <c r="J61" i="2"/>
  <c r="P61" i="2" s="1"/>
  <c r="I12" i="2"/>
  <c r="O12" i="2" s="1"/>
  <c r="L13" i="2"/>
  <c r="R13" i="2" s="1"/>
  <c r="J15" i="2"/>
  <c r="P15" i="2" s="1"/>
  <c r="K18" i="2"/>
  <c r="Q18" i="2" s="1"/>
  <c r="I20" i="2"/>
  <c r="O20" i="2" s="1"/>
  <c r="L21" i="2"/>
  <c r="R21" i="2" s="1"/>
  <c r="J23" i="2"/>
  <c r="P23" i="2" s="1"/>
  <c r="K26" i="2"/>
  <c r="Q26" i="2" s="1"/>
  <c r="I28" i="2"/>
  <c r="O28" i="2" s="1"/>
  <c r="L29" i="2"/>
  <c r="R29" i="2" s="1"/>
  <c r="J31" i="2"/>
  <c r="P31" i="2" s="1"/>
  <c r="K34" i="2"/>
  <c r="Q34" i="2" s="1"/>
  <c r="I36" i="2"/>
  <c r="O36" i="2" s="1"/>
  <c r="L37" i="2"/>
  <c r="R37" i="2" s="1"/>
  <c r="J39" i="2"/>
  <c r="P39" i="2" s="1"/>
  <c r="K42" i="2"/>
  <c r="Q42" i="2" s="1"/>
  <c r="I44" i="2"/>
  <c r="O44" i="2" s="1"/>
  <c r="L45" i="2"/>
  <c r="R45" i="2" s="1"/>
  <c r="J47" i="2"/>
  <c r="P47" i="2" s="1"/>
  <c r="I52" i="2"/>
  <c r="O52" i="2" s="1"/>
  <c r="L53" i="2"/>
  <c r="R53" i="2" s="1"/>
  <c r="K390" i="2"/>
  <c r="Q390" i="2" s="1"/>
  <c r="K385" i="2"/>
  <c r="Q385" i="2" s="1"/>
  <c r="K377" i="2"/>
  <c r="Q377" i="2" s="1"/>
  <c r="K388" i="2"/>
  <c r="Q388" i="2" s="1"/>
  <c r="K380" i="2"/>
  <c r="Q380" i="2" s="1"/>
  <c r="S380" i="2" s="1"/>
  <c r="V380" i="2" s="1"/>
  <c r="K372" i="2"/>
  <c r="Q372" i="2" s="1"/>
  <c r="K364" i="2"/>
  <c r="Q364" i="2" s="1"/>
  <c r="K356" i="2"/>
  <c r="Q356" i="2" s="1"/>
  <c r="K348" i="2"/>
  <c r="Q348" i="2" s="1"/>
  <c r="K340" i="2"/>
  <c r="Q340" i="2" s="1"/>
  <c r="K383" i="2"/>
  <c r="Q383" i="2" s="1"/>
  <c r="K375" i="2"/>
  <c r="Q375" i="2" s="1"/>
  <c r="K367" i="2"/>
  <c r="Q367" i="2" s="1"/>
  <c r="K359" i="2"/>
  <c r="Q359" i="2" s="1"/>
  <c r="K351" i="2"/>
  <c r="Q351" i="2" s="1"/>
  <c r="K343" i="2"/>
  <c r="Q343" i="2" s="1"/>
  <c r="K335" i="2"/>
  <c r="Q335" i="2" s="1"/>
  <c r="K386" i="2"/>
  <c r="Q386" i="2" s="1"/>
  <c r="K378" i="2"/>
  <c r="Q378" i="2" s="1"/>
  <c r="K370" i="2"/>
  <c r="Q370" i="2" s="1"/>
  <c r="K362" i="2"/>
  <c r="Q362" i="2" s="1"/>
  <c r="K354" i="2"/>
  <c r="Q354" i="2" s="1"/>
  <c r="K346" i="2"/>
  <c r="Q346" i="2" s="1"/>
  <c r="K338" i="2"/>
  <c r="Q338" i="2" s="1"/>
  <c r="K389" i="2"/>
  <c r="Q389" i="2" s="1"/>
  <c r="K381" i="2"/>
  <c r="Q381" i="2" s="1"/>
  <c r="K373" i="2"/>
  <c r="Q373" i="2" s="1"/>
  <c r="K365" i="2"/>
  <c r="Q365" i="2" s="1"/>
  <c r="K357" i="2"/>
  <c r="Q357" i="2" s="1"/>
  <c r="K349" i="2"/>
  <c r="Q349" i="2" s="1"/>
  <c r="K341" i="2"/>
  <c r="Q341" i="2" s="1"/>
  <c r="K371" i="2"/>
  <c r="Q371" i="2" s="1"/>
  <c r="K363" i="2"/>
  <c r="Q363" i="2" s="1"/>
  <c r="K355" i="2"/>
  <c r="Q355" i="2" s="1"/>
  <c r="K347" i="2"/>
  <c r="Q347" i="2" s="1"/>
  <c r="K339" i="2"/>
  <c r="Q339" i="2" s="1"/>
  <c r="K329" i="2"/>
  <c r="Q329" i="2" s="1"/>
  <c r="K332" i="2"/>
  <c r="Q332" i="2" s="1"/>
  <c r="K324" i="2"/>
  <c r="Q324" i="2" s="1"/>
  <c r="K316" i="2"/>
  <c r="Q316" i="2" s="1"/>
  <c r="K327" i="2"/>
  <c r="Q327" i="2" s="1"/>
  <c r="K319" i="2"/>
  <c r="Q319" i="2" s="1"/>
  <c r="K311" i="2"/>
  <c r="Q311" i="2" s="1"/>
  <c r="K387" i="2"/>
  <c r="Q387" i="2" s="1"/>
  <c r="K384" i="2"/>
  <c r="Q384" i="2" s="1"/>
  <c r="K374" i="2"/>
  <c r="Q374" i="2" s="1"/>
  <c r="K366" i="2"/>
  <c r="Q366" i="2" s="1"/>
  <c r="K358" i="2"/>
  <c r="Q358" i="2" s="1"/>
  <c r="K350" i="2"/>
  <c r="Q350" i="2" s="1"/>
  <c r="K342" i="2"/>
  <c r="Q342" i="2" s="1"/>
  <c r="K330" i="2"/>
  <c r="Q330" i="2" s="1"/>
  <c r="K322" i="2"/>
  <c r="Q322" i="2" s="1"/>
  <c r="K314" i="2"/>
  <c r="Q314" i="2" s="1"/>
  <c r="K333" i="2"/>
  <c r="Q333" i="2" s="1"/>
  <c r="K325" i="2"/>
  <c r="Q325" i="2" s="1"/>
  <c r="K317" i="2"/>
  <c r="Q317" i="2" s="1"/>
  <c r="K368" i="2"/>
  <c r="Q368" i="2" s="1"/>
  <c r="K360" i="2"/>
  <c r="Q360" i="2" s="1"/>
  <c r="K352" i="2"/>
  <c r="Q352" i="2" s="1"/>
  <c r="K344" i="2"/>
  <c r="Q344" i="2" s="1"/>
  <c r="K328" i="2"/>
  <c r="Q328" i="2" s="1"/>
  <c r="S328" i="2" s="1"/>
  <c r="V328" i="2" s="1"/>
  <c r="K320" i="2"/>
  <c r="Q320" i="2" s="1"/>
  <c r="K312" i="2"/>
  <c r="Q312" i="2" s="1"/>
  <c r="K336" i="2"/>
  <c r="Q336" i="2" s="1"/>
  <c r="K331" i="2"/>
  <c r="Q331" i="2" s="1"/>
  <c r="K323" i="2"/>
  <c r="Q323" i="2" s="1"/>
  <c r="K315" i="2"/>
  <c r="Q315" i="2" s="1"/>
  <c r="K382" i="2"/>
  <c r="Q382" i="2" s="1"/>
  <c r="K379" i="2"/>
  <c r="Q379" i="2" s="1"/>
  <c r="K376" i="2"/>
  <c r="Q376" i="2" s="1"/>
  <c r="K369" i="2"/>
  <c r="Q369" i="2" s="1"/>
  <c r="K361" i="2"/>
  <c r="Q361" i="2" s="1"/>
  <c r="K353" i="2"/>
  <c r="Q353" i="2" s="1"/>
  <c r="K345" i="2"/>
  <c r="Q345" i="2" s="1"/>
  <c r="K337" i="2"/>
  <c r="Q337" i="2" s="1"/>
  <c r="K334" i="2"/>
  <c r="Q334" i="2" s="1"/>
  <c r="K326" i="2"/>
  <c r="Q326" i="2" s="1"/>
  <c r="K318" i="2"/>
  <c r="Q318" i="2" s="1"/>
  <c r="K310" i="2"/>
  <c r="Q310" i="2" s="1"/>
  <c r="K307" i="2"/>
  <c r="Q307" i="2" s="1"/>
  <c r="K299" i="2"/>
  <c r="Q299" i="2" s="1"/>
  <c r="K291" i="2"/>
  <c r="Q291" i="2" s="1"/>
  <c r="K283" i="2"/>
  <c r="Q283" i="2" s="1"/>
  <c r="K275" i="2"/>
  <c r="Q275" i="2" s="1"/>
  <c r="K267" i="2"/>
  <c r="Q267" i="2" s="1"/>
  <c r="S267" i="2" s="1"/>
  <c r="V267" i="2" s="1"/>
  <c r="K259" i="2"/>
  <c r="Q259" i="2" s="1"/>
  <c r="K321" i="2"/>
  <c r="Q321" i="2" s="1"/>
  <c r="K302" i="2"/>
  <c r="Q302" i="2" s="1"/>
  <c r="K294" i="2"/>
  <c r="Q294" i="2" s="1"/>
  <c r="K286" i="2"/>
  <c r="Q286" i="2" s="1"/>
  <c r="K278" i="2"/>
  <c r="Q278" i="2" s="1"/>
  <c r="K270" i="2"/>
  <c r="Q270" i="2" s="1"/>
  <c r="K262" i="2"/>
  <c r="Q262" i="2" s="1"/>
  <c r="K305" i="2"/>
  <c r="Q305" i="2" s="1"/>
  <c r="K297" i="2"/>
  <c r="Q297" i="2" s="1"/>
  <c r="K289" i="2"/>
  <c r="Q289" i="2" s="1"/>
  <c r="K281" i="2"/>
  <c r="Q281" i="2" s="1"/>
  <c r="K273" i="2"/>
  <c r="Q273" i="2" s="1"/>
  <c r="K265" i="2"/>
  <c r="Q265" i="2" s="1"/>
  <c r="K257" i="2"/>
  <c r="Q257" i="2" s="1"/>
  <c r="K300" i="2"/>
  <c r="Q300" i="2" s="1"/>
  <c r="K292" i="2"/>
  <c r="Q292" i="2" s="1"/>
  <c r="K284" i="2"/>
  <c r="Q284" i="2" s="1"/>
  <c r="K276" i="2"/>
  <c r="Q276" i="2" s="1"/>
  <c r="K268" i="2"/>
  <c r="Q268" i="2" s="1"/>
  <c r="K260" i="2"/>
  <c r="Q260" i="2" s="1"/>
  <c r="K308" i="2"/>
  <c r="Q308" i="2" s="1"/>
  <c r="K303" i="2"/>
  <c r="Q303" i="2" s="1"/>
  <c r="K295" i="2"/>
  <c r="Q295" i="2" s="1"/>
  <c r="S295" i="2" s="1"/>
  <c r="V295" i="2" s="1"/>
  <c r="K287" i="2"/>
  <c r="Q287" i="2" s="1"/>
  <c r="K279" i="2"/>
  <c r="Q279" i="2" s="1"/>
  <c r="K271" i="2"/>
  <c r="Q271" i="2" s="1"/>
  <c r="K263" i="2"/>
  <c r="Q263" i="2" s="1"/>
  <c r="K306" i="2"/>
  <c r="Q306" i="2" s="1"/>
  <c r="K298" i="2"/>
  <c r="Q298" i="2" s="1"/>
  <c r="K290" i="2"/>
  <c r="Q290" i="2" s="1"/>
  <c r="K282" i="2"/>
  <c r="Q282" i="2" s="1"/>
  <c r="S282" i="2" s="1"/>
  <c r="V282" i="2" s="1"/>
  <c r="K274" i="2"/>
  <c r="Q274" i="2" s="1"/>
  <c r="K266" i="2"/>
  <c r="Q266" i="2" s="1"/>
  <c r="K258" i="2"/>
  <c r="Q258" i="2" s="1"/>
  <c r="K301" i="2"/>
  <c r="Q301" i="2" s="1"/>
  <c r="K293" i="2"/>
  <c r="Q293" i="2" s="1"/>
  <c r="K285" i="2"/>
  <c r="Q285" i="2" s="1"/>
  <c r="K277" i="2"/>
  <c r="Q277" i="2" s="1"/>
  <c r="K269" i="2"/>
  <c r="Q269" i="2" s="1"/>
  <c r="K261" i="2"/>
  <c r="Q261" i="2" s="1"/>
  <c r="K313" i="2"/>
  <c r="Q313" i="2" s="1"/>
  <c r="K254" i="2"/>
  <c r="Q254" i="2" s="1"/>
  <c r="K246" i="2"/>
  <c r="Q246" i="2" s="1"/>
  <c r="K238" i="2"/>
  <c r="Q238" i="2" s="1"/>
  <c r="K230" i="2"/>
  <c r="Q230" i="2" s="1"/>
  <c r="K222" i="2"/>
  <c r="Q222" i="2" s="1"/>
  <c r="K214" i="2"/>
  <c r="Q214" i="2" s="1"/>
  <c r="K249" i="2"/>
  <c r="Q249" i="2" s="1"/>
  <c r="K241" i="2"/>
  <c r="Q241" i="2" s="1"/>
  <c r="K233" i="2"/>
  <c r="Q233" i="2" s="1"/>
  <c r="K225" i="2"/>
  <c r="Q225" i="2" s="1"/>
  <c r="K217" i="2"/>
  <c r="Q217" i="2" s="1"/>
  <c r="K304" i="2"/>
  <c r="Q304" i="2" s="1"/>
  <c r="K288" i="2"/>
  <c r="Q288" i="2" s="1"/>
  <c r="K272" i="2"/>
  <c r="Q272" i="2" s="1"/>
  <c r="S272" i="2" s="1"/>
  <c r="V272" i="2" s="1"/>
  <c r="K252" i="2"/>
  <c r="Q252" i="2" s="1"/>
  <c r="K244" i="2"/>
  <c r="Q244" i="2" s="1"/>
  <c r="K236" i="2"/>
  <c r="Q236" i="2" s="1"/>
  <c r="K228" i="2"/>
  <c r="Q228" i="2" s="1"/>
  <c r="K220" i="2"/>
  <c r="Q220" i="2" s="1"/>
  <c r="K255" i="2"/>
  <c r="Q255" i="2" s="1"/>
  <c r="K247" i="2"/>
  <c r="Q247" i="2" s="1"/>
  <c r="K239" i="2"/>
  <c r="Q239" i="2" s="1"/>
  <c r="K231" i="2"/>
  <c r="Q231" i="2" s="1"/>
  <c r="K223" i="2"/>
  <c r="Q223" i="2" s="1"/>
  <c r="K215" i="2"/>
  <c r="Q215" i="2" s="1"/>
  <c r="K250" i="2"/>
  <c r="Q250" i="2" s="1"/>
  <c r="K242" i="2"/>
  <c r="Q242" i="2" s="1"/>
  <c r="K234" i="2"/>
  <c r="Q234" i="2" s="1"/>
  <c r="K226" i="2"/>
  <c r="Q226" i="2" s="1"/>
  <c r="K218" i="2"/>
  <c r="Q218" i="2" s="1"/>
  <c r="K253" i="2"/>
  <c r="Q253" i="2" s="1"/>
  <c r="K245" i="2"/>
  <c r="Q245" i="2" s="1"/>
  <c r="K237" i="2"/>
  <c r="Q237" i="2" s="1"/>
  <c r="K229" i="2"/>
  <c r="Q229" i="2" s="1"/>
  <c r="K221" i="2"/>
  <c r="Q221" i="2" s="1"/>
  <c r="K213" i="2"/>
  <c r="Q213" i="2" s="1"/>
  <c r="K309" i="2"/>
  <c r="Q309" i="2" s="1"/>
  <c r="K296" i="2"/>
  <c r="Q296" i="2" s="1"/>
  <c r="K280" i="2"/>
  <c r="Q280" i="2" s="1"/>
  <c r="K264" i="2"/>
  <c r="Q264" i="2" s="1"/>
  <c r="K256" i="2"/>
  <c r="Q256" i="2" s="1"/>
  <c r="K248" i="2"/>
  <c r="Q248" i="2" s="1"/>
  <c r="K240" i="2"/>
  <c r="Q240" i="2" s="1"/>
  <c r="K232" i="2"/>
  <c r="Q232" i="2" s="1"/>
  <c r="K224" i="2"/>
  <c r="Q224" i="2" s="1"/>
  <c r="K216" i="2"/>
  <c r="Q216" i="2" s="1"/>
  <c r="S216" i="2" s="1"/>
  <c r="V216" i="2" s="1"/>
  <c r="K251" i="2"/>
  <c r="Q251" i="2" s="1"/>
  <c r="K243" i="2"/>
  <c r="Q243" i="2" s="1"/>
  <c r="K235" i="2"/>
  <c r="Q235" i="2" s="1"/>
  <c r="K227" i="2"/>
  <c r="Q227" i="2" s="1"/>
  <c r="K219" i="2"/>
  <c r="Q219" i="2" s="1"/>
  <c r="K204" i="2"/>
  <c r="Q204" i="2" s="1"/>
  <c r="K196" i="2"/>
  <c r="Q196" i="2" s="1"/>
  <c r="K188" i="2"/>
  <c r="Q188" i="2" s="1"/>
  <c r="S188" i="2" s="1"/>
  <c r="V188" i="2" s="1"/>
  <c r="K180" i="2"/>
  <c r="Q180" i="2" s="1"/>
  <c r="K172" i="2"/>
  <c r="Q172" i="2" s="1"/>
  <c r="K164" i="2"/>
  <c r="Q164" i="2" s="1"/>
  <c r="K207" i="2"/>
  <c r="Q207" i="2" s="1"/>
  <c r="K199" i="2"/>
  <c r="Q199" i="2" s="1"/>
  <c r="K191" i="2"/>
  <c r="Q191" i="2" s="1"/>
  <c r="K183" i="2"/>
  <c r="Q183" i="2" s="1"/>
  <c r="K175" i="2"/>
  <c r="Q175" i="2" s="1"/>
  <c r="K167" i="2"/>
  <c r="Q167" i="2" s="1"/>
  <c r="K159" i="2"/>
  <c r="Q159" i="2" s="1"/>
  <c r="K210" i="2"/>
  <c r="Q210" i="2" s="1"/>
  <c r="K202" i="2"/>
  <c r="Q202" i="2" s="1"/>
  <c r="K194" i="2"/>
  <c r="Q194" i="2" s="1"/>
  <c r="K186" i="2"/>
  <c r="Q186" i="2" s="1"/>
  <c r="K178" i="2"/>
  <c r="Q178" i="2" s="1"/>
  <c r="K170" i="2"/>
  <c r="Q170" i="2" s="1"/>
  <c r="S170" i="2" s="1"/>
  <c r="V170" i="2" s="1"/>
  <c r="K162" i="2"/>
  <c r="Q162" i="2" s="1"/>
  <c r="K212" i="2"/>
  <c r="Q212" i="2" s="1"/>
  <c r="K205" i="2"/>
  <c r="Q205" i="2" s="1"/>
  <c r="K197" i="2"/>
  <c r="Q197" i="2" s="1"/>
  <c r="K189" i="2"/>
  <c r="Q189" i="2" s="1"/>
  <c r="K181" i="2"/>
  <c r="Q181" i="2" s="1"/>
  <c r="K173" i="2"/>
  <c r="Q173" i="2" s="1"/>
  <c r="K165" i="2"/>
  <c r="Q165" i="2" s="1"/>
  <c r="K208" i="2"/>
  <c r="Q208" i="2" s="1"/>
  <c r="K200" i="2"/>
  <c r="Q200" i="2" s="1"/>
  <c r="K192" i="2"/>
  <c r="Q192" i="2" s="1"/>
  <c r="K184" i="2"/>
  <c r="Q184" i="2" s="1"/>
  <c r="K176" i="2"/>
  <c r="Q176" i="2" s="1"/>
  <c r="K168" i="2"/>
  <c r="Q168" i="2" s="1"/>
  <c r="K160" i="2"/>
  <c r="Q160" i="2" s="1"/>
  <c r="K211" i="2"/>
  <c r="Q211" i="2" s="1"/>
  <c r="K203" i="2"/>
  <c r="Q203" i="2" s="1"/>
  <c r="K195" i="2"/>
  <c r="Q195" i="2" s="1"/>
  <c r="K187" i="2"/>
  <c r="Q187" i="2" s="1"/>
  <c r="K179" i="2"/>
  <c r="Q179" i="2" s="1"/>
  <c r="K171" i="2"/>
  <c r="Q171" i="2" s="1"/>
  <c r="K163" i="2"/>
  <c r="Q163" i="2" s="1"/>
  <c r="K206" i="2"/>
  <c r="Q206" i="2" s="1"/>
  <c r="K198" i="2"/>
  <c r="Q198" i="2" s="1"/>
  <c r="S198" i="2" s="1"/>
  <c r="V198" i="2" s="1"/>
  <c r="K190" i="2"/>
  <c r="Q190" i="2" s="1"/>
  <c r="K182" i="2"/>
  <c r="Q182" i="2" s="1"/>
  <c r="K174" i="2"/>
  <c r="Q174" i="2" s="1"/>
  <c r="K166" i="2"/>
  <c r="Q166" i="2" s="1"/>
  <c r="K209" i="2"/>
  <c r="Q209" i="2" s="1"/>
  <c r="K201" i="2"/>
  <c r="Q201" i="2" s="1"/>
  <c r="K193" i="2"/>
  <c r="Q193" i="2" s="1"/>
  <c r="K185" i="2"/>
  <c r="Q185" i="2" s="1"/>
  <c r="K177" i="2"/>
  <c r="Q177" i="2" s="1"/>
  <c r="K169" i="2"/>
  <c r="Q169" i="2" s="1"/>
  <c r="K161" i="2"/>
  <c r="Q161" i="2" s="1"/>
  <c r="K152" i="2"/>
  <c r="Q152" i="2" s="1"/>
  <c r="K144" i="2"/>
  <c r="Q144" i="2" s="1"/>
  <c r="K136" i="2"/>
  <c r="Q136" i="2" s="1"/>
  <c r="K128" i="2"/>
  <c r="Q128" i="2" s="1"/>
  <c r="K120" i="2"/>
  <c r="Q120" i="2" s="1"/>
  <c r="K112" i="2"/>
  <c r="Q112" i="2" s="1"/>
  <c r="K155" i="2"/>
  <c r="Q155" i="2" s="1"/>
  <c r="K147" i="2"/>
  <c r="Q147" i="2" s="1"/>
  <c r="K139" i="2"/>
  <c r="Q139" i="2" s="1"/>
  <c r="K131" i="2"/>
  <c r="Q131" i="2" s="1"/>
  <c r="K123" i="2"/>
  <c r="Q123" i="2" s="1"/>
  <c r="K115" i="2"/>
  <c r="Q115" i="2" s="1"/>
  <c r="K107" i="2"/>
  <c r="Q107" i="2" s="1"/>
  <c r="S107" i="2" s="1"/>
  <c r="V107" i="2" s="1"/>
  <c r="K158" i="2"/>
  <c r="Q158" i="2" s="1"/>
  <c r="K150" i="2"/>
  <c r="Q150" i="2" s="1"/>
  <c r="K142" i="2"/>
  <c r="Q142" i="2" s="1"/>
  <c r="K134" i="2"/>
  <c r="Q134" i="2" s="1"/>
  <c r="K126" i="2"/>
  <c r="Q126" i="2" s="1"/>
  <c r="K118" i="2"/>
  <c r="Q118" i="2" s="1"/>
  <c r="K110" i="2"/>
  <c r="Q110" i="2" s="1"/>
  <c r="K153" i="2"/>
  <c r="Q153" i="2" s="1"/>
  <c r="K145" i="2"/>
  <c r="Q145" i="2" s="1"/>
  <c r="K137" i="2"/>
  <c r="Q137" i="2" s="1"/>
  <c r="K129" i="2"/>
  <c r="Q129" i="2" s="1"/>
  <c r="K121" i="2"/>
  <c r="Q121" i="2" s="1"/>
  <c r="K113" i="2"/>
  <c r="Q113" i="2" s="1"/>
  <c r="K156" i="2"/>
  <c r="Q156" i="2" s="1"/>
  <c r="K148" i="2"/>
  <c r="Q148" i="2" s="1"/>
  <c r="K140" i="2"/>
  <c r="Q140" i="2" s="1"/>
  <c r="S140" i="2" s="1"/>
  <c r="V140" i="2" s="1"/>
  <c r="K132" i="2"/>
  <c r="Q132" i="2" s="1"/>
  <c r="K124" i="2"/>
  <c r="Q124" i="2" s="1"/>
  <c r="K116" i="2"/>
  <c r="Q116" i="2" s="1"/>
  <c r="K108" i="2"/>
  <c r="Q108" i="2" s="1"/>
  <c r="K151" i="2"/>
  <c r="Q151" i="2" s="1"/>
  <c r="K143" i="2"/>
  <c r="Q143" i="2" s="1"/>
  <c r="K135" i="2"/>
  <c r="Q135" i="2" s="1"/>
  <c r="K127" i="2"/>
  <c r="Q127" i="2" s="1"/>
  <c r="S127" i="2" s="1"/>
  <c r="V127" i="2" s="1"/>
  <c r="K119" i="2"/>
  <c r="Q119" i="2" s="1"/>
  <c r="K111" i="2"/>
  <c r="Q111" i="2" s="1"/>
  <c r="K154" i="2"/>
  <c r="Q154" i="2" s="1"/>
  <c r="K146" i="2"/>
  <c r="Q146" i="2" s="1"/>
  <c r="K138" i="2"/>
  <c r="Q138" i="2" s="1"/>
  <c r="K130" i="2"/>
  <c r="Q130" i="2" s="1"/>
  <c r="K122" i="2"/>
  <c r="Q122" i="2" s="1"/>
  <c r="K114" i="2"/>
  <c r="Q114" i="2" s="1"/>
  <c r="S114" i="2" s="1"/>
  <c r="V114" i="2" s="1"/>
  <c r="K157" i="2"/>
  <c r="Q157" i="2" s="1"/>
  <c r="K149" i="2"/>
  <c r="Q149" i="2" s="1"/>
  <c r="K141" i="2"/>
  <c r="Q141" i="2" s="1"/>
  <c r="K133" i="2"/>
  <c r="Q133" i="2" s="1"/>
  <c r="K125" i="2"/>
  <c r="Q125" i="2" s="1"/>
  <c r="K117" i="2"/>
  <c r="Q117" i="2" s="1"/>
  <c r="K109" i="2"/>
  <c r="Q109" i="2" s="1"/>
  <c r="K99" i="2"/>
  <c r="Q99" i="2" s="1"/>
  <c r="K91" i="2"/>
  <c r="Q91" i="2" s="1"/>
  <c r="K83" i="2"/>
  <c r="Q83" i="2" s="1"/>
  <c r="K75" i="2"/>
  <c r="Q75" i="2" s="1"/>
  <c r="K67" i="2"/>
  <c r="Q67" i="2" s="1"/>
  <c r="K59" i="2"/>
  <c r="Q59" i="2" s="1"/>
  <c r="K102" i="2"/>
  <c r="Q102" i="2" s="1"/>
  <c r="K94" i="2"/>
  <c r="Q94" i="2" s="1"/>
  <c r="K86" i="2"/>
  <c r="Q86" i="2" s="1"/>
  <c r="K78" i="2"/>
  <c r="Q78" i="2" s="1"/>
  <c r="K70" i="2"/>
  <c r="Q70" i="2" s="1"/>
  <c r="K62" i="2"/>
  <c r="Q62" i="2" s="1"/>
  <c r="K54" i="2"/>
  <c r="Q54" i="2" s="1"/>
  <c r="K105" i="2"/>
  <c r="Q105" i="2" s="1"/>
  <c r="K97" i="2"/>
  <c r="Q97" i="2" s="1"/>
  <c r="K89" i="2"/>
  <c r="Q89" i="2" s="1"/>
  <c r="K81" i="2"/>
  <c r="Q81" i="2" s="1"/>
  <c r="K73" i="2"/>
  <c r="Q73" i="2" s="1"/>
  <c r="K65" i="2"/>
  <c r="Q65" i="2" s="1"/>
  <c r="K57" i="2"/>
  <c r="Q57" i="2" s="1"/>
  <c r="K100" i="2"/>
  <c r="Q100" i="2" s="1"/>
  <c r="K92" i="2"/>
  <c r="Q92" i="2" s="1"/>
  <c r="K84" i="2"/>
  <c r="Q84" i="2" s="1"/>
  <c r="K76" i="2"/>
  <c r="Q76" i="2" s="1"/>
  <c r="K68" i="2"/>
  <c r="Q68" i="2" s="1"/>
  <c r="K60" i="2"/>
  <c r="Q60" i="2" s="1"/>
  <c r="K103" i="2"/>
  <c r="Q103" i="2" s="1"/>
  <c r="K95" i="2"/>
  <c r="Q95" i="2" s="1"/>
  <c r="K87" i="2"/>
  <c r="Q87" i="2" s="1"/>
  <c r="K79" i="2"/>
  <c r="Q79" i="2" s="1"/>
  <c r="K71" i="2"/>
  <c r="Q71" i="2" s="1"/>
  <c r="K63" i="2"/>
  <c r="Q63" i="2" s="1"/>
  <c r="K106" i="2"/>
  <c r="Q106" i="2" s="1"/>
  <c r="K98" i="2"/>
  <c r="Q98" i="2" s="1"/>
  <c r="K90" i="2"/>
  <c r="Q90" i="2" s="1"/>
  <c r="K82" i="2"/>
  <c r="Q82" i="2" s="1"/>
  <c r="K74" i="2"/>
  <c r="Q74" i="2" s="1"/>
  <c r="K66" i="2"/>
  <c r="Q66" i="2" s="1"/>
  <c r="K58" i="2"/>
  <c r="Q58" i="2" s="1"/>
  <c r="K101" i="2"/>
  <c r="Q101" i="2" s="1"/>
  <c r="K93" i="2"/>
  <c r="Q93" i="2" s="1"/>
  <c r="S93" i="2" s="1"/>
  <c r="V93" i="2" s="1"/>
  <c r="K85" i="2"/>
  <c r="Q85" i="2" s="1"/>
  <c r="K77" i="2"/>
  <c r="Q77" i="2" s="1"/>
  <c r="K69" i="2"/>
  <c r="Q69" i="2" s="1"/>
  <c r="K61" i="2"/>
  <c r="Q61" i="2" s="1"/>
  <c r="K104" i="2"/>
  <c r="Q104" i="2" s="1"/>
  <c r="K96" i="2"/>
  <c r="Q96" i="2" s="1"/>
  <c r="K88" i="2"/>
  <c r="Q88" i="2" s="1"/>
  <c r="K80" i="2"/>
  <c r="Q80" i="2" s="1"/>
  <c r="K72" i="2"/>
  <c r="Q72" i="2" s="1"/>
  <c r="K64" i="2"/>
  <c r="Q64" i="2" s="1"/>
  <c r="K56" i="2"/>
  <c r="Q56" i="2" s="1"/>
  <c r="J12" i="2"/>
  <c r="P12" i="2" s="1"/>
  <c r="K15" i="2"/>
  <c r="Q15" i="2" s="1"/>
  <c r="I17" i="2"/>
  <c r="O17" i="2" s="1"/>
  <c r="L18" i="2"/>
  <c r="R18" i="2" s="1"/>
  <c r="J20" i="2"/>
  <c r="P20" i="2" s="1"/>
  <c r="K23" i="2"/>
  <c r="Q23" i="2" s="1"/>
  <c r="I25" i="2"/>
  <c r="O25" i="2" s="1"/>
  <c r="L26" i="2"/>
  <c r="R26" i="2" s="1"/>
  <c r="J28" i="2"/>
  <c r="P28" i="2" s="1"/>
  <c r="K31" i="2"/>
  <c r="Q31" i="2" s="1"/>
  <c r="I33" i="2"/>
  <c r="O33" i="2" s="1"/>
  <c r="L34" i="2"/>
  <c r="R34" i="2" s="1"/>
  <c r="J36" i="2"/>
  <c r="P36" i="2" s="1"/>
  <c r="K39" i="2"/>
  <c r="Q39" i="2" s="1"/>
  <c r="I41" i="2"/>
  <c r="O41" i="2" s="1"/>
  <c r="L42" i="2"/>
  <c r="R42" i="2" s="1"/>
  <c r="J44" i="2"/>
  <c r="P44" i="2" s="1"/>
  <c r="K47" i="2"/>
  <c r="Q47" i="2" s="1"/>
  <c r="I49" i="2"/>
  <c r="O49" i="2" s="1"/>
  <c r="J52" i="2"/>
  <c r="P52" i="2" s="1"/>
  <c r="K55" i="2"/>
  <c r="Q55" i="2" s="1"/>
  <c r="S55" i="2" s="1"/>
  <c r="V55" i="2" s="1"/>
  <c r="L388" i="2"/>
  <c r="R388" i="2" s="1"/>
  <c r="L380" i="2"/>
  <c r="R380" i="2" s="1"/>
  <c r="L383" i="2"/>
  <c r="R383" i="2" s="1"/>
  <c r="S383" i="2" s="1"/>
  <c r="V383" i="2" s="1"/>
  <c r="L375" i="2"/>
  <c r="R375" i="2" s="1"/>
  <c r="L367" i="2"/>
  <c r="R367" i="2" s="1"/>
  <c r="L359" i="2"/>
  <c r="R359" i="2" s="1"/>
  <c r="L351" i="2"/>
  <c r="R351" i="2" s="1"/>
  <c r="L343" i="2"/>
  <c r="R343" i="2" s="1"/>
  <c r="L386" i="2"/>
  <c r="R386" i="2" s="1"/>
  <c r="L378" i="2"/>
  <c r="R378" i="2" s="1"/>
  <c r="L370" i="2"/>
  <c r="R370" i="2" s="1"/>
  <c r="L362" i="2"/>
  <c r="R362" i="2" s="1"/>
  <c r="L354" i="2"/>
  <c r="R354" i="2" s="1"/>
  <c r="L346" i="2"/>
  <c r="R346" i="2" s="1"/>
  <c r="L338" i="2"/>
  <c r="R338" i="2" s="1"/>
  <c r="L389" i="2"/>
  <c r="R389" i="2" s="1"/>
  <c r="L381" i="2"/>
  <c r="R381" i="2" s="1"/>
  <c r="L373" i="2"/>
  <c r="R373" i="2" s="1"/>
  <c r="L365" i="2"/>
  <c r="R365" i="2" s="1"/>
  <c r="L357" i="2"/>
  <c r="R357" i="2" s="1"/>
  <c r="L349" i="2"/>
  <c r="R349" i="2" s="1"/>
  <c r="L341" i="2"/>
  <c r="R341" i="2" s="1"/>
  <c r="L384" i="2"/>
  <c r="R384" i="2" s="1"/>
  <c r="L376" i="2"/>
  <c r="R376" i="2" s="1"/>
  <c r="L368" i="2"/>
  <c r="R368" i="2" s="1"/>
  <c r="L360" i="2"/>
  <c r="R360" i="2" s="1"/>
  <c r="L352" i="2"/>
  <c r="R352" i="2" s="1"/>
  <c r="L344" i="2"/>
  <c r="R344" i="2" s="1"/>
  <c r="L336" i="2"/>
  <c r="R336" i="2" s="1"/>
  <c r="L332" i="2"/>
  <c r="R332" i="2" s="1"/>
  <c r="L372" i="2"/>
  <c r="R372" i="2" s="1"/>
  <c r="L364" i="2"/>
  <c r="R364" i="2" s="1"/>
  <c r="S364" i="2" s="1"/>
  <c r="V364" i="2" s="1"/>
  <c r="L356" i="2"/>
  <c r="R356" i="2" s="1"/>
  <c r="L348" i="2"/>
  <c r="R348" i="2" s="1"/>
  <c r="L340" i="2"/>
  <c r="R340" i="2" s="1"/>
  <c r="L327" i="2"/>
  <c r="R327" i="2" s="1"/>
  <c r="L319" i="2"/>
  <c r="R319" i="2" s="1"/>
  <c r="S319" i="2" s="1"/>
  <c r="V319" i="2" s="1"/>
  <c r="L311" i="2"/>
  <c r="R311" i="2" s="1"/>
  <c r="L387" i="2"/>
  <c r="R387" i="2" s="1"/>
  <c r="L377" i="2"/>
  <c r="R377" i="2" s="1"/>
  <c r="S377" i="2" s="1"/>
  <c r="V377" i="2" s="1"/>
  <c r="L374" i="2"/>
  <c r="R374" i="2" s="1"/>
  <c r="L366" i="2"/>
  <c r="R366" i="2" s="1"/>
  <c r="L358" i="2"/>
  <c r="R358" i="2" s="1"/>
  <c r="L350" i="2"/>
  <c r="R350" i="2" s="1"/>
  <c r="L342" i="2"/>
  <c r="R342" i="2" s="1"/>
  <c r="L330" i="2"/>
  <c r="R330" i="2" s="1"/>
  <c r="L322" i="2"/>
  <c r="R322" i="2" s="1"/>
  <c r="L314" i="2"/>
  <c r="R314" i="2" s="1"/>
  <c r="L390" i="2"/>
  <c r="R390" i="2" s="1"/>
  <c r="L333" i="2"/>
  <c r="R333" i="2" s="1"/>
  <c r="L325" i="2"/>
  <c r="R325" i="2" s="1"/>
  <c r="L317" i="2"/>
  <c r="R317" i="2" s="1"/>
  <c r="L309" i="2"/>
  <c r="R309" i="2" s="1"/>
  <c r="S309" i="2" s="1"/>
  <c r="V309" i="2" s="1"/>
  <c r="L328" i="2"/>
  <c r="R328" i="2" s="1"/>
  <c r="L320" i="2"/>
  <c r="R320" i="2" s="1"/>
  <c r="L331" i="2"/>
  <c r="R331" i="2" s="1"/>
  <c r="L323" i="2"/>
  <c r="R323" i="2" s="1"/>
  <c r="L315" i="2"/>
  <c r="R315" i="2" s="1"/>
  <c r="L385" i="2"/>
  <c r="R385" i="2" s="1"/>
  <c r="S385" i="2" s="1"/>
  <c r="V385" i="2" s="1"/>
  <c r="L382" i="2"/>
  <c r="R382" i="2" s="1"/>
  <c r="L379" i="2"/>
  <c r="R379" i="2" s="1"/>
  <c r="L369" i="2"/>
  <c r="R369" i="2" s="1"/>
  <c r="L361" i="2"/>
  <c r="R361" i="2" s="1"/>
  <c r="L353" i="2"/>
  <c r="R353" i="2" s="1"/>
  <c r="L345" i="2"/>
  <c r="R345" i="2" s="1"/>
  <c r="L337" i="2"/>
  <c r="R337" i="2" s="1"/>
  <c r="L334" i="2"/>
  <c r="R334" i="2" s="1"/>
  <c r="L326" i="2"/>
  <c r="R326" i="2" s="1"/>
  <c r="L318" i="2"/>
  <c r="R318" i="2" s="1"/>
  <c r="L310" i="2"/>
  <c r="R310" i="2" s="1"/>
  <c r="L371" i="2"/>
  <c r="R371" i="2" s="1"/>
  <c r="L363" i="2"/>
  <c r="R363" i="2" s="1"/>
  <c r="L355" i="2"/>
  <c r="R355" i="2" s="1"/>
  <c r="L347" i="2"/>
  <c r="R347" i="2" s="1"/>
  <c r="L339" i="2"/>
  <c r="R339" i="2" s="1"/>
  <c r="L335" i="2"/>
  <c r="R335" i="2" s="1"/>
  <c r="L329" i="2"/>
  <c r="R329" i="2" s="1"/>
  <c r="L321" i="2"/>
  <c r="R321" i="2" s="1"/>
  <c r="L313" i="2"/>
  <c r="R313" i="2" s="1"/>
  <c r="L302" i="2"/>
  <c r="R302" i="2" s="1"/>
  <c r="L294" i="2"/>
  <c r="R294" i="2" s="1"/>
  <c r="L286" i="2"/>
  <c r="R286" i="2" s="1"/>
  <c r="L278" i="2"/>
  <c r="R278" i="2" s="1"/>
  <c r="L270" i="2"/>
  <c r="R270" i="2" s="1"/>
  <c r="L262" i="2"/>
  <c r="R262" i="2" s="1"/>
  <c r="L324" i="2"/>
  <c r="R324" i="2" s="1"/>
  <c r="L305" i="2"/>
  <c r="R305" i="2" s="1"/>
  <c r="L297" i="2"/>
  <c r="R297" i="2" s="1"/>
  <c r="S297" i="2" s="1"/>
  <c r="V297" i="2" s="1"/>
  <c r="L289" i="2"/>
  <c r="R289" i="2" s="1"/>
  <c r="L281" i="2"/>
  <c r="R281" i="2" s="1"/>
  <c r="L273" i="2"/>
  <c r="R273" i="2" s="1"/>
  <c r="L265" i="2"/>
  <c r="R265" i="2" s="1"/>
  <c r="L257" i="2"/>
  <c r="R257" i="2" s="1"/>
  <c r="L300" i="2"/>
  <c r="R300" i="2" s="1"/>
  <c r="L292" i="2"/>
  <c r="R292" i="2" s="1"/>
  <c r="L284" i="2"/>
  <c r="R284" i="2" s="1"/>
  <c r="L276" i="2"/>
  <c r="R276" i="2" s="1"/>
  <c r="L268" i="2"/>
  <c r="R268" i="2" s="1"/>
  <c r="L260" i="2"/>
  <c r="R260" i="2" s="1"/>
  <c r="S260" i="2" s="1"/>
  <c r="V260" i="2" s="1"/>
  <c r="L312" i="2"/>
  <c r="R312" i="2" s="1"/>
  <c r="L308" i="2"/>
  <c r="R308" i="2" s="1"/>
  <c r="L303" i="2"/>
  <c r="R303" i="2" s="1"/>
  <c r="L295" i="2"/>
  <c r="R295" i="2" s="1"/>
  <c r="L287" i="2"/>
  <c r="R287" i="2" s="1"/>
  <c r="L279" i="2"/>
  <c r="R279" i="2" s="1"/>
  <c r="L271" i="2"/>
  <c r="R271" i="2" s="1"/>
  <c r="L263" i="2"/>
  <c r="R263" i="2" s="1"/>
  <c r="L306" i="2"/>
  <c r="R306" i="2" s="1"/>
  <c r="L298" i="2"/>
  <c r="R298" i="2" s="1"/>
  <c r="S298" i="2" s="1"/>
  <c r="V298" i="2" s="1"/>
  <c r="L290" i="2"/>
  <c r="R290" i="2" s="1"/>
  <c r="L282" i="2"/>
  <c r="R282" i="2" s="1"/>
  <c r="L274" i="2"/>
  <c r="R274" i="2" s="1"/>
  <c r="L266" i="2"/>
  <c r="R266" i="2" s="1"/>
  <c r="L258" i="2"/>
  <c r="R258" i="2" s="1"/>
  <c r="L316" i="2"/>
  <c r="R316" i="2" s="1"/>
  <c r="L301" i="2"/>
  <c r="R301" i="2" s="1"/>
  <c r="L293" i="2"/>
  <c r="R293" i="2" s="1"/>
  <c r="L285" i="2"/>
  <c r="R285" i="2" s="1"/>
  <c r="L277" i="2"/>
  <c r="R277" i="2" s="1"/>
  <c r="L269" i="2"/>
  <c r="R269" i="2" s="1"/>
  <c r="L261" i="2"/>
  <c r="R261" i="2" s="1"/>
  <c r="L304" i="2"/>
  <c r="R304" i="2" s="1"/>
  <c r="L296" i="2"/>
  <c r="R296" i="2" s="1"/>
  <c r="L288" i="2"/>
  <c r="R288" i="2" s="1"/>
  <c r="L280" i="2"/>
  <c r="R280" i="2" s="1"/>
  <c r="L272" i="2"/>
  <c r="R272" i="2" s="1"/>
  <c r="L264" i="2"/>
  <c r="R264" i="2" s="1"/>
  <c r="L249" i="2"/>
  <c r="R249" i="2" s="1"/>
  <c r="L241" i="2"/>
  <c r="R241" i="2" s="1"/>
  <c r="L233" i="2"/>
  <c r="R233" i="2" s="1"/>
  <c r="L225" i="2"/>
  <c r="R225" i="2" s="1"/>
  <c r="L217" i="2"/>
  <c r="R217" i="2" s="1"/>
  <c r="S217" i="2" s="1"/>
  <c r="V217" i="2" s="1"/>
  <c r="L252" i="2"/>
  <c r="R252" i="2" s="1"/>
  <c r="L244" i="2"/>
  <c r="R244" i="2" s="1"/>
  <c r="L236" i="2"/>
  <c r="R236" i="2" s="1"/>
  <c r="L228" i="2"/>
  <c r="R228" i="2" s="1"/>
  <c r="L220" i="2"/>
  <c r="R220" i="2" s="1"/>
  <c r="L212" i="2"/>
  <c r="R212" i="2" s="1"/>
  <c r="L307" i="2"/>
  <c r="R307" i="2" s="1"/>
  <c r="L291" i="2"/>
  <c r="R291" i="2" s="1"/>
  <c r="L275" i="2"/>
  <c r="R275" i="2" s="1"/>
  <c r="L259" i="2"/>
  <c r="R259" i="2" s="1"/>
  <c r="L255" i="2"/>
  <c r="R255" i="2" s="1"/>
  <c r="L247" i="2"/>
  <c r="R247" i="2" s="1"/>
  <c r="L239" i="2"/>
  <c r="R239" i="2" s="1"/>
  <c r="L231" i="2"/>
  <c r="R231" i="2" s="1"/>
  <c r="L223" i="2"/>
  <c r="R223" i="2" s="1"/>
  <c r="L215" i="2"/>
  <c r="R215" i="2" s="1"/>
  <c r="L250" i="2"/>
  <c r="R250" i="2" s="1"/>
  <c r="L242" i="2"/>
  <c r="R242" i="2" s="1"/>
  <c r="L234" i="2"/>
  <c r="R234" i="2" s="1"/>
  <c r="L226" i="2"/>
  <c r="R226" i="2" s="1"/>
  <c r="L218" i="2"/>
  <c r="R218" i="2" s="1"/>
  <c r="L253" i="2"/>
  <c r="R253" i="2" s="1"/>
  <c r="L245" i="2"/>
  <c r="R245" i="2" s="1"/>
  <c r="L237" i="2"/>
  <c r="R237" i="2" s="1"/>
  <c r="L229" i="2"/>
  <c r="R229" i="2" s="1"/>
  <c r="L221" i="2"/>
  <c r="R221" i="2" s="1"/>
  <c r="L213" i="2"/>
  <c r="R213" i="2" s="1"/>
  <c r="L256" i="2"/>
  <c r="R256" i="2" s="1"/>
  <c r="L248" i="2"/>
  <c r="R248" i="2" s="1"/>
  <c r="L240" i="2"/>
  <c r="R240" i="2" s="1"/>
  <c r="L232" i="2"/>
  <c r="R232" i="2" s="1"/>
  <c r="L224" i="2"/>
  <c r="R224" i="2" s="1"/>
  <c r="L216" i="2"/>
  <c r="R216" i="2" s="1"/>
  <c r="L299" i="2"/>
  <c r="R299" i="2" s="1"/>
  <c r="L283" i="2"/>
  <c r="R283" i="2" s="1"/>
  <c r="L267" i="2"/>
  <c r="R267" i="2" s="1"/>
  <c r="L251" i="2"/>
  <c r="R251" i="2" s="1"/>
  <c r="L243" i="2"/>
  <c r="R243" i="2" s="1"/>
  <c r="L235" i="2"/>
  <c r="R235" i="2" s="1"/>
  <c r="L227" i="2"/>
  <c r="R227" i="2" s="1"/>
  <c r="L219" i="2"/>
  <c r="R219" i="2" s="1"/>
  <c r="L254" i="2"/>
  <c r="R254" i="2" s="1"/>
  <c r="L246" i="2"/>
  <c r="R246" i="2" s="1"/>
  <c r="L238" i="2"/>
  <c r="R238" i="2" s="1"/>
  <c r="L230" i="2"/>
  <c r="R230" i="2" s="1"/>
  <c r="L222" i="2"/>
  <c r="R222" i="2" s="1"/>
  <c r="L214" i="2"/>
  <c r="R214" i="2" s="1"/>
  <c r="L207" i="2"/>
  <c r="R207" i="2" s="1"/>
  <c r="L199" i="2"/>
  <c r="R199" i="2" s="1"/>
  <c r="L191" i="2"/>
  <c r="R191" i="2" s="1"/>
  <c r="L183" i="2"/>
  <c r="R183" i="2" s="1"/>
  <c r="L175" i="2"/>
  <c r="R175" i="2" s="1"/>
  <c r="L167" i="2"/>
  <c r="R167" i="2" s="1"/>
  <c r="L159" i="2"/>
  <c r="R159" i="2" s="1"/>
  <c r="L210" i="2"/>
  <c r="R210" i="2" s="1"/>
  <c r="S210" i="2" s="1"/>
  <c r="V210" i="2" s="1"/>
  <c r="L202" i="2"/>
  <c r="R202" i="2" s="1"/>
  <c r="L194" i="2"/>
  <c r="R194" i="2" s="1"/>
  <c r="L186" i="2"/>
  <c r="R186" i="2" s="1"/>
  <c r="L178" i="2"/>
  <c r="R178" i="2" s="1"/>
  <c r="L170" i="2"/>
  <c r="R170" i="2" s="1"/>
  <c r="L162" i="2"/>
  <c r="R162" i="2" s="1"/>
  <c r="L205" i="2"/>
  <c r="R205" i="2" s="1"/>
  <c r="L197" i="2"/>
  <c r="R197" i="2" s="1"/>
  <c r="L189" i="2"/>
  <c r="R189" i="2" s="1"/>
  <c r="L181" i="2"/>
  <c r="R181" i="2" s="1"/>
  <c r="L173" i="2"/>
  <c r="R173" i="2" s="1"/>
  <c r="L165" i="2"/>
  <c r="R165" i="2" s="1"/>
  <c r="L208" i="2"/>
  <c r="R208" i="2" s="1"/>
  <c r="S208" i="2" s="1"/>
  <c r="V208" i="2" s="1"/>
  <c r="L200" i="2"/>
  <c r="R200" i="2" s="1"/>
  <c r="L192" i="2"/>
  <c r="R192" i="2" s="1"/>
  <c r="L184" i="2"/>
  <c r="R184" i="2" s="1"/>
  <c r="L176" i="2"/>
  <c r="R176" i="2" s="1"/>
  <c r="L168" i="2"/>
  <c r="R168" i="2" s="1"/>
  <c r="L160" i="2"/>
  <c r="R160" i="2" s="1"/>
  <c r="L211" i="2"/>
  <c r="R211" i="2" s="1"/>
  <c r="L203" i="2"/>
  <c r="R203" i="2" s="1"/>
  <c r="L195" i="2"/>
  <c r="R195" i="2" s="1"/>
  <c r="L187" i="2"/>
  <c r="R187" i="2" s="1"/>
  <c r="L179" i="2"/>
  <c r="R179" i="2" s="1"/>
  <c r="L171" i="2"/>
  <c r="R171" i="2" s="1"/>
  <c r="L163" i="2"/>
  <c r="R163" i="2" s="1"/>
  <c r="L206" i="2"/>
  <c r="R206" i="2" s="1"/>
  <c r="L198" i="2"/>
  <c r="R198" i="2" s="1"/>
  <c r="L190" i="2"/>
  <c r="R190" i="2" s="1"/>
  <c r="S190" i="2" s="1"/>
  <c r="V190" i="2" s="1"/>
  <c r="L182" i="2"/>
  <c r="R182" i="2" s="1"/>
  <c r="L174" i="2"/>
  <c r="R174" i="2" s="1"/>
  <c r="L166" i="2"/>
  <c r="R166" i="2" s="1"/>
  <c r="L158" i="2"/>
  <c r="R158" i="2" s="1"/>
  <c r="S158" i="2" s="1"/>
  <c r="V158" i="2" s="1"/>
  <c r="L209" i="2"/>
  <c r="R209" i="2" s="1"/>
  <c r="L201" i="2"/>
  <c r="R201" i="2" s="1"/>
  <c r="L193" i="2"/>
  <c r="R193" i="2" s="1"/>
  <c r="L185" i="2"/>
  <c r="R185" i="2" s="1"/>
  <c r="L177" i="2"/>
  <c r="R177" i="2" s="1"/>
  <c r="L169" i="2"/>
  <c r="R169" i="2" s="1"/>
  <c r="L161" i="2"/>
  <c r="R161" i="2" s="1"/>
  <c r="L204" i="2"/>
  <c r="R204" i="2" s="1"/>
  <c r="L196" i="2"/>
  <c r="R196" i="2" s="1"/>
  <c r="S196" i="2" s="1"/>
  <c r="V196" i="2" s="1"/>
  <c r="L188" i="2"/>
  <c r="R188" i="2" s="1"/>
  <c r="L180" i="2"/>
  <c r="R180" i="2" s="1"/>
  <c r="L172" i="2"/>
  <c r="R172" i="2" s="1"/>
  <c r="S172" i="2" s="1"/>
  <c r="V172" i="2" s="1"/>
  <c r="L164" i="2"/>
  <c r="R164" i="2" s="1"/>
  <c r="L155" i="2"/>
  <c r="R155" i="2" s="1"/>
  <c r="L147" i="2"/>
  <c r="R147" i="2" s="1"/>
  <c r="L139" i="2"/>
  <c r="R139" i="2" s="1"/>
  <c r="L131" i="2"/>
  <c r="R131" i="2" s="1"/>
  <c r="L123" i="2"/>
  <c r="R123" i="2" s="1"/>
  <c r="L115" i="2"/>
  <c r="R115" i="2" s="1"/>
  <c r="L107" i="2"/>
  <c r="R107" i="2" s="1"/>
  <c r="L150" i="2"/>
  <c r="R150" i="2" s="1"/>
  <c r="L142" i="2"/>
  <c r="R142" i="2" s="1"/>
  <c r="L134" i="2"/>
  <c r="R134" i="2" s="1"/>
  <c r="L126" i="2"/>
  <c r="R126" i="2" s="1"/>
  <c r="L118" i="2"/>
  <c r="R118" i="2" s="1"/>
  <c r="L110" i="2"/>
  <c r="R110" i="2" s="1"/>
  <c r="L153" i="2"/>
  <c r="R153" i="2" s="1"/>
  <c r="L145" i="2"/>
  <c r="R145" i="2" s="1"/>
  <c r="L137" i="2"/>
  <c r="R137" i="2" s="1"/>
  <c r="L129" i="2"/>
  <c r="R129" i="2" s="1"/>
  <c r="L121" i="2"/>
  <c r="R121" i="2" s="1"/>
  <c r="L113" i="2"/>
  <c r="R113" i="2" s="1"/>
  <c r="L156" i="2"/>
  <c r="R156" i="2" s="1"/>
  <c r="L148" i="2"/>
  <c r="R148" i="2" s="1"/>
  <c r="L140" i="2"/>
  <c r="R140" i="2" s="1"/>
  <c r="L132" i="2"/>
  <c r="R132" i="2" s="1"/>
  <c r="S132" i="2" s="1"/>
  <c r="V132" i="2" s="1"/>
  <c r="L124" i="2"/>
  <c r="R124" i="2" s="1"/>
  <c r="L116" i="2"/>
  <c r="R116" i="2" s="1"/>
  <c r="L108" i="2"/>
  <c r="R108" i="2" s="1"/>
  <c r="L151" i="2"/>
  <c r="R151" i="2" s="1"/>
  <c r="L143" i="2"/>
  <c r="R143" i="2" s="1"/>
  <c r="L135" i="2"/>
  <c r="R135" i="2" s="1"/>
  <c r="L127" i="2"/>
  <c r="R127" i="2" s="1"/>
  <c r="L119" i="2"/>
  <c r="R119" i="2" s="1"/>
  <c r="S119" i="2" s="1"/>
  <c r="V119" i="2" s="1"/>
  <c r="L111" i="2"/>
  <c r="R111" i="2" s="1"/>
  <c r="L154" i="2"/>
  <c r="R154" i="2" s="1"/>
  <c r="L146" i="2"/>
  <c r="R146" i="2" s="1"/>
  <c r="L138" i="2"/>
  <c r="R138" i="2" s="1"/>
  <c r="S138" i="2" s="1"/>
  <c r="V138" i="2" s="1"/>
  <c r="L130" i="2"/>
  <c r="R130" i="2" s="1"/>
  <c r="L122" i="2"/>
  <c r="R122" i="2" s="1"/>
  <c r="L114" i="2"/>
  <c r="R114" i="2" s="1"/>
  <c r="L106" i="2"/>
  <c r="R106" i="2" s="1"/>
  <c r="S106" i="2" s="1"/>
  <c r="V106" i="2" s="1"/>
  <c r="L157" i="2"/>
  <c r="R157" i="2" s="1"/>
  <c r="L149" i="2"/>
  <c r="R149" i="2" s="1"/>
  <c r="L141" i="2"/>
  <c r="R141" i="2" s="1"/>
  <c r="L133" i="2"/>
  <c r="R133" i="2" s="1"/>
  <c r="L125" i="2"/>
  <c r="R125" i="2" s="1"/>
  <c r="L117" i="2"/>
  <c r="R117" i="2" s="1"/>
  <c r="L109" i="2"/>
  <c r="R109" i="2" s="1"/>
  <c r="S109" i="2" s="1"/>
  <c r="V109" i="2" s="1"/>
  <c r="L152" i="2"/>
  <c r="R152" i="2" s="1"/>
  <c r="L144" i="2"/>
  <c r="R144" i="2" s="1"/>
  <c r="L136" i="2"/>
  <c r="R136" i="2" s="1"/>
  <c r="L128" i="2"/>
  <c r="R128" i="2" s="1"/>
  <c r="L120" i="2"/>
  <c r="R120" i="2" s="1"/>
  <c r="L112" i="2"/>
  <c r="R112" i="2" s="1"/>
  <c r="S112" i="2" s="1"/>
  <c r="V112" i="2" s="1"/>
  <c r="L102" i="2"/>
  <c r="R102" i="2" s="1"/>
  <c r="L94" i="2"/>
  <c r="R94" i="2" s="1"/>
  <c r="L86" i="2"/>
  <c r="R86" i="2" s="1"/>
  <c r="S86" i="2" s="1"/>
  <c r="V86" i="2" s="1"/>
  <c r="L78" i="2"/>
  <c r="R78" i="2" s="1"/>
  <c r="L70" i="2"/>
  <c r="R70" i="2" s="1"/>
  <c r="L62" i="2"/>
  <c r="R62" i="2" s="1"/>
  <c r="L105" i="2"/>
  <c r="R105" i="2" s="1"/>
  <c r="L97" i="2"/>
  <c r="R97" i="2" s="1"/>
  <c r="S97" i="2" s="1"/>
  <c r="V97" i="2" s="1"/>
  <c r="L89" i="2"/>
  <c r="R89" i="2" s="1"/>
  <c r="L81" i="2"/>
  <c r="R81" i="2" s="1"/>
  <c r="L73" i="2"/>
  <c r="R73" i="2" s="1"/>
  <c r="S73" i="2" s="1"/>
  <c r="V73" i="2" s="1"/>
  <c r="L65" i="2"/>
  <c r="R65" i="2" s="1"/>
  <c r="L57" i="2"/>
  <c r="R57" i="2" s="1"/>
  <c r="L100" i="2"/>
  <c r="R100" i="2" s="1"/>
  <c r="L92" i="2"/>
  <c r="R92" i="2" s="1"/>
  <c r="L84" i="2"/>
  <c r="R84" i="2" s="1"/>
  <c r="L76" i="2"/>
  <c r="R76" i="2" s="1"/>
  <c r="L68" i="2"/>
  <c r="R68" i="2" s="1"/>
  <c r="L60" i="2"/>
  <c r="R60" i="2" s="1"/>
  <c r="L103" i="2"/>
  <c r="R103" i="2" s="1"/>
  <c r="L95" i="2"/>
  <c r="R95" i="2" s="1"/>
  <c r="L87" i="2"/>
  <c r="R87" i="2" s="1"/>
  <c r="L79" i="2"/>
  <c r="R79" i="2" s="1"/>
  <c r="L71" i="2"/>
  <c r="R71" i="2" s="1"/>
  <c r="L63" i="2"/>
  <c r="R63" i="2" s="1"/>
  <c r="L55" i="2"/>
  <c r="R55" i="2" s="1"/>
  <c r="L98" i="2"/>
  <c r="R98" i="2" s="1"/>
  <c r="L90" i="2"/>
  <c r="R90" i="2" s="1"/>
  <c r="L82" i="2"/>
  <c r="R82" i="2" s="1"/>
  <c r="L74" i="2"/>
  <c r="R74" i="2" s="1"/>
  <c r="L66" i="2"/>
  <c r="R66" i="2" s="1"/>
  <c r="S66" i="2" s="1"/>
  <c r="V66" i="2" s="1"/>
  <c r="L58" i="2"/>
  <c r="R58" i="2" s="1"/>
  <c r="L101" i="2"/>
  <c r="R101" i="2" s="1"/>
  <c r="L93" i="2"/>
  <c r="R93" i="2" s="1"/>
  <c r="L85" i="2"/>
  <c r="R85" i="2" s="1"/>
  <c r="S85" i="2" s="1"/>
  <c r="V85" i="2" s="1"/>
  <c r="L77" i="2"/>
  <c r="R77" i="2" s="1"/>
  <c r="L69" i="2"/>
  <c r="R69" i="2" s="1"/>
  <c r="L61" i="2"/>
  <c r="R61" i="2" s="1"/>
  <c r="L104" i="2"/>
  <c r="R104" i="2" s="1"/>
  <c r="L96" i="2"/>
  <c r="R96" i="2" s="1"/>
  <c r="L88" i="2"/>
  <c r="R88" i="2" s="1"/>
  <c r="L80" i="2"/>
  <c r="R80" i="2" s="1"/>
  <c r="L72" i="2"/>
  <c r="R72" i="2" s="1"/>
  <c r="L64" i="2"/>
  <c r="R64" i="2" s="1"/>
  <c r="L56" i="2"/>
  <c r="R56" i="2" s="1"/>
  <c r="L99" i="2"/>
  <c r="R99" i="2" s="1"/>
  <c r="L91" i="2"/>
  <c r="R91" i="2" s="1"/>
  <c r="S91" i="2" s="1"/>
  <c r="V91" i="2" s="1"/>
  <c r="L83" i="2"/>
  <c r="R83" i="2" s="1"/>
  <c r="L75" i="2"/>
  <c r="R75" i="2" s="1"/>
  <c r="L67" i="2"/>
  <c r="R67" i="2" s="1"/>
  <c r="L59" i="2"/>
  <c r="R59" i="2" s="1"/>
  <c r="S59" i="2" s="1"/>
  <c r="V59" i="2" s="1"/>
  <c r="K12" i="2"/>
  <c r="Q12" i="2" s="1"/>
  <c r="I14" i="2"/>
  <c r="O14" i="2" s="1"/>
  <c r="L15" i="2"/>
  <c r="R15" i="2" s="1"/>
  <c r="J17" i="2"/>
  <c r="P17" i="2" s="1"/>
  <c r="K20" i="2"/>
  <c r="Q20" i="2" s="1"/>
  <c r="I22" i="2"/>
  <c r="O22" i="2" s="1"/>
  <c r="L23" i="2"/>
  <c r="R23" i="2" s="1"/>
  <c r="J25" i="2"/>
  <c r="P25" i="2" s="1"/>
  <c r="K28" i="2"/>
  <c r="Q28" i="2" s="1"/>
  <c r="I30" i="2"/>
  <c r="O30" i="2" s="1"/>
  <c r="L31" i="2"/>
  <c r="R31" i="2" s="1"/>
  <c r="J33" i="2"/>
  <c r="P33" i="2" s="1"/>
  <c r="K36" i="2"/>
  <c r="Q36" i="2" s="1"/>
  <c r="I38" i="2"/>
  <c r="O38" i="2" s="1"/>
  <c r="L39" i="2"/>
  <c r="R39" i="2" s="1"/>
  <c r="J41" i="2"/>
  <c r="P41" i="2" s="1"/>
  <c r="K44" i="2"/>
  <c r="Q44" i="2" s="1"/>
  <c r="I46" i="2"/>
  <c r="O46" i="2" s="1"/>
  <c r="L47" i="2"/>
  <c r="R47" i="2" s="1"/>
  <c r="J49" i="2"/>
  <c r="P49" i="2" s="1"/>
  <c r="K52" i="2"/>
  <c r="Q52" i="2" s="1"/>
  <c r="I11" i="2"/>
  <c r="L12" i="2"/>
  <c r="R12" i="2" s="1"/>
  <c r="J14" i="2"/>
  <c r="P14" i="2" s="1"/>
  <c r="K17" i="2"/>
  <c r="Q17" i="2" s="1"/>
  <c r="I19" i="2"/>
  <c r="O19" i="2" s="1"/>
  <c r="L20" i="2"/>
  <c r="R20" i="2" s="1"/>
  <c r="J22" i="2"/>
  <c r="P22" i="2" s="1"/>
  <c r="K25" i="2"/>
  <c r="Q25" i="2" s="1"/>
  <c r="I27" i="2"/>
  <c r="O27" i="2" s="1"/>
  <c r="L28" i="2"/>
  <c r="R28" i="2" s="1"/>
  <c r="J30" i="2"/>
  <c r="P30" i="2" s="1"/>
  <c r="K33" i="2"/>
  <c r="Q33" i="2" s="1"/>
  <c r="I35" i="2"/>
  <c r="O35" i="2" s="1"/>
  <c r="L36" i="2"/>
  <c r="R36" i="2" s="1"/>
  <c r="J38" i="2"/>
  <c r="P38" i="2" s="1"/>
  <c r="K41" i="2"/>
  <c r="Q41" i="2" s="1"/>
  <c r="I43" i="2"/>
  <c r="O43" i="2" s="1"/>
  <c r="L44" i="2"/>
  <c r="R44" i="2" s="1"/>
  <c r="J46" i="2"/>
  <c r="P46" i="2" s="1"/>
  <c r="K49" i="2"/>
  <c r="Q49" i="2" s="1"/>
  <c r="I51" i="2"/>
  <c r="O51" i="2" s="1"/>
  <c r="L52" i="2"/>
  <c r="R52" i="2" s="1"/>
  <c r="J11" i="2"/>
  <c r="K14" i="2"/>
  <c r="Q14" i="2" s="1"/>
  <c r="I16" i="2"/>
  <c r="O16" i="2" s="1"/>
  <c r="L17" i="2"/>
  <c r="R17" i="2" s="1"/>
  <c r="J19" i="2"/>
  <c r="P19" i="2" s="1"/>
  <c r="K22" i="2"/>
  <c r="Q22" i="2" s="1"/>
  <c r="I24" i="2"/>
  <c r="O24" i="2" s="1"/>
  <c r="L25" i="2"/>
  <c r="R25" i="2" s="1"/>
  <c r="J27" i="2"/>
  <c r="P27" i="2" s="1"/>
  <c r="K30" i="2"/>
  <c r="Q30" i="2" s="1"/>
  <c r="I32" i="2"/>
  <c r="O32" i="2" s="1"/>
  <c r="L33" i="2"/>
  <c r="R33" i="2" s="1"/>
  <c r="J35" i="2"/>
  <c r="P35" i="2" s="1"/>
  <c r="K38" i="2"/>
  <c r="Q38" i="2" s="1"/>
  <c r="I40" i="2"/>
  <c r="O40" i="2" s="1"/>
  <c r="L41" i="2"/>
  <c r="R41" i="2" s="1"/>
  <c r="J43" i="2"/>
  <c r="P43" i="2" s="1"/>
  <c r="K46" i="2"/>
  <c r="Q46" i="2" s="1"/>
  <c r="I48" i="2"/>
  <c r="O48" i="2" s="1"/>
  <c r="L49" i="2"/>
  <c r="R49" i="2" s="1"/>
  <c r="J51" i="2"/>
  <c r="P51" i="2" s="1"/>
  <c r="K11" i="2"/>
  <c r="I13" i="2"/>
  <c r="O13" i="2" s="1"/>
  <c r="L14" i="2"/>
  <c r="R14" i="2" s="1"/>
  <c r="J16" i="2"/>
  <c r="P16" i="2" s="1"/>
  <c r="K19" i="2"/>
  <c r="Q19" i="2" s="1"/>
  <c r="I21" i="2"/>
  <c r="O21" i="2" s="1"/>
  <c r="L22" i="2"/>
  <c r="R22" i="2" s="1"/>
  <c r="J24" i="2"/>
  <c r="P24" i="2" s="1"/>
  <c r="K27" i="2"/>
  <c r="Q27" i="2" s="1"/>
  <c r="I29" i="2"/>
  <c r="O29" i="2" s="1"/>
  <c r="L30" i="2"/>
  <c r="R30" i="2" s="1"/>
  <c r="J32" i="2"/>
  <c r="P32" i="2" s="1"/>
  <c r="K35" i="2"/>
  <c r="Q35" i="2" s="1"/>
  <c r="I37" i="2"/>
  <c r="O37" i="2" s="1"/>
  <c r="L38" i="2"/>
  <c r="R38" i="2" s="1"/>
  <c r="J40" i="2"/>
  <c r="P40" i="2" s="1"/>
  <c r="K43" i="2"/>
  <c r="Q43" i="2" s="1"/>
  <c r="I45" i="2"/>
  <c r="O45" i="2" s="1"/>
  <c r="L46" i="2"/>
  <c r="R46" i="2" s="1"/>
  <c r="J48" i="2"/>
  <c r="P48" i="2" s="1"/>
  <c r="K51" i="2"/>
  <c r="Q51" i="2" s="1"/>
  <c r="I53" i="2"/>
  <c r="O53" i="2" s="1"/>
  <c r="S53" i="2" s="1"/>
  <c r="V53" i="2" s="1"/>
  <c r="L54" i="2"/>
  <c r="R54" i="2" s="1"/>
  <c r="J56" i="2"/>
  <c r="P56" i="2" s="1"/>
  <c r="S101" i="2"/>
  <c r="V101" i="2" s="1"/>
  <c r="L11" i="2"/>
  <c r="J13" i="2"/>
  <c r="P13" i="2" s="1"/>
  <c r="K16" i="2"/>
  <c r="Q16" i="2" s="1"/>
  <c r="I18" i="2"/>
  <c r="O18" i="2" s="1"/>
  <c r="S18" i="2" s="1"/>
  <c r="V18" i="2" s="1"/>
  <c r="L19" i="2"/>
  <c r="R19" i="2" s="1"/>
  <c r="J21" i="2"/>
  <c r="P21" i="2" s="1"/>
  <c r="K24" i="2"/>
  <c r="Q24" i="2" s="1"/>
  <c r="I26" i="2"/>
  <c r="O26" i="2" s="1"/>
  <c r="S26" i="2" s="1"/>
  <c r="V26" i="2" s="1"/>
  <c r="L27" i="2"/>
  <c r="R27" i="2" s="1"/>
  <c r="J29" i="2"/>
  <c r="P29" i="2" s="1"/>
  <c r="K32" i="2"/>
  <c r="Q32" i="2" s="1"/>
  <c r="I34" i="2"/>
  <c r="O34" i="2" s="1"/>
  <c r="S34" i="2" s="1"/>
  <c r="V34" i="2" s="1"/>
  <c r="L35" i="2"/>
  <c r="R35" i="2" s="1"/>
  <c r="J37" i="2"/>
  <c r="P37" i="2" s="1"/>
  <c r="K40" i="2"/>
  <c r="Q40" i="2" s="1"/>
  <c r="I42" i="2"/>
  <c r="O42" i="2" s="1"/>
  <c r="S42" i="2" s="1"/>
  <c r="V42" i="2" s="1"/>
  <c r="L43" i="2"/>
  <c r="R43" i="2" s="1"/>
  <c r="J45" i="2"/>
  <c r="P45" i="2" s="1"/>
  <c r="K48" i="2"/>
  <c r="Q48" i="2" s="1"/>
  <c r="I50" i="2"/>
  <c r="O50" i="2" s="1"/>
  <c r="S50" i="2" s="1"/>
  <c r="V50" i="2" s="1"/>
  <c r="L51" i="2"/>
  <c r="R51" i="2" s="1"/>
  <c r="J53" i="2"/>
  <c r="P53" i="2" s="1"/>
  <c r="S78" i="2"/>
  <c r="V78" i="2" s="1"/>
  <c r="S135" i="2"/>
  <c r="V135" i="2" s="1"/>
  <c r="S122" i="2"/>
  <c r="V122" i="2" s="1"/>
  <c r="S116" i="2"/>
  <c r="V116" i="2" s="1"/>
  <c r="S175" i="2"/>
  <c r="V175" i="2" s="1"/>
  <c r="S183" i="2"/>
  <c r="V183" i="2" s="1"/>
  <c r="S191" i="2"/>
  <c r="V191" i="2" s="1"/>
  <c r="S178" i="2"/>
  <c r="V178" i="2" s="1"/>
  <c r="S203" i="2"/>
  <c r="V203" i="2" s="1"/>
  <c r="S240" i="2"/>
  <c r="V240" i="2" s="1"/>
  <c r="S241" i="2"/>
  <c r="V241" i="2" s="1"/>
  <c r="S249" i="2"/>
  <c r="V249" i="2" s="1"/>
  <c r="S234" i="2"/>
  <c r="V234" i="2" s="1"/>
  <c r="S242" i="2"/>
  <c r="V242" i="2" s="1"/>
  <c r="S212" i="2"/>
  <c r="V212" i="2" s="1"/>
  <c r="S220" i="2"/>
  <c r="V220" i="2" s="1"/>
  <c r="S244" i="2"/>
  <c r="V244" i="2" s="1"/>
  <c r="S213" i="2"/>
  <c r="V213" i="2" s="1"/>
  <c r="S221" i="2"/>
  <c r="V221" i="2" s="1"/>
  <c r="S253" i="2"/>
  <c r="V253" i="2" s="1"/>
  <c r="S305" i="2"/>
  <c r="V305" i="2" s="1"/>
  <c r="S286" i="2"/>
  <c r="V286" i="2" s="1"/>
  <c r="S315" i="2"/>
  <c r="V315" i="2" s="1"/>
  <c r="S290" i="2"/>
  <c r="V290" i="2" s="1"/>
  <c r="S281" i="2"/>
  <c r="V281" i="2" s="1"/>
  <c r="S284" i="2"/>
  <c r="V284" i="2" s="1"/>
  <c r="S259" i="2"/>
  <c r="V259" i="2" s="1"/>
  <c r="S308" i="2"/>
  <c r="V308" i="2" s="1"/>
  <c r="S332" i="2"/>
  <c r="V332" i="2" s="1"/>
  <c r="S321" i="2"/>
  <c r="V321" i="2" s="1"/>
  <c r="S324" i="2"/>
  <c r="V324" i="2" s="1"/>
  <c r="S346" i="2"/>
  <c r="V346" i="2" s="1"/>
  <c r="S337" i="2"/>
  <c r="V337" i="2" s="1"/>
  <c r="S359" i="2"/>
  <c r="V359" i="2" s="1"/>
  <c r="S367" i="2"/>
  <c r="V367" i="2" s="1"/>
  <c r="S372" i="2"/>
  <c r="V372" i="2" s="1"/>
  <c r="S105" i="2" l="1"/>
  <c r="V105" i="2" s="1"/>
  <c r="S151" i="2"/>
  <c r="V151" i="2" s="1"/>
  <c r="S171" i="2"/>
  <c r="V171" i="2" s="1"/>
  <c r="S144" i="2"/>
  <c r="V144" i="2" s="1"/>
  <c r="S81" i="2"/>
  <c r="V81" i="2" s="1"/>
  <c r="S43" i="2"/>
  <c r="V43" i="2" s="1"/>
  <c r="S102" i="2"/>
  <c r="V102" i="2" s="1"/>
  <c r="S123" i="2"/>
  <c r="V123" i="2" s="1"/>
  <c r="S232" i="2"/>
  <c r="V232" i="2" s="1"/>
  <c r="S74" i="2"/>
  <c r="V74" i="2" s="1"/>
  <c r="S27" i="2"/>
  <c r="V27" i="2" s="1"/>
  <c r="S131" i="2"/>
  <c r="V131" i="2" s="1"/>
  <c r="S194" i="2"/>
  <c r="V194" i="2" s="1"/>
  <c r="S199" i="2"/>
  <c r="V199" i="2" s="1"/>
  <c r="S98" i="2"/>
  <c r="V98" i="2" s="1"/>
  <c r="S70" i="2"/>
  <c r="V70" i="2" s="1"/>
  <c r="S83" i="2"/>
  <c r="V83" i="2" s="1"/>
  <c r="S206" i="2"/>
  <c r="V206" i="2" s="1"/>
  <c r="S228" i="2"/>
  <c r="V228" i="2" s="1"/>
  <c r="S219" i="2"/>
  <c r="V219" i="2" s="1"/>
  <c r="S279" i="2"/>
  <c r="V279" i="2" s="1"/>
  <c r="S292" i="2"/>
  <c r="V292" i="2" s="1"/>
  <c r="S351" i="2"/>
  <c r="V351" i="2" s="1"/>
  <c r="S369" i="2"/>
  <c r="V369" i="2" s="1"/>
  <c r="S126" i="2"/>
  <c r="V126" i="2" s="1"/>
  <c r="S176" i="2"/>
  <c r="V176" i="2" s="1"/>
  <c r="S224" i="2"/>
  <c r="V224" i="2" s="1"/>
  <c r="S306" i="2"/>
  <c r="V306" i="2" s="1"/>
  <c r="S312" i="2"/>
  <c r="V312" i="2" s="1"/>
  <c r="S270" i="2"/>
  <c r="V270" i="2" s="1"/>
  <c r="S362" i="2"/>
  <c r="V362" i="2" s="1"/>
  <c r="S61" i="2"/>
  <c r="V61" i="2" s="1"/>
  <c r="S87" i="2"/>
  <c r="V87" i="2" s="1"/>
  <c r="S67" i="2"/>
  <c r="V67" i="2" s="1"/>
  <c r="S146" i="2"/>
  <c r="V146" i="2" s="1"/>
  <c r="S108" i="2"/>
  <c r="V108" i="2" s="1"/>
  <c r="S134" i="2"/>
  <c r="V134" i="2" s="1"/>
  <c r="S179" i="2"/>
  <c r="V179" i="2" s="1"/>
  <c r="S184" i="2"/>
  <c r="V184" i="2" s="1"/>
  <c r="S248" i="2"/>
  <c r="V248" i="2" s="1"/>
  <c r="S225" i="2"/>
  <c r="V225" i="2" s="1"/>
  <c r="S263" i="2"/>
  <c r="V263" i="2" s="1"/>
  <c r="S268" i="2"/>
  <c r="V268" i="2" s="1"/>
  <c r="S294" i="2"/>
  <c r="V294" i="2" s="1"/>
  <c r="S353" i="2"/>
  <c r="V353" i="2" s="1"/>
  <c r="S331" i="2"/>
  <c r="V331" i="2" s="1"/>
  <c r="S348" i="2"/>
  <c r="V348" i="2" s="1"/>
  <c r="S390" i="2"/>
  <c r="V390" i="2" s="1"/>
  <c r="S77" i="2"/>
  <c r="V77" i="2" s="1"/>
  <c r="S90" i="2"/>
  <c r="V90" i="2" s="1"/>
  <c r="S95" i="2"/>
  <c r="V95" i="2" s="1"/>
  <c r="S57" i="2"/>
  <c r="V57" i="2" s="1"/>
  <c r="S75" i="2"/>
  <c r="V75" i="2" s="1"/>
  <c r="S111" i="2"/>
  <c r="V111" i="2" s="1"/>
  <c r="S124" i="2"/>
  <c r="V124" i="2" s="1"/>
  <c r="S150" i="2"/>
  <c r="V150" i="2" s="1"/>
  <c r="S155" i="2"/>
  <c r="V155" i="2" s="1"/>
  <c r="S182" i="2"/>
  <c r="V182" i="2" s="1"/>
  <c r="S195" i="2"/>
  <c r="V195" i="2" s="1"/>
  <c r="S200" i="2"/>
  <c r="V200" i="2" s="1"/>
  <c r="S162" i="2"/>
  <c r="V162" i="2" s="1"/>
  <c r="S167" i="2"/>
  <c r="V167" i="2" s="1"/>
  <c r="S180" i="2"/>
  <c r="V180" i="2" s="1"/>
  <c r="S256" i="2"/>
  <c r="V256" i="2" s="1"/>
  <c r="S226" i="2"/>
  <c r="V226" i="2" s="1"/>
  <c r="S236" i="2"/>
  <c r="V236" i="2" s="1"/>
  <c r="S214" i="2"/>
  <c r="V214" i="2" s="1"/>
  <c r="S287" i="2"/>
  <c r="V287" i="2" s="1"/>
  <c r="S302" i="2"/>
  <c r="V302" i="2" s="1"/>
  <c r="S264" i="2"/>
  <c r="V264" i="2" s="1"/>
  <c r="S323" i="2"/>
  <c r="V323" i="2" s="1"/>
  <c r="S311" i="2"/>
  <c r="V311" i="2" s="1"/>
  <c r="S338" i="2"/>
  <c r="V338" i="2" s="1"/>
  <c r="S343" i="2"/>
  <c r="V343" i="2" s="1"/>
  <c r="S356" i="2"/>
  <c r="V356" i="2" s="1"/>
  <c r="S361" i="2"/>
  <c r="V361" i="2" s="1"/>
  <c r="S35" i="2"/>
  <c r="V35" i="2" s="1"/>
  <c r="S99" i="2"/>
  <c r="V99" i="2" s="1"/>
  <c r="S245" i="2"/>
  <c r="V245" i="2" s="1"/>
  <c r="S273" i="2"/>
  <c r="V273" i="2" s="1"/>
  <c r="S278" i="2"/>
  <c r="V278" i="2" s="1"/>
  <c r="S325" i="2"/>
  <c r="V325" i="2" s="1"/>
  <c r="S340" i="2"/>
  <c r="V340" i="2" s="1"/>
  <c r="S370" i="2"/>
  <c r="V370" i="2" s="1"/>
  <c r="S36" i="2"/>
  <c r="V36" i="2" s="1"/>
  <c r="S120" i="2"/>
  <c r="V120" i="2" s="1"/>
  <c r="S54" i="2"/>
  <c r="V54" i="2" s="1"/>
  <c r="S19" i="2"/>
  <c r="V19" i="2" s="1"/>
  <c r="S48" i="2"/>
  <c r="V48" i="2" s="1"/>
  <c r="S32" i="2"/>
  <c r="V32" i="2" s="1"/>
  <c r="S16" i="2"/>
  <c r="V16" i="2" s="1"/>
  <c r="S139" i="2"/>
  <c r="V139" i="2" s="1"/>
  <c r="S202" i="2"/>
  <c r="V202" i="2" s="1"/>
  <c r="S207" i="2"/>
  <c r="V207" i="2" s="1"/>
  <c r="S265" i="2"/>
  <c r="V265" i="2" s="1"/>
  <c r="S335" i="2"/>
  <c r="V335" i="2" s="1"/>
  <c r="S382" i="2"/>
  <c r="V382" i="2" s="1"/>
  <c r="S327" i="2"/>
  <c r="V327" i="2" s="1"/>
  <c r="S46" i="2"/>
  <c r="V46" i="2" s="1"/>
  <c r="S30" i="2"/>
  <c r="V30" i="2" s="1"/>
  <c r="S14" i="2"/>
  <c r="V14" i="2" s="1"/>
  <c r="S82" i="2"/>
  <c r="V82" i="2" s="1"/>
  <c r="S142" i="2"/>
  <c r="V142" i="2" s="1"/>
  <c r="S147" i="2"/>
  <c r="V147" i="2" s="1"/>
  <c r="S174" i="2"/>
  <c r="V174" i="2" s="1"/>
  <c r="S187" i="2"/>
  <c r="V187" i="2" s="1"/>
  <c r="S192" i="2"/>
  <c r="V192" i="2" s="1"/>
  <c r="S164" i="2"/>
  <c r="V164" i="2" s="1"/>
  <c r="S237" i="2"/>
  <c r="V237" i="2" s="1"/>
  <c r="S215" i="2"/>
  <c r="V215" i="2" s="1"/>
  <c r="S233" i="2"/>
  <c r="V233" i="2" s="1"/>
  <c r="S258" i="2"/>
  <c r="V258" i="2" s="1"/>
  <c r="S276" i="2"/>
  <c r="V276" i="2" s="1"/>
  <c r="S289" i="2"/>
  <c r="V289" i="2" s="1"/>
  <c r="S317" i="2"/>
  <c r="V317" i="2" s="1"/>
  <c r="S316" i="2"/>
  <c r="V316" i="2" s="1"/>
  <c r="S20" i="2"/>
  <c r="V20" i="2" s="1"/>
  <c r="S103" i="2"/>
  <c r="V103" i="2" s="1"/>
  <c r="S47" i="2"/>
  <c r="V47" i="2" s="1"/>
  <c r="S31" i="2"/>
  <c r="V31" i="2" s="1"/>
  <c r="S15" i="2"/>
  <c r="V15" i="2" s="1"/>
  <c r="S65" i="2"/>
  <c r="V65" i="2" s="1"/>
  <c r="S62" i="2"/>
  <c r="V62" i="2" s="1"/>
  <c r="S40" i="2"/>
  <c r="V40" i="2" s="1"/>
  <c r="S24" i="2"/>
  <c r="V24" i="2" s="1"/>
  <c r="S152" i="2"/>
  <c r="V152" i="2" s="1"/>
  <c r="S58" i="2"/>
  <c r="V58" i="2" s="1"/>
  <c r="S63" i="2"/>
  <c r="V63" i="2" s="1"/>
  <c r="S76" i="2"/>
  <c r="V76" i="2" s="1"/>
  <c r="S89" i="2"/>
  <c r="V89" i="2" s="1"/>
  <c r="S94" i="2"/>
  <c r="V94" i="2" s="1"/>
  <c r="S69" i="2"/>
  <c r="V69" i="2" s="1"/>
  <c r="S148" i="2"/>
  <c r="V148" i="2" s="1"/>
  <c r="S110" i="2"/>
  <c r="V110" i="2" s="1"/>
  <c r="S115" i="2"/>
  <c r="V115" i="2" s="1"/>
  <c r="S128" i="2"/>
  <c r="V128" i="2" s="1"/>
  <c r="S154" i="2"/>
  <c r="V154" i="2" s="1"/>
  <c r="S160" i="2"/>
  <c r="V160" i="2" s="1"/>
  <c r="S173" i="2"/>
  <c r="V173" i="2" s="1"/>
  <c r="S186" i="2"/>
  <c r="V186" i="2" s="1"/>
  <c r="S204" i="2"/>
  <c r="V204" i="2" s="1"/>
  <c r="S166" i="2"/>
  <c r="V166" i="2" s="1"/>
  <c r="S229" i="2"/>
  <c r="V229" i="2" s="1"/>
  <c r="S250" i="2"/>
  <c r="V250" i="2" s="1"/>
  <c r="S274" i="2"/>
  <c r="V274" i="2" s="1"/>
  <c r="S252" i="2"/>
  <c r="V252" i="2" s="1"/>
  <c r="S222" i="2"/>
  <c r="V222" i="2" s="1"/>
  <c r="S243" i="2"/>
  <c r="V243" i="2" s="1"/>
  <c r="S303" i="2"/>
  <c r="V303" i="2" s="1"/>
  <c r="S257" i="2"/>
  <c r="V257" i="2" s="1"/>
  <c r="S262" i="2"/>
  <c r="V262" i="2" s="1"/>
  <c r="S275" i="2"/>
  <c r="V275" i="2" s="1"/>
  <c r="S368" i="2"/>
  <c r="V368" i="2" s="1"/>
  <c r="S378" i="2"/>
  <c r="V378" i="2" s="1"/>
  <c r="S341" i="2"/>
  <c r="V341" i="2" s="1"/>
  <c r="S339" i="2"/>
  <c r="V339" i="2" s="1"/>
  <c r="S334" i="2"/>
  <c r="V334" i="2" s="1"/>
  <c r="S354" i="2"/>
  <c r="V354" i="2" s="1"/>
  <c r="S375" i="2"/>
  <c r="V375" i="2" s="1"/>
  <c r="S388" i="2"/>
  <c r="V388" i="2" s="1"/>
  <c r="S387" i="2"/>
  <c r="V387" i="2" s="1"/>
  <c r="S38" i="2"/>
  <c r="V38" i="2" s="1"/>
  <c r="S22" i="2"/>
  <c r="V22" i="2" s="1"/>
  <c r="S44" i="2"/>
  <c r="V44" i="2" s="1"/>
  <c r="S28" i="2"/>
  <c r="V28" i="2" s="1"/>
  <c r="S12" i="2"/>
  <c r="V12" i="2" s="1"/>
  <c r="S71" i="2"/>
  <c r="V71" i="2" s="1"/>
  <c r="S39" i="2"/>
  <c r="V39" i="2" s="1"/>
  <c r="S23" i="2"/>
  <c r="V23" i="2" s="1"/>
  <c r="S51" i="2"/>
  <c r="V51" i="2" s="1"/>
  <c r="S79" i="2"/>
  <c r="V79" i="2" s="1"/>
  <c r="S37" i="2"/>
  <c r="V37" i="2" s="1"/>
  <c r="S21" i="2"/>
  <c r="V21" i="2" s="1"/>
  <c r="S41" i="2"/>
  <c r="V41" i="2" s="1"/>
  <c r="S25" i="2"/>
  <c r="V25" i="2" s="1"/>
  <c r="S84" i="2"/>
  <c r="V84" i="2" s="1"/>
  <c r="S64" i="2"/>
  <c r="V64" i="2" s="1"/>
  <c r="S136" i="2"/>
  <c r="V136" i="2" s="1"/>
  <c r="S149" i="2"/>
  <c r="V149" i="2" s="1"/>
  <c r="S181" i="2"/>
  <c r="V181" i="2" s="1"/>
  <c r="S161" i="2"/>
  <c r="V161" i="2" s="1"/>
  <c r="S230" i="2"/>
  <c r="V230" i="2" s="1"/>
  <c r="S251" i="2"/>
  <c r="V251" i="2" s="1"/>
  <c r="S283" i="2"/>
  <c r="V283" i="2" s="1"/>
  <c r="S296" i="2"/>
  <c r="V296" i="2" s="1"/>
  <c r="S381" i="2"/>
  <c r="V381" i="2" s="1"/>
  <c r="S349" i="2"/>
  <c r="V349" i="2" s="1"/>
  <c r="S347" i="2"/>
  <c r="V347" i="2" s="1"/>
  <c r="S376" i="2"/>
  <c r="V376" i="2" s="1"/>
  <c r="S350" i="2"/>
  <c r="V350" i="2" s="1"/>
  <c r="S52" i="2"/>
  <c r="V52" i="2" s="1"/>
  <c r="S92" i="2"/>
  <c r="V92" i="2" s="1"/>
  <c r="S72" i="2"/>
  <c r="V72" i="2" s="1"/>
  <c r="S157" i="2"/>
  <c r="V157" i="2" s="1"/>
  <c r="S189" i="2"/>
  <c r="V189" i="2" s="1"/>
  <c r="S169" i="2"/>
  <c r="V169" i="2" s="1"/>
  <c r="S223" i="2"/>
  <c r="V223" i="2" s="1"/>
  <c r="S238" i="2"/>
  <c r="V238" i="2" s="1"/>
  <c r="S291" i="2"/>
  <c r="V291" i="2" s="1"/>
  <c r="S304" i="2"/>
  <c r="V304" i="2" s="1"/>
  <c r="S384" i="2"/>
  <c r="V384" i="2" s="1"/>
  <c r="S357" i="2"/>
  <c r="V357" i="2" s="1"/>
  <c r="S355" i="2"/>
  <c r="V355" i="2" s="1"/>
  <c r="S358" i="2"/>
  <c r="V358" i="2" s="1"/>
  <c r="S56" i="2"/>
  <c r="V56" i="2" s="1"/>
  <c r="S301" i="2"/>
  <c r="V301" i="2" s="1"/>
  <c r="J4" i="2"/>
  <c r="P11" i="2"/>
  <c r="S100" i="2"/>
  <c r="V100" i="2" s="1"/>
  <c r="S80" i="2"/>
  <c r="V80" i="2" s="1"/>
  <c r="S121" i="2"/>
  <c r="V121" i="2" s="1"/>
  <c r="S197" i="2"/>
  <c r="V197" i="2" s="1"/>
  <c r="S177" i="2"/>
  <c r="V177" i="2" s="1"/>
  <c r="S231" i="2"/>
  <c r="V231" i="2" s="1"/>
  <c r="S246" i="2"/>
  <c r="V246" i="2" s="1"/>
  <c r="S299" i="2"/>
  <c r="V299" i="2" s="1"/>
  <c r="S261" i="2"/>
  <c r="V261" i="2" s="1"/>
  <c r="S365" i="2"/>
  <c r="V365" i="2" s="1"/>
  <c r="S363" i="2"/>
  <c r="V363" i="2" s="1"/>
  <c r="S389" i="2"/>
  <c r="V389" i="2" s="1"/>
  <c r="S366" i="2"/>
  <c r="V366" i="2" s="1"/>
  <c r="S88" i="2"/>
  <c r="V88" i="2" s="1"/>
  <c r="S129" i="2"/>
  <c r="V129" i="2" s="1"/>
  <c r="S205" i="2"/>
  <c r="V205" i="2" s="1"/>
  <c r="S159" i="2"/>
  <c r="V159" i="2" s="1"/>
  <c r="S185" i="2"/>
  <c r="V185" i="2" s="1"/>
  <c r="S218" i="2"/>
  <c r="V218" i="2" s="1"/>
  <c r="S239" i="2"/>
  <c r="V239" i="2" s="1"/>
  <c r="S254" i="2"/>
  <c r="V254" i="2" s="1"/>
  <c r="S271" i="2"/>
  <c r="V271" i="2" s="1"/>
  <c r="S307" i="2"/>
  <c r="V307" i="2" s="1"/>
  <c r="S269" i="2"/>
  <c r="V269" i="2" s="1"/>
  <c r="S333" i="2"/>
  <c r="V333" i="2" s="1"/>
  <c r="S373" i="2"/>
  <c r="V373" i="2" s="1"/>
  <c r="S371" i="2"/>
  <c r="V371" i="2" s="1"/>
  <c r="S141" i="2"/>
  <c r="V141" i="2" s="1"/>
  <c r="S45" i="2"/>
  <c r="V45" i="2" s="1"/>
  <c r="S29" i="2"/>
  <c r="V29" i="2" s="1"/>
  <c r="S13" i="2"/>
  <c r="V13" i="2" s="1"/>
  <c r="S49" i="2"/>
  <c r="V49" i="2" s="1"/>
  <c r="S33" i="2"/>
  <c r="V33" i="2" s="1"/>
  <c r="S17" i="2"/>
  <c r="V17" i="2" s="1"/>
  <c r="S96" i="2"/>
  <c r="V96" i="2" s="1"/>
  <c r="S137" i="2"/>
  <c r="V137" i="2" s="1"/>
  <c r="S117" i="2"/>
  <c r="V117" i="2" s="1"/>
  <c r="S193" i="2"/>
  <c r="V193" i="2" s="1"/>
  <c r="S247" i="2"/>
  <c r="V247" i="2" s="1"/>
  <c r="S277" i="2"/>
  <c r="V277" i="2" s="1"/>
  <c r="S344" i="2"/>
  <c r="V344" i="2" s="1"/>
  <c r="S314" i="2"/>
  <c r="V314" i="2" s="1"/>
  <c r="S313" i="2"/>
  <c r="V313" i="2" s="1"/>
  <c r="S310" i="2"/>
  <c r="V310" i="2" s="1"/>
  <c r="S336" i="2"/>
  <c r="V336" i="2" s="1"/>
  <c r="L4" i="2"/>
  <c r="R11" i="2"/>
  <c r="S342" i="2"/>
  <c r="V342" i="2" s="1"/>
  <c r="K4" i="2"/>
  <c r="Q11" i="2"/>
  <c r="S60" i="2"/>
  <c r="V60" i="2" s="1"/>
  <c r="S104" i="2"/>
  <c r="V104" i="2" s="1"/>
  <c r="S145" i="2"/>
  <c r="V145" i="2" s="1"/>
  <c r="S125" i="2"/>
  <c r="V125" i="2" s="1"/>
  <c r="S201" i="2"/>
  <c r="V201" i="2" s="1"/>
  <c r="S255" i="2"/>
  <c r="V255" i="2" s="1"/>
  <c r="S227" i="2"/>
  <c r="V227" i="2" s="1"/>
  <c r="S300" i="2"/>
  <c r="V300" i="2" s="1"/>
  <c r="S285" i="2"/>
  <c r="V285" i="2" s="1"/>
  <c r="S352" i="2"/>
  <c r="V352" i="2" s="1"/>
  <c r="S322" i="2"/>
  <c r="V322" i="2" s="1"/>
  <c r="S318" i="2"/>
  <c r="V318" i="2" s="1"/>
  <c r="S288" i="2"/>
  <c r="V288" i="2" s="1"/>
  <c r="I4" i="2"/>
  <c r="O11" i="2"/>
  <c r="S68" i="2"/>
  <c r="V68" i="2" s="1"/>
  <c r="S153" i="2"/>
  <c r="V153" i="2" s="1"/>
  <c r="S133" i="2"/>
  <c r="V133" i="2" s="1"/>
  <c r="S211" i="2"/>
  <c r="V211" i="2" s="1"/>
  <c r="S165" i="2"/>
  <c r="V165" i="2" s="1"/>
  <c r="S209" i="2"/>
  <c r="V209" i="2" s="1"/>
  <c r="S235" i="2"/>
  <c r="V235" i="2" s="1"/>
  <c r="S280" i="2"/>
  <c r="V280" i="2" s="1"/>
  <c r="S293" i="2"/>
  <c r="V293" i="2" s="1"/>
  <c r="S360" i="2"/>
  <c r="V360" i="2" s="1"/>
  <c r="S330" i="2"/>
  <c r="V330" i="2" s="1"/>
  <c r="S329" i="2"/>
  <c r="V329" i="2" s="1"/>
  <c r="S326" i="2"/>
  <c r="V326" i="2" s="1"/>
  <c r="S379" i="2"/>
  <c r="V379" i="2" s="1"/>
  <c r="S11" i="2" l="1"/>
  <c r="V11" i="2" s="1"/>
  <c r="V10" i="2" l="1"/>
  <c r="W32" i="2" l="1"/>
  <c r="W306" i="2"/>
  <c r="W62" i="2"/>
  <c r="W167" i="2"/>
  <c r="W311" i="2"/>
  <c r="W120" i="2"/>
  <c r="W270" i="2"/>
  <c r="W147" i="2"/>
  <c r="W258" i="2"/>
  <c r="W31" i="2"/>
  <c r="W24" i="2"/>
  <c r="W58" i="2"/>
  <c r="W128" i="2"/>
  <c r="W274" i="2"/>
  <c r="W354" i="2"/>
  <c r="W12" i="2"/>
  <c r="W19" i="2"/>
  <c r="W67" i="2"/>
  <c r="W331" i="2"/>
  <c r="W108" i="2"/>
  <c r="W345" i="2"/>
  <c r="W203" i="2"/>
  <c r="W214" i="2"/>
  <c r="W386" i="2"/>
  <c r="W241" i="2"/>
  <c r="W328" i="2"/>
  <c r="W234" i="2"/>
  <c r="W364" i="2"/>
  <c r="W221" i="2"/>
  <c r="W131" i="2"/>
  <c r="W198" i="2"/>
  <c r="W83" i="2"/>
  <c r="W305" i="2"/>
  <c r="W367" i="2"/>
  <c r="W199" i="2"/>
  <c r="W217" i="2"/>
  <c r="W275" i="2"/>
  <c r="W346" i="2"/>
  <c r="W36" i="2"/>
  <c r="W91" i="2"/>
  <c r="W265" i="2"/>
  <c r="W75" i="2"/>
  <c r="W180" i="2"/>
  <c r="W338" i="2"/>
  <c r="W151" i="2"/>
  <c r="W335" i="2"/>
  <c r="W174" i="2"/>
  <c r="W276" i="2"/>
  <c r="W15" i="2"/>
  <c r="W59" i="2"/>
  <c r="W63" i="2"/>
  <c r="W154" i="2"/>
  <c r="W252" i="2"/>
  <c r="W375" i="2"/>
  <c r="W71" i="2"/>
  <c r="W97" i="2"/>
  <c r="W76" i="2"/>
  <c r="W298" i="2"/>
  <c r="W127" i="2"/>
  <c r="W324" i="2"/>
  <c r="W194" i="2"/>
  <c r="W240" i="2"/>
  <c r="W377" i="2"/>
  <c r="W216" i="2"/>
  <c r="W273" i="2"/>
  <c r="W210" i="2"/>
  <c r="W390" i="2"/>
  <c r="W219" i="2"/>
  <c r="W122" i="2"/>
  <c r="W98" i="2"/>
  <c r="W188" i="2"/>
  <c r="W55" i="2"/>
  <c r="W182" i="2"/>
  <c r="W369" i="2"/>
  <c r="W143" i="2"/>
  <c r="W16" i="2"/>
  <c r="W105" i="2"/>
  <c r="W382" i="2"/>
  <c r="W111" i="2"/>
  <c r="W226" i="2"/>
  <c r="W343" i="2"/>
  <c r="W139" i="2"/>
  <c r="W327" i="2"/>
  <c r="W187" i="2"/>
  <c r="W289" i="2"/>
  <c r="W42" i="2"/>
  <c r="W85" i="2"/>
  <c r="W89" i="2"/>
  <c r="W160" i="2"/>
  <c r="W222" i="2"/>
  <c r="W388" i="2"/>
  <c r="W39" i="2"/>
  <c r="W79" i="2"/>
  <c r="W368" i="2"/>
  <c r="W259" i="2"/>
  <c r="W101" i="2"/>
  <c r="W295" i="2"/>
  <c r="W184" i="2"/>
  <c r="W191" i="2"/>
  <c r="W337" i="2"/>
  <c r="W156" i="2"/>
  <c r="W212" i="2"/>
  <c r="W113" i="2"/>
  <c r="W370" i="2"/>
  <c r="W225" i="2"/>
  <c r="W112" i="2"/>
  <c r="W134" i="2"/>
  <c r="W118" i="2"/>
  <c r="W281" i="2"/>
  <c r="W78" i="2"/>
  <c r="W195" i="2"/>
  <c r="W215" i="2"/>
  <c r="W119" i="2"/>
  <c r="W229" i="2"/>
  <c r="W172" i="2"/>
  <c r="W232" i="2"/>
  <c r="W228" i="2"/>
  <c r="W279" i="2"/>
  <c r="W138" i="2"/>
  <c r="W362" i="2"/>
  <c r="W124" i="2"/>
  <c r="W236" i="2"/>
  <c r="W356" i="2"/>
  <c r="W171" i="2"/>
  <c r="W46" i="2"/>
  <c r="W192" i="2"/>
  <c r="W317" i="2"/>
  <c r="W26" i="2"/>
  <c r="W86" i="2"/>
  <c r="W94" i="2"/>
  <c r="W186" i="2"/>
  <c r="W303" i="2"/>
  <c r="W81" i="2"/>
  <c r="W23" i="2"/>
  <c r="W361" i="2"/>
  <c r="W339" i="2"/>
  <c r="W315" i="2"/>
  <c r="W294" i="2"/>
  <c r="W175" i="2"/>
  <c r="W70" i="2"/>
  <c r="W321" i="2"/>
  <c r="W372" i="2"/>
  <c r="W178" i="2"/>
  <c r="W332" i="2"/>
  <c r="W206" i="2"/>
  <c r="W325" i="2"/>
  <c r="W123" i="2"/>
  <c r="W73" i="2"/>
  <c r="W242" i="2"/>
  <c r="W264" i="2"/>
  <c r="W44" i="2"/>
  <c r="W278" i="2"/>
  <c r="W297" i="2"/>
  <c r="W286" i="2"/>
  <c r="W340" i="2"/>
  <c r="W163" i="2"/>
  <c r="W126" i="2"/>
  <c r="W77" i="2"/>
  <c r="W150" i="2"/>
  <c r="W287" i="2"/>
  <c r="W53" i="2"/>
  <c r="W202" i="2"/>
  <c r="W30" i="2"/>
  <c r="W164" i="2"/>
  <c r="W316" i="2"/>
  <c r="W43" i="2"/>
  <c r="W152" i="2"/>
  <c r="W69" i="2"/>
  <c r="W204" i="2"/>
  <c r="W257" i="2"/>
  <c r="W38" i="2"/>
  <c r="W50" i="2"/>
  <c r="W268" i="2"/>
  <c r="W18" i="2"/>
  <c r="W292" i="2"/>
  <c r="W267" i="2"/>
  <c r="W109" i="2"/>
  <c r="W87" i="2"/>
  <c r="W320" i="2"/>
  <c r="W374" i="2"/>
  <c r="W168" i="2"/>
  <c r="W243" i="2"/>
  <c r="W319" i="2"/>
  <c r="W196" i="2"/>
  <c r="W309" i="2"/>
  <c r="W263" i="2"/>
  <c r="W114" i="2"/>
  <c r="W173" i="2"/>
  <c r="W248" i="2"/>
  <c r="W176" i="2"/>
  <c r="W158" i="2"/>
  <c r="W90" i="2"/>
  <c r="W155" i="2"/>
  <c r="W302" i="2"/>
  <c r="W48" i="2"/>
  <c r="W207" i="2"/>
  <c r="W14" i="2"/>
  <c r="W237" i="2"/>
  <c r="W20" i="2"/>
  <c r="W27" i="2"/>
  <c r="W106" i="2"/>
  <c r="W148" i="2"/>
  <c r="W166" i="2"/>
  <c r="W262" i="2"/>
  <c r="W22" i="2"/>
  <c r="W34" i="2"/>
  <c r="W244" i="2"/>
  <c r="W383" i="2"/>
  <c r="W253" i="2"/>
  <c r="W245" i="2"/>
  <c r="W146" i="2"/>
  <c r="W282" i="2"/>
  <c r="W74" i="2"/>
  <c r="W385" i="2"/>
  <c r="W130" i="2"/>
  <c r="W341" i="2"/>
  <c r="W266" i="2"/>
  <c r="W179" i="2"/>
  <c r="W200" i="2"/>
  <c r="W284" i="2"/>
  <c r="W61" i="2"/>
  <c r="W190" i="2"/>
  <c r="W95" i="2"/>
  <c r="W103" i="2"/>
  <c r="W65" i="2"/>
  <c r="W110" i="2"/>
  <c r="W54" i="2"/>
  <c r="W351" i="2"/>
  <c r="W135" i="2"/>
  <c r="W144" i="2"/>
  <c r="W359" i="2"/>
  <c r="W102" i="2"/>
  <c r="W334" i="2"/>
  <c r="W170" i="2"/>
  <c r="W224" i="2"/>
  <c r="W57" i="2"/>
  <c r="W162" i="2"/>
  <c r="W323" i="2"/>
  <c r="W66" i="2"/>
  <c r="W312" i="2"/>
  <c r="W142" i="2"/>
  <c r="W233" i="2"/>
  <c r="W47" i="2"/>
  <c r="W40" i="2"/>
  <c r="W132" i="2"/>
  <c r="W115" i="2"/>
  <c r="W250" i="2"/>
  <c r="W378" i="2"/>
  <c r="W28" i="2"/>
  <c r="W51" i="2"/>
  <c r="W116" i="2"/>
  <c r="W353" i="2"/>
  <c r="W183" i="2"/>
  <c r="W380" i="2"/>
  <c r="W249" i="2"/>
  <c r="W93" i="2"/>
  <c r="W272" i="2"/>
  <c r="W35" i="2"/>
  <c r="W220" i="2"/>
  <c r="W290" i="2"/>
  <c r="W99" i="2"/>
  <c r="W256" i="2"/>
  <c r="W387" i="2"/>
  <c r="W260" i="2"/>
  <c r="W140" i="2"/>
  <c r="W213" i="2"/>
  <c r="W308" i="2"/>
  <c r="W348" i="2"/>
  <c r="W208" i="2"/>
  <c r="W82" i="2"/>
  <c r="W107" i="2"/>
  <c r="W330" i="2"/>
  <c r="W238" i="2"/>
  <c r="W125" i="2"/>
  <c r="W169" i="2"/>
  <c r="W145" i="2"/>
  <c r="W376" i="2"/>
  <c r="W336" i="2"/>
  <c r="W157" i="2"/>
  <c r="W379" i="2"/>
  <c r="W205" i="2"/>
  <c r="W326" i="2"/>
  <c r="W197" i="2"/>
  <c r="W329" i="2"/>
  <c r="W121" i="2"/>
  <c r="W352" i="2"/>
  <c r="W239" i="2"/>
  <c r="W149" i="2"/>
  <c r="W88" i="2"/>
  <c r="W104" i="2"/>
  <c r="W357" i="2"/>
  <c r="W363" i="2"/>
  <c r="W133" i="2"/>
  <c r="W283" i="2"/>
  <c r="W247" i="2"/>
  <c r="W350" i="2"/>
  <c r="W193" i="2"/>
  <c r="W161" i="2"/>
  <c r="W117" i="2"/>
  <c r="W347" i="2"/>
  <c r="W209" i="2"/>
  <c r="W366" i="2"/>
  <c r="W165" i="2"/>
  <c r="W304" i="2"/>
  <c r="W211" i="2"/>
  <c r="W291" i="2"/>
  <c r="W355" i="2"/>
  <c r="W358" i="2"/>
  <c r="W277" i="2"/>
  <c r="W255" i="2"/>
  <c r="W84" i="2"/>
  <c r="W13" i="2"/>
  <c r="W230" i="2"/>
  <c r="W29" i="2"/>
  <c r="W21" i="2"/>
  <c r="W45" i="2"/>
  <c r="W181" i="2"/>
  <c r="W285" i="2"/>
  <c r="W177" i="2"/>
  <c r="W300" i="2"/>
  <c r="W92" i="2"/>
  <c r="W227" i="2"/>
  <c r="W52" i="2"/>
  <c r="W56" i="2"/>
  <c r="W231" i="2"/>
  <c r="W129" i="2"/>
  <c r="W80" i="2"/>
  <c r="W25" i="2"/>
  <c r="W344" i="2"/>
  <c r="W301" i="2"/>
  <c r="W371" i="2"/>
  <c r="W41" i="2"/>
  <c r="W373" i="2"/>
  <c r="W261" i="2"/>
  <c r="W141" i="2"/>
  <c r="W37" i="2"/>
  <c r="W60" i="2"/>
  <c r="W384" i="2"/>
  <c r="W313" i="2"/>
  <c r="W381" i="2"/>
  <c r="W314" i="2"/>
  <c r="W296" i="2"/>
  <c r="W189" i="2"/>
  <c r="W389" i="2"/>
  <c r="W33" i="2"/>
  <c r="W293" i="2"/>
  <c r="W218" i="2"/>
  <c r="W153" i="2"/>
  <c r="W185" i="2"/>
  <c r="W251" i="2"/>
  <c r="W333" i="2"/>
  <c r="W360" i="2"/>
  <c r="W342" i="2"/>
  <c r="W72" i="2"/>
  <c r="W96" i="2"/>
  <c r="W136" i="2"/>
  <c r="W17" i="2"/>
  <c r="W64" i="2"/>
  <c r="W288" i="2"/>
  <c r="W322" i="2"/>
  <c r="W223" i="2"/>
  <c r="W254" i="2"/>
  <c r="W68" i="2"/>
  <c r="W299" i="2"/>
  <c r="W280" i="2"/>
  <c r="W246" i="2"/>
  <c r="W235" i="2"/>
  <c r="W159" i="2"/>
  <c r="W201" i="2"/>
  <c r="W310" i="2"/>
  <c r="W349" i="2"/>
  <c r="W307" i="2"/>
  <c r="W49" i="2"/>
  <c r="W271" i="2"/>
  <c r="W365" i="2"/>
  <c r="W137" i="2"/>
  <c r="W100" i="2"/>
  <c r="W318" i="2"/>
  <c r="W269" i="2"/>
  <c r="W11" i="2"/>
  <c r="W10" i="2" l="1"/>
  <c r="Y1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9" authorId="0" shapeId="0" xr:uid="{A9FD8B90-2BB2-40CA-AC92-592F7D03F80E}">
      <text>
        <r>
          <rPr>
            <b/>
            <sz val="9"/>
            <color rgb="FF000000"/>
            <rFont val="Calibri"/>
            <family val="2"/>
          </rPr>
          <t xml:space="preserve">MinBZK:
</t>
        </r>
        <r>
          <rPr>
            <sz val="9"/>
            <color rgb="FF000000"/>
            <rFont val="Calibri"/>
            <family val="2"/>
          </rPr>
          <t>opnamevermogen regionale arbeidsmarkt: aantal banen binnen acceptabele reistijd / beroepsbevolking</t>
        </r>
      </text>
    </comment>
  </commentList>
</comments>
</file>

<file path=xl/sharedStrings.xml><?xml version="1.0" encoding="utf-8"?>
<sst xmlns="http://schemas.openxmlformats.org/spreadsheetml/2006/main" count="11572" uniqueCount="1336">
  <si>
    <t>Aa en Hunze</t>
  </si>
  <si>
    <t>Gemeentecode:</t>
  </si>
  <si>
    <t>Nieuw Wajong</t>
  </si>
  <si>
    <t>Nieuw Begeleiding</t>
  </si>
  <si>
    <t>Macrobudget</t>
  </si>
  <si>
    <t>Budget gemeente</t>
  </si>
  <si>
    <t>Gemeentelijke indeling 2019</t>
  </si>
  <si>
    <t>Aandeel</t>
  </si>
  <si>
    <t>CBS-code</t>
  </si>
  <si>
    <t>Gemeente</t>
  </si>
  <si>
    <t>instroom Wajong</t>
  </si>
  <si>
    <t>SOM</t>
  </si>
  <si>
    <t>Aalsmeer</t>
  </si>
  <si>
    <t>Aalten</t>
  </si>
  <si>
    <t>Achtkarspelen</t>
  </si>
  <si>
    <t>Alblasserdam</t>
  </si>
  <si>
    <t>Albrandswaard</t>
  </si>
  <si>
    <t>Alkmaar</t>
  </si>
  <si>
    <t>Almelo</t>
  </si>
  <si>
    <t>Almere</t>
  </si>
  <si>
    <t>Alphen aan den Rijn</t>
  </si>
  <si>
    <t>Alphen-Chaam</t>
  </si>
  <si>
    <t>Altena</t>
  </si>
  <si>
    <t>Ameland</t>
  </si>
  <si>
    <t>Amersfoort</t>
  </si>
  <si>
    <t>Amstelveen</t>
  </si>
  <si>
    <t>Amsterdam</t>
  </si>
  <si>
    <t>Apeldoorn</t>
  </si>
  <si>
    <t>Appingedam</t>
  </si>
  <si>
    <t>Arnhem</t>
  </si>
  <si>
    <t>Assen</t>
  </si>
  <si>
    <t>Asten</t>
  </si>
  <si>
    <t>Baarle-Nassau</t>
  </si>
  <si>
    <t>Baarn</t>
  </si>
  <si>
    <t>Barendrecht</t>
  </si>
  <si>
    <t>Barneveld</t>
  </si>
  <si>
    <t>Beek</t>
  </si>
  <si>
    <t>Beekdaelen</t>
  </si>
  <si>
    <t>Beemster</t>
  </si>
  <si>
    <t>Beesel</t>
  </si>
  <si>
    <t>Berg en Dal</t>
  </si>
  <si>
    <t>Bergeijk</t>
  </si>
  <si>
    <t>Bergen L</t>
  </si>
  <si>
    <t>Bergen NH</t>
  </si>
  <si>
    <t>Bergen op Zoom</t>
  </si>
  <si>
    <t>Berkelland</t>
  </si>
  <si>
    <t>Bernheze</t>
  </si>
  <si>
    <t>Best</t>
  </si>
  <si>
    <t>Beuningen</t>
  </si>
  <si>
    <t>Beverwijk</t>
  </si>
  <si>
    <t>Bladel</t>
  </si>
  <si>
    <t>Blaricum</t>
  </si>
  <si>
    <t>Bloemendaal</t>
  </si>
  <si>
    <t>Bodegraven-Reeuwijk</t>
  </si>
  <si>
    <t>Boekel</t>
  </si>
  <si>
    <t>Borger-Odoorn</t>
  </si>
  <si>
    <t>Borne</t>
  </si>
  <si>
    <t>Borsele</t>
  </si>
  <si>
    <t>Boxmeer</t>
  </si>
  <si>
    <t>Boxtel</t>
  </si>
  <si>
    <t>Breda</t>
  </si>
  <si>
    <t>Brielle</t>
  </si>
  <si>
    <t>Bronckhorst</t>
  </si>
  <si>
    <t>Brummen</t>
  </si>
  <si>
    <t>Brunssum</t>
  </si>
  <si>
    <t>Bunnik</t>
  </si>
  <si>
    <t>Bunschoten</t>
  </si>
  <si>
    <t>Buren</t>
  </si>
  <si>
    <t>Capelle aan den IJssel</t>
  </si>
  <si>
    <t>Castricum</t>
  </si>
  <si>
    <t>Coevorden</t>
  </si>
  <si>
    <t>Cranendonck</t>
  </si>
  <si>
    <t>Cuijk</t>
  </si>
  <si>
    <t>Culemborg</t>
  </si>
  <si>
    <t>Dalfsen</t>
  </si>
  <si>
    <t>Dantumadiel</t>
  </si>
  <si>
    <t>De Bilt</t>
  </si>
  <si>
    <t>De Fryske Marren</t>
  </si>
  <si>
    <t>De Ronde Venen</t>
  </si>
  <si>
    <t>De Wolden</t>
  </si>
  <si>
    <t>Delft</t>
  </si>
  <si>
    <t>Delfzijl</t>
  </si>
  <si>
    <t>Den Helder</t>
  </si>
  <si>
    <t>Deurne</t>
  </si>
  <si>
    <t>Deventer</t>
  </si>
  <si>
    <t>Diemen</t>
  </si>
  <si>
    <t>Dinkelland</t>
  </si>
  <si>
    <t>Doesburg</t>
  </si>
  <si>
    <t>Doetinchem</t>
  </si>
  <si>
    <t>Dongen</t>
  </si>
  <si>
    <t>Dordrecht</t>
  </si>
  <si>
    <t>Drechterland</t>
  </si>
  <si>
    <t>Drimmelen</t>
  </si>
  <si>
    <t>Dronten</t>
  </si>
  <si>
    <t>Druten</t>
  </si>
  <si>
    <t>Duiven</t>
  </si>
  <si>
    <t>Echt-Susteren</t>
  </si>
  <si>
    <t>Edam-Volendam</t>
  </si>
  <si>
    <t>Ede</t>
  </si>
  <si>
    <t>Eemnes</t>
  </si>
  <si>
    <t>Eersel</t>
  </si>
  <si>
    <t>Eijsden-Margraten</t>
  </si>
  <si>
    <t>Eindhoven</t>
  </si>
  <si>
    <t>Elburg</t>
  </si>
  <si>
    <t>Emmen</t>
  </si>
  <si>
    <t>Enkhuizen</t>
  </si>
  <si>
    <t>Enschede</t>
  </si>
  <si>
    <t>Epe</t>
  </si>
  <si>
    <t>Ermelo</t>
  </si>
  <si>
    <t>Etten-Leur</t>
  </si>
  <si>
    <t>Geertruidenberg</t>
  </si>
  <si>
    <t>Geldrop-Mierlo</t>
  </si>
  <si>
    <t>Gemert-Bakel</t>
  </si>
  <si>
    <t>Gennep</t>
  </si>
  <si>
    <t>Gilze en Rijen</t>
  </si>
  <si>
    <t>Goeree-Overflakkee</t>
  </si>
  <si>
    <t>Goes</t>
  </si>
  <si>
    <t>Goirle</t>
  </si>
  <si>
    <t>Gooise Meren</t>
  </si>
  <si>
    <t>Gorinchem</t>
  </si>
  <si>
    <t>Gouda</t>
  </si>
  <si>
    <t>Grave</t>
  </si>
  <si>
    <t>Groningen</t>
  </si>
  <si>
    <t>Gulpen-Wittem</t>
  </si>
  <si>
    <t>Haaksbergen</t>
  </si>
  <si>
    <t>Haaren</t>
  </si>
  <si>
    <t>Haarlem</t>
  </si>
  <si>
    <t>Haarlemmermeer</t>
  </si>
  <si>
    <t>Halderberge</t>
  </si>
  <si>
    <t>Hardenberg</t>
  </si>
  <si>
    <t>Harderwijk</t>
  </si>
  <si>
    <t>Hardinxveld-Giessendam</t>
  </si>
  <si>
    <t>Harlingen</t>
  </si>
  <si>
    <t>Hattem</t>
  </si>
  <si>
    <t>Heemskerk</t>
  </si>
  <si>
    <t>Heemstede</t>
  </si>
  <si>
    <t>Heerde</t>
  </si>
  <si>
    <t>Heerenveen</t>
  </si>
  <si>
    <t>Heerhugowaard</t>
  </si>
  <si>
    <t>Heerlen</t>
  </si>
  <si>
    <t>Heeze-Leende</t>
  </si>
  <si>
    <t>Heiloo</t>
  </si>
  <si>
    <t>Hellendoorn</t>
  </si>
  <si>
    <t>Hellevoetsluis</t>
  </si>
  <si>
    <t>Helmond</t>
  </si>
  <si>
    <t>Hendrik-Ido-Ambacht</t>
  </si>
  <si>
    <t>Hengelo O</t>
  </si>
  <si>
    <t>Het Hogeland</t>
  </si>
  <si>
    <t>Heumen</t>
  </si>
  <si>
    <t>Heusden</t>
  </si>
  <si>
    <t>Hillegom</t>
  </si>
  <si>
    <t>Hilvarenbeek</t>
  </si>
  <si>
    <t>Hilversum</t>
  </si>
  <si>
    <t>Hoeksche Waard</t>
  </si>
  <si>
    <t>Hof van Twente</t>
  </si>
  <si>
    <t>Hollands Kroon</t>
  </si>
  <si>
    <t>Hoogeveen</t>
  </si>
  <si>
    <t>Hoorn</t>
  </si>
  <si>
    <t>Horst aan de Maas</t>
  </si>
  <si>
    <t>Houten</t>
  </si>
  <si>
    <t>Huizen</t>
  </si>
  <si>
    <t>Hulst</t>
  </si>
  <si>
    <t>IJsselstein</t>
  </si>
  <si>
    <t>Kaag en Braassem</t>
  </si>
  <si>
    <t>Kampen</t>
  </si>
  <si>
    <t>Kapelle</t>
  </si>
  <si>
    <t>Katwijk</t>
  </si>
  <si>
    <t>Kerkrade</t>
  </si>
  <si>
    <t>Koggenland</t>
  </si>
  <si>
    <t>Krimpen aan den IJssel</t>
  </si>
  <si>
    <t>Krimpenerwaard</t>
  </si>
  <si>
    <t>Laarbeek</t>
  </si>
  <si>
    <t>Landerd</t>
  </si>
  <si>
    <t>Landgraaf</t>
  </si>
  <si>
    <t>Landsmeer</t>
  </si>
  <si>
    <t>Langedijk</t>
  </si>
  <si>
    <t>Lansingerland</t>
  </si>
  <si>
    <t>Laren</t>
  </si>
  <si>
    <t>Leeuwarden</t>
  </si>
  <si>
    <t>Leiden</t>
  </si>
  <si>
    <t>Leiderdorp</t>
  </si>
  <si>
    <t>Leidschendam-Voorburg</t>
  </si>
  <si>
    <t>Lelystad</t>
  </si>
  <si>
    <t>Leudal</t>
  </si>
  <si>
    <t>Leusden</t>
  </si>
  <si>
    <t>Lingewaard</t>
  </si>
  <si>
    <t>Lisse</t>
  </si>
  <si>
    <t>Lochem</t>
  </si>
  <si>
    <t>Loon op Zand</t>
  </si>
  <si>
    <t>Lopik</t>
  </si>
  <si>
    <t>Loppersum</t>
  </si>
  <si>
    <t>Losser</t>
  </si>
  <si>
    <t>Maasdriel</t>
  </si>
  <si>
    <t>Maasgouw</t>
  </si>
  <si>
    <t>Maassluis</t>
  </si>
  <si>
    <t>Maastricht</t>
  </si>
  <si>
    <t>Medemblik</t>
  </si>
  <si>
    <t>Meerssen</t>
  </si>
  <si>
    <t>Meierijstad</t>
  </si>
  <si>
    <t>Meppel</t>
  </si>
  <si>
    <t>Middelburg</t>
  </si>
  <si>
    <t>Midden Drenthe</t>
  </si>
  <si>
    <t>Midden-Delfland</t>
  </si>
  <si>
    <t>Midden-Groningen</t>
  </si>
  <si>
    <t>Mill en Sint Hubert</t>
  </si>
  <si>
    <t>Moerdijk</t>
  </si>
  <si>
    <t>Molenlanden</t>
  </si>
  <si>
    <t>Montferland</t>
  </si>
  <si>
    <t>Montfoort U</t>
  </si>
  <si>
    <t>Mook en Middelaar</t>
  </si>
  <si>
    <t>Neder-Betuwe</t>
  </si>
  <si>
    <t>Nederweert</t>
  </si>
  <si>
    <t>Nieuwegein</t>
  </si>
  <si>
    <t>Nieuwkoop</t>
  </si>
  <si>
    <t>Nijkerk</t>
  </si>
  <si>
    <t>Nijmegen</t>
  </si>
  <si>
    <t>Nissewaard</t>
  </si>
  <si>
    <t>Noardeast-Fryslân</t>
  </si>
  <si>
    <t>Noord-Beveland</t>
  </si>
  <si>
    <t>Noordenveld</t>
  </si>
  <si>
    <t>Noordoostpolder</t>
  </si>
  <si>
    <t>Noordwijk</t>
  </si>
  <si>
    <t>Nuenen c.a.</t>
  </si>
  <si>
    <t>Nunspeet</t>
  </si>
  <si>
    <t>Oegstgeest</t>
  </si>
  <si>
    <t>Oirschot</t>
  </si>
  <si>
    <t>Oisterwijk</t>
  </si>
  <si>
    <t>Oldambt</t>
  </si>
  <si>
    <t>Oldebroek</t>
  </si>
  <si>
    <t>Oldenzaal</t>
  </si>
  <si>
    <t>Olst-Wijhe</t>
  </si>
  <si>
    <t>Ommen</t>
  </si>
  <si>
    <t>Oost Gelre</t>
  </si>
  <si>
    <t>Oosterhout</t>
  </si>
  <si>
    <t>Ooststellingwerf</t>
  </si>
  <si>
    <t>Oostzaan</t>
  </si>
  <si>
    <t>Opmeer</t>
  </si>
  <si>
    <t>Opsterland</t>
  </si>
  <si>
    <t>Oss</t>
  </si>
  <si>
    <t>Oude IJsselstreek</t>
  </si>
  <si>
    <t>Ouder-Amstel</t>
  </si>
  <si>
    <t>Oudewater</t>
  </si>
  <si>
    <t>Overbetuwe</t>
  </si>
  <si>
    <t>Papendrecht</t>
  </si>
  <si>
    <t>Peel en Maas</t>
  </si>
  <si>
    <t>Pekela</t>
  </si>
  <si>
    <t>Pijnacker-Nootdorp</t>
  </si>
  <si>
    <t>Purmerend</t>
  </si>
  <si>
    <t>Putten</t>
  </si>
  <si>
    <t>Raalte</t>
  </si>
  <si>
    <t>Reimerswaal</t>
  </si>
  <si>
    <t>Renkum</t>
  </si>
  <si>
    <t>Renswoude</t>
  </si>
  <si>
    <t>Reusel-De Mierden</t>
  </si>
  <si>
    <t>Rheden</t>
  </si>
  <si>
    <t>Rhenen</t>
  </si>
  <si>
    <t>Ridderkerk</t>
  </si>
  <si>
    <t>Rijssen-Holten</t>
  </si>
  <si>
    <t>Rijswijk</t>
  </si>
  <si>
    <t>Roerdalen</t>
  </si>
  <si>
    <t>Roermond</t>
  </si>
  <si>
    <t>Roosendaal</t>
  </si>
  <si>
    <t>Rotterdam</t>
  </si>
  <si>
    <t>Rozendaal</t>
  </si>
  <si>
    <t>Rucphen</t>
  </si>
  <si>
    <t>Schagen</t>
  </si>
  <si>
    <t>Scherpenzeel</t>
  </si>
  <si>
    <t>Schiedam</t>
  </si>
  <si>
    <t>Schiermonnikoog</t>
  </si>
  <si>
    <t>Schouwen-Duiveland</t>
  </si>
  <si>
    <t>'s-Gravenhage</t>
  </si>
  <si>
    <t>'s-Hertogenbosch</t>
  </si>
  <si>
    <t>Simpelveld</t>
  </si>
  <si>
    <t>Sint-Anthonis</t>
  </si>
  <si>
    <t>Sint-Michielsgestel</t>
  </si>
  <si>
    <t>Sittard-Geleen</t>
  </si>
  <si>
    <t>Sliedrecht</t>
  </si>
  <si>
    <t>Sluis</t>
  </si>
  <si>
    <t>Smallingerland</t>
  </si>
  <si>
    <t>Soest</t>
  </si>
  <si>
    <t>Someren</t>
  </si>
  <si>
    <t>Son en Breugel</t>
  </si>
  <si>
    <t>Stadskanaal</t>
  </si>
  <si>
    <t>Staphorst</t>
  </si>
  <si>
    <t>Stede Broec</t>
  </si>
  <si>
    <t>Steenbergen</t>
  </si>
  <si>
    <t>Steenwijkerland</t>
  </si>
  <si>
    <t>Stein</t>
  </si>
  <si>
    <t>Stichtse Vecht</t>
  </si>
  <si>
    <t>Sudwest Fryslan</t>
  </si>
  <si>
    <t>Terneuzen</t>
  </si>
  <si>
    <t>Terschelling</t>
  </si>
  <si>
    <t>Texel</t>
  </si>
  <si>
    <t>Teylingen</t>
  </si>
  <si>
    <t>Tholen</t>
  </si>
  <si>
    <t>Tiel</t>
  </si>
  <si>
    <t>Tilburg</t>
  </si>
  <si>
    <t>Tubbergen</t>
  </si>
  <si>
    <t>Twenterand</t>
  </si>
  <si>
    <t>Tynaarlo</t>
  </si>
  <si>
    <t>Tytsjerksteradiel</t>
  </si>
  <si>
    <t>Uden</t>
  </si>
  <si>
    <t>Uitgeest</t>
  </si>
  <si>
    <t>Uithoorn</t>
  </si>
  <si>
    <t>Urk</t>
  </si>
  <si>
    <t>Utrecht</t>
  </si>
  <si>
    <t>Utrechtse Heuvelrug</t>
  </si>
  <si>
    <t>Vaals</t>
  </si>
  <si>
    <t>Valkenburg aan de Geul</t>
  </si>
  <si>
    <t>Valkenswaard</t>
  </si>
  <si>
    <t>Veendam</t>
  </si>
  <si>
    <t>Veenendaal</t>
  </si>
  <si>
    <t>Veere</t>
  </si>
  <si>
    <t>Veldhoven</t>
  </si>
  <si>
    <t>Velsen</t>
  </si>
  <si>
    <t>Venlo</t>
  </si>
  <si>
    <t>Venray</t>
  </si>
  <si>
    <t>Vijfheerenlanden</t>
  </si>
  <si>
    <t>Vlaardingen</t>
  </si>
  <si>
    <t>Vlieland</t>
  </si>
  <si>
    <t>Vlissingen</t>
  </si>
  <si>
    <t>Voerendaal</t>
  </si>
  <si>
    <t>Voorschoten</t>
  </si>
  <si>
    <t>Voorst</t>
  </si>
  <si>
    <t>Vught</t>
  </si>
  <si>
    <t>Waadhoeke</t>
  </si>
  <si>
    <t>Waalre</t>
  </si>
  <si>
    <t>Waalwijk</t>
  </si>
  <si>
    <t>Waddinxveen</t>
  </si>
  <si>
    <t>Wageningen</t>
  </si>
  <si>
    <t>Wassenaar</t>
  </si>
  <si>
    <t>Waterland</t>
  </si>
  <si>
    <t>Weert</t>
  </si>
  <si>
    <t>Weesp</t>
  </si>
  <si>
    <t>West Betuwe</t>
  </si>
  <si>
    <t>West Maas en Waal</t>
  </si>
  <si>
    <t>Westerkwartier</t>
  </si>
  <si>
    <t>Westerveld</t>
  </si>
  <si>
    <t>Westervoort</t>
  </si>
  <si>
    <t>Westerwolde</t>
  </si>
  <si>
    <t>Westland</t>
  </si>
  <si>
    <t>Weststellingwerf</t>
  </si>
  <si>
    <t>Westvoorne</t>
  </si>
  <si>
    <t>Wierden</t>
  </si>
  <si>
    <t>Wijchen</t>
  </si>
  <si>
    <t>Wijdemeren</t>
  </si>
  <si>
    <t>Wijk bij Duurstede</t>
  </si>
  <si>
    <t>Winterswijk</t>
  </si>
  <si>
    <t>Woensdrecht</t>
  </si>
  <si>
    <t>Woerden</t>
  </si>
  <si>
    <t>Wormerland</t>
  </si>
  <si>
    <t>Woudenberg</t>
  </si>
  <si>
    <t>Zaanstad</t>
  </si>
  <si>
    <t>Zaltbommel</t>
  </si>
  <si>
    <t>Zandvoort</t>
  </si>
  <si>
    <t>Zeewolde</t>
  </si>
  <si>
    <t>Zeist</t>
  </si>
  <si>
    <t>Zevenaar</t>
  </si>
  <si>
    <t>Zoetermeer</t>
  </si>
  <si>
    <t>Zoeterwoude</t>
  </si>
  <si>
    <t>Zuidplas</t>
  </si>
  <si>
    <t>Zundert</t>
  </si>
  <si>
    <t>Zutphen</t>
  </si>
  <si>
    <t>Zwartewaterland</t>
  </si>
  <si>
    <t>Zwijndrecht</t>
  </si>
  <si>
    <t>Zwolle</t>
  </si>
  <si>
    <t>Aandeel instroom</t>
  </si>
  <si>
    <t>nieuw begeleiding</t>
  </si>
  <si>
    <t>Bron = CBS</t>
  </si>
  <si>
    <t>https://www-test9.outputteam.party/nl-nl/maatwerk/2019/23/indicatoren-ten-behoeve-van-de-bzk-verdeelmodellen-2019</t>
  </si>
  <si>
    <t>IU particpatie 50 (1)</t>
  </si>
  <si>
    <t>IU particpatie 50 (2)</t>
  </si>
  <si>
    <t>IU particpatie 50 (3)</t>
  </si>
  <si>
    <t>Toevoeging Adlasz berekening verdeelsleutels</t>
  </si>
  <si>
    <t>Instroom in de Wajong-werkregeling, cumulatief 2012-2014</t>
  </si>
  <si>
    <t>Instroom in de Wajong-werkregeling exclusief instroom op de wachtlijst van de Wsw, cumulatief 2012-2014</t>
  </si>
  <si>
    <t>Instroom op de wachtlijst van de Wsw, cumulatief 2012-2014</t>
  </si>
  <si>
    <t>Grondslag verdeling 2019 nieuw Wajong</t>
  </si>
  <si>
    <t>Grondslag verdeling 2019 nieuw begeleiding</t>
  </si>
  <si>
    <t>Totaal</t>
  </si>
  <si>
    <t>Gemeentecode</t>
  </si>
  <si>
    <t>Gemeentenaam</t>
  </si>
  <si>
    <t>----</t>
  </si>
  <si>
    <t>Onbekend</t>
  </si>
  <si>
    <t>0003</t>
  </si>
  <si>
    <t>0010</t>
  </si>
  <si>
    <t>0014</t>
  </si>
  <si>
    <t>0024</t>
  </si>
  <si>
    <t>0034</t>
  </si>
  <si>
    <t>0037</t>
  </si>
  <si>
    <t>0047</t>
  </si>
  <si>
    <t>0050</t>
  </si>
  <si>
    <t>0059</t>
  </si>
  <si>
    <t>0060</t>
  </si>
  <si>
    <t>0072</t>
  </si>
  <si>
    <t>0074</t>
  </si>
  <si>
    <t>0080</t>
  </si>
  <si>
    <t>0085</t>
  </si>
  <si>
    <t>0086</t>
  </si>
  <si>
    <t>0088</t>
  </si>
  <si>
    <t>0</t>
  </si>
  <si>
    <t>0090</t>
  </si>
  <si>
    <t>0093</t>
  </si>
  <si>
    <t>0096</t>
  </si>
  <si>
    <t>0098</t>
  </si>
  <si>
    <t>0106</t>
  </si>
  <si>
    <t>0109</t>
  </si>
  <si>
    <t>0114</t>
  </si>
  <si>
    <t>0118</t>
  </si>
  <si>
    <t>0119</t>
  </si>
  <si>
    <t>0141</t>
  </si>
  <si>
    <t>0147</t>
  </si>
  <si>
    <t>0148</t>
  </si>
  <si>
    <t>0150</t>
  </si>
  <si>
    <t>0153</t>
  </si>
  <si>
    <t>0158</t>
  </si>
  <si>
    <t>0160</t>
  </si>
  <si>
    <t>0163</t>
  </si>
  <si>
    <t>0164</t>
  </si>
  <si>
    <t>Hengelo</t>
  </si>
  <si>
    <t>0166</t>
  </si>
  <si>
    <t>0168</t>
  </si>
  <si>
    <t>0171</t>
  </si>
  <si>
    <t>0173</t>
  </si>
  <si>
    <t>0175</t>
  </si>
  <si>
    <t>0177</t>
  </si>
  <si>
    <t>0180</t>
  </si>
  <si>
    <t>0183</t>
  </si>
  <si>
    <t>0184</t>
  </si>
  <si>
    <t>0189</t>
  </si>
  <si>
    <t>0193</t>
  </si>
  <si>
    <t>0197</t>
  </si>
  <si>
    <t>0200</t>
  </si>
  <si>
    <t>0202</t>
  </si>
  <si>
    <t>0203</t>
  </si>
  <si>
    <t>0209</t>
  </si>
  <si>
    <t>0213</t>
  </si>
  <si>
    <t>0214</t>
  </si>
  <si>
    <t>0216</t>
  </si>
  <si>
    <t>0221</t>
  </si>
  <si>
    <t>0222</t>
  </si>
  <si>
    <t>0225</t>
  </si>
  <si>
    <t>0226</t>
  </si>
  <si>
    <t>0228</t>
  </si>
  <si>
    <t>0230</t>
  </si>
  <si>
    <t>0232</t>
  </si>
  <si>
    <t>0233</t>
  </si>
  <si>
    <t>0243</t>
  </si>
  <si>
    <t>0244</t>
  </si>
  <si>
    <t>0246</t>
  </si>
  <si>
    <t>0252</t>
  </si>
  <si>
    <t>0262</t>
  </si>
  <si>
    <t>0263</t>
  </si>
  <si>
    <t>0267</t>
  </si>
  <si>
    <t>0268</t>
  </si>
  <si>
    <t>0269</t>
  </si>
  <si>
    <t>0273</t>
  </si>
  <si>
    <t>0274</t>
  </si>
  <si>
    <t>0275</t>
  </si>
  <si>
    <t>0277</t>
  </si>
  <si>
    <t>0279</t>
  </si>
  <si>
    <t>0281</t>
  </si>
  <si>
    <t>0285</t>
  </si>
  <si>
    <t>0289</t>
  </si>
  <si>
    <t>0293</t>
  </si>
  <si>
    <t>0294</t>
  </si>
  <si>
    <t>0296</t>
  </si>
  <si>
    <t>0297</t>
  </si>
  <si>
    <t>0299</t>
  </si>
  <si>
    <t>0301</t>
  </si>
  <si>
    <t>0302</t>
  </si>
  <si>
    <t>0303</t>
  </si>
  <si>
    <t>0307</t>
  </si>
  <si>
    <t>0308</t>
  </si>
  <si>
    <t>0310</t>
  </si>
  <si>
    <t>0312</t>
  </si>
  <si>
    <t>0313</t>
  </si>
  <si>
    <t>0317</t>
  </si>
  <si>
    <t>0321</t>
  </si>
  <si>
    <t>0327</t>
  </si>
  <si>
    <t>0331</t>
  </si>
  <si>
    <t>0335</t>
  </si>
  <si>
    <t>Montfoort</t>
  </si>
  <si>
    <t>0339</t>
  </si>
  <si>
    <t>0340</t>
  </si>
  <si>
    <t>0342</t>
  </si>
  <si>
    <t>0344</t>
  </si>
  <si>
    <t>0345</t>
  </si>
  <si>
    <t>0351</t>
  </si>
  <si>
    <t>0352</t>
  </si>
  <si>
    <t>0353</t>
  </si>
  <si>
    <t>0355</t>
  </si>
  <si>
    <t>0356</t>
  </si>
  <si>
    <t>0358</t>
  </si>
  <si>
    <t>0361</t>
  </si>
  <si>
    <t>0362</t>
  </si>
  <si>
    <t>0363</t>
  </si>
  <si>
    <t>0370</t>
  </si>
  <si>
    <t>0373</t>
  </si>
  <si>
    <t>Bergen (NH.)</t>
  </si>
  <si>
    <t>0375</t>
  </si>
  <si>
    <t>0376</t>
  </si>
  <si>
    <t>0377</t>
  </si>
  <si>
    <t>0383</t>
  </si>
  <si>
    <t>0384</t>
  </si>
  <si>
    <t>0385</t>
  </si>
  <si>
    <t>0388</t>
  </si>
  <si>
    <t>0392</t>
  </si>
  <si>
    <t>0394</t>
  </si>
  <si>
    <t>0396</t>
  </si>
  <si>
    <t>0397</t>
  </si>
  <si>
    <t>0398</t>
  </si>
  <si>
    <t>0399</t>
  </si>
  <si>
    <t>0400</t>
  </si>
  <si>
    <t>0402</t>
  </si>
  <si>
    <t>0405</t>
  </si>
  <si>
    <t>0406</t>
  </si>
  <si>
    <t>0415</t>
  </si>
  <si>
    <t>0416</t>
  </si>
  <si>
    <t>0417</t>
  </si>
  <si>
    <t>0420</t>
  </si>
  <si>
    <t>0431</t>
  </si>
  <si>
    <t>0432</t>
  </si>
  <si>
    <t>0437</t>
  </si>
  <si>
    <t>0439</t>
  </si>
  <si>
    <t>0441</t>
  </si>
  <si>
    <t>0448</t>
  </si>
  <si>
    <t>0450</t>
  </si>
  <si>
    <t>0451</t>
  </si>
  <si>
    <t>0453</t>
  </si>
  <si>
    <t>0457</t>
  </si>
  <si>
    <t>0473</t>
  </si>
  <si>
    <t>0479</t>
  </si>
  <si>
    <t>0482</t>
  </si>
  <si>
    <t>0484</t>
  </si>
  <si>
    <t>0489</t>
  </si>
  <si>
    <t>0498</t>
  </si>
  <si>
    <t>0501</t>
  </si>
  <si>
    <t>0502</t>
  </si>
  <si>
    <t>0503</t>
  </si>
  <si>
    <t>0505</t>
  </si>
  <si>
    <t>0512</t>
  </si>
  <si>
    <t>0513</t>
  </si>
  <si>
    <t>0518</t>
  </si>
  <si>
    <t>0523</t>
  </si>
  <si>
    <t>0530</t>
  </si>
  <si>
    <t>0531</t>
  </si>
  <si>
    <t>0532</t>
  </si>
  <si>
    <t>0534</t>
  </si>
  <si>
    <t>0537</t>
  </si>
  <si>
    <t>0542</t>
  </si>
  <si>
    <t>0546</t>
  </si>
  <si>
    <t>0547</t>
  </si>
  <si>
    <t>0553</t>
  </si>
  <si>
    <t>0556</t>
  </si>
  <si>
    <t>0569</t>
  </si>
  <si>
    <t>0575</t>
  </si>
  <si>
    <t>0579</t>
  </si>
  <si>
    <t>0589</t>
  </si>
  <si>
    <t>0590</t>
  </si>
  <si>
    <t>0597</t>
  </si>
  <si>
    <t>0599</t>
  </si>
  <si>
    <t>0603</t>
  </si>
  <si>
    <t>0606</t>
  </si>
  <si>
    <t>0610</t>
  </si>
  <si>
    <t>0613</t>
  </si>
  <si>
    <t>0614</t>
  </si>
  <si>
    <t>0622</t>
  </si>
  <si>
    <t>0626</t>
  </si>
  <si>
    <t>0627</t>
  </si>
  <si>
    <t>0629</t>
  </si>
  <si>
    <t>0632</t>
  </si>
  <si>
    <t>0637</t>
  </si>
  <si>
    <t>0638</t>
  </si>
  <si>
    <t>0642</t>
  </si>
  <si>
    <t>0654</t>
  </si>
  <si>
    <t>0664</t>
  </si>
  <si>
    <t>0668</t>
  </si>
  <si>
    <t>0677</t>
  </si>
  <si>
    <t>0678</t>
  </si>
  <si>
    <t>0687</t>
  </si>
  <si>
    <t>0703</t>
  </si>
  <si>
    <t>0715</t>
  </si>
  <si>
    <t>0716</t>
  </si>
  <si>
    <t>0717</t>
  </si>
  <si>
    <t>0718</t>
  </si>
  <si>
    <t>0736</t>
  </si>
  <si>
    <t>0737</t>
  </si>
  <si>
    <t>0743</t>
  </si>
  <si>
    <t>0744</t>
  </si>
  <si>
    <t>0748</t>
  </si>
  <si>
    <t>0753</t>
  </si>
  <si>
    <t>0755</t>
  </si>
  <si>
    <t>0756</t>
  </si>
  <si>
    <t>0757</t>
  </si>
  <si>
    <t>0758</t>
  </si>
  <si>
    <t>0762</t>
  </si>
  <si>
    <t>0765</t>
  </si>
  <si>
    <t>0766</t>
  </si>
  <si>
    <t>0770</t>
  </si>
  <si>
    <t>0772</t>
  </si>
  <si>
    <t>0777</t>
  </si>
  <si>
    <t>0779</t>
  </si>
  <si>
    <t>0784</t>
  </si>
  <si>
    <t>0785</t>
  </si>
  <si>
    <t>0786</t>
  </si>
  <si>
    <t>0788</t>
  </si>
  <si>
    <t>0794</t>
  </si>
  <si>
    <t>0796</t>
  </si>
  <si>
    <t>0797</t>
  </si>
  <si>
    <t>0798</t>
  </si>
  <si>
    <t>0809</t>
  </si>
  <si>
    <t>0815</t>
  </si>
  <si>
    <t>0820</t>
  </si>
  <si>
    <t>Nuenen, Gerwen en Nederwetten</t>
  </si>
  <si>
    <t>0823</t>
  </si>
  <si>
    <t>0824</t>
  </si>
  <si>
    <t>0826</t>
  </si>
  <si>
    <t>0828</t>
  </si>
  <si>
    <t>0840</t>
  </si>
  <si>
    <t>0845</t>
  </si>
  <si>
    <t>0847</t>
  </si>
  <si>
    <t>0848</t>
  </si>
  <si>
    <t>0851</t>
  </si>
  <si>
    <t>0852</t>
  </si>
  <si>
    <t>0855</t>
  </si>
  <si>
    <t>0856</t>
  </si>
  <si>
    <t>0858</t>
  </si>
  <si>
    <t>0861</t>
  </si>
  <si>
    <t>0865</t>
  </si>
  <si>
    <t>0866</t>
  </si>
  <si>
    <t>0867</t>
  </si>
  <si>
    <t>0873</t>
  </si>
  <si>
    <t>0879</t>
  </si>
  <si>
    <t>0880</t>
  </si>
  <si>
    <t>0882</t>
  </si>
  <si>
    <t>0888</t>
  </si>
  <si>
    <t>0889</t>
  </si>
  <si>
    <t>0893</t>
  </si>
  <si>
    <t>Bergen (L.)</t>
  </si>
  <si>
    <t>0899</t>
  </si>
  <si>
    <t>0907</t>
  </si>
  <si>
    <t>0917</t>
  </si>
  <si>
    <t>0928</t>
  </si>
  <si>
    <t>0935</t>
  </si>
  <si>
    <t>0938</t>
  </si>
  <si>
    <t>0944</t>
  </si>
  <si>
    <t>0946</t>
  </si>
  <si>
    <t>0957</t>
  </si>
  <si>
    <t>0965</t>
  </si>
  <si>
    <t>0971</t>
  </si>
  <si>
    <t>0981</t>
  </si>
  <si>
    <t>0983</t>
  </si>
  <si>
    <t>0984</t>
  </si>
  <si>
    <t>0986</t>
  </si>
  <si>
    <t>0988</t>
  </si>
  <si>
    <t>0994</t>
  </si>
  <si>
    <t>0995</t>
  </si>
  <si>
    <t>1507</t>
  </si>
  <si>
    <t>1509</t>
  </si>
  <si>
    <t>1525</t>
  </si>
  <si>
    <t>1581</t>
  </si>
  <si>
    <t>1586</t>
  </si>
  <si>
    <t>1598</t>
  </si>
  <si>
    <t>1621</t>
  </si>
  <si>
    <t>1640</t>
  </si>
  <si>
    <t>1641</t>
  </si>
  <si>
    <t>1652</t>
  </si>
  <si>
    <t>1655</t>
  </si>
  <si>
    <t>1658</t>
  </si>
  <si>
    <t>1659</t>
  </si>
  <si>
    <t>1667</t>
  </si>
  <si>
    <t>1669</t>
  </si>
  <si>
    <t>1674</t>
  </si>
  <si>
    <t>1676</t>
  </si>
  <si>
    <t>1680</t>
  </si>
  <si>
    <t>1681</t>
  </si>
  <si>
    <t>1684</t>
  </si>
  <si>
    <t>1685</t>
  </si>
  <si>
    <t>1690</t>
  </si>
  <si>
    <t>1695</t>
  </si>
  <si>
    <t>1696</t>
  </si>
  <si>
    <t>1699</t>
  </si>
  <si>
    <t>1700</t>
  </si>
  <si>
    <t>1701</t>
  </si>
  <si>
    <t>1702</t>
  </si>
  <si>
    <t>Sint Anthonis</t>
  </si>
  <si>
    <t>1705</t>
  </si>
  <si>
    <t>1706</t>
  </si>
  <si>
    <t>1708</t>
  </si>
  <si>
    <t>1709</t>
  </si>
  <si>
    <t>1711</t>
  </si>
  <si>
    <t>1714</t>
  </si>
  <si>
    <t>1719</t>
  </si>
  <si>
    <t>1721</t>
  </si>
  <si>
    <t>1723</t>
  </si>
  <si>
    <t>1724</t>
  </si>
  <si>
    <t>1728</t>
  </si>
  <si>
    <t>1729</t>
  </si>
  <si>
    <t>1730</t>
  </si>
  <si>
    <t>1731</t>
  </si>
  <si>
    <t>Midden-Drenthe</t>
  </si>
  <si>
    <t>1734</t>
  </si>
  <si>
    <t>1735</t>
  </si>
  <si>
    <t>1740</t>
  </si>
  <si>
    <t>1742</t>
  </si>
  <si>
    <t>1771</t>
  </si>
  <si>
    <t>1773</t>
  </si>
  <si>
    <t>1774</t>
  </si>
  <si>
    <t>1783</t>
  </si>
  <si>
    <t>1842</t>
  </si>
  <si>
    <t>1859</t>
  </si>
  <si>
    <t>1876</t>
  </si>
  <si>
    <t>1883</t>
  </si>
  <si>
    <t>1884</t>
  </si>
  <si>
    <t>1891</t>
  </si>
  <si>
    <t>1892</t>
  </si>
  <si>
    <t>1894</t>
  </si>
  <si>
    <t>1895</t>
  </si>
  <si>
    <t>1896</t>
  </si>
  <si>
    <t>1900</t>
  </si>
  <si>
    <t>Súdwest-Fryslân</t>
  </si>
  <si>
    <t>1901</t>
  </si>
  <si>
    <t>1903</t>
  </si>
  <si>
    <t>1904</t>
  </si>
  <si>
    <t>1911</t>
  </si>
  <si>
    <t>1916</t>
  </si>
  <si>
    <t>1924</t>
  </si>
  <si>
    <t>1926</t>
  </si>
  <si>
    <t>1930</t>
  </si>
  <si>
    <t>1931</t>
  </si>
  <si>
    <t>1940</t>
  </si>
  <si>
    <t>1942</t>
  </si>
  <si>
    <t>1945</t>
  </si>
  <si>
    <t>1948</t>
  </si>
  <si>
    <t>1949</t>
  </si>
  <si>
    <t>1950</t>
  </si>
  <si>
    <t>1952</t>
  </si>
  <si>
    <t>1955</t>
  </si>
  <si>
    <t>Bron: Presentatie Rfv Divosa Najaarscongres 2016</t>
  </si>
  <si>
    <t>Opmerkingen Adlasz:</t>
  </si>
  <si>
    <t>Data ten behoeve van de verdeelsleutels Re-int Nieuwe Doelgroepen is te vinden in de map verdeelmodellen in dit dossier (en bij het CBS). Is gebaseerd op 2012-2014 (tijdelijk)</t>
  </si>
  <si>
    <t>De verdeling zal de komende jaren nog ongewijzigd blijven tot inwerkingtreden van de herziene verdeelmodellen. (op zijn vroegst op 1-1-2022)</t>
  </si>
  <si>
    <t>Op dit moment worden de verdeelmodellen herzien. Gemeenten worden uiterlijk in de meicirculaire 2020 geïnformeerd.</t>
  </si>
  <si>
    <t>Invoering voor het sociaal domein in uitgesteld tot 1-1-2022 (zie nieuwsbrief AEF en kamerbrief feb. 2020)</t>
  </si>
  <si>
    <t>https://www.rijksoverheid.nl/onderwerpen/financien-gemeenten-en-provincies/herziening-financiele-verhouding</t>
  </si>
  <si>
    <t>https://www.aef.nl/vijfde-nieuwsbrief-onderzoek-herijking-gemeentefonds-sociaal-domein</t>
  </si>
  <si>
    <t>Voor de doelgroep begeleiding geldt onderstaande verdeelsleutel met een minimum het normbedrag voor de begeleiding van 1 persoon in dat jaar</t>
  </si>
  <si>
    <t>gemeentecode</t>
  </si>
  <si>
    <t>Basisindicatoren ontleend aan circulaires AU</t>
  </si>
  <si>
    <t>Vanaf 2019 Basisbedrag overgeheveld budget IUSD-P Klassiek</t>
  </si>
  <si>
    <t>Bron: IUSD Meicirculaire 2018 prijsniveau 2018</t>
  </si>
  <si>
    <t>Basisbedrag per eenheid re-integratie klassiek</t>
  </si>
  <si>
    <t>Bron: Meicirculaire 2018 bijlage 2.1.4.b</t>
  </si>
  <si>
    <t>Bron: Septembercirculaire 2018</t>
  </si>
  <si>
    <t>Bron: Meicirculaire 2019</t>
  </si>
  <si>
    <t>Bron: Septembercirculaire 2019</t>
  </si>
  <si>
    <t>Uitkeringsfactor</t>
  </si>
  <si>
    <t>Bron: Meicirculaire 2018</t>
  </si>
  <si>
    <t>Berekend macro budget re-integratie klassiek o.b.v. basisbedrag per eenheid * uitkeringsfactor</t>
  </si>
  <si>
    <t>Bron: Meicirculaire 2019 (totaalbedrag)</t>
  </si>
  <si>
    <t>Bron: Meicirculaire 2019 (loon en prijsbijstelling)</t>
  </si>
  <si>
    <t>Poging tot verklaren van het verloop van het macrobudget</t>
  </si>
  <si>
    <t>Mutatie factor mei 2018 (jaar t tov jaar t-1)</t>
  </si>
  <si>
    <t>Mutatie totaalbudget mei 2018 (jaar t tov jaar t-1)</t>
  </si>
  <si>
    <t>Conclusie: De % jaarlijkse stijging van het totaalbudget in de meicirculaire 2018 jaar tot jaar is gelijk aan de % toename van de uitkeringsfactor. Het budget verandert van jaar tot jaar dus alleen door de verandering van de uitkeringsfactor</t>
  </si>
  <si>
    <t>Mutatie factor september 2018 (jaar t tov jaar t-1)</t>
  </si>
  <si>
    <t>Mutatie totaalbudget september 2018 (jaar t tov jaar t-1)</t>
  </si>
  <si>
    <t>Conclusie: De % jaarlijkse stijging van het totaalbudget in de septembercirculaire 2018 jaar tot jaar is gelijk aan de % toename van de uitkeringsfactor. Het budget verandert van jaar tot jaar dus alleen door de verandering van de uitkeringsfactor</t>
  </si>
  <si>
    <t>Mutatie factor mei 2019 (jaar t tov jaar t-1)</t>
  </si>
  <si>
    <t>Mutatie totaalbudget mei 2019 (jaar t tov jaar t-1)</t>
  </si>
  <si>
    <t>Conclusie: De jaarlijkse stijging van het totaalbudget in de meicirculaire 2019 jaar tot jaar is kleiner dan de toename van de uitkeringsfactor. Volgens mij komt dat omdat de uitkeringsfactor wordt toegepast op het budget ZONDER loon en prijsbijstelling</t>
  </si>
  <si>
    <t>Mutatie factor september 2019 (jaar t tov jaar t-1)</t>
  </si>
  <si>
    <t>Mutatie totaalbudget september 2019 (jaar t tov jaar t-1)</t>
  </si>
  <si>
    <t>Conclusie: De jaarlijkse stijging van het totaalbudget in de septembercirculaire 2019 jaar tot jaar is kleiner dan de toename van de uitkeringsfactor. Volgens mij komt dat omdat de uitkeringsfactor wordt toegepast op het budget ZONDER loon en prijsbijstelling</t>
  </si>
  <si>
    <t>Mutatie factor jaar septembercirculaire 2018 tov meicirculaire 2018</t>
  </si>
  <si>
    <t>Mutatie totaalbudget septembercirculaire 2018 tov meicirculaire 2018</t>
  </si>
  <si>
    <t>Mutatie factor jaar meicirculaire 2019 tov septembercirculaire 2018</t>
  </si>
  <si>
    <t>Mutatie totaalbudget meicirculaire 2019 tov septembercirculaire 2018</t>
  </si>
  <si>
    <t>Waarvan door mutatie uitkeringsfactor</t>
  </si>
  <si>
    <t>Waarvan door loon- en prijsbijstelling</t>
  </si>
  <si>
    <t>Inflatie volgens CPB</t>
  </si>
  <si>
    <t>Mutatie factor jaar septembercirculaire 2019 tov meicirculaire 2019</t>
  </si>
  <si>
    <t>Mutatie totaalbudget septembercirculaire 2019 tov meicirculaire 2019</t>
  </si>
  <si>
    <t>Verdeling over gemeenten</t>
  </si>
  <si>
    <t>Bron: Meicirculaire 2018 download "participatie 2018-2023 en IUSD Participatie 2019 inclusief correctie re-integratie</t>
  </si>
  <si>
    <t>Gemeenten 2018 en correctie herindeling</t>
  </si>
  <si>
    <t>CBS nummer</t>
  </si>
  <si>
    <t>Gemeenten 2018</t>
  </si>
  <si>
    <t>2019 herindeling</t>
  </si>
  <si>
    <t>Budgetaandeel IUSD 2017</t>
  </si>
  <si>
    <t>Budgetaandeel IUSD 2018</t>
  </si>
  <si>
    <t>Budgetaandeel basis AU 2018</t>
  </si>
  <si>
    <t>Budgetaandeel AU 2019</t>
  </si>
  <si>
    <t>Bedum</t>
  </si>
  <si>
    <t>De Marne</t>
  </si>
  <si>
    <t>Eemsmond</t>
  </si>
  <si>
    <t>Grootegast</t>
  </si>
  <si>
    <t>Haren</t>
  </si>
  <si>
    <t>Leek</t>
  </si>
  <si>
    <t>Marum</t>
  </si>
  <si>
    <t>Ten Boer</t>
  </si>
  <si>
    <t>Winsum</t>
  </si>
  <si>
    <t>Zuidhorn</t>
  </si>
  <si>
    <t>Dongeradeel</t>
  </si>
  <si>
    <t>Ferwerderadiel</t>
  </si>
  <si>
    <t>Kollumerland en Nwkruisl</t>
  </si>
  <si>
    <t>Geldermalsen</t>
  </si>
  <si>
    <t>Lingewaal</t>
  </si>
  <si>
    <t>Neerijnen</t>
  </si>
  <si>
    <t>Vianen</t>
  </si>
  <si>
    <t>Haarlemmerliede Spaarnw</t>
  </si>
  <si>
    <t>Binnenmaas</t>
  </si>
  <si>
    <t>Cromstrijen</t>
  </si>
  <si>
    <t>Giessenlanden</t>
  </si>
  <si>
    <t>Korendijk</t>
  </si>
  <si>
    <t>Leerdam</t>
  </si>
  <si>
    <t>Molenwaard</t>
  </si>
  <si>
    <t>Noordwijkerhout</t>
  </si>
  <si>
    <t>Oud-Beijerland</t>
  </si>
  <si>
    <t>Strijen</t>
  </si>
  <si>
    <t>Zederik</t>
  </si>
  <si>
    <t>Aalburg</t>
  </si>
  <si>
    <t>Werkendam</t>
  </si>
  <si>
    <t>Woudrichem</t>
  </si>
  <si>
    <t>Nuth</t>
  </si>
  <si>
    <t>Onderbanken</t>
  </si>
  <si>
    <t>Schinnen</t>
  </si>
  <si>
    <t>CBS</t>
  </si>
  <si>
    <t>Prov</t>
  </si>
  <si>
    <t>Groep</t>
  </si>
  <si>
    <t>Naam</t>
  </si>
  <si>
    <t>Budgetaandeel circulaire 2018  na correctie herindeling</t>
  </si>
  <si>
    <t>Budgetaandeel circulaire 2019</t>
  </si>
  <si>
    <t>OZB (woning eigenaar)</t>
  </si>
  <si>
    <t>OZB (niet woningen gebruiker)</t>
  </si>
  <si>
    <t>OZB (niet woningen eigenaar)</t>
  </si>
  <si>
    <t>inwoners</t>
  </si>
  <si>
    <t>kernen_met_500_adr_of_meer</t>
  </si>
  <si>
    <t>ozb waarde niet woningen (in mln)</t>
  </si>
  <si>
    <t>jongeren</t>
  </si>
  <si>
    <t>ouderen</t>
  </si>
  <si>
    <t>ouderen 75-85 jaar</t>
  </si>
  <si>
    <t>huishoudens met laag inkomen</t>
  </si>
  <si>
    <t>huishoudens met laag inkomen (drempel)</t>
  </si>
  <si>
    <t>bijstandsontvangers</t>
  </si>
  <si>
    <t>uitkeringsontvangers</t>
  </si>
  <si>
    <t>minderheden</t>
  </si>
  <si>
    <t>minderheden drempel</t>
  </si>
  <si>
    <t>eenouderhuishoudens</t>
  </si>
  <si>
    <t>huishoudens</t>
  </si>
  <si>
    <t>klantenpotentieel lokaal</t>
  </si>
  <si>
    <t>klantenpotentieel regionaal</t>
  </si>
  <si>
    <t>leerlingen (V)SO</t>
  </si>
  <si>
    <t>leerlingen VO</t>
  </si>
  <si>
    <t>achterstandsleerlingen drempel</t>
  </si>
  <si>
    <t>extra groei jongeren</t>
  </si>
  <si>
    <t>extra groei leerlingen VO</t>
  </si>
  <si>
    <t>land</t>
  </si>
  <si>
    <t>land *bodemfactor gemeente</t>
  </si>
  <si>
    <t>binnenwater</t>
  </si>
  <si>
    <t>buitenwater</t>
  </si>
  <si>
    <t>oppervlak bebouwing</t>
  </si>
  <si>
    <t>opp. bebouwing kern *bodemfactor kern</t>
  </si>
  <si>
    <t>opp. beb. buitengebied *bf. buitengebied</t>
  </si>
  <si>
    <t>woonruimten</t>
  </si>
  <si>
    <t>woonruimten *bodemfactor kern</t>
  </si>
  <si>
    <t>opp. historische  kernen, &lt;40 ha</t>
  </si>
  <si>
    <t>opp. historische kernen, 40-64 ha</t>
  </si>
  <si>
    <t>opp. historische kernen, &gt;64 ha</t>
  </si>
  <si>
    <t>lengte historisch water</t>
  </si>
  <si>
    <t>bewoonde oorden 1930</t>
  </si>
  <si>
    <t>hist. woningen in bewoonde oorden</t>
  </si>
  <si>
    <t>ISV(a)</t>
  </si>
  <si>
    <t>ISV(b)</t>
  </si>
  <si>
    <t>omgevingsadressendichtheid (OAD)</t>
  </si>
  <si>
    <t>oad drempel</t>
  </si>
  <si>
    <t>oeverlengte *bodemfactor gemeente</t>
  </si>
  <si>
    <t>oeverlengte *dichtheid *bf. gemeente</t>
  </si>
  <si>
    <t>kernen</t>
  </si>
  <si>
    <t>kernen *bodemfactor buitengebied</t>
  </si>
  <si>
    <t>bedrijfsvestigingen</t>
  </si>
  <si>
    <t>vast bedrag voor iedere gemeente</t>
  </si>
  <si>
    <t>vast bedrag voor Amsterdam</t>
  </si>
  <si>
    <t>vast bedrag voor Rotterdam</t>
  </si>
  <si>
    <t>vast bedrag voor Den Haag</t>
  </si>
  <si>
    <t>vast bedrag voor Utrecht</t>
  </si>
  <si>
    <t>vast bedrag voor Baarle-Nassau</t>
  </si>
  <si>
    <t>vast bedrag Waddengemeenten</t>
  </si>
  <si>
    <t>wadden, t/m 2500 inwoners</t>
  </si>
  <si>
    <t>wadden, van 2501 t/m 7500 inwoners</t>
  </si>
  <si>
    <t>wadden, vanaf 7501 inwoners</t>
  </si>
  <si>
    <t>loonkostensubsidie</t>
  </si>
  <si>
    <t>eenpersoonshuishoudens</t>
  </si>
  <si>
    <t>opp_beb_woonkern</t>
  </si>
  <si>
    <t>opp_beb_buitengebied</t>
  </si>
  <si>
    <t>Jongeren 2009</t>
  </si>
  <si>
    <t>VO 2009</t>
  </si>
  <si>
    <t>Jongeren 2010</t>
  </si>
  <si>
    <t>VO 2010</t>
  </si>
  <si>
    <t>Jongeren 2011</t>
  </si>
  <si>
    <t>VO 2011</t>
  </si>
  <si>
    <t>Jongeren 2012</t>
  </si>
  <si>
    <t>VO 2012</t>
  </si>
  <si>
    <t>Jongeren 2013</t>
  </si>
  <si>
    <t>VO 2013</t>
  </si>
  <si>
    <t>Jongeren 2014</t>
  </si>
  <si>
    <t>VO 2014</t>
  </si>
  <si>
    <t>jeugdigen in gezinnen met armoederisico in 2018</t>
  </si>
  <si>
    <t>basisonderwijsleerlingen met leerlingengewicht 0,3 in schooljaar 2018-2019</t>
  </si>
  <si>
    <t>basisonderwijsleerlingen met leerlingengewicht 1,2 in schooljaar 2018-2019</t>
  </si>
  <si>
    <t>gemiddeld gestandaardiseerd inkomen (huishoudens)</t>
  </si>
  <si>
    <t>gemiddeld gestandaardiseerd inkomen (huishoudens met kinderen)</t>
  </si>
  <si>
    <t>ouders met langdurig psychisch medicijngebruik</t>
  </si>
  <si>
    <t>eenouderhuishoudens met 2 of meer kinderen</t>
  </si>
  <si>
    <t>bijstandshuishoudens met minderjarige kinderen</t>
  </si>
  <si>
    <t>bijstandsontvangers eenouderhuishoudens</t>
  </si>
  <si>
    <t>uitkeringsontvangers minus bijstandsontvangers</t>
  </si>
  <si>
    <t>Wajong</t>
  </si>
  <si>
    <t>medicijngebruik met drempel</t>
  </si>
  <si>
    <t>Re-integratie klassiek</t>
  </si>
  <si>
    <t>inwoners &lt; 65 jaar</t>
  </si>
  <si>
    <t>ouderen 65 t/m 74 jaar</t>
  </si>
  <si>
    <t>ouderen 85 jaar en ouder</t>
  </si>
  <si>
    <t>eenpersoonshuishoudens 65 t/m 74 jaar</t>
  </si>
  <si>
    <t>eenpersoonshuishoudens 75 t/m 84 jaar</t>
  </si>
  <si>
    <t>eenpersoonshuishoudens 85 jaar en ouder</t>
  </si>
  <si>
    <t>huishoudens met laag inkomen 65 t/m 74 jaar</t>
  </si>
  <si>
    <t>huishoudens met laag inkomen 75 t/m 84 jaar</t>
  </si>
  <si>
    <t>huishoudens met laag inkomen 85 jaar en ouder</t>
  </si>
  <si>
    <t>gemiddeld gestandaardiseerd inkomen 65 t/m 74 jaar</t>
  </si>
  <si>
    <t>gemiddeld gestandaardiseerd inkomen 75 t/m 84 jaar</t>
  </si>
  <si>
    <t>gemiddeld gestandaardiseerd inkomen 85 jaar en ouder</t>
  </si>
  <si>
    <t>bedden</t>
  </si>
  <si>
    <t>Jongeren &lt; 18 jaar 2009</t>
  </si>
  <si>
    <t>Jongeren &lt; 18 jaar 2010</t>
  </si>
  <si>
    <t>Jongeren &lt; 18 jaar 2011</t>
  </si>
  <si>
    <t>Jongeren &lt; 18 jaar 2012</t>
  </si>
  <si>
    <t>Jongeren &lt; 18 jaar 2013</t>
  </si>
  <si>
    <t>Woonruimten</t>
  </si>
  <si>
    <t>Bodemfactor woonkern</t>
  </si>
  <si>
    <t>Oad</t>
  </si>
  <si>
    <t>Lihh</t>
  </si>
  <si>
    <t>HH6574</t>
  </si>
  <si>
    <t>HH7584</t>
  </si>
  <si>
    <t>HH85+</t>
  </si>
  <si>
    <t>LIdr%</t>
  </si>
  <si>
    <t>GGI%</t>
  </si>
  <si>
    <t>&lt; 18 jaar</t>
  </si>
  <si>
    <t>Jongeren 2008</t>
  </si>
  <si>
    <t>VO 2008</t>
  </si>
  <si>
    <t>jongeren &lt; 18 jaar in 2018</t>
  </si>
  <si>
    <t>Basisscenario 2019 voor overheveling objectief verdeelmodel Wwb klassiek</t>
  </si>
  <si>
    <t>Stand meicirculaire 2018</t>
  </si>
  <si>
    <t>GEMIDDELD (ongewogen)</t>
  </si>
  <si>
    <t>GEMIDDELD</t>
  </si>
  <si>
    <t>Gemeentelijke indeling 2018</t>
  </si>
  <si>
    <t>WAARDEN</t>
  </si>
  <si>
    <t>AFWIJKINGEN VAN HET GEMIDDELDE</t>
  </si>
  <si>
    <t>Objectief budget</t>
  </si>
  <si>
    <t>min = 10 x #inw 15-64</t>
  </si>
  <si>
    <t>Omvang totale doelgroep</t>
  </si>
  <si>
    <t>Bijstands-ontvangers</t>
  </si>
  <si>
    <t>Lager-opgeleiden</t>
  </si>
  <si>
    <t>Gebrek aan werk</t>
  </si>
  <si>
    <t>Startbedrag</t>
  </si>
  <si>
    <t>Totaal per inwoner</t>
  </si>
  <si>
    <t>Inwoners 15-64</t>
  </si>
  <si>
    <t>Participatie - Alle gemeenten - Verdeling 2018 - 2023, septembercirculaire 2018</t>
  </si>
  <si>
    <t>Wwb klassiek</t>
  </si>
  <si>
    <t>Participatie - Alle gemeenten - Verdeling 2017 - 2022, septembercirculaire 2017</t>
  </si>
  <si>
    <t>Stand septembercirculaire 2017</t>
  </si>
  <si>
    <t>Gemeentelijke indeling 2017</t>
  </si>
  <si>
    <t>Uitkeringsjaar 2017</t>
  </si>
  <si>
    <t>Uitkeringsjaar 2018</t>
  </si>
  <si>
    <t>Uitkeringsjaar 2019</t>
  </si>
  <si>
    <t>Uitkeringsjaar 2020</t>
  </si>
  <si>
    <t>Uitkeringsjaar 2021</t>
  </si>
  <si>
    <t>Uitkeringsjaar 2022</t>
  </si>
  <si>
    <t>Bellingwedde</t>
  </si>
  <si>
    <t>Hoogezand-Sappemeer</t>
  </si>
  <si>
    <t>Slochteren</t>
  </si>
  <si>
    <t>Vlagtwedde</t>
  </si>
  <si>
    <t>Het Bildt</t>
  </si>
  <si>
    <t>Franekeradeel</t>
  </si>
  <si>
    <t>Leeuwarderadeel</t>
  </si>
  <si>
    <t>Littenseradiel</t>
  </si>
  <si>
    <t>Rijnwaarden</t>
  </si>
  <si>
    <t>Menameradiel</t>
  </si>
  <si>
    <t>Menterwolde</t>
  </si>
  <si>
    <t>Nieuw begeleiding</t>
  </si>
  <si>
    <t>Normbedrag begeleiding pp</t>
  </si>
  <si>
    <t>Klassiek</t>
  </si>
  <si>
    <t>Budgetaandeel gemeente per doelgroep</t>
  </si>
  <si>
    <t>Cedris:</t>
  </si>
  <si>
    <t>STAP 1 : de actuele uitgangspositie</t>
  </si>
  <si>
    <t>STAP 2 : de blijfkansen die per (betalende) gemeente zijn vastgesteld o.b.v. kenmerken wsw-populatie</t>
  </si>
  <si>
    <t>STAP 3: vaststellen gemeentelijk aandeel in landelijk budget</t>
  </si>
  <si>
    <t>Adlasz: verwacht aantal SE (basis*blijfkans)</t>
  </si>
  <si>
    <t>INVOER</t>
  </si>
  <si>
    <t>het aantal SE dat resulteert uit de vermenigvuldiging van het basis aantal SE en de blijfkans in totaal en per gemeente</t>
  </si>
  <si>
    <t>SE wsw</t>
  </si>
  <si>
    <t>Startgewicht voor verdeling</t>
  </si>
  <si>
    <t>blijfkansen</t>
  </si>
  <si>
    <t>gewichten die bepalen welk aandeel van landelijk budget gemeenten krijgen</t>
  </si>
  <si>
    <t>CORRECTIE LPO</t>
  </si>
  <si>
    <t>BEDRAG PER SE</t>
  </si>
  <si>
    <t>West-Betuwe</t>
  </si>
  <si>
    <t>Totaal budget</t>
  </si>
  <si>
    <t>Aantal SE</t>
  </si>
  <si>
    <t>Bedrag per SE</t>
  </si>
  <si>
    <t>Budgetaandeel gemeente</t>
  </si>
  <si>
    <t>onderhoud</t>
  </si>
  <si>
    <t>Onderhoud</t>
  </si>
  <si>
    <t>Historisch gegeven, niet wijzigen</t>
  </si>
  <si>
    <t>Bron: Meicirculaire 2020</t>
  </si>
  <si>
    <t>Op basis van de input van basisbedrag en factor wordt hier het macrobudget berekend (automatisch gevuld)</t>
  </si>
  <si>
    <t>Dit is een analyse die wordt gemaakt om het verloop van het macorbudget te verklaren. Het principe is als volgt: Het budget neemt van jaar tot jaar toe door de loon- en prijsbijstelling en de uitkeringsfactor. De laatste wordt steeds toegepast op het budget zonder loon- en prijsbijstelling. Is bedoeld als achtergond info. onderhoud is niet echt noodzakelijk voor de werking van de rapportage</t>
  </si>
  <si>
    <t>Met ingang van 2019 is het budget begeleiding voor een (zeer) kleine gemeente minimaal het bedrag voor de begeleiding van 1 cliënt</t>
  </si>
  <si>
    <t>Deze cellen vullen op basis van meest actuele circulaire (nu vanaf 2019 o.b.v. 201909). Data zijn te vinden in de bijlage bij de circulaire "IU Participatie …." (excel bestand). Elk jaar bij de meicirculaire schuift de budget informatie een jaar op. Nu is de informatie t/m 2018 definitief. Na het verschijnen van de meicirculaire de informatie in 2019 definitief maken en het jaar 2025 toevoegen in het rapport op deze pagina.</t>
  </si>
  <si>
    <t>Totaal Re-integratie P-wet</t>
  </si>
  <si>
    <t>Klassiek IUSD/AU</t>
  </si>
  <si>
    <t>SW doelgroep</t>
  </si>
  <si>
    <t>Nadere toelichtingen</t>
  </si>
  <si>
    <t>Klassieke doelgroep (suppletie uitkering)</t>
  </si>
  <si>
    <t>Suppletie-uitkering 2019</t>
  </si>
  <si>
    <t>stand decembercirculaire 2019</t>
  </si>
  <si>
    <t>Re-integratie actualisatie</t>
  </si>
  <si>
    <t>actualisatie</t>
  </si>
  <si>
    <t>basis</t>
  </si>
  <si>
    <t>actualisatie-</t>
  </si>
  <si>
    <t>stand</t>
  </si>
  <si>
    <t>effect</t>
  </si>
  <si>
    <t>04</t>
  </si>
  <si>
    <t>05</t>
  </si>
  <si>
    <t>06</t>
  </si>
  <si>
    <t>Knipsel uit bestand "Suppletie uitkering overheveling IUSD" zie map IUSD2019 in dit dossier voor details berekening</t>
  </si>
  <si>
    <t>Zie onder uit de toelichting in het desbetreffende bestand (zie map IUSD 2019) uit de decembercirculaire 2019. De uitsnede voor het budget Re-integratie is opgenomen in dit model, zie tabblad suppletie 2019.</t>
  </si>
  <si>
    <t>Nadere toelichting in het kort:</t>
  </si>
  <si>
    <t>Let op:</t>
  </si>
  <si>
    <t>Klassiek inclusief suppletie</t>
  </si>
  <si>
    <t>Decembercirculaire 2019</t>
  </si>
  <si>
    <t>Decembercirculaire 2018</t>
  </si>
  <si>
    <t>Septembercirculaire 2018</t>
  </si>
  <si>
    <t>Meicirculaire 2018</t>
  </si>
  <si>
    <t>De suppletie-uitkering voor het onderdeel Re-integratie klassiek is éénmalig in 2019. Dat is het gevolg van het besluit van de fondsbeheerders en de VNG in 2018 hebben genomen om uitsluitend de harmonisatie-</t>
  </si>
  <si>
    <t>effecten mee te nemen in de suppletie-uitkering na 2019. Bij Re-integratie klassiek is daarvan geen sprake, de maatstaven zijn gelijk gebleven maar slechts geactualiseerd (van peildatum T-2 naar T)</t>
  </si>
  <si>
    <t>Zie hulpblad gemeenten en let op verborgen regel in dit rapport. Deze is toegevoegd omdat het format van de nummering van de gemeenten in het CBS overzicht voor de nieuwe doelgroepen afwijkt van het format in de overzichten bij de respectievelijke circulaires. De lijst moet worden aangepast indien er een herindeling plaatsvind. In 2020 zijn er geen herindelingen.</t>
  </si>
  <si>
    <t>Budget per jaar klassieke doelgroep</t>
  </si>
  <si>
    <t>Budget klassiek WWB gemeente</t>
  </si>
  <si>
    <t>Voor de klassieke doelgroep geldt dat deze miv 2019 geen onderdeel meer uitmaakt van de IUSD maar van de AU. De berekening van het aandeel van de gemeente in 2019 is wel op onderstaande maatstaven gebaseerd..</t>
  </si>
  <si>
    <t>Er is alleen voor 2019 een suppletie uitkering voorzien om herverdelingseffecten te voorkomen. Deze is in de decembercirculaire 2019 voor het eerst berekend voor dit onderdeel.</t>
  </si>
  <si>
    <t>Voor de klassiek doelgroep was tot en met 2017  nog een overgangsmodel van toepassing (zie ook de kamerbrief uit 2014 over dit onderwerp in dit dossier)</t>
  </si>
  <si>
    <t>Deze gegevens zijn ontleend aan het bestand recap SW 2017-2018</t>
  </si>
  <si>
    <t>Betreft</t>
  </si>
  <si>
    <t>indeling gemeenten 2019</t>
  </si>
  <si>
    <t>Ultimo 2017</t>
  </si>
  <si>
    <t>Ultimo 2018</t>
  </si>
  <si>
    <t>Ultimo 2019</t>
  </si>
  <si>
    <t>ultimo 2020</t>
  </si>
  <si>
    <t>Capelle aan den Ijssel</t>
  </si>
  <si>
    <t>ultimo 2021</t>
  </si>
  <si>
    <t>ultimo 2022</t>
  </si>
  <si>
    <t>ultimo 2023</t>
  </si>
  <si>
    <t>Taakstelling</t>
  </si>
  <si>
    <t>Bonus beschut werk 2015-2016 (ontv in 2017)</t>
  </si>
  <si>
    <t>Bonus beschut werk 2017 (ontv in 2018)</t>
  </si>
  <si>
    <t>Bonus beschut werk 2018 (ontv in 2019)</t>
  </si>
  <si>
    <t>Creatiebonus 2015-2016</t>
  </si>
  <si>
    <t>Continueringsbonus 2015-2016</t>
  </si>
  <si>
    <t>Totaal bedrag</t>
  </si>
  <si>
    <t>aantal gerealiseerde werkplekken</t>
  </si>
  <si>
    <t>Creatiebonus 2017</t>
  </si>
  <si>
    <t>Continueringsbonus 2017</t>
  </si>
  <si>
    <t>Creatiebonus 2018</t>
  </si>
  <si>
    <t>Continueringsbonus 2018</t>
  </si>
  <si>
    <t>Correctie 2015-2017</t>
  </si>
  <si>
    <t>Totaal bedrag 2018</t>
  </si>
  <si>
    <t>Septembercirculaire 2016</t>
  </si>
  <si>
    <t>Meicirculaire 2017</t>
  </si>
  <si>
    <t>restant overgeheveld naar P-wet budget</t>
  </si>
  <si>
    <t>Realisatie</t>
  </si>
  <si>
    <t>Over/Onder realisatie</t>
  </si>
  <si>
    <t>Bonus (obv realsatie t-/-1)</t>
  </si>
  <si>
    <t>Aantal SE bekostiging (t/m 2018 met demping)</t>
  </si>
  <si>
    <t>Bron:</t>
  </si>
  <si>
    <t>"In principe" is 2020 het laatste jaar van uitbetaling want de regeling loopt t/m 2019. Er is lobby tot verlenging, uitkomst onbekend.</t>
  </si>
  <si>
    <t>Bronbestand jaarlijks bijwerken op basis van de circulaires AU en daarbij de voorgaande jaren aanpassen naar aanleiding van gemeentelijke herindeling</t>
  </si>
  <si>
    <t>Budget nieuwe doelgroepen gemeente</t>
  </si>
  <si>
    <t>Normbedrag beschut begeleiding pp</t>
  </si>
  <si>
    <t>Bonus nieuw beschut</t>
  </si>
  <si>
    <t>Totaal budget re-integratie gemeente</t>
  </si>
  <si>
    <t>Nieuwe doelgroepen</t>
  </si>
  <si>
    <t>Nieuwe doelgroepen totaal</t>
  </si>
  <si>
    <t>Totaal budgetten re-integratie</t>
  </si>
  <si>
    <t>Algemene Uitkering</t>
  </si>
  <si>
    <t>Klassieke doelgroep IUSD</t>
  </si>
  <si>
    <t>Klassieke doelgroep AU</t>
  </si>
  <si>
    <t>Klassieke doelgroep suppletie AU</t>
  </si>
  <si>
    <t>Integratieuitkering sociaal domein</t>
  </si>
  <si>
    <t>Algemene uitkering</t>
  </si>
  <si>
    <t>Suppletie algemene uitkering</t>
  </si>
  <si>
    <t>(ex) Wajong</t>
  </si>
  <si>
    <t>Beschut begeleiding</t>
  </si>
  <si>
    <t>Samenvatting budget participatiewet gemeente</t>
  </si>
  <si>
    <t>A. Re-integratie</t>
  </si>
  <si>
    <t>B. (oud) WSW</t>
  </si>
  <si>
    <t>Macrobudget WSW</t>
  </si>
  <si>
    <t>Macrobudgetten re-integratie Participatiewet</t>
  </si>
  <si>
    <t>Klassiek (na 2018 in algemene uitkering)</t>
  </si>
  <si>
    <t>Suppletie voor dit onderdeel geldt volgens mij alleen voor 2019. Zie ook tabblad "werking verdeelmodel"</t>
  </si>
  <si>
    <t>Re-integratiebudgetten gemeente</t>
  </si>
  <si>
    <t>Achtergrondinfo: Gegevens macrobudgetten</t>
  </si>
  <si>
    <t>Details Budgetaandeel gemeente</t>
  </si>
  <si>
    <t>Details nieuw beschut gemeente</t>
  </si>
  <si>
    <t>WSW doelgroep</t>
  </si>
  <si>
    <t>Klassieke WWB doelgroep</t>
  </si>
  <si>
    <t>WSW oud en nieuw beschut</t>
  </si>
  <si>
    <t>WSW oud</t>
  </si>
  <si>
    <t>Nieuw beschut</t>
  </si>
  <si>
    <t>Aantallen WSW oud en nieuw beschut</t>
  </si>
  <si>
    <t>WSW oud (SE)</t>
  </si>
  <si>
    <t>toename aantal nw beschut i.r.t. afname WSW oud</t>
  </si>
  <si>
    <t>afname aantal SE WSW cumulatief</t>
  </si>
  <si>
    <t>toename aantal nieuw beschut cumulatief</t>
  </si>
  <si>
    <t>Totaal Integratieuitkering Participatiewet</t>
  </si>
  <si>
    <t>Deelbudget</t>
  </si>
  <si>
    <t>Ad A:</t>
  </si>
  <si>
    <t>Details Budgetten Re-integratie doelgroepen Participatiewet (exclusief WSW)</t>
  </si>
  <si>
    <t>Ad. B</t>
  </si>
  <si>
    <t>Antwoord</t>
  </si>
  <si>
    <t>Gaat dit in de toekomst wijzigen?</t>
  </si>
  <si>
    <t>Budget Nieuw Wajong</t>
  </si>
  <si>
    <t>Wat is de doelgroep "nieuw Wajong"</t>
  </si>
  <si>
    <t>Hoe wordt de hoogte van het landelijk beschikbaar budget bepaald?</t>
  </si>
  <si>
    <t>Waar is budgetinformatie te vinden?</t>
  </si>
  <si>
    <t>Hoe wordt de hoogte van het gemeentelijke budget voor deze doelgroep vastgesteld?</t>
  </si>
  <si>
    <t>Moet het budget aan deze doelgroep besteed worden?</t>
  </si>
  <si>
    <t>Gaat de wijze van financiering en verdeling van het budget in de toekomst wijzigen?</t>
  </si>
  <si>
    <t>Verschilt de wijze van financiering en verdeelsystematiek per (deel) budget?</t>
  </si>
  <si>
    <t>Onderwerp/Vraag</t>
  </si>
  <si>
    <t>De verdeling van deze middelen is gebaseerd op een regressiemodel dat is ontwikkeld door SEO. Deze wijze van verdelen werkt als volgt. Iedere gemeente krijgt allereerst een bedrag dat gelijk is aan de gemiddelde re-integratie-uitgaven per inwoner van 15 tot en met 64 jaar. Vervolgens wordt per verdeelmaatstaf bepaald of de gemeente positief of negatief afwijkt van de gemiddelde score op die maatstaf. Als een gemeente bijvoorbeeld meer bijstandsgerechtigden of minder bereikbare banen heeft dan gemiddeld, dan ontvangt deze gemeente extra middelen. Als de gemeente juist minder bijstandsgerechtigden of meer bereikbare banen heeft dan gemiddeld, dan gaat er wat van de middelen af. Dit geeft het budgetaandeel per gemeente. Door dit aandeel te vermenigvuldigen met het macrobudget wordt het gemeentelijk budget bepaald. Het model bevat de volgende maatstaven: Gemiddelde re-integratie-uitgaven per inwoner, Omvang totale doelgroep (inwoners 15–64 jaar – werkenden – WW/AO-uitkering – studenten) , Bijstandsontvangers (vertraagd t-2, peilmoment 1 januari), Lageropgeleiden (t/m lager beroepsonderwijs), Bereikbare banen (aantal banen binnen acceptabele reistijd, gedeeld door beroepsbevolking).</t>
  </si>
  <si>
    <t>Waarom is de suppletieuitkering in 2019 toegekend?</t>
  </si>
  <si>
    <t>Bonus Nieuw Beschut</t>
  </si>
  <si>
    <t>Waarom is deze bonusregeling tot stand gekomen?</t>
  </si>
  <si>
    <t>Wat is de looptijd van deze regeling?</t>
  </si>
  <si>
    <t>Hoe wordt de hoogte van de bonus bepaald?</t>
  </si>
  <si>
    <t>Welke uitgaven kunnen uit dit budget gedekt worden?</t>
  </si>
  <si>
    <t>Bestaat de kans dat de bonusregeling  wordt verlengd?</t>
  </si>
  <si>
    <t>Wanneer en via welk kanaal ontvangt de gemeente informatie over de hoogte van de bonus?</t>
  </si>
  <si>
    <t>Taakstelling Nieuw Beschut</t>
  </si>
  <si>
    <t>Waarop is deze taakstelling gebaseerd?</t>
  </si>
  <si>
    <t>Waarom is de taakstelling in het leven geroepen?</t>
  </si>
  <si>
    <t>Waar is informatie te vinden over de taakstelling van de gemeente?</t>
  </si>
  <si>
    <t>Wat is het gevolg van niet voldoen aan de taakstelling?</t>
  </si>
  <si>
    <t>Budget WSW</t>
  </si>
  <si>
    <t>Uit welke onderdelen bestaat het budget dat mijn gemeente ontvangt in het kader van de Participatiewet?</t>
  </si>
  <si>
    <t>Deze doelgroep bestaat uit de, door natuurlijk verloop geleidelijk dalende, groep personen die op de ingangsdatum van de Participatiewet (1-1-2015) een WSW plaatsing hadden. Na 1-1-2015 is de toegang tot de WSW afgesloten en behoren geïndiceerden tot de doelgroep "begeleiding/nieuw beschut" van de participatiewet.</t>
  </si>
  <si>
    <t>Wat is de "WSW" doelgroep?</t>
  </si>
  <si>
    <t>Wat is de Klassieke doelgroep"?</t>
  </si>
  <si>
    <t>Ja. Op termijn zullen alle onderdelen van de IUSD participatiewet behalve de "WSW" worden toegevoegd aan de algemene uitkering gemeentefonds. Ook de verdeelsystematiek zal wijzigen voor alle onderdelen behoudens de "WSW". Op dit moment wordt onderzoek gedaan naar een passende verdeelsystematiek door het bureau AEF. Invoering van de nieuwe verdeelsystematiek is op zijn vroegst op 1-1-2022 te verwachten. In de meicirculaire 2020 worden gemeenten nader geïnformeerd.</t>
  </si>
  <si>
    <t>Budgetinformatie wordt aan de gemeente gecommuniceerd in de systematiek van de circulaires gemeentefonds. Daarin zijn vooral de mei- en septembercirculaires van belang. Daarin worden voorlopige en definitieve budgetten gecommuniceerd. Dan komen ook data bestanden (in excel) beschikbaar waarin budget en budgetverdeel informatie per gemeente te vinden is. Deze data bestanden vormen mede de basis voor deze tool. In bijzondere gevallen is ook in andere periodeke circulaires van de algemene uitkering aanvullende informatie te vinden.</t>
  </si>
  <si>
    <t>Met ingang van de invoering van de Participatiewet op 1-1-2015 worden personen met arbeidsvermogen (dat wil zeggen minimaal 30% arbeidsgeschikt) niet meer toegelaten tot de Wajong. Deze personen krijgen met ingang van die datum een voorziening op grond van de Participatiewet. Het onderhavige budget dient voor de bekostiging van begeleidingstrajecten voor deze doelgroep. Kosten van inkomensvoorzieningen (Uitkeringen en Loonkostensubsidie) moete  gedekt worden uit de BUIG middelen.</t>
  </si>
  <si>
    <t>Zijn de deelbudgetten onderling uitwisselbaar?</t>
  </si>
  <si>
    <t>Bij de invoering van de participatiewet heeft de regering gemeenten binnen het kader van de Participatiewet beleidsruimte gegeven om zelf te bepalen welke ondersteuning mensen nodig hebben. Er zitten dus geen schotten tussen de middelen in het gebundelde re-integratiebudget.</t>
  </si>
  <si>
    <t>De hoogte van het budget wordt bepaald op basis van de landelijke schatting van de totale omvang van de doelgroep.  Voor de reintegratie van deze groep hevelt de regering vanaf 2015 (budgettair neutraal) middelen over vanuit het reintegratiebudget Wajong van het UWV. Deze toevoeging loopt volgens de cijfers in de memorie van toelichting bij de Participatiewet geleidelijk op tot 111 miljoen structureel.</t>
  </si>
  <si>
    <t>Wat is de doelgroep "Nieuw Begeleiding"?</t>
  </si>
  <si>
    <t>Deze doelgroep bestaat uit de personen die door de afsluiting van de WSW vanaf 1-1-2015 instromen in de Participatiewet. De groep bestaat grofweg voor 1/3 deel uit "nieuw beschut" en 2/3 deel "begeleiding regulier". Personen die behoren tot het deel nieuw beschut zijn zoals de naam al aangeeft vanwege duurzame beperkingen aangewezen op een "beschutte werkomgeving", het UWV stelt hiervoor de indicatie vast. De overige personen hebben ook beperkingen maar hebben meer mogelijkheden om met enkele aanpassingen en begeleiding te werken in een reguliere werkomgeving.</t>
  </si>
  <si>
    <t>De hoogte van het macrobudget is bij invoering van de participatiewet bepaald in samenhang met de afbouw van de bestaande WSW in de jaren vanaf 2015. Daarbij is uitgegaan van ongeveer WSW 90.000 plekken die uiteindelijk op basis van de uitstroom uit de WSW  voor 1/3 deel (circa 30.000) worden omgezet in "nieuw beschut" plekken en voor 2/3 deel (circa 60.000) in begeleiding regulier. Voor de bepaling van het budget is uitgegaan van een bedrag van € 8.500 per persoon voor "nieuw beschut" en € 4.000 per persoon voor reguliere begeleiding. Voor nieuw beschut zijn de normbedragen inmiddels aangepast. Voor 2019 en 2020 is het bedrag € 8.800, daarna € 7.500. Op de totale budgetten wordt jaarlijks een indexering toegepast voor loon- en prijsontwikkeling. Daarnaast wordt vanaf 2018 het bedrag dat "overblijft" uit de bonusregeling beschut werk deels toegevoegd aan dit budget.</t>
  </si>
  <si>
    <t>Het gemeentelijke budget wordt op basis van een in 2015 vastgestelde verdeelsleutel bepaald. Deze verdeelsleutel is gebaseerd op destijds door het CBS aangeleverde gegevens per gemeente over de cumulatieve instroom in de Wajong-werkregeling in de periode 2012-2014</t>
  </si>
  <si>
    <t>De doelgroep die ook voor 1-1-2015 al door de gemeente kon worden bediend met een re-integratievoorziening op grond van de wet werk en bijstand.</t>
  </si>
  <si>
    <t>Dit budget bestaat uit het voor 1-1-2015 bestaande Participatiebudget. Daarbij is rekening gehouden met de doorwerking van de destijds in het regeerakkoord opgenomen doelmatigheidskorting op het gemeentelijk re-integratiebudget. Met ingang van 2019 is het budget opgenomen in de Algemene Uitkering Gemeentefonds als apart zichtbaar onderdeel in het cluster Inkomen en participatie. In de Diverse circulaires gemeentefonds is nadere informatie te vinden. Door de overgang naar de algemene uitkering maakt het budget deel uit van de "trap op, trap af" systematiek van het gemeentefonds. Jaarlijks wordt de uitkeringsfactir toegepast die voor de algemene uitkering geldt en wordt een loon- en prijscompensatie toegepast.</t>
  </si>
  <si>
    <t>De suppletie-uitkering is het spiegelbeeld van onderstaande berekening. (dus indien hier een -/- is vermeld is de suppletie-uitkering een +/+</t>
  </si>
  <si>
    <t>Deze suppletie-uitkering geeft invulling aan de bestuurlijke afspraak dat de overheveling van de IUSD (in dit geval dus Re-integratie Klassiek) naar de algemene uitkering in 2019 en 2020 (tot invoering van het nieuwe verdeelmodel) geen herverdeeleffect (positief of negatief) mag hebben. In de septembercirculaire 2019 is gepubliceerd dat de fondsbeheerders, in overleg met de VNG, besloten hebben om bij de vormgeving van de suppletie-uitkering in 2020 enkel de herverdeeleffecten van de harmonisatie mee te nemen in de suppletie-uitkering. Er is dus niet voor de optie gekozen om in 2020 zowel de harmonisatieeffecten (uniform gebruik van definities) als de actualisatie-effecten (uniform gebruik peilmomenten) meerjarig te neutraliseren. Aangezien voor het onderdeel Re-integratie Klassiek alleen een actualisatie effect optreedt (voor wat betreft het aantal bijstandshuishoudens) is de suppletie voor dit onderdeel éénmalig in 2019. In decembercirculaire van 2019 is de nacalculatie voor 2019 al opgenomen en is aangegeven dat de definitieve nacalculatie in mei 2020 volgt. ook is aangegeven dat het effect daarvan waarschijnlijk zeer beperkt zal zijn omdat data over de meest relevante onderdelen al in december 2019 bekend was.</t>
  </si>
  <si>
    <t>(Integratieuitkering) Participatiewet</t>
  </si>
  <si>
    <t>Ja, deze verschilt. Per deelbudget is een aparte verdeelsystematiek van toepassing en ook de wijze van financiering verschilt. Met ingang van 2019 is het budget "Re-integratie Klassiek" toegevoegd aan het cluster sociaal van de algemene uitkering gemeentefonds. De overige onderdelen maken (nog) onderdeel uit van de integratie uitkering sociaal domein (IUSD) onderdeel participatiewet. De verdeling en financiering wordt per deelbudget verder toegelicht.</t>
  </si>
  <si>
    <t xml:space="preserve">Het gebundeld re-integratiebudget bestaat uit vier onderdelen voor vier deelgroepen: "nieuw Wajong", "Nieuw begeleiding", "Re-integratie Klassiek" en "WSW" </t>
  </si>
  <si>
    <t>Voor de doelgroepen "nieuw Wajong", "Nieuw begeleiding", "Re-integratie Klassiek" kunnen de kosten van re-integratie en begeleiding uit dit budget gedekt worden. Voor de kosten van uitkeringen en loonkostensubsidies is de gebundelde uitkering als bedoeld in art. 69 van de Participatiewet, ook wel genaamd het BUIG budget, beschikbaar. Voor de doelgroep "WSW" kunnen de kosten van begeleiding en de loonkosten uit het budget gedekt worden.</t>
  </si>
  <si>
    <t>Budget Re-integratie Klassiek</t>
  </si>
  <si>
    <t>Budget Nieuw Begeleiding</t>
  </si>
  <si>
    <t>September circulaire 2019</t>
  </si>
  <si>
    <t>December circulaire 2020</t>
  </si>
  <si>
    <t>Het aantal beschut werkplekken op grond van de Participatiewet dat gemeenten sinds 1 januari 2015 hebben georganiseerd blijft sterk achter bij de verwachtingen. De staatssecretaris van SZW heeft de Tweede Kamer in 2016 gemeld dat gemeenten over een periode van vijf jaar (2015-2019) een financiële stimulans (een “bonus”) ontvangen per gerealiseerde werkplek. Het doel van de bonus is om gemeenten te stimuleren daadwerkelijk beschut werkplekken te realiseren en in stand te houden.</t>
  </si>
  <si>
    <t xml:space="preserve">De regeling loopt, zoals bovenstaand al vermeld, van 2015 tot en met 2019. </t>
  </si>
  <si>
    <t>Er is op dit moment een lobby om de regeling te verlengen, met name vanuit de SW Werkgeversorganisatie CEDRIS. De uitkomst hiervan is onbekend. Feit is dat de bonusregeling jaarlijks een sterke onderuitputting kent omdat het aantal gerealiseerde plekken nog altijd sterk achterblijft bij de door het rijk bepaalde doelstelling.</t>
  </si>
  <si>
    <t>De creatiebonus bedraagt € 3000 voor ieder in een jaar gecreëerde beschut werkplek. Een beschut werkplek wordt bepaald door een koppeling tussen een door UWV afgegeven positief advies beschut werk en een dienstverband blijkend uit de polisadministratie van UWV. Er wordt niet gekeken naar aantal gewerkte uren en duur van het dienstverband. Een gemeente die voor een persoon een creatiebonus heeft gekregen, kan de continuïteitsbonus krijgen als de betreffende persoon in het volgende jaar volgens de polisadministratie op enig moment nog een dienstverband heeft. De hoogte van de continuïteitsbonus is afhankelijk van het aantal maanden waarin de werkgever tenminste één uur heeft verloond. Als de dienstbetrekking een jaar heeft geduurd bedraagt de bonus opnieuw € 3000, als de dienstbetrekking korter heeft geduurd voor elke maand 1/12 van € 3000.</t>
  </si>
  <si>
    <t xml:space="preserve">De toekenning van de bonussen over 2015 en 2016 heeft in 2017 plaatsgevonden, die van 2017 in 2018 en die van 2018 in 2019. De bonus van 2019 wordt in 2020 toegekend. Gemeenten ontvangen de bonussen via een decentralisatie-uitkering. Via de meicirculaire worden gemeenten jaarlijks geïnformeerd over de hoogte van het toegekende bedrag, voor het eerst in de meicirculaire 2017. </t>
  </si>
  <si>
    <t>De aantallen zijn (net als de financiële middelen) gebaseerd op de instroom in de  werkregeling en de  in de periode 2012-2014. In de aantalen van de taakstelling is er rekening mee gehouden dat gemeenten de achterstand die in de jaren 2015 en 2016 is opgelopen in vijf jaar inlopen zodat er in de structurele situatie ruim 30.000 beschut werkplekken beschikbaar blijven. De vermelde aantallen beschut werkplekken zijn cumulatieve aantallen die aan het einde van het jaar gerealiseerd moeten zijn als de behoefte er is (inclusief de tijdens eerdere jaren gerealiseerde aantallen).</t>
  </si>
  <si>
    <t>Sinds 1 januari 2017 moet een gemeente beschut werk aanbieden. Zij kan niet meer bij verordening regelen dat geen beschut werk wordt aangeboden. Het Rijk bepaalt jaarlijks bij ministeriele regeling het aantal ten minste te realiseren dienstbetrekkingen beschut werk per gemeente. Als de behoefte daartoe bestaat, blijkend uit het aantal positieve adviezen beschut werk afgegeven door UWV, dan moet de gemeente beschut werk aanbieden, tot ten minste het aantal zoals vastgelegd in deze ministeriële regeling. Voor de aantallen voor 2020:  Voor één beschutte werkplek is uitgegaan van een gemiddeld dienstverband van 31 uur per week. Dit betekent dat gemeenten evenredig meer plekken moeten realiseren bij dienstverbanden van minder dan 31 uur per week en evenredig minder plekken hoeven te realiseren bij dienstverbanden van meer dan 31 uur per week.</t>
  </si>
  <si>
    <t>Als een gemeente de doelstelling van de regeling niet haalt is het (volgens het ministerie) in de eerste plaats aan de gemeenteraad om dit aan te kaarten bij het college. Het Rijk vordert geen geld terug van gemeenten die zich niet houden aan de aantallen in de regeling.</t>
  </si>
  <si>
    <t>De meest actuele informatie is opgenomen in de regeling van de Staatssecretaris van Sociale Zaken en Werkgelegenheid van 22 november 2019, tot vaststelling van de aantallen beschut werk voor het jaar 2020 (Regeling vaststelling aantallen beschut werk 2020). Daarin staat de taakstelling per gemeente en de landelijke taakstelling voor de periode tot en met 2024.</t>
  </si>
  <si>
    <t>Het gemeentelijke budget wordt op basis van een in 2015 vastgestelde verdeelsleutel bepaald. Deze verdeelsleutel is gebaseerd op destijds door het CBS aangeleverde gegevens per gemeente over de cumulatieve instroom in de Wajong-werkregeling exclusief instroom op de wachtlijst van de Wsw en de cumalatieve instroom op de wachtlijst van de Wsw in de periode 2012-2014. Met ingang van 2019 wordt een correctie gemaakt. Het budget begeleiding voor een (zeer) kleine gemeente is dan minimaal het bedrag voor de begeleiding van 1 cliënt</t>
  </si>
  <si>
    <t>De verdeling van de Wsw-middelen is gebaseerd op de gerealiseerde omvang van de sociale werkplaatspopulatie (gemeten in standaardeenheden (SE) per betalende gemeente) zoals we die kennen uit het voorgaande jaar en een inschatting van de blijfkansen in de sociale werkplaats. Panteia heeft onderzoek gedaan naar de huidige inschatting van de blijfkansen. Daaruit komen twee voorstellen om deze inschatting te verbeteren, zodat deze naar verwachting beter zullen aansluiten bij de uiteindelijke realisaties. Het eerste voorstel betreft een rekenkundige verbetering waarmee de weging van de individuele blijfkansen naar gemeenteniveau zuiverder wordt meegenomen. De tweede betreft een betere inschatting van de pensioneringskans voor mensen van 64 jaar en ouder, die rekening houdt met de gestegen pensioenleeftijd. De financiële effecten van deze twee aanpassingen zijn beperkt, omdat ze tegen elkaar in werken. Het Ministerie van SZW en de VNG hebben na overleg met Cedris besloten om de twee verbeteringen door te voeren met ingang van 2020. Voor de verdeling in 2019 zijn de blijfkansen nog berekend volgens de oude methode.</t>
  </si>
  <si>
    <t xml:space="preserve">Voor dit deel van het budget zal de wijze van financiering en verdeling niet wijzigen.  De onderdelen Wsw en voorheen Wsw/Beschut werk (onderdeel van begeleid werken) kunnen niet geïntegreerd worden met de algemene uitkering. Deze onderdelen zullen op het moment dat de Participatieonderdelen voorheen Wajong en voorheen Wsw (regulier werk) worden overgeheveld naar de algemene uitkering worden omgezet in een decentralisatie-uitkering. </t>
  </si>
  <si>
    <t xml:space="preserve">Ja, maar dit bestaat uit twee delen. Deel 1: Op termijn zal het onderdeel "begeleiding regulier" worden toegevoegd aan de algemene uitkering gemeentefonds. Op dit moment wordt onderzoek gedaan naar een passende verdeelsystematiek door het bureau AEF. Invoering van de nieuwe verdeelsystematiek is op zijn vroegst op 1-1-2022 te verwachten. In de meicirculaire 2020 worden gemeenten nader geïnformeerd. Deel 2: Het deel "nieuw beschut" kan niet geïntegreerd worden met de algemene uitkering. Dit onderdeel zal (samen met het deel "oud WSW") worden omgezet in een decentralisatie-uitkering. </t>
  </si>
  <si>
    <t>Bij invoering van de participatiewet werd het budget voor de WSW gebaseerd op de omvang van de WSW populatie op dat moment in standaardeenheden (SE) en een normbedrag per SE. Het macrobudget WSW 'oude stijl' gaat jaarlijks omlaag tot nul als de laatste oud SW-er is uitgestroomd. In 2015 was per WSW’er circa € 26.000 euro beschikbaar. Het bedrag ging in de aanvankelijke ramingen van het Ministerie van SZW in verband met bezuinigingen (een zogenaamde "efficiency korting") jaarlijks met circa € 500 omlaag tot € 22.700 euro per WSW’er vanaf 2020. Door een aantal oorzaken zoals bijvoorbeeld het toekennen van extra loon en prijcompensate om CAO afspraken voor de WSW mogelijk te maken, is het actuele bedrag per SE voor 2020 ruim € 25.000. Weliswaar een daling maar veel minder sterk danwaarmee bij het opstellen van de Participatiewet rekening werd gehouden.</t>
  </si>
  <si>
    <t>exclusief bonus beschut werk</t>
  </si>
  <si>
    <t>Gemiddeld vergelijkingsgroep</t>
  </si>
  <si>
    <t>Inwoners</t>
  </si>
  <si>
    <t>Bijstandsontvangers</t>
  </si>
  <si>
    <t>Vergelijkingsgroep</t>
  </si>
  <si>
    <t>Gemeenten Vergelijkingsgroep</t>
  </si>
  <si>
    <t>Onderhoud:</t>
  </si>
  <si>
    <t>Jaarlijks bijwerken op basis van nieuwe rekenmodellen circulaires Algemene Uitkering.</t>
  </si>
  <si>
    <t>Meicirculaire 2020:</t>
  </si>
  <si>
    <t>Creatiebonus 2019</t>
  </si>
  <si>
    <t>Continueringsbonus 2019</t>
  </si>
  <si>
    <t>Totaal bedrag 2019</t>
  </si>
  <si>
    <t>Bonus beschut werk 2019 (ontv in 2020). Is vertraagd, zie citaat meicirculaire 2020 rechtsonder. Wordt septembercirculaire</t>
  </si>
  <si>
    <t>Beschikbaar budget</t>
  </si>
  <si>
    <t>Budgetaandeel circulaire 2020</t>
  </si>
  <si>
    <t>onroerendezaakbelasting waarde woningen eigenaren</t>
  </si>
  <si>
    <t>onroerendezaakbelasting waarde niet-woningen gebruikers</t>
  </si>
  <si>
    <t>onroerendezaakbelasting waarde niet-woningen eigenaren</t>
  </si>
  <si>
    <t>kernen met 500 of meer adressen</t>
  </si>
  <si>
    <t>ozb-waarde van de niet-woningen gedeeld door 1.000.000</t>
  </si>
  <si>
    <t>inwoners jongeren jonger dan 18 jaar</t>
  </si>
  <si>
    <t>inwoners ouderen 65 jaar en ouder</t>
  </si>
  <si>
    <t>inwoners ouderen 75 t/m 84 jaar</t>
  </si>
  <si>
    <t>lage inkomens met drempel</t>
  </si>
  <si>
    <t>minderheden met drempel</t>
  </si>
  <si>
    <t>achterstandsleerlingen met drempel</t>
  </si>
  <si>
    <t>oppervlakte bebouwing</t>
  </si>
  <si>
    <t>oppervlakte bebouwing woonkernen * bodemfactor woonkernen</t>
  </si>
  <si>
    <t>oppervlakte bebouwing buitengebied*bodemfactor buitengebied</t>
  </si>
  <si>
    <t>woonruimten * bodemfactor woonkernen</t>
  </si>
  <si>
    <t>historische waterwegen</t>
  </si>
  <si>
    <t>bewoonde oorden</t>
  </si>
  <si>
    <t>bewoonde oorden met historische kernen</t>
  </si>
  <si>
    <t>investeringsbudget stedelijke vernieuwing (a)</t>
  </si>
  <si>
    <t>investeringsbudget stedelijke vernieuwing (b)</t>
  </si>
  <si>
    <t>omgevingsadressendichtheid (oad)</t>
  </si>
  <si>
    <t>omgevingsadressendichtheid met drempel</t>
  </si>
  <si>
    <t>oeverlengte * bodemfactor gemeente</t>
  </si>
  <si>
    <t>meerkernigheid</t>
  </si>
  <si>
    <t>meerkernigheid * bodemfactor buitengebied</t>
  </si>
  <si>
    <t>bedrijven</t>
  </si>
  <si>
    <t>oppervlakte bebouwing woonkernen</t>
  </si>
  <si>
    <t>oppervlakte bebouwing buitengebied</t>
  </si>
  <si>
    <t>jeugdigen in gezinnen met armoederisico</t>
  </si>
  <si>
    <t>basisonderwijsleerlingen met leerlingengewicht 0.3</t>
  </si>
  <si>
    <t>basisonderwijsleerlingen met leerlingengewicht 1.2</t>
  </si>
  <si>
    <t>gemiddeld gestandaardiseerd inkomen (particuliere hh)</t>
  </si>
  <si>
    <t>gemiddeld gestandaardiseerd inkomen (hh met kinderen)</t>
  </si>
  <si>
    <t>eenouderhuishoudens die bijstand ontvangen</t>
  </si>
  <si>
    <t>wajongeren</t>
  </si>
  <si>
    <t>re-integratie klassiek</t>
  </si>
  <si>
    <t>inwoners jonger dan 65 jaar</t>
  </si>
  <si>
    <t>inwoners ouderen 65 t/m 74 jaar</t>
  </si>
  <si>
    <t>inwoners ouderen 85 jaar en ouder</t>
  </si>
  <si>
    <t>Deze cellen hier niet vullen maar op basis van tabblad "recap circulaires", zie daar voor onderhoud. Let op verwijzing schuift bij elke circulaire een regel op</t>
  </si>
  <si>
    <t>Gemeentelijke indeling 2020</t>
  </si>
  <si>
    <t>Absolute waarden 2019 uit vorige versie dit tabblad</t>
  </si>
  <si>
    <t>De taakstelling is nu bekend tot en met 2023. Zie tabblad "taakstelling nieuw beschut" voor verdere instructies.</t>
  </si>
  <si>
    <t>Budgetten oud WSW</t>
  </si>
  <si>
    <t>% mutatie ten opzichte van het voorgaand jaar (vanaf 2017)</t>
  </si>
  <si>
    <t>Kengetallen Re-integratiebudget vergelijking</t>
  </si>
  <si>
    <t>Gemiddeld vergelijkings-groep</t>
  </si>
  <si>
    <t>Toelichting</t>
  </si>
  <si>
    <t>Details Budgetaandeel</t>
  </si>
  <si>
    <r>
      <t xml:space="preserve">Gemeentenaam </t>
    </r>
    <r>
      <rPr>
        <b/>
        <sz val="10"/>
        <color theme="0"/>
        <rFont val="Calibri"/>
        <family val="2"/>
        <scheme val="minor"/>
      </rPr>
      <t>(kies uit lijst of vul in)</t>
    </r>
  </si>
  <si>
    <t xml:space="preserve">Vergelijking Re-integratiebudget zonder bonus beschut werk en (oud) WSW </t>
  </si>
  <si>
    <t>Ad A: Specificatie budgetten Re-integratie doelgroepen Participatiewet (exclusief oud-WSW)</t>
  </si>
  <si>
    <t>Details taakstelling en bonus nieuw beschut</t>
  </si>
  <si>
    <t>Budget per inwoner</t>
  </si>
  <si>
    <t>Budget per bijstandsgerechtigde</t>
  </si>
  <si>
    <t>Bijstandsdichtheid</t>
  </si>
  <si>
    <t>Door het downloaden van dit bestand gaat u akkoord met de voorwaarden die zijn verbonden aan het gebruik van i-Kompas.</t>
  </si>
  <si>
    <t xml:space="preserve">Kijk voor meer informatie op: http://www.i-kompas.nl/gebruik-i-kompas </t>
  </si>
  <si>
    <t>Totaal Integratie en decentralisatie uitkeringen</t>
  </si>
  <si>
    <t>Vergelijk mijn gemeente met (vul in of kies uit lijst)</t>
  </si>
  <si>
    <t>Mijn gemeente (vul in of kies uit lijst)</t>
  </si>
  <si>
    <t>Excel rekenmodel bij BZK circulaires algemene uitkering, tabblad "Blad 1", kolommen 8 en 16. M.i.v. sept circ 2020 "volumina…." kolommen 7 en 15</t>
  </si>
  <si>
    <t>Volumina 2020</t>
  </si>
  <si>
    <t>(oeverlengte+2*veen/kleiveengebied)*bf.gemeente*dh.factor</t>
  </si>
  <si>
    <t>Bron: Septembercirculaire 2020</t>
  </si>
  <si>
    <t>Specificatie verdeling Nieuw Wajong, septembercirculaire 2020</t>
  </si>
  <si>
    <t>Stand meicirculaire 2020 = stand septembercirculaire 2020</t>
  </si>
  <si>
    <t>Specificatie verdeling Nieuw begeleiding, septembercirculaire 2020</t>
  </si>
  <si>
    <t>incl. drempel €9.000</t>
  </si>
  <si>
    <t>incl. drempel €7.700</t>
  </si>
  <si>
    <t>verdeling restant middelen motie Bruins</t>
  </si>
  <si>
    <t>Mogelijk wijzigt het normbedrag voor begeleiding p.p. nog voor 2022. Dat kan van invloed zijn  op het budget voor een (zeer) kleine gemeente. Toelichting op circulaires goed lezen. Indien wijziging deze cellen updaten. Mei 2021: Indexatie, verhoogd naar € 7.800.</t>
  </si>
  <si>
    <t>Budgetaandeel circulaire 2021</t>
  </si>
  <si>
    <t>Volumina 2021</t>
  </si>
  <si>
    <t>Eemsdelta</t>
  </si>
  <si>
    <t>Budgetaandeel AU 2020</t>
  </si>
  <si>
    <t>Herindeling 2021</t>
  </si>
  <si>
    <t>Deze cellen hier niet vullen maar op basis van tabblad "Budgetaandelen klassiek". Zie daar voor onderhoud. Let op verwijzing schuift bij elke nieuwe circulaire een regel en kolom op</t>
  </si>
  <si>
    <t>Bron: Meicirculaire 2021</t>
  </si>
  <si>
    <t>Deze bedragen zijn ontleend aan de respectievelijke circulaires AU. Bij nieuwe circulaire regel invoegen met nieuwe circulaire.</t>
  </si>
  <si>
    <t>De factoren zijn ontleend aan de respectievelijke circulaires AU. Bij nieuwe circulaire regel invoegen met nieuwe circulaire.</t>
  </si>
  <si>
    <t>Op basis van de circulaire van de AU (zie tabbladen "grondslagen") van jaar tot jaar aanpassen. Daarbij voor de voorgaande jaren aandelen "herberekenen"op basis van de meest recente gemeentelijke indeling. Voor 2020 is geen herindeling voorzien. Zie https://www.cbs.nl/nl-nl/nieuws/2019/53/gemeentelijke-indeling-ongewijzigd-in-2020. In 2021 is er wel een herindeling</t>
  </si>
  <si>
    <t>Hier geen onderhoud. Regels 51, 52, 53 en 38 komen uit tabblad P-SW. Bij verschijnen van een nieuwe circulaire (naar verwacht nu de eerstvolgende 2021-05) dat tabblad bijwerken met de meest actuele gegevens. Op het desbetreffende werkblad uit de bijlage "IU Participatie ...." (excelbestand) bij de meest recente circulaire moeten wel enkele bewerkingen worden gedaan (zie de donkergrijs gearceerde regels en kolommen in het tabblad P-SW. Elk jaar bij de meicirculaire schuift de informatie een jaar op. Nu wordt 2019 straks definitief en moet in dit rapport de kolom 2025 toegevoegd worden. In 2020 is bedrag per SE éénmalig hoog door compensatie omzetverlies door Corono (macro 140.000.000 euro)</t>
  </si>
  <si>
    <t>Absolute waarden 2020 uit vorige versie dit tabblad</t>
  </si>
  <si>
    <t>Tot 2022 geen onderhoud nodig. De budgetaandelen staan vast tot invoering van vernieuwde verdeelsystematiek. Deze zijn gebaseerd op de instroom in de Wajong werkregeling 2012-2014 en (voor begeleiding) in de Wsw wachtlijst 2012-2014. Zie voor toelichting en bronnen tabblad werking verdeelmodel.</t>
  </si>
  <si>
    <t>Budgetaandelen gemeenten op basis van gemeenten 2022 (herindeling op voorgaande jaren is met terugwerkende kracht toegepast)</t>
  </si>
  <si>
    <t>Volumina 2022</t>
  </si>
  <si>
    <t>Budgetaandeel circulaire 2022</t>
  </si>
  <si>
    <t>Budgetaandeel AU 2021</t>
  </si>
  <si>
    <t>Herindeling 2022</t>
  </si>
  <si>
    <t>Maashorst</t>
  </si>
  <si>
    <t>Land van Cuijk</t>
  </si>
  <si>
    <t>Dijk en Waard</t>
  </si>
  <si>
    <t>Budgetaandeel AU 2022</t>
  </si>
  <si>
    <t>Bron: Septembercirculaire 2021</t>
  </si>
  <si>
    <t>Formule een regel opschuiven na elke circulaire</t>
  </si>
  <si>
    <t>Check</t>
  </si>
  <si>
    <t>Bron: Recap jaarlijkse "regeling tot vaststelling van de aantallen beschut werk". Bronbestand is: Taakstelling en bonus beschut werk in directory bronnen/2021NB. bronbestand jaarlijks aanpassen en daarbij rekening houden met gem. herindeling</t>
  </si>
  <si>
    <t>ultimo 2024</t>
  </si>
  <si>
    <t>ultimo 2025</t>
  </si>
  <si>
    <t>Schatting per gemeente op basis van % aandeel 2021 en landelijk totaal regeling participatiewet IOAW en IOAZ (vaststelling aantallen beschut werk voor 2021)</t>
  </si>
  <si>
    <t>Vaststelling van de aantallen beschut werk is met ingang van 2021 opgenonen in de Regeling Participatiewet, IOAW en IOAZ</t>
  </si>
  <si>
    <t>Zie onder voor totalen 2021 en verder:</t>
  </si>
  <si>
    <t>Bestand "taakstelling en bonus beschut werk" in directory .../Bronnen/2021NB. Bedragen zijn gebaseerd op de publicatie in de circulaires van de algemene uitkering (meestal de meicirculaire)</t>
  </si>
  <si>
    <t>Septembercirculaire 2020</t>
  </si>
  <si>
    <t>De realisatie van de aantallen en de bonus is gebaseerd op de data uit de circulaires van de AU. Zie verder tabblad "bonus nieuw beschut" voor onderhoud. Bronbestand jaarlijks bijwerken aan de hand van de publicatie in de AU circulaires. 2019 (uitbetaald in 2020) was het laatste jaar van de bonusregeling.</t>
  </si>
  <si>
    <t>Over de periode vanaf 2020 is geen landelijk beschikbare data over de realisatie gevonden</t>
  </si>
  <si>
    <t>Deze regeling liep tot en met 2019</t>
  </si>
  <si>
    <t>Tot en met 2018 waren deze middelen opgenomen in de Integratie-uitkering Participatiewet</t>
  </si>
  <si>
    <t>Dit is een eenmalige aanvulling in 2019</t>
  </si>
  <si>
    <t>Gemeentelijke indeling 2022</t>
  </si>
  <si>
    <t>Purmerend oud</t>
  </si>
  <si>
    <t>Amsterdam oud</t>
  </si>
  <si>
    <t>Met ingang van 2019 is de klassieke doelgroep overgeheveld naar de AU</t>
  </si>
  <si>
    <t>Bron: Meicirculaire 2022</t>
  </si>
  <si>
    <t>Stand meicirculaire 2022</t>
  </si>
  <si>
    <t>Absolute waarden 2021 uit vorige versie dit tabblad</t>
  </si>
  <si>
    <t>Meicirculaire 2022</t>
  </si>
  <si>
    <t>Nieuw ex Wsw, na 2022 Alleen Nieuw beschut</t>
  </si>
  <si>
    <t>Per 2023 is de klassieke doelgroep niet meer traceerbaar in de AU (opgegaan in cluster Participatie)</t>
  </si>
  <si>
    <t>Per 2023 is 'nieuw wajong' niet meer traceerbaar in de AU (opgegaan in cluster Participatie)</t>
  </si>
  <si>
    <t>Recapitulatie totaal budget</t>
  </si>
  <si>
    <t>Specificatie A. Re-integratie</t>
  </si>
  <si>
    <t>Specificatie B. WSW budget</t>
  </si>
  <si>
    <t>Bron: Septembercirculaire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</si>
</sst>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 &quot;€&quot;\ * #,##0.00_ ;_ &quot;€&quot;\ * \-#,##0.00_ ;_ &quot;€&quot;\ * &quot;-&quot;??_ ;_ @_ "/>
    <numFmt numFmtId="43" formatCode="_ * #,##0.00_ ;_ * \-#,##0.00_ ;_ * &quot;-&quot;??_ ;_ @_ "/>
    <numFmt numFmtId="164" formatCode="0.0000"/>
    <numFmt numFmtId="165" formatCode="#,##0.00&quot; &quot;;&quot;-&quot;#,##0.00&quot; &quot;;&quot;-&quot;#&quot; &quot;;&quot; &quot;@&quot; &quot;"/>
    <numFmt numFmtId="166" formatCode="#,##0&quot; &quot;;&quot;-&quot;#,##0&quot; &quot;;&quot;-&quot;#&quot; &quot;;&quot; &quot;@&quot; &quot;"/>
    <numFmt numFmtId="167" formatCode="0.000%"/>
    <numFmt numFmtId="168" formatCode="0.000"/>
    <numFmt numFmtId="169" formatCode="_ &quot;€&quot;\ * #,##0_ ;_ &quot;€&quot;\ * \-#,##0_ ;_ &quot;€&quot;\ * &quot;-&quot;??_ ;_ @_ "/>
    <numFmt numFmtId="170" formatCode="0.0000%"/>
    <numFmt numFmtId="171" formatCode="#,##0.000000"/>
    <numFmt numFmtId="172" formatCode="#,##0.000&quot; &quot;;&quot;-&quot;#,##0.000&quot; &quot;;&quot;-&quot;#&quot; &quot;;@&quot; &quot;"/>
    <numFmt numFmtId="173" formatCode="0.00000000"/>
    <numFmt numFmtId="174" formatCode="0.0000000000%"/>
    <numFmt numFmtId="175" formatCode="0.00000%"/>
    <numFmt numFmtId="176" formatCode="0.0%"/>
    <numFmt numFmtId="177" formatCode="#,##0&quot; &quot;;&quot;-&quot;#,##0&quot; &quot;"/>
    <numFmt numFmtId="178" formatCode="#,##0.000"/>
    <numFmt numFmtId="179" formatCode="_ * #,##0_ ;_ * \-#,##0_ ;_ * &quot;-&quot;??_ ;_ @_ "/>
    <numFmt numFmtId="180" formatCode="#,##0_ ;\-#,##0\ "/>
  </numFmts>
  <fonts count="53" x14ac:knownFonts="1">
    <font>
      <sz val="11"/>
      <color theme="1"/>
      <name val="Calibri"/>
      <family val="2"/>
      <scheme val="minor"/>
    </font>
    <font>
      <sz val="11"/>
      <color theme="1"/>
      <name val="Calibri"/>
      <family val="2"/>
      <scheme val="minor"/>
    </font>
    <font>
      <b/>
      <sz val="11"/>
      <color theme="1"/>
      <name val="Calibri"/>
      <family val="2"/>
      <scheme val="minor"/>
    </font>
    <font>
      <b/>
      <sz val="10"/>
      <color rgb="FF000000"/>
      <name val="Calibri"/>
      <family val="2"/>
    </font>
    <font>
      <sz val="10"/>
      <color rgb="FF000000"/>
      <name val="Calibri"/>
      <family val="2"/>
    </font>
    <font>
      <b/>
      <sz val="10"/>
      <color rgb="FF249024"/>
      <name val="Calibri"/>
      <family val="2"/>
    </font>
    <font>
      <sz val="10"/>
      <color rgb="FFFF0000"/>
      <name val="Calibri"/>
      <family val="2"/>
    </font>
    <font>
      <sz val="11"/>
      <color rgb="FF000000"/>
      <name val="Calibri"/>
      <family val="2"/>
    </font>
    <font>
      <sz val="10"/>
      <color rgb="FFFFFFFF"/>
      <name val="Calibri"/>
      <family val="2"/>
    </font>
    <font>
      <b/>
      <sz val="10"/>
      <color rgb="FFFFFFFF"/>
      <name val="Calibri"/>
      <family val="2"/>
    </font>
    <font>
      <b/>
      <sz val="9"/>
      <color rgb="FF000000"/>
      <name val="Calibri"/>
      <family val="2"/>
    </font>
    <font>
      <sz val="9"/>
      <color rgb="FF000000"/>
      <name val="Calibri"/>
      <family val="2"/>
    </font>
    <font>
      <sz val="10"/>
      <color rgb="FF000000"/>
      <name val="Arial"/>
      <family val="2"/>
    </font>
    <font>
      <sz val="8"/>
      <color rgb="FF000000"/>
      <name val="Arial"/>
      <family val="2"/>
    </font>
    <font>
      <sz val="11"/>
      <color rgb="FF000000"/>
      <name val="Calibri"/>
      <family val="2"/>
      <scheme val="minor"/>
    </font>
    <font>
      <b/>
      <sz val="11"/>
      <color rgb="FF000000"/>
      <name val="Calibri"/>
      <family val="2"/>
    </font>
    <font>
      <b/>
      <sz val="10"/>
      <color rgb="FF000000"/>
      <name val="Arial"/>
      <family val="2"/>
    </font>
    <font>
      <sz val="8"/>
      <name val="Calibri"/>
      <family val="2"/>
      <scheme val="minor"/>
    </font>
    <font>
      <b/>
      <u/>
      <sz val="10"/>
      <color rgb="FF558ED5"/>
      <name val="Calibri"/>
      <family val="2"/>
    </font>
    <font>
      <b/>
      <sz val="10"/>
      <color rgb="FF666699"/>
      <name val="Calibri"/>
      <family val="2"/>
    </font>
    <font>
      <b/>
      <sz val="10"/>
      <color rgb="FF404040"/>
      <name val="Calibri"/>
      <family val="2"/>
    </font>
    <font>
      <i/>
      <sz val="9"/>
      <color theme="1"/>
      <name val="Calibri"/>
      <family val="2"/>
      <scheme val="minor"/>
    </font>
    <font>
      <sz val="9"/>
      <color theme="1"/>
      <name val="Calibri"/>
      <family val="2"/>
      <scheme val="minor"/>
    </font>
    <font>
      <b/>
      <i/>
      <sz val="9"/>
      <color theme="1"/>
      <name val="Calibri"/>
      <family val="2"/>
      <scheme val="minor"/>
    </font>
    <font>
      <b/>
      <sz val="10"/>
      <color theme="1"/>
      <name val="Calibri"/>
      <family val="2"/>
      <scheme val="minor"/>
    </font>
    <font>
      <b/>
      <sz val="10"/>
      <color rgb="FF0D0D0D"/>
      <name val="Calibri"/>
      <family val="2"/>
    </font>
    <font>
      <b/>
      <sz val="10"/>
      <color rgb="FF558ED5"/>
      <name val="Calibri"/>
      <family val="2"/>
    </font>
    <font>
      <u/>
      <sz val="11"/>
      <color theme="10"/>
      <name val="Calibri"/>
      <family val="2"/>
      <scheme val="minor"/>
    </font>
    <font>
      <b/>
      <sz val="10"/>
      <name val="MS Sans Serif"/>
    </font>
    <font>
      <sz val="11"/>
      <name val="Calibri"/>
      <family val="2"/>
      <scheme val="minor"/>
    </font>
    <font>
      <b/>
      <sz val="11"/>
      <name val="Calibri"/>
      <family val="2"/>
      <scheme val="minor"/>
    </font>
    <font>
      <b/>
      <sz val="11"/>
      <color theme="0"/>
      <name val="Calibri"/>
      <family val="2"/>
      <scheme val="minor"/>
    </font>
    <font>
      <b/>
      <sz val="11"/>
      <color theme="0"/>
      <name val="Calibri"/>
      <family val="2"/>
    </font>
    <font>
      <sz val="10"/>
      <color rgb="FF000000"/>
      <name val="MS Sans Serif"/>
      <family val="2"/>
    </font>
    <font>
      <b/>
      <i/>
      <sz val="9"/>
      <color rgb="FF000000"/>
      <name val="Calibri"/>
      <family val="2"/>
    </font>
    <font>
      <b/>
      <sz val="14"/>
      <color theme="1"/>
      <name val="Calibri"/>
      <family val="2"/>
      <scheme val="minor"/>
    </font>
    <font>
      <b/>
      <sz val="12"/>
      <name val="Calibri"/>
      <family val="2"/>
      <scheme val="minor"/>
    </font>
    <font>
      <b/>
      <sz val="12"/>
      <color theme="1"/>
      <name val="Calibri"/>
      <family val="2"/>
      <scheme val="minor"/>
    </font>
    <font>
      <b/>
      <sz val="12"/>
      <color theme="0"/>
      <name val="Calibri"/>
      <family val="2"/>
    </font>
    <font>
      <b/>
      <sz val="12"/>
      <color theme="0"/>
      <name val="Calibri"/>
      <family val="2"/>
      <scheme val="minor"/>
    </font>
    <font>
      <sz val="12"/>
      <color theme="1"/>
      <name val="Calibri"/>
      <family val="2"/>
      <scheme val="minor"/>
    </font>
    <font>
      <b/>
      <sz val="11"/>
      <name val="Calibri"/>
      <family val="2"/>
    </font>
    <font>
      <b/>
      <sz val="14"/>
      <color theme="0"/>
      <name val="Calibri"/>
      <family val="2"/>
      <scheme val="minor"/>
    </font>
    <font>
      <b/>
      <sz val="12"/>
      <color rgb="FF000000"/>
      <name val="Calibri"/>
      <family val="2"/>
    </font>
    <font>
      <sz val="12"/>
      <color rgb="FF000000"/>
      <name val="Calibri"/>
      <family val="2"/>
    </font>
    <font>
      <b/>
      <sz val="11"/>
      <color theme="1"/>
      <name val="Calibri"/>
      <family val="2"/>
    </font>
    <font>
      <b/>
      <sz val="14"/>
      <color theme="0"/>
      <name val="Calibri"/>
      <family val="2"/>
    </font>
    <font>
      <b/>
      <sz val="10"/>
      <color theme="0"/>
      <name val="Calibri"/>
      <family val="2"/>
      <scheme val="minor"/>
    </font>
    <font>
      <b/>
      <sz val="14"/>
      <name val="Calibri"/>
      <family val="2"/>
      <scheme val="minor"/>
    </font>
    <font>
      <b/>
      <i/>
      <sz val="10"/>
      <color theme="1"/>
      <name val="Calibri"/>
      <family val="2"/>
      <scheme val="minor"/>
    </font>
    <font>
      <b/>
      <i/>
      <sz val="11"/>
      <color theme="0"/>
      <name val="Calibri"/>
      <family val="2"/>
      <scheme val="minor"/>
    </font>
    <font>
      <b/>
      <i/>
      <sz val="11"/>
      <color theme="0"/>
      <name val="Calibri"/>
      <family val="2"/>
    </font>
    <font>
      <b/>
      <sz val="12"/>
      <name val="Calibri"/>
      <family val="2"/>
    </font>
  </fonts>
  <fills count="41">
    <fill>
      <patternFill patternType="none"/>
    </fill>
    <fill>
      <patternFill patternType="gray125"/>
    </fill>
    <fill>
      <patternFill patternType="solid">
        <fgColor rgb="FFDCE6F2"/>
        <bgColor rgb="FFDCE6F2"/>
      </patternFill>
    </fill>
    <fill>
      <patternFill patternType="solid">
        <fgColor rgb="FFCC99FF"/>
        <bgColor rgb="FFCC99FF"/>
      </patternFill>
    </fill>
    <fill>
      <patternFill patternType="solid">
        <fgColor rgb="FF1F497D"/>
        <bgColor rgb="FF1F497D"/>
      </patternFill>
    </fill>
    <fill>
      <patternFill patternType="solid">
        <fgColor rgb="FF00B050"/>
        <bgColor rgb="FF00B050"/>
      </patternFill>
    </fill>
    <fill>
      <patternFill patternType="solid">
        <fgColor rgb="FFBFBFBF"/>
        <bgColor rgb="FFBFBFBF"/>
      </patternFill>
    </fill>
    <fill>
      <patternFill patternType="solid">
        <fgColor rgb="FF00CC66"/>
        <bgColor rgb="FF00CC66"/>
      </patternFill>
    </fill>
    <fill>
      <patternFill patternType="solid">
        <fgColor rgb="FFD9D9D9"/>
        <bgColor rgb="FFD9D9D9"/>
      </patternFill>
    </fill>
    <fill>
      <patternFill patternType="solid">
        <fgColor rgb="FF249024"/>
        <bgColor rgb="FF249024"/>
      </patternFill>
    </fill>
    <fill>
      <patternFill patternType="solid">
        <fgColor rgb="FFFFCCCC"/>
        <bgColor rgb="FFFFCCCC"/>
      </patternFill>
    </fill>
    <fill>
      <patternFill patternType="solid">
        <fgColor rgb="FFEBF1DE"/>
        <bgColor rgb="FFEBF1DE"/>
      </patternFill>
    </fill>
    <fill>
      <patternFill patternType="solid">
        <fgColor rgb="FFAFEBAF"/>
        <bgColor rgb="FFAFEBAF"/>
      </patternFill>
    </fill>
    <fill>
      <patternFill patternType="solid">
        <fgColor rgb="FFFFFFFF"/>
        <bgColor rgb="FFFFFFFF"/>
      </patternFill>
    </fill>
    <fill>
      <patternFill patternType="solid">
        <fgColor rgb="FF00B050"/>
        <bgColor indexed="64"/>
      </patternFill>
    </fill>
    <fill>
      <patternFill patternType="solid">
        <fgColor rgb="FFFF0000"/>
        <bgColor indexed="64"/>
      </patternFill>
    </fill>
    <fill>
      <patternFill patternType="solid">
        <fgColor theme="0"/>
        <bgColor indexed="64"/>
      </patternFill>
    </fill>
    <fill>
      <patternFill patternType="solid">
        <fgColor rgb="FFDAE3F3"/>
        <bgColor rgb="FFDAE3F3"/>
      </patternFill>
    </fill>
    <fill>
      <patternFill patternType="solid">
        <fgColor rgb="FFDBDBDB"/>
        <bgColor rgb="FFDBDBDB"/>
      </patternFill>
    </fill>
    <fill>
      <patternFill patternType="solid">
        <fgColor rgb="FFCCCCFF"/>
        <bgColor rgb="FFCCCCFF"/>
      </patternFill>
    </fill>
    <fill>
      <patternFill patternType="solid">
        <fgColor rgb="FFCCECFF"/>
        <bgColor rgb="FFCCECFF"/>
      </patternFill>
    </fill>
    <fill>
      <patternFill patternType="solid">
        <fgColor rgb="FFDBEEF4"/>
        <bgColor rgb="FFDBEEF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indexed="64"/>
      </patternFill>
    </fill>
    <fill>
      <patternFill patternType="solid">
        <fgColor rgb="FF00B050"/>
        <bgColor rgb="FFFFFF00"/>
      </patternFill>
    </fill>
    <fill>
      <patternFill patternType="solid">
        <fgColor rgb="FFF2F2F2"/>
        <bgColor rgb="FFF2F2F2"/>
      </patternFill>
    </fill>
    <fill>
      <patternFill patternType="solid">
        <fgColor rgb="FF00B0F0"/>
        <bgColor indexed="64"/>
      </patternFill>
    </fill>
    <fill>
      <patternFill patternType="solid">
        <fgColor theme="0" tint="-0.499984740745262"/>
        <bgColor indexed="64"/>
      </patternFill>
    </fill>
    <fill>
      <patternFill patternType="solid">
        <fgColor theme="0" tint="-0.499984740745262"/>
        <bgColor rgb="FFD9D9D9"/>
      </patternFill>
    </fill>
    <fill>
      <patternFill patternType="solid">
        <fgColor theme="0" tint="-0.499984740745262"/>
        <bgColor rgb="FFDBEEF4"/>
      </patternFill>
    </fill>
    <fill>
      <patternFill patternType="solid">
        <fgColor theme="0" tint="-0.499984740745262"/>
        <bgColor rgb="FFFFCCCC"/>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rgb="FFFFFF00"/>
      </patternFill>
    </fill>
    <fill>
      <patternFill patternType="solid">
        <fgColor theme="8" tint="0.79998168889431442"/>
        <bgColor indexed="64"/>
      </patternFill>
    </fill>
    <fill>
      <patternFill patternType="solid">
        <fgColor theme="1" tint="0.499984740745262"/>
        <bgColor indexed="64"/>
      </patternFill>
    </fill>
    <fill>
      <patternFill patternType="solid">
        <fgColor theme="1" tint="0.499984740745262"/>
        <bgColor rgb="FF00CC66"/>
      </patternFill>
    </fill>
    <fill>
      <patternFill patternType="solid">
        <fgColor theme="1" tint="0.499984740745262"/>
        <bgColor rgb="FFDBEEF4"/>
      </patternFill>
    </fill>
    <fill>
      <patternFill patternType="solid">
        <fgColor theme="1" tint="0.499984740745262"/>
        <bgColor rgb="FFCCCCFF"/>
      </patternFill>
    </fill>
    <fill>
      <patternFill patternType="solid">
        <fgColor rgb="FF92D050"/>
        <bgColor indexed="64"/>
      </patternFill>
    </fill>
  </fills>
  <borders count="43">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indexed="64"/>
      </left>
      <right style="thin">
        <color indexed="64"/>
      </right>
      <top/>
      <bottom style="thin">
        <color rgb="FF000000"/>
      </bottom>
      <diagonal/>
    </border>
    <border>
      <left style="thin">
        <color theme="0"/>
      </left>
      <right/>
      <top/>
      <bottom/>
      <diagonal/>
    </border>
    <border>
      <left/>
      <right style="thin">
        <color theme="0"/>
      </right>
      <top/>
      <bottom style="thin">
        <color theme="0"/>
      </bottom>
      <diagonal/>
    </border>
    <border>
      <left/>
      <right/>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s>
  <cellStyleXfs count="16">
    <xf numFmtId="0" fontId="0" fillId="0" borderId="0"/>
    <xf numFmtId="44" fontId="1" fillId="0" borderId="0" applyFont="0" applyFill="0" applyBorder="0" applyAlignment="0" applyProtection="0"/>
    <xf numFmtId="165" fontId="7" fillId="0" borderId="0"/>
    <xf numFmtId="9" fontId="7" fillId="0" borderId="0"/>
    <xf numFmtId="165" fontId="7" fillId="0" borderId="0"/>
    <xf numFmtId="0" fontId="12" fillId="0" borderId="0"/>
    <xf numFmtId="9" fontId="1" fillId="0" borderId="0" applyFont="0" applyFill="0" applyBorder="0" applyAlignment="0" applyProtection="0"/>
    <xf numFmtId="0" fontId="7" fillId="0" borderId="0"/>
    <xf numFmtId="0" fontId="27" fillId="0" borderId="0" applyNumberFormat="0" applyFill="0" applyBorder="0" applyAlignment="0" applyProtection="0"/>
    <xf numFmtId="43" fontId="1" fillId="0" borderId="0" applyFont="0" applyFill="0" applyBorder="0" applyAlignment="0" applyProtection="0"/>
    <xf numFmtId="0" fontId="33" fillId="0" borderId="0"/>
    <xf numFmtId="9" fontId="7" fillId="0" borderId="0"/>
    <xf numFmtId="0" fontId="33" fillId="0" borderId="0"/>
    <xf numFmtId="165" fontId="7" fillId="0" borderId="0"/>
    <xf numFmtId="9" fontId="7" fillId="0" borderId="0"/>
    <xf numFmtId="0" fontId="12" fillId="0" borderId="0"/>
  </cellStyleXfs>
  <cellXfs count="600">
    <xf numFmtId="0" fontId="0" fillId="0" borderId="0" xfId="0"/>
    <xf numFmtId="0" fontId="2" fillId="0" borderId="0" xfId="0" applyFont="1"/>
    <xf numFmtId="0" fontId="3" fillId="0" borderId="0" xfId="0" applyFont="1"/>
    <xf numFmtId="0" fontId="4" fillId="0" borderId="0" xfId="0" applyFont="1"/>
    <xf numFmtId="0" fontId="4" fillId="2" borderId="0" xfId="0" applyFont="1" applyFill="1"/>
    <xf numFmtId="0" fontId="5" fillId="0" borderId="0" xfId="0" applyFont="1"/>
    <xf numFmtId="2" fontId="4" fillId="3" borderId="0" xfId="0" applyNumberFormat="1" applyFont="1" applyFill="1"/>
    <xf numFmtId="0" fontId="6" fillId="0" borderId="0" xfId="0" applyFont="1"/>
    <xf numFmtId="164" fontId="6" fillId="0" borderId="0" xfId="0" applyNumberFormat="1" applyFont="1"/>
    <xf numFmtId="164" fontId="3" fillId="2" borderId="0" xfId="0" applyNumberFormat="1" applyFont="1" applyFill="1"/>
    <xf numFmtId="164" fontId="4" fillId="2" borderId="0" xfId="0" applyNumberFormat="1" applyFont="1" applyFill="1"/>
    <xf numFmtId="166" fontId="4" fillId="0" borderId="0" xfId="2" applyNumberFormat="1" applyFont="1"/>
    <xf numFmtId="0" fontId="4" fillId="0" borderId="0" xfId="0" applyFont="1" applyAlignment="1">
      <alignment horizontal="right"/>
    </xf>
    <xf numFmtId="164" fontId="4" fillId="0" borderId="0" xfId="0" applyNumberFormat="1" applyFont="1" applyAlignment="1">
      <alignment horizontal="center"/>
    </xf>
    <xf numFmtId="2" fontId="8" fillId="4" borderId="0" xfId="0" applyNumberFormat="1" applyFont="1" applyFill="1" applyAlignment="1">
      <alignment horizontal="center"/>
    </xf>
    <xf numFmtId="3" fontId="8" fillId="5" borderId="1" xfId="0" applyNumberFormat="1" applyFont="1" applyFill="1" applyBorder="1" applyAlignment="1">
      <alignment horizontal="center"/>
    </xf>
    <xf numFmtId="0" fontId="4" fillId="6" borderId="2" xfId="0" applyFont="1" applyFill="1" applyBorder="1" applyAlignment="1">
      <alignment horizontal="center"/>
    </xf>
    <xf numFmtId="0" fontId="4" fillId="7" borderId="3" xfId="0" applyFont="1" applyFill="1" applyBorder="1"/>
    <xf numFmtId="0" fontId="4" fillId="7" borderId="4" xfId="0" applyFont="1" applyFill="1" applyBorder="1"/>
    <xf numFmtId="164" fontId="4" fillId="8" borderId="2" xfId="0" applyNumberFormat="1" applyFont="1" applyFill="1" applyBorder="1" applyAlignment="1">
      <alignment horizontal="center" vertical="center" wrapText="1"/>
    </xf>
    <xf numFmtId="0" fontId="4" fillId="0" borderId="5" xfId="0" applyFont="1" applyBorder="1"/>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4" fillId="0" borderId="5" xfId="0" applyFont="1" applyBorder="1" applyAlignment="1">
      <alignment horizontal="right"/>
    </xf>
    <xf numFmtId="3" fontId="9" fillId="9" borderId="2" xfId="0" applyNumberFormat="1" applyFont="1" applyFill="1" applyBorder="1" applyAlignment="1">
      <alignment horizontal="center" vertical="center"/>
    </xf>
    <xf numFmtId="3" fontId="4" fillId="0" borderId="6" xfId="0" applyNumberFormat="1" applyFont="1" applyBorder="1"/>
    <xf numFmtId="0" fontId="3" fillId="10" borderId="3" xfId="0" applyFont="1" applyFill="1" applyBorder="1" applyAlignment="1">
      <alignment horizontal="right"/>
    </xf>
    <xf numFmtId="0" fontId="3" fillId="10" borderId="4" xfId="0" applyFont="1" applyFill="1" applyBorder="1" applyAlignment="1">
      <alignment horizontal="right"/>
    </xf>
    <xf numFmtId="3" fontId="3" fillId="11" borderId="7" xfId="0" applyNumberFormat="1" applyFont="1" applyFill="1" applyBorder="1"/>
    <xf numFmtId="3" fontId="3" fillId="11" borderId="6" xfId="0" applyNumberFormat="1" applyFont="1" applyFill="1" applyBorder="1"/>
    <xf numFmtId="3" fontId="3" fillId="11" borderId="8" xfId="0" applyNumberFormat="1" applyFont="1" applyFill="1" applyBorder="1"/>
    <xf numFmtId="0" fontId="4" fillId="0" borderId="6" xfId="0" applyFont="1" applyBorder="1"/>
    <xf numFmtId="0" fontId="4" fillId="0" borderId="2" xfId="0" applyFont="1" applyBorder="1"/>
    <xf numFmtId="3" fontId="3" fillId="10" borderId="7" xfId="0" applyNumberFormat="1" applyFont="1" applyFill="1" applyBorder="1"/>
    <xf numFmtId="3" fontId="3" fillId="10" borderId="2" xfId="0" applyNumberFormat="1" applyFont="1" applyFill="1" applyBorder="1"/>
    <xf numFmtId="3" fontId="4" fillId="0" borderId="0" xfId="0" applyNumberFormat="1" applyFont="1"/>
    <xf numFmtId="4" fontId="4" fillId="12" borderId="3" xfId="4" applyNumberFormat="1" applyFont="1" applyFill="1" applyBorder="1"/>
    <xf numFmtId="4" fontId="4" fillId="12" borderId="4" xfId="4" applyNumberFormat="1" applyFont="1" applyFill="1" applyBorder="1"/>
    <xf numFmtId="4" fontId="4" fillId="12" borderId="9" xfId="4" applyNumberFormat="1" applyFont="1" applyFill="1" applyBorder="1"/>
    <xf numFmtId="4" fontId="4" fillId="0" borderId="0" xfId="0" applyNumberFormat="1" applyFont="1"/>
    <xf numFmtId="4" fontId="4" fillId="12" borderId="10" xfId="4" applyNumberFormat="1" applyFont="1" applyFill="1" applyBorder="1"/>
    <xf numFmtId="4" fontId="4" fillId="12" borderId="0" xfId="4" applyNumberFormat="1" applyFont="1" applyFill="1"/>
    <xf numFmtId="4" fontId="4" fillId="12" borderId="11" xfId="4" applyNumberFormat="1" applyFont="1" applyFill="1" applyBorder="1"/>
    <xf numFmtId="3" fontId="4" fillId="12" borderId="10" xfId="4" applyNumberFormat="1" applyFont="1" applyFill="1" applyBorder="1"/>
    <xf numFmtId="3" fontId="4" fillId="12" borderId="0" xfId="4" applyNumberFormat="1" applyFont="1" applyFill="1"/>
    <xf numFmtId="3" fontId="4" fillId="12" borderId="13" xfId="4" applyNumberFormat="1" applyFont="1" applyFill="1" applyBorder="1"/>
    <xf numFmtId="0" fontId="4" fillId="7" borderId="10" xfId="0" applyFont="1" applyFill="1" applyBorder="1"/>
    <xf numFmtId="0" fontId="4" fillId="7" borderId="0" xfId="0" applyFont="1" applyFill="1"/>
    <xf numFmtId="4" fontId="4" fillId="12" borderId="12" xfId="4" applyNumberFormat="1" applyFont="1" applyFill="1" applyBorder="1"/>
    <xf numFmtId="3" fontId="4" fillId="12" borderId="11" xfId="4" applyNumberFormat="1" applyFont="1" applyFill="1" applyBorder="1"/>
    <xf numFmtId="4" fontId="4" fillId="12" borderId="14" xfId="4" applyNumberFormat="1" applyFont="1" applyFill="1" applyBorder="1"/>
    <xf numFmtId="4" fontId="4" fillId="12" borderId="5" xfId="4" applyNumberFormat="1" applyFont="1" applyFill="1" applyBorder="1"/>
    <xf numFmtId="4" fontId="4" fillId="12" borderId="15" xfId="4" applyNumberFormat="1" applyFont="1" applyFill="1" applyBorder="1"/>
    <xf numFmtId="4" fontId="4" fillId="12" borderId="1" xfId="4" applyNumberFormat="1" applyFont="1" applyFill="1" applyBorder="1"/>
    <xf numFmtId="3" fontId="4" fillId="12" borderId="14" xfId="4" applyNumberFormat="1" applyFont="1" applyFill="1" applyBorder="1"/>
    <xf numFmtId="3" fontId="4" fillId="12" borderId="5" xfId="4" applyNumberFormat="1" applyFont="1" applyFill="1" applyBorder="1"/>
    <xf numFmtId="3" fontId="4" fillId="12" borderId="1" xfId="4" applyNumberFormat="1" applyFont="1" applyFill="1" applyBorder="1"/>
    <xf numFmtId="168" fontId="13" fillId="13" borderId="0" xfId="5" applyNumberFormat="1" applyFont="1" applyFill="1" applyAlignment="1">
      <alignment horizontal="right"/>
    </xf>
    <xf numFmtId="169" fontId="0" fillId="0" borderId="0" xfId="1" applyNumberFormat="1" applyFont="1"/>
    <xf numFmtId="169" fontId="0" fillId="0" borderId="0" xfId="0" applyNumberFormat="1"/>
    <xf numFmtId="0" fontId="1" fillId="0" borderId="0" xfId="0" applyFont="1"/>
    <xf numFmtId="168" fontId="14" fillId="13" borderId="0" xfId="5" applyNumberFormat="1" applyFont="1" applyFill="1" applyAlignment="1">
      <alignment horizontal="right"/>
    </xf>
    <xf numFmtId="10" fontId="0" fillId="0" borderId="0" xfId="6" applyNumberFormat="1" applyFont="1"/>
    <xf numFmtId="10" fontId="0" fillId="14" borderId="0" xfId="6" applyNumberFormat="1" applyFont="1" applyFill="1"/>
    <xf numFmtId="10" fontId="1" fillId="14" borderId="0" xfId="6" applyNumberFormat="1" applyFont="1" applyFill="1"/>
    <xf numFmtId="10" fontId="1" fillId="15" borderId="0" xfId="6" applyNumberFormat="1" applyFont="1" applyFill="1"/>
    <xf numFmtId="10" fontId="0" fillId="15" borderId="0" xfId="6" applyNumberFormat="1" applyFont="1" applyFill="1"/>
    <xf numFmtId="10" fontId="0" fillId="0" borderId="0" xfId="6" applyNumberFormat="1" applyFont="1" applyFill="1"/>
    <xf numFmtId="0" fontId="7" fillId="16" borderId="16" xfId="0" applyFont="1" applyFill="1" applyBorder="1" applyAlignment="1">
      <alignment horizontal="right"/>
    </xf>
    <xf numFmtId="0" fontId="2" fillId="0" borderId="16" xfId="0" applyFont="1" applyBorder="1"/>
    <xf numFmtId="0" fontId="0" fillId="8" borderId="0" xfId="0" applyFill="1" applyProtection="1">
      <protection hidden="1"/>
    </xf>
    <xf numFmtId="0" fontId="16" fillId="17" borderId="0" xfId="0" applyFont="1" applyFill="1"/>
    <xf numFmtId="0" fontId="12" fillId="0" borderId="0" xfId="0" applyFont="1"/>
    <xf numFmtId="0" fontId="0" fillId="0" borderId="0" xfId="0" applyProtection="1">
      <protection hidden="1"/>
    </xf>
    <xf numFmtId="4" fontId="12" fillId="8" borderId="0" xfId="0" applyNumberFormat="1" applyFont="1" applyFill="1"/>
    <xf numFmtId="0" fontId="12" fillId="0" borderId="5" xfId="0" applyFont="1" applyBorder="1" applyAlignment="1">
      <alignment horizontal="center"/>
    </xf>
    <xf numFmtId="0" fontId="12" fillId="0" borderId="15" xfId="0" applyFont="1" applyBorder="1" applyAlignment="1">
      <alignment horizontal="center"/>
    </xf>
    <xf numFmtId="0" fontId="12" fillId="18" borderId="15" xfId="0" applyFont="1" applyFill="1" applyBorder="1" applyAlignment="1">
      <alignment horizontal="center"/>
    </xf>
    <xf numFmtId="4" fontId="12" fillId="0" borderId="0" xfId="0" applyNumberFormat="1" applyFont="1"/>
    <xf numFmtId="3" fontId="12" fillId="17" borderId="0" xfId="0" applyNumberFormat="1" applyFont="1" applyFill="1"/>
    <xf numFmtId="171" fontId="12" fillId="17" borderId="0" xfId="0" applyNumberFormat="1" applyFont="1" applyFill="1"/>
    <xf numFmtId="3" fontId="0" fillId="0" borderId="0" xfId="0" applyNumberFormat="1"/>
    <xf numFmtId="9" fontId="0" fillId="0" borderId="0" xfId="0" applyNumberFormat="1"/>
    <xf numFmtId="3" fontId="12" fillId="0" borderId="0" xfId="0" applyNumberFormat="1" applyFont="1"/>
    <xf numFmtId="3" fontId="12" fillId="8" borderId="0" xfId="0" applyNumberFormat="1" applyFont="1" applyFill="1"/>
    <xf numFmtId="169" fontId="1" fillId="0" borderId="16" xfId="1" applyNumberFormat="1" applyFont="1" applyBorder="1"/>
    <xf numFmtId="3" fontId="18" fillId="0" borderId="0" xfId="7" applyNumberFormat="1" applyFont="1"/>
    <xf numFmtId="0" fontId="19" fillId="0" borderId="0" xfId="0" applyFont="1"/>
    <xf numFmtId="0" fontId="20" fillId="0" borderId="0" xfId="0" applyFont="1"/>
    <xf numFmtId="172" fontId="4" fillId="0" borderId="0" xfId="2" applyNumberFormat="1" applyFont="1"/>
    <xf numFmtId="0" fontId="4" fillId="19" borderId="7" xfId="0" applyFont="1" applyFill="1" applyBorder="1"/>
    <xf numFmtId="0" fontId="4" fillId="19" borderId="8" xfId="0" applyFont="1" applyFill="1" applyBorder="1"/>
    <xf numFmtId="0" fontId="4" fillId="8" borderId="3" xfId="0" applyFont="1" applyFill="1" applyBorder="1" applyAlignment="1">
      <alignment horizontal="center"/>
    </xf>
    <xf numFmtId="0" fontId="3" fillId="10" borderId="7" xfId="0" applyFont="1" applyFill="1" applyBorder="1" applyAlignment="1">
      <alignment horizontal="right"/>
    </xf>
    <xf numFmtId="0" fontId="3" fillId="10" borderId="8" xfId="0" applyFont="1" applyFill="1" applyBorder="1" applyAlignment="1">
      <alignment horizontal="right"/>
    </xf>
    <xf numFmtId="3" fontId="3" fillId="10" borderId="3" xfId="0" applyNumberFormat="1" applyFont="1" applyFill="1" applyBorder="1"/>
    <xf numFmtId="0" fontId="4" fillId="19" borderId="3" xfId="0" applyFont="1" applyFill="1" applyBorder="1"/>
    <xf numFmtId="0" fontId="4" fillId="19" borderId="9" xfId="0" applyFont="1" applyFill="1" applyBorder="1"/>
    <xf numFmtId="3" fontId="4" fillId="20" borderId="10" xfId="2" applyNumberFormat="1" applyFont="1" applyFill="1" applyBorder="1"/>
    <xf numFmtId="3" fontId="4" fillId="20" borderId="3" xfId="2" applyNumberFormat="1" applyFont="1" applyFill="1" applyBorder="1"/>
    <xf numFmtId="0" fontId="4" fillId="19" borderId="10" xfId="0" applyFont="1" applyFill="1" applyBorder="1"/>
    <xf numFmtId="0" fontId="4" fillId="19" borderId="12" xfId="0" applyFont="1" applyFill="1" applyBorder="1"/>
    <xf numFmtId="10" fontId="4" fillId="0" borderId="0" xfId="3" applyNumberFormat="1" applyFont="1"/>
    <xf numFmtId="0" fontId="4" fillId="19" borderId="14" xfId="0" applyFont="1" applyFill="1" applyBorder="1"/>
    <xf numFmtId="0" fontId="4" fillId="19" borderId="15" xfId="0" applyFont="1" applyFill="1" applyBorder="1"/>
    <xf numFmtId="3" fontId="4" fillId="20" borderId="14" xfId="2" applyNumberFormat="1" applyFont="1" applyFill="1" applyBorder="1"/>
    <xf numFmtId="170" fontId="0" fillId="0" borderId="0" xfId="6" applyNumberFormat="1" applyFont="1"/>
    <xf numFmtId="170" fontId="20" fillId="0" borderId="0" xfId="6" applyNumberFormat="1" applyFont="1"/>
    <xf numFmtId="170" fontId="4" fillId="0" borderId="0" xfId="6" applyNumberFormat="1" applyFont="1"/>
    <xf numFmtId="170" fontId="4" fillId="8" borderId="3" xfId="6" applyNumberFormat="1" applyFont="1" applyFill="1" applyBorder="1" applyAlignment="1">
      <alignment horizontal="center"/>
    </xf>
    <xf numFmtId="170" fontId="4" fillId="20" borderId="3" xfId="6" applyNumberFormat="1" applyFont="1" applyFill="1" applyBorder="1"/>
    <xf numFmtId="0" fontId="16" fillId="13" borderId="0" xfId="0" applyFont="1" applyFill="1"/>
    <xf numFmtId="169" fontId="1" fillId="0" borderId="0" xfId="1" applyNumberFormat="1" applyFont="1"/>
    <xf numFmtId="0" fontId="21" fillId="0" borderId="0" xfId="0" applyFont="1"/>
    <xf numFmtId="10" fontId="21" fillId="15" borderId="0" xfId="6" applyNumberFormat="1" applyFont="1" applyFill="1"/>
    <xf numFmtId="169" fontId="21" fillId="0" borderId="0" xfId="1" applyNumberFormat="1" applyFont="1"/>
    <xf numFmtId="0" fontId="22" fillId="0" borderId="0" xfId="0" applyFont="1"/>
    <xf numFmtId="169" fontId="1" fillId="15" borderId="0" xfId="1" applyNumberFormat="1" applyFont="1" applyFill="1"/>
    <xf numFmtId="169" fontId="0" fillId="0" borderId="0" xfId="6" applyNumberFormat="1" applyFont="1"/>
    <xf numFmtId="169" fontId="0" fillId="0" borderId="16" xfId="1" applyNumberFormat="1" applyFont="1" applyFill="1" applyBorder="1"/>
    <xf numFmtId="164" fontId="0" fillId="0" borderId="0" xfId="0" applyNumberFormat="1"/>
    <xf numFmtId="168" fontId="0" fillId="0" borderId="0" xfId="0" applyNumberFormat="1"/>
    <xf numFmtId="0" fontId="2" fillId="8" borderId="0" xfId="0" applyFont="1" applyFill="1" applyAlignment="1" applyProtection="1">
      <alignment wrapText="1"/>
      <protection hidden="1"/>
    </xf>
    <xf numFmtId="173" fontId="4" fillId="0" borderId="0" xfId="0" applyNumberFormat="1" applyFont="1" applyAlignment="1">
      <alignment horizontal="center"/>
    </xf>
    <xf numFmtId="164" fontId="0" fillId="0" borderId="0" xfId="6" applyNumberFormat="1" applyFont="1"/>
    <xf numFmtId="164" fontId="2" fillId="0" borderId="0" xfId="6" applyNumberFormat="1" applyFont="1" applyAlignment="1">
      <alignment horizontal="center" wrapText="1"/>
    </xf>
    <xf numFmtId="164" fontId="12" fillId="0" borderId="0" xfId="0" applyNumberFormat="1" applyFont="1"/>
    <xf numFmtId="164" fontId="2" fillId="8" borderId="0" xfId="0" applyNumberFormat="1" applyFont="1" applyFill="1" applyAlignment="1" applyProtection="1">
      <alignment wrapText="1"/>
      <protection hidden="1"/>
    </xf>
    <xf numFmtId="164" fontId="2" fillId="8" borderId="0" xfId="6" applyNumberFormat="1" applyFont="1" applyFill="1" applyAlignment="1" applyProtection="1">
      <alignment wrapText="1"/>
      <protection hidden="1"/>
    </xf>
    <xf numFmtId="164" fontId="2" fillId="0" borderId="0" xfId="0" applyNumberFormat="1" applyFont="1" applyAlignment="1">
      <alignment wrapText="1"/>
    </xf>
    <xf numFmtId="0" fontId="0" fillId="0" borderId="16" xfId="0" applyBorder="1"/>
    <xf numFmtId="0" fontId="7" fillId="16" borderId="16" xfId="0" applyFont="1" applyFill="1" applyBorder="1"/>
    <xf numFmtId="169" fontId="0" fillId="0" borderId="16" xfId="1" applyNumberFormat="1" applyFont="1" applyBorder="1"/>
    <xf numFmtId="170" fontId="0" fillId="0" borderId="0" xfId="0" applyNumberFormat="1"/>
    <xf numFmtId="0" fontId="24" fillId="0" borderId="0" xfId="0" applyFont="1"/>
    <xf numFmtId="3" fontId="3" fillId="10" borderId="4" xfId="0" applyNumberFormat="1" applyFont="1" applyFill="1" applyBorder="1" applyAlignment="1">
      <alignment horizontal="right"/>
    </xf>
    <xf numFmtId="170" fontId="6" fillId="0" borderId="0" xfId="0" applyNumberFormat="1" applyFont="1"/>
    <xf numFmtId="170" fontId="4" fillId="0" borderId="0" xfId="0" applyNumberFormat="1" applyFont="1"/>
    <xf numFmtId="170" fontId="4" fillId="8" borderId="2" xfId="3" applyNumberFormat="1" applyFont="1" applyFill="1" applyBorder="1" applyAlignment="1">
      <alignment horizontal="center" vertical="center"/>
    </xf>
    <xf numFmtId="170" fontId="3" fillId="10" borderId="8" xfId="3" applyNumberFormat="1" applyFont="1" applyFill="1" applyBorder="1"/>
    <xf numFmtId="170" fontId="4" fillId="12" borderId="12" xfId="3" applyNumberFormat="1" applyFont="1" applyFill="1" applyBorder="1"/>
    <xf numFmtId="170" fontId="4" fillId="12" borderId="15" xfId="3" applyNumberFormat="1" applyFont="1" applyFill="1" applyBorder="1"/>
    <xf numFmtId="9" fontId="3" fillId="10" borderId="4" xfId="6" applyFont="1" applyFill="1" applyBorder="1" applyAlignment="1">
      <alignment horizontal="right"/>
    </xf>
    <xf numFmtId="0" fontId="25" fillId="0" borderId="0" xfId="0" applyFont="1"/>
    <xf numFmtId="0" fontId="4" fillId="0" borderId="4" xfId="0" applyFont="1" applyBorder="1"/>
    <xf numFmtId="167" fontId="4" fillId="12" borderId="10" xfId="6" applyNumberFormat="1" applyFont="1" applyFill="1" applyBorder="1"/>
    <xf numFmtId="9" fontId="3" fillId="10" borderId="7" xfId="6" applyFont="1" applyFill="1" applyBorder="1"/>
    <xf numFmtId="1" fontId="0" fillId="0" borderId="0" xfId="0" applyNumberFormat="1"/>
    <xf numFmtId="0" fontId="4" fillId="8" borderId="13" xfId="0" applyFont="1" applyFill="1" applyBorder="1" applyAlignment="1">
      <alignment horizontal="center"/>
    </xf>
    <xf numFmtId="0" fontId="4" fillId="8" borderId="11" xfId="0" applyFont="1" applyFill="1" applyBorder="1" applyAlignment="1">
      <alignment horizontal="center"/>
    </xf>
    <xf numFmtId="0" fontId="4" fillId="8" borderId="15" xfId="0" applyFont="1" applyFill="1" applyBorder="1" applyAlignment="1">
      <alignment horizontal="center"/>
    </xf>
    <xf numFmtId="0" fontId="4" fillId="8" borderId="1" xfId="0" applyFont="1" applyFill="1" applyBorder="1" applyAlignment="1">
      <alignment horizontal="center"/>
    </xf>
    <xf numFmtId="0" fontId="4" fillId="8" borderId="7" xfId="0" applyFont="1" applyFill="1" applyBorder="1" applyAlignment="1">
      <alignment horizontal="center"/>
    </xf>
    <xf numFmtId="0" fontId="4" fillId="8" borderId="6" xfId="0" applyFont="1" applyFill="1" applyBorder="1" applyAlignment="1">
      <alignment horizontal="center"/>
    </xf>
    <xf numFmtId="0" fontId="4" fillId="8" borderId="8" xfId="0" applyFont="1" applyFill="1" applyBorder="1" applyAlignment="1">
      <alignment horizontal="center"/>
    </xf>
    <xf numFmtId="0" fontId="3" fillId="10" borderId="10" xfId="0" applyFont="1" applyFill="1" applyBorder="1" applyAlignment="1">
      <alignment horizontal="right"/>
    </xf>
    <xf numFmtId="0" fontId="3" fillId="10" borderId="0" xfId="0" applyFont="1" applyFill="1" applyAlignment="1">
      <alignment horizontal="right"/>
    </xf>
    <xf numFmtId="9" fontId="3" fillId="10" borderId="12" xfId="3" applyFont="1" applyFill="1" applyBorder="1" applyAlignment="1">
      <alignment horizontal="right"/>
    </xf>
    <xf numFmtId="0" fontId="4" fillId="19" borderId="4" xfId="0" applyFont="1" applyFill="1" applyBorder="1"/>
    <xf numFmtId="3" fontId="4" fillId="21" borderId="3" xfId="4" applyNumberFormat="1" applyFont="1" applyFill="1" applyBorder="1"/>
    <xf numFmtId="0" fontId="4" fillId="19" borderId="0" xfId="0" applyFont="1" applyFill="1"/>
    <xf numFmtId="10" fontId="4" fillId="21" borderId="10" xfId="3" applyNumberFormat="1" applyFont="1" applyFill="1" applyBorder="1"/>
    <xf numFmtId="10" fontId="4" fillId="21" borderId="0" xfId="3" applyNumberFormat="1" applyFont="1" applyFill="1"/>
    <xf numFmtId="10" fontId="4" fillId="21" borderId="12" xfId="3" applyNumberFormat="1" applyFont="1" applyFill="1" applyBorder="1"/>
    <xf numFmtId="3" fontId="4" fillId="21" borderId="10" xfId="4" applyNumberFormat="1" applyFont="1" applyFill="1" applyBorder="1"/>
    <xf numFmtId="3" fontId="4" fillId="21" borderId="0" xfId="4" applyNumberFormat="1" applyFont="1" applyFill="1"/>
    <xf numFmtId="3" fontId="4" fillId="21" borderId="12" xfId="4" applyNumberFormat="1" applyFont="1" applyFill="1" applyBorder="1"/>
    <xf numFmtId="0" fontId="4" fillId="19" borderId="5" xfId="0" applyFont="1" applyFill="1" applyBorder="1"/>
    <xf numFmtId="10" fontId="4" fillId="21" borderId="14" xfId="3" applyNumberFormat="1" applyFont="1" applyFill="1" applyBorder="1"/>
    <xf numFmtId="10" fontId="4" fillId="21" borderId="5" xfId="3" applyNumberFormat="1" applyFont="1" applyFill="1" applyBorder="1"/>
    <xf numFmtId="10" fontId="4" fillId="21" borderId="15" xfId="3" applyNumberFormat="1" applyFont="1" applyFill="1" applyBorder="1"/>
    <xf numFmtId="3" fontId="4" fillId="21" borderId="14" xfId="4" applyNumberFormat="1" applyFont="1" applyFill="1" applyBorder="1"/>
    <xf numFmtId="3" fontId="4" fillId="21" borderId="5" xfId="4" applyNumberFormat="1" applyFont="1" applyFill="1" applyBorder="1"/>
    <xf numFmtId="3" fontId="4" fillId="21" borderId="15" xfId="4" applyNumberFormat="1" applyFont="1" applyFill="1" applyBorder="1"/>
    <xf numFmtId="0" fontId="26" fillId="0" borderId="0" xfId="0" applyFont="1"/>
    <xf numFmtId="0" fontId="18" fillId="0" borderId="0" xfId="0" applyFont="1"/>
    <xf numFmtId="0" fontId="27" fillId="0" borderId="0" xfId="8"/>
    <xf numFmtId="0" fontId="28" fillId="22" borderId="0" xfId="7" applyFont="1" applyFill="1"/>
    <xf numFmtId="0" fontId="7" fillId="16" borderId="0" xfId="7" applyFill="1"/>
    <xf numFmtId="0" fontId="29" fillId="23" borderId="0" xfId="7" applyFont="1" applyFill="1" applyAlignment="1">
      <alignment horizontal="center"/>
    </xf>
    <xf numFmtId="0" fontId="29" fillId="16" borderId="17" xfId="7" applyFont="1" applyFill="1" applyBorder="1"/>
    <xf numFmtId="0" fontId="29" fillId="16" borderId="17" xfId="0" applyFont="1" applyFill="1" applyBorder="1" applyAlignment="1">
      <alignment wrapText="1"/>
    </xf>
    <xf numFmtId="0" fontId="28" fillId="22" borderId="17" xfId="7" applyFont="1" applyFill="1" applyBorder="1" applyAlignment="1">
      <alignment wrapText="1"/>
    </xf>
    <xf numFmtId="0" fontId="7" fillId="16" borderId="17" xfId="7" applyFill="1" applyBorder="1"/>
    <xf numFmtId="0" fontId="29" fillId="16" borderId="0" xfId="7" applyFont="1" applyFill="1"/>
    <xf numFmtId="0" fontId="29" fillId="16" borderId="0" xfId="0" applyFont="1" applyFill="1" applyAlignment="1">
      <alignment wrapText="1"/>
    </xf>
    <xf numFmtId="0" fontId="30" fillId="16" borderId="0" xfId="7" applyFont="1" applyFill="1"/>
    <xf numFmtId="0" fontId="29" fillId="16" borderId="0" xfId="7" quotePrefix="1" applyFont="1" applyFill="1" applyAlignment="1">
      <alignment horizontal="right"/>
    </xf>
    <xf numFmtId="0" fontId="29" fillId="16" borderId="0" xfId="7" applyFont="1" applyFill="1" applyAlignment="1">
      <alignment horizontal="left"/>
    </xf>
    <xf numFmtId="0" fontId="29" fillId="16" borderId="0" xfId="7" applyFont="1" applyFill="1" applyAlignment="1">
      <alignment horizontal="right"/>
    </xf>
    <xf numFmtId="174" fontId="28" fillId="22" borderId="0" xfId="6" applyNumberFormat="1" applyFont="1" applyFill="1"/>
    <xf numFmtId="10" fontId="4" fillId="21" borderId="11" xfId="3" applyNumberFormat="1" applyFont="1" applyFill="1" applyBorder="1"/>
    <xf numFmtId="10" fontId="4" fillId="21" borderId="1" xfId="3" applyNumberFormat="1" applyFont="1" applyFill="1" applyBorder="1"/>
    <xf numFmtId="3" fontId="4" fillId="0" borderId="0" xfId="4" applyNumberFormat="1" applyFont="1"/>
    <xf numFmtId="169" fontId="7" fillId="16" borderId="16" xfId="1" applyNumberFormat="1" applyFont="1" applyFill="1" applyBorder="1" applyAlignment="1">
      <alignment horizontal="left"/>
    </xf>
    <xf numFmtId="169" fontId="2" fillId="0" borderId="16" xfId="0" applyNumberFormat="1" applyFont="1" applyBorder="1"/>
    <xf numFmtId="44" fontId="0" fillId="0" borderId="0" xfId="1" applyFont="1"/>
    <xf numFmtId="0" fontId="7" fillId="16" borderId="18" xfId="0" applyFont="1" applyFill="1" applyBorder="1"/>
    <xf numFmtId="169" fontId="7" fillId="16" borderId="16" xfId="1" applyNumberFormat="1" applyFont="1" applyFill="1" applyBorder="1" applyAlignment="1">
      <alignment horizontal="right"/>
    </xf>
    <xf numFmtId="170" fontId="1" fillId="0" borderId="16" xfId="6" applyNumberFormat="1" applyFont="1" applyBorder="1"/>
    <xf numFmtId="170" fontId="7" fillId="16" borderId="16" xfId="6" applyNumberFormat="1" applyFont="1" applyFill="1" applyBorder="1" applyAlignment="1">
      <alignment horizontal="right"/>
    </xf>
    <xf numFmtId="170" fontId="7" fillId="16" borderId="16" xfId="6" applyNumberFormat="1" applyFont="1" applyFill="1" applyBorder="1" applyAlignment="1">
      <alignment vertical="top"/>
    </xf>
    <xf numFmtId="0" fontId="32" fillId="24" borderId="16" xfId="0" applyFont="1" applyFill="1" applyBorder="1"/>
    <xf numFmtId="0" fontId="31" fillId="24" borderId="16" xfId="0" applyFont="1" applyFill="1" applyBorder="1"/>
    <xf numFmtId="44" fontId="2" fillId="0" borderId="0" xfId="1" applyFont="1"/>
    <xf numFmtId="2" fontId="4" fillId="0" borderId="0" xfId="10" applyNumberFormat="1" applyFont="1"/>
    <xf numFmtId="0" fontId="4" fillId="0" borderId="0" xfId="10" applyFont="1"/>
    <xf numFmtId="2" fontId="4" fillId="21" borderId="11" xfId="10" applyNumberFormat="1" applyFont="1" applyFill="1" applyBorder="1" applyAlignment="1">
      <alignment horizontal="center"/>
    </xf>
    <xf numFmtId="2" fontId="4" fillId="21" borderId="0" xfId="10" applyNumberFormat="1" applyFont="1" applyFill="1" applyAlignment="1">
      <alignment horizontal="center"/>
    </xf>
    <xf numFmtId="0" fontId="4" fillId="21" borderId="3" xfId="10" applyFont="1" applyFill="1" applyBorder="1"/>
    <xf numFmtId="0" fontId="4" fillId="21" borderId="4" xfId="10" applyFont="1" applyFill="1" applyBorder="1"/>
    <xf numFmtId="2" fontId="4" fillId="21" borderId="11" xfId="10" applyNumberFormat="1" applyFont="1" applyFill="1" applyBorder="1" applyAlignment="1">
      <alignment horizontal="right"/>
    </xf>
    <xf numFmtId="2" fontId="4" fillId="21" borderId="0" xfId="10" applyNumberFormat="1" applyFont="1" applyFill="1" applyAlignment="1">
      <alignment horizontal="right" wrapText="1"/>
    </xf>
    <xf numFmtId="2" fontId="4" fillId="21" borderId="1" xfId="10" applyNumberFormat="1" applyFont="1" applyFill="1" applyBorder="1"/>
    <xf numFmtId="2" fontId="4" fillId="21" borderId="5" xfId="10" applyNumberFormat="1" applyFont="1" applyFill="1" applyBorder="1"/>
    <xf numFmtId="2" fontId="4" fillId="21" borderId="14" xfId="10" applyNumberFormat="1" applyFont="1" applyFill="1" applyBorder="1"/>
    <xf numFmtId="2" fontId="4" fillId="21" borderId="15" xfId="10" applyNumberFormat="1" applyFont="1" applyFill="1" applyBorder="1"/>
    <xf numFmtId="2" fontId="4" fillId="21" borderId="10" xfId="10" applyNumberFormat="1" applyFont="1" applyFill="1" applyBorder="1"/>
    <xf numFmtId="2" fontId="4" fillId="21" borderId="0" xfId="10" applyNumberFormat="1" applyFont="1" applyFill="1"/>
    <xf numFmtId="0" fontId="4" fillId="0" borderId="0" xfId="10" applyFont="1" applyAlignment="1">
      <alignment horizontal="left"/>
    </xf>
    <xf numFmtId="0" fontId="4" fillId="8" borderId="3" xfId="10" applyFont="1" applyFill="1" applyBorder="1" applyAlignment="1">
      <alignment horizontal="left"/>
    </xf>
    <xf numFmtId="0" fontId="4" fillId="8" borderId="9" xfId="10" applyFont="1" applyFill="1" applyBorder="1"/>
    <xf numFmtId="0" fontId="3" fillId="8" borderId="13" xfId="10" applyFont="1" applyFill="1" applyBorder="1"/>
    <xf numFmtId="0" fontId="3" fillId="8" borderId="9" xfId="10" applyFont="1" applyFill="1" applyBorder="1"/>
    <xf numFmtId="0" fontId="3" fillId="8" borderId="3" xfId="10" applyFont="1" applyFill="1" applyBorder="1"/>
    <xf numFmtId="0" fontId="3" fillId="8" borderId="4" xfId="10" applyFont="1" applyFill="1" applyBorder="1"/>
    <xf numFmtId="0" fontId="3" fillId="0" borderId="0" xfId="10" applyFont="1"/>
    <xf numFmtId="0" fontId="4" fillId="10" borderId="7" xfId="10" applyFont="1" applyFill="1" applyBorder="1" applyAlignment="1">
      <alignment horizontal="left"/>
    </xf>
    <xf numFmtId="0" fontId="3" fillId="10" borderId="8" xfId="10" applyFont="1" applyFill="1" applyBorder="1" applyAlignment="1">
      <alignment horizontal="center"/>
    </xf>
    <xf numFmtId="165" fontId="4" fillId="10" borderId="2" xfId="2" applyFont="1" applyFill="1" applyBorder="1" applyAlignment="1">
      <alignment horizontal="right"/>
    </xf>
    <xf numFmtId="2" fontId="4" fillId="10" borderId="7" xfId="10" applyNumberFormat="1" applyFont="1" applyFill="1" applyBorder="1"/>
    <xf numFmtId="2" fontId="4" fillId="10" borderId="6" xfId="10" applyNumberFormat="1" applyFont="1" applyFill="1" applyBorder="1"/>
    <xf numFmtId="2" fontId="4" fillId="10" borderId="8" xfId="10" applyNumberFormat="1" applyFont="1" applyFill="1" applyBorder="1"/>
    <xf numFmtId="177" fontId="3" fillId="10" borderId="6" xfId="2" applyNumberFormat="1" applyFont="1" applyFill="1" applyBorder="1" applyAlignment="1">
      <alignment horizontal="right"/>
    </xf>
    <xf numFmtId="177" fontId="3" fillId="10" borderId="8" xfId="2" applyNumberFormat="1" applyFont="1" applyFill="1" applyBorder="1" applyAlignment="1">
      <alignment horizontal="right"/>
    </xf>
    <xf numFmtId="177" fontId="3" fillId="10" borderId="7" xfId="2" applyNumberFormat="1" applyFont="1" applyFill="1" applyBorder="1" applyAlignment="1">
      <alignment horizontal="right"/>
    </xf>
    <xf numFmtId="0" fontId="4" fillId="7" borderId="9" xfId="0" applyFont="1" applyFill="1" applyBorder="1"/>
    <xf numFmtId="10" fontId="4" fillId="21" borderId="10" xfId="11" applyNumberFormat="1" applyFont="1" applyFill="1" applyBorder="1"/>
    <xf numFmtId="10" fontId="4" fillId="21" borderId="10" xfId="10" applyNumberFormat="1" applyFont="1" applyFill="1" applyBorder="1"/>
    <xf numFmtId="10" fontId="4" fillId="21" borderId="11" xfId="10" applyNumberFormat="1" applyFont="1" applyFill="1" applyBorder="1"/>
    <xf numFmtId="0" fontId="4" fillId="7" borderId="12" xfId="0" applyFont="1" applyFill="1" applyBorder="1"/>
    <xf numFmtId="0" fontId="4" fillId="7" borderId="14" xfId="0" applyFont="1" applyFill="1" applyBorder="1"/>
    <xf numFmtId="0" fontId="4" fillId="7" borderId="15" xfId="0" applyFont="1" applyFill="1" applyBorder="1"/>
    <xf numFmtId="0" fontId="4" fillId="0" borderId="0" xfId="10" applyFont="1" applyAlignment="1">
      <alignment horizontal="right"/>
    </xf>
    <xf numFmtId="165" fontId="4" fillId="0" borderId="0" xfId="2" applyFont="1"/>
    <xf numFmtId="10" fontId="4" fillId="0" borderId="0" xfId="11" applyNumberFormat="1" applyFont="1"/>
    <xf numFmtId="10" fontId="4" fillId="0" borderId="0" xfId="10" applyNumberFormat="1" applyFont="1"/>
    <xf numFmtId="177" fontId="4" fillId="0" borderId="0" xfId="2" applyNumberFormat="1" applyFont="1"/>
    <xf numFmtId="0" fontId="4" fillId="26" borderId="10" xfId="0" applyFont="1" applyFill="1" applyBorder="1"/>
    <xf numFmtId="0" fontId="4" fillId="26" borderId="0" xfId="0" applyFont="1" applyFill="1"/>
    <xf numFmtId="0" fontId="4" fillId="26" borderId="0" xfId="10" applyFont="1" applyFill="1"/>
    <xf numFmtId="0" fontId="4" fillId="26" borderId="12" xfId="10" applyFont="1" applyFill="1" applyBorder="1"/>
    <xf numFmtId="165" fontId="4" fillId="0" borderId="0" xfId="10" applyNumberFormat="1" applyFont="1"/>
    <xf numFmtId="0" fontId="4" fillId="26" borderId="14" xfId="0" applyFont="1" applyFill="1" applyBorder="1"/>
    <xf numFmtId="0" fontId="4" fillId="26" borderId="5" xfId="0" applyFont="1" applyFill="1" applyBorder="1"/>
    <xf numFmtId="0" fontId="4" fillId="26" borderId="5" xfId="10" applyFont="1" applyFill="1" applyBorder="1"/>
    <xf numFmtId="0" fontId="4" fillId="26" borderId="15" xfId="10" applyFont="1" applyFill="1" applyBorder="1"/>
    <xf numFmtId="43" fontId="0" fillId="0" borderId="16" xfId="0" applyNumberFormat="1" applyBorder="1"/>
    <xf numFmtId="1" fontId="4" fillId="0" borderId="0" xfId="10" applyNumberFormat="1" applyFont="1"/>
    <xf numFmtId="43" fontId="0" fillId="0" borderId="16" xfId="9" applyFont="1" applyBorder="1"/>
    <xf numFmtId="169" fontId="0" fillId="0" borderId="16" xfId="0" applyNumberFormat="1" applyBorder="1"/>
    <xf numFmtId="170" fontId="0" fillId="0" borderId="16" xfId="6" applyNumberFormat="1" applyFont="1" applyBorder="1"/>
    <xf numFmtId="0" fontId="2" fillId="0" borderId="22" xfId="0" applyFont="1" applyBorder="1"/>
    <xf numFmtId="0" fontId="0" fillId="0" borderId="22" xfId="0" applyBorder="1"/>
    <xf numFmtId="0" fontId="21" fillId="0" borderId="22" xfId="0" applyFont="1" applyBorder="1"/>
    <xf numFmtId="0" fontId="0" fillId="0" borderId="16" xfId="0" applyBorder="1" applyAlignment="1">
      <alignment wrapText="1"/>
    </xf>
    <xf numFmtId="0" fontId="2" fillId="27" borderId="16" xfId="0" applyFont="1" applyFill="1" applyBorder="1"/>
    <xf numFmtId="0" fontId="2" fillId="0" borderId="0" xfId="0" applyFont="1" applyAlignment="1">
      <alignment vertical="top"/>
    </xf>
    <xf numFmtId="170" fontId="0" fillId="0" borderId="16" xfId="0" applyNumberFormat="1" applyBorder="1" applyAlignment="1">
      <alignment vertical="top"/>
    </xf>
    <xf numFmtId="0" fontId="3" fillId="29" borderId="3" xfId="10" applyFont="1" applyFill="1" applyBorder="1"/>
    <xf numFmtId="0" fontId="3" fillId="29" borderId="4" xfId="10" applyFont="1" applyFill="1" applyBorder="1"/>
    <xf numFmtId="0" fontId="3" fillId="29" borderId="9" xfId="10" applyFont="1" applyFill="1" applyBorder="1"/>
    <xf numFmtId="43" fontId="4" fillId="31" borderId="6" xfId="9" applyFont="1" applyFill="1" applyBorder="1" applyAlignment="1">
      <alignment horizontal="right"/>
    </xf>
    <xf numFmtId="43" fontId="4" fillId="30" borderId="0" xfId="9" applyFont="1" applyFill="1" applyBorder="1"/>
    <xf numFmtId="10" fontId="4" fillId="28" borderId="0" xfId="10" applyNumberFormat="1" applyFont="1" applyFill="1"/>
    <xf numFmtId="0" fontId="4" fillId="28" borderId="0" xfId="10" applyFont="1" applyFill="1"/>
    <xf numFmtId="165" fontId="4" fillId="28" borderId="0" xfId="10" applyNumberFormat="1" applyFont="1" applyFill="1"/>
    <xf numFmtId="0" fontId="4" fillId="29" borderId="3" xfId="10" applyFont="1" applyFill="1" applyBorder="1" applyAlignment="1">
      <alignment horizontal="left"/>
    </xf>
    <xf numFmtId="0" fontId="4" fillId="29" borderId="9" xfId="10" applyFont="1" applyFill="1" applyBorder="1"/>
    <xf numFmtId="0" fontId="3" fillId="29" borderId="13" xfId="10" applyFont="1" applyFill="1" applyBorder="1"/>
    <xf numFmtId="167" fontId="3" fillId="29" borderId="4" xfId="6" applyNumberFormat="1" applyFont="1" applyFill="1" applyBorder="1"/>
    <xf numFmtId="0" fontId="0" fillId="28" borderId="0" xfId="0" applyFill="1"/>
    <xf numFmtId="169" fontId="3" fillId="29" borderId="4" xfId="1" applyNumberFormat="1" applyFont="1" applyFill="1" applyBorder="1"/>
    <xf numFmtId="0" fontId="35" fillId="0" borderId="0" xfId="0" applyFont="1"/>
    <xf numFmtId="0" fontId="4" fillId="0" borderId="0" xfId="0" applyFont="1" applyAlignment="1">
      <alignment horizontal="center"/>
    </xf>
    <xf numFmtId="178" fontId="4" fillId="0" borderId="0" xfId="4" applyNumberFormat="1" applyFont="1"/>
    <xf numFmtId="0" fontId="15" fillId="0" borderId="0" xfId="0" applyFont="1"/>
    <xf numFmtId="176" fontId="4" fillId="0" borderId="0" xfId="0" applyNumberFormat="1" applyFont="1" applyAlignment="1">
      <alignment horizontal="center"/>
    </xf>
    <xf numFmtId="3" fontId="3" fillId="0" borderId="0" xfId="0" applyNumberFormat="1" applyFont="1"/>
    <xf numFmtId="176" fontId="4" fillId="8" borderId="3" xfId="0" applyNumberFormat="1" applyFont="1" applyFill="1" applyBorder="1" applyAlignment="1">
      <alignment horizontal="center"/>
    </xf>
    <xf numFmtId="176" fontId="4" fillId="8" borderId="4" xfId="0" applyNumberFormat="1" applyFont="1" applyFill="1" applyBorder="1" applyAlignment="1">
      <alignment horizontal="center"/>
    </xf>
    <xf numFmtId="176" fontId="4" fillId="8" borderId="13" xfId="0" applyNumberFormat="1" applyFont="1" applyFill="1" applyBorder="1" applyAlignment="1">
      <alignment horizontal="center"/>
    </xf>
    <xf numFmtId="3" fontId="4" fillId="0" borderId="0" xfId="0" applyNumberFormat="1" applyFont="1" applyAlignment="1">
      <alignment horizontal="right"/>
    </xf>
    <xf numFmtId="0" fontId="4" fillId="8" borderId="10" xfId="0" applyFont="1" applyFill="1" applyBorder="1" applyAlignment="1">
      <alignment horizontal="center"/>
    </xf>
    <xf numFmtId="0" fontId="4" fillId="8" borderId="0" xfId="0" applyFont="1" applyFill="1" applyAlignment="1">
      <alignment horizontal="center"/>
    </xf>
    <xf numFmtId="176" fontId="4" fillId="8" borderId="11" xfId="0" applyNumberFormat="1" applyFont="1" applyFill="1" applyBorder="1" applyAlignment="1">
      <alignment horizontal="center"/>
    </xf>
    <xf numFmtId="0" fontId="4" fillId="8" borderId="10" xfId="0" applyFont="1" applyFill="1" applyBorder="1"/>
    <xf numFmtId="0" fontId="0" fillId="8" borderId="14" xfId="0" applyFill="1" applyBorder="1"/>
    <xf numFmtId="0" fontId="4" fillId="8" borderId="5" xfId="0" applyFont="1" applyFill="1" applyBorder="1" applyAlignment="1">
      <alignment horizontal="center"/>
    </xf>
    <xf numFmtId="0" fontId="4" fillId="10" borderId="7" xfId="0" applyFont="1" applyFill="1" applyBorder="1"/>
    <xf numFmtId="0" fontId="4" fillId="10" borderId="8" xfId="0" applyFont="1" applyFill="1" applyBorder="1"/>
    <xf numFmtId="3" fontId="4" fillId="10" borderId="10" xfId="4" applyNumberFormat="1" applyFont="1" applyFill="1" applyBorder="1"/>
    <xf numFmtId="3" fontId="4" fillId="10" borderId="0" xfId="4" applyNumberFormat="1" applyFont="1" applyFill="1"/>
    <xf numFmtId="3" fontId="4" fillId="10" borderId="1" xfId="4" applyNumberFormat="1" applyFont="1" applyFill="1" applyBorder="1"/>
    <xf numFmtId="3" fontId="4" fillId="12" borderId="3" xfId="4" applyNumberFormat="1" applyFont="1" applyFill="1" applyBorder="1"/>
    <xf numFmtId="3" fontId="4" fillId="12" borderId="9" xfId="4" applyNumberFormat="1" applyFont="1" applyFill="1" applyBorder="1"/>
    <xf numFmtId="3" fontId="4" fillId="12" borderId="12" xfId="4" applyNumberFormat="1" applyFont="1" applyFill="1" applyBorder="1"/>
    <xf numFmtId="3" fontId="4" fillId="12" borderId="15" xfId="4" applyNumberFormat="1" applyFont="1" applyFill="1" applyBorder="1"/>
    <xf numFmtId="0" fontId="0" fillId="0" borderId="4" xfId="0" applyBorder="1"/>
    <xf numFmtId="0" fontId="4" fillId="29" borderId="4" xfId="10" applyFont="1" applyFill="1" applyBorder="1"/>
    <xf numFmtId="169" fontId="3" fillId="10" borderId="6" xfId="1" applyNumberFormat="1" applyFont="1" applyFill="1" applyBorder="1" applyAlignment="1">
      <alignment horizontal="center"/>
    </xf>
    <xf numFmtId="1" fontId="0" fillId="0" borderId="16" xfId="0" applyNumberFormat="1" applyBorder="1"/>
    <xf numFmtId="0" fontId="7" fillId="16" borderId="0" xfId="0" applyFont="1" applyFill="1"/>
    <xf numFmtId="170" fontId="7" fillId="0" borderId="16" xfId="6" applyNumberFormat="1" applyFont="1" applyFill="1" applyBorder="1" applyAlignment="1">
      <alignment horizontal="right"/>
    </xf>
    <xf numFmtId="179" fontId="7" fillId="0" borderId="16" xfId="9" applyNumberFormat="1" applyFont="1" applyFill="1" applyBorder="1" applyAlignment="1">
      <alignment horizontal="right"/>
    </xf>
    <xf numFmtId="0" fontId="2" fillId="0" borderId="0" xfId="0" applyFont="1" applyAlignment="1">
      <alignment wrapText="1"/>
    </xf>
    <xf numFmtId="179" fontId="0" fillId="0" borderId="0" xfId="9" applyNumberFormat="1" applyFont="1"/>
    <xf numFmtId="44" fontId="7" fillId="0" borderId="16" xfId="1" applyFont="1" applyFill="1" applyBorder="1" applyAlignment="1">
      <alignment horizontal="right"/>
    </xf>
    <xf numFmtId="180" fontId="7" fillId="0" borderId="16" xfId="9" applyNumberFormat="1" applyFont="1" applyFill="1" applyBorder="1" applyAlignment="1">
      <alignment horizontal="right"/>
    </xf>
    <xf numFmtId="169" fontId="2" fillId="0" borderId="16" xfId="1" applyNumberFormat="1" applyFont="1" applyBorder="1"/>
    <xf numFmtId="170" fontId="0" fillId="0" borderId="0" xfId="6" applyNumberFormat="1" applyFont="1" applyBorder="1"/>
    <xf numFmtId="0" fontId="0" fillId="0" borderId="0" xfId="0" applyAlignment="1">
      <alignment horizontal="left" vertical="top" wrapText="1"/>
    </xf>
    <xf numFmtId="0" fontId="0" fillId="0" borderId="0" xfId="0" applyAlignment="1">
      <alignment vertical="top" wrapText="1"/>
    </xf>
    <xf numFmtId="169" fontId="1" fillId="0" borderId="0" xfId="1" applyNumberFormat="1" applyFont="1" applyBorder="1"/>
    <xf numFmtId="175" fontId="0" fillId="0" borderId="0" xfId="6" applyNumberFormat="1" applyFont="1" applyBorder="1"/>
    <xf numFmtId="169" fontId="2" fillId="0" borderId="0" xfId="0" applyNumberFormat="1" applyFont="1"/>
    <xf numFmtId="0" fontId="15" fillId="16" borderId="16" xfId="0" applyFont="1" applyFill="1" applyBorder="1"/>
    <xf numFmtId="179" fontId="15" fillId="0" borderId="16" xfId="9" applyNumberFormat="1" applyFont="1" applyFill="1" applyBorder="1" applyAlignment="1">
      <alignment horizontal="right"/>
    </xf>
    <xf numFmtId="176" fontId="0" fillId="0" borderId="16" xfId="6" applyNumberFormat="1" applyFont="1" applyBorder="1"/>
    <xf numFmtId="176" fontId="0" fillId="0" borderId="0" xfId="0" applyNumberFormat="1"/>
    <xf numFmtId="176" fontId="2" fillId="0" borderId="16" xfId="6" applyNumberFormat="1" applyFont="1" applyBorder="1"/>
    <xf numFmtId="169" fontId="2" fillId="0" borderId="16" xfId="1" applyNumberFormat="1" applyFont="1" applyFill="1" applyBorder="1"/>
    <xf numFmtId="169" fontId="37" fillId="0" borderId="16" xfId="0" applyNumberFormat="1" applyFont="1" applyBorder="1"/>
    <xf numFmtId="0" fontId="37" fillId="0" borderId="16" xfId="0" applyFont="1" applyBorder="1"/>
    <xf numFmtId="0" fontId="40" fillId="0" borderId="16" xfId="0" applyFont="1" applyBorder="1"/>
    <xf numFmtId="169" fontId="40" fillId="0" borderId="16" xfId="0" applyNumberFormat="1" applyFont="1" applyBorder="1"/>
    <xf numFmtId="0" fontId="23" fillId="33" borderId="0" xfId="0" applyFont="1" applyFill="1"/>
    <xf numFmtId="0" fontId="23" fillId="33" borderId="22" xfId="0" applyFont="1" applyFill="1" applyBorder="1"/>
    <xf numFmtId="0" fontId="0" fillId="33" borderId="0" xfId="0" applyFill="1"/>
    <xf numFmtId="0" fontId="41" fillId="28" borderId="16" xfId="0" applyFont="1" applyFill="1" applyBorder="1"/>
    <xf numFmtId="0" fontId="30" fillId="28" borderId="16" xfId="0" applyFont="1" applyFill="1" applyBorder="1"/>
    <xf numFmtId="0" fontId="38" fillId="24" borderId="19" xfId="0" applyFont="1" applyFill="1" applyBorder="1"/>
    <xf numFmtId="0" fontId="39" fillId="24" borderId="33" xfId="0" applyFont="1" applyFill="1" applyBorder="1"/>
    <xf numFmtId="0" fontId="39" fillId="24" borderId="35" xfId="0" applyFont="1" applyFill="1" applyBorder="1"/>
    <xf numFmtId="0" fontId="39" fillId="24" borderId="34" xfId="0" applyFont="1" applyFill="1" applyBorder="1"/>
    <xf numFmtId="0" fontId="0" fillId="0" borderId="0" xfId="0" applyAlignment="1">
      <alignment wrapText="1"/>
    </xf>
    <xf numFmtId="0" fontId="0" fillId="0" borderId="16" xfId="0" applyBorder="1" applyAlignment="1">
      <alignment vertical="top" wrapText="1"/>
    </xf>
    <xf numFmtId="0" fontId="0" fillId="0" borderId="16" xfId="0" applyBorder="1" applyAlignment="1">
      <alignment horizontal="left" vertical="top" wrapText="1"/>
    </xf>
    <xf numFmtId="0" fontId="39" fillId="24" borderId="20" xfId="0" applyFont="1" applyFill="1" applyBorder="1" applyAlignment="1">
      <alignment wrapText="1"/>
    </xf>
    <xf numFmtId="0" fontId="39" fillId="24" borderId="36" xfId="0" applyFont="1" applyFill="1" applyBorder="1" applyAlignment="1">
      <alignment vertical="top" wrapText="1"/>
    </xf>
    <xf numFmtId="0" fontId="2" fillId="14" borderId="16" xfId="0" applyFont="1" applyFill="1" applyBorder="1" applyAlignment="1">
      <alignment vertical="top" wrapText="1"/>
    </xf>
    <xf numFmtId="0" fontId="0" fillId="14" borderId="16" xfId="0" applyFill="1" applyBorder="1" applyAlignment="1">
      <alignment wrapText="1"/>
    </xf>
    <xf numFmtId="0" fontId="0" fillId="14" borderId="0" xfId="0" applyFill="1" applyAlignment="1">
      <alignment wrapText="1"/>
    </xf>
    <xf numFmtId="0" fontId="36" fillId="14" borderId="16" xfId="0" applyFont="1" applyFill="1" applyBorder="1"/>
    <xf numFmtId="44" fontId="7" fillId="0" borderId="0" xfId="1" applyFont="1" applyFill="1" applyBorder="1" applyAlignment="1">
      <alignment horizontal="right"/>
    </xf>
    <xf numFmtId="0" fontId="7" fillId="16" borderId="0" xfId="0" applyFont="1" applyFill="1" applyAlignment="1">
      <alignment horizontal="right"/>
    </xf>
    <xf numFmtId="44" fontId="0" fillId="0" borderId="16" xfId="0" applyNumberFormat="1" applyBorder="1"/>
    <xf numFmtId="0" fontId="2" fillId="28" borderId="16" xfId="0" applyFont="1" applyFill="1" applyBorder="1"/>
    <xf numFmtId="44" fontId="0" fillId="0" borderId="16" xfId="1" applyFont="1" applyBorder="1"/>
    <xf numFmtId="10" fontId="0" fillId="0" borderId="16" xfId="6" applyNumberFormat="1" applyFont="1" applyBorder="1"/>
    <xf numFmtId="10" fontId="4" fillId="21" borderId="4" xfId="14" applyNumberFormat="1" applyFont="1" applyFill="1" applyBorder="1"/>
    <xf numFmtId="10" fontId="4" fillId="21" borderId="0" xfId="12" applyNumberFormat="1" applyFont="1" applyFill="1"/>
    <xf numFmtId="10" fontId="4" fillId="21" borderId="10" xfId="12" applyNumberFormat="1" applyFont="1" applyFill="1" applyBorder="1"/>
    <xf numFmtId="10" fontId="4" fillId="21" borderId="11" xfId="12" applyNumberFormat="1" applyFont="1" applyFill="1" applyBorder="1"/>
    <xf numFmtId="165" fontId="4" fillId="21" borderId="11" xfId="13" applyFont="1" applyFill="1" applyBorder="1"/>
    <xf numFmtId="10" fontId="4" fillId="21" borderId="0" xfId="14" applyNumberFormat="1" applyFont="1" applyFill="1"/>
    <xf numFmtId="10" fontId="4" fillId="21" borderId="10" xfId="14" applyNumberFormat="1" applyFont="1" applyFill="1" applyBorder="1"/>
    <xf numFmtId="10" fontId="4" fillId="21" borderId="11" xfId="14" applyNumberFormat="1" applyFont="1" applyFill="1" applyBorder="1"/>
    <xf numFmtId="165" fontId="4" fillId="21" borderId="10" xfId="13" applyFont="1" applyFill="1" applyBorder="1"/>
    <xf numFmtId="165" fontId="4" fillId="21" borderId="0" xfId="2" applyFont="1" applyFill="1"/>
    <xf numFmtId="10" fontId="4" fillId="21" borderId="0" xfId="11" applyNumberFormat="1" applyFont="1" applyFill="1"/>
    <xf numFmtId="10" fontId="4" fillId="21" borderId="22" xfId="14" applyNumberFormat="1" applyFont="1" applyFill="1" applyBorder="1"/>
    <xf numFmtId="165" fontId="4" fillId="21" borderId="1" xfId="13" applyFont="1" applyFill="1" applyBorder="1"/>
    <xf numFmtId="10" fontId="4" fillId="21" borderId="14" xfId="14" applyNumberFormat="1" applyFont="1" applyFill="1" applyBorder="1"/>
    <xf numFmtId="10" fontId="4" fillId="21" borderId="1" xfId="14" applyNumberFormat="1" applyFont="1" applyFill="1" applyBorder="1"/>
    <xf numFmtId="10" fontId="4" fillId="21" borderId="5" xfId="12" applyNumberFormat="1" applyFont="1" applyFill="1" applyBorder="1"/>
    <xf numFmtId="10" fontId="4" fillId="21" borderId="14" xfId="12" applyNumberFormat="1" applyFont="1" applyFill="1" applyBorder="1"/>
    <xf numFmtId="10" fontId="4" fillId="21" borderId="1" xfId="12" applyNumberFormat="1" applyFont="1" applyFill="1" applyBorder="1"/>
    <xf numFmtId="0" fontId="3" fillId="8" borderId="0" xfId="10" applyFont="1" applyFill="1"/>
    <xf numFmtId="0" fontId="3" fillId="8" borderId="12" xfId="10" applyFont="1" applyFill="1" applyBorder="1"/>
    <xf numFmtId="179" fontId="0" fillId="0" borderId="16" xfId="9" applyNumberFormat="1" applyFont="1" applyBorder="1"/>
    <xf numFmtId="179" fontId="0" fillId="0" borderId="16" xfId="0" applyNumberFormat="1" applyBorder="1"/>
    <xf numFmtId="9" fontId="0" fillId="0" borderId="16" xfId="6" applyFont="1" applyBorder="1"/>
    <xf numFmtId="1" fontId="0" fillId="0" borderId="16" xfId="9" applyNumberFormat="1" applyFont="1" applyBorder="1"/>
    <xf numFmtId="0" fontId="7" fillId="16" borderId="20" xfId="0" applyFont="1" applyFill="1" applyBorder="1" applyAlignment="1">
      <alignment horizontal="right"/>
    </xf>
    <xf numFmtId="0" fontId="32" fillId="0" borderId="0" xfId="0" applyFont="1" applyAlignment="1">
      <alignment horizontal="left" vertical="top"/>
    </xf>
    <xf numFmtId="0" fontId="15" fillId="0" borderId="0" xfId="0" quotePrefix="1" applyFont="1" applyAlignment="1" applyProtection="1">
      <alignment horizontal="right"/>
      <protection locked="0"/>
    </xf>
    <xf numFmtId="0" fontId="44" fillId="16" borderId="16" xfId="0" applyFont="1" applyFill="1" applyBorder="1" applyAlignment="1">
      <alignment horizontal="right"/>
    </xf>
    <xf numFmtId="0" fontId="45" fillId="28" borderId="16" xfId="0" applyFont="1" applyFill="1" applyBorder="1"/>
    <xf numFmtId="0" fontId="38" fillId="24" borderId="24" xfId="0" applyFont="1" applyFill="1" applyBorder="1"/>
    <xf numFmtId="0" fontId="38" fillId="24" borderId="0" xfId="0" applyFont="1" applyFill="1"/>
    <xf numFmtId="0" fontId="15" fillId="16" borderId="0" xfId="0" applyFont="1" applyFill="1"/>
    <xf numFmtId="0" fontId="37" fillId="33" borderId="0" xfId="0" applyFont="1" applyFill="1" applyAlignment="1">
      <alignment vertical="center"/>
    </xf>
    <xf numFmtId="0" fontId="15" fillId="33" borderId="0" xfId="0" applyFont="1" applyFill="1"/>
    <xf numFmtId="0" fontId="36" fillId="33" borderId="0" xfId="8" applyFont="1" applyFill="1" applyAlignment="1">
      <alignment vertical="center"/>
    </xf>
    <xf numFmtId="0" fontId="43" fillId="25" borderId="31" xfId="0" quotePrefix="1" applyFont="1" applyFill="1" applyBorder="1" applyAlignment="1" applyProtection="1">
      <alignment horizontal="right"/>
      <protection locked="0"/>
    </xf>
    <xf numFmtId="0" fontId="38" fillId="24" borderId="41" xfId="0" applyFont="1" applyFill="1" applyBorder="1" applyAlignment="1">
      <alignment wrapText="1"/>
    </xf>
    <xf numFmtId="0" fontId="43" fillId="34" borderId="20" xfId="0" quotePrefix="1" applyFont="1" applyFill="1" applyBorder="1" applyAlignment="1" applyProtection="1">
      <alignment horizontal="right"/>
      <protection locked="0"/>
    </xf>
    <xf numFmtId="0" fontId="12" fillId="0" borderId="0" xfId="0" applyFont="1" applyProtection="1">
      <protection hidden="1"/>
    </xf>
    <xf numFmtId="4" fontId="12" fillId="0" borderId="0" xfId="2" applyNumberFormat="1" applyFont="1" applyProtection="1">
      <protection locked="0"/>
    </xf>
    <xf numFmtId="171" fontId="12" fillId="0" borderId="0" xfId="0" applyNumberFormat="1" applyFont="1"/>
    <xf numFmtId="0" fontId="12" fillId="33" borderId="0" xfId="0" applyFont="1" applyFill="1"/>
    <xf numFmtId="4" fontId="12" fillId="33" borderId="0" xfId="0" applyNumberFormat="1" applyFont="1" applyFill="1"/>
    <xf numFmtId="178" fontId="0" fillId="0" borderId="0" xfId="0" applyNumberFormat="1"/>
    <xf numFmtId="0" fontId="43" fillId="0" borderId="0" xfId="0" applyFont="1" applyAlignment="1">
      <alignment wrapText="1"/>
    </xf>
    <xf numFmtId="0" fontId="4" fillId="0" borderId="12" xfId="0" applyFont="1" applyBorder="1"/>
    <xf numFmtId="10" fontId="3" fillId="10" borderId="11" xfId="3" applyNumberFormat="1" applyFont="1" applyFill="1" applyBorder="1" applyAlignment="1">
      <alignment horizontal="right"/>
    </xf>
    <xf numFmtId="166" fontId="3" fillId="10" borderId="10" xfId="2" applyNumberFormat="1" applyFont="1" applyFill="1" applyBorder="1" applyAlignment="1">
      <alignment horizontal="right"/>
    </xf>
    <xf numFmtId="166" fontId="3" fillId="10" borderId="0" xfId="2" applyNumberFormat="1" applyFont="1" applyFill="1" applyAlignment="1">
      <alignment horizontal="right"/>
    </xf>
    <xf numFmtId="166" fontId="3" fillId="10" borderId="12" xfId="2" applyNumberFormat="1" applyFont="1" applyFill="1" applyBorder="1" applyAlignment="1">
      <alignment horizontal="right"/>
    </xf>
    <xf numFmtId="0" fontId="0" fillId="0" borderId="0" xfId="0" applyAlignment="1">
      <alignment horizontal="right"/>
    </xf>
    <xf numFmtId="9" fontId="3" fillId="10" borderId="0" xfId="3" applyFont="1" applyFill="1" applyAlignment="1">
      <alignment horizontal="right"/>
    </xf>
    <xf numFmtId="179" fontId="0" fillId="0" borderId="0" xfId="0" applyNumberFormat="1"/>
    <xf numFmtId="0" fontId="42" fillId="24" borderId="0" xfId="0" applyFont="1" applyFill="1" applyAlignment="1">
      <alignment horizontal="center"/>
    </xf>
    <xf numFmtId="0" fontId="39" fillId="24" borderId="0" xfId="0" applyFont="1" applyFill="1" applyAlignment="1">
      <alignment horizontal="center"/>
    </xf>
    <xf numFmtId="168" fontId="0" fillId="0" borderId="0" xfId="6" applyNumberFormat="1" applyFont="1"/>
    <xf numFmtId="168" fontId="12" fillId="0" borderId="0" xfId="0" applyNumberFormat="1" applyFont="1"/>
    <xf numFmtId="169" fontId="0" fillId="0" borderId="19" xfId="1" applyNumberFormat="1" applyFont="1" applyBorder="1"/>
    <xf numFmtId="0" fontId="46" fillId="24" borderId="0" xfId="0" applyFont="1" applyFill="1" applyAlignment="1">
      <alignment horizontal="center" vertical="center"/>
    </xf>
    <xf numFmtId="0" fontId="39" fillId="24" borderId="16" xfId="0" applyFont="1" applyFill="1" applyBorder="1"/>
    <xf numFmtId="165" fontId="4" fillId="21" borderId="13" xfId="13" applyFont="1" applyFill="1" applyBorder="1"/>
    <xf numFmtId="10" fontId="4" fillId="21" borderId="13" xfId="3" applyNumberFormat="1" applyFont="1" applyFill="1" applyBorder="1"/>
    <xf numFmtId="2" fontId="4" fillId="21" borderId="11" xfId="13" applyNumberFormat="1" applyFont="1" applyFill="1" applyBorder="1"/>
    <xf numFmtId="10" fontId="4" fillId="21" borderId="5" xfId="14" applyNumberFormat="1" applyFont="1" applyFill="1" applyBorder="1"/>
    <xf numFmtId="10" fontId="4" fillId="10" borderId="13" xfId="3" applyNumberFormat="1" applyFont="1" applyFill="1" applyBorder="1" applyAlignment="1">
      <alignment horizontal="right"/>
    </xf>
    <xf numFmtId="165" fontId="4" fillId="0" borderId="0" xfId="13" applyFont="1"/>
    <xf numFmtId="10" fontId="4" fillId="0" borderId="0" xfId="14" applyNumberFormat="1" applyFont="1"/>
    <xf numFmtId="10" fontId="4" fillId="0" borderId="0" xfId="12" applyNumberFormat="1" applyFont="1"/>
    <xf numFmtId="43" fontId="4" fillId="0" borderId="0" xfId="9" applyFont="1" applyFill="1" applyBorder="1"/>
    <xf numFmtId="0" fontId="4" fillId="6" borderId="3" xfId="0" applyFont="1" applyFill="1" applyBorder="1"/>
    <xf numFmtId="0" fontId="4" fillId="6" borderId="4" xfId="0" applyFont="1" applyFill="1" applyBorder="1"/>
    <xf numFmtId="0" fontId="4" fillId="6" borderId="10" xfId="0" applyFont="1" applyFill="1" applyBorder="1"/>
    <xf numFmtId="0" fontId="4" fillId="6" borderId="0" xfId="0" applyFont="1" applyFill="1"/>
    <xf numFmtId="0" fontId="4" fillId="6" borderId="14" xfId="0" applyFont="1" applyFill="1" applyBorder="1"/>
    <xf numFmtId="0" fontId="4" fillId="6" borderId="5" xfId="0" applyFont="1" applyFill="1" applyBorder="1"/>
    <xf numFmtId="0" fontId="4" fillId="0" borderId="10" xfId="0" applyFont="1" applyBorder="1"/>
    <xf numFmtId="3" fontId="4" fillId="0" borderId="3" xfId="4" applyNumberFormat="1" applyFont="1" applyBorder="1"/>
    <xf numFmtId="3" fontId="4" fillId="0" borderId="10" xfId="4" applyNumberFormat="1" applyFont="1" applyBorder="1"/>
    <xf numFmtId="165" fontId="4" fillId="35" borderId="11" xfId="13" applyFont="1" applyFill="1" applyBorder="1"/>
    <xf numFmtId="10" fontId="4" fillId="35" borderId="0" xfId="14" applyNumberFormat="1" applyFont="1" applyFill="1"/>
    <xf numFmtId="10" fontId="4" fillId="35" borderId="11" xfId="3" applyNumberFormat="1" applyFont="1" applyFill="1" applyBorder="1"/>
    <xf numFmtId="10" fontId="4" fillId="35" borderId="0" xfId="12" applyNumberFormat="1" applyFont="1" applyFill="1"/>
    <xf numFmtId="10" fontId="4" fillId="35" borderId="10" xfId="12" applyNumberFormat="1" applyFont="1" applyFill="1" applyBorder="1"/>
    <xf numFmtId="10" fontId="4" fillId="35" borderId="11" xfId="12" applyNumberFormat="1" applyFont="1" applyFill="1" applyBorder="1"/>
    <xf numFmtId="43" fontId="4" fillId="28" borderId="0" xfId="9" applyFont="1" applyFill="1" applyBorder="1"/>
    <xf numFmtId="0" fontId="0" fillId="33" borderId="16" xfId="0" applyFill="1" applyBorder="1" applyAlignment="1">
      <alignment wrapText="1"/>
    </xf>
    <xf numFmtId="1" fontId="0" fillId="33" borderId="0" xfId="0" applyNumberFormat="1" applyFill="1"/>
    <xf numFmtId="1" fontId="0" fillId="33" borderId="0" xfId="6" applyNumberFormat="1" applyFont="1" applyFill="1"/>
    <xf numFmtId="0" fontId="0" fillId="33" borderId="16" xfId="0" applyFill="1" applyBorder="1"/>
    <xf numFmtId="170" fontId="4" fillId="21" borderId="0" xfId="12" applyNumberFormat="1" applyFont="1" applyFill="1"/>
    <xf numFmtId="170" fontId="4" fillId="21" borderId="10" xfId="12" applyNumberFormat="1" applyFont="1" applyFill="1" applyBorder="1"/>
    <xf numFmtId="170" fontId="4" fillId="21" borderId="11" xfId="12" applyNumberFormat="1" applyFont="1" applyFill="1" applyBorder="1"/>
    <xf numFmtId="175" fontId="0" fillId="33" borderId="16" xfId="6" applyNumberFormat="1" applyFont="1" applyFill="1" applyBorder="1"/>
    <xf numFmtId="0" fontId="20" fillId="14" borderId="0" xfId="0" applyFont="1" applyFill="1"/>
    <xf numFmtId="169" fontId="4" fillId="14" borderId="0" xfId="0" applyNumberFormat="1" applyFont="1" applyFill="1"/>
    <xf numFmtId="179" fontId="7" fillId="0" borderId="19" xfId="9" applyNumberFormat="1" applyFont="1" applyFill="1" applyBorder="1" applyAlignment="1">
      <alignment horizontal="right"/>
    </xf>
    <xf numFmtId="0" fontId="0" fillId="0" borderId="20" xfId="0" applyBorder="1"/>
    <xf numFmtId="179" fontId="7" fillId="0" borderId="18" xfId="9" applyNumberFormat="1" applyFont="1" applyFill="1" applyBorder="1" applyAlignment="1">
      <alignment horizontal="right"/>
    </xf>
    <xf numFmtId="0" fontId="4" fillId="37" borderId="10" xfId="0" applyFont="1" applyFill="1" applyBorder="1"/>
    <xf numFmtId="0" fontId="4" fillId="37" borderId="12" xfId="0" applyFont="1" applyFill="1" applyBorder="1"/>
    <xf numFmtId="0" fontId="4" fillId="36" borderId="0" xfId="10" applyFont="1" applyFill="1"/>
    <xf numFmtId="10" fontId="4" fillId="38" borderId="0" xfId="14" applyNumberFormat="1" applyFont="1" applyFill="1"/>
    <xf numFmtId="10" fontId="4" fillId="38" borderId="11" xfId="3" applyNumberFormat="1" applyFont="1" applyFill="1" applyBorder="1"/>
    <xf numFmtId="10" fontId="4" fillId="38" borderId="0" xfId="12" applyNumberFormat="1" applyFont="1" applyFill="1"/>
    <xf numFmtId="10" fontId="4" fillId="38" borderId="10" xfId="12" applyNumberFormat="1" applyFont="1" applyFill="1" applyBorder="1"/>
    <xf numFmtId="10" fontId="4" fillId="38" borderId="11" xfId="12" applyNumberFormat="1" applyFont="1" applyFill="1" applyBorder="1"/>
    <xf numFmtId="0" fontId="4" fillId="39" borderId="10" xfId="0" applyFont="1" applyFill="1" applyBorder="1"/>
    <xf numFmtId="0" fontId="4" fillId="39" borderId="12" xfId="0" applyFont="1" applyFill="1" applyBorder="1"/>
    <xf numFmtId="3" fontId="4" fillId="38" borderId="3" xfId="4" applyNumberFormat="1" applyFont="1" applyFill="1" applyBorder="1"/>
    <xf numFmtId="3" fontId="4" fillId="38" borderId="10" xfId="4" applyNumberFormat="1" applyFont="1" applyFill="1" applyBorder="1"/>
    <xf numFmtId="0" fontId="0" fillId="36" borderId="0" xfId="0" applyFill="1"/>
    <xf numFmtId="165" fontId="4" fillId="38" borderId="11" xfId="13" applyFont="1" applyFill="1" applyBorder="1"/>
    <xf numFmtId="43" fontId="4" fillId="38" borderId="0" xfId="9" applyFont="1" applyFill="1" applyBorder="1"/>
    <xf numFmtId="10" fontId="4" fillId="10" borderId="7" xfId="11" applyNumberFormat="1" applyFont="1" applyFill="1" applyBorder="1" applyAlignment="1">
      <alignment horizontal="right"/>
    </xf>
    <xf numFmtId="170" fontId="34" fillId="16" borderId="20" xfId="6" applyNumberFormat="1" applyFont="1" applyFill="1" applyBorder="1" applyAlignment="1">
      <alignment horizontal="center"/>
    </xf>
    <xf numFmtId="179" fontId="7" fillId="0" borderId="26" xfId="9" applyNumberFormat="1" applyFont="1" applyFill="1" applyBorder="1" applyAlignment="1">
      <alignment horizontal="right"/>
    </xf>
    <xf numFmtId="0" fontId="39" fillId="24" borderId="0" xfId="0" applyFont="1" applyFill="1"/>
    <xf numFmtId="0" fontId="41" fillId="14" borderId="16" xfId="0" applyFont="1" applyFill="1" applyBorder="1"/>
    <xf numFmtId="0" fontId="30" fillId="14" borderId="16" xfId="0" applyFont="1" applyFill="1" applyBorder="1"/>
    <xf numFmtId="0" fontId="30" fillId="14" borderId="19" xfId="0" applyFont="1" applyFill="1" applyBorder="1"/>
    <xf numFmtId="0" fontId="52" fillId="14" borderId="19" xfId="0" applyFont="1" applyFill="1" applyBorder="1"/>
    <xf numFmtId="0" fontId="36" fillId="14" borderId="33" xfId="0" applyFont="1" applyFill="1" applyBorder="1"/>
    <xf numFmtId="0" fontId="36" fillId="14" borderId="35" xfId="0" applyFont="1" applyFill="1" applyBorder="1"/>
    <xf numFmtId="0" fontId="36" fillId="14" borderId="34" xfId="0" applyFont="1" applyFill="1" applyBorder="1"/>
    <xf numFmtId="0" fontId="36" fillId="14" borderId="0" xfId="0" applyFont="1" applyFill="1"/>
    <xf numFmtId="169" fontId="2" fillId="28" borderId="16" xfId="1" applyNumberFormat="1" applyFont="1" applyFill="1" applyBorder="1"/>
    <xf numFmtId="169" fontId="2" fillId="28" borderId="19" xfId="1" applyNumberFormat="1" applyFont="1" applyFill="1" applyBorder="1"/>
    <xf numFmtId="169" fontId="2" fillId="28" borderId="16" xfId="0" applyNumberFormat="1" applyFont="1" applyFill="1" applyBorder="1"/>
    <xf numFmtId="169" fontId="2" fillId="28" borderId="19" xfId="0" applyNumberFormat="1" applyFont="1" applyFill="1" applyBorder="1"/>
    <xf numFmtId="170" fontId="7" fillId="24" borderId="20" xfId="6" applyNumberFormat="1" applyFont="1" applyFill="1" applyBorder="1" applyAlignment="1">
      <alignment horizontal="center"/>
    </xf>
    <xf numFmtId="0" fontId="30" fillId="14" borderId="18" xfId="0" applyFont="1" applyFill="1" applyBorder="1"/>
    <xf numFmtId="0" fontId="30" fillId="14" borderId="24" xfId="0" applyFont="1" applyFill="1" applyBorder="1"/>
    <xf numFmtId="0" fontId="30" fillId="28" borderId="22" xfId="0" applyFont="1" applyFill="1" applyBorder="1"/>
    <xf numFmtId="0" fontId="37" fillId="14" borderId="19" xfId="0" applyFont="1" applyFill="1" applyBorder="1" applyAlignment="1">
      <alignment horizontal="center"/>
    </xf>
    <xf numFmtId="0" fontId="49" fillId="14" borderId="19" xfId="0" applyFont="1" applyFill="1" applyBorder="1" applyAlignment="1">
      <alignment horizontal="center"/>
    </xf>
    <xf numFmtId="0" fontId="46" fillId="24" borderId="19" xfId="0" applyFont="1" applyFill="1" applyBorder="1" applyAlignment="1">
      <alignment horizontal="center" vertical="center"/>
    </xf>
    <xf numFmtId="0" fontId="46" fillId="24" borderId="21" xfId="0" applyFont="1" applyFill="1" applyBorder="1" applyAlignment="1">
      <alignment horizontal="center" vertical="center"/>
    </xf>
    <xf numFmtId="0" fontId="46" fillId="24" borderId="20" xfId="0" applyFont="1" applyFill="1" applyBorder="1" applyAlignment="1">
      <alignment horizontal="center" vertical="center"/>
    </xf>
    <xf numFmtId="0" fontId="38" fillId="24" borderId="42" xfId="0" applyFont="1" applyFill="1" applyBorder="1" applyAlignment="1">
      <alignment horizontal="left" vertical="center" wrapText="1"/>
    </xf>
    <xf numFmtId="0" fontId="38" fillId="24" borderId="36" xfId="0" applyFont="1" applyFill="1" applyBorder="1" applyAlignment="1">
      <alignment horizontal="left" vertical="center" wrapText="1"/>
    </xf>
    <xf numFmtId="0" fontId="42" fillId="24" borderId="19" xfId="0" applyFont="1" applyFill="1" applyBorder="1" applyAlignment="1">
      <alignment horizontal="center"/>
    </xf>
    <xf numFmtId="0" fontId="42" fillId="24" borderId="21" xfId="0" applyFont="1" applyFill="1" applyBorder="1" applyAlignment="1">
      <alignment horizontal="center"/>
    </xf>
    <xf numFmtId="0" fontId="42" fillId="24" borderId="32" xfId="0" applyFont="1" applyFill="1" applyBorder="1" applyAlignment="1">
      <alignment horizontal="center"/>
    </xf>
    <xf numFmtId="0" fontId="42" fillId="24" borderId="38" xfId="0" applyFont="1" applyFill="1" applyBorder="1" applyAlignment="1">
      <alignment horizontal="center"/>
    </xf>
    <xf numFmtId="0" fontId="42" fillId="24" borderId="0" xfId="0" applyFont="1" applyFill="1" applyAlignment="1">
      <alignment horizontal="center"/>
    </xf>
    <xf numFmtId="0" fontId="42" fillId="24" borderId="40" xfId="0" applyFont="1" applyFill="1" applyBorder="1" applyAlignment="1">
      <alignment horizontal="center"/>
    </xf>
    <xf numFmtId="0" fontId="42" fillId="24" borderId="39" xfId="0" applyFont="1" applyFill="1" applyBorder="1" applyAlignment="1">
      <alignment horizontal="center"/>
    </xf>
    <xf numFmtId="0" fontId="0" fillId="33" borderId="18" xfId="0" applyFill="1" applyBorder="1" applyAlignment="1">
      <alignment horizontal="left" vertical="top" wrapText="1"/>
    </xf>
    <xf numFmtId="0" fontId="0" fillId="33" borderId="22" xfId="0" applyFill="1" applyBorder="1" applyAlignment="1">
      <alignment horizontal="left" vertical="top" wrapText="1"/>
    </xf>
    <xf numFmtId="0" fontId="0" fillId="33" borderId="24" xfId="0" applyFill="1" applyBorder="1" applyAlignment="1">
      <alignment horizontal="left" vertical="top" wrapText="1"/>
    </xf>
    <xf numFmtId="169" fontId="50" fillId="24" borderId="28" xfId="1" applyNumberFormat="1" applyFont="1" applyFill="1" applyBorder="1" applyAlignment="1">
      <alignment horizontal="center" wrapText="1"/>
    </xf>
    <xf numFmtId="169" fontId="50" fillId="24" borderId="26" xfId="1" applyNumberFormat="1" applyFont="1" applyFill="1" applyBorder="1" applyAlignment="1">
      <alignment horizontal="center" wrapText="1"/>
    </xf>
    <xf numFmtId="169" fontId="50" fillId="24" borderId="30" xfId="1" applyNumberFormat="1" applyFont="1" applyFill="1" applyBorder="1" applyAlignment="1">
      <alignment horizontal="center" wrapText="1"/>
    </xf>
    <xf numFmtId="169" fontId="50" fillId="24" borderId="25" xfId="1" applyNumberFormat="1" applyFont="1" applyFill="1" applyBorder="1" applyAlignment="1">
      <alignment horizontal="center" wrapText="1"/>
    </xf>
    <xf numFmtId="169" fontId="50" fillId="24" borderId="29" xfId="1" applyNumberFormat="1" applyFont="1" applyFill="1" applyBorder="1" applyAlignment="1">
      <alignment horizontal="center" wrapText="1"/>
    </xf>
    <xf numFmtId="169" fontId="50" fillId="24" borderId="31" xfId="1" applyNumberFormat="1" applyFont="1" applyFill="1" applyBorder="1" applyAlignment="1">
      <alignment horizontal="center" wrapText="1"/>
    </xf>
    <xf numFmtId="0" fontId="0" fillId="33" borderId="16" xfId="0" applyFill="1" applyBorder="1" applyAlignment="1">
      <alignment horizontal="left" wrapText="1"/>
    </xf>
    <xf numFmtId="0" fontId="0" fillId="0" borderId="26" xfId="0" applyBorder="1" applyAlignment="1">
      <alignment horizontal="left" vertical="top" wrapText="1"/>
    </xf>
    <xf numFmtId="0" fontId="0" fillId="0" borderId="25" xfId="0" applyBorder="1" applyAlignment="1">
      <alignment horizontal="left" vertical="top" wrapText="1"/>
    </xf>
    <xf numFmtId="0" fontId="0" fillId="0" borderId="31" xfId="0" applyBorder="1" applyAlignment="1">
      <alignment horizontal="left" vertical="top" wrapText="1"/>
    </xf>
    <xf numFmtId="0" fontId="36" fillId="14" borderId="19" xfId="0" applyFont="1" applyFill="1" applyBorder="1" applyAlignment="1">
      <alignment horizontal="center"/>
    </xf>
    <xf numFmtId="0" fontId="36" fillId="14" borderId="21" xfId="0" applyFont="1" applyFill="1" applyBorder="1" applyAlignment="1">
      <alignment horizontal="center"/>
    </xf>
    <xf numFmtId="0" fontId="36" fillId="14" borderId="20" xfId="0" applyFont="1" applyFill="1" applyBorder="1" applyAlignment="1">
      <alignment horizontal="center"/>
    </xf>
    <xf numFmtId="0" fontId="39" fillId="24" borderId="30" xfId="0" applyFont="1" applyFill="1" applyBorder="1" applyAlignment="1">
      <alignment horizontal="center"/>
    </xf>
    <xf numFmtId="0" fontId="39" fillId="24" borderId="0" xfId="0" applyFont="1" applyFill="1" applyAlignment="1">
      <alignment horizontal="center"/>
    </xf>
    <xf numFmtId="170" fontId="34" fillId="16" borderId="19" xfId="6" applyNumberFormat="1" applyFont="1" applyFill="1" applyBorder="1" applyAlignment="1">
      <alignment horizontal="center"/>
    </xf>
    <xf numFmtId="170" fontId="34" fillId="16" borderId="21" xfId="6" applyNumberFormat="1" applyFont="1" applyFill="1" applyBorder="1" applyAlignment="1">
      <alignment horizontal="center"/>
    </xf>
    <xf numFmtId="170" fontId="34" fillId="16" borderId="20" xfId="6" applyNumberFormat="1" applyFont="1" applyFill="1" applyBorder="1" applyAlignment="1">
      <alignment horizontal="center"/>
    </xf>
    <xf numFmtId="44" fontId="51" fillId="24" borderId="29" xfId="1" applyFont="1" applyFill="1" applyBorder="1" applyAlignment="1">
      <alignment horizontal="center"/>
    </xf>
    <xf numFmtId="44" fontId="51" fillId="24" borderId="17" xfId="1" applyFont="1" applyFill="1" applyBorder="1" applyAlignment="1">
      <alignment horizontal="center"/>
    </xf>
    <xf numFmtId="44" fontId="51" fillId="24" borderId="31" xfId="1" applyFont="1" applyFill="1" applyBorder="1" applyAlignment="1">
      <alignment horizontal="center"/>
    </xf>
    <xf numFmtId="0" fontId="50" fillId="24" borderId="19" xfId="1" applyNumberFormat="1" applyFont="1" applyFill="1" applyBorder="1" applyAlignment="1">
      <alignment horizontal="center" vertical="top"/>
    </xf>
    <xf numFmtId="0" fontId="50" fillId="24" borderId="21" xfId="1" applyNumberFormat="1" applyFont="1" applyFill="1" applyBorder="1" applyAlignment="1">
      <alignment horizontal="center" vertical="top"/>
    </xf>
    <xf numFmtId="169" fontId="50" fillId="24" borderId="19" xfId="1" applyNumberFormat="1" applyFont="1" applyFill="1" applyBorder="1" applyAlignment="1">
      <alignment horizontal="center"/>
    </xf>
    <xf numFmtId="169" fontId="50" fillId="24" borderId="21" xfId="1" applyNumberFormat="1" applyFont="1" applyFill="1" applyBorder="1" applyAlignment="1">
      <alignment horizontal="center"/>
    </xf>
    <xf numFmtId="179" fontId="51" fillId="24" borderId="30" xfId="9" applyNumberFormat="1" applyFont="1" applyFill="1" applyBorder="1" applyAlignment="1">
      <alignment horizontal="center" vertical="center"/>
    </xf>
    <xf numFmtId="179" fontId="51" fillId="24" borderId="0" xfId="9" applyNumberFormat="1" applyFont="1" applyFill="1" applyBorder="1" applyAlignment="1">
      <alignment horizontal="center" vertical="center"/>
    </xf>
    <xf numFmtId="179" fontId="51" fillId="24" borderId="25" xfId="9" applyNumberFormat="1" applyFont="1" applyFill="1" applyBorder="1" applyAlignment="1">
      <alignment horizontal="center" vertical="center"/>
    </xf>
    <xf numFmtId="0" fontId="37" fillId="40" borderId="30" xfId="0" applyFont="1" applyFill="1" applyBorder="1" applyAlignment="1">
      <alignment horizontal="center"/>
    </xf>
    <xf numFmtId="0" fontId="37" fillId="40" borderId="0" xfId="0" applyFont="1" applyFill="1" applyAlignment="1">
      <alignment horizontal="center"/>
    </xf>
    <xf numFmtId="0" fontId="48" fillId="14" borderId="19" xfId="0" applyFont="1" applyFill="1" applyBorder="1" applyAlignment="1">
      <alignment horizontal="center"/>
    </xf>
    <xf numFmtId="0" fontId="48" fillId="14" borderId="21" xfId="0" applyFont="1" applyFill="1" applyBorder="1" applyAlignment="1">
      <alignment horizontal="center"/>
    </xf>
    <xf numFmtId="0" fontId="48" fillId="14" borderId="32" xfId="0" applyFont="1" applyFill="1" applyBorder="1" applyAlignment="1">
      <alignment horizontal="center"/>
    </xf>
    <xf numFmtId="170" fontId="7" fillId="24" borderId="19" xfId="6" applyNumberFormat="1" applyFont="1" applyFill="1" applyBorder="1" applyAlignment="1">
      <alignment horizontal="center"/>
    </xf>
    <xf numFmtId="170" fontId="7" fillId="24" borderId="20" xfId="6" applyNumberFormat="1" applyFont="1" applyFill="1" applyBorder="1" applyAlignment="1">
      <alignment horizontal="center"/>
    </xf>
    <xf numFmtId="170" fontId="7" fillId="24" borderId="21" xfId="6" applyNumberFormat="1" applyFont="1" applyFill="1" applyBorder="1" applyAlignment="1">
      <alignment horizontal="center"/>
    </xf>
    <xf numFmtId="169" fontId="50" fillId="24" borderId="20" xfId="1" applyNumberFormat="1" applyFont="1" applyFill="1" applyBorder="1" applyAlignment="1">
      <alignment horizontal="center"/>
    </xf>
    <xf numFmtId="169" fontId="50" fillId="24" borderId="19" xfId="1" applyNumberFormat="1" applyFont="1" applyFill="1" applyBorder="1" applyAlignment="1">
      <alignment horizontal="center" vertical="top"/>
    </xf>
    <xf numFmtId="169" fontId="50" fillId="24" borderId="21" xfId="1" applyNumberFormat="1" applyFont="1" applyFill="1" applyBorder="1" applyAlignment="1">
      <alignment horizontal="center" vertical="top"/>
    </xf>
    <xf numFmtId="169" fontId="50" fillId="24" borderId="20" xfId="1" applyNumberFormat="1" applyFont="1" applyFill="1" applyBorder="1" applyAlignment="1">
      <alignment horizontal="center" vertical="top"/>
    </xf>
    <xf numFmtId="0" fontId="3" fillId="32" borderId="19" xfId="10" applyFont="1" applyFill="1" applyBorder="1" applyAlignment="1">
      <alignment horizontal="center"/>
    </xf>
    <xf numFmtId="0" fontId="3" fillId="32" borderId="21" xfId="10" applyFont="1" applyFill="1" applyBorder="1" applyAlignment="1">
      <alignment horizontal="center"/>
    </xf>
    <xf numFmtId="0" fontId="3" fillId="32" borderId="20" xfId="10" applyFont="1" applyFill="1" applyBorder="1" applyAlignment="1">
      <alignment horizontal="center"/>
    </xf>
    <xf numFmtId="2" fontId="3" fillId="8" borderId="2" xfId="10" applyNumberFormat="1" applyFont="1" applyFill="1" applyBorder="1" applyAlignment="1">
      <alignment horizontal="center" wrapText="1"/>
    </xf>
    <xf numFmtId="0" fontId="3" fillId="8" borderId="7" xfId="10" applyFont="1" applyFill="1" applyBorder="1" applyAlignment="1">
      <alignment horizontal="center" wrapText="1"/>
    </xf>
    <xf numFmtId="0" fontId="3" fillId="8" borderId="2" xfId="10" applyFont="1" applyFill="1" applyBorder="1" applyAlignment="1">
      <alignment horizontal="center" wrapText="1"/>
    </xf>
    <xf numFmtId="2" fontId="4" fillId="21" borderId="13" xfId="10" applyNumberFormat="1" applyFont="1" applyFill="1" applyBorder="1" applyAlignment="1">
      <alignment horizontal="center"/>
    </xf>
    <xf numFmtId="0" fontId="4" fillId="30" borderId="24" xfId="10" applyFont="1" applyFill="1" applyBorder="1" applyAlignment="1">
      <alignment horizontal="center" wrapText="1"/>
    </xf>
    <xf numFmtId="0" fontId="4" fillId="30" borderId="16" xfId="10" applyFont="1" applyFill="1" applyBorder="1" applyAlignment="1">
      <alignment horizontal="center" wrapText="1"/>
    </xf>
    <xf numFmtId="2" fontId="4" fillId="21" borderId="11" xfId="10" applyNumberFormat="1" applyFont="1" applyFill="1" applyBorder="1" applyAlignment="1">
      <alignment horizontal="center" vertical="center" wrapText="1"/>
    </xf>
    <xf numFmtId="2" fontId="4" fillId="21" borderId="10" xfId="10" applyNumberFormat="1" applyFont="1" applyFill="1" applyBorder="1" applyAlignment="1">
      <alignment horizontal="center" vertical="center" wrapText="1"/>
    </xf>
    <xf numFmtId="0" fontId="3" fillId="29" borderId="16" xfId="10" applyFont="1" applyFill="1" applyBorder="1" applyAlignment="1">
      <alignment horizontal="center" wrapText="1"/>
    </xf>
    <xf numFmtId="0" fontId="4" fillId="30" borderId="23" xfId="10" applyFont="1" applyFill="1" applyBorder="1" applyAlignment="1">
      <alignment horizontal="center" wrapText="1"/>
    </xf>
    <xf numFmtId="0" fontId="4" fillId="30" borderId="26" xfId="10" applyFont="1" applyFill="1" applyBorder="1" applyAlignment="1">
      <alignment horizontal="center" wrapText="1"/>
    </xf>
    <xf numFmtId="0" fontId="4" fillId="30" borderId="0" xfId="10" applyFont="1" applyFill="1" applyAlignment="1">
      <alignment horizontal="center" wrapText="1"/>
    </xf>
    <xf numFmtId="0" fontId="4" fillId="30" borderId="25" xfId="10" applyFont="1" applyFill="1" applyBorder="1" applyAlignment="1">
      <alignment horizontal="center" wrapText="1"/>
    </xf>
    <xf numFmtId="0" fontId="4" fillId="30" borderId="5" xfId="10" applyFont="1" applyFill="1" applyBorder="1" applyAlignment="1">
      <alignment horizontal="center" wrapText="1"/>
    </xf>
    <xf numFmtId="0" fontId="4" fillId="30" borderId="27" xfId="10" applyFont="1" applyFill="1" applyBorder="1" applyAlignment="1">
      <alignment horizontal="center" wrapText="1"/>
    </xf>
    <xf numFmtId="0" fontId="4" fillId="30" borderId="18" xfId="10" applyFont="1" applyFill="1" applyBorder="1" applyAlignment="1">
      <alignment horizontal="center" wrapText="1"/>
    </xf>
    <xf numFmtId="0" fontId="4" fillId="30" borderId="22" xfId="10" applyFont="1" applyFill="1" applyBorder="1" applyAlignment="1">
      <alignment horizontal="center" wrapText="1"/>
    </xf>
    <xf numFmtId="0" fontId="4" fillId="30" borderId="37" xfId="10" applyFont="1" applyFill="1" applyBorder="1" applyAlignment="1">
      <alignment horizontal="center" wrapText="1"/>
    </xf>
    <xf numFmtId="3" fontId="3" fillId="0" borderId="0" xfId="0" applyNumberFormat="1" applyFont="1" applyAlignment="1">
      <alignment horizontal="left" wrapText="1"/>
    </xf>
    <xf numFmtId="0" fontId="28" fillId="22" borderId="0" xfId="7" applyFont="1" applyFill="1" applyAlignment="1">
      <alignment horizontal="center" wrapText="1"/>
    </xf>
    <xf numFmtId="1" fontId="2" fillId="32" borderId="30" xfId="0" applyNumberFormat="1" applyFont="1" applyFill="1" applyBorder="1" applyAlignment="1">
      <alignment horizontal="center" vertical="center" wrapText="1"/>
    </xf>
    <xf numFmtId="1" fontId="2" fillId="32" borderId="0" xfId="0" applyNumberFormat="1" applyFont="1" applyFill="1" applyAlignment="1">
      <alignment horizontal="center" vertical="center" wrapText="1"/>
    </xf>
    <xf numFmtId="0" fontId="2" fillId="28" borderId="30" xfId="0" applyFont="1" applyFill="1" applyBorder="1" applyAlignment="1">
      <alignment horizontal="center" wrapText="1"/>
    </xf>
    <xf numFmtId="0" fontId="2" fillId="28" borderId="0" xfId="0" applyFont="1" applyFill="1" applyAlignment="1">
      <alignment horizontal="center" wrapText="1"/>
    </xf>
    <xf numFmtId="0" fontId="2" fillId="28" borderId="25" xfId="0" applyFont="1" applyFill="1" applyBorder="1" applyAlignment="1">
      <alignment horizontal="center" wrapText="1"/>
    </xf>
    <xf numFmtId="0" fontId="30" fillId="0" borderId="0" xfId="0" applyFont="1" applyAlignment="1">
      <alignment vertical="top" wrapText="1"/>
    </xf>
    <xf numFmtId="0" fontId="2" fillId="0" borderId="0" xfId="0" applyFont="1" applyAlignment="1">
      <alignment horizontal="center" wrapText="1"/>
    </xf>
    <xf numFmtId="0" fontId="0" fillId="0" borderId="0" xfId="0" applyAlignment="1">
      <alignment horizontal="left" vertical="top" wrapText="1"/>
    </xf>
    <xf numFmtId="169" fontId="23" fillId="28" borderId="19" xfId="1" applyNumberFormat="1" applyFont="1" applyFill="1" applyBorder="1" applyAlignment="1">
      <alignment horizontal="left" vertical="top"/>
    </xf>
    <xf numFmtId="169" fontId="23" fillId="28" borderId="21" xfId="1" applyNumberFormat="1" applyFont="1" applyFill="1" applyBorder="1" applyAlignment="1">
      <alignment horizontal="left" vertical="top"/>
    </xf>
    <xf numFmtId="169" fontId="23" fillId="28" borderId="20" xfId="1" applyNumberFormat="1" applyFont="1" applyFill="1" applyBorder="1" applyAlignment="1">
      <alignment horizontal="left" vertical="top"/>
    </xf>
    <xf numFmtId="169" fontId="0" fillId="28" borderId="28" xfId="1" applyNumberFormat="1" applyFont="1" applyFill="1" applyBorder="1" applyAlignment="1">
      <alignment horizontal="center"/>
    </xf>
    <xf numFmtId="169" fontId="0" fillId="28" borderId="26" xfId="1" applyNumberFormat="1" applyFont="1" applyFill="1" applyBorder="1" applyAlignment="1">
      <alignment horizontal="center"/>
    </xf>
    <xf numFmtId="169" fontId="0" fillId="28" borderId="30" xfId="1" applyNumberFormat="1" applyFont="1" applyFill="1" applyBorder="1" applyAlignment="1">
      <alignment horizontal="center"/>
    </xf>
    <xf numFmtId="169" fontId="0" fillId="28" borderId="25" xfId="1" applyNumberFormat="1" applyFont="1" applyFill="1" applyBorder="1" applyAlignment="1">
      <alignment horizontal="center"/>
    </xf>
    <xf numFmtId="169" fontId="0" fillId="28" borderId="29" xfId="1" applyNumberFormat="1" applyFont="1" applyFill="1" applyBorder="1" applyAlignment="1">
      <alignment horizontal="center"/>
    </xf>
    <xf numFmtId="169" fontId="0" fillId="28" borderId="31" xfId="1" applyNumberFormat="1" applyFont="1" applyFill="1" applyBorder="1" applyAlignment="1">
      <alignment horizontal="center"/>
    </xf>
    <xf numFmtId="169" fontId="0" fillId="28" borderId="19" xfId="1" applyNumberFormat="1" applyFont="1" applyFill="1" applyBorder="1" applyAlignment="1">
      <alignment horizontal="center"/>
    </xf>
    <xf numFmtId="169" fontId="0" fillId="28" borderId="21" xfId="1" applyNumberFormat="1" applyFont="1" applyFill="1" applyBorder="1" applyAlignment="1">
      <alignment horizontal="center"/>
    </xf>
    <xf numFmtId="169" fontId="0" fillId="28" borderId="20" xfId="1" applyNumberFormat="1" applyFont="1" applyFill="1" applyBorder="1" applyAlignment="1">
      <alignment horizontal="center"/>
    </xf>
    <xf numFmtId="170" fontId="34" fillId="16" borderId="19" xfId="6" applyNumberFormat="1" applyFont="1" applyFill="1" applyBorder="1" applyAlignment="1">
      <alignment horizontal="left"/>
    </xf>
    <xf numFmtId="170" fontId="34" fillId="16" borderId="21" xfId="6" applyNumberFormat="1" applyFont="1" applyFill="1" applyBorder="1" applyAlignment="1">
      <alignment horizontal="left"/>
    </xf>
    <xf numFmtId="170" fontId="34" fillId="16" borderId="20" xfId="6" applyNumberFormat="1" applyFont="1" applyFill="1" applyBorder="1" applyAlignment="1">
      <alignment horizontal="left"/>
    </xf>
    <xf numFmtId="170" fontId="7" fillId="28" borderId="19" xfId="6" applyNumberFormat="1" applyFont="1" applyFill="1" applyBorder="1" applyAlignment="1">
      <alignment horizontal="center"/>
    </xf>
    <xf numFmtId="170" fontId="7" fillId="28" borderId="20" xfId="6" applyNumberFormat="1" applyFont="1" applyFill="1" applyBorder="1" applyAlignment="1">
      <alignment horizontal="center"/>
    </xf>
    <xf numFmtId="170" fontId="7" fillId="28" borderId="21" xfId="6" applyNumberFormat="1" applyFont="1" applyFill="1" applyBorder="1" applyAlignment="1">
      <alignment horizontal="center"/>
    </xf>
    <xf numFmtId="0" fontId="36" fillId="14" borderId="16" xfId="0" applyFont="1" applyFill="1" applyBorder="1" applyAlignment="1">
      <alignment horizontal="center"/>
    </xf>
  </cellXfs>
  <cellStyles count="16">
    <cellStyle name="Excel Built-in Comma" xfId="2" xr:uid="{3EBCBF52-6BFF-4235-8D03-9173090989CF}"/>
    <cellStyle name="Excel Built-in Comma 10" xfId="13" xr:uid="{72B9C9C0-0F83-4772-9686-A0301CEAC3F0}"/>
    <cellStyle name="Excel Built-in Percent" xfId="3" xr:uid="{B57CDB70-9D82-4BD2-BE7A-924B1C845CF1}"/>
    <cellStyle name="Hyperlink" xfId="8" builtinId="8"/>
    <cellStyle name="Komma" xfId="9" builtinId="3"/>
    <cellStyle name="Komma 2 2" xfId="4" xr:uid="{0626E2E6-6A83-4EEB-A3F7-42C53708696B}"/>
    <cellStyle name="Procent" xfId="6" builtinId="5"/>
    <cellStyle name="Procent 2" xfId="11" xr:uid="{6C348193-7421-41DC-9B6A-C38D7FAE5CE9}"/>
    <cellStyle name="Procent 2 2" xfId="14" xr:uid="{A0A64031-4F49-4868-8E32-2B56A2047FD7}"/>
    <cellStyle name="Standaard" xfId="0" builtinId="0"/>
    <cellStyle name="Standaard 2" xfId="7" xr:uid="{8FDE1DF4-88E7-43ED-BA46-97B6D709ED7C}"/>
    <cellStyle name="Standaard 3" xfId="15" xr:uid="{05EF4B73-1944-4F06-A4B2-B8958C46B3E5}"/>
    <cellStyle name="Standaard 5" xfId="10" xr:uid="{63BC2296-D7C5-40DD-BBDD-1C13DC24ACF4}"/>
    <cellStyle name="Standaard 5 2" xfId="12" xr:uid="{4D3EAFDF-DE85-42AF-8464-963B1BA1F37F}"/>
    <cellStyle name="Standaard_tabellen_sep06" xfId="5" xr:uid="{C02BF3B8-B893-412E-86A2-A7C90B837976}"/>
    <cellStyle name="Valuta" xfId="1"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nl-NL" sz="1600" b="1"/>
              <a:t>Vergelijking</a:t>
            </a:r>
            <a:r>
              <a:rPr lang="nl-NL" sz="1600" b="1" baseline="0"/>
              <a:t> Re-integratiebudget per bijstandsgerechtigde 2022</a:t>
            </a:r>
            <a:endParaRPr lang="nl-NL"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'Hulpblad kenget verg'!$A$21</c:f>
              <c:strCache>
                <c:ptCount val="1"/>
                <c:pt idx="0">
                  <c:v>Budget per bijstandsgerechtigde</c:v>
                </c:pt>
              </c:strCache>
            </c:strRef>
          </c:tx>
          <c:spPr>
            <a:solidFill>
              <a:srgbClr val="002060"/>
            </a:solidFill>
            <a:ln>
              <a:solidFill>
                <a:srgbClr val="002060"/>
              </a:solidFill>
            </a:ln>
            <a:effectLst/>
          </c:spPr>
          <c:invertIfNegative val="0"/>
          <c:dPt>
            <c:idx val="0"/>
            <c:invertIfNegative val="0"/>
            <c:bubble3D val="0"/>
            <c:spPr>
              <a:solidFill>
                <a:srgbClr val="00B050"/>
              </a:solidFill>
              <a:ln>
                <a:solidFill>
                  <a:srgbClr val="00B050"/>
                </a:solidFill>
              </a:ln>
              <a:effectLst/>
            </c:spPr>
            <c:extLst>
              <c:ext xmlns:c16="http://schemas.microsoft.com/office/drawing/2014/chart" uri="{C3380CC4-5D6E-409C-BE32-E72D297353CC}">
                <c16:uniqueId val="{00000001-AC63-4866-9AFA-85F70A11A1CB}"/>
              </c:ext>
            </c:extLst>
          </c:dPt>
          <c:dPt>
            <c:idx val="1"/>
            <c:invertIfNegative val="0"/>
            <c:bubble3D val="0"/>
            <c:spPr>
              <a:solidFill>
                <a:srgbClr val="0070C0"/>
              </a:solidFill>
              <a:ln>
                <a:solidFill>
                  <a:srgbClr val="0070C0"/>
                </a:solidFill>
              </a:ln>
              <a:effectLst/>
            </c:spPr>
            <c:extLst>
              <c:ext xmlns:c16="http://schemas.microsoft.com/office/drawing/2014/chart" uri="{C3380CC4-5D6E-409C-BE32-E72D297353CC}">
                <c16:uniqueId val="{00000012-69C8-45D7-8CD0-4CBF640D5B70}"/>
              </c:ext>
            </c:extLst>
          </c:dPt>
          <c:cat>
            <c:strRef>
              <c:extLst>
                <c:ext xmlns:c15="http://schemas.microsoft.com/office/drawing/2012/chart" uri="{02D57815-91ED-43cb-92C2-25804820EDAC}">
                  <c15:fullRef>
                    <c15:sqref>'Hulpblad kenget verg'!$A$23:$A$36</c15:sqref>
                  </c15:fullRef>
                </c:ext>
              </c:extLst>
              <c:f>('Hulpblad kenget verg'!$A$23,'Hulpblad kenget verg'!$A$25,'Hulpblad kenget verg'!$A$28:$A$36)</c:f>
              <c:strCache>
                <c:ptCount val="10"/>
                <c:pt idx="0">
                  <c:v>0</c:v>
                </c:pt>
                <c:pt idx="1">
                  <c:v>Gemiddeld vergelijkings-groep</c:v>
                </c:pt>
                <c:pt idx="2">
                  <c:v>0</c:v>
                </c:pt>
                <c:pt idx="3">
                  <c:v>0</c:v>
                </c:pt>
                <c:pt idx="4">
                  <c:v>0</c:v>
                </c:pt>
                <c:pt idx="5">
                  <c:v>0</c:v>
                </c:pt>
                <c:pt idx="6">
                  <c:v>0</c:v>
                </c:pt>
                <c:pt idx="7">
                  <c:v>0</c:v>
                </c:pt>
                <c:pt idx="8">
                  <c:v>0</c:v>
                </c:pt>
                <c:pt idx="9">
                  <c:v>0</c:v>
                </c:pt>
              </c:strCache>
            </c:strRef>
          </c:cat>
          <c:val>
            <c:numRef>
              <c:extLst>
                <c:ext xmlns:c15="http://schemas.microsoft.com/office/drawing/2012/chart" uri="{02D57815-91ED-43cb-92C2-25804820EDAC}">
                  <c15:fullRef>
                    <c15:sqref>'Hulpblad kenget verg'!$B$23:$B$35</c15:sqref>
                  </c15:fullRef>
                </c:ext>
              </c:extLst>
              <c:f>('Hulpblad kenget verg'!$B$23,'Hulpblad kenget verg'!$B$25,'Hulpblad kenget verg'!$B$28:$B$35)</c:f>
              <c:numCache>
                <c:formatCode>_("€"* #,##0.00_);_("€"* \(#,##0.00\);_("€"* "-"??_);_(@_)</c:formatCode>
                <c:ptCount val="10"/>
                <c:pt idx="0">
                  <c:v>#N/A</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AC63-4866-9AFA-85F70A11A1CB}"/>
            </c:ext>
          </c:extLst>
        </c:ser>
        <c:dLbls>
          <c:showLegendKey val="0"/>
          <c:showVal val="0"/>
          <c:showCatName val="0"/>
          <c:showSerName val="0"/>
          <c:showPercent val="0"/>
          <c:showBubbleSize val="0"/>
        </c:dLbls>
        <c:gapWidth val="75"/>
        <c:axId val="328842111"/>
        <c:axId val="278280223"/>
      </c:barChart>
      <c:catAx>
        <c:axId val="32884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278280223"/>
        <c:crosses val="autoZero"/>
        <c:auto val="1"/>
        <c:lblAlgn val="ctr"/>
        <c:lblOffset val="100"/>
        <c:noMultiLvlLbl val="0"/>
      </c:catAx>
      <c:valAx>
        <c:axId val="27828022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28842111"/>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600" b="1"/>
              <a:t>Vergelijking</a:t>
            </a:r>
            <a:r>
              <a:rPr lang="nl-NL" sz="1600" b="1" baseline="0"/>
              <a:t> b</a:t>
            </a:r>
            <a:r>
              <a:rPr lang="nl-NL" sz="1600" b="1"/>
              <a:t>ijstandsdichtheid 2022</a:t>
            </a:r>
            <a:r>
              <a:rPr lang="nl-NL" sz="1600" b="1" baseline="0"/>
              <a:t> </a:t>
            </a:r>
            <a:endParaRPr lang="nl-NL" sz="16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'Hulpblad kenget verg'!$A$38</c:f>
              <c:strCache>
                <c:ptCount val="1"/>
                <c:pt idx="0">
                  <c:v>Bijstandsdichtheid</c:v>
                </c:pt>
              </c:strCache>
            </c:strRef>
          </c:tx>
          <c:spPr>
            <a:solidFill>
              <a:srgbClr val="00B050"/>
            </a:solidFill>
            <a:ln>
              <a:solidFill>
                <a:srgbClr val="00B050"/>
              </a:solidFill>
            </a:ln>
            <a:effectLst/>
          </c:spPr>
          <c:invertIfNegative val="0"/>
          <c:dPt>
            <c:idx val="1"/>
            <c:invertIfNegative val="0"/>
            <c:bubble3D val="0"/>
            <c:spPr>
              <a:solidFill>
                <a:srgbClr val="0070C0"/>
              </a:solidFill>
              <a:ln>
                <a:solidFill>
                  <a:srgbClr val="0070C0"/>
                </a:solidFill>
              </a:ln>
              <a:effectLst/>
            </c:spPr>
            <c:extLst>
              <c:ext xmlns:c16="http://schemas.microsoft.com/office/drawing/2014/chart" uri="{C3380CC4-5D6E-409C-BE32-E72D297353CC}">
                <c16:uniqueId val="{00000012-1C29-4281-8F48-0544CECAEB07}"/>
              </c:ext>
            </c:extLst>
          </c:dPt>
          <c:dPt>
            <c:idx val="2"/>
            <c:invertIfNegative val="0"/>
            <c:bubble3D val="0"/>
            <c:spPr>
              <a:solidFill>
                <a:srgbClr val="002060"/>
              </a:solidFill>
              <a:ln>
                <a:solidFill>
                  <a:srgbClr val="002060"/>
                </a:solidFill>
              </a:ln>
              <a:effectLst/>
            </c:spPr>
            <c:extLst>
              <c:ext xmlns:c16="http://schemas.microsoft.com/office/drawing/2014/chart" uri="{C3380CC4-5D6E-409C-BE32-E72D297353CC}">
                <c16:uniqueId val="{00000003-0D61-4947-AF34-73DE74C2B0AE}"/>
              </c:ext>
            </c:extLst>
          </c:dPt>
          <c:dPt>
            <c:idx val="3"/>
            <c:invertIfNegative val="0"/>
            <c:bubble3D val="0"/>
            <c:spPr>
              <a:solidFill>
                <a:srgbClr val="002060"/>
              </a:solidFill>
              <a:ln>
                <a:solidFill>
                  <a:srgbClr val="002060"/>
                </a:solidFill>
              </a:ln>
              <a:effectLst/>
            </c:spPr>
            <c:extLst>
              <c:ext xmlns:c16="http://schemas.microsoft.com/office/drawing/2014/chart" uri="{C3380CC4-5D6E-409C-BE32-E72D297353CC}">
                <c16:uniqueId val="{00000005-0D61-4947-AF34-73DE74C2B0AE}"/>
              </c:ext>
            </c:extLst>
          </c:dPt>
          <c:dPt>
            <c:idx val="4"/>
            <c:invertIfNegative val="0"/>
            <c:bubble3D val="0"/>
            <c:spPr>
              <a:solidFill>
                <a:srgbClr val="002060"/>
              </a:solidFill>
              <a:ln>
                <a:solidFill>
                  <a:srgbClr val="002060"/>
                </a:solidFill>
              </a:ln>
              <a:effectLst/>
            </c:spPr>
            <c:extLst>
              <c:ext xmlns:c16="http://schemas.microsoft.com/office/drawing/2014/chart" uri="{C3380CC4-5D6E-409C-BE32-E72D297353CC}">
                <c16:uniqueId val="{00000007-0D61-4947-AF34-73DE74C2B0AE}"/>
              </c:ext>
            </c:extLst>
          </c:dPt>
          <c:dPt>
            <c:idx val="5"/>
            <c:invertIfNegative val="0"/>
            <c:bubble3D val="0"/>
            <c:spPr>
              <a:solidFill>
                <a:srgbClr val="002060"/>
              </a:solidFill>
              <a:ln>
                <a:solidFill>
                  <a:srgbClr val="002060"/>
                </a:solidFill>
              </a:ln>
              <a:effectLst/>
            </c:spPr>
            <c:extLst>
              <c:ext xmlns:c16="http://schemas.microsoft.com/office/drawing/2014/chart" uri="{C3380CC4-5D6E-409C-BE32-E72D297353CC}">
                <c16:uniqueId val="{00000009-0D61-4947-AF34-73DE74C2B0AE}"/>
              </c:ext>
            </c:extLst>
          </c:dPt>
          <c:dPt>
            <c:idx val="6"/>
            <c:invertIfNegative val="0"/>
            <c:bubble3D val="0"/>
            <c:spPr>
              <a:solidFill>
                <a:srgbClr val="002060"/>
              </a:solidFill>
              <a:ln>
                <a:solidFill>
                  <a:srgbClr val="002060"/>
                </a:solidFill>
              </a:ln>
              <a:effectLst/>
            </c:spPr>
            <c:extLst>
              <c:ext xmlns:c16="http://schemas.microsoft.com/office/drawing/2014/chart" uri="{C3380CC4-5D6E-409C-BE32-E72D297353CC}">
                <c16:uniqueId val="{0000000B-0D61-4947-AF34-73DE74C2B0AE}"/>
              </c:ext>
            </c:extLst>
          </c:dPt>
          <c:dPt>
            <c:idx val="7"/>
            <c:invertIfNegative val="0"/>
            <c:bubble3D val="0"/>
            <c:spPr>
              <a:solidFill>
                <a:srgbClr val="002060"/>
              </a:solidFill>
              <a:ln>
                <a:solidFill>
                  <a:srgbClr val="002060"/>
                </a:solidFill>
              </a:ln>
              <a:effectLst/>
            </c:spPr>
            <c:extLst>
              <c:ext xmlns:c16="http://schemas.microsoft.com/office/drawing/2014/chart" uri="{C3380CC4-5D6E-409C-BE32-E72D297353CC}">
                <c16:uniqueId val="{0000000D-0D61-4947-AF34-73DE74C2B0AE}"/>
              </c:ext>
            </c:extLst>
          </c:dPt>
          <c:dPt>
            <c:idx val="8"/>
            <c:invertIfNegative val="0"/>
            <c:bubble3D val="0"/>
            <c:spPr>
              <a:solidFill>
                <a:srgbClr val="002060"/>
              </a:solidFill>
              <a:ln>
                <a:solidFill>
                  <a:srgbClr val="002060"/>
                </a:solidFill>
              </a:ln>
              <a:effectLst/>
            </c:spPr>
            <c:extLst>
              <c:ext xmlns:c16="http://schemas.microsoft.com/office/drawing/2014/chart" uri="{C3380CC4-5D6E-409C-BE32-E72D297353CC}">
                <c16:uniqueId val="{0000000F-0D61-4947-AF34-73DE74C2B0AE}"/>
              </c:ext>
            </c:extLst>
          </c:dPt>
          <c:dPt>
            <c:idx val="9"/>
            <c:invertIfNegative val="0"/>
            <c:bubble3D val="0"/>
            <c:spPr>
              <a:solidFill>
                <a:srgbClr val="002060"/>
              </a:solidFill>
              <a:ln>
                <a:solidFill>
                  <a:srgbClr val="002060"/>
                </a:solidFill>
              </a:ln>
              <a:effectLst/>
            </c:spPr>
            <c:extLst>
              <c:ext xmlns:c16="http://schemas.microsoft.com/office/drawing/2014/chart" uri="{C3380CC4-5D6E-409C-BE32-E72D297353CC}">
                <c16:uniqueId val="{00000011-0D61-4947-AF34-73DE74C2B0AE}"/>
              </c:ext>
            </c:extLst>
          </c:dPt>
          <c:cat>
            <c:strRef>
              <c:extLst>
                <c:ext xmlns:c15="http://schemas.microsoft.com/office/drawing/2012/chart" uri="{02D57815-91ED-43cb-92C2-25804820EDAC}">
                  <c15:fullRef>
                    <c15:sqref>'Hulpblad kenget verg'!$A$40:$A$52</c15:sqref>
                  </c15:fullRef>
                </c:ext>
              </c:extLst>
              <c:f>('Hulpblad kenget verg'!$A$40,'Hulpblad kenget verg'!$A$42,'Hulpblad kenget verg'!$A$45:$A$52)</c:f>
              <c:strCache>
                <c:ptCount val="10"/>
                <c:pt idx="0">
                  <c:v>0</c:v>
                </c:pt>
                <c:pt idx="1">
                  <c:v>Gemiddeld vergelijkingsgroep</c:v>
                </c:pt>
                <c:pt idx="2">
                  <c:v>0</c:v>
                </c:pt>
                <c:pt idx="3">
                  <c:v>0</c:v>
                </c:pt>
                <c:pt idx="4">
                  <c:v>0</c:v>
                </c:pt>
                <c:pt idx="5">
                  <c:v>0</c:v>
                </c:pt>
                <c:pt idx="6">
                  <c:v>0</c:v>
                </c:pt>
                <c:pt idx="7">
                  <c:v>0</c:v>
                </c:pt>
                <c:pt idx="8">
                  <c:v>0</c:v>
                </c:pt>
                <c:pt idx="9">
                  <c:v>0</c:v>
                </c:pt>
              </c:strCache>
            </c:strRef>
          </c:cat>
          <c:val>
            <c:numRef>
              <c:extLst>
                <c:ext xmlns:c15="http://schemas.microsoft.com/office/drawing/2012/chart" uri="{02D57815-91ED-43cb-92C2-25804820EDAC}">
                  <c15:fullRef>
                    <c15:sqref>'Hulpblad kenget verg'!$B$40:$B$52</c15:sqref>
                  </c15:fullRef>
                </c:ext>
              </c:extLst>
              <c:f>('Hulpblad kenget verg'!$B$40,'Hulpblad kenget verg'!$B$42,'Hulpblad kenget verg'!$B$45:$B$52)</c:f>
              <c:numCache>
                <c:formatCode>0.00%</c:formatCode>
                <c:ptCount val="10"/>
                <c:pt idx="0">
                  <c:v>#N/A</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0D61-4947-AF34-73DE74C2B0AE}"/>
            </c:ext>
          </c:extLst>
        </c:ser>
        <c:dLbls>
          <c:showLegendKey val="0"/>
          <c:showVal val="0"/>
          <c:showCatName val="0"/>
          <c:showSerName val="0"/>
          <c:showPercent val="0"/>
          <c:showBubbleSize val="0"/>
        </c:dLbls>
        <c:gapWidth val="75"/>
        <c:axId val="1952233199"/>
        <c:axId val="353855375"/>
      </c:barChart>
      <c:catAx>
        <c:axId val="1952233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353855375"/>
        <c:crosses val="autoZero"/>
        <c:auto val="1"/>
        <c:lblAlgn val="ctr"/>
        <c:lblOffset val="100"/>
        <c:noMultiLvlLbl val="0"/>
      </c:catAx>
      <c:valAx>
        <c:axId val="35385537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195223319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nl-NL" sz="1600" b="1"/>
              <a:t>Details budgetten gemeente klassieke doelgroep</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8.742534560828949E-2"/>
          <c:y val="9.3304492502759281E-2"/>
          <c:w val="0.70109407889105968"/>
          <c:h val="0.85291231172924131"/>
        </c:manualLayout>
      </c:layout>
      <c:barChart>
        <c:barDir val="col"/>
        <c:grouping val="stacked"/>
        <c:varyColors val="0"/>
        <c:ser>
          <c:idx val="1"/>
          <c:order val="1"/>
          <c:tx>
            <c:strRef>
              <c:f>'Hulpblad grafieken'!$A$3</c:f>
              <c:strCache>
                <c:ptCount val="1"/>
                <c:pt idx="0">
                  <c:v>Integratieuitkering sociaal domein</c:v>
                </c:pt>
              </c:strCache>
            </c:strRef>
          </c:tx>
          <c:spPr>
            <a:solidFill>
              <a:schemeClr val="accent5"/>
            </a:solidFill>
            <a:ln>
              <a:solidFill>
                <a:schemeClr val="accent5"/>
              </a:solidFill>
            </a:ln>
            <a:effectLst/>
          </c:spPr>
          <c:invertIfNegative val="0"/>
          <c:cat>
            <c:numRef>
              <c:f>'Hulpblad grafieken'!$B$2:$L$2</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grafieken'!$B$3:$L$3</c:f>
              <c:numCache>
                <c:formatCode>_ "€"\ * #,##0_ ;_ "€"\ * \-#,##0_ ;_ "€"\ * "-"??_ ;_ @_ </c:formatCode>
                <c:ptCount val="11"/>
                <c:pt idx="0">
                  <c:v>#N/A</c:v>
                </c:pt>
                <c:pt idx="1">
                  <c:v>#N/A</c:v>
                </c:pt>
              </c:numCache>
            </c:numRef>
          </c:val>
          <c:extLst>
            <c:ext xmlns:c16="http://schemas.microsoft.com/office/drawing/2014/chart" uri="{C3380CC4-5D6E-409C-BE32-E72D297353CC}">
              <c16:uniqueId val="{00000000-23F0-4BAC-ABC8-8C22330456D3}"/>
            </c:ext>
          </c:extLst>
        </c:ser>
        <c:ser>
          <c:idx val="2"/>
          <c:order val="2"/>
          <c:tx>
            <c:strRef>
              <c:f>'Hulpblad grafieken'!$A$4</c:f>
              <c:strCache>
                <c:ptCount val="1"/>
                <c:pt idx="0">
                  <c:v>Algemene uitkering</c:v>
                </c:pt>
              </c:strCache>
            </c:strRef>
          </c:tx>
          <c:spPr>
            <a:solidFill>
              <a:srgbClr val="002060"/>
            </a:solidFill>
            <a:ln>
              <a:solidFill>
                <a:srgbClr val="002060"/>
              </a:solidFill>
            </a:ln>
            <a:effectLst/>
          </c:spPr>
          <c:invertIfNegative val="0"/>
          <c:cat>
            <c:numRef>
              <c:f>'Hulpblad grafieken'!$B$2:$L$2</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grafieken'!$B$4:$L$4</c:f>
              <c:numCache>
                <c:formatCode>_ "€"\ * #,##0_ ;_ "€"\ * \-#,##0_ ;_ "€"\ * "-"??_ ;_ @_ </c:formatCode>
                <c:ptCount val="11"/>
                <c:pt idx="2">
                  <c:v>#N/A</c:v>
                </c:pt>
                <c:pt idx="3">
                  <c:v>#N/A</c:v>
                </c:pt>
                <c:pt idx="4">
                  <c:v>#N/A</c:v>
                </c:pt>
                <c:pt idx="5">
                  <c:v>#N/A</c:v>
                </c:pt>
                <c:pt idx="6">
                  <c:v>0</c:v>
                </c:pt>
                <c:pt idx="7">
                  <c:v>0</c:v>
                </c:pt>
                <c:pt idx="8">
                  <c:v>0</c:v>
                </c:pt>
                <c:pt idx="9">
                  <c:v>0</c:v>
                </c:pt>
                <c:pt idx="10">
                  <c:v>0</c:v>
                </c:pt>
              </c:numCache>
            </c:numRef>
          </c:val>
          <c:extLst>
            <c:ext xmlns:c16="http://schemas.microsoft.com/office/drawing/2014/chart" uri="{C3380CC4-5D6E-409C-BE32-E72D297353CC}">
              <c16:uniqueId val="{00000001-23F0-4BAC-ABC8-8C22330456D3}"/>
            </c:ext>
          </c:extLst>
        </c:ser>
        <c:ser>
          <c:idx val="3"/>
          <c:order val="3"/>
          <c:tx>
            <c:strRef>
              <c:f>'Hulpblad grafieken'!$A$5</c:f>
              <c:strCache>
                <c:ptCount val="1"/>
                <c:pt idx="0">
                  <c:v>Suppletie algemene uitkering</c:v>
                </c:pt>
              </c:strCache>
            </c:strRef>
          </c:tx>
          <c:spPr>
            <a:solidFill>
              <a:srgbClr val="7030A0"/>
            </a:solidFill>
            <a:ln>
              <a:solidFill>
                <a:srgbClr val="7030A0"/>
              </a:solidFill>
            </a:ln>
            <a:effectLst/>
          </c:spPr>
          <c:invertIfNegative val="0"/>
          <c:cat>
            <c:numRef>
              <c:f>'Hulpblad grafieken'!$B$2:$L$2</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grafieken'!$B$5:$L$5</c:f>
              <c:numCache>
                <c:formatCode>_ "€"\ * #,##0_ ;_ "€"\ * \-#,##0_ ;_ "€"\ * "-"??_ ;_ @_ </c:formatCode>
                <c:ptCount val="11"/>
                <c:pt idx="2">
                  <c:v>#N/A</c:v>
                </c:pt>
              </c:numCache>
            </c:numRef>
          </c:val>
          <c:extLst>
            <c:ext xmlns:c16="http://schemas.microsoft.com/office/drawing/2014/chart" uri="{C3380CC4-5D6E-409C-BE32-E72D297353CC}">
              <c16:uniqueId val="{00000002-23F0-4BAC-ABC8-8C22330456D3}"/>
            </c:ext>
          </c:extLst>
        </c:ser>
        <c:dLbls>
          <c:showLegendKey val="0"/>
          <c:showVal val="0"/>
          <c:showCatName val="0"/>
          <c:showSerName val="0"/>
          <c:showPercent val="0"/>
          <c:showBubbleSize val="0"/>
        </c:dLbls>
        <c:gapWidth val="55"/>
        <c:overlap val="100"/>
        <c:axId val="1136814655"/>
        <c:axId val="1105393119"/>
        <c:extLst>
          <c:ext xmlns:c15="http://schemas.microsoft.com/office/drawing/2012/chart" uri="{02D57815-91ED-43cb-92C2-25804820EDAC}">
            <c15:filteredBarSeries>
              <c15:ser>
                <c:idx val="0"/>
                <c:order val="0"/>
                <c:tx>
                  <c:strRef>
                    <c:extLst>
                      <c:ext uri="{02D57815-91ED-43cb-92C2-25804820EDAC}">
                        <c15:formulaRef>
                          <c15:sqref>'Hulpblad grafieken'!$A$2</c15:sqref>
                        </c15:formulaRef>
                      </c:ext>
                    </c:extLst>
                    <c:strCache>
                      <c:ptCount val="1"/>
                      <c:pt idx="0">
                        <c:v>Budget klassiek WWB gemeente</c:v>
                      </c:pt>
                    </c:strCache>
                  </c:strRef>
                </c:tx>
                <c:spPr>
                  <a:solidFill>
                    <a:schemeClr val="accent1"/>
                  </a:solidFill>
                  <a:ln>
                    <a:noFill/>
                  </a:ln>
                  <a:effectLst/>
                </c:spPr>
                <c:invertIfNegative val="0"/>
                <c:cat>
                  <c:numRef>
                    <c:extLst>
                      <c:ext uri="{02D57815-91ED-43cb-92C2-25804820EDAC}">
                        <c15:formulaRef>
                          <c15:sqref>'Hulpblad grafieken'!$B$2:$L$2</c15:sqref>
                        </c15:formulaRef>
                      </c:ext>
                    </c:extLst>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extLst>
                      <c:ext uri="{02D57815-91ED-43cb-92C2-25804820EDAC}">
                        <c15:formulaRef>
                          <c15:sqref>'Hulpblad grafieken'!$B$2:$L$2</c15:sqref>
                        </c15:formulaRef>
                      </c:ext>
                    </c:extLst>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val>
                <c:extLst>
                  <c:ext xmlns:c16="http://schemas.microsoft.com/office/drawing/2014/chart" uri="{C3380CC4-5D6E-409C-BE32-E72D297353CC}">
                    <c16:uniqueId val="{00000004-23F0-4BAC-ABC8-8C22330456D3}"/>
                  </c:ext>
                </c:extLst>
              </c15:ser>
            </c15:filteredBarSeries>
          </c:ext>
        </c:extLst>
      </c:barChart>
      <c:lineChart>
        <c:grouping val="standard"/>
        <c:varyColors val="0"/>
        <c:ser>
          <c:idx val="4"/>
          <c:order val="4"/>
          <c:tx>
            <c:strRef>
              <c:f>'Hulpblad grafieken'!$A$6</c:f>
              <c:strCache>
                <c:ptCount val="1"/>
                <c:pt idx="0">
                  <c:v>Totaal</c:v>
                </c:pt>
              </c:strCache>
            </c:strRef>
          </c:tx>
          <c:spPr>
            <a:ln w="28575" cap="rnd">
              <a:solidFill>
                <a:srgbClr val="C00000"/>
              </a:solidFill>
              <a:round/>
            </a:ln>
            <a:effectLst/>
          </c:spPr>
          <c:marker>
            <c:symbol val="none"/>
          </c:marker>
          <c:val>
            <c:numRef>
              <c:f>'Hulpblad grafieken'!$B$6:$L$6</c:f>
              <c:numCache>
                <c:formatCode>_ "€"\ * #,##0_ ;_ "€"\ * \-#,##0_ ;_ "€"\ * "-"??_ ;_ @_ </c:formatCode>
                <c:ptCount val="11"/>
                <c:pt idx="0">
                  <c:v>#N/A</c:v>
                </c:pt>
                <c:pt idx="1">
                  <c:v>#N/A</c:v>
                </c:pt>
                <c:pt idx="2">
                  <c:v>#N/A</c:v>
                </c:pt>
                <c:pt idx="3">
                  <c:v>#N/A</c:v>
                </c:pt>
                <c:pt idx="4">
                  <c:v>#N/A</c:v>
                </c:pt>
                <c:pt idx="5">
                  <c:v>#N/A</c:v>
                </c:pt>
                <c:pt idx="6">
                  <c:v>0</c:v>
                </c:pt>
                <c:pt idx="7">
                  <c:v>0</c:v>
                </c:pt>
                <c:pt idx="8">
                  <c:v>0</c:v>
                </c:pt>
                <c:pt idx="9">
                  <c:v>0</c:v>
                </c:pt>
                <c:pt idx="10">
                  <c:v>0</c:v>
                </c:pt>
              </c:numCache>
            </c:numRef>
          </c:val>
          <c:smooth val="0"/>
          <c:extLst>
            <c:ext xmlns:c16="http://schemas.microsoft.com/office/drawing/2014/chart" uri="{C3380CC4-5D6E-409C-BE32-E72D297353CC}">
              <c16:uniqueId val="{00000003-23F0-4BAC-ABC8-8C22330456D3}"/>
            </c:ext>
          </c:extLst>
        </c:ser>
        <c:dLbls>
          <c:showLegendKey val="0"/>
          <c:showVal val="0"/>
          <c:showCatName val="0"/>
          <c:showSerName val="0"/>
          <c:showPercent val="0"/>
          <c:showBubbleSize val="0"/>
        </c:dLbls>
        <c:marker val="1"/>
        <c:smooth val="0"/>
        <c:axId val="1136814655"/>
        <c:axId val="1105393119"/>
      </c:lineChart>
      <c:catAx>
        <c:axId val="11368146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105393119"/>
        <c:crosses val="autoZero"/>
        <c:auto val="1"/>
        <c:lblAlgn val="ctr"/>
        <c:lblOffset val="100"/>
        <c:noMultiLvlLbl val="0"/>
      </c:catAx>
      <c:valAx>
        <c:axId val="1105393119"/>
        <c:scaling>
          <c:orientation val="minMax"/>
        </c:scaling>
        <c:delete val="0"/>
        <c:axPos val="l"/>
        <c:majorGridlines>
          <c:spPr>
            <a:ln w="9525" cap="flat" cmpd="sng" algn="ctr">
              <a:solidFill>
                <a:schemeClr val="tx1">
                  <a:lumMod val="15000"/>
                  <a:lumOff val="85000"/>
                </a:schemeClr>
              </a:solidFill>
              <a:round/>
            </a:ln>
            <a:effectLst/>
          </c:spPr>
        </c:majorGridlines>
        <c:numFmt formatCode="_ &quot;€&quot;\ * #,##0_ ;_ &quot;€&quot;\ * \-#,##0_ ;_ &quot;€&quot;\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136814655"/>
        <c:crosses val="autoZero"/>
        <c:crossBetween val="between"/>
      </c:valAx>
      <c:spPr>
        <a:noFill/>
        <a:ln>
          <a:noFill/>
        </a:ln>
        <a:effectLst/>
      </c:spPr>
    </c:plotArea>
    <c:legend>
      <c:legendPos val="r"/>
      <c:layout>
        <c:manualLayout>
          <c:xMode val="edge"/>
          <c:yMode val="edge"/>
          <c:x val="0.83144207579344576"/>
          <c:y val="0.19928943339779864"/>
          <c:w val="0.16149957818649283"/>
          <c:h val="0.61785850808761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nl-NL" sz="1600" b="1"/>
              <a:t>Budgetten</a:t>
            </a:r>
            <a:r>
              <a:rPr lang="nl-NL" sz="1600" b="1" baseline="0"/>
              <a:t> nieuwe doelgroepen</a:t>
            </a:r>
            <a:endParaRPr lang="nl-NL"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8.735643631070103E-2"/>
          <c:y val="9.3365595618944308E-2"/>
          <c:w val="0.69897875505448581"/>
          <c:h val="0.85281598714866946"/>
        </c:manualLayout>
      </c:layout>
      <c:barChart>
        <c:barDir val="col"/>
        <c:grouping val="stacked"/>
        <c:varyColors val="0"/>
        <c:ser>
          <c:idx val="1"/>
          <c:order val="1"/>
          <c:tx>
            <c:strRef>
              <c:f>'Hulpblad grafieken'!$A$9</c:f>
              <c:strCache>
                <c:ptCount val="1"/>
                <c:pt idx="0">
                  <c:v>(ex) Wajong</c:v>
                </c:pt>
              </c:strCache>
            </c:strRef>
          </c:tx>
          <c:spPr>
            <a:solidFill>
              <a:schemeClr val="accent2"/>
            </a:solidFill>
            <a:ln>
              <a:noFill/>
            </a:ln>
            <a:effectLst/>
          </c:spPr>
          <c:invertIfNegative val="0"/>
          <c:cat>
            <c:numRef>
              <c:f>'Hulpblad grafieken'!$B$8:$L$8</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grafieken'!$B$9:$L$9</c:f>
              <c:numCache>
                <c:formatCode>_ "€"\ * #,##0_ ;_ "€"\ * \-#,##0_ ;_ "€"\ * "-"??_ ;_ @_ </c:formatCode>
                <c:ptCount val="11"/>
                <c:pt idx="0">
                  <c:v>#N/A</c:v>
                </c:pt>
                <c:pt idx="1">
                  <c:v>#N/A</c:v>
                </c:pt>
                <c:pt idx="2">
                  <c:v>#N/A</c:v>
                </c:pt>
                <c:pt idx="3">
                  <c:v>#N/A</c:v>
                </c:pt>
                <c:pt idx="4">
                  <c:v>#N/A</c:v>
                </c:pt>
                <c:pt idx="5">
                  <c:v>#N/A</c:v>
                </c:pt>
                <c:pt idx="6">
                  <c:v>0</c:v>
                </c:pt>
                <c:pt idx="7">
                  <c:v>0</c:v>
                </c:pt>
                <c:pt idx="8">
                  <c:v>0</c:v>
                </c:pt>
                <c:pt idx="9">
                  <c:v>0</c:v>
                </c:pt>
                <c:pt idx="10">
                  <c:v>0</c:v>
                </c:pt>
              </c:numCache>
            </c:numRef>
          </c:val>
          <c:extLst>
            <c:ext xmlns:c16="http://schemas.microsoft.com/office/drawing/2014/chart" uri="{C3380CC4-5D6E-409C-BE32-E72D297353CC}">
              <c16:uniqueId val="{00000000-B683-4E8F-BEC9-A6674EDAF6E0}"/>
            </c:ext>
          </c:extLst>
        </c:ser>
        <c:ser>
          <c:idx val="2"/>
          <c:order val="2"/>
          <c:tx>
            <c:strRef>
              <c:f>'Hulpblad grafieken'!$A$10</c:f>
              <c:strCache>
                <c:ptCount val="1"/>
                <c:pt idx="0">
                  <c:v>Beschut begeleiding</c:v>
                </c:pt>
              </c:strCache>
            </c:strRef>
          </c:tx>
          <c:spPr>
            <a:solidFill>
              <a:schemeClr val="accent3"/>
            </a:solidFill>
            <a:ln>
              <a:noFill/>
            </a:ln>
            <a:effectLst/>
          </c:spPr>
          <c:invertIfNegative val="0"/>
          <c:cat>
            <c:numRef>
              <c:f>'Hulpblad grafieken'!$B$8:$L$8</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grafieken'!$B$10:$L$10</c:f>
              <c:numCache>
                <c:formatCode>_ "€"\ * #,##0_ ;_ "€"\ * \-#,##0_ ;_ "€"\ * "-"??_ ;_ @_ </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1-B683-4E8F-BEC9-A6674EDAF6E0}"/>
            </c:ext>
          </c:extLst>
        </c:ser>
        <c:ser>
          <c:idx val="9"/>
          <c:order val="3"/>
          <c:tx>
            <c:strRef>
              <c:f>'Hulpblad grafieken'!$A$11</c:f>
              <c:strCache>
                <c:ptCount val="1"/>
                <c:pt idx="0">
                  <c:v>Bonus nieuw beschut</c:v>
                </c:pt>
              </c:strCache>
            </c:strRef>
          </c:tx>
          <c:spPr>
            <a:solidFill>
              <a:schemeClr val="bg1">
                <a:lumMod val="50000"/>
              </a:schemeClr>
            </a:solidFill>
            <a:ln>
              <a:solidFill>
                <a:schemeClr val="bg1">
                  <a:lumMod val="50000"/>
                </a:schemeClr>
              </a:solidFill>
            </a:ln>
            <a:effectLst/>
          </c:spPr>
          <c:invertIfNegative val="0"/>
          <c:cat>
            <c:numRef>
              <c:f>'Hulpblad grafieken'!$B$8:$L$8</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grafieken'!$B$11:$L$11</c:f>
              <c:numCache>
                <c:formatCode>_ "€"\ * #,##0_ ;_ "€"\ * \-#,##0_ ;_ "€"\ * "-"??_ ;_ @_ </c:formatCode>
                <c:ptCount val="11"/>
                <c:pt idx="0">
                  <c:v>#N/A</c:v>
                </c:pt>
                <c:pt idx="1">
                  <c:v>#N/A</c:v>
                </c:pt>
                <c:pt idx="2">
                  <c:v>#N/A</c:v>
                </c:pt>
                <c:pt idx="3">
                  <c:v>#N/A</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83-4E8F-BEC9-A6674EDAF6E0}"/>
            </c:ext>
          </c:extLst>
        </c:ser>
        <c:dLbls>
          <c:showLegendKey val="0"/>
          <c:showVal val="0"/>
          <c:showCatName val="0"/>
          <c:showSerName val="0"/>
          <c:showPercent val="0"/>
          <c:showBubbleSize val="0"/>
        </c:dLbls>
        <c:gapWidth val="55"/>
        <c:overlap val="100"/>
        <c:axId val="685692191"/>
        <c:axId val="1160936095"/>
        <c:extLst>
          <c:ext xmlns:c15="http://schemas.microsoft.com/office/drawing/2012/chart" uri="{02D57815-91ED-43cb-92C2-25804820EDAC}">
            <c15:filteredBarSeries>
              <c15:ser>
                <c:idx val="0"/>
                <c:order val="0"/>
                <c:tx>
                  <c:strRef>
                    <c:extLst>
                      <c:ext uri="{02D57815-91ED-43cb-92C2-25804820EDAC}">
                        <c15:formulaRef>
                          <c15:sqref>'Hulpblad grafieken'!$A$8</c15:sqref>
                        </c15:formulaRef>
                      </c:ext>
                    </c:extLst>
                    <c:strCache>
                      <c:ptCount val="1"/>
                      <c:pt idx="0">
                        <c:v>Budget nieuwe doelgroepen gemeente</c:v>
                      </c:pt>
                    </c:strCache>
                  </c:strRef>
                </c:tx>
                <c:spPr>
                  <a:solidFill>
                    <a:schemeClr val="accent1"/>
                  </a:solidFill>
                  <a:ln>
                    <a:noFill/>
                  </a:ln>
                  <a:effectLst/>
                </c:spPr>
                <c:invertIfNegative val="0"/>
                <c:cat>
                  <c:numRef>
                    <c:extLst>
                      <c:ext uri="{02D57815-91ED-43cb-92C2-25804820EDAC}">
                        <c15:formulaRef>
                          <c15:sqref>'Hulpblad grafieken'!$B$8:$L$8</c15:sqref>
                        </c15:formulaRef>
                      </c:ext>
                    </c:extLst>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extLst>
                      <c:ext uri="{02D57815-91ED-43cb-92C2-25804820EDAC}">
                        <c15:formulaRef>
                          <c15:sqref>'Hulpblad grafieken'!$B$8:$L$8</c15:sqref>
                        </c15:formulaRef>
                      </c:ext>
                    </c:extLst>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val>
                <c:extLst>
                  <c:ext xmlns:c16="http://schemas.microsoft.com/office/drawing/2014/chart" uri="{C3380CC4-5D6E-409C-BE32-E72D297353CC}">
                    <c16:uniqueId val="{00000003-B683-4E8F-BEC9-A6674EDAF6E0}"/>
                  </c:ext>
                </c:extLst>
              </c15:ser>
            </c15:filteredBarSeries>
            <c15:filteredBarSeries>
              <c15:ser>
                <c:idx val="3"/>
                <c:order val="4"/>
                <c:tx>
                  <c:strRef>
                    <c:extLst xmlns:c15="http://schemas.microsoft.com/office/drawing/2012/chart">
                      <c:ext xmlns:c15="http://schemas.microsoft.com/office/drawing/2012/chart" uri="{02D57815-91ED-43cb-92C2-25804820EDAC}">
                        <c15:formulaRef>
                          <c15:sqref>'Hulpblad grafieken'!$A$12</c15:sqref>
                        </c15:formulaRef>
                      </c:ext>
                    </c:extLst>
                    <c:strCache>
                      <c:ptCount val="1"/>
                      <c:pt idx="0">
                        <c:v>Nieuwe doelgroepen totaal</c:v>
                      </c:pt>
                    </c:strCache>
                  </c:strRef>
                </c:tx>
                <c:spPr>
                  <a:solidFill>
                    <a:srgbClr val="00B050"/>
                  </a:solidFill>
                  <a:ln>
                    <a:solidFill>
                      <a:schemeClr val="accent6"/>
                    </a:solidFill>
                  </a:ln>
                  <a:effectLst/>
                </c:spPr>
                <c:invertIfNegative val="0"/>
                <c:cat>
                  <c:numRef>
                    <c:extLst xmlns:c15="http://schemas.microsoft.com/office/drawing/2012/chart">
                      <c:ext xmlns:c15="http://schemas.microsoft.com/office/drawing/2012/chart" uri="{02D57815-91ED-43cb-92C2-25804820EDAC}">
                        <c15:formulaRef>
                          <c15:sqref>'Hulpblad grafieken'!$B$8:$L$8</c15:sqref>
                        </c15:formulaRef>
                      </c:ext>
                    </c:extLst>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extLst xmlns:c15="http://schemas.microsoft.com/office/drawing/2012/chart">
                      <c:ext xmlns:c15="http://schemas.microsoft.com/office/drawing/2012/chart" uri="{02D57815-91ED-43cb-92C2-25804820EDAC}">
                        <c15:formulaRef>
                          <c15:sqref>'Hulpblad grafieken'!$B$12:$L$12</c15:sqref>
                        </c15:formulaRef>
                      </c:ext>
                    </c:extLst>
                    <c:numCache>
                      <c:formatCode>_ "€"\ * #,##0_ ;_ "€"\ * \-#,##0_ ;_ "€"\ * "-"??_ ;_ @_ </c:formatCode>
                      <c:ptCount val="11"/>
                      <c:pt idx="0">
                        <c:v>#N/A</c:v>
                      </c:pt>
                      <c:pt idx="1">
                        <c:v>#N/A</c:v>
                      </c:pt>
                      <c:pt idx="2">
                        <c:v>#N/A</c:v>
                      </c:pt>
                      <c:pt idx="3">
                        <c:v>#N/A</c:v>
                      </c:pt>
                      <c:pt idx="4">
                        <c:v>#N/A</c:v>
                      </c:pt>
                      <c:pt idx="5">
                        <c:v>#N/A</c:v>
                      </c:pt>
                      <c:pt idx="6">
                        <c:v>#N/A</c:v>
                      </c:pt>
                      <c:pt idx="7">
                        <c:v>#N/A</c:v>
                      </c:pt>
                      <c:pt idx="8">
                        <c:v>#N/A</c:v>
                      </c:pt>
                      <c:pt idx="9">
                        <c:v>#N/A</c:v>
                      </c:pt>
                      <c:pt idx="10">
                        <c:v>#N/A</c:v>
                      </c:pt>
                    </c:numCache>
                  </c:numRef>
                </c:val>
                <c:extLst xmlns:c15="http://schemas.microsoft.com/office/drawing/2012/chart">
                  <c:ext xmlns:c16="http://schemas.microsoft.com/office/drawing/2014/chart" uri="{C3380CC4-5D6E-409C-BE32-E72D297353CC}">
                    <c16:uniqueId val="{00000004-B683-4E8F-BEC9-A6674EDAF6E0}"/>
                  </c:ext>
                </c:extLst>
              </c15:ser>
            </c15:filteredBarSeries>
          </c:ext>
        </c:extLst>
      </c:barChart>
      <c:catAx>
        <c:axId val="68569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160936095"/>
        <c:crosses val="autoZero"/>
        <c:auto val="1"/>
        <c:lblAlgn val="ctr"/>
        <c:lblOffset val="100"/>
        <c:noMultiLvlLbl val="0"/>
      </c:catAx>
      <c:valAx>
        <c:axId val="1160936095"/>
        <c:scaling>
          <c:orientation val="minMax"/>
        </c:scaling>
        <c:delete val="0"/>
        <c:axPos val="l"/>
        <c:majorGridlines>
          <c:spPr>
            <a:ln w="9525" cap="flat" cmpd="sng" algn="ctr">
              <a:solidFill>
                <a:schemeClr val="tx1">
                  <a:lumMod val="15000"/>
                  <a:lumOff val="85000"/>
                </a:schemeClr>
              </a:solidFill>
              <a:round/>
            </a:ln>
            <a:effectLst/>
          </c:spPr>
        </c:majorGridlines>
        <c:numFmt formatCode="_ &quot;€&quot;\ * #,##0_ ;_ &quot;€&quot;\ * \-#,##0_ ;_ &quot;€&quot;\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685692191"/>
        <c:crosses val="autoZero"/>
        <c:crossBetween val="between"/>
      </c:valAx>
      <c:spPr>
        <a:noFill/>
        <a:ln>
          <a:noFill/>
        </a:ln>
        <a:effectLst/>
      </c:spPr>
    </c:plotArea>
    <c:legend>
      <c:legendPos val="r"/>
      <c:layout>
        <c:manualLayout>
          <c:xMode val="edge"/>
          <c:yMode val="edge"/>
          <c:x val="0.83566675131168611"/>
          <c:y val="0.20300707104492144"/>
          <c:w val="0.15728055917247927"/>
          <c:h val="0.62899364064463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nl-NL" sz="1600" b="1"/>
              <a:t>Totaal budget re-integratie Participatiewet gemeente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0.11587454279266975"/>
          <c:y val="9.754268712773409E-2"/>
          <c:w val="0.67788552527725143"/>
          <c:h val="0.83722668692162205"/>
        </c:manualLayout>
      </c:layout>
      <c:barChart>
        <c:barDir val="col"/>
        <c:grouping val="stacked"/>
        <c:varyColors val="0"/>
        <c:ser>
          <c:idx val="1"/>
          <c:order val="1"/>
          <c:tx>
            <c:strRef>
              <c:f>'Hulpblad grafieken'!$A$15</c:f>
              <c:strCache>
                <c:ptCount val="1"/>
                <c:pt idx="0">
                  <c:v>Klassieke WWB doelgroep</c:v>
                </c:pt>
              </c:strCache>
            </c:strRef>
          </c:tx>
          <c:spPr>
            <a:solidFill>
              <a:srgbClr val="002060"/>
            </a:solidFill>
            <a:ln>
              <a:solidFill>
                <a:srgbClr val="002060"/>
              </a:solidFill>
            </a:ln>
            <a:effectLst/>
          </c:spPr>
          <c:invertIfNegative val="0"/>
          <c:cat>
            <c:numRef>
              <c:f>'Hulpblad grafieken'!$B$14:$L$14</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grafieken'!$B$15:$L$15</c:f>
              <c:numCache>
                <c:formatCode>_ "€"\ * #,##0_ ;_ "€"\ * \-#,##0_ ;_ "€"\ * "-"??_ ;_ @_ </c:formatCode>
                <c:ptCount val="11"/>
                <c:pt idx="0">
                  <c:v>#N/A</c:v>
                </c:pt>
                <c:pt idx="1">
                  <c:v>#N/A</c:v>
                </c:pt>
                <c:pt idx="2">
                  <c:v>#N/A</c:v>
                </c:pt>
                <c:pt idx="3">
                  <c:v>#N/A</c:v>
                </c:pt>
                <c:pt idx="4">
                  <c:v>#N/A</c:v>
                </c:pt>
                <c:pt idx="5">
                  <c:v>#N/A</c:v>
                </c:pt>
                <c:pt idx="6">
                  <c:v>0</c:v>
                </c:pt>
                <c:pt idx="7">
                  <c:v>0</c:v>
                </c:pt>
                <c:pt idx="8">
                  <c:v>0</c:v>
                </c:pt>
                <c:pt idx="9">
                  <c:v>0</c:v>
                </c:pt>
                <c:pt idx="10">
                  <c:v>0</c:v>
                </c:pt>
              </c:numCache>
            </c:numRef>
          </c:val>
          <c:extLst>
            <c:ext xmlns:c16="http://schemas.microsoft.com/office/drawing/2014/chart" uri="{C3380CC4-5D6E-409C-BE32-E72D297353CC}">
              <c16:uniqueId val="{00000000-EB54-4A69-8803-D4BB3A457862}"/>
            </c:ext>
          </c:extLst>
        </c:ser>
        <c:ser>
          <c:idx val="2"/>
          <c:order val="2"/>
          <c:tx>
            <c:strRef>
              <c:f>'Hulpblad grafieken'!$A$16</c:f>
              <c:strCache>
                <c:ptCount val="1"/>
                <c:pt idx="0">
                  <c:v>Nieuwe doelgroepen</c:v>
                </c:pt>
              </c:strCache>
            </c:strRef>
          </c:tx>
          <c:spPr>
            <a:solidFill>
              <a:srgbClr val="00B050"/>
            </a:solidFill>
            <a:ln>
              <a:solidFill>
                <a:srgbClr val="00B050"/>
              </a:solidFill>
            </a:ln>
            <a:effectLst/>
          </c:spPr>
          <c:invertIfNegative val="0"/>
          <c:cat>
            <c:numRef>
              <c:f>'Hulpblad grafieken'!$B$14:$L$14</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grafieken'!$B$16:$L$16</c:f>
              <c:numCache>
                <c:formatCode>_ "€"\ * #,##0_ ;_ "€"\ * \-#,##0_ ;_ "€"\ * "-"??_ ;_ @_ </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1-EB54-4A69-8803-D4BB3A457862}"/>
            </c:ext>
          </c:extLst>
        </c:ser>
        <c:ser>
          <c:idx val="3"/>
          <c:order val="3"/>
          <c:tx>
            <c:strRef>
              <c:f>'Hulpblad grafieken'!$A$17</c:f>
              <c:strCache>
                <c:ptCount val="1"/>
                <c:pt idx="0">
                  <c:v>WSW doelgroep</c:v>
                </c:pt>
              </c:strCache>
            </c:strRef>
          </c:tx>
          <c:spPr>
            <a:solidFill>
              <a:schemeClr val="accent5">
                <a:lumMod val="75000"/>
              </a:schemeClr>
            </a:solidFill>
            <a:ln>
              <a:solidFill>
                <a:schemeClr val="accent5">
                  <a:lumMod val="75000"/>
                </a:schemeClr>
              </a:solidFill>
            </a:ln>
            <a:effectLst/>
          </c:spPr>
          <c:invertIfNegative val="0"/>
          <c:cat>
            <c:numRef>
              <c:f>'Hulpblad grafieken'!$B$14:$L$14</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grafieken'!$B$17:$L$17</c:f>
              <c:numCache>
                <c:formatCode>_ "€"\ * #,##0_ ;_ "€"\ * \-#,##0_ ;_ "€"\ * "-"??_ ;_ @_ </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3-EB54-4A69-8803-D4BB3A457862}"/>
            </c:ext>
          </c:extLst>
        </c:ser>
        <c:dLbls>
          <c:showLegendKey val="0"/>
          <c:showVal val="0"/>
          <c:showCatName val="0"/>
          <c:showSerName val="0"/>
          <c:showPercent val="0"/>
          <c:showBubbleSize val="0"/>
        </c:dLbls>
        <c:gapWidth val="55"/>
        <c:overlap val="100"/>
        <c:axId val="1137885887"/>
        <c:axId val="1020429055"/>
        <c:extLst>
          <c:ext xmlns:c15="http://schemas.microsoft.com/office/drawing/2012/chart" uri="{02D57815-91ED-43cb-92C2-25804820EDAC}">
            <c15:filteredBarSeries>
              <c15:ser>
                <c:idx val="0"/>
                <c:order val="0"/>
                <c:tx>
                  <c:strRef>
                    <c:extLst>
                      <c:ext uri="{02D57815-91ED-43cb-92C2-25804820EDAC}">
                        <c15:formulaRef>
                          <c15:sqref>'Hulpblad grafieken'!$A$14</c15:sqref>
                        </c15:formulaRef>
                      </c:ext>
                    </c:extLst>
                    <c:strCache>
                      <c:ptCount val="1"/>
                      <c:pt idx="0">
                        <c:v>Totaal budget re-integratie gemeente</c:v>
                      </c:pt>
                    </c:strCache>
                  </c:strRef>
                </c:tx>
                <c:spPr>
                  <a:solidFill>
                    <a:schemeClr val="accent1"/>
                  </a:solidFill>
                  <a:ln>
                    <a:noFill/>
                  </a:ln>
                  <a:effectLst/>
                </c:spPr>
                <c:invertIfNegative val="0"/>
                <c:cat>
                  <c:numRef>
                    <c:extLst>
                      <c:ext uri="{02D57815-91ED-43cb-92C2-25804820EDAC}">
                        <c15:formulaRef>
                          <c15:sqref>'Hulpblad grafieken'!$B$14:$L$14</c15:sqref>
                        </c15:formulaRef>
                      </c:ext>
                    </c:extLst>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extLst>
                      <c:ext uri="{02D57815-91ED-43cb-92C2-25804820EDAC}">
                        <c15:formulaRef>
                          <c15:sqref>'Hulpblad grafieken'!$B$14:$L$14</c15:sqref>
                        </c15:formulaRef>
                      </c:ext>
                    </c:extLst>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val>
                <c:extLst>
                  <c:ext xmlns:c16="http://schemas.microsoft.com/office/drawing/2014/chart" uri="{C3380CC4-5D6E-409C-BE32-E72D297353CC}">
                    <c16:uniqueId val="{00000002-EB54-4A69-8803-D4BB3A45786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'Hulpblad grafieken'!$A$18</c15:sqref>
                        </c15:formulaRef>
                      </c:ext>
                    </c:extLst>
                    <c:strCache>
                      <c:ptCount val="1"/>
                      <c:pt idx="0">
                        <c:v>Totaal</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'Hulpblad grafieken'!$B$14:$L$14</c15:sqref>
                        </c15:formulaRef>
                      </c:ext>
                    </c:extLst>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extLst xmlns:c15="http://schemas.microsoft.com/office/drawing/2012/chart">
                      <c:ext xmlns:c15="http://schemas.microsoft.com/office/drawing/2012/chart" uri="{02D57815-91ED-43cb-92C2-25804820EDAC}">
                        <c15:formulaRef>
                          <c15:sqref>'Hulpblad grafieken'!$B$18:$L$18</c15:sqref>
                        </c15:formulaRef>
                      </c:ext>
                    </c:extLst>
                    <c:numCache>
                      <c:formatCode>_ "€"\ * #,##0_ ;_ "€"\ * \-#,##0_ ;_ "€"\ * "-"??_ ;_ @_ </c:formatCode>
                      <c:ptCount val="11"/>
                      <c:pt idx="0">
                        <c:v>#N/A</c:v>
                      </c:pt>
                      <c:pt idx="1">
                        <c:v>#N/A</c:v>
                      </c:pt>
                      <c:pt idx="2">
                        <c:v>#N/A</c:v>
                      </c:pt>
                      <c:pt idx="3">
                        <c:v>#N/A</c:v>
                      </c:pt>
                      <c:pt idx="4">
                        <c:v>#N/A</c:v>
                      </c:pt>
                      <c:pt idx="5">
                        <c:v>#N/A</c:v>
                      </c:pt>
                      <c:pt idx="6">
                        <c:v>#N/A</c:v>
                      </c:pt>
                      <c:pt idx="7">
                        <c:v>#N/A</c:v>
                      </c:pt>
                      <c:pt idx="8">
                        <c:v>#N/A</c:v>
                      </c:pt>
                      <c:pt idx="9">
                        <c:v>#N/A</c:v>
                      </c:pt>
                      <c:pt idx="10">
                        <c:v>#N/A</c:v>
                      </c:pt>
                    </c:numCache>
                  </c:numRef>
                </c:val>
                <c:extLst xmlns:c15="http://schemas.microsoft.com/office/drawing/2012/chart">
                  <c:ext xmlns:c16="http://schemas.microsoft.com/office/drawing/2014/chart" uri="{C3380CC4-5D6E-409C-BE32-E72D297353CC}">
                    <c16:uniqueId val="{00000000-6661-4ED0-A9A1-ECC1A573FA94}"/>
                  </c:ext>
                </c:extLst>
              </c15:ser>
            </c15:filteredBarSeries>
          </c:ext>
        </c:extLst>
      </c:barChart>
      <c:catAx>
        <c:axId val="1137885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020429055"/>
        <c:crosses val="autoZero"/>
        <c:auto val="1"/>
        <c:lblAlgn val="ctr"/>
        <c:lblOffset val="100"/>
        <c:noMultiLvlLbl val="0"/>
      </c:catAx>
      <c:valAx>
        <c:axId val="1020429055"/>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137885887"/>
        <c:crosses val="autoZero"/>
        <c:crossBetween val="between"/>
      </c:valAx>
      <c:spPr>
        <a:noFill/>
        <a:ln>
          <a:noFill/>
        </a:ln>
        <a:effectLst/>
      </c:spPr>
    </c:plotArea>
    <c:legend>
      <c:legendPos val="r"/>
      <c:layout>
        <c:manualLayout>
          <c:xMode val="edge"/>
          <c:yMode val="edge"/>
          <c:x val="0.80814242698662053"/>
          <c:y val="0.41977786053101845"/>
          <c:w val="0.19185758864911343"/>
          <c:h val="0.1405405870410515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2060"/>
      </a:solid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Verloop budgetaandeel gemeente klassieke doelgroep</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manualLayout>
          <c:layoutTarget val="inner"/>
          <c:xMode val="edge"/>
          <c:yMode val="edge"/>
          <c:x val="8.9427959276974792E-2"/>
          <c:y val="9.4688617226040023E-2"/>
          <c:w val="0.87318443917283151"/>
          <c:h val="0.84974315883977769"/>
        </c:manualLayout>
      </c:layout>
      <c:lineChart>
        <c:grouping val="standard"/>
        <c:varyColors val="0"/>
        <c:ser>
          <c:idx val="0"/>
          <c:order val="0"/>
          <c:spPr>
            <a:ln w="28575" cap="rnd">
              <a:solidFill>
                <a:schemeClr val="accent1"/>
              </a:solidFill>
              <a:round/>
            </a:ln>
            <a:effectLst/>
          </c:spPr>
          <c:marker>
            <c:symbol val="none"/>
          </c:marker>
          <c:dLbls>
            <c:delete val="1"/>
          </c:dLbls>
          <c:cat>
            <c:numRef>
              <c:f>'2 Cijfers'!$B$21:$K$21</c:f>
              <c:numCache>
                <c:formatCode>General</c:formatCode>
                <c:ptCount val="10"/>
                <c:pt idx="0">
                  <c:v>2017</c:v>
                </c:pt>
                <c:pt idx="1">
                  <c:v>2018</c:v>
                </c:pt>
                <c:pt idx="2">
                  <c:v>2019</c:v>
                </c:pt>
                <c:pt idx="3">
                  <c:v>2020</c:v>
                </c:pt>
                <c:pt idx="4">
                  <c:v>2021</c:v>
                </c:pt>
                <c:pt idx="5">
                  <c:v>2022</c:v>
                </c:pt>
                <c:pt idx="6">
                  <c:v>2023</c:v>
                </c:pt>
                <c:pt idx="7">
                  <c:v>2024</c:v>
                </c:pt>
                <c:pt idx="8">
                  <c:v>2025</c:v>
                </c:pt>
                <c:pt idx="9">
                  <c:v>2026</c:v>
                </c:pt>
              </c:numCache>
            </c:numRef>
          </c:cat>
          <c:val>
            <c:numRef>
              <c:f>'2 Cijfers'!$B$26:$K$26</c:f>
              <c:numCache>
                <c:formatCode>0.0000%</c:formatCode>
                <c:ptCount val="10"/>
                <c:pt idx="0">
                  <c:v>#N/A</c:v>
                </c:pt>
                <c:pt idx="1">
                  <c:v>#N/A</c:v>
                </c:pt>
                <c:pt idx="2">
                  <c:v>#N/A</c:v>
                </c:pt>
                <c:pt idx="3">
                  <c:v>#N/A</c:v>
                </c:pt>
                <c:pt idx="4">
                  <c:v>#N/A</c:v>
                </c:pt>
                <c:pt idx="5">
                  <c:v>#N/A</c:v>
                </c:pt>
              </c:numCache>
            </c:numRef>
          </c:val>
          <c:smooth val="0"/>
          <c:extLst>
            <c:ext xmlns:c16="http://schemas.microsoft.com/office/drawing/2014/chart" uri="{C3380CC4-5D6E-409C-BE32-E72D297353CC}">
              <c16:uniqueId val="{00000000-27B1-428F-A87F-38E79A37A287}"/>
            </c:ext>
          </c:extLst>
        </c:ser>
        <c:dLbls>
          <c:showLegendKey val="0"/>
          <c:showVal val="1"/>
          <c:showCatName val="0"/>
          <c:showSerName val="0"/>
          <c:showPercent val="0"/>
          <c:showBubbleSize val="0"/>
        </c:dLbls>
        <c:smooth val="0"/>
        <c:axId val="810762287"/>
        <c:axId val="979524559"/>
      </c:lineChart>
      <c:catAx>
        <c:axId val="810762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979524559"/>
        <c:crosses val="autoZero"/>
        <c:auto val="1"/>
        <c:lblAlgn val="ctr"/>
        <c:lblOffset val="100"/>
        <c:noMultiLvlLbl val="0"/>
      </c:catAx>
      <c:valAx>
        <c:axId val="979524559"/>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8107622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nl-NL" sz="1600" b="1"/>
              <a:t>Taakstelling en realisatie aantallen nieuw beschut</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1"/>
          <c:order val="1"/>
          <c:tx>
            <c:strRef>
              <c:f>'2 Cijfers'!$A$30</c:f>
              <c:strCache>
                <c:ptCount val="1"/>
                <c:pt idx="0">
                  <c:v>Taakstelling</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 Cijfers'!$B$29:$J$29</c15:sqref>
                  </c15:fullRef>
                </c:ext>
              </c:extLst>
              <c:f>'2 Cijfers'!$B$29:$D$29</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'2 Cijfers'!$B$30:$J$30</c15:sqref>
                  </c15:fullRef>
                </c:ext>
              </c:extLst>
              <c:f>'2 Cijfers'!$B$30:$D$30</c:f>
              <c:numCache>
                <c:formatCode>_ * #,##0_ ;_ * \-#,##0_ ;_ * "-"??_ ;_ @_ </c:formatCode>
                <c:ptCount val="3"/>
                <c:pt idx="0">
                  <c:v>#N/A</c:v>
                </c:pt>
                <c:pt idx="1">
                  <c:v>#N/A</c:v>
                </c:pt>
                <c:pt idx="2">
                  <c:v>#N/A</c:v>
                </c:pt>
              </c:numCache>
            </c:numRef>
          </c:val>
          <c:smooth val="0"/>
          <c:extLst>
            <c:ext xmlns:c16="http://schemas.microsoft.com/office/drawing/2014/chart" uri="{C3380CC4-5D6E-409C-BE32-E72D297353CC}">
              <c16:uniqueId val="{00000000-471E-4B83-B61A-D6733075AFC5}"/>
            </c:ext>
          </c:extLst>
        </c:ser>
        <c:ser>
          <c:idx val="2"/>
          <c:order val="2"/>
          <c:tx>
            <c:strRef>
              <c:f>'2 Cijfers'!$A$31</c:f>
              <c:strCache>
                <c:ptCount val="1"/>
                <c:pt idx="0">
                  <c:v>Realisatie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'2 Cijfers'!$B$29:$J$29</c15:sqref>
                  </c15:fullRef>
                </c:ext>
              </c:extLst>
              <c:f>'2 Cijfers'!$B$29:$D$29</c:f>
              <c:numCache>
                <c:formatCode>General</c:formatCode>
                <c:ptCount val="3"/>
                <c:pt idx="0">
                  <c:v>2017</c:v>
                </c:pt>
                <c:pt idx="1">
                  <c:v>2018</c:v>
                </c:pt>
                <c:pt idx="2">
                  <c:v>2019</c:v>
                </c:pt>
              </c:numCache>
            </c:numRef>
          </c:cat>
          <c:val>
            <c:numRef>
              <c:extLst>
                <c:ext xmlns:c15="http://schemas.microsoft.com/office/drawing/2012/chart" uri="{02D57815-91ED-43cb-92C2-25804820EDAC}">
                  <c15:fullRef>
                    <c15:sqref>'2 Cijfers'!$B$31:$J$31</c15:sqref>
                  </c15:fullRef>
                </c:ext>
              </c:extLst>
              <c:f>'2 Cijfers'!$B$31:$D$31</c:f>
              <c:numCache>
                <c:formatCode>_ * #,##0_ ;_ * \-#,##0_ ;_ * "-"??_ ;_ @_ </c:formatCode>
                <c:ptCount val="3"/>
                <c:pt idx="0">
                  <c:v>#N/A</c:v>
                </c:pt>
                <c:pt idx="1">
                  <c:v>#N/A</c:v>
                </c:pt>
                <c:pt idx="2">
                  <c:v>#N/A</c:v>
                </c:pt>
              </c:numCache>
            </c:numRef>
          </c:val>
          <c:smooth val="0"/>
          <c:extLst>
            <c:ext xmlns:c16="http://schemas.microsoft.com/office/drawing/2014/chart" uri="{C3380CC4-5D6E-409C-BE32-E72D297353CC}">
              <c16:uniqueId val="{00000001-471E-4B83-B61A-D6733075AFC5}"/>
            </c:ext>
          </c:extLst>
        </c:ser>
        <c:dLbls>
          <c:showLegendKey val="0"/>
          <c:showVal val="0"/>
          <c:showCatName val="0"/>
          <c:showSerName val="0"/>
          <c:showPercent val="0"/>
          <c:showBubbleSize val="0"/>
        </c:dLbls>
        <c:smooth val="0"/>
        <c:axId val="687162335"/>
        <c:axId val="979510415"/>
        <c:extLst>
          <c:ext xmlns:c15="http://schemas.microsoft.com/office/drawing/2012/chart" uri="{02D57815-91ED-43cb-92C2-25804820EDAC}">
            <c15:filteredLineSeries>
              <c15:ser>
                <c:idx val="0"/>
                <c:order val="0"/>
                <c:tx>
                  <c:strRef>
                    <c:extLst>
                      <c:ext uri="{02D57815-91ED-43cb-92C2-25804820EDAC}">
                        <c15:formulaRef>
                          <c15:sqref>'2 Cijfers'!$A$29</c15:sqref>
                        </c15:formulaRef>
                      </c:ext>
                    </c:extLst>
                    <c:strCache>
                      <c:ptCount val="1"/>
                      <c:pt idx="0">
                        <c:v>Details taakstelling en bonus nieuw beschut</c:v>
                      </c:pt>
                    </c:strCache>
                  </c:strRef>
                </c:tx>
                <c:spPr>
                  <a:ln w="28575" cap="rnd">
                    <a:solidFill>
                      <a:schemeClr val="accent1"/>
                    </a:solidFill>
                    <a:round/>
                  </a:ln>
                  <a:effectLst/>
                </c:spPr>
                <c:marker>
                  <c:symbol val="none"/>
                </c:marker>
                <c:cat>
                  <c:numRef>
                    <c:extLst>
                      <c:ext uri="{02D57815-91ED-43cb-92C2-25804820EDAC}">
                        <c15:fullRef>
                          <c15:sqref>'2 Cijfers'!$B$29:$J$29</c15:sqref>
                        </c15:fullRef>
                        <c15:formulaRef>
                          <c15:sqref>'2 Cijfers'!$B$29:$D$29</c15:sqref>
                        </c15:formulaRef>
                      </c:ext>
                    </c:extLst>
                    <c:numCache>
                      <c:formatCode>General</c:formatCode>
                      <c:ptCount val="3"/>
                      <c:pt idx="0">
                        <c:v>2017</c:v>
                      </c:pt>
                      <c:pt idx="1">
                        <c:v>2018</c:v>
                      </c:pt>
                      <c:pt idx="2">
                        <c:v>2019</c:v>
                      </c:pt>
                    </c:numCache>
                  </c:numRef>
                </c:cat>
                <c:val>
                  <c:numRef>
                    <c:extLst>
                      <c:ext uri="{02D57815-91ED-43cb-92C2-25804820EDAC}">
                        <c15:fullRef>
                          <c15:sqref>'2 Cijfers'!$B$29:$J$29</c15:sqref>
                        </c15:fullRef>
                        <c15:formulaRef>
                          <c15:sqref>'2 Cijfers'!$B$29:$D$29</c15:sqref>
                        </c15:formulaRef>
                      </c:ext>
                    </c:extLst>
                    <c:numCache>
                      <c:formatCode>General</c:formatCode>
                      <c:ptCount val="3"/>
                      <c:pt idx="0">
                        <c:v>2017</c:v>
                      </c:pt>
                      <c:pt idx="1">
                        <c:v>2018</c:v>
                      </c:pt>
                      <c:pt idx="2">
                        <c:v>2019</c:v>
                      </c:pt>
                    </c:numCache>
                  </c:numRef>
                </c:val>
                <c:smooth val="0"/>
                <c:extLst>
                  <c:ext xmlns:c16="http://schemas.microsoft.com/office/drawing/2014/chart" uri="{C3380CC4-5D6E-409C-BE32-E72D297353CC}">
                    <c16:uniqueId val="{00000002-471E-4B83-B61A-D6733075AFC5}"/>
                  </c:ext>
                </c:extLst>
              </c15:ser>
            </c15:filteredLineSeries>
          </c:ext>
        </c:extLst>
      </c:lineChart>
      <c:catAx>
        <c:axId val="687162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979510415"/>
        <c:crosses val="autoZero"/>
        <c:auto val="1"/>
        <c:lblAlgn val="ctr"/>
        <c:lblOffset val="100"/>
        <c:noMultiLvlLbl val="0"/>
      </c:catAx>
      <c:valAx>
        <c:axId val="979510415"/>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687162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nl-NL" sz="1600" b="1" baseline="0"/>
              <a:t>Totaal aantal SW plekken in budget rijk</a:t>
            </a:r>
            <a:endParaRPr lang="nl-NL"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'Hulpblad grafieken'!$A$45</c:f>
              <c:strCache>
                <c:ptCount val="1"/>
                <c:pt idx="0">
                  <c:v>WSW oud (SE)</c:v>
                </c:pt>
              </c:strCache>
            </c:strRef>
          </c:tx>
          <c:spPr>
            <a:solidFill>
              <a:srgbClr val="00B050"/>
            </a:solidFill>
            <a:ln>
              <a:solidFill>
                <a:srgbClr val="00B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'Hulpblad grafieken'!$B$44:$L$44</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grafieken'!$B$45:$L$45</c:f>
              <c:numCache>
                <c:formatCode>_ * #,##0_ ;_ * \-#,##0_ ;_ * "-"??_ ;_ @_ </c:formatCode>
                <c:ptCount val="11"/>
                <c:pt idx="0">
                  <c:v>#N/A</c:v>
                </c:pt>
                <c:pt idx="1">
                  <c:v>#N/A</c:v>
                </c:pt>
                <c:pt idx="2">
                  <c:v>#N/A</c:v>
                </c:pt>
                <c:pt idx="3">
                  <c:v>#N/A</c:v>
                </c:pt>
                <c:pt idx="4">
                  <c:v>#N/A</c:v>
                </c:pt>
                <c:pt idx="5">
                  <c:v>#N/A</c:v>
                </c:pt>
                <c:pt idx="6">
                  <c:v>#N/A</c:v>
                </c:pt>
                <c:pt idx="7">
                  <c:v>#N/A</c:v>
                </c:pt>
                <c:pt idx="8">
                  <c:v>#N/A</c:v>
                </c:pt>
                <c:pt idx="9">
                  <c:v>#N/A</c:v>
                </c:pt>
                <c:pt idx="10">
                  <c:v>#N/A</c:v>
                </c:pt>
              </c:numCache>
            </c:numRef>
          </c:val>
          <c:extLst xmlns:c15="http://schemas.microsoft.com/office/drawing/2012/chart">
            <c:ext xmlns:c16="http://schemas.microsoft.com/office/drawing/2014/chart" uri="{C3380CC4-5D6E-409C-BE32-E72D297353CC}">
              <c16:uniqueId val="{00000000-484F-40DB-8846-054EAEE8C875}"/>
            </c:ext>
          </c:extLst>
        </c:ser>
        <c:ser>
          <c:idx val="1"/>
          <c:order val="1"/>
          <c:tx>
            <c:strRef>
              <c:f>'Hulpblad grafieken'!$A$46</c:f>
              <c:strCache>
                <c:ptCount val="1"/>
                <c:pt idx="0">
                  <c:v>Nieuw beschut</c:v>
                </c:pt>
              </c:strCache>
            </c:strRef>
          </c:tx>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'Hulpblad grafieken'!$B$44:$L$44</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grafieken'!$B$46:$L$46</c:f>
              <c:numCache>
                <c:formatCode>_ * #,##0_ ;_ * \-#,##0_ ;_ * "-"??_ ;_ @_ </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1-484F-40DB-8846-054EAEE8C875}"/>
            </c:ext>
          </c:extLst>
        </c:ser>
        <c:dLbls>
          <c:showLegendKey val="0"/>
          <c:showVal val="0"/>
          <c:showCatName val="0"/>
          <c:showSerName val="0"/>
          <c:showPercent val="0"/>
          <c:showBubbleSize val="0"/>
        </c:dLbls>
        <c:gapWidth val="150"/>
        <c:overlap val="100"/>
        <c:axId val="1510779231"/>
        <c:axId val="1361803855"/>
        <c:extLst/>
      </c:barChart>
      <c:catAx>
        <c:axId val="1510779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361803855"/>
        <c:crosses val="autoZero"/>
        <c:auto val="1"/>
        <c:lblAlgn val="ctr"/>
        <c:lblOffset val="100"/>
        <c:noMultiLvlLbl val="0"/>
      </c:catAx>
      <c:valAx>
        <c:axId val="1361803855"/>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5107792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baseline="0"/>
              <a:t>Ontwikkeling aantal SW plekken in budget rijk</a:t>
            </a:r>
            <a:r>
              <a:rPr lang="en-US" sz="1600" b="1"/>
              <a:t> </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'Hulpblad grafieken'!$A$47</c:f>
              <c:strCache>
                <c:ptCount val="1"/>
                <c:pt idx="0">
                  <c:v>afname aantal SE WSW cumulatief</c:v>
                </c:pt>
              </c:strCache>
            </c:strRef>
          </c:tx>
          <c:spPr>
            <a:solidFill>
              <a:srgbClr val="00B050"/>
            </a:solidFill>
            <a:ln>
              <a:solidFill>
                <a:srgbClr val="00B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'Hulpblad grafieken'!$B$44:$L$44</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grafieken'!$B$47:$L$47</c:f>
              <c:numCache>
                <c:formatCode>_ * #,##0_ ;_ * \-#,##0_ ;_ * "-"??_ ;_ @_ </c:formatCode>
                <c:ptCount val="11"/>
                <c:pt idx="1">
                  <c:v>#N/A</c:v>
                </c:pt>
                <c:pt idx="2">
                  <c:v>#N/A</c:v>
                </c:pt>
                <c:pt idx="3">
                  <c:v>#N/A</c:v>
                </c:pt>
                <c:pt idx="4">
                  <c:v>#N/A</c:v>
                </c:pt>
                <c:pt idx="5">
                  <c:v>#N/A</c:v>
                </c:pt>
                <c:pt idx="6">
                  <c:v>#N/A</c:v>
                </c:pt>
                <c:pt idx="7">
                  <c:v>#N/A</c:v>
                </c:pt>
                <c:pt idx="8">
                  <c:v>#N/A</c:v>
                </c:pt>
                <c:pt idx="9">
                  <c:v>#N/A</c:v>
                </c:pt>
                <c:pt idx="10">
                  <c:v>#N/A</c:v>
                </c:pt>
              </c:numCache>
            </c:numRef>
          </c:val>
          <c:extLst xmlns:c15="http://schemas.microsoft.com/office/drawing/2012/chart">
            <c:ext xmlns:c16="http://schemas.microsoft.com/office/drawing/2014/chart" uri="{C3380CC4-5D6E-409C-BE32-E72D297353CC}">
              <c16:uniqueId val="{00000000-D977-4CDA-B460-50910F34F0B0}"/>
            </c:ext>
          </c:extLst>
        </c:ser>
        <c:ser>
          <c:idx val="1"/>
          <c:order val="1"/>
          <c:tx>
            <c:strRef>
              <c:f>'Hulpblad grafieken'!$A$48</c:f>
              <c:strCache>
                <c:ptCount val="1"/>
                <c:pt idx="0">
                  <c:v>toename aantal nieuw beschut cumulatief</c:v>
                </c:pt>
              </c:strCache>
            </c:strRef>
          </c:tx>
          <c:spPr>
            <a:solidFill>
              <a:srgbClr val="002060"/>
            </a:solidFill>
            <a:ln>
              <a:solidFill>
                <a:srgbClr val="00206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'Hulpblad grafieken'!$B$44:$L$44</c:f>
              <c:numCache>
                <c:formatCode>General</c:formatCode>
                <c:ptCount val="11"/>
                <c:pt idx="0">
                  <c:v>2017</c:v>
                </c:pt>
                <c:pt idx="1">
                  <c:v>2018</c:v>
                </c:pt>
                <c:pt idx="2">
                  <c:v>2019</c:v>
                </c:pt>
                <c:pt idx="3">
                  <c:v>2020</c:v>
                </c:pt>
                <c:pt idx="4">
                  <c:v>2021</c:v>
                </c:pt>
                <c:pt idx="5">
                  <c:v>2022</c:v>
                </c:pt>
                <c:pt idx="6">
                  <c:v>2023</c:v>
                </c:pt>
                <c:pt idx="7">
                  <c:v>2024</c:v>
                </c:pt>
                <c:pt idx="8">
                  <c:v>2025</c:v>
                </c:pt>
                <c:pt idx="9">
                  <c:v>2026</c:v>
                </c:pt>
                <c:pt idx="10">
                  <c:v>2027</c:v>
                </c:pt>
              </c:numCache>
            </c:numRef>
          </c:cat>
          <c:val>
            <c:numRef>
              <c:f>'Hulpblad grafieken'!$B$48:$L$48</c:f>
              <c:numCache>
                <c:formatCode>_ * #,##0_ ;_ * \-#,##0_ ;_ * "-"??_ ;_ @_ </c:formatCode>
                <c:ptCount val="11"/>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1-D977-4CDA-B460-50910F34F0B0}"/>
            </c:ext>
          </c:extLst>
        </c:ser>
        <c:dLbls>
          <c:showLegendKey val="0"/>
          <c:showVal val="0"/>
          <c:showCatName val="0"/>
          <c:showSerName val="0"/>
          <c:showPercent val="0"/>
          <c:showBubbleSize val="0"/>
        </c:dLbls>
        <c:gapWidth val="219"/>
        <c:overlap val="-27"/>
        <c:axId val="1510335407"/>
        <c:axId val="1632460367"/>
        <c:extLst/>
      </c:barChart>
      <c:catAx>
        <c:axId val="1510335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nl-NL"/>
          </a:p>
        </c:txPr>
        <c:crossAx val="1632460367"/>
        <c:crosses val="autoZero"/>
        <c:auto val="1"/>
        <c:lblAlgn val="ctr"/>
        <c:lblOffset val="100"/>
        <c:noMultiLvlLbl val="0"/>
      </c:catAx>
      <c:valAx>
        <c:axId val="16324603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15103354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oneCellAnchor>
    <xdr:from>
      <xdr:col>2</xdr:col>
      <xdr:colOff>26246</xdr:colOff>
      <xdr:row>3</xdr:row>
      <xdr:rowOff>59268</xdr:rowOff>
    </xdr:from>
    <xdr:ext cx="12492326" cy="2821092"/>
    <xdr:sp macro="" textlink="">
      <xdr:nvSpPr>
        <xdr:cNvPr id="4" name="Tekstvak 3">
          <a:extLst>
            <a:ext uri="{FF2B5EF4-FFF2-40B4-BE49-F238E27FC236}">
              <a16:creationId xmlns:a16="http://schemas.microsoft.com/office/drawing/2014/main" id="{0D9A6066-5344-4C1A-BF06-B0ED7833394A}"/>
            </a:ext>
          </a:extLst>
        </xdr:cNvPr>
        <xdr:cNvSpPr txBox="1"/>
      </xdr:nvSpPr>
      <xdr:spPr>
        <a:xfrm>
          <a:off x="3228460" y="721482"/>
          <a:ext cx="12492326" cy="2821092"/>
        </a:xfrm>
        <a:prstGeom prst="rect">
          <a:avLst/>
        </a:prstGeom>
        <a:solidFill>
          <a:srgbClr val="00206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050" b="1">
              <a:solidFill>
                <a:schemeClr val="bg1"/>
              </a:solidFill>
            </a:rPr>
            <a:t>Gemeenten:</a:t>
          </a:r>
        </a:p>
        <a:p>
          <a:r>
            <a:rPr lang="nl-NL" sz="1050" b="0">
              <a:solidFill>
                <a:schemeClr val="bg1"/>
              </a:solidFill>
            </a:rPr>
            <a:t>De tool is gebaseerd</a:t>
          </a:r>
          <a:r>
            <a:rPr lang="nl-NL" sz="1050" b="0" baseline="0">
              <a:solidFill>
                <a:schemeClr val="bg1"/>
              </a:solidFill>
            </a:rPr>
            <a:t> op de indeling van de gemeenten voor 2022. De historische cijfers van heringedeelde gemeenten zijn samengevoegd.</a:t>
          </a:r>
        </a:p>
        <a:p>
          <a:r>
            <a:rPr lang="nl-NL" sz="1050" b="1">
              <a:solidFill>
                <a:schemeClr val="bg1"/>
              </a:solidFill>
            </a:rPr>
            <a:t>Algemeen</a:t>
          </a:r>
          <a:r>
            <a:rPr lang="nl-NL" sz="1050" b="0">
              <a:solidFill>
                <a:schemeClr val="bg1"/>
              </a:solidFill>
            </a:rPr>
            <a:t>:</a:t>
          </a:r>
        </a:p>
        <a:p>
          <a:r>
            <a:rPr lang="nl-NL" sz="1050" b="0">
              <a:solidFill>
                <a:schemeClr val="bg1"/>
              </a:solidFill>
            </a:rPr>
            <a:t>Met</a:t>
          </a:r>
          <a:r>
            <a:rPr lang="nl-NL" sz="1050" b="0" baseline="0">
              <a:solidFill>
                <a:schemeClr val="bg1"/>
              </a:solidFill>
            </a:rPr>
            <a:t> deze tool krijgt u inzicht in het budget dat uw gemeente ontvangt voor de re-integratie taken  van de participatiewet en kunt u de omvang van het </a:t>
          </a:r>
          <a:r>
            <a:rPr lang="nl-NL" sz="1050" b="0" baseline="0">
              <a:solidFill>
                <a:schemeClr val="bg1"/>
              </a:solidFill>
              <a:effectLst/>
              <a:latin typeface="+mn-lt"/>
              <a:ea typeface="+mn-ea"/>
              <a:cs typeface="+mn-cs"/>
            </a:rPr>
            <a:t>re-integratiebudget van </a:t>
          </a:r>
          <a:r>
            <a:rPr lang="nl-NL" sz="1050" b="0" baseline="0">
              <a:solidFill>
                <a:schemeClr val="bg1"/>
              </a:solidFill>
            </a:rPr>
            <a:t>uw gemeente vergelijken met (maximaal 8) andere gemeenten. De Budgetdata is ontleend aan openbare bronnen van de rijksoverheid. Er is informatie opgenomen over de volgende (deel) budgetten: De Integratie Uitkering Sociaal Domein, de Algemene Uitkering uit het gemeentefonds en de decentralisatie/integratie uitkering "Bonus beschut werk". Verder zijn de aantallen opgenomen volgens de taakstelling beschutte werkplekken van de 'Regeling van de Staatssecretaris van Sociale Zaken en Werkgelegenheid tot vaststelling van de aantallen beschut werk'. Behalve de bonus voor beschut werk zijn de budgetten vooraf vastgesteld op basis van landelijke (objectieve) verdeelsleutels. Op de budgetten rust geen bestedingsverplichting. In 2019 is een deel van de Integratie Uitkering Sociaal Domein overgegaan naar de "reguliere" uitkering uit het gemeentefonds. De komende jaren zal dat ook voor de overige (budget)onderdelen van de Participatiewet behalve de WSW gebeuren. De Bonus voor beschut werk loopt tot en met 2019 (uitbetaald in 2020) en wordt vastgesteld op basis van realisatiedata van het UWV.</a:t>
          </a:r>
          <a:endParaRPr lang="nl-NL" sz="1050" b="1" baseline="0">
            <a:solidFill>
              <a:schemeClr val="bg1"/>
            </a:solidFill>
          </a:endParaRPr>
        </a:p>
        <a:p>
          <a:r>
            <a:rPr lang="nl-NL" sz="1050" b="1" baseline="0">
              <a:solidFill>
                <a:schemeClr val="bg1"/>
              </a:solidFill>
            </a:rPr>
            <a:t>Inhoud:</a:t>
          </a:r>
        </a:p>
        <a:p>
          <a:r>
            <a:rPr lang="nl-NL" sz="1050" b="0" baseline="0">
              <a:solidFill>
                <a:schemeClr val="bg1"/>
              </a:solidFill>
            </a:rPr>
            <a:t>1 Grafieken waarin nadere informatie is opgenomen over de omvang, inhoud en het verloop van de verschillende budgetcomponenten.</a:t>
          </a:r>
        </a:p>
        <a:p>
          <a:r>
            <a:rPr lang="nl-NL" sz="1050" b="0" baseline="0">
              <a:solidFill>
                <a:schemeClr val="bg1"/>
              </a:solidFill>
            </a:rPr>
            <a:t>2. Detailcijfers voor uw gemeente en de vergelijking tussen uw gemeente en de door u geselecteerde vergelijkingsgroep.</a:t>
          </a:r>
        </a:p>
        <a:p>
          <a:r>
            <a:rPr lang="nl-NL" sz="1050" b="0" baseline="0">
              <a:solidFill>
                <a:schemeClr val="bg1"/>
              </a:solidFill>
            </a:rPr>
            <a:t>3. FAQ over de aard, omvang en verdeling van de diverse budgetcomponenten.</a:t>
          </a:r>
          <a:endParaRPr lang="nl-NL" sz="1050" b="1" baseline="0">
            <a:solidFill>
              <a:schemeClr val="bg1"/>
            </a:solidFill>
          </a:endParaRPr>
        </a:p>
        <a:p>
          <a:r>
            <a:rPr lang="nl-NL" sz="1050" b="1" baseline="0">
              <a:solidFill>
                <a:schemeClr val="bg1"/>
              </a:solidFill>
            </a:rPr>
            <a:t>Disclaimer</a:t>
          </a:r>
          <a:r>
            <a:rPr lang="nl-NL" sz="1050" b="0" baseline="0">
              <a:solidFill>
                <a:schemeClr val="bg1"/>
              </a:solidFill>
            </a:rPr>
            <a:t>:</a:t>
          </a:r>
        </a:p>
        <a:p>
          <a:r>
            <a:rPr lang="nl-NL" sz="1050" b="0" baseline="0">
              <a:solidFill>
                <a:schemeClr val="bg1"/>
              </a:solidFill>
            </a:rPr>
            <a:t>Aan deze tool zijn geen rechten te ontlenen. De informatie die door het rijk beschikbaar is gesteld is één op één overgenomen in de tool. </a:t>
          </a:r>
        </a:p>
      </xdr:txBody>
    </xdr:sp>
    <xdr:clientData/>
  </xdr:oneCellAnchor>
  <xdr:twoCellAnchor>
    <xdr:from>
      <xdr:col>4</xdr:col>
      <xdr:colOff>1354667</xdr:colOff>
      <xdr:row>23</xdr:row>
      <xdr:rowOff>183726</xdr:rowOff>
    </xdr:from>
    <xdr:to>
      <xdr:col>10</xdr:col>
      <xdr:colOff>0</xdr:colOff>
      <xdr:row>52</xdr:row>
      <xdr:rowOff>50800</xdr:rowOff>
    </xdr:to>
    <xdr:graphicFrame macro="">
      <xdr:nvGraphicFramePr>
        <xdr:cNvPr id="12" name="Grafiek 11">
          <a:extLst>
            <a:ext uri="{FF2B5EF4-FFF2-40B4-BE49-F238E27FC236}">
              <a16:creationId xmlns:a16="http://schemas.microsoft.com/office/drawing/2014/main" id="{C9429E03-0B06-4C9C-943F-56490FDF87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4</xdr:col>
      <xdr:colOff>1269999</xdr:colOff>
      <xdr:row>52</xdr:row>
      <xdr:rowOff>46345</xdr:rowOff>
    </xdr:to>
    <xdr:graphicFrame macro="">
      <xdr:nvGraphicFramePr>
        <xdr:cNvPr id="16" name="Grafiek 15">
          <a:extLst>
            <a:ext uri="{FF2B5EF4-FFF2-40B4-BE49-F238E27FC236}">
              <a16:creationId xmlns:a16="http://schemas.microsoft.com/office/drawing/2014/main" id="{582F2F8A-224C-4BBA-BBCB-DA0233ECE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102151</xdr:colOff>
      <xdr:row>30</xdr:row>
      <xdr:rowOff>59132</xdr:rowOff>
    </xdr:from>
    <xdr:to>
      <xdr:col>12</xdr:col>
      <xdr:colOff>5781</xdr:colOff>
      <xdr:row>58</xdr:row>
      <xdr:rowOff>173867</xdr:rowOff>
    </xdr:to>
    <xdr:graphicFrame macro="">
      <xdr:nvGraphicFramePr>
        <xdr:cNvPr id="5" name="Grafiek 4">
          <a:extLst>
            <a:ext uri="{FF2B5EF4-FFF2-40B4-BE49-F238E27FC236}">
              <a16:creationId xmlns:a16="http://schemas.microsoft.com/office/drawing/2014/main" id="{6BFA3FFA-495E-425B-99AB-14E0823E0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102552</xdr:colOff>
      <xdr:row>59</xdr:row>
      <xdr:rowOff>69783</xdr:rowOff>
    </xdr:from>
    <xdr:to>
      <xdr:col>12</xdr:col>
      <xdr:colOff>5733</xdr:colOff>
      <xdr:row>88</xdr:row>
      <xdr:rowOff>4079</xdr:rowOff>
    </xdr:to>
    <xdr:graphicFrame macro="">
      <xdr:nvGraphicFramePr>
        <xdr:cNvPr id="6" name="Grafiek 5">
          <a:extLst>
            <a:ext uri="{FF2B5EF4-FFF2-40B4-BE49-F238E27FC236}">
              <a16:creationId xmlns:a16="http://schemas.microsoft.com/office/drawing/2014/main" id="{A9672756-20D1-48AF-ABF4-D95F91017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100264</xdr:colOff>
      <xdr:row>1</xdr:row>
      <xdr:rowOff>0</xdr:rowOff>
    </xdr:from>
    <xdr:to>
      <xdr:col>12</xdr:col>
      <xdr:colOff>8021</xdr:colOff>
      <xdr:row>29</xdr:row>
      <xdr:rowOff>119230</xdr:rowOff>
    </xdr:to>
    <xdr:graphicFrame macro="">
      <xdr:nvGraphicFramePr>
        <xdr:cNvPr id="13" name="Grafiek 12">
          <a:extLst>
            <a:ext uri="{FF2B5EF4-FFF2-40B4-BE49-F238E27FC236}">
              <a16:creationId xmlns:a16="http://schemas.microsoft.com/office/drawing/2014/main" id="{1CAA2F96-3BC8-43BF-AB70-7205FE312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80211</xdr:colOff>
      <xdr:row>30</xdr:row>
      <xdr:rowOff>56148</xdr:rowOff>
    </xdr:from>
    <xdr:to>
      <xdr:col>23</xdr:col>
      <xdr:colOff>601579</xdr:colOff>
      <xdr:row>58</xdr:row>
      <xdr:rowOff>176462</xdr:rowOff>
    </xdr:to>
    <xdr:graphicFrame macro="">
      <xdr:nvGraphicFramePr>
        <xdr:cNvPr id="17" name="Grafiek 16">
          <a:extLst>
            <a:ext uri="{FF2B5EF4-FFF2-40B4-BE49-F238E27FC236}">
              <a16:creationId xmlns:a16="http://schemas.microsoft.com/office/drawing/2014/main" id="{8BE3EC04-B842-48B2-ABB5-201A5FF0B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80210</xdr:colOff>
      <xdr:row>59</xdr:row>
      <xdr:rowOff>72190</xdr:rowOff>
    </xdr:from>
    <xdr:to>
      <xdr:col>23</xdr:col>
      <xdr:colOff>609599</xdr:colOff>
      <xdr:row>88</xdr:row>
      <xdr:rowOff>8021</xdr:rowOff>
    </xdr:to>
    <xdr:graphicFrame macro="">
      <xdr:nvGraphicFramePr>
        <xdr:cNvPr id="19" name="Grafiek 18">
          <a:extLst>
            <a:ext uri="{FF2B5EF4-FFF2-40B4-BE49-F238E27FC236}">
              <a16:creationId xmlns:a16="http://schemas.microsoft.com/office/drawing/2014/main" id="{8EB62033-D6E8-4FF0-A42D-CB24C0920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80210</xdr:colOff>
      <xdr:row>88</xdr:row>
      <xdr:rowOff>96254</xdr:rowOff>
    </xdr:from>
    <xdr:to>
      <xdr:col>23</xdr:col>
      <xdr:colOff>593558</xdr:colOff>
      <xdr:row>117</xdr:row>
      <xdr:rowOff>16042</xdr:rowOff>
    </xdr:to>
    <xdr:graphicFrame macro="">
      <xdr:nvGraphicFramePr>
        <xdr:cNvPr id="9" name="Grafiek 8">
          <a:extLst>
            <a:ext uri="{FF2B5EF4-FFF2-40B4-BE49-F238E27FC236}">
              <a16:creationId xmlns:a16="http://schemas.microsoft.com/office/drawing/2014/main" id="{6FA26618-AA00-4580-948B-96CAD5FE3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103471</xdr:colOff>
      <xdr:row>88</xdr:row>
      <xdr:rowOff>96266</xdr:rowOff>
    </xdr:from>
    <xdr:to>
      <xdr:col>12</xdr:col>
      <xdr:colOff>8021</xdr:colOff>
      <xdr:row>117</xdr:row>
      <xdr:rowOff>24077</xdr:rowOff>
    </xdr:to>
    <xdr:graphicFrame macro="">
      <xdr:nvGraphicFramePr>
        <xdr:cNvPr id="10" name="Grafiek 9">
          <a:extLst>
            <a:ext uri="{FF2B5EF4-FFF2-40B4-BE49-F238E27FC236}">
              <a16:creationId xmlns:a16="http://schemas.microsoft.com/office/drawing/2014/main" id="{E10C4901-6276-4F55-B2F3-1E338DC1BD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68581</xdr:colOff>
      <xdr:row>13</xdr:row>
      <xdr:rowOff>143683</xdr:rowOff>
    </xdr:from>
    <xdr:to>
      <xdr:col>14</xdr:col>
      <xdr:colOff>236221</xdr:colOff>
      <xdr:row>37</xdr:row>
      <xdr:rowOff>42848</xdr:rowOff>
    </xdr:to>
    <xdr:pic>
      <xdr:nvPicPr>
        <xdr:cNvPr id="2" name="Afbeelding 1">
          <a:extLst>
            <a:ext uri="{FF2B5EF4-FFF2-40B4-BE49-F238E27FC236}">
              <a16:creationId xmlns:a16="http://schemas.microsoft.com/office/drawing/2014/main" id="{955E2049-5483-468A-9C3D-2E8D067AC5AB}"/>
            </a:ext>
          </a:extLst>
        </xdr:cNvPr>
        <xdr:cNvPicPr>
          <a:picLocks noChangeAspect="1"/>
        </xdr:cNvPicPr>
      </xdr:nvPicPr>
      <xdr:blipFill>
        <a:blip xmlns:r="http://schemas.openxmlformats.org/officeDocument/2006/relationships" r:embed="rId1"/>
        <a:stretch>
          <a:fillRect/>
        </a:stretch>
      </xdr:blipFill>
      <xdr:spPr>
        <a:xfrm>
          <a:off x="1287781" y="509443"/>
          <a:ext cx="8084820" cy="4288285"/>
        </a:xfrm>
        <a:prstGeom prst="rect">
          <a:avLst/>
        </a:prstGeom>
      </xdr:spPr>
    </xdr:pic>
    <xdr:clientData/>
  </xdr:twoCellAnchor>
  <xdr:twoCellAnchor editAs="oneCell">
    <xdr:from>
      <xdr:col>2</xdr:col>
      <xdr:colOff>19050</xdr:colOff>
      <xdr:row>52</xdr:row>
      <xdr:rowOff>95250</xdr:rowOff>
    </xdr:from>
    <xdr:to>
      <xdr:col>11</xdr:col>
      <xdr:colOff>352425</xdr:colOff>
      <xdr:row>81</xdr:row>
      <xdr:rowOff>171450</xdr:rowOff>
    </xdr:to>
    <xdr:pic>
      <xdr:nvPicPr>
        <xdr:cNvPr id="3" name="Afbeelding 2">
          <a:extLst>
            <a:ext uri="{FF2B5EF4-FFF2-40B4-BE49-F238E27FC236}">
              <a16:creationId xmlns:a16="http://schemas.microsoft.com/office/drawing/2014/main" id="{B84CB7BC-6671-46E1-B64D-A568850AF349}"/>
            </a:ext>
            <a:ext uri="{147F2762-F138-4A5C-976F-8EAC2B608ADB}">
              <a16:predDERef xmlns:a16="http://schemas.microsoft.com/office/drawing/2014/main" pred="{955E2049-5483-468A-9C3D-2E8D067AC5AB}"/>
            </a:ext>
          </a:extLst>
        </xdr:cNvPr>
        <xdr:cNvPicPr>
          <a:picLocks noChangeAspect="1"/>
        </xdr:cNvPicPr>
      </xdr:nvPicPr>
      <xdr:blipFill>
        <a:blip xmlns:r="http://schemas.openxmlformats.org/officeDocument/2006/relationships" r:embed="rId2"/>
        <a:stretch>
          <a:fillRect/>
        </a:stretch>
      </xdr:blipFill>
      <xdr:spPr>
        <a:xfrm>
          <a:off x="1238250" y="6791325"/>
          <a:ext cx="5819775" cy="5324475"/>
        </a:xfrm>
        <a:prstGeom prst="rect">
          <a:avLst/>
        </a:prstGeom>
      </xdr:spPr>
    </xdr:pic>
    <xdr:clientData/>
  </xdr:twoCellAnchor>
  <xdr:twoCellAnchor editAs="oneCell">
    <xdr:from>
      <xdr:col>2</xdr:col>
      <xdr:colOff>38100</xdr:colOff>
      <xdr:row>83</xdr:row>
      <xdr:rowOff>7620</xdr:rowOff>
    </xdr:from>
    <xdr:to>
      <xdr:col>11</xdr:col>
      <xdr:colOff>343478</xdr:colOff>
      <xdr:row>112</xdr:row>
      <xdr:rowOff>119245</xdr:rowOff>
    </xdr:to>
    <xdr:pic>
      <xdr:nvPicPr>
        <xdr:cNvPr id="8" name="Afbeelding 7">
          <a:extLst>
            <a:ext uri="{FF2B5EF4-FFF2-40B4-BE49-F238E27FC236}">
              <a16:creationId xmlns:a16="http://schemas.microsoft.com/office/drawing/2014/main" id="{02CA6555-4734-4846-A88D-87929DD9318F}"/>
            </a:ext>
          </a:extLst>
        </xdr:cNvPr>
        <xdr:cNvPicPr>
          <a:picLocks noChangeAspect="1"/>
        </xdr:cNvPicPr>
      </xdr:nvPicPr>
      <xdr:blipFill>
        <a:blip xmlns:r="http://schemas.openxmlformats.org/officeDocument/2006/relationships" r:embed="rId3"/>
        <a:stretch>
          <a:fillRect/>
        </a:stretch>
      </xdr:blipFill>
      <xdr:spPr>
        <a:xfrm>
          <a:off x="1257300" y="13083540"/>
          <a:ext cx="5791778" cy="5415145"/>
        </a:xfrm>
        <a:prstGeom prst="rect">
          <a:avLst/>
        </a:prstGeom>
      </xdr:spPr>
    </xdr:pic>
    <xdr:clientData/>
  </xdr:twoCellAnchor>
  <xdr:twoCellAnchor editAs="oneCell">
    <xdr:from>
      <xdr:col>2</xdr:col>
      <xdr:colOff>45720</xdr:colOff>
      <xdr:row>120</xdr:row>
      <xdr:rowOff>29685</xdr:rowOff>
    </xdr:from>
    <xdr:to>
      <xdr:col>19</xdr:col>
      <xdr:colOff>601865</xdr:colOff>
      <xdr:row>129</xdr:row>
      <xdr:rowOff>5445</xdr:rowOff>
    </xdr:to>
    <xdr:pic>
      <xdr:nvPicPr>
        <xdr:cNvPr id="9" name="Afbeelding 8">
          <a:extLst>
            <a:ext uri="{FF2B5EF4-FFF2-40B4-BE49-F238E27FC236}">
              <a16:creationId xmlns:a16="http://schemas.microsoft.com/office/drawing/2014/main" id="{5FC348A6-51C6-4EAD-923F-641CDF2F6C13}"/>
            </a:ext>
          </a:extLst>
        </xdr:cNvPr>
        <xdr:cNvPicPr>
          <a:picLocks noChangeAspect="1"/>
        </xdr:cNvPicPr>
      </xdr:nvPicPr>
      <xdr:blipFill>
        <a:blip xmlns:r="http://schemas.openxmlformats.org/officeDocument/2006/relationships" r:embed="rId4"/>
        <a:stretch>
          <a:fillRect/>
        </a:stretch>
      </xdr:blipFill>
      <xdr:spPr>
        <a:xfrm>
          <a:off x="1264920" y="18866325"/>
          <a:ext cx="12123305" cy="1621680"/>
        </a:xfrm>
        <a:prstGeom prst="rect">
          <a:avLst/>
        </a:prstGeom>
      </xdr:spPr>
    </xdr:pic>
    <xdr:clientData/>
  </xdr:twoCellAnchor>
  <xdr:twoCellAnchor editAs="oneCell">
    <xdr:from>
      <xdr:col>2</xdr:col>
      <xdr:colOff>0</xdr:colOff>
      <xdr:row>133</xdr:row>
      <xdr:rowOff>0</xdr:rowOff>
    </xdr:from>
    <xdr:to>
      <xdr:col>11</xdr:col>
      <xdr:colOff>200360</xdr:colOff>
      <xdr:row>159</xdr:row>
      <xdr:rowOff>129540</xdr:rowOff>
    </xdr:to>
    <xdr:pic>
      <xdr:nvPicPr>
        <xdr:cNvPr id="10" name="Afbeelding 9">
          <a:extLst>
            <a:ext uri="{FF2B5EF4-FFF2-40B4-BE49-F238E27FC236}">
              <a16:creationId xmlns:a16="http://schemas.microsoft.com/office/drawing/2014/main" id="{EE6961A0-05EB-4D4F-A649-EBEF6BFD0AB9}"/>
            </a:ext>
          </a:extLst>
        </xdr:cNvPr>
        <xdr:cNvPicPr>
          <a:picLocks noChangeAspect="1"/>
        </xdr:cNvPicPr>
      </xdr:nvPicPr>
      <xdr:blipFill>
        <a:blip xmlns:r="http://schemas.openxmlformats.org/officeDocument/2006/relationships" r:embed="rId5"/>
        <a:stretch>
          <a:fillRect/>
        </a:stretch>
      </xdr:blipFill>
      <xdr:spPr>
        <a:xfrm>
          <a:off x="1219200" y="21717000"/>
          <a:ext cx="5686760" cy="4884420"/>
        </a:xfrm>
        <a:prstGeom prst="rect">
          <a:avLst/>
        </a:prstGeom>
      </xdr:spPr>
    </xdr:pic>
    <xdr:clientData/>
  </xdr:twoCellAnchor>
  <xdr:twoCellAnchor editAs="oneCell">
    <xdr:from>
      <xdr:col>11</xdr:col>
      <xdr:colOff>480221</xdr:colOff>
      <xdr:row>132</xdr:row>
      <xdr:rowOff>152400</xdr:rowOff>
    </xdr:from>
    <xdr:to>
      <xdr:col>18</xdr:col>
      <xdr:colOff>114300</xdr:colOff>
      <xdr:row>160</xdr:row>
      <xdr:rowOff>24286</xdr:rowOff>
    </xdr:to>
    <xdr:pic>
      <xdr:nvPicPr>
        <xdr:cNvPr id="12" name="Afbeelding 11">
          <a:extLst>
            <a:ext uri="{FF2B5EF4-FFF2-40B4-BE49-F238E27FC236}">
              <a16:creationId xmlns:a16="http://schemas.microsoft.com/office/drawing/2014/main" id="{FCF808A6-DC7C-47D0-8361-26F165D455F8}"/>
            </a:ext>
          </a:extLst>
        </xdr:cNvPr>
        <xdr:cNvPicPr>
          <a:picLocks noChangeAspect="1"/>
        </xdr:cNvPicPr>
      </xdr:nvPicPr>
      <xdr:blipFill>
        <a:blip xmlns:r="http://schemas.openxmlformats.org/officeDocument/2006/relationships" r:embed="rId6"/>
        <a:stretch>
          <a:fillRect/>
        </a:stretch>
      </xdr:blipFill>
      <xdr:spPr>
        <a:xfrm>
          <a:off x="7185821" y="21686520"/>
          <a:ext cx="5105239" cy="4992526"/>
        </a:xfrm>
        <a:prstGeom prst="rect">
          <a:avLst/>
        </a:prstGeom>
      </xdr:spPr>
    </xdr:pic>
    <xdr:clientData/>
  </xdr:twoCellAnchor>
  <xdr:twoCellAnchor editAs="oneCell">
    <xdr:from>
      <xdr:col>2</xdr:col>
      <xdr:colOff>22861</xdr:colOff>
      <xdr:row>163</xdr:row>
      <xdr:rowOff>22860</xdr:rowOff>
    </xdr:from>
    <xdr:to>
      <xdr:col>10</xdr:col>
      <xdr:colOff>382355</xdr:colOff>
      <xdr:row>189</xdr:row>
      <xdr:rowOff>82963</xdr:rowOff>
    </xdr:to>
    <xdr:pic>
      <xdr:nvPicPr>
        <xdr:cNvPr id="13" name="Afbeelding 12">
          <a:extLst>
            <a:ext uri="{FF2B5EF4-FFF2-40B4-BE49-F238E27FC236}">
              <a16:creationId xmlns:a16="http://schemas.microsoft.com/office/drawing/2014/main" id="{F0D20123-4B70-40D6-96B4-5ED30D0940F0}"/>
            </a:ext>
          </a:extLst>
        </xdr:cNvPr>
        <xdr:cNvPicPr>
          <a:picLocks noChangeAspect="1"/>
        </xdr:cNvPicPr>
      </xdr:nvPicPr>
      <xdr:blipFill>
        <a:blip xmlns:r="http://schemas.openxmlformats.org/officeDocument/2006/relationships" r:embed="rId7"/>
        <a:stretch>
          <a:fillRect/>
        </a:stretch>
      </xdr:blipFill>
      <xdr:spPr>
        <a:xfrm>
          <a:off x="1242061" y="27043380"/>
          <a:ext cx="5236294" cy="4814983"/>
        </a:xfrm>
        <a:prstGeom prst="rect">
          <a:avLst/>
        </a:prstGeom>
      </xdr:spPr>
    </xdr:pic>
    <xdr:clientData/>
  </xdr:twoCellAnchor>
  <xdr:twoCellAnchor editAs="oneCell">
    <xdr:from>
      <xdr:col>2</xdr:col>
      <xdr:colOff>1</xdr:colOff>
      <xdr:row>192</xdr:row>
      <xdr:rowOff>0</xdr:rowOff>
    </xdr:from>
    <xdr:to>
      <xdr:col>10</xdr:col>
      <xdr:colOff>373380</xdr:colOff>
      <xdr:row>209</xdr:row>
      <xdr:rowOff>109597</xdr:rowOff>
    </xdr:to>
    <xdr:pic>
      <xdr:nvPicPr>
        <xdr:cNvPr id="15" name="Afbeelding 14">
          <a:extLst>
            <a:ext uri="{FF2B5EF4-FFF2-40B4-BE49-F238E27FC236}">
              <a16:creationId xmlns:a16="http://schemas.microsoft.com/office/drawing/2014/main" id="{DFD225A1-936C-4A17-A1E7-897764BD0FEB}"/>
            </a:ext>
          </a:extLst>
        </xdr:cNvPr>
        <xdr:cNvPicPr>
          <a:picLocks noChangeAspect="1"/>
        </xdr:cNvPicPr>
      </xdr:nvPicPr>
      <xdr:blipFill>
        <a:blip xmlns:r="http://schemas.openxmlformats.org/officeDocument/2006/relationships" r:embed="rId8"/>
        <a:stretch>
          <a:fillRect/>
        </a:stretch>
      </xdr:blipFill>
      <xdr:spPr>
        <a:xfrm>
          <a:off x="1219201" y="32689800"/>
          <a:ext cx="5250179" cy="3218557"/>
        </a:xfrm>
        <a:prstGeom prst="rect">
          <a:avLst/>
        </a:prstGeom>
      </xdr:spPr>
    </xdr:pic>
    <xdr:clientData/>
  </xdr:twoCellAnchor>
  <xdr:twoCellAnchor editAs="oneCell">
    <xdr:from>
      <xdr:col>15</xdr:col>
      <xdr:colOff>0</xdr:colOff>
      <xdr:row>13</xdr:row>
      <xdr:rowOff>0</xdr:rowOff>
    </xdr:from>
    <xdr:to>
      <xdr:col>21</xdr:col>
      <xdr:colOff>180495</xdr:colOff>
      <xdr:row>45</xdr:row>
      <xdr:rowOff>147840</xdr:rowOff>
    </xdr:to>
    <xdr:pic>
      <xdr:nvPicPr>
        <xdr:cNvPr id="17" name="Afbeelding 16">
          <a:extLst>
            <a:ext uri="{FF2B5EF4-FFF2-40B4-BE49-F238E27FC236}">
              <a16:creationId xmlns:a16="http://schemas.microsoft.com/office/drawing/2014/main" id="{2BC42BED-2AAA-4F89-8BF7-A808639AAD3E}"/>
            </a:ext>
          </a:extLst>
        </xdr:cNvPr>
        <xdr:cNvPicPr>
          <a:picLocks noChangeAspect="1"/>
        </xdr:cNvPicPr>
      </xdr:nvPicPr>
      <xdr:blipFill>
        <a:blip xmlns:r="http://schemas.openxmlformats.org/officeDocument/2006/relationships" r:embed="rId9"/>
        <a:stretch>
          <a:fillRect/>
        </a:stretch>
      </xdr:blipFill>
      <xdr:spPr>
        <a:xfrm>
          <a:off x="10347960" y="2377440"/>
          <a:ext cx="3838095" cy="6000000"/>
        </a:xfrm>
        <a:prstGeom prst="rect">
          <a:avLst/>
        </a:prstGeom>
      </xdr:spPr>
    </xdr:pic>
    <xdr:clientData/>
  </xdr:twoCellAnchor>
  <xdr:twoCellAnchor editAs="oneCell">
    <xdr:from>
      <xdr:col>13</xdr:col>
      <xdr:colOff>60960</xdr:colOff>
      <xdr:row>52</xdr:row>
      <xdr:rowOff>45720</xdr:rowOff>
    </xdr:from>
    <xdr:to>
      <xdr:col>21</xdr:col>
      <xdr:colOff>533398</xdr:colOff>
      <xdr:row>67</xdr:row>
      <xdr:rowOff>107889</xdr:rowOff>
    </xdr:to>
    <xdr:pic>
      <xdr:nvPicPr>
        <xdr:cNvPr id="14" name="Afbeelding 13">
          <a:extLst>
            <a:ext uri="{FF2B5EF4-FFF2-40B4-BE49-F238E27FC236}">
              <a16:creationId xmlns:a16="http://schemas.microsoft.com/office/drawing/2014/main" id="{BA066042-98CC-4301-8046-D4440E06029E}"/>
            </a:ext>
          </a:extLst>
        </xdr:cNvPr>
        <xdr:cNvPicPr>
          <a:picLocks noChangeAspect="1"/>
        </xdr:cNvPicPr>
      </xdr:nvPicPr>
      <xdr:blipFill>
        <a:blip xmlns:r="http://schemas.openxmlformats.org/officeDocument/2006/relationships" r:embed="rId10"/>
        <a:stretch>
          <a:fillRect/>
        </a:stretch>
      </xdr:blipFill>
      <xdr:spPr>
        <a:xfrm>
          <a:off x="8587740" y="9646920"/>
          <a:ext cx="5951218" cy="2805369"/>
        </a:xfrm>
        <a:prstGeom prst="rect">
          <a:avLst/>
        </a:prstGeom>
        <a:ln>
          <a:solidFill>
            <a:schemeClr val="accent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31</xdr:col>
      <xdr:colOff>541105</xdr:colOff>
      <xdr:row>50</xdr:row>
      <xdr:rowOff>42849</xdr:rowOff>
    </xdr:to>
    <xdr:pic>
      <xdr:nvPicPr>
        <xdr:cNvPr id="2" name="Afbeelding 1">
          <a:extLst>
            <a:ext uri="{FF2B5EF4-FFF2-40B4-BE49-F238E27FC236}">
              <a16:creationId xmlns:a16="http://schemas.microsoft.com/office/drawing/2014/main" id="{C04946B6-808F-47D3-916F-2A940E9D5304}"/>
            </a:ext>
          </a:extLst>
        </xdr:cNvPr>
        <xdr:cNvPicPr>
          <a:picLocks noChangeAspect="1"/>
        </xdr:cNvPicPr>
      </xdr:nvPicPr>
      <xdr:blipFill>
        <a:blip xmlns:r="http://schemas.openxmlformats.org/officeDocument/2006/relationships" r:embed="rId1"/>
        <a:stretch>
          <a:fillRect/>
        </a:stretch>
      </xdr:blipFill>
      <xdr:spPr>
        <a:xfrm>
          <a:off x="11148060" y="2385060"/>
          <a:ext cx="14561905" cy="7723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25400</xdr:colOff>
      <xdr:row>4</xdr:row>
      <xdr:rowOff>73349</xdr:rowOff>
    </xdr:from>
    <xdr:to>
      <xdr:col>22</xdr:col>
      <xdr:colOff>204895</xdr:colOff>
      <xdr:row>16</xdr:row>
      <xdr:rowOff>110207</xdr:rowOff>
    </xdr:to>
    <xdr:pic>
      <xdr:nvPicPr>
        <xdr:cNvPr id="2" name="Afbeelding 1">
          <a:extLst>
            <a:ext uri="{FF2B5EF4-FFF2-40B4-BE49-F238E27FC236}">
              <a16:creationId xmlns:a16="http://schemas.microsoft.com/office/drawing/2014/main" id="{EF84F741-A743-4306-9772-1658228E6438}"/>
            </a:ext>
          </a:extLst>
        </xdr:cNvPr>
        <xdr:cNvPicPr>
          <a:picLocks noChangeAspect="1"/>
        </xdr:cNvPicPr>
      </xdr:nvPicPr>
      <xdr:blipFill>
        <a:blip xmlns:r="http://schemas.openxmlformats.org/officeDocument/2006/relationships" r:embed="rId1"/>
        <a:stretch>
          <a:fillRect/>
        </a:stretch>
      </xdr:blipFill>
      <xdr:spPr>
        <a:xfrm>
          <a:off x="11137900" y="1514799"/>
          <a:ext cx="6275495" cy="22466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377198</xdr:colOff>
      <xdr:row>7</xdr:row>
      <xdr:rowOff>44450</xdr:rowOff>
    </xdr:from>
    <xdr:to>
      <xdr:col>26</xdr:col>
      <xdr:colOff>79479</xdr:colOff>
      <xdr:row>39</xdr:row>
      <xdr:rowOff>98633</xdr:rowOff>
    </xdr:to>
    <xdr:pic>
      <xdr:nvPicPr>
        <xdr:cNvPr id="2" name="Afbeelding 1">
          <a:extLst>
            <a:ext uri="{FF2B5EF4-FFF2-40B4-BE49-F238E27FC236}">
              <a16:creationId xmlns:a16="http://schemas.microsoft.com/office/drawing/2014/main" id="{09B1BE32-F0FF-4A68-A6F4-229E8EA8B42F}"/>
            </a:ext>
          </a:extLst>
        </xdr:cNvPr>
        <xdr:cNvPicPr>
          <a:picLocks noChangeAspect="1"/>
        </xdr:cNvPicPr>
      </xdr:nvPicPr>
      <xdr:blipFill>
        <a:blip xmlns:r="http://schemas.openxmlformats.org/officeDocument/2006/relationships" r:embed="rId1"/>
        <a:stretch>
          <a:fillRect/>
        </a:stretch>
      </xdr:blipFill>
      <xdr:spPr>
        <a:xfrm>
          <a:off x="18944598" y="2311400"/>
          <a:ext cx="4896581" cy="5946983"/>
        </a:xfrm>
        <a:prstGeom prst="rect">
          <a:avLst/>
        </a:prstGeom>
      </xdr:spPr>
    </xdr:pic>
    <xdr:clientData/>
  </xdr:twoCellAnchor>
  <xdr:twoCellAnchor editAs="oneCell">
    <xdr:from>
      <xdr:col>19</xdr:col>
      <xdr:colOff>213360</xdr:colOff>
      <xdr:row>48</xdr:row>
      <xdr:rowOff>160020</xdr:rowOff>
    </xdr:from>
    <xdr:to>
      <xdr:col>27</xdr:col>
      <xdr:colOff>198619</xdr:colOff>
      <xdr:row>85</xdr:row>
      <xdr:rowOff>14290</xdr:rowOff>
    </xdr:to>
    <xdr:pic>
      <xdr:nvPicPr>
        <xdr:cNvPr id="3" name="Afbeelding 2">
          <a:extLst>
            <a:ext uri="{FF2B5EF4-FFF2-40B4-BE49-F238E27FC236}">
              <a16:creationId xmlns:a16="http://schemas.microsoft.com/office/drawing/2014/main" id="{2B4BF480-2E21-47D4-9143-6E12500C6AE8}"/>
            </a:ext>
          </a:extLst>
        </xdr:cNvPr>
        <xdr:cNvPicPr>
          <a:picLocks noChangeAspect="1"/>
        </xdr:cNvPicPr>
      </xdr:nvPicPr>
      <xdr:blipFill>
        <a:blip xmlns:r="http://schemas.openxmlformats.org/officeDocument/2006/relationships" r:embed="rId2"/>
        <a:stretch>
          <a:fillRect/>
        </a:stretch>
      </xdr:blipFill>
      <xdr:spPr>
        <a:xfrm>
          <a:off x="14554200" y="8755380"/>
          <a:ext cx="5761219" cy="6620830"/>
        </a:xfrm>
        <a:prstGeom prst="rect">
          <a:avLst/>
        </a:prstGeom>
      </xdr:spPr>
    </xdr:pic>
    <xdr:clientData/>
  </xdr:twoCellAnchor>
  <xdr:twoCellAnchor editAs="oneCell">
    <xdr:from>
      <xdr:col>19</xdr:col>
      <xdr:colOff>182880</xdr:colOff>
      <xdr:row>88</xdr:row>
      <xdr:rowOff>165404</xdr:rowOff>
    </xdr:from>
    <xdr:to>
      <xdr:col>26</xdr:col>
      <xdr:colOff>130520</xdr:colOff>
      <xdr:row>94</xdr:row>
      <xdr:rowOff>154109</xdr:rowOff>
    </xdr:to>
    <xdr:pic>
      <xdr:nvPicPr>
        <xdr:cNvPr id="4" name="Afbeelding 3">
          <a:extLst>
            <a:ext uri="{FF2B5EF4-FFF2-40B4-BE49-F238E27FC236}">
              <a16:creationId xmlns:a16="http://schemas.microsoft.com/office/drawing/2014/main" id="{1DEC7B70-86B7-400A-A892-AE0972D5A180}"/>
            </a:ext>
          </a:extLst>
        </xdr:cNvPr>
        <xdr:cNvPicPr>
          <a:picLocks noChangeAspect="1"/>
        </xdr:cNvPicPr>
      </xdr:nvPicPr>
      <xdr:blipFill>
        <a:blip xmlns:r="http://schemas.openxmlformats.org/officeDocument/2006/relationships" r:embed="rId3"/>
        <a:stretch>
          <a:fillRect/>
        </a:stretch>
      </xdr:blipFill>
      <xdr:spPr>
        <a:xfrm>
          <a:off x="14523720" y="16624604"/>
          <a:ext cx="5114000" cy="1085985"/>
        </a:xfrm>
        <a:prstGeom prst="rect">
          <a:avLst/>
        </a:prstGeom>
      </xdr:spPr>
    </xdr:pic>
    <xdr:clientData/>
  </xdr:twoCellAnchor>
  <xdr:twoCellAnchor editAs="oneCell">
    <xdr:from>
      <xdr:col>19</xdr:col>
      <xdr:colOff>273050</xdr:colOff>
      <xdr:row>97</xdr:row>
      <xdr:rowOff>135029</xdr:rowOff>
    </xdr:from>
    <xdr:to>
      <xdr:col>26</xdr:col>
      <xdr:colOff>449494</xdr:colOff>
      <xdr:row>115</xdr:row>
      <xdr:rowOff>53158</xdr:rowOff>
    </xdr:to>
    <xdr:pic>
      <xdr:nvPicPr>
        <xdr:cNvPr id="5" name="Afbeelding 4">
          <a:extLst>
            <a:ext uri="{FF2B5EF4-FFF2-40B4-BE49-F238E27FC236}">
              <a16:creationId xmlns:a16="http://schemas.microsoft.com/office/drawing/2014/main" id="{F00C0670-778A-4948-A532-8CFCCDB0E440}"/>
            </a:ext>
          </a:extLst>
        </xdr:cNvPr>
        <xdr:cNvPicPr>
          <a:picLocks noChangeAspect="1"/>
        </xdr:cNvPicPr>
      </xdr:nvPicPr>
      <xdr:blipFill>
        <a:blip xmlns:r="http://schemas.openxmlformats.org/officeDocument/2006/relationships" r:embed="rId4"/>
        <a:stretch>
          <a:fillRect/>
        </a:stretch>
      </xdr:blipFill>
      <xdr:spPr>
        <a:xfrm>
          <a:off x="18840450" y="18975479"/>
          <a:ext cx="5370744" cy="32328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457200</xdr:colOff>
      <xdr:row>21</xdr:row>
      <xdr:rowOff>145327</xdr:rowOff>
    </xdr:from>
    <xdr:to>
      <xdr:col>17</xdr:col>
      <xdr:colOff>533961</xdr:colOff>
      <xdr:row>33</xdr:row>
      <xdr:rowOff>178539</xdr:rowOff>
    </xdr:to>
    <xdr:pic>
      <xdr:nvPicPr>
        <xdr:cNvPr id="2" name="Afbeelding 1">
          <a:extLst>
            <a:ext uri="{FF2B5EF4-FFF2-40B4-BE49-F238E27FC236}">
              <a16:creationId xmlns:a16="http://schemas.microsoft.com/office/drawing/2014/main" id="{22D9B3E3-9908-4954-B62B-DE3538EC1142}"/>
            </a:ext>
          </a:extLst>
        </xdr:cNvPr>
        <xdr:cNvPicPr>
          <a:picLocks noChangeAspect="1"/>
        </xdr:cNvPicPr>
      </xdr:nvPicPr>
      <xdr:blipFill>
        <a:blip xmlns:r="http://schemas.openxmlformats.org/officeDocument/2006/relationships" r:embed="rId1"/>
        <a:stretch>
          <a:fillRect/>
        </a:stretch>
      </xdr:blipFill>
      <xdr:spPr>
        <a:xfrm>
          <a:off x="8054340" y="4077247"/>
          <a:ext cx="5639361" cy="2227772"/>
        </a:xfrm>
        <a:prstGeom prst="rect">
          <a:avLst/>
        </a:prstGeom>
      </xdr:spPr>
    </xdr:pic>
    <xdr:clientData/>
  </xdr:twoCellAnchor>
  <xdr:twoCellAnchor editAs="oneCell">
    <xdr:from>
      <xdr:col>8</xdr:col>
      <xdr:colOff>594360</xdr:colOff>
      <xdr:row>37</xdr:row>
      <xdr:rowOff>164814</xdr:rowOff>
    </xdr:from>
    <xdr:to>
      <xdr:col>18</xdr:col>
      <xdr:colOff>64992</xdr:colOff>
      <xdr:row>41</xdr:row>
      <xdr:rowOff>68580</xdr:rowOff>
    </xdr:to>
    <xdr:pic>
      <xdr:nvPicPr>
        <xdr:cNvPr id="3" name="Afbeelding 2">
          <a:extLst>
            <a:ext uri="{FF2B5EF4-FFF2-40B4-BE49-F238E27FC236}">
              <a16:creationId xmlns:a16="http://schemas.microsoft.com/office/drawing/2014/main" id="{3106C077-64BE-4C2D-8B60-686E19473035}"/>
            </a:ext>
          </a:extLst>
        </xdr:cNvPr>
        <xdr:cNvPicPr>
          <a:picLocks noChangeAspect="1"/>
        </xdr:cNvPicPr>
      </xdr:nvPicPr>
      <xdr:blipFill>
        <a:blip xmlns:r="http://schemas.openxmlformats.org/officeDocument/2006/relationships" r:embed="rId2"/>
        <a:stretch>
          <a:fillRect/>
        </a:stretch>
      </xdr:blipFill>
      <xdr:spPr>
        <a:xfrm>
          <a:off x="8191500" y="7022814"/>
          <a:ext cx="5642832" cy="635286"/>
        </a:xfrm>
        <a:prstGeom prst="rect">
          <a:avLst/>
        </a:prstGeom>
      </xdr:spPr>
    </xdr:pic>
    <xdr:clientData/>
  </xdr:twoCellAnchor>
  <xdr:twoCellAnchor editAs="oneCell">
    <xdr:from>
      <xdr:col>8</xdr:col>
      <xdr:colOff>388619</xdr:colOff>
      <xdr:row>7</xdr:row>
      <xdr:rowOff>90642</xdr:rowOff>
    </xdr:from>
    <xdr:to>
      <xdr:col>18</xdr:col>
      <xdr:colOff>88188</xdr:colOff>
      <xdr:row>16</xdr:row>
      <xdr:rowOff>83820</xdr:rowOff>
    </xdr:to>
    <xdr:pic>
      <xdr:nvPicPr>
        <xdr:cNvPr id="4" name="Afbeelding 3">
          <a:extLst>
            <a:ext uri="{FF2B5EF4-FFF2-40B4-BE49-F238E27FC236}">
              <a16:creationId xmlns:a16="http://schemas.microsoft.com/office/drawing/2014/main" id="{61F0A202-0CDB-4C5E-A900-DADC2C466D2B}"/>
            </a:ext>
          </a:extLst>
        </xdr:cNvPr>
        <xdr:cNvPicPr>
          <a:picLocks noChangeAspect="1"/>
        </xdr:cNvPicPr>
      </xdr:nvPicPr>
      <xdr:blipFill>
        <a:blip xmlns:r="http://schemas.openxmlformats.org/officeDocument/2006/relationships" r:embed="rId3"/>
        <a:stretch>
          <a:fillRect/>
        </a:stretch>
      </xdr:blipFill>
      <xdr:spPr>
        <a:xfrm>
          <a:off x="7985759" y="1462242"/>
          <a:ext cx="5871769" cy="1639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jan-dirk_degoeij_adlasz_nl/Documents/Documenten/adlasz/vaktechnische%20informatie/budgetten%20SZW/Bronnen/2021%20NB/taakstelling%20en%20bonus%20beschut%20wer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jan-dirk_degoeij_adlasz_nl/Documents/Documenten/adlasz/vaktechnische%20informatie/budgetten%20SZW/Bronnen/2022%20IUSD/rekenmodel+septembercirculaire+2021+27+september%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akstelling tm 2025"/>
      <sheetName val="taakstelling  2017 2018 2019"/>
      <sheetName val="Bonus recap"/>
      <sheetName val="bonus 2017"/>
      <sheetName val="bonus 2016-2015"/>
    </sheetNames>
    <sheetDataSet>
      <sheetData sheetId="0"/>
      <sheetData sheetId="1">
        <row r="1">
          <cell r="B1" t="str">
            <v>Gemeente</v>
          </cell>
          <cell r="C1"/>
          <cell r="D1" t="str">
            <v>Ultimo 2017 (indeling 2018)</v>
          </cell>
          <cell r="E1" t="str">
            <v>Ultimo 2018</v>
          </cell>
          <cell r="F1" t="str">
            <v>Ultimo 2019</v>
          </cell>
        </row>
        <row r="2">
          <cell r="B2" t="str">
            <v>Aa en Hunze</v>
          </cell>
          <cell r="D2">
            <v>2</v>
          </cell>
          <cell r="E2">
            <v>4</v>
          </cell>
          <cell r="F2">
            <v>5</v>
          </cell>
        </row>
        <row r="3">
          <cell r="B3" t="str">
            <v>Aalburg</v>
          </cell>
          <cell r="C3" t="str">
            <v>Altena</v>
          </cell>
          <cell r="D3">
            <v>2</v>
          </cell>
          <cell r="E3">
            <v>4</v>
          </cell>
          <cell r="F3">
            <v>5</v>
          </cell>
        </row>
        <row r="4">
          <cell r="B4" t="str">
            <v>Aalsmeer</v>
          </cell>
          <cell r="D4">
            <v>2</v>
          </cell>
          <cell r="E4">
            <v>4</v>
          </cell>
          <cell r="F4">
            <v>5</v>
          </cell>
        </row>
        <row r="5">
          <cell r="B5" t="str">
            <v>Aalten</v>
          </cell>
          <cell r="D5">
            <v>2</v>
          </cell>
          <cell r="E5">
            <v>4</v>
          </cell>
          <cell r="F5">
            <v>6</v>
          </cell>
        </row>
        <row r="6">
          <cell r="B6" t="str">
            <v>Achtkarspelen</v>
          </cell>
          <cell r="D6">
            <v>3</v>
          </cell>
          <cell r="E6">
            <v>5</v>
          </cell>
          <cell r="F6">
            <v>7</v>
          </cell>
        </row>
        <row r="7">
          <cell r="B7" t="str">
            <v>Alblasserdam</v>
          </cell>
          <cell r="D7">
            <v>2</v>
          </cell>
          <cell r="E7">
            <v>4</v>
          </cell>
          <cell r="F7">
            <v>5</v>
          </cell>
        </row>
        <row r="8">
          <cell r="B8" t="str">
            <v>Albrandswaard</v>
          </cell>
          <cell r="D8">
            <v>5</v>
          </cell>
          <cell r="E8">
            <v>8</v>
          </cell>
          <cell r="F8">
            <v>10</v>
          </cell>
        </row>
        <row r="9">
          <cell r="B9" t="str">
            <v>Alkmaar</v>
          </cell>
          <cell r="D9">
            <v>23</v>
          </cell>
          <cell r="E9">
            <v>38</v>
          </cell>
          <cell r="F9">
            <v>50</v>
          </cell>
        </row>
        <row r="10">
          <cell r="B10" t="str">
            <v>Almelo</v>
          </cell>
          <cell r="D10">
            <v>21</v>
          </cell>
          <cell r="E10">
            <v>40</v>
          </cell>
          <cell r="F10">
            <v>52</v>
          </cell>
        </row>
        <row r="11">
          <cell r="B11" t="str">
            <v>Almere</v>
          </cell>
          <cell r="D11">
            <v>28</v>
          </cell>
          <cell r="E11">
            <v>50</v>
          </cell>
          <cell r="F11">
            <v>65</v>
          </cell>
        </row>
        <row r="12">
          <cell r="B12" t="str">
            <v>Alphen aan den Rijn</v>
          </cell>
          <cell r="D12">
            <v>15</v>
          </cell>
          <cell r="E12">
            <v>28</v>
          </cell>
          <cell r="F12">
            <v>36</v>
          </cell>
        </row>
        <row r="13">
          <cell r="B13" t="str">
            <v>Alphen-Chaam</v>
          </cell>
          <cell r="D13">
            <v>0</v>
          </cell>
          <cell r="E13">
            <v>0</v>
          </cell>
          <cell r="F13">
            <v>1</v>
          </cell>
        </row>
        <row r="14">
          <cell r="B14" t="str">
            <v>Ameland</v>
          </cell>
          <cell r="D14">
            <v>0</v>
          </cell>
          <cell r="E14">
            <v>0</v>
          </cell>
          <cell r="F14">
            <v>1</v>
          </cell>
        </row>
        <row r="15">
          <cell r="B15" t="str">
            <v>Amersfoort</v>
          </cell>
          <cell r="D15">
            <v>17</v>
          </cell>
          <cell r="E15">
            <v>31</v>
          </cell>
          <cell r="F15">
            <v>41</v>
          </cell>
        </row>
        <row r="16">
          <cell r="B16" t="str">
            <v>Amstelveen</v>
          </cell>
          <cell r="D16">
            <v>9</v>
          </cell>
          <cell r="E16">
            <v>14</v>
          </cell>
          <cell r="F16">
            <v>19</v>
          </cell>
        </row>
        <row r="17">
          <cell r="B17" t="str">
            <v>Amsterdam</v>
          </cell>
          <cell r="D17">
            <v>130</v>
          </cell>
          <cell r="E17">
            <v>243</v>
          </cell>
          <cell r="F17">
            <v>316</v>
          </cell>
        </row>
        <row r="18">
          <cell r="B18" t="str">
            <v>Apeldoorn</v>
          </cell>
          <cell r="D18">
            <v>27</v>
          </cell>
          <cell r="E18">
            <v>48</v>
          </cell>
          <cell r="F18">
            <v>62</v>
          </cell>
        </row>
        <row r="19">
          <cell r="B19" t="str">
            <v>Appingedam</v>
          </cell>
          <cell r="D19">
            <v>2</v>
          </cell>
          <cell r="E19">
            <v>5</v>
          </cell>
          <cell r="F19">
            <v>6</v>
          </cell>
        </row>
        <row r="20">
          <cell r="B20" t="str">
            <v>Arnhem</v>
          </cell>
          <cell r="D20">
            <v>55</v>
          </cell>
          <cell r="E20">
            <v>97</v>
          </cell>
          <cell r="F20">
            <v>127</v>
          </cell>
        </row>
        <row r="21">
          <cell r="B21" t="str">
            <v>Assen</v>
          </cell>
          <cell r="D21">
            <v>15</v>
          </cell>
          <cell r="E21">
            <v>27</v>
          </cell>
          <cell r="F21">
            <v>35</v>
          </cell>
        </row>
        <row r="22">
          <cell r="B22" t="str">
            <v>Asten</v>
          </cell>
          <cell r="D22">
            <v>1</v>
          </cell>
          <cell r="E22">
            <v>3</v>
          </cell>
          <cell r="F22">
            <v>4</v>
          </cell>
        </row>
        <row r="23">
          <cell r="B23" t="str">
            <v>Baarle-Nassau</v>
          </cell>
          <cell r="D23">
            <v>1</v>
          </cell>
          <cell r="E23">
            <v>1</v>
          </cell>
          <cell r="F23">
            <v>1</v>
          </cell>
        </row>
        <row r="24">
          <cell r="B24" t="str">
            <v>Baarn</v>
          </cell>
          <cell r="D24">
            <v>1</v>
          </cell>
          <cell r="E24">
            <v>2</v>
          </cell>
          <cell r="F24">
            <v>3</v>
          </cell>
        </row>
        <row r="25">
          <cell r="B25" t="str">
            <v>Barendrecht</v>
          </cell>
          <cell r="D25">
            <v>3</v>
          </cell>
          <cell r="E25">
            <v>5</v>
          </cell>
          <cell r="F25">
            <v>7</v>
          </cell>
        </row>
        <row r="26">
          <cell r="B26" t="str">
            <v>Barneveld</v>
          </cell>
          <cell r="D26">
            <v>5</v>
          </cell>
          <cell r="E26">
            <v>7</v>
          </cell>
          <cell r="F26">
            <v>10</v>
          </cell>
        </row>
        <row r="27">
          <cell r="B27" t="str">
            <v>Bedum</v>
          </cell>
          <cell r="C27" t="str">
            <v>Het Hogeland</v>
          </cell>
          <cell r="D27">
            <v>2</v>
          </cell>
          <cell r="E27">
            <v>3</v>
          </cell>
          <cell r="F27">
            <v>4</v>
          </cell>
        </row>
        <row r="28">
          <cell r="B28" t="str">
            <v>Beek</v>
          </cell>
          <cell r="D28">
            <v>2</v>
          </cell>
          <cell r="E28">
            <v>2</v>
          </cell>
          <cell r="F28">
            <v>3</v>
          </cell>
        </row>
        <row r="29">
          <cell r="B29" t="str">
            <v>Beemster</v>
          </cell>
          <cell r="D29">
            <v>1</v>
          </cell>
          <cell r="E29">
            <v>2</v>
          </cell>
          <cell r="F29">
            <v>2</v>
          </cell>
        </row>
        <row r="30">
          <cell r="B30" t="str">
            <v>Beesel</v>
          </cell>
          <cell r="D30">
            <v>2</v>
          </cell>
          <cell r="E30">
            <v>3</v>
          </cell>
          <cell r="F30">
            <v>4</v>
          </cell>
        </row>
        <row r="31">
          <cell r="B31" t="str">
            <v>Bellingwedde</v>
          </cell>
          <cell r="C31" t="str">
            <v>Westerwolde</v>
          </cell>
          <cell r="D31">
            <v>1</v>
          </cell>
          <cell r="E31">
            <v>2</v>
          </cell>
          <cell r="F31">
            <v>3</v>
          </cell>
        </row>
        <row r="32">
          <cell r="B32" t="str">
            <v>Berg en Dal</v>
          </cell>
          <cell r="D32">
            <v>5</v>
          </cell>
          <cell r="E32">
            <v>8</v>
          </cell>
          <cell r="F32">
            <v>11</v>
          </cell>
        </row>
        <row r="33">
          <cell r="B33" t="str">
            <v>Bergeijk</v>
          </cell>
          <cell r="D33">
            <v>2</v>
          </cell>
          <cell r="E33">
            <v>4</v>
          </cell>
          <cell r="F33">
            <v>5</v>
          </cell>
        </row>
        <row r="34">
          <cell r="B34" t="str">
            <v>Bergen L</v>
          </cell>
          <cell r="D34">
            <v>2</v>
          </cell>
          <cell r="E34">
            <v>5</v>
          </cell>
          <cell r="F34">
            <v>6</v>
          </cell>
        </row>
        <row r="35">
          <cell r="B35" t="str">
            <v>Bergen NH</v>
          </cell>
          <cell r="D35">
            <v>3</v>
          </cell>
          <cell r="E35">
            <v>4</v>
          </cell>
          <cell r="F35">
            <v>5</v>
          </cell>
        </row>
        <row r="36">
          <cell r="B36" t="str">
            <v>Bergen op Zoom</v>
          </cell>
          <cell r="D36">
            <v>11</v>
          </cell>
          <cell r="E36">
            <v>20</v>
          </cell>
          <cell r="F36">
            <v>27</v>
          </cell>
        </row>
        <row r="37">
          <cell r="B37" t="str">
            <v>Berkelland</v>
          </cell>
          <cell r="D37">
            <v>6</v>
          </cell>
          <cell r="E37">
            <v>10</v>
          </cell>
          <cell r="F37">
            <v>13</v>
          </cell>
        </row>
        <row r="38">
          <cell r="B38" t="str">
            <v>Bernheze</v>
          </cell>
          <cell r="D38">
            <v>5</v>
          </cell>
          <cell r="E38">
            <v>10</v>
          </cell>
          <cell r="F38">
            <v>13</v>
          </cell>
        </row>
        <row r="39">
          <cell r="B39" t="str">
            <v>Best</v>
          </cell>
          <cell r="D39">
            <v>4</v>
          </cell>
          <cell r="E39">
            <v>7</v>
          </cell>
          <cell r="F39">
            <v>9</v>
          </cell>
        </row>
        <row r="40">
          <cell r="B40" t="str">
            <v>Beuningen</v>
          </cell>
          <cell r="D40">
            <v>3</v>
          </cell>
          <cell r="E40">
            <v>6</v>
          </cell>
          <cell r="F40">
            <v>8</v>
          </cell>
        </row>
        <row r="41">
          <cell r="B41" t="str">
            <v>Beverwijk</v>
          </cell>
          <cell r="D41">
            <v>6</v>
          </cell>
          <cell r="E41">
            <v>11</v>
          </cell>
          <cell r="F41">
            <v>15</v>
          </cell>
        </row>
        <row r="42">
          <cell r="B42" t="str">
            <v>Binnenmaas</v>
          </cell>
          <cell r="C42" t="str">
            <v>Hoeksche Waard</v>
          </cell>
          <cell r="D42">
            <v>3</v>
          </cell>
          <cell r="E42">
            <v>4</v>
          </cell>
          <cell r="F42">
            <v>6</v>
          </cell>
        </row>
        <row r="43">
          <cell r="B43" t="str">
            <v>Bladel</v>
          </cell>
          <cell r="D43">
            <v>3</v>
          </cell>
          <cell r="E43">
            <v>7</v>
          </cell>
          <cell r="F43">
            <v>9</v>
          </cell>
        </row>
        <row r="44">
          <cell r="B44" t="str">
            <v>Blaricum</v>
          </cell>
          <cell r="D44">
            <v>0</v>
          </cell>
          <cell r="E44">
            <v>0</v>
          </cell>
          <cell r="F44">
            <v>1</v>
          </cell>
        </row>
        <row r="45">
          <cell r="B45" t="str">
            <v>Bloemendaal</v>
          </cell>
          <cell r="D45">
            <v>1</v>
          </cell>
          <cell r="E45">
            <v>2</v>
          </cell>
          <cell r="F45">
            <v>3</v>
          </cell>
        </row>
        <row r="46">
          <cell r="B46" t="str">
            <v>Bodegraven-Reeuwijk</v>
          </cell>
          <cell r="D46">
            <v>3</v>
          </cell>
          <cell r="E46">
            <v>5</v>
          </cell>
          <cell r="F46">
            <v>6</v>
          </cell>
        </row>
        <row r="47">
          <cell r="B47" t="str">
            <v>Boekel</v>
          </cell>
          <cell r="D47">
            <v>2</v>
          </cell>
          <cell r="E47">
            <v>4</v>
          </cell>
          <cell r="F47">
            <v>5</v>
          </cell>
        </row>
        <row r="48">
          <cell r="B48" t="str">
            <v>Borger-Odoorn</v>
          </cell>
          <cell r="D48">
            <v>5</v>
          </cell>
          <cell r="E48">
            <v>8</v>
          </cell>
          <cell r="F48">
            <v>11</v>
          </cell>
        </row>
        <row r="49">
          <cell r="B49" t="str">
            <v>Borne</v>
          </cell>
          <cell r="D49">
            <v>2</v>
          </cell>
          <cell r="E49">
            <v>4</v>
          </cell>
          <cell r="F49">
            <v>5</v>
          </cell>
        </row>
        <row r="50">
          <cell r="B50" t="str">
            <v>Borsele</v>
          </cell>
          <cell r="D50">
            <v>2</v>
          </cell>
          <cell r="E50">
            <v>4</v>
          </cell>
          <cell r="F50">
            <v>5</v>
          </cell>
        </row>
        <row r="51">
          <cell r="B51" t="str">
            <v>Boxmeer</v>
          </cell>
          <cell r="D51">
            <v>6</v>
          </cell>
          <cell r="E51">
            <v>12</v>
          </cell>
          <cell r="F51">
            <v>15</v>
          </cell>
        </row>
        <row r="52">
          <cell r="B52" t="str">
            <v>Boxtel</v>
          </cell>
          <cell r="D52">
            <v>10</v>
          </cell>
          <cell r="E52">
            <v>21</v>
          </cell>
          <cell r="F52">
            <v>27</v>
          </cell>
        </row>
        <row r="53">
          <cell r="B53" t="str">
            <v>Breda</v>
          </cell>
          <cell r="D53">
            <v>26</v>
          </cell>
          <cell r="E53">
            <v>49</v>
          </cell>
          <cell r="F53">
            <v>63</v>
          </cell>
        </row>
        <row r="54">
          <cell r="B54" t="str">
            <v>Brielle</v>
          </cell>
          <cell r="D54">
            <v>1</v>
          </cell>
          <cell r="E54">
            <v>2</v>
          </cell>
          <cell r="F54">
            <v>2</v>
          </cell>
        </row>
        <row r="55">
          <cell r="B55" t="str">
            <v>Bronckhorst</v>
          </cell>
          <cell r="D55">
            <v>4</v>
          </cell>
          <cell r="E55">
            <v>8</v>
          </cell>
          <cell r="F55">
            <v>10</v>
          </cell>
        </row>
        <row r="56">
          <cell r="B56" t="str">
            <v>Brummen</v>
          </cell>
          <cell r="D56">
            <v>3</v>
          </cell>
          <cell r="E56">
            <v>5</v>
          </cell>
          <cell r="F56">
            <v>6</v>
          </cell>
        </row>
        <row r="57">
          <cell r="B57" t="str">
            <v>Brunssum</v>
          </cell>
          <cell r="D57">
            <v>5</v>
          </cell>
          <cell r="E57">
            <v>9</v>
          </cell>
          <cell r="F57">
            <v>12</v>
          </cell>
        </row>
        <row r="58">
          <cell r="B58" t="str">
            <v>Bunnik</v>
          </cell>
          <cell r="D58">
            <v>1</v>
          </cell>
          <cell r="E58">
            <v>1</v>
          </cell>
          <cell r="F58">
            <v>1</v>
          </cell>
        </row>
        <row r="59">
          <cell r="B59" t="str">
            <v>Bunschoten</v>
          </cell>
          <cell r="D59">
            <v>1</v>
          </cell>
          <cell r="E59">
            <v>2</v>
          </cell>
          <cell r="F59">
            <v>2</v>
          </cell>
        </row>
        <row r="60">
          <cell r="B60" t="str">
            <v>Buren</v>
          </cell>
          <cell r="D60">
            <v>3</v>
          </cell>
          <cell r="E60">
            <v>6</v>
          </cell>
          <cell r="F60">
            <v>7</v>
          </cell>
        </row>
        <row r="61">
          <cell r="B61" t="str">
            <v>Capelle aan den IJssel</v>
          </cell>
          <cell r="D61">
            <v>10</v>
          </cell>
          <cell r="E61">
            <v>15</v>
          </cell>
          <cell r="F61">
            <v>19</v>
          </cell>
        </row>
        <row r="62">
          <cell r="B62" t="str">
            <v>Castricum</v>
          </cell>
          <cell r="D62">
            <v>4</v>
          </cell>
          <cell r="E62">
            <v>5</v>
          </cell>
          <cell r="F62">
            <v>7</v>
          </cell>
        </row>
        <row r="63">
          <cell r="B63" t="str">
            <v>Coevorden</v>
          </cell>
          <cell r="D63">
            <v>5</v>
          </cell>
          <cell r="E63">
            <v>9</v>
          </cell>
          <cell r="F63">
            <v>11</v>
          </cell>
        </row>
        <row r="64">
          <cell r="B64" t="str">
            <v>Cranendonck</v>
          </cell>
          <cell r="D64">
            <v>2</v>
          </cell>
          <cell r="E64">
            <v>4</v>
          </cell>
          <cell r="F64">
            <v>6</v>
          </cell>
        </row>
        <row r="65">
          <cell r="B65" t="str">
            <v>Cromstrijen</v>
          </cell>
          <cell r="C65" t="str">
            <v>Hoeksche Waard</v>
          </cell>
          <cell r="D65">
            <v>1</v>
          </cell>
          <cell r="E65">
            <v>2</v>
          </cell>
          <cell r="F65">
            <v>2</v>
          </cell>
        </row>
        <row r="66">
          <cell r="B66" t="str">
            <v>Cuijk</v>
          </cell>
          <cell r="D66">
            <v>6</v>
          </cell>
          <cell r="E66">
            <v>12</v>
          </cell>
          <cell r="F66">
            <v>15</v>
          </cell>
        </row>
        <row r="67">
          <cell r="B67" t="str">
            <v>Culemborg</v>
          </cell>
          <cell r="D67">
            <v>4</v>
          </cell>
          <cell r="E67">
            <v>8</v>
          </cell>
          <cell r="F67">
            <v>11</v>
          </cell>
        </row>
        <row r="68">
          <cell r="B68" t="str">
            <v>Dalfsen</v>
          </cell>
          <cell r="D68">
            <v>2</v>
          </cell>
          <cell r="E68">
            <v>4</v>
          </cell>
          <cell r="F68">
            <v>5</v>
          </cell>
        </row>
        <row r="69">
          <cell r="B69" t="str">
            <v>Dantumadiel</v>
          </cell>
          <cell r="D69">
            <v>2</v>
          </cell>
          <cell r="E69">
            <v>4</v>
          </cell>
          <cell r="F69">
            <v>5</v>
          </cell>
        </row>
        <row r="70">
          <cell r="B70" t="str">
            <v>De Bilt</v>
          </cell>
          <cell r="D70">
            <v>3</v>
          </cell>
          <cell r="E70">
            <v>4</v>
          </cell>
          <cell r="F70">
            <v>6</v>
          </cell>
        </row>
        <row r="71">
          <cell r="B71" t="str">
            <v>De Fryske Marren</v>
          </cell>
          <cell r="D71">
            <v>4</v>
          </cell>
          <cell r="E71">
            <v>6</v>
          </cell>
          <cell r="F71">
            <v>7</v>
          </cell>
        </row>
        <row r="72">
          <cell r="B72" t="str">
            <v>De Marne</v>
          </cell>
          <cell r="C72" t="str">
            <v>Het Hogeland</v>
          </cell>
          <cell r="D72">
            <v>2</v>
          </cell>
          <cell r="E72">
            <v>3</v>
          </cell>
          <cell r="F72">
            <v>4</v>
          </cell>
        </row>
        <row r="73">
          <cell r="B73" t="str">
            <v>De Ronde venen</v>
          </cell>
          <cell r="D73">
            <v>3</v>
          </cell>
          <cell r="E73">
            <v>5</v>
          </cell>
          <cell r="F73">
            <v>7</v>
          </cell>
        </row>
        <row r="74">
          <cell r="B74" t="str">
            <v>De Wolden</v>
          </cell>
          <cell r="D74">
            <v>2</v>
          </cell>
          <cell r="E74">
            <v>3</v>
          </cell>
          <cell r="F74">
            <v>4</v>
          </cell>
        </row>
        <row r="75">
          <cell r="B75" t="str">
            <v>Delft</v>
          </cell>
          <cell r="D75">
            <v>20</v>
          </cell>
          <cell r="E75">
            <v>35</v>
          </cell>
          <cell r="F75">
            <v>45</v>
          </cell>
        </row>
        <row r="76">
          <cell r="B76" t="str">
            <v>Delfzijl</v>
          </cell>
          <cell r="D76">
            <v>6</v>
          </cell>
          <cell r="E76">
            <v>10</v>
          </cell>
          <cell r="F76">
            <v>13</v>
          </cell>
        </row>
        <row r="77">
          <cell r="B77" t="str">
            <v>Den Helder</v>
          </cell>
          <cell r="D77">
            <v>18</v>
          </cell>
          <cell r="E77">
            <v>28</v>
          </cell>
          <cell r="F77">
            <v>36</v>
          </cell>
        </row>
        <row r="78">
          <cell r="B78" t="str">
            <v>Deurne</v>
          </cell>
          <cell r="D78">
            <v>5</v>
          </cell>
          <cell r="E78">
            <v>10</v>
          </cell>
          <cell r="F78">
            <v>14</v>
          </cell>
        </row>
        <row r="79">
          <cell r="B79" t="str">
            <v>Deventer</v>
          </cell>
          <cell r="D79">
            <v>28</v>
          </cell>
          <cell r="E79">
            <v>53</v>
          </cell>
          <cell r="F79">
            <v>69</v>
          </cell>
        </row>
        <row r="80">
          <cell r="B80" t="str">
            <v>Diemen</v>
          </cell>
          <cell r="D80">
            <v>3</v>
          </cell>
          <cell r="E80">
            <v>6</v>
          </cell>
          <cell r="F80">
            <v>7</v>
          </cell>
        </row>
        <row r="81">
          <cell r="B81" t="str">
            <v>Dinkelland</v>
          </cell>
          <cell r="D81">
            <v>2</v>
          </cell>
          <cell r="E81">
            <v>3</v>
          </cell>
          <cell r="F81">
            <v>4</v>
          </cell>
        </row>
        <row r="82">
          <cell r="B82" t="str">
            <v>Doesburg</v>
          </cell>
          <cell r="D82">
            <v>2</v>
          </cell>
          <cell r="E82">
            <v>4</v>
          </cell>
          <cell r="F82">
            <v>5</v>
          </cell>
        </row>
        <row r="83">
          <cell r="B83" t="str">
            <v>Doetinchem</v>
          </cell>
          <cell r="D83">
            <v>11</v>
          </cell>
          <cell r="E83">
            <v>20</v>
          </cell>
          <cell r="F83">
            <v>26</v>
          </cell>
        </row>
        <row r="84">
          <cell r="B84" t="str">
            <v>Dongen</v>
          </cell>
          <cell r="D84">
            <v>2</v>
          </cell>
          <cell r="E84">
            <v>4</v>
          </cell>
          <cell r="F84">
            <v>5</v>
          </cell>
        </row>
        <row r="85">
          <cell r="B85" t="str">
            <v>Dongeradeel</v>
          </cell>
          <cell r="C85" t="str">
            <v>Noardeast-Fryslân</v>
          </cell>
          <cell r="D85">
            <v>3</v>
          </cell>
          <cell r="E85">
            <v>4</v>
          </cell>
          <cell r="F85">
            <v>6</v>
          </cell>
        </row>
        <row r="86">
          <cell r="B86" t="str">
            <v>Dordrecht</v>
          </cell>
          <cell r="D86">
            <v>30</v>
          </cell>
          <cell r="E86">
            <v>51</v>
          </cell>
          <cell r="F86">
            <v>66</v>
          </cell>
        </row>
        <row r="87">
          <cell r="B87" t="str">
            <v>Drechterland</v>
          </cell>
          <cell r="D87">
            <v>2</v>
          </cell>
          <cell r="E87">
            <v>3</v>
          </cell>
          <cell r="F87">
            <v>4</v>
          </cell>
        </row>
        <row r="88">
          <cell r="B88" t="str">
            <v>Drimmelen</v>
          </cell>
          <cell r="D88">
            <v>2</v>
          </cell>
          <cell r="E88">
            <v>3</v>
          </cell>
          <cell r="F88">
            <v>4</v>
          </cell>
        </row>
        <row r="89">
          <cell r="B89" t="str">
            <v>Dronten</v>
          </cell>
          <cell r="D89">
            <v>3</v>
          </cell>
          <cell r="E89">
            <v>6</v>
          </cell>
          <cell r="F89">
            <v>7</v>
          </cell>
        </row>
        <row r="90">
          <cell r="B90" t="str">
            <v>Druten</v>
          </cell>
          <cell r="D90">
            <v>2</v>
          </cell>
          <cell r="E90">
            <v>4</v>
          </cell>
          <cell r="F90">
            <v>5</v>
          </cell>
        </row>
        <row r="91">
          <cell r="B91" t="str">
            <v>Duiven</v>
          </cell>
          <cell r="D91">
            <v>4</v>
          </cell>
          <cell r="E91">
            <v>6</v>
          </cell>
          <cell r="F91">
            <v>8</v>
          </cell>
        </row>
        <row r="92">
          <cell r="B92" t="str">
            <v>Echt-Susteren</v>
          </cell>
          <cell r="D92">
            <v>4</v>
          </cell>
          <cell r="E92">
            <v>8</v>
          </cell>
          <cell r="F92">
            <v>10</v>
          </cell>
        </row>
        <row r="93">
          <cell r="B93" t="str">
            <v>Edam-Volendam</v>
          </cell>
          <cell r="D93">
            <v>3</v>
          </cell>
          <cell r="E93">
            <v>5</v>
          </cell>
          <cell r="F93">
            <v>6</v>
          </cell>
        </row>
        <row r="94">
          <cell r="B94" t="str">
            <v>Ede</v>
          </cell>
          <cell r="D94">
            <v>20</v>
          </cell>
          <cell r="E94">
            <v>32</v>
          </cell>
          <cell r="F94">
            <v>42</v>
          </cell>
        </row>
        <row r="95">
          <cell r="B95" t="str">
            <v>Eemnes</v>
          </cell>
          <cell r="D95">
            <v>0</v>
          </cell>
          <cell r="E95">
            <v>1</v>
          </cell>
          <cell r="F95">
            <v>1</v>
          </cell>
        </row>
        <row r="96">
          <cell r="B96" t="str">
            <v>Eemsmond</v>
          </cell>
          <cell r="C96" t="str">
            <v>Het Hogeland</v>
          </cell>
          <cell r="D96">
            <v>4</v>
          </cell>
          <cell r="E96">
            <v>8</v>
          </cell>
          <cell r="F96">
            <v>10</v>
          </cell>
        </row>
        <row r="97">
          <cell r="B97" t="str">
            <v>Eersel</v>
          </cell>
          <cell r="D97">
            <v>2</v>
          </cell>
          <cell r="E97">
            <v>5</v>
          </cell>
          <cell r="F97">
            <v>6</v>
          </cell>
        </row>
        <row r="98">
          <cell r="B98" t="str">
            <v>Eijsden-Margraten</v>
          </cell>
          <cell r="D98">
            <v>5</v>
          </cell>
          <cell r="E98">
            <v>7</v>
          </cell>
          <cell r="F98">
            <v>10</v>
          </cell>
        </row>
        <row r="99">
          <cell r="B99" t="str">
            <v>Eindhoven</v>
          </cell>
          <cell r="D99">
            <v>39</v>
          </cell>
          <cell r="E99">
            <v>83</v>
          </cell>
          <cell r="F99">
            <v>108</v>
          </cell>
        </row>
        <row r="100">
          <cell r="B100" t="str">
            <v>Elburg</v>
          </cell>
          <cell r="D100">
            <v>4</v>
          </cell>
          <cell r="E100">
            <v>7</v>
          </cell>
          <cell r="F100">
            <v>10</v>
          </cell>
        </row>
        <row r="101">
          <cell r="B101" t="str">
            <v>Emmen</v>
          </cell>
          <cell r="D101">
            <v>20</v>
          </cell>
          <cell r="E101">
            <v>35</v>
          </cell>
          <cell r="F101">
            <v>45</v>
          </cell>
        </row>
        <row r="102">
          <cell r="B102" t="str">
            <v>Enkhuizen</v>
          </cell>
          <cell r="D102">
            <v>4</v>
          </cell>
          <cell r="E102">
            <v>6</v>
          </cell>
          <cell r="F102">
            <v>7</v>
          </cell>
        </row>
        <row r="103">
          <cell r="B103" t="str">
            <v>Enschede</v>
          </cell>
          <cell r="D103">
            <v>32</v>
          </cell>
          <cell r="E103">
            <v>53</v>
          </cell>
          <cell r="F103">
            <v>69</v>
          </cell>
        </row>
        <row r="104">
          <cell r="B104" t="str">
            <v>Epe</v>
          </cell>
          <cell r="D104">
            <v>4</v>
          </cell>
          <cell r="E104">
            <v>7</v>
          </cell>
          <cell r="F104">
            <v>9</v>
          </cell>
        </row>
        <row r="105">
          <cell r="B105" t="str">
            <v>Ermelo</v>
          </cell>
          <cell r="D105">
            <v>4</v>
          </cell>
          <cell r="E105">
            <v>8</v>
          </cell>
          <cell r="F105">
            <v>10</v>
          </cell>
        </row>
        <row r="106">
          <cell r="B106" t="str">
            <v>Etten-Leur</v>
          </cell>
          <cell r="D106">
            <v>5</v>
          </cell>
          <cell r="E106">
            <v>10</v>
          </cell>
          <cell r="F106">
            <v>12</v>
          </cell>
        </row>
        <row r="107">
          <cell r="B107" t="str">
            <v>Ferwerderadiel</v>
          </cell>
          <cell r="C107" t="str">
            <v>Noardeast-Fryslân</v>
          </cell>
          <cell r="D107">
            <v>1</v>
          </cell>
          <cell r="E107">
            <v>2</v>
          </cell>
          <cell r="F107">
            <v>2</v>
          </cell>
        </row>
        <row r="108">
          <cell r="B108" t="str">
            <v>Franekeradeel</v>
          </cell>
          <cell r="C108" t="str">
            <v>Waadhoeke</v>
          </cell>
          <cell r="D108">
            <v>3</v>
          </cell>
          <cell r="E108">
            <v>5</v>
          </cell>
          <cell r="F108">
            <v>7</v>
          </cell>
        </row>
        <row r="109">
          <cell r="B109" t="str">
            <v>Geertruidenberg</v>
          </cell>
          <cell r="D109">
            <v>3</v>
          </cell>
          <cell r="E109">
            <v>7</v>
          </cell>
          <cell r="F109">
            <v>9</v>
          </cell>
        </row>
        <row r="110">
          <cell r="B110" t="str">
            <v>Geldermalsen</v>
          </cell>
          <cell r="C110" t="str">
            <v>West Betuwe</v>
          </cell>
          <cell r="D110">
            <v>3</v>
          </cell>
          <cell r="E110">
            <v>6</v>
          </cell>
          <cell r="F110">
            <v>8</v>
          </cell>
        </row>
        <row r="111">
          <cell r="B111" t="str">
            <v>Geldrop-Mierlo</v>
          </cell>
          <cell r="D111">
            <v>5</v>
          </cell>
          <cell r="E111">
            <v>11</v>
          </cell>
          <cell r="F111">
            <v>15</v>
          </cell>
        </row>
        <row r="112">
          <cell r="B112" t="str">
            <v>Gemert-Bakel</v>
          </cell>
          <cell r="D112">
            <v>4</v>
          </cell>
          <cell r="E112">
            <v>10</v>
          </cell>
          <cell r="F112">
            <v>12</v>
          </cell>
        </row>
        <row r="113">
          <cell r="B113" t="str">
            <v>Gennep</v>
          </cell>
          <cell r="D113">
            <v>3</v>
          </cell>
          <cell r="E113">
            <v>7</v>
          </cell>
          <cell r="F113">
            <v>9</v>
          </cell>
        </row>
        <row r="114">
          <cell r="B114" t="str">
            <v>Giessenlanden</v>
          </cell>
          <cell r="C114" t="str">
            <v>Molenlanden</v>
          </cell>
          <cell r="D114">
            <v>1</v>
          </cell>
          <cell r="E114">
            <v>2</v>
          </cell>
          <cell r="F114">
            <v>2</v>
          </cell>
        </row>
        <row r="115">
          <cell r="B115" t="str">
            <v>Gilze en Rijen</v>
          </cell>
          <cell r="D115">
            <v>2</v>
          </cell>
          <cell r="E115">
            <v>4</v>
          </cell>
          <cell r="F115">
            <v>5</v>
          </cell>
        </row>
        <row r="116">
          <cell r="B116" t="str">
            <v>Goeree-Overflakkee</v>
          </cell>
          <cell r="D116">
            <v>5</v>
          </cell>
          <cell r="E116">
            <v>8</v>
          </cell>
          <cell r="F116">
            <v>11</v>
          </cell>
        </row>
        <row r="117">
          <cell r="B117" t="str">
            <v>Goes</v>
          </cell>
          <cell r="D117">
            <v>6</v>
          </cell>
          <cell r="E117">
            <v>11</v>
          </cell>
          <cell r="F117">
            <v>15</v>
          </cell>
        </row>
        <row r="118">
          <cell r="B118" t="str">
            <v>Goirle</v>
          </cell>
          <cell r="D118">
            <v>3</v>
          </cell>
          <cell r="E118">
            <v>5</v>
          </cell>
          <cell r="F118">
            <v>7</v>
          </cell>
        </row>
        <row r="119">
          <cell r="B119" t="str">
            <v>Gooise Meren</v>
          </cell>
          <cell r="D119">
            <v>3</v>
          </cell>
          <cell r="E119">
            <v>5</v>
          </cell>
          <cell r="F119">
            <v>7</v>
          </cell>
        </row>
        <row r="120">
          <cell r="B120" t="str">
            <v>Gorinchem</v>
          </cell>
          <cell r="D120">
            <v>8</v>
          </cell>
          <cell r="E120">
            <v>15</v>
          </cell>
          <cell r="F120">
            <v>20</v>
          </cell>
        </row>
        <row r="121">
          <cell r="B121" t="str">
            <v>Gouda</v>
          </cell>
          <cell r="D121">
            <v>19</v>
          </cell>
          <cell r="E121">
            <v>36</v>
          </cell>
          <cell r="F121">
            <v>47</v>
          </cell>
        </row>
        <row r="122">
          <cell r="B122" t="str">
            <v>Grave</v>
          </cell>
          <cell r="D122">
            <v>2</v>
          </cell>
          <cell r="E122">
            <v>4</v>
          </cell>
          <cell r="F122">
            <v>6</v>
          </cell>
        </row>
        <row r="123">
          <cell r="B123" t="str">
            <v>Groningen</v>
          </cell>
          <cell r="C123" t="str">
            <v>Groningen</v>
          </cell>
          <cell r="D123">
            <v>44</v>
          </cell>
          <cell r="E123">
            <v>70</v>
          </cell>
          <cell r="F123">
            <v>92</v>
          </cell>
        </row>
        <row r="124">
          <cell r="B124" t="str">
            <v>Grootegast</v>
          </cell>
          <cell r="C124" t="str">
            <v>Westerkwartier</v>
          </cell>
          <cell r="D124">
            <v>1</v>
          </cell>
          <cell r="E124">
            <v>2</v>
          </cell>
          <cell r="F124">
            <v>3</v>
          </cell>
        </row>
        <row r="125">
          <cell r="B125" t="str">
            <v>Gulpen-Wittem</v>
          </cell>
          <cell r="D125">
            <v>1</v>
          </cell>
          <cell r="E125">
            <v>1</v>
          </cell>
          <cell r="F125">
            <v>2</v>
          </cell>
        </row>
        <row r="126">
          <cell r="B126" t="str">
            <v>Haaksbergen</v>
          </cell>
          <cell r="D126">
            <v>3</v>
          </cell>
          <cell r="E126">
            <v>5</v>
          </cell>
          <cell r="F126">
            <v>6</v>
          </cell>
        </row>
        <row r="127">
          <cell r="B127" t="str">
            <v>Haaren</v>
          </cell>
          <cell r="D127">
            <v>1</v>
          </cell>
          <cell r="E127">
            <v>2</v>
          </cell>
          <cell r="F127">
            <v>2</v>
          </cell>
        </row>
        <row r="128">
          <cell r="B128" t="str">
            <v>Haarlem</v>
          </cell>
          <cell r="D128">
            <v>25</v>
          </cell>
          <cell r="E128">
            <v>40</v>
          </cell>
          <cell r="F128">
            <v>52</v>
          </cell>
        </row>
        <row r="129">
          <cell r="B129" t="str">
            <v>Haarlemmerliede</v>
          </cell>
          <cell r="C129" t="str">
            <v>Haarlemmermeer</v>
          </cell>
          <cell r="D129">
            <v>0</v>
          </cell>
          <cell r="E129">
            <v>0</v>
          </cell>
          <cell r="F129">
            <v>1</v>
          </cell>
        </row>
        <row r="130">
          <cell r="B130" t="str">
            <v>Haarlemmermeer</v>
          </cell>
          <cell r="C130" t="str">
            <v>Haarlemmermeer</v>
          </cell>
          <cell r="D130">
            <v>13</v>
          </cell>
          <cell r="E130">
            <v>21</v>
          </cell>
          <cell r="F130">
            <v>27</v>
          </cell>
        </row>
        <row r="131">
          <cell r="B131" t="str">
            <v>Halderberge</v>
          </cell>
          <cell r="D131">
            <v>4</v>
          </cell>
          <cell r="E131">
            <v>8</v>
          </cell>
          <cell r="F131">
            <v>11</v>
          </cell>
        </row>
        <row r="132">
          <cell r="B132" t="str">
            <v>Hardenberg</v>
          </cell>
          <cell r="D132">
            <v>9</v>
          </cell>
          <cell r="E132">
            <v>16</v>
          </cell>
          <cell r="F132">
            <v>21</v>
          </cell>
        </row>
        <row r="133">
          <cell r="B133" t="str">
            <v>Harderwijk</v>
          </cell>
          <cell r="D133">
            <v>6</v>
          </cell>
          <cell r="E133">
            <v>12</v>
          </cell>
          <cell r="F133">
            <v>16</v>
          </cell>
        </row>
        <row r="134">
          <cell r="B134" t="str">
            <v>Hardinxveld-Giessendam</v>
          </cell>
          <cell r="D134">
            <v>2</v>
          </cell>
          <cell r="E134">
            <v>4</v>
          </cell>
          <cell r="F134">
            <v>5</v>
          </cell>
        </row>
        <row r="135">
          <cell r="B135" t="str">
            <v>Haren</v>
          </cell>
          <cell r="C135" t="str">
            <v>Groningen</v>
          </cell>
          <cell r="D135">
            <v>1</v>
          </cell>
          <cell r="E135">
            <v>2</v>
          </cell>
          <cell r="F135">
            <v>2</v>
          </cell>
        </row>
        <row r="136">
          <cell r="B136" t="str">
            <v>Harlingen</v>
          </cell>
          <cell r="D136">
            <v>2</v>
          </cell>
          <cell r="E136">
            <v>4</v>
          </cell>
          <cell r="F136">
            <v>5</v>
          </cell>
        </row>
        <row r="137">
          <cell r="B137" t="str">
            <v>Hattem</v>
          </cell>
          <cell r="D137">
            <v>1</v>
          </cell>
          <cell r="E137">
            <v>2</v>
          </cell>
          <cell r="F137">
            <v>2</v>
          </cell>
        </row>
        <row r="138">
          <cell r="B138" t="str">
            <v>Heemskerk</v>
          </cell>
          <cell r="D138">
            <v>5</v>
          </cell>
          <cell r="E138">
            <v>10</v>
          </cell>
          <cell r="F138">
            <v>12</v>
          </cell>
        </row>
        <row r="139">
          <cell r="B139" t="str">
            <v>Heemstede</v>
          </cell>
          <cell r="D139">
            <v>2</v>
          </cell>
          <cell r="E139">
            <v>4</v>
          </cell>
          <cell r="F139">
            <v>5</v>
          </cell>
        </row>
        <row r="140">
          <cell r="B140" t="str">
            <v>Heerde</v>
          </cell>
          <cell r="D140">
            <v>3</v>
          </cell>
          <cell r="E140">
            <v>5</v>
          </cell>
          <cell r="F140">
            <v>6</v>
          </cell>
        </row>
        <row r="141">
          <cell r="B141" t="str">
            <v>Heerenveen</v>
          </cell>
          <cell r="D141">
            <v>4</v>
          </cell>
          <cell r="E141">
            <v>7</v>
          </cell>
          <cell r="F141">
            <v>9</v>
          </cell>
        </row>
        <row r="142">
          <cell r="B142" t="str">
            <v>Heerhugowaard</v>
          </cell>
          <cell r="D142">
            <v>12</v>
          </cell>
          <cell r="E142">
            <v>18</v>
          </cell>
          <cell r="F142">
            <v>23</v>
          </cell>
        </row>
        <row r="143">
          <cell r="B143" t="str">
            <v>Heerlen</v>
          </cell>
          <cell r="D143">
            <v>25</v>
          </cell>
          <cell r="E143">
            <v>41</v>
          </cell>
          <cell r="F143">
            <v>54</v>
          </cell>
        </row>
        <row r="144">
          <cell r="B144" t="str">
            <v>Heeze-Leende</v>
          </cell>
          <cell r="D144">
            <v>1</v>
          </cell>
          <cell r="E144">
            <v>2</v>
          </cell>
          <cell r="F144">
            <v>3</v>
          </cell>
        </row>
        <row r="145">
          <cell r="B145" t="str">
            <v>Heiloo</v>
          </cell>
          <cell r="D145">
            <v>4</v>
          </cell>
          <cell r="E145">
            <v>6</v>
          </cell>
          <cell r="F145">
            <v>8</v>
          </cell>
        </row>
        <row r="146">
          <cell r="B146" t="str">
            <v>Hellendoorn</v>
          </cell>
          <cell r="D146">
            <v>4</v>
          </cell>
          <cell r="E146">
            <v>6</v>
          </cell>
          <cell r="F146">
            <v>8</v>
          </cell>
        </row>
        <row r="147">
          <cell r="B147" t="str">
            <v>Hellevoetsluis</v>
          </cell>
          <cell r="D147">
            <v>5</v>
          </cell>
          <cell r="E147">
            <v>7</v>
          </cell>
          <cell r="F147">
            <v>9</v>
          </cell>
        </row>
        <row r="148">
          <cell r="B148" t="str">
            <v>Helmond</v>
          </cell>
          <cell r="D148">
            <v>21</v>
          </cell>
          <cell r="E148">
            <v>47</v>
          </cell>
          <cell r="F148">
            <v>61</v>
          </cell>
        </row>
        <row r="149">
          <cell r="B149" t="str">
            <v>Hendrik-Ido-Ambacht</v>
          </cell>
          <cell r="D149">
            <v>3</v>
          </cell>
          <cell r="E149">
            <v>4</v>
          </cell>
          <cell r="F149">
            <v>6</v>
          </cell>
        </row>
        <row r="150">
          <cell r="B150" t="str">
            <v>Hengelo O</v>
          </cell>
          <cell r="D150">
            <v>14</v>
          </cell>
          <cell r="E150">
            <v>26</v>
          </cell>
          <cell r="F150">
            <v>34</v>
          </cell>
        </row>
        <row r="151">
          <cell r="B151" t="str">
            <v>Het Bildt</v>
          </cell>
          <cell r="C151" t="str">
            <v>Waadhoeke</v>
          </cell>
          <cell r="D151">
            <v>2</v>
          </cell>
          <cell r="E151">
            <v>2</v>
          </cell>
          <cell r="F151">
            <v>3</v>
          </cell>
        </row>
        <row r="152">
          <cell r="B152" t="str">
            <v>Heumen</v>
          </cell>
          <cell r="D152">
            <v>2</v>
          </cell>
          <cell r="E152">
            <v>3</v>
          </cell>
          <cell r="F152">
            <v>4</v>
          </cell>
        </row>
        <row r="153">
          <cell r="B153" t="str">
            <v>Heusden</v>
          </cell>
          <cell r="D153">
            <v>5</v>
          </cell>
          <cell r="E153">
            <v>10</v>
          </cell>
          <cell r="F153">
            <v>13</v>
          </cell>
        </row>
        <row r="154">
          <cell r="B154" t="str">
            <v>Hillegom</v>
          </cell>
          <cell r="D154">
            <v>3</v>
          </cell>
          <cell r="E154">
            <v>6</v>
          </cell>
          <cell r="F154">
            <v>8</v>
          </cell>
        </row>
        <row r="155">
          <cell r="B155" t="str">
            <v>Hilvarenbeek</v>
          </cell>
          <cell r="D155">
            <v>1</v>
          </cell>
          <cell r="E155">
            <v>1</v>
          </cell>
          <cell r="F155">
            <v>2</v>
          </cell>
        </row>
        <row r="156">
          <cell r="B156" t="str">
            <v>Hilversum</v>
          </cell>
          <cell r="D156">
            <v>8</v>
          </cell>
          <cell r="E156">
            <v>14</v>
          </cell>
          <cell r="F156">
            <v>18</v>
          </cell>
        </row>
        <row r="157">
          <cell r="B157" t="str">
            <v>Hof van Twente</v>
          </cell>
          <cell r="D157">
            <v>3</v>
          </cell>
          <cell r="E157">
            <v>5</v>
          </cell>
          <cell r="F157">
            <v>6</v>
          </cell>
        </row>
        <row r="158">
          <cell r="B158" t="str">
            <v>Hollands Kroon</v>
          </cell>
          <cell r="D158">
            <v>6</v>
          </cell>
          <cell r="E158">
            <v>10</v>
          </cell>
          <cell r="F158">
            <v>13</v>
          </cell>
        </row>
        <row r="159">
          <cell r="B159" t="str">
            <v>Hoogeveen</v>
          </cell>
          <cell r="D159">
            <v>10</v>
          </cell>
          <cell r="E159">
            <v>20</v>
          </cell>
          <cell r="F159">
            <v>26</v>
          </cell>
        </row>
        <row r="160">
          <cell r="B160" t="str">
            <v>Hoogezand</v>
          </cell>
          <cell r="C160" t="str">
            <v>Midden-Groningen</v>
          </cell>
          <cell r="D160">
            <v>7</v>
          </cell>
          <cell r="E160">
            <v>11</v>
          </cell>
          <cell r="F160">
            <v>15</v>
          </cell>
        </row>
        <row r="161">
          <cell r="B161" t="str">
            <v>Hoorn</v>
          </cell>
          <cell r="D161">
            <v>20</v>
          </cell>
          <cell r="E161">
            <v>31</v>
          </cell>
          <cell r="F161">
            <v>40</v>
          </cell>
        </row>
        <row r="162">
          <cell r="B162" t="str">
            <v>Horst aan de Maas</v>
          </cell>
          <cell r="D162">
            <v>3</v>
          </cell>
          <cell r="E162">
            <v>6</v>
          </cell>
          <cell r="F162">
            <v>8</v>
          </cell>
        </row>
        <row r="163">
          <cell r="B163" t="str">
            <v>Houten</v>
          </cell>
          <cell r="D163">
            <v>4</v>
          </cell>
          <cell r="E163">
            <v>7</v>
          </cell>
          <cell r="F163">
            <v>9</v>
          </cell>
        </row>
        <row r="164">
          <cell r="B164" t="str">
            <v>Huizen</v>
          </cell>
          <cell r="D164">
            <v>3</v>
          </cell>
          <cell r="E164">
            <v>6</v>
          </cell>
          <cell r="F164">
            <v>8</v>
          </cell>
        </row>
        <row r="165">
          <cell r="B165" t="str">
            <v>Hulst</v>
          </cell>
          <cell r="D165">
            <v>3</v>
          </cell>
          <cell r="E165">
            <v>8</v>
          </cell>
          <cell r="F165">
            <v>10</v>
          </cell>
        </row>
        <row r="166">
          <cell r="B166" t="str">
            <v>IJsselstein</v>
          </cell>
          <cell r="D166">
            <v>5</v>
          </cell>
          <cell r="E166">
            <v>8</v>
          </cell>
          <cell r="F166">
            <v>10</v>
          </cell>
        </row>
        <row r="167">
          <cell r="B167" t="str">
            <v>Kaag en Braassem</v>
          </cell>
          <cell r="D167">
            <v>2</v>
          </cell>
          <cell r="E167">
            <v>3</v>
          </cell>
          <cell r="F167">
            <v>4</v>
          </cell>
        </row>
        <row r="168">
          <cell r="B168" t="str">
            <v>Kampen</v>
          </cell>
          <cell r="D168">
            <v>7</v>
          </cell>
          <cell r="E168">
            <v>11</v>
          </cell>
          <cell r="F168">
            <v>14</v>
          </cell>
        </row>
        <row r="169">
          <cell r="B169" t="str">
            <v>Kapelle</v>
          </cell>
          <cell r="D169">
            <v>1</v>
          </cell>
          <cell r="E169">
            <v>3</v>
          </cell>
          <cell r="F169">
            <v>3</v>
          </cell>
        </row>
        <row r="170">
          <cell r="B170" t="str">
            <v>Katwijk</v>
          </cell>
          <cell r="D170">
            <v>7</v>
          </cell>
          <cell r="E170">
            <v>13</v>
          </cell>
          <cell r="F170">
            <v>17</v>
          </cell>
        </row>
        <row r="171">
          <cell r="B171" t="str">
            <v>Kerkrade</v>
          </cell>
          <cell r="D171">
            <v>11</v>
          </cell>
          <cell r="E171">
            <v>18</v>
          </cell>
          <cell r="F171">
            <v>24</v>
          </cell>
        </row>
        <row r="172">
          <cell r="B172" t="str">
            <v>Koggenland</v>
          </cell>
          <cell r="D172">
            <v>3</v>
          </cell>
          <cell r="E172">
            <v>4</v>
          </cell>
          <cell r="F172">
            <v>5</v>
          </cell>
        </row>
        <row r="173">
          <cell r="B173" t="str">
            <v>Kollumerland en Nieuwkruisland</v>
          </cell>
          <cell r="C173" t="str">
            <v>Noardeast-Fryslân</v>
          </cell>
          <cell r="D173">
            <v>2</v>
          </cell>
          <cell r="E173">
            <v>2</v>
          </cell>
          <cell r="F173">
            <v>3</v>
          </cell>
        </row>
        <row r="174">
          <cell r="B174" t="str">
            <v>Korendijk</v>
          </cell>
          <cell r="C174" t="str">
            <v>Hoeksche Waard</v>
          </cell>
          <cell r="D174">
            <v>1</v>
          </cell>
          <cell r="E174">
            <v>1</v>
          </cell>
          <cell r="F174">
            <v>1</v>
          </cell>
        </row>
        <row r="175">
          <cell r="B175" t="str">
            <v>Krimpen aan den IJssel</v>
          </cell>
          <cell r="D175">
            <v>3</v>
          </cell>
          <cell r="E175">
            <v>5</v>
          </cell>
          <cell r="F175">
            <v>7</v>
          </cell>
        </row>
        <row r="176">
          <cell r="B176" t="str">
            <v>Krimpenerwaard</v>
          </cell>
          <cell r="D176">
            <v>6</v>
          </cell>
          <cell r="E176">
            <v>10</v>
          </cell>
          <cell r="F176">
            <v>14</v>
          </cell>
        </row>
        <row r="177">
          <cell r="B177" t="str">
            <v>Laarbeek</v>
          </cell>
          <cell r="D177">
            <v>2</v>
          </cell>
          <cell r="E177">
            <v>4</v>
          </cell>
          <cell r="F177">
            <v>5</v>
          </cell>
        </row>
        <row r="178">
          <cell r="B178" t="str">
            <v>Landerd</v>
          </cell>
          <cell r="D178">
            <v>2</v>
          </cell>
          <cell r="E178">
            <v>5</v>
          </cell>
          <cell r="F178">
            <v>6</v>
          </cell>
        </row>
        <row r="179">
          <cell r="B179" t="str">
            <v>Landgraaf</v>
          </cell>
          <cell r="D179">
            <v>6</v>
          </cell>
          <cell r="E179">
            <v>9</v>
          </cell>
          <cell r="F179">
            <v>12</v>
          </cell>
        </row>
        <row r="180">
          <cell r="B180" t="str">
            <v>Landsmeer</v>
          </cell>
          <cell r="D180">
            <v>1</v>
          </cell>
          <cell r="E180">
            <v>2</v>
          </cell>
          <cell r="F180">
            <v>2</v>
          </cell>
        </row>
        <row r="181">
          <cell r="B181" t="str">
            <v>Langedijk</v>
          </cell>
          <cell r="D181">
            <v>4</v>
          </cell>
          <cell r="E181">
            <v>6</v>
          </cell>
          <cell r="F181">
            <v>8</v>
          </cell>
        </row>
        <row r="182">
          <cell r="B182" t="str">
            <v>Lansingerland</v>
          </cell>
          <cell r="D182">
            <v>3</v>
          </cell>
          <cell r="E182">
            <v>5</v>
          </cell>
          <cell r="F182">
            <v>7</v>
          </cell>
        </row>
        <row r="183">
          <cell r="B183" t="str">
            <v>Laren</v>
          </cell>
          <cell r="D183">
            <v>0</v>
          </cell>
          <cell r="E183">
            <v>1</v>
          </cell>
          <cell r="F183">
            <v>1</v>
          </cell>
        </row>
        <row r="184">
          <cell r="B184" t="str">
            <v>Leek</v>
          </cell>
          <cell r="C184" t="str">
            <v>Westerkwartier</v>
          </cell>
          <cell r="D184">
            <v>3</v>
          </cell>
          <cell r="E184">
            <v>5</v>
          </cell>
          <cell r="F184">
            <v>6</v>
          </cell>
        </row>
        <row r="185">
          <cell r="B185" t="str">
            <v>Leerdam</v>
          </cell>
          <cell r="C185" t="str">
            <v>Vijfheerenlanden</v>
          </cell>
          <cell r="D185">
            <v>3</v>
          </cell>
          <cell r="E185">
            <v>5</v>
          </cell>
          <cell r="F185">
            <v>7</v>
          </cell>
        </row>
        <row r="186">
          <cell r="B186" t="str">
            <v>Leeuwarden</v>
          </cell>
          <cell r="C186" t="str">
            <v>Leeuwarden</v>
          </cell>
          <cell r="D186">
            <v>22</v>
          </cell>
          <cell r="E186">
            <v>34</v>
          </cell>
          <cell r="F186">
            <v>45</v>
          </cell>
        </row>
        <row r="187">
          <cell r="B187" t="str">
            <v>Leeuwarderadeel</v>
          </cell>
          <cell r="C187" t="str">
            <v>Leeuwarden</v>
          </cell>
          <cell r="D187">
            <v>1</v>
          </cell>
          <cell r="E187">
            <v>1</v>
          </cell>
          <cell r="F187">
            <v>1</v>
          </cell>
        </row>
        <row r="188">
          <cell r="B188" t="str">
            <v>Leiden</v>
          </cell>
          <cell r="D188">
            <v>26</v>
          </cell>
          <cell r="E188">
            <v>46</v>
          </cell>
          <cell r="F188">
            <v>59</v>
          </cell>
        </row>
        <row r="189">
          <cell r="B189" t="str">
            <v>Leiderdorp</v>
          </cell>
          <cell r="D189">
            <v>3</v>
          </cell>
          <cell r="E189">
            <v>7</v>
          </cell>
          <cell r="F189">
            <v>9</v>
          </cell>
        </row>
        <row r="190">
          <cell r="B190" t="str">
            <v>Leidschendam-Voorburg</v>
          </cell>
          <cell r="D190">
            <v>10</v>
          </cell>
          <cell r="E190">
            <v>16</v>
          </cell>
          <cell r="F190">
            <v>21</v>
          </cell>
        </row>
        <row r="191">
          <cell r="B191" t="str">
            <v>Lelystad</v>
          </cell>
          <cell r="D191">
            <v>13</v>
          </cell>
          <cell r="E191">
            <v>22</v>
          </cell>
          <cell r="F191">
            <v>29</v>
          </cell>
        </row>
        <row r="192">
          <cell r="B192" t="str">
            <v>Leudal</v>
          </cell>
          <cell r="D192">
            <v>3</v>
          </cell>
          <cell r="E192">
            <v>4</v>
          </cell>
          <cell r="F192">
            <v>6</v>
          </cell>
        </row>
        <row r="193">
          <cell r="B193" t="str">
            <v>Leusden</v>
          </cell>
          <cell r="D193">
            <v>1</v>
          </cell>
          <cell r="E193">
            <v>2</v>
          </cell>
          <cell r="F193">
            <v>3</v>
          </cell>
        </row>
        <row r="194">
          <cell r="B194" t="str">
            <v>Lingewaal</v>
          </cell>
          <cell r="C194" t="str">
            <v>West Betuwe</v>
          </cell>
          <cell r="D194">
            <v>1</v>
          </cell>
          <cell r="E194">
            <v>2</v>
          </cell>
          <cell r="F194">
            <v>3</v>
          </cell>
        </row>
        <row r="195">
          <cell r="B195" t="str">
            <v>Lingewaard</v>
          </cell>
          <cell r="D195">
            <v>5</v>
          </cell>
          <cell r="E195">
            <v>8</v>
          </cell>
          <cell r="F195">
            <v>10</v>
          </cell>
        </row>
        <row r="196">
          <cell r="B196" t="str">
            <v>Lisse</v>
          </cell>
          <cell r="D196">
            <v>2</v>
          </cell>
          <cell r="E196">
            <v>5</v>
          </cell>
          <cell r="F196">
            <v>6</v>
          </cell>
        </row>
        <row r="197">
          <cell r="B197" t="str">
            <v>Littenseradiel</v>
          </cell>
          <cell r="C197" t="str">
            <v>Waadhoeke</v>
          </cell>
          <cell r="D197">
            <v>1</v>
          </cell>
          <cell r="E197">
            <v>1</v>
          </cell>
          <cell r="F197">
            <v>1</v>
          </cell>
        </row>
        <row r="198">
          <cell r="B198" t="str">
            <v>Lochem</v>
          </cell>
          <cell r="D198">
            <v>3</v>
          </cell>
          <cell r="E198">
            <v>6</v>
          </cell>
          <cell r="F198">
            <v>7</v>
          </cell>
        </row>
        <row r="199">
          <cell r="B199" t="str">
            <v>Loon op Zand</v>
          </cell>
          <cell r="D199">
            <v>2</v>
          </cell>
          <cell r="E199">
            <v>4</v>
          </cell>
          <cell r="F199">
            <v>6</v>
          </cell>
        </row>
        <row r="200">
          <cell r="B200" t="str">
            <v>Lopik</v>
          </cell>
          <cell r="D200">
            <v>1</v>
          </cell>
          <cell r="E200">
            <v>2</v>
          </cell>
          <cell r="F200">
            <v>2</v>
          </cell>
        </row>
        <row r="201">
          <cell r="B201" t="str">
            <v>Loppersum</v>
          </cell>
          <cell r="D201">
            <v>3</v>
          </cell>
          <cell r="E201">
            <v>4</v>
          </cell>
          <cell r="F201">
            <v>6</v>
          </cell>
        </row>
        <row r="202">
          <cell r="B202" t="str">
            <v>Losser</v>
          </cell>
          <cell r="D202">
            <v>2</v>
          </cell>
          <cell r="E202">
            <v>4</v>
          </cell>
          <cell r="F202">
            <v>5</v>
          </cell>
        </row>
        <row r="203">
          <cell r="B203" t="str">
            <v>Maasdriel</v>
          </cell>
          <cell r="D203">
            <v>3</v>
          </cell>
          <cell r="E203">
            <v>7</v>
          </cell>
          <cell r="F203">
            <v>9</v>
          </cell>
        </row>
        <row r="204">
          <cell r="B204" t="str">
            <v>Maasgouw</v>
          </cell>
          <cell r="D204">
            <v>2</v>
          </cell>
          <cell r="E204">
            <v>3</v>
          </cell>
          <cell r="F204">
            <v>4</v>
          </cell>
        </row>
        <row r="205">
          <cell r="B205" t="str">
            <v>Maassluis</v>
          </cell>
          <cell r="D205">
            <v>4</v>
          </cell>
          <cell r="E205">
            <v>8</v>
          </cell>
          <cell r="F205">
            <v>11</v>
          </cell>
        </row>
        <row r="206">
          <cell r="B206" t="str">
            <v>Maastricht</v>
          </cell>
          <cell r="D206">
            <v>30</v>
          </cell>
          <cell r="E206">
            <v>54</v>
          </cell>
          <cell r="F206">
            <v>70</v>
          </cell>
        </row>
        <row r="207">
          <cell r="B207" t="str">
            <v>Marum</v>
          </cell>
          <cell r="C207" t="str">
            <v>Westerkwartier</v>
          </cell>
          <cell r="D207">
            <v>2</v>
          </cell>
          <cell r="E207">
            <v>2</v>
          </cell>
          <cell r="F207">
            <v>3</v>
          </cell>
        </row>
        <row r="208">
          <cell r="B208" t="str">
            <v>Medemblik</v>
          </cell>
          <cell r="D208">
            <v>7</v>
          </cell>
          <cell r="E208">
            <v>10</v>
          </cell>
          <cell r="F208">
            <v>13</v>
          </cell>
        </row>
        <row r="209">
          <cell r="B209" t="str">
            <v>Meerssen</v>
          </cell>
          <cell r="D209">
            <v>2</v>
          </cell>
          <cell r="E209">
            <v>4</v>
          </cell>
          <cell r="F209">
            <v>6</v>
          </cell>
        </row>
        <row r="210">
          <cell r="B210" t="str">
            <v>Meierijstad</v>
          </cell>
          <cell r="D210">
            <v>15</v>
          </cell>
          <cell r="E210">
            <v>33</v>
          </cell>
          <cell r="F210">
            <v>43</v>
          </cell>
        </row>
        <row r="211">
          <cell r="B211" t="str">
            <v>Menameradiel</v>
          </cell>
          <cell r="C211" t="str">
            <v>Waadhoeke</v>
          </cell>
          <cell r="D211">
            <v>1</v>
          </cell>
          <cell r="E211">
            <v>1</v>
          </cell>
          <cell r="F211">
            <v>1</v>
          </cell>
        </row>
        <row r="212">
          <cell r="B212" t="str">
            <v>Menterwolde</v>
          </cell>
          <cell r="C212" t="str">
            <v>Midden-Groningen</v>
          </cell>
          <cell r="D212">
            <v>3</v>
          </cell>
          <cell r="E212">
            <v>6</v>
          </cell>
          <cell r="F212">
            <v>7</v>
          </cell>
        </row>
        <row r="213">
          <cell r="B213" t="str">
            <v>Meppel</v>
          </cell>
          <cell r="D213">
            <v>6</v>
          </cell>
          <cell r="E213">
            <v>10</v>
          </cell>
          <cell r="F213">
            <v>13</v>
          </cell>
        </row>
        <row r="214">
          <cell r="B214" t="str">
            <v>Middelburg</v>
          </cell>
          <cell r="D214">
            <v>5</v>
          </cell>
          <cell r="E214">
            <v>9</v>
          </cell>
          <cell r="F214">
            <v>12</v>
          </cell>
        </row>
        <row r="215">
          <cell r="B215" t="str">
            <v>Midden-Delfland</v>
          </cell>
          <cell r="D215">
            <v>2</v>
          </cell>
          <cell r="E215">
            <v>3</v>
          </cell>
          <cell r="F215">
            <v>4</v>
          </cell>
        </row>
        <row r="216">
          <cell r="B216" t="str">
            <v>Midden-Drenthe</v>
          </cell>
          <cell r="D216">
            <v>4</v>
          </cell>
          <cell r="E216">
            <v>7</v>
          </cell>
          <cell r="F216">
            <v>9</v>
          </cell>
        </row>
        <row r="217">
          <cell r="B217" t="str">
            <v>Mill en Sint Hubert</v>
          </cell>
          <cell r="D217">
            <v>2</v>
          </cell>
          <cell r="E217">
            <v>5</v>
          </cell>
          <cell r="F217">
            <v>6</v>
          </cell>
        </row>
        <row r="218">
          <cell r="B218" t="str">
            <v>Moerdijk</v>
          </cell>
          <cell r="D218">
            <v>4</v>
          </cell>
          <cell r="E218">
            <v>7</v>
          </cell>
          <cell r="F218">
            <v>9</v>
          </cell>
        </row>
        <row r="219">
          <cell r="B219" t="str">
            <v>Molenwaard</v>
          </cell>
          <cell r="C219" t="str">
            <v>Molenlanden</v>
          </cell>
          <cell r="D219">
            <v>2</v>
          </cell>
          <cell r="E219">
            <v>3</v>
          </cell>
          <cell r="F219">
            <v>4</v>
          </cell>
        </row>
        <row r="220">
          <cell r="B220" t="str">
            <v>Montferland</v>
          </cell>
          <cell r="D220">
            <v>6</v>
          </cell>
          <cell r="E220">
            <v>11</v>
          </cell>
          <cell r="F220">
            <v>15</v>
          </cell>
        </row>
        <row r="221">
          <cell r="B221" t="str">
            <v>Montfoort U</v>
          </cell>
          <cell r="D221">
            <v>1</v>
          </cell>
          <cell r="E221">
            <v>1</v>
          </cell>
          <cell r="F221">
            <v>2</v>
          </cell>
        </row>
        <row r="222">
          <cell r="B222" t="str">
            <v>Mook en Middelaar</v>
          </cell>
          <cell r="D222">
            <v>1</v>
          </cell>
          <cell r="E222">
            <v>2</v>
          </cell>
          <cell r="F222">
            <v>2</v>
          </cell>
        </row>
        <row r="223">
          <cell r="B223" t="str">
            <v>Neder-Betuwe</v>
          </cell>
          <cell r="D223">
            <v>2</v>
          </cell>
          <cell r="E223">
            <v>5</v>
          </cell>
          <cell r="F223">
            <v>6</v>
          </cell>
        </row>
        <row r="224">
          <cell r="B224" t="str">
            <v>Nederweert</v>
          </cell>
          <cell r="D224">
            <v>1</v>
          </cell>
          <cell r="E224">
            <v>2</v>
          </cell>
          <cell r="F224">
            <v>3</v>
          </cell>
        </row>
        <row r="225">
          <cell r="B225" t="str">
            <v>Neerijnen</v>
          </cell>
          <cell r="C225" t="str">
            <v>West Betuwe</v>
          </cell>
          <cell r="D225">
            <v>1</v>
          </cell>
          <cell r="E225">
            <v>2</v>
          </cell>
          <cell r="F225">
            <v>2</v>
          </cell>
        </row>
        <row r="226">
          <cell r="B226" t="str">
            <v>Nieuwegein</v>
          </cell>
          <cell r="D226">
            <v>9</v>
          </cell>
          <cell r="E226">
            <v>15</v>
          </cell>
          <cell r="F226">
            <v>19</v>
          </cell>
        </row>
        <row r="227">
          <cell r="B227" t="str">
            <v>Nieuwkoop</v>
          </cell>
          <cell r="D227">
            <v>2</v>
          </cell>
          <cell r="E227">
            <v>4</v>
          </cell>
          <cell r="F227">
            <v>6</v>
          </cell>
        </row>
        <row r="228">
          <cell r="B228" t="str">
            <v>Nijkerk</v>
          </cell>
          <cell r="D228">
            <v>4</v>
          </cell>
          <cell r="E228">
            <v>6</v>
          </cell>
          <cell r="F228">
            <v>8</v>
          </cell>
        </row>
        <row r="229">
          <cell r="B229" t="str">
            <v>Nijmegen</v>
          </cell>
          <cell r="D229">
            <v>43</v>
          </cell>
          <cell r="E229">
            <v>79</v>
          </cell>
          <cell r="F229">
            <v>103</v>
          </cell>
        </row>
        <row r="230">
          <cell r="B230" t="str">
            <v>Nissewaard</v>
          </cell>
          <cell r="D230">
            <v>11</v>
          </cell>
          <cell r="E230">
            <v>18</v>
          </cell>
          <cell r="F230">
            <v>23</v>
          </cell>
        </row>
        <row r="231">
          <cell r="B231" t="str">
            <v>Noord-Beveland</v>
          </cell>
          <cell r="D231">
            <v>1</v>
          </cell>
          <cell r="E231">
            <v>2</v>
          </cell>
          <cell r="F231">
            <v>3</v>
          </cell>
        </row>
        <row r="232">
          <cell r="B232" t="str">
            <v>Noordenveld</v>
          </cell>
          <cell r="D232">
            <v>3</v>
          </cell>
          <cell r="E232">
            <v>5</v>
          </cell>
          <cell r="F232">
            <v>6</v>
          </cell>
        </row>
        <row r="233">
          <cell r="B233" t="str">
            <v>Noordoostpolder</v>
          </cell>
          <cell r="D233">
            <v>4</v>
          </cell>
          <cell r="E233">
            <v>7</v>
          </cell>
          <cell r="F233">
            <v>10</v>
          </cell>
        </row>
        <row r="234">
          <cell r="B234" t="str">
            <v>Noordwijk</v>
          </cell>
          <cell r="C234" t="str">
            <v>Noordwijk</v>
          </cell>
          <cell r="D234">
            <v>2</v>
          </cell>
          <cell r="E234">
            <v>4</v>
          </cell>
          <cell r="F234">
            <v>5</v>
          </cell>
        </row>
        <row r="235">
          <cell r="B235" t="str">
            <v>Noordwijkerhout</v>
          </cell>
          <cell r="C235" t="str">
            <v>Noordwijk</v>
          </cell>
          <cell r="D235">
            <v>2</v>
          </cell>
          <cell r="E235">
            <v>3</v>
          </cell>
          <cell r="F235">
            <v>4</v>
          </cell>
        </row>
        <row r="236">
          <cell r="B236" t="str">
            <v>Nuenen c.a.</v>
          </cell>
          <cell r="D236">
            <v>2</v>
          </cell>
          <cell r="E236">
            <v>5</v>
          </cell>
          <cell r="F236">
            <v>6</v>
          </cell>
        </row>
        <row r="237">
          <cell r="B237" t="str">
            <v>Nunspeet</v>
          </cell>
          <cell r="D237">
            <v>4</v>
          </cell>
          <cell r="E237">
            <v>7</v>
          </cell>
          <cell r="F237">
            <v>9</v>
          </cell>
        </row>
        <row r="238">
          <cell r="B238" t="str">
            <v>Nuth</v>
          </cell>
          <cell r="C238" t="str">
            <v>Beekdaelen</v>
          </cell>
          <cell r="D238">
            <v>1</v>
          </cell>
          <cell r="E238">
            <v>2</v>
          </cell>
          <cell r="F238">
            <v>3</v>
          </cell>
        </row>
        <row r="239">
          <cell r="B239" t="str">
            <v>Oegstgeest</v>
          </cell>
          <cell r="D239">
            <v>2</v>
          </cell>
          <cell r="E239">
            <v>3</v>
          </cell>
          <cell r="F239">
            <v>4</v>
          </cell>
        </row>
        <row r="240">
          <cell r="B240" t="str">
            <v>Oirschot</v>
          </cell>
          <cell r="D240">
            <v>1</v>
          </cell>
          <cell r="E240">
            <v>3</v>
          </cell>
          <cell r="F240">
            <v>4</v>
          </cell>
        </row>
        <row r="241">
          <cell r="B241" t="str">
            <v>Oisterwijk</v>
          </cell>
          <cell r="D241">
            <v>3</v>
          </cell>
          <cell r="E241">
            <v>6</v>
          </cell>
          <cell r="F241">
            <v>8</v>
          </cell>
        </row>
        <row r="242">
          <cell r="B242" t="str">
            <v>Oldambt</v>
          </cell>
          <cell r="D242">
            <v>9</v>
          </cell>
          <cell r="E242">
            <v>16</v>
          </cell>
          <cell r="F242">
            <v>20</v>
          </cell>
        </row>
        <row r="243">
          <cell r="B243" t="str">
            <v>Oldebroek</v>
          </cell>
          <cell r="D243">
            <v>3</v>
          </cell>
          <cell r="E243">
            <v>5</v>
          </cell>
          <cell r="F243">
            <v>7</v>
          </cell>
        </row>
        <row r="244">
          <cell r="B244" t="str">
            <v>Oldenzaal</v>
          </cell>
          <cell r="D244">
            <v>5</v>
          </cell>
          <cell r="E244">
            <v>9</v>
          </cell>
          <cell r="F244">
            <v>12</v>
          </cell>
        </row>
        <row r="245">
          <cell r="B245" t="str">
            <v>Olst-Wijhe</v>
          </cell>
          <cell r="D245">
            <v>2</v>
          </cell>
          <cell r="E245">
            <v>4</v>
          </cell>
          <cell r="F245">
            <v>5</v>
          </cell>
        </row>
        <row r="246">
          <cell r="B246" t="str">
            <v>Ommen</v>
          </cell>
          <cell r="D246">
            <v>3</v>
          </cell>
          <cell r="E246">
            <v>4</v>
          </cell>
          <cell r="F246">
            <v>6</v>
          </cell>
        </row>
        <row r="247">
          <cell r="B247" t="str">
            <v>Onderbanken</v>
          </cell>
          <cell r="C247" t="str">
            <v>Beekdaelen</v>
          </cell>
          <cell r="D247">
            <v>1</v>
          </cell>
          <cell r="E247">
            <v>1</v>
          </cell>
          <cell r="F247">
            <v>2</v>
          </cell>
        </row>
        <row r="248">
          <cell r="B248" t="str">
            <v>Oost Gelre</v>
          </cell>
          <cell r="D248">
            <v>3</v>
          </cell>
          <cell r="E248">
            <v>6</v>
          </cell>
          <cell r="F248">
            <v>7</v>
          </cell>
        </row>
        <row r="249">
          <cell r="B249" t="str">
            <v>Oosterhout</v>
          </cell>
          <cell r="D249">
            <v>9</v>
          </cell>
          <cell r="E249">
            <v>19</v>
          </cell>
          <cell r="F249">
            <v>25</v>
          </cell>
        </row>
        <row r="250">
          <cell r="B250" t="str">
            <v>Ooststellingwerf</v>
          </cell>
          <cell r="D250">
            <v>3</v>
          </cell>
          <cell r="E250">
            <v>5</v>
          </cell>
          <cell r="F250">
            <v>6</v>
          </cell>
        </row>
        <row r="251">
          <cell r="B251" t="str">
            <v>Oostzaan</v>
          </cell>
          <cell r="D251">
            <v>1</v>
          </cell>
          <cell r="E251">
            <v>1</v>
          </cell>
          <cell r="F251">
            <v>1</v>
          </cell>
        </row>
        <row r="252">
          <cell r="B252" t="str">
            <v>Opmeer</v>
          </cell>
          <cell r="D252">
            <v>2</v>
          </cell>
          <cell r="E252">
            <v>2</v>
          </cell>
          <cell r="F252">
            <v>3</v>
          </cell>
        </row>
        <row r="253">
          <cell r="B253" t="str">
            <v>Opsterland</v>
          </cell>
          <cell r="D253">
            <v>4</v>
          </cell>
          <cell r="E253">
            <v>6</v>
          </cell>
          <cell r="F253">
            <v>8</v>
          </cell>
        </row>
        <row r="254">
          <cell r="B254" t="str">
            <v>Oss</v>
          </cell>
          <cell r="D254">
            <v>31</v>
          </cell>
          <cell r="E254">
            <v>66</v>
          </cell>
          <cell r="F254">
            <v>86</v>
          </cell>
        </row>
        <row r="255">
          <cell r="B255" t="str">
            <v>Oud-Beijerland</v>
          </cell>
          <cell r="C255" t="str">
            <v>Hoeksche Waard</v>
          </cell>
          <cell r="D255">
            <v>2</v>
          </cell>
          <cell r="E255">
            <v>3</v>
          </cell>
          <cell r="F255">
            <v>4</v>
          </cell>
        </row>
        <row r="256">
          <cell r="B256" t="str">
            <v>Oude IJsselstreek</v>
          </cell>
          <cell r="D256">
            <v>6</v>
          </cell>
          <cell r="E256">
            <v>12</v>
          </cell>
          <cell r="F256">
            <v>15</v>
          </cell>
        </row>
        <row r="257">
          <cell r="B257" t="str">
            <v>Ouder-Amstel</v>
          </cell>
          <cell r="D257">
            <v>1</v>
          </cell>
          <cell r="E257">
            <v>1</v>
          </cell>
          <cell r="F257">
            <v>2</v>
          </cell>
        </row>
        <row r="258">
          <cell r="B258" t="str">
            <v>Oudewater</v>
          </cell>
          <cell r="D258">
            <v>0</v>
          </cell>
          <cell r="E258">
            <v>1</v>
          </cell>
          <cell r="F258">
            <v>1</v>
          </cell>
        </row>
        <row r="259">
          <cell r="B259" t="str">
            <v>Overbetuwe</v>
          </cell>
          <cell r="D259">
            <v>8</v>
          </cell>
          <cell r="E259">
            <v>13</v>
          </cell>
          <cell r="F259">
            <v>16</v>
          </cell>
        </row>
        <row r="260">
          <cell r="B260" t="str">
            <v>Papendrecht</v>
          </cell>
          <cell r="D260">
            <v>4</v>
          </cell>
          <cell r="E260">
            <v>6</v>
          </cell>
          <cell r="F260">
            <v>8</v>
          </cell>
        </row>
        <row r="261">
          <cell r="B261" t="str">
            <v>Peel en Maas</v>
          </cell>
          <cell r="D261">
            <v>4</v>
          </cell>
          <cell r="E261">
            <v>7</v>
          </cell>
          <cell r="F261">
            <v>9</v>
          </cell>
        </row>
        <row r="262">
          <cell r="B262" t="str">
            <v>Pekela</v>
          </cell>
          <cell r="D262">
            <v>3</v>
          </cell>
          <cell r="E262">
            <v>6</v>
          </cell>
          <cell r="F262">
            <v>8</v>
          </cell>
        </row>
        <row r="263">
          <cell r="B263" t="str">
            <v>Pijnacker-Nootdorp</v>
          </cell>
          <cell r="D263">
            <v>4</v>
          </cell>
          <cell r="E263">
            <v>7</v>
          </cell>
          <cell r="F263">
            <v>9</v>
          </cell>
        </row>
        <row r="264">
          <cell r="B264" t="str">
            <v>Purmerend</v>
          </cell>
          <cell r="D264">
            <v>17</v>
          </cell>
          <cell r="E264">
            <v>28</v>
          </cell>
          <cell r="F264">
            <v>36</v>
          </cell>
        </row>
        <row r="265">
          <cell r="B265" t="str">
            <v>Putten</v>
          </cell>
          <cell r="D265">
            <v>2</v>
          </cell>
          <cell r="E265">
            <v>4</v>
          </cell>
          <cell r="F265">
            <v>5</v>
          </cell>
        </row>
        <row r="266">
          <cell r="B266" t="str">
            <v>Raalte</v>
          </cell>
          <cell r="D266">
            <v>3</v>
          </cell>
          <cell r="E266">
            <v>6</v>
          </cell>
          <cell r="F266">
            <v>8</v>
          </cell>
        </row>
        <row r="267">
          <cell r="B267" t="str">
            <v>Reimerswaal</v>
          </cell>
          <cell r="D267">
            <v>2</v>
          </cell>
          <cell r="E267">
            <v>4</v>
          </cell>
          <cell r="F267">
            <v>5</v>
          </cell>
        </row>
        <row r="268">
          <cell r="B268" t="str">
            <v>Renkum</v>
          </cell>
          <cell r="D268">
            <v>6</v>
          </cell>
          <cell r="E268">
            <v>10</v>
          </cell>
          <cell r="F268">
            <v>13</v>
          </cell>
        </row>
        <row r="269">
          <cell r="B269" t="str">
            <v>Renswoude</v>
          </cell>
          <cell r="D269">
            <v>1</v>
          </cell>
          <cell r="E269">
            <v>1</v>
          </cell>
          <cell r="F269">
            <v>1</v>
          </cell>
        </row>
        <row r="270">
          <cell r="B270" t="str">
            <v>Reusel-De Mierden</v>
          </cell>
          <cell r="D270">
            <v>2</v>
          </cell>
          <cell r="E270">
            <v>3</v>
          </cell>
          <cell r="F270">
            <v>4</v>
          </cell>
        </row>
        <row r="271">
          <cell r="B271" t="str">
            <v>Rheden</v>
          </cell>
          <cell r="D271">
            <v>9</v>
          </cell>
          <cell r="E271">
            <v>16</v>
          </cell>
          <cell r="F271">
            <v>21</v>
          </cell>
        </row>
        <row r="272">
          <cell r="B272" t="str">
            <v>Rhenen</v>
          </cell>
          <cell r="D272">
            <v>2</v>
          </cell>
          <cell r="E272">
            <v>3</v>
          </cell>
          <cell r="F272">
            <v>3</v>
          </cell>
        </row>
        <row r="273">
          <cell r="B273" t="str">
            <v>Ridderkerk</v>
          </cell>
          <cell r="D273">
            <v>5</v>
          </cell>
          <cell r="E273">
            <v>8</v>
          </cell>
          <cell r="F273">
            <v>10</v>
          </cell>
        </row>
        <row r="274">
          <cell r="B274" t="str">
            <v>Rijnwaarden</v>
          </cell>
          <cell r="C274" t="str">
            <v>Zevenaar</v>
          </cell>
          <cell r="D274">
            <v>2</v>
          </cell>
          <cell r="E274">
            <v>4</v>
          </cell>
          <cell r="F274">
            <v>5</v>
          </cell>
        </row>
        <row r="275">
          <cell r="B275" t="str">
            <v>Rijssen-Holten</v>
          </cell>
          <cell r="D275">
            <v>3</v>
          </cell>
          <cell r="E275">
            <v>6</v>
          </cell>
          <cell r="F275">
            <v>8</v>
          </cell>
        </row>
        <row r="276">
          <cell r="B276" t="str">
            <v>Rijswijk</v>
          </cell>
          <cell r="D276">
            <v>8</v>
          </cell>
          <cell r="E276">
            <v>13</v>
          </cell>
          <cell r="F276">
            <v>17</v>
          </cell>
        </row>
        <row r="277">
          <cell r="B277" t="str">
            <v>Roerdalen</v>
          </cell>
          <cell r="D277">
            <v>2</v>
          </cell>
          <cell r="E277">
            <v>5</v>
          </cell>
          <cell r="F277">
            <v>6</v>
          </cell>
        </row>
        <row r="278">
          <cell r="B278" t="str">
            <v>Roermond</v>
          </cell>
          <cell r="D278">
            <v>14</v>
          </cell>
          <cell r="E278">
            <v>28</v>
          </cell>
          <cell r="F278">
            <v>37</v>
          </cell>
        </row>
        <row r="279">
          <cell r="B279" t="str">
            <v>Roosendaal</v>
          </cell>
          <cell r="D279">
            <v>14</v>
          </cell>
          <cell r="E279">
            <v>28</v>
          </cell>
          <cell r="F279">
            <v>36</v>
          </cell>
        </row>
        <row r="280">
          <cell r="B280" t="str">
            <v>Rotterdam</v>
          </cell>
          <cell r="D280">
            <v>107</v>
          </cell>
          <cell r="E280">
            <v>172</v>
          </cell>
          <cell r="F280">
            <v>224</v>
          </cell>
        </row>
        <row r="281">
          <cell r="B281" t="str">
            <v>Rozendaal</v>
          </cell>
          <cell r="D281">
            <v>0</v>
          </cell>
          <cell r="E281">
            <v>0</v>
          </cell>
          <cell r="F281">
            <v>1</v>
          </cell>
        </row>
        <row r="282">
          <cell r="B282" t="str">
            <v>Rucphen</v>
          </cell>
          <cell r="D282">
            <v>5</v>
          </cell>
          <cell r="E282">
            <v>10</v>
          </cell>
          <cell r="F282">
            <v>13</v>
          </cell>
        </row>
        <row r="283">
          <cell r="B283" t="str">
            <v>Schagen</v>
          </cell>
          <cell r="D283">
            <v>6</v>
          </cell>
          <cell r="E283">
            <v>9</v>
          </cell>
          <cell r="F283">
            <v>12</v>
          </cell>
        </row>
        <row r="284">
          <cell r="B284" t="str">
            <v>Scherpenzeel</v>
          </cell>
          <cell r="D284">
            <v>1</v>
          </cell>
          <cell r="E284">
            <v>1</v>
          </cell>
          <cell r="F284">
            <v>2</v>
          </cell>
        </row>
        <row r="285">
          <cell r="B285" t="str">
            <v>Schiedam</v>
          </cell>
          <cell r="D285">
            <v>12</v>
          </cell>
          <cell r="E285">
            <v>20</v>
          </cell>
          <cell r="F285">
            <v>27</v>
          </cell>
        </row>
        <row r="286">
          <cell r="B286" t="str">
            <v>Schiermonnikoog</v>
          </cell>
          <cell r="D286">
            <v>0</v>
          </cell>
          <cell r="E286">
            <v>0</v>
          </cell>
          <cell r="F286">
            <v>1</v>
          </cell>
        </row>
        <row r="287">
          <cell r="B287" t="str">
            <v>Schinnen</v>
          </cell>
          <cell r="C287" t="str">
            <v>Beekdaelen</v>
          </cell>
          <cell r="D287">
            <v>1</v>
          </cell>
          <cell r="E287">
            <v>2</v>
          </cell>
          <cell r="F287">
            <v>3</v>
          </cell>
        </row>
        <row r="288">
          <cell r="B288" t="str">
            <v>Schouwen-Duiveland</v>
          </cell>
          <cell r="D288">
            <v>4</v>
          </cell>
          <cell r="E288">
            <v>9</v>
          </cell>
          <cell r="F288">
            <v>12</v>
          </cell>
        </row>
        <row r="289">
          <cell r="B289" t="str">
            <v>'s-Gravenhage</v>
          </cell>
          <cell r="C289"/>
          <cell r="D289">
            <v>84</v>
          </cell>
          <cell r="E289">
            <v>127</v>
          </cell>
          <cell r="F289">
            <v>166</v>
          </cell>
        </row>
        <row r="290">
          <cell r="B290" t="str">
            <v>'s-Hertogenbosch</v>
          </cell>
          <cell r="C290"/>
          <cell r="D290">
            <v>44</v>
          </cell>
          <cell r="E290">
            <v>90</v>
          </cell>
          <cell r="F290">
            <v>117</v>
          </cell>
        </row>
        <row r="291">
          <cell r="B291" t="str">
            <v>Simpelveld</v>
          </cell>
          <cell r="D291">
            <v>1</v>
          </cell>
          <cell r="E291">
            <v>2</v>
          </cell>
          <cell r="F291">
            <v>3</v>
          </cell>
        </row>
        <row r="292">
          <cell r="B292" t="str">
            <v>Sint-Anthonis</v>
          </cell>
          <cell r="D292">
            <v>1</v>
          </cell>
          <cell r="E292">
            <v>2</v>
          </cell>
          <cell r="F292">
            <v>3</v>
          </cell>
        </row>
        <row r="293">
          <cell r="B293" t="str">
            <v>Sint-Michielsgestel</v>
          </cell>
          <cell r="D293">
            <v>4</v>
          </cell>
          <cell r="E293">
            <v>8</v>
          </cell>
          <cell r="F293">
            <v>11</v>
          </cell>
        </row>
        <row r="294">
          <cell r="B294" t="str">
            <v>Sittard-Geleen</v>
          </cell>
          <cell r="D294">
            <v>18</v>
          </cell>
          <cell r="E294">
            <v>28</v>
          </cell>
          <cell r="F294">
            <v>36</v>
          </cell>
        </row>
        <row r="295">
          <cell r="B295" t="str">
            <v>Sliedrecht</v>
          </cell>
          <cell r="D295">
            <v>3</v>
          </cell>
          <cell r="E295">
            <v>5</v>
          </cell>
          <cell r="F295">
            <v>7</v>
          </cell>
        </row>
        <row r="296">
          <cell r="B296" t="str">
            <v>Slochteren</v>
          </cell>
          <cell r="C296" t="str">
            <v>Midden-Groningen</v>
          </cell>
          <cell r="D296">
            <v>2</v>
          </cell>
          <cell r="E296">
            <v>3</v>
          </cell>
          <cell r="F296">
            <v>4</v>
          </cell>
        </row>
        <row r="297">
          <cell r="B297" t="str">
            <v>Sluis</v>
          </cell>
          <cell r="D297">
            <v>3</v>
          </cell>
          <cell r="E297">
            <v>6</v>
          </cell>
          <cell r="F297">
            <v>8</v>
          </cell>
        </row>
        <row r="298">
          <cell r="B298" t="str">
            <v>Smallingerland</v>
          </cell>
          <cell r="D298">
            <v>12</v>
          </cell>
          <cell r="E298">
            <v>20</v>
          </cell>
          <cell r="F298">
            <v>26</v>
          </cell>
        </row>
        <row r="299">
          <cell r="B299" t="str">
            <v>Soest</v>
          </cell>
          <cell r="D299">
            <v>3</v>
          </cell>
          <cell r="E299">
            <v>5</v>
          </cell>
          <cell r="F299">
            <v>7</v>
          </cell>
        </row>
        <row r="300">
          <cell r="B300" t="str">
            <v>Someren</v>
          </cell>
          <cell r="D300">
            <v>2</v>
          </cell>
          <cell r="E300">
            <v>3</v>
          </cell>
          <cell r="F300">
            <v>4</v>
          </cell>
        </row>
        <row r="301">
          <cell r="B301" t="str">
            <v>Son en Breugel</v>
          </cell>
          <cell r="D301">
            <v>1</v>
          </cell>
          <cell r="E301">
            <v>2</v>
          </cell>
          <cell r="F301">
            <v>3</v>
          </cell>
        </row>
        <row r="302">
          <cell r="B302" t="str">
            <v>Stadskanaal</v>
          </cell>
          <cell r="D302">
            <v>11</v>
          </cell>
          <cell r="E302">
            <v>20</v>
          </cell>
          <cell r="F302">
            <v>26</v>
          </cell>
        </row>
        <row r="303">
          <cell r="B303" t="str">
            <v>Staphorst</v>
          </cell>
          <cell r="D303">
            <v>2</v>
          </cell>
          <cell r="E303">
            <v>3</v>
          </cell>
          <cell r="F303">
            <v>4</v>
          </cell>
        </row>
        <row r="304">
          <cell r="B304" t="str">
            <v>Stede Broec</v>
          </cell>
          <cell r="D304">
            <v>4</v>
          </cell>
          <cell r="E304">
            <v>6</v>
          </cell>
          <cell r="F304">
            <v>8</v>
          </cell>
        </row>
        <row r="305">
          <cell r="B305" t="str">
            <v>Steenbergen</v>
          </cell>
          <cell r="D305">
            <v>3</v>
          </cell>
          <cell r="E305">
            <v>5</v>
          </cell>
          <cell r="F305">
            <v>6</v>
          </cell>
        </row>
        <row r="306">
          <cell r="B306" t="str">
            <v>Steenwijkerland</v>
          </cell>
          <cell r="D306">
            <v>6</v>
          </cell>
          <cell r="E306">
            <v>10</v>
          </cell>
          <cell r="F306">
            <v>14</v>
          </cell>
        </row>
        <row r="307">
          <cell r="B307" t="str">
            <v>Stein</v>
          </cell>
          <cell r="D307">
            <v>3</v>
          </cell>
          <cell r="E307">
            <v>5</v>
          </cell>
          <cell r="F307">
            <v>6</v>
          </cell>
        </row>
        <row r="308">
          <cell r="B308" t="str">
            <v>Stichtse Vecht</v>
          </cell>
          <cell r="D308">
            <v>6</v>
          </cell>
          <cell r="E308">
            <v>11</v>
          </cell>
          <cell r="F308">
            <v>14</v>
          </cell>
        </row>
        <row r="309">
          <cell r="B309" t="str">
            <v>Strijen</v>
          </cell>
          <cell r="C309" t="str">
            <v>Hoeksche Waard</v>
          </cell>
          <cell r="D309">
            <v>1</v>
          </cell>
          <cell r="E309">
            <v>1</v>
          </cell>
          <cell r="F309">
            <v>2</v>
          </cell>
        </row>
        <row r="310">
          <cell r="B310" t="str">
            <v>Sudwest Fryslan</v>
          </cell>
          <cell r="D310">
            <v>8</v>
          </cell>
          <cell r="E310">
            <v>13</v>
          </cell>
          <cell r="F310">
            <v>17</v>
          </cell>
        </row>
        <row r="311">
          <cell r="B311" t="str">
            <v>Ten Boer</v>
          </cell>
          <cell r="C311" t="str">
            <v>Groningen</v>
          </cell>
          <cell r="D311">
            <v>1</v>
          </cell>
          <cell r="E311">
            <v>1</v>
          </cell>
          <cell r="F311">
            <v>2</v>
          </cell>
        </row>
        <row r="312">
          <cell r="B312" t="str">
            <v>Terneuzen</v>
          </cell>
          <cell r="D312">
            <v>11</v>
          </cell>
          <cell r="E312">
            <v>26</v>
          </cell>
          <cell r="F312">
            <v>34</v>
          </cell>
        </row>
        <row r="313">
          <cell r="B313" t="str">
            <v>Terschelling</v>
          </cell>
          <cell r="D313">
            <v>0</v>
          </cell>
          <cell r="E313">
            <v>0</v>
          </cell>
          <cell r="F313">
            <v>1</v>
          </cell>
        </row>
        <row r="314">
          <cell r="B314" t="str">
            <v>Texel</v>
          </cell>
          <cell r="D314">
            <v>2</v>
          </cell>
          <cell r="E314">
            <v>5</v>
          </cell>
          <cell r="F314">
            <v>6</v>
          </cell>
        </row>
        <row r="315">
          <cell r="B315" t="str">
            <v>Teylingen</v>
          </cell>
          <cell r="D315">
            <v>5</v>
          </cell>
          <cell r="E315">
            <v>8</v>
          </cell>
          <cell r="F315">
            <v>10</v>
          </cell>
        </row>
        <row r="316">
          <cell r="B316" t="str">
            <v>Tholen</v>
          </cell>
          <cell r="D316">
            <v>3</v>
          </cell>
          <cell r="E316">
            <v>5</v>
          </cell>
          <cell r="F316">
            <v>7</v>
          </cell>
        </row>
        <row r="317">
          <cell r="B317" t="str">
            <v>Tiel</v>
          </cell>
          <cell r="D317">
            <v>11</v>
          </cell>
          <cell r="E317">
            <v>22</v>
          </cell>
          <cell r="F317">
            <v>29</v>
          </cell>
        </row>
        <row r="318">
          <cell r="B318" t="str">
            <v>Tilburg</v>
          </cell>
          <cell r="D318">
            <v>34</v>
          </cell>
          <cell r="E318">
            <v>71</v>
          </cell>
          <cell r="F318">
            <v>93</v>
          </cell>
        </row>
        <row r="319">
          <cell r="B319" t="str">
            <v>Tubbergen</v>
          </cell>
          <cell r="D319">
            <v>1</v>
          </cell>
          <cell r="E319">
            <v>2</v>
          </cell>
          <cell r="F319">
            <v>3</v>
          </cell>
        </row>
        <row r="320">
          <cell r="B320" t="str">
            <v>Twenterand</v>
          </cell>
          <cell r="D320">
            <v>5</v>
          </cell>
          <cell r="E320">
            <v>8</v>
          </cell>
          <cell r="F320">
            <v>11</v>
          </cell>
        </row>
        <row r="321">
          <cell r="B321" t="str">
            <v>Tynaarlo</v>
          </cell>
          <cell r="D321">
            <v>4</v>
          </cell>
          <cell r="E321">
            <v>7</v>
          </cell>
          <cell r="F321">
            <v>9</v>
          </cell>
        </row>
        <row r="322">
          <cell r="B322" t="str">
            <v>Tytsjerksteradiel</v>
          </cell>
          <cell r="D322">
            <v>3</v>
          </cell>
          <cell r="E322">
            <v>5</v>
          </cell>
          <cell r="F322">
            <v>7</v>
          </cell>
        </row>
        <row r="323">
          <cell r="B323" t="str">
            <v>Uden</v>
          </cell>
          <cell r="D323">
            <v>9</v>
          </cell>
          <cell r="E323">
            <v>19</v>
          </cell>
          <cell r="F323">
            <v>25</v>
          </cell>
        </row>
        <row r="324">
          <cell r="B324" t="str">
            <v>Uitgeest</v>
          </cell>
          <cell r="D324">
            <v>2</v>
          </cell>
          <cell r="E324">
            <v>3</v>
          </cell>
          <cell r="F324">
            <v>3</v>
          </cell>
        </row>
        <row r="325">
          <cell r="B325" t="str">
            <v>Uithoorn</v>
          </cell>
          <cell r="D325">
            <v>3</v>
          </cell>
          <cell r="E325">
            <v>5</v>
          </cell>
          <cell r="F325">
            <v>7</v>
          </cell>
        </row>
        <row r="326">
          <cell r="B326" t="str">
            <v>Urk</v>
          </cell>
          <cell r="D326">
            <v>1</v>
          </cell>
          <cell r="E326">
            <v>2</v>
          </cell>
          <cell r="F326">
            <v>3</v>
          </cell>
        </row>
        <row r="327">
          <cell r="B327" t="str">
            <v>Utrecht</v>
          </cell>
          <cell r="D327">
            <v>39</v>
          </cell>
          <cell r="E327">
            <v>66</v>
          </cell>
          <cell r="F327">
            <v>86</v>
          </cell>
        </row>
        <row r="328">
          <cell r="B328" t="str">
            <v>Utrechtse Heuvelrug</v>
          </cell>
          <cell r="D328">
            <v>4</v>
          </cell>
          <cell r="E328">
            <v>6</v>
          </cell>
          <cell r="F328">
            <v>8</v>
          </cell>
        </row>
        <row r="329">
          <cell r="B329" t="str">
            <v>Vaals</v>
          </cell>
          <cell r="D329">
            <v>1</v>
          </cell>
          <cell r="E329">
            <v>2</v>
          </cell>
          <cell r="F329">
            <v>2</v>
          </cell>
        </row>
        <row r="330">
          <cell r="B330" t="str">
            <v>Valkenburg aan de Geul</v>
          </cell>
          <cell r="D330">
            <v>2</v>
          </cell>
          <cell r="E330">
            <v>3</v>
          </cell>
          <cell r="F330">
            <v>4</v>
          </cell>
        </row>
        <row r="331">
          <cell r="B331" t="str">
            <v>Valkenswaard</v>
          </cell>
          <cell r="D331">
            <v>2</v>
          </cell>
          <cell r="E331">
            <v>5</v>
          </cell>
          <cell r="F331">
            <v>7</v>
          </cell>
        </row>
        <row r="332">
          <cell r="B332" t="str">
            <v>Veendam</v>
          </cell>
          <cell r="D332">
            <v>8</v>
          </cell>
          <cell r="E332">
            <v>15</v>
          </cell>
          <cell r="F332">
            <v>19</v>
          </cell>
        </row>
        <row r="333">
          <cell r="B333" t="str">
            <v>Veenendaal</v>
          </cell>
          <cell r="D333">
            <v>10</v>
          </cell>
          <cell r="E333">
            <v>16</v>
          </cell>
          <cell r="F333">
            <v>21</v>
          </cell>
        </row>
        <row r="334">
          <cell r="B334" t="str">
            <v>Veere</v>
          </cell>
          <cell r="D334">
            <v>1</v>
          </cell>
          <cell r="E334">
            <v>2</v>
          </cell>
          <cell r="F334">
            <v>2</v>
          </cell>
        </row>
        <row r="335">
          <cell r="B335" t="str">
            <v>Veldhoven</v>
          </cell>
          <cell r="D335">
            <v>5</v>
          </cell>
          <cell r="E335">
            <v>9</v>
          </cell>
          <cell r="F335">
            <v>12</v>
          </cell>
        </row>
        <row r="336">
          <cell r="B336" t="str">
            <v>Velsen</v>
          </cell>
          <cell r="D336">
            <v>12</v>
          </cell>
          <cell r="E336">
            <v>21</v>
          </cell>
          <cell r="F336">
            <v>27</v>
          </cell>
        </row>
        <row r="337">
          <cell r="B337" t="str">
            <v>Venlo</v>
          </cell>
          <cell r="D337">
            <v>14</v>
          </cell>
          <cell r="E337">
            <v>27</v>
          </cell>
          <cell r="F337">
            <v>35</v>
          </cell>
        </row>
        <row r="338">
          <cell r="B338" t="str">
            <v>Venray</v>
          </cell>
          <cell r="D338">
            <v>7</v>
          </cell>
          <cell r="E338">
            <v>15</v>
          </cell>
          <cell r="F338">
            <v>19</v>
          </cell>
        </row>
        <row r="339">
          <cell r="B339" t="str">
            <v>Vianen</v>
          </cell>
          <cell r="C339" t="str">
            <v>Vijfheerenlanden</v>
          </cell>
          <cell r="D339">
            <v>1</v>
          </cell>
          <cell r="E339">
            <v>2</v>
          </cell>
          <cell r="F339">
            <v>3</v>
          </cell>
        </row>
        <row r="340">
          <cell r="B340" t="str">
            <v>Vlaardingen</v>
          </cell>
          <cell r="D340">
            <v>11</v>
          </cell>
          <cell r="E340">
            <v>19</v>
          </cell>
          <cell r="F340">
            <v>25</v>
          </cell>
        </row>
        <row r="341">
          <cell r="B341" t="str">
            <v>Vlagtwedde</v>
          </cell>
          <cell r="C341" t="str">
            <v>Westerwolde</v>
          </cell>
          <cell r="D341">
            <v>4</v>
          </cell>
          <cell r="E341">
            <v>6</v>
          </cell>
          <cell r="F341">
            <v>8</v>
          </cell>
        </row>
        <row r="342">
          <cell r="B342" t="str">
            <v>Vlieland</v>
          </cell>
          <cell r="D342">
            <v>0</v>
          </cell>
          <cell r="E342">
            <v>0</v>
          </cell>
          <cell r="F342">
            <v>1</v>
          </cell>
        </row>
        <row r="343">
          <cell r="B343" t="str">
            <v>Vlissingen</v>
          </cell>
          <cell r="D343">
            <v>5</v>
          </cell>
          <cell r="E343">
            <v>11</v>
          </cell>
          <cell r="F343">
            <v>14</v>
          </cell>
        </row>
        <row r="344">
          <cell r="B344" t="str">
            <v>Voerendaal</v>
          </cell>
          <cell r="D344">
            <v>1</v>
          </cell>
          <cell r="E344">
            <v>1</v>
          </cell>
          <cell r="F344">
            <v>2</v>
          </cell>
        </row>
        <row r="345">
          <cell r="B345" t="str">
            <v>Voorschoten</v>
          </cell>
          <cell r="D345">
            <v>2</v>
          </cell>
          <cell r="E345">
            <v>4</v>
          </cell>
          <cell r="F345">
            <v>5</v>
          </cell>
        </row>
        <row r="346">
          <cell r="B346" t="str">
            <v>Voorst</v>
          </cell>
          <cell r="D346">
            <v>3</v>
          </cell>
          <cell r="E346">
            <v>5</v>
          </cell>
          <cell r="F346">
            <v>7</v>
          </cell>
        </row>
        <row r="347">
          <cell r="B347" t="str">
            <v>Vught</v>
          </cell>
          <cell r="D347">
            <v>6</v>
          </cell>
          <cell r="E347">
            <v>12</v>
          </cell>
          <cell r="F347">
            <v>15</v>
          </cell>
        </row>
        <row r="348">
          <cell r="B348" t="str">
            <v>Waalre</v>
          </cell>
          <cell r="D348">
            <v>1</v>
          </cell>
          <cell r="E348">
            <v>2</v>
          </cell>
          <cell r="F348">
            <v>2</v>
          </cell>
        </row>
        <row r="349">
          <cell r="B349" t="str">
            <v>Waalwijk</v>
          </cell>
          <cell r="D349">
            <v>5</v>
          </cell>
          <cell r="E349">
            <v>11</v>
          </cell>
          <cell r="F349">
            <v>15</v>
          </cell>
        </row>
        <row r="350">
          <cell r="B350" t="str">
            <v>Waddinxveen</v>
          </cell>
          <cell r="D350">
            <v>5</v>
          </cell>
          <cell r="E350">
            <v>9</v>
          </cell>
          <cell r="F350">
            <v>12</v>
          </cell>
        </row>
        <row r="351">
          <cell r="B351" t="str">
            <v>Wageningen</v>
          </cell>
          <cell r="D351">
            <v>6</v>
          </cell>
          <cell r="E351">
            <v>9</v>
          </cell>
          <cell r="F351">
            <v>12</v>
          </cell>
        </row>
        <row r="352">
          <cell r="B352" t="str">
            <v>Wassenaar</v>
          </cell>
          <cell r="D352">
            <v>2</v>
          </cell>
          <cell r="E352">
            <v>3</v>
          </cell>
          <cell r="F352">
            <v>4</v>
          </cell>
        </row>
        <row r="353">
          <cell r="B353" t="str">
            <v>Waterland</v>
          </cell>
          <cell r="D353">
            <v>2</v>
          </cell>
          <cell r="E353">
            <v>3</v>
          </cell>
          <cell r="F353">
            <v>4</v>
          </cell>
        </row>
        <row r="354">
          <cell r="B354" t="str">
            <v>Weert</v>
          </cell>
          <cell r="D354">
            <v>8</v>
          </cell>
          <cell r="E354">
            <v>16</v>
          </cell>
          <cell r="F354">
            <v>20</v>
          </cell>
        </row>
        <row r="355">
          <cell r="B355" t="str">
            <v>Weesp</v>
          </cell>
          <cell r="D355">
            <v>1</v>
          </cell>
          <cell r="E355">
            <v>2</v>
          </cell>
          <cell r="F355">
            <v>2</v>
          </cell>
        </row>
        <row r="356">
          <cell r="B356" t="str">
            <v>Werkendam</v>
          </cell>
          <cell r="C356" t="str">
            <v>Altena</v>
          </cell>
          <cell r="D356">
            <v>3</v>
          </cell>
          <cell r="E356">
            <v>6</v>
          </cell>
          <cell r="F356">
            <v>8</v>
          </cell>
        </row>
        <row r="357">
          <cell r="B357" t="str">
            <v>West Maas en Waal</v>
          </cell>
          <cell r="D357">
            <v>1</v>
          </cell>
          <cell r="E357">
            <v>3</v>
          </cell>
          <cell r="F357">
            <v>3</v>
          </cell>
        </row>
        <row r="358">
          <cell r="B358" t="str">
            <v>Westerveld</v>
          </cell>
          <cell r="D358">
            <v>2</v>
          </cell>
          <cell r="E358">
            <v>4</v>
          </cell>
          <cell r="F358">
            <v>5</v>
          </cell>
        </row>
        <row r="359">
          <cell r="B359" t="str">
            <v>Westervoort</v>
          </cell>
          <cell r="D359">
            <v>4</v>
          </cell>
          <cell r="E359">
            <v>6</v>
          </cell>
          <cell r="F359">
            <v>8</v>
          </cell>
        </row>
        <row r="360">
          <cell r="B360" t="str">
            <v>Westland</v>
          </cell>
          <cell r="D360">
            <v>10</v>
          </cell>
          <cell r="E360">
            <v>16</v>
          </cell>
          <cell r="F360">
            <v>21</v>
          </cell>
        </row>
        <row r="361">
          <cell r="B361" t="str">
            <v>Weststellingwerf</v>
          </cell>
          <cell r="D361">
            <v>3</v>
          </cell>
          <cell r="E361">
            <v>5</v>
          </cell>
          <cell r="F361">
            <v>7</v>
          </cell>
        </row>
        <row r="362">
          <cell r="B362" t="str">
            <v>Westvoorne</v>
          </cell>
          <cell r="D362">
            <v>1</v>
          </cell>
          <cell r="E362">
            <v>2</v>
          </cell>
          <cell r="F362">
            <v>2</v>
          </cell>
        </row>
        <row r="363">
          <cell r="B363" t="str">
            <v>Wierden</v>
          </cell>
          <cell r="D363">
            <v>2</v>
          </cell>
          <cell r="E363">
            <v>2</v>
          </cell>
          <cell r="F363">
            <v>3</v>
          </cell>
        </row>
        <row r="364">
          <cell r="B364" t="str">
            <v>Wijchen</v>
          </cell>
          <cell r="D364">
            <v>6</v>
          </cell>
          <cell r="E364">
            <v>10</v>
          </cell>
          <cell r="F364">
            <v>14</v>
          </cell>
        </row>
        <row r="365">
          <cell r="B365" t="str">
            <v>Wijdemeren</v>
          </cell>
          <cell r="D365">
            <v>1</v>
          </cell>
          <cell r="E365">
            <v>2</v>
          </cell>
          <cell r="F365">
            <v>3</v>
          </cell>
        </row>
        <row r="366">
          <cell r="B366" t="str">
            <v>Wijk bij Duurstede</v>
          </cell>
          <cell r="D366">
            <v>2</v>
          </cell>
          <cell r="E366">
            <v>4</v>
          </cell>
          <cell r="F366">
            <v>5</v>
          </cell>
        </row>
        <row r="367">
          <cell r="B367" t="str">
            <v>Winsum</v>
          </cell>
          <cell r="C367" t="str">
            <v>Het Hogeland</v>
          </cell>
          <cell r="D367">
            <v>2</v>
          </cell>
          <cell r="E367">
            <v>4</v>
          </cell>
          <cell r="F367">
            <v>5</v>
          </cell>
        </row>
        <row r="368">
          <cell r="B368" t="str">
            <v>Winterswijk</v>
          </cell>
          <cell r="D368">
            <v>3</v>
          </cell>
          <cell r="E368">
            <v>6</v>
          </cell>
          <cell r="F368">
            <v>8</v>
          </cell>
        </row>
        <row r="369">
          <cell r="B369" t="str">
            <v>Woensdrecht</v>
          </cell>
          <cell r="D369">
            <v>3</v>
          </cell>
          <cell r="E369">
            <v>5</v>
          </cell>
          <cell r="F369">
            <v>6</v>
          </cell>
        </row>
        <row r="370">
          <cell r="B370" t="str">
            <v>Woerden</v>
          </cell>
          <cell r="D370">
            <v>5</v>
          </cell>
          <cell r="E370">
            <v>8</v>
          </cell>
          <cell r="F370">
            <v>11</v>
          </cell>
        </row>
        <row r="371">
          <cell r="B371" t="str">
            <v>Wormerland</v>
          </cell>
          <cell r="D371">
            <v>2</v>
          </cell>
          <cell r="E371">
            <v>3</v>
          </cell>
          <cell r="F371">
            <v>4</v>
          </cell>
        </row>
        <row r="372">
          <cell r="B372" t="str">
            <v>Woudenberg</v>
          </cell>
          <cell r="D372">
            <v>1</v>
          </cell>
          <cell r="E372">
            <v>1</v>
          </cell>
          <cell r="F372">
            <v>1</v>
          </cell>
        </row>
        <row r="373">
          <cell r="B373" t="str">
            <v>Woudrichem</v>
          </cell>
          <cell r="C373" t="str">
            <v>Altena</v>
          </cell>
          <cell r="D373">
            <v>2</v>
          </cell>
          <cell r="E373">
            <v>4</v>
          </cell>
          <cell r="F373">
            <v>5</v>
          </cell>
        </row>
        <row r="374">
          <cell r="B374" t="str">
            <v>Zaanstad</v>
          </cell>
          <cell r="D374">
            <v>31</v>
          </cell>
          <cell r="E374">
            <v>48</v>
          </cell>
          <cell r="F374">
            <v>63</v>
          </cell>
        </row>
        <row r="375">
          <cell r="B375" t="str">
            <v>Zaltbommel</v>
          </cell>
          <cell r="D375">
            <v>3</v>
          </cell>
          <cell r="E375">
            <v>6</v>
          </cell>
          <cell r="F375">
            <v>8</v>
          </cell>
        </row>
        <row r="376">
          <cell r="B376" t="str">
            <v>Zandvoort</v>
          </cell>
          <cell r="D376">
            <v>2</v>
          </cell>
          <cell r="E376">
            <v>3</v>
          </cell>
          <cell r="F376">
            <v>3</v>
          </cell>
        </row>
        <row r="377">
          <cell r="B377" t="str">
            <v>Zederik</v>
          </cell>
          <cell r="C377" t="str">
            <v>Vijfheerenlanden</v>
          </cell>
          <cell r="D377">
            <v>1</v>
          </cell>
          <cell r="E377">
            <v>2</v>
          </cell>
          <cell r="F377">
            <v>3</v>
          </cell>
        </row>
        <row r="378">
          <cell r="B378" t="str">
            <v>Zeewolde</v>
          </cell>
          <cell r="D378">
            <v>2</v>
          </cell>
          <cell r="E378">
            <v>3</v>
          </cell>
          <cell r="F378">
            <v>4</v>
          </cell>
        </row>
        <row r="379">
          <cell r="B379" t="str">
            <v>Zeist</v>
          </cell>
          <cell r="D379">
            <v>11</v>
          </cell>
          <cell r="E379">
            <v>18</v>
          </cell>
          <cell r="F379">
            <v>24</v>
          </cell>
        </row>
        <row r="380">
          <cell r="B380" t="str">
            <v>Zevenaar</v>
          </cell>
          <cell r="C380" t="str">
            <v>Zevenaar</v>
          </cell>
          <cell r="D380">
            <v>6</v>
          </cell>
          <cell r="E380">
            <v>10</v>
          </cell>
          <cell r="F380">
            <v>13</v>
          </cell>
        </row>
        <row r="381">
          <cell r="B381" t="str">
            <v>Zoetermeer</v>
          </cell>
          <cell r="D381">
            <v>21</v>
          </cell>
          <cell r="E381">
            <v>32</v>
          </cell>
          <cell r="F381">
            <v>41</v>
          </cell>
        </row>
        <row r="382">
          <cell r="B382" t="str">
            <v>Zoeterwoude</v>
          </cell>
          <cell r="D382">
            <v>1</v>
          </cell>
          <cell r="E382">
            <v>1</v>
          </cell>
          <cell r="F382">
            <v>1</v>
          </cell>
        </row>
        <row r="383">
          <cell r="B383" t="str">
            <v>Zuidhorn</v>
          </cell>
          <cell r="C383" t="str">
            <v>Westerkwartier</v>
          </cell>
          <cell r="D383">
            <v>2</v>
          </cell>
          <cell r="E383">
            <v>2</v>
          </cell>
          <cell r="F383">
            <v>3</v>
          </cell>
        </row>
        <row r="384">
          <cell r="B384" t="str">
            <v>Zuidplas</v>
          </cell>
          <cell r="D384">
            <v>4</v>
          </cell>
          <cell r="E384">
            <v>6</v>
          </cell>
          <cell r="F384">
            <v>8</v>
          </cell>
        </row>
        <row r="385">
          <cell r="B385" t="str">
            <v>Zundert</v>
          </cell>
          <cell r="D385">
            <v>2</v>
          </cell>
          <cell r="E385">
            <v>3</v>
          </cell>
          <cell r="F385">
            <v>4</v>
          </cell>
        </row>
        <row r="386">
          <cell r="B386" t="str">
            <v>Zutphen</v>
          </cell>
          <cell r="D386">
            <v>14</v>
          </cell>
          <cell r="E386">
            <v>28</v>
          </cell>
          <cell r="F386">
            <v>36</v>
          </cell>
        </row>
        <row r="387">
          <cell r="B387" t="str">
            <v>Zwartewaterland</v>
          </cell>
          <cell r="D387">
            <v>3</v>
          </cell>
          <cell r="E387">
            <v>4</v>
          </cell>
          <cell r="F387">
            <v>7</v>
          </cell>
        </row>
        <row r="388">
          <cell r="B388" t="str">
            <v>Zwijndrecht</v>
          </cell>
          <cell r="D388">
            <v>6</v>
          </cell>
          <cell r="E388">
            <v>11</v>
          </cell>
          <cell r="F388">
            <v>14</v>
          </cell>
        </row>
        <row r="389">
          <cell r="B389" t="str">
            <v>Zwolle</v>
          </cell>
          <cell r="D389">
            <v>26</v>
          </cell>
          <cell r="E389">
            <v>40</v>
          </cell>
          <cell r="F389">
            <v>52</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lichting"/>
      <sheetName val="uitk_jr_21"/>
      <sheetName val="uitk_jr_22"/>
      <sheetName val="uitk_jr_23"/>
      <sheetName val="uitk_jr_24"/>
      <sheetName val="uitk_jr_25"/>
      <sheetName val="uitk_jr_26"/>
      <sheetName val="Gewichten 2021"/>
      <sheetName val="Gewichten 2022"/>
      <sheetName val="Gewichten 2023"/>
      <sheetName val="Gewichten 2024"/>
      <sheetName val="Gewichten 2025"/>
      <sheetName val="Gewichten 2026"/>
      <sheetName val="Groeifactoren"/>
      <sheetName val="Volumina 2021"/>
      <sheetName val="Volumina 2022"/>
      <sheetName val="Volumina 2023"/>
      <sheetName val="Volumina 2024"/>
      <sheetName val="Volumina 2025"/>
      <sheetName val="Volumina 2026"/>
      <sheetName val="Basisgegevens aanvullend"/>
      <sheetName val="AU per maatstaf 2021"/>
      <sheetName val="AU per maatstaf 2022"/>
      <sheetName val="AU per maatstaf 2023"/>
      <sheetName val="AU per maatstaf 2024"/>
      <sheetName val="AU per maatstaf 2025"/>
      <sheetName val="AU per maatstaf 2026"/>
      <sheetName val="AU per cluster 2021"/>
      <sheetName val="AU per cluster 2022"/>
      <sheetName val="AU per cluster 2023"/>
      <sheetName val="AU per cluster 2024"/>
      <sheetName val="AU per cluster 2025"/>
      <sheetName val="AU per cluster 2026"/>
      <sheetName val="AU overig 2021"/>
      <sheetName val="AU overig 2022"/>
      <sheetName val="Aanv uitkering 2021"/>
      <sheetName val="IU 2021"/>
      <sheetName val="IU 2022"/>
      <sheetName val="IU 2023"/>
      <sheetName val="IU 2024"/>
      <sheetName val="IU 2025"/>
      <sheetName val="IU 2026"/>
      <sheetName val="DU 2021"/>
      <sheetName val="DU 2022"/>
      <sheetName val="DU 2023"/>
      <sheetName val="DU 2024"/>
      <sheetName val="DU 2025"/>
      <sheetName val="DU 20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B6">
            <v>1.09911969387342</v>
          </cell>
        </row>
      </sheetData>
      <sheetData sheetId="14">
        <row r="6">
          <cell r="D6">
            <v>2884800000</v>
          </cell>
        </row>
      </sheetData>
      <sheetData sheetId="15"/>
      <sheetData sheetId="16"/>
      <sheetData sheetId="17"/>
      <sheetData sheetId="18"/>
      <sheetData sheetId="19"/>
      <sheetData sheetId="20">
        <row r="6">
          <cell r="D6">
            <v>9645</v>
          </cell>
        </row>
        <row r="7">
          <cell r="D7">
            <v>34381</v>
          </cell>
        </row>
        <row r="8">
          <cell r="D8">
            <v>11290</v>
          </cell>
        </row>
        <row r="9">
          <cell r="D9">
            <v>13110</v>
          </cell>
        </row>
        <row r="10">
          <cell r="D10">
            <v>7466</v>
          </cell>
        </row>
        <row r="11">
          <cell r="D11">
            <v>2609</v>
          </cell>
        </row>
        <row r="12">
          <cell r="D12">
            <v>6684</v>
          </cell>
        </row>
        <row r="13">
          <cell r="D13">
            <v>5635</v>
          </cell>
        </row>
        <row r="14">
          <cell r="D14">
            <v>14590</v>
          </cell>
        </row>
        <row r="15">
          <cell r="D15">
            <v>4795</v>
          </cell>
        </row>
        <row r="16">
          <cell r="D16">
            <v>6501</v>
          </cell>
        </row>
        <row r="17">
          <cell r="D17">
            <v>787</v>
          </cell>
        </row>
        <row r="18">
          <cell r="D18">
            <v>4280</v>
          </cell>
        </row>
        <row r="19">
          <cell r="D19">
            <v>11869</v>
          </cell>
        </row>
        <row r="20">
          <cell r="D20">
            <v>3349</v>
          </cell>
        </row>
        <row r="21">
          <cell r="D21">
            <v>10428</v>
          </cell>
        </row>
        <row r="22">
          <cell r="D22">
            <v>23382</v>
          </cell>
        </row>
        <row r="23">
          <cell r="D23">
            <v>10424</v>
          </cell>
        </row>
        <row r="24">
          <cell r="D24">
            <v>5419</v>
          </cell>
        </row>
        <row r="25">
          <cell r="D25">
            <v>6985</v>
          </cell>
        </row>
        <row r="26">
          <cell r="D26">
            <v>187</v>
          </cell>
        </row>
        <row r="27">
          <cell r="D27">
            <v>12311</v>
          </cell>
        </row>
        <row r="28">
          <cell r="D28">
            <v>20630</v>
          </cell>
        </row>
        <row r="29">
          <cell r="D29">
            <v>857</v>
          </cell>
        </row>
        <row r="30">
          <cell r="D30">
            <v>7180</v>
          </cell>
        </row>
        <row r="31">
          <cell r="D31">
            <v>239</v>
          </cell>
        </row>
        <row r="32">
          <cell r="D32">
            <v>10699</v>
          </cell>
        </row>
        <row r="33">
          <cell r="D33">
            <v>5336</v>
          </cell>
        </row>
        <row r="34">
          <cell r="D34">
            <v>5252</v>
          </cell>
        </row>
        <row r="35">
          <cell r="D35">
            <v>15358</v>
          </cell>
        </row>
        <row r="36">
          <cell r="D36">
            <v>5311</v>
          </cell>
        </row>
        <row r="37">
          <cell r="D37">
            <v>7535</v>
          </cell>
        </row>
        <row r="38">
          <cell r="D38">
            <v>5165</v>
          </cell>
        </row>
        <row r="39">
          <cell r="D39">
            <v>22332</v>
          </cell>
        </row>
        <row r="40">
          <cell r="D40">
            <v>12071</v>
          </cell>
        </row>
        <row r="41">
          <cell r="D41">
            <v>7297</v>
          </cell>
        </row>
        <row r="42">
          <cell r="D42">
            <v>7217</v>
          </cell>
        </row>
        <row r="43">
          <cell r="D43">
            <v>6405</v>
          </cell>
        </row>
        <row r="44">
          <cell r="D44">
            <v>7028</v>
          </cell>
        </row>
        <row r="45">
          <cell r="D45">
            <v>3793</v>
          </cell>
        </row>
        <row r="46">
          <cell r="D46">
            <v>16197</v>
          </cell>
        </row>
        <row r="47">
          <cell r="D47">
            <v>4835</v>
          </cell>
        </row>
        <row r="48">
          <cell r="D48">
            <v>6531</v>
          </cell>
        </row>
        <row r="49">
          <cell r="D49">
            <v>21437</v>
          </cell>
        </row>
        <row r="50">
          <cell r="D50">
            <v>6278</v>
          </cell>
        </row>
        <row r="51">
          <cell r="D51">
            <v>30994</v>
          </cell>
        </row>
        <row r="52">
          <cell r="D52">
            <v>5384</v>
          </cell>
        </row>
        <row r="53">
          <cell r="D53">
            <v>14302</v>
          </cell>
        </row>
        <row r="54">
          <cell r="D54">
            <v>7938</v>
          </cell>
        </row>
        <row r="55">
          <cell r="D55">
            <v>17542</v>
          </cell>
        </row>
        <row r="56">
          <cell r="D56">
            <v>7663</v>
          </cell>
        </row>
        <row r="57">
          <cell r="D57">
            <v>12574</v>
          </cell>
        </row>
        <row r="58">
          <cell r="D58">
            <v>4742</v>
          </cell>
        </row>
        <row r="59">
          <cell r="D59">
            <v>7116</v>
          </cell>
        </row>
        <row r="60">
          <cell r="D60">
            <v>3990</v>
          </cell>
        </row>
        <row r="61">
          <cell r="D61">
            <v>3696</v>
          </cell>
        </row>
        <row r="62">
          <cell r="D62">
            <v>8202</v>
          </cell>
        </row>
        <row r="63">
          <cell r="D63">
            <v>9810</v>
          </cell>
        </row>
        <row r="64">
          <cell r="D64">
            <v>4844</v>
          </cell>
        </row>
        <row r="65">
          <cell r="D65">
            <v>9420</v>
          </cell>
        </row>
        <row r="66">
          <cell r="D66">
            <v>5372</v>
          </cell>
        </row>
        <row r="67">
          <cell r="D67">
            <v>8162</v>
          </cell>
        </row>
        <row r="68">
          <cell r="D68">
            <v>5476</v>
          </cell>
        </row>
        <row r="69">
          <cell r="D69">
            <v>6120</v>
          </cell>
        </row>
        <row r="70">
          <cell r="D70">
            <v>26361</v>
          </cell>
        </row>
        <row r="71">
          <cell r="D71">
            <v>6018</v>
          </cell>
        </row>
        <row r="72">
          <cell r="D72">
            <v>32693</v>
          </cell>
        </row>
        <row r="73">
          <cell r="D73">
            <v>28972</v>
          </cell>
        </row>
        <row r="74">
          <cell r="D74">
            <v>14442</v>
          </cell>
        </row>
        <row r="75">
          <cell r="D75">
            <v>6746</v>
          </cell>
        </row>
        <row r="76">
          <cell r="D76">
            <v>9674</v>
          </cell>
        </row>
        <row r="77">
          <cell r="D77">
            <v>5688</v>
          </cell>
        </row>
        <row r="78">
          <cell r="D78">
            <v>8016</v>
          </cell>
        </row>
        <row r="79">
          <cell r="D79">
            <v>4467</v>
          </cell>
        </row>
        <row r="80">
          <cell r="D80">
            <v>5823</v>
          </cell>
        </row>
        <row r="81">
          <cell r="D81">
            <v>6668</v>
          </cell>
        </row>
        <row r="82">
          <cell r="D82">
            <v>2443</v>
          </cell>
        </row>
        <row r="83">
          <cell r="D83">
            <v>11930</v>
          </cell>
        </row>
        <row r="84">
          <cell r="D84">
            <v>4172</v>
          </cell>
        </row>
        <row r="85">
          <cell r="D85">
            <v>6202</v>
          </cell>
        </row>
        <row r="86">
          <cell r="D86">
            <v>25635</v>
          </cell>
        </row>
        <row r="87">
          <cell r="D87">
            <v>5412</v>
          </cell>
        </row>
        <row r="88">
          <cell r="D88">
            <v>6708</v>
          </cell>
        </row>
        <row r="89">
          <cell r="D89">
            <v>5491</v>
          </cell>
        </row>
        <row r="90">
          <cell r="D90">
            <v>10283</v>
          </cell>
        </row>
        <row r="91">
          <cell r="D91">
            <v>2670</v>
          </cell>
        </row>
        <row r="92">
          <cell r="D92">
            <v>3919</v>
          </cell>
        </row>
        <row r="93">
          <cell r="D93">
            <v>3775</v>
          </cell>
        </row>
        <row r="94">
          <cell r="D94">
            <v>10323</v>
          </cell>
        </row>
        <row r="95">
          <cell r="D95">
            <v>6807</v>
          </cell>
        </row>
        <row r="96">
          <cell r="D96">
            <v>5305</v>
          </cell>
        </row>
        <row r="97">
          <cell r="D97">
            <v>7201</v>
          </cell>
        </row>
        <row r="98">
          <cell r="D98">
            <v>6186</v>
          </cell>
        </row>
        <row r="99">
          <cell r="D99">
            <v>9504</v>
          </cell>
        </row>
        <row r="100">
          <cell r="D100">
            <v>28488</v>
          </cell>
        </row>
        <row r="101">
          <cell r="D101">
            <v>6508</v>
          </cell>
        </row>
        <row r="102">
          <cell r="D102">
            <v>5338</v>
          </cell>
        </row>
        <row r="103">
          <cell r="D103">
            <v>6936</v>
          </cell>
        </row>
        <row r="104">
          <cell r="D104">
            <v>8577</v>
          </cell>
        </row>
        <row r="105">
          <cell r="D105">
            <v>11227</v>
          </cell>
        </row>
        <row r="106">
          <cell r="D106">
            <v>5653</v>
          </cell>
        </row>
        <row r="107">
          <cell r="D107">
            <v>6217</v>
          </cell>
        </row>
        <row r="108">
          <cell r="D108">
            <v>8305</v>
          </cell>
        </row>
        <row r="109">
          <cell r="D109">
            <v>333</v>
          </cell>
        </row>
        <row r="110">
          <cell r="D110">
            <v>2369</v>
          </cell>
        </row>
        <row r="111">
          <cell r="D111">
            <v>9543</v>
          </cell>
        </row>
        <row r="112">
          <cell r="D112">
            <v>4794</v>
          </cell>
        </row>
        <row r="113">
          <cell r="D113">
            <v>6106</v>
          </cell>
        </row>
        <row r="114">
          <cell r="D114">
            <v>11791</v>
          </cell>
        </row>
        <row r="115">
          <cell r="D115">
            <v>3885</v>
          </cell>
        </row>
        <row r="116">
          <cell r="D116">
            <v>3271</v>
          </cell>
        </row>
        <row r="117">
          <cell r="D117">
            <v>9106</v>
          </cell>
        </row>
        <row r="118">
          <cell r="D118">
            <v>6232</v>
          </cell>
        </row>
        <row r="119">
          <cell r="D119">
            <v>6767</v>
          </cell>
        </row>
        <row r="120">
          <cell r="D120">
            <v>8688</v>
          </cell>
        </row>
        <row r="121">
          <cell r="D121">
            <v>10524</v>
          </cell>
        </row>
        <row r="122">
          <cell r="D122">
            <v>35646</v>
          </cell>
        </row>
        <row r="123">
          <cell r="D123">
            <v>5008</v>
          </cell>
        </row>
        <row r="124">
          <cell r="D124">
            <v>3309</v>
          </cell>
        </row>
        <row r="125">
          <cell r="D125">
            <v>5062</v>
          </cell>
        </row>
        <row r="126">
          <cell r="D126">
            <v>9103</v>
          </cell>
        </row>
        <row r="127">
          <cell r="D127">
            <v>9732</v>
          </cell>
        </row>
        <row r="128">
          <cell r="D128">
            <v>2148</v>
          </cell>
        </row>
        <row r="129">
          <cell r="D129">
            <v>12560</v>
          </cell>
        </row>
        <row r="130">
          <cell r="D130">
            <v>8536</v>
          </cell>
        </row>
        <row r="131">
          <cell r="D131">
            <v>6468</v>
          </cell>
        </row>
        <row r="132">
          <cell r="D132">
            <v>3585</v>
          </cell>
        </row>
        <row r="133">
          <cell r="D133">
            <v>3409</v>
          </cell>
        </row>
        <row r="134">
          <cell r="D134">
            <v>12182</v>
          </cell>
        </row>
        <row r="135">
          <cell r="D135">
            <v>2301</v>
          </cell>
        </row>
        <row r="136">
          <cell r="D136">
            <v>1286</v>
          </cell>
        </row>
        <row r="137">
          <cell r="D137">
            <v>4507</v>
          </cell>
        </row>
        <row r="138">
          <cell r="D138">
            <v>9958</v>
          </cell>
        </row>
        <row r="139">
          <cell r="D139">
            <v>13753</v>
          </cell>
        </row>
        <row r="140">
          <cell r="D140">
            <v>60349</v>
          </cell>
        </row>
        <row r="141">
          <cell r="D141">
            <v>10497</v>
          </cell>
        </row>
        <row r="142">
          <cell r="D142">
            <v>15166</v>
          </cell>
        </row>
        <row r="143">
          <cell r="D143">
            <v>12286</v>
          </cell>
        </row>
        <row r="144">
          <cell r="D144">
            <v>5282</v>
          </cell>
        </row>
        <row r="145">
          <cell r="D145">
            <v>11867</v>
          </cell>
        </row>
        <row r="146">
          <cell r="D146">
            <v>3062</v>
          </cell>
        </row>
        <row r="147">
          <cell r="D147">
            <v>13093</v>
          </cell>
        </row>
        <row r="148">
          <cell r="D148">
            <v>7054</v>
          </cell>
        </row>
        <row r="149">
          <cell r="D149">
            <v>21134</v>
          </cell>
        </row>
        <row r="150">
          <cell r="D150">
            <v>16257</v>
          </cell>
        </row>
        <row r="151">
          <cell r="D151">
            <v>142968</v>
          </cell>
        </row>
        <row r="152">
          <cell r="D152">
            <v>1847</v>
          </cell>
        </row>
        <row r="153">
          <cell r="D153">
            <v>5788</v>
          </cell>
        </row>
        <row r="154">
          <cell r="D154">
            <v>8065</v>
          </cell>
        </row>
        <row r="155">
          <cell r="D155">
            <v>1818</v>
          </cell>
        </row>
        <row r="156">
          <cell r="D156">
            <v>5046</v>
          </cell>
        </row>
        <row r="157">
          <cell r="D157">
            <v>7362</v>
          </cell>
        </row>
        <row r="158">
          <cell r="D158">
            <v>10979</v>
          </cell>
        </row>
        <row r="159">
          <cell r="D159">
            <v>4882</v>
          </cell>
        </row>
        <row r="160">
          <cell r="D160">
            <v>4436</v>
          </cell>
        </row>
        <row r="161">
          <cell r="D161">
            <v>8082</v>
          </cell>
        </row>
        <row r="162">
          <cell r="D162">
            <v>3804</v>
          </cell>
        </row>
        <row r="163">
          <cell r="D163">
            <v>13304</v>
          </cell>
        </row>
        <row r="164">
          <cell r="D164">
            <v>29639</v>
          </cell>
        </row>
        <row r="165">
          <cell r="D165">
            <v>35410</v>
          </cell>
        </row>
        <row r="166">
          <cell r="D166">
            <v>8032</v>
          </cell>
        </row>
        <row r="167">
          <cell r="D167">
            <v>5706</v>
          </cell>
        </row>
        <row r="168">
          <cell r="D168">
            <v>12378</v>
          </cell>
        </row>
        <row r="169">
          <cell r="D169">
            <v>4819</v>
          </cell>
        </row>
        <row r="170">
          <cell r="D170">
            <v>17270</v>
          </cell>
        </row>
        <row r="171">
          <cell r="D171">
            <v>10775</v>
          </cell>
        </row>
        <row r="172">
          <cell r="D172">
            <v>15597</v>
          </cell>
        </row>
        <row r="173">
          <cell r="D173">
            <v>8923</v>
          </cell>
        </row>
        <row r="174">
          <cell r="D174">
            <v>5211</v>
          </cell>
        </row>
        <row r="175">
          <cell r="D175">
            <v>2068</v>
          </cell>
        </row>
        <row r="176">
          <cell r="D176">
            <v>6433</v>
          </cell>
        </row>
        <row r="177">
          <cell r="D177">
            <v>2212</v>
          </cell>
        </row>
        <row r="178">
          <cell r="D178">
            <v>9791</v>
          </cell>
        </row>
        <row r="179">
          <cell r="D179">
            <v>2009</v>
          </cell>
        </row>
        <row r="180">
          <cell r="D180">
            <v>2692</v>
          </cell>
        </row>
        <row r="181">
          <cell r="D181">
            <v>2856</v>
          </cell>
        </row>
        <row r="182">
          <cell r="D182">
            <v>16546</v>
          </cell>
        </row>
        <row r="183">
          <cell r="D183">
            <v>10261</v>
          </cell>
        </row>
        <row r="184">
          <cell r="D184">
            <v>4858</v>
          </cell>
        </row>
        <row r="185">
          <cell r="D185">
            <v>2901</v>
          </cell>
        </row>
        <row r="186">
          <cell r="D186">
            <v>3059</v>
          </cell>
        </row>
        <row r="187">
          <cell r="D187">
            <v>6315</v>
          </cell>
        </row>
        <row r="188">
          <cell r="D188">
            <v>14334</v>
          </cell>
        </row>
        <row r="189">
          <cell r="D189">
            <v>3502</v>
          </cell>
        </row>
        <row r="190">
          <cell r="D190">
            <v>3454</v>
          </cell>
        </row>
        <row r="191">
          <cell r="D191">
            <v>4934</v>
          </cell>
        </row>
        <row r="192">
          <cell r="D192">
            <v>3428</v>
          </cell>
        </row>
        <row r="193">
          <cell r="D193">
            <v>31293</v>
          </cell>
        </row>
        <row r="194">
          <cell r="D194">
            <v>2746</v>
          </cell>
        </row>
        <row r="195">
          <cell r="D195">
            <v>4697</v>
          </cell>
        </row>
        <row r="196">
          <cell r="D196">
            <v>5660</v>
          </cell>
        </row>
        <row r="197">
          <cell r="D197">
            <v>23826</v>
          </cell>
        </row>
        <row r="198">
          <cell r="D198">
            <v>11832</v>
          </cell>
        </row>
        <row r="199">
          <cell r="D199">
            <v>7780</v>
          </cell>
        </row>
        <row r="200">
          <cell r="D200">
            <v>3174</v>
          </cell>
        </row>
        <row r="201">
          <cell r="D201">
            <v>13753</v>
          </cell>
        </row>
        <row r="202">
          <cell r="D202">
            <v>15631</v>
          </cell>
        </row>
        <row r="203">
          <cell r="D203">
            <v>24763</v>
          </cell>
        </row>
        <row r="204">
          <cell r="D204">
            <v>10574</v>
          </cell>
        </row>
        <row r="205">
          <cell r="D205">
            <v>7638</v>
          </cell>
        </row>
        <row r="206">
          <cell r="D206">
            <v>15935</v>
          </cell>
        </row>
        <row r="207">
          <cell r="D207">
            <v>4376</v>
          </cell>
        </row>
        <row r="208">
          <cell r="D208">
            <v>8055</v>
          </cell>
        </row>
        <row r="209">
          <cell r="D209">
            <v>6840</v>
          </cell>
        </row>
        <row r="210">
          <cell r="D210">
            <v>4189</v>
          </cell>
        </row>
        <row r="211">
          <cell r="D211">
            <v>18153</v>
          </cell>
        </row>
        <row r="212">
          <cell r="D212">
            <v>5637</v>
          </cell>
        </row>
        <row r="213">
          <cell r="D213">
            <v>14613</v>
          </cell>
        </row>
        <row r="214">
          <cell r="D214">
            <v>6320</v>
          </cell>
        </row>
        <row r="215">
          <cell r="D215">
            <v>12046</v>
          </cell>
        </row>
        <row r="216">
          <cell r="D216">
            <v>14384</v>
          </cell>
        </row>
        <row r="217">
          <cell r="D217">
            <v>20691</v>
          </cell>
        </row>
        <row r="218">
          <cell r="D218">
            <v>5788</v>
          </cell>
        </row>
        <row r="219">
          <cell r="D219">
            <v>13589</v>
          </cell>
        </row>
        <row r="220">
          <cell r="D220">
            <v>4749</v>
          </cell>
        </row>
        <row r="221">
          <cell r="D221">
            <v>6376</v>
          </cell>
        </row>
        <row r="222">
          <cell r="D222">
            <v>4377</v>
          </cell>
        </row>
        <row r="223">
          <cell r="D223">
            <v>11387</v>
          </cell>
        </row>
        <row r="224">
          <cell r="D224">
            <v>5968</v>
          </cell>
        </row>
        <row r="225">
          <cell r="D225">
            <v>16807</v>
          </cell>
        </row>
        <row r="226">
          <cell r="D226">
            <v>8060</v>
          </cell>
        </row>
        <row r="227">
          <cell r="D227">
            <v>5172</v>
          </cell>
        </row>
        <row r="228">
          <cell r="D228">
            <v>6942</v>
          </cell>
        </row>
        <row r="229">
          <cell r="D229">
            <v>13515</v>
          </cell>
        </row>
        <row r="230">
          <cell r="D230">
            <v>8189</v>
          </cell>
        </row>
        <row r="231">
          <cell r="D231">
            <v>7551</v>
          </cell>
        </row>
        <row r="232">
          <cell r="D232">
            <v>119962</v>
          </cell>
        </row>
        <row r="233">
          <cell r="D233">
            <v>15231</v>
          </cell>
        </row>
        <row r="234">
          <cell r="D234">
            <v>102336</v>
          </cell>
        </row>
        <row r="235">
          <cell r="D235">
            <v>5260</v>
          </cell>
        </row>
        <row r="236">
          <cell r="D236">
            <v>8437</v>
          </cell>
        </row>
        <row r="237">
          <cell r="D237">
            <v>13577</v>
          </cell>
        </row>
        <row r="238">
          <cell r="D238">
            <v>5368</v>
          </cell>
        </row>
        <row r="239">
          <cell r="D239">
            <v>5588</v>
          </cell>
        </row>
        <row r="240">
          <cell r="D240">
            <v>5626</v>
          </cell>
        </row>
        <row r="241">
          <cell r="D241">
            <v>22601</v>
          </cell>
        </row>
        <row r="242">
          <cell r="D242">
            <v>2675</v>
          </cell>
        </row>
        <row r="243">
          <cell r="D243">
            <v>26195</v>
          </cell>
        </row>
        <row r="244">
          <cell r="D244">
            <v>1733</v>
          </cell>
        </row>
        <row r="245">
          <cell r="D245">
            <v>9463</v>
          </cell>
        </row>
        <row r="246">
          <cell r="D246">
            <v>8868</v>
          </cell>
        </row>
        <row r="247">
          <cell r="D247">
            <v>5376</v>
          </cell>
        </row>
        <row r="248">
          <cell r="D248">
            <v>7269</v>
          </cell>
        </row>
        <row r="249">
          <cell r="D249">
            <v>5318</v>
          </cell>
        </row>
        <row r="250">
          <cell r="D250">
            <v>3024</v>
          </cell>
        </row>
        <row r="251">
          <cell r="D251">
            <v>10052</v>
          </cell>
        </row>
        <row r="252">
          <cell r="D252">
            <v>1348</v>
          </cell>
        </row>
        <row r="253">
          <cell r="D253">
            <v>5722</v>
          </cell>
        </row>
        <row r="254">
          <cell r="D254">
            <v>6703</v>
          </cell>
        </row>
        <row r="255">
          <cell r="D255">
            <v>4110</v>
          </cell>
        </row>
        <row r="256">
          <cell r="D256">
            <v>10645</v>
          </cell>
        </row>
        <row r="257">
          <cell r="D257">
            <v>6245</v>
          </cell>
        </row>
        <row r="258">
          <cell r="D258">
            <v>4661</v>
          </cell>
        </row>
        <row r="259">
          <cell r="D259">
            <v>8173</v>
          </cell>
        </row>
        <row r="260">
          <cell r="D260">
            <v>2006</v>
          </cell>
        </row>
        <row r="261">
          <cell r="D261">
            <v>12579</v>
          </cell>
        </row>
        <row r="262">
          <cell r="D262">
            <v>3643</v>
          </cell>
        </row>
        <row r="263">
          <cell r="D263">
            <v>1136</v>
          </cell>
        </row>
        <row r="264">
          <cell r="D264">
            <v>3959</v>
          </cell>
        </row>
        <row r="265">
          <cell r="D265">
            <v>13097</v>
          </cell>
        </row>
        <row r="266">
          <cell r="D266">
            <v>6935</v>
          </cell>
        </row>
        <row r="267">
          <cell r="D267">
            <v>6694</v>
          </cell>
        </row>
        <row r="268">
          <cell r="D268">
            <v>4251</v>
          </cell>
        </row>
        <row r="269">
          <cell r="D269">
            <v>2412</v>
          </cell>
        </row>
        <row r="270">
          <cell r="D270">
            <v>6255</v>
          </cell>
        </row>
        <row r="271">
          <cell r="D271">
            <v>7058</v>
          </cell>
        </row>
        <row r="272">
          <cell r="D272">
            <v>35281</v>
          </cell>
        </row>
        <row r="273">
          <cell r="D273">
            <v>4063</v>
          </cell>
        </row>
        <row r="274">
          <cell r="D274">
            <v>5404</v>
          </cell>
        </row>
        <row r="275">
          <cell r="D275">
            <v>6777</v>
          </cell>
        </row>
        <row r="276">
          <cell r="D276">
            <v>5369</v>
          </cell>
        </row>
        <row r="277">
          <cell r="D277">
            <v>5398</v>
          </cell>
        </row>
        <row r="278">
          <cell r="D278">
            <v>3792</v>
          </cell>
        </row>
        <row r="279">
          <cell r="D279">
            <v>39408</v>
          </cell>
        </row>
        <row r="280">
          <cell r="D280">
            <v>8906</v>
          </cell>
        </row>
        <row r="281">
          <cell r="D281">
            <v>4388</v>
          </cell>
        </row>
        <row r="282">
          <cell r="D282">
            <v>7982</v>
          </cell>
        </row>
        <row r="283">
          <cell r="D283">
            <v>6311</v>
          </cell>
        </row>
        <row r="284">
          <cell r="D284">
            <v>5532</v>
          </cell>
        </row>
        <row r="285">
          <cell r="D285">
            <v>4742</v>
          </cell>
        </row>
        <row r="286">
          <cell r="D286">
            <v>2831</v>
          </cell>
        </row>
        <row r="287">
          <cell r="D287">
            <v>5795</v>
          </cell>
        </row>
        <row r="288">
          <cell r="D288">
            <v>3193</v>
          </cell>
        </row>
        <row r="289">
          <cell r="D289">
            <v>20169</v>
          </cell>
        </row>
        <row r="290">
          <cell r="D290">
            <v>9384</v>
          </cell>
        </row>
        <row r="291">
          <cell r="D291">
            <v>3379</v>
          </cell>
        </row>
        <row r="292">
          <cell r="D292">
            <v>4669</v>
          </cell>
        </row>
        <row r="293">
          <cell r="D293">
            <v>3374</v>
          </cell>
        </row>
        <row r="294">
          <cell r="D294">
            <v>4747</v>
          </cell>
        </row>
        <row r="295">
          <cell r="D295">
            <v>17173</v>
          </cell>
        </row>
        <row r="296">
          <cell r="D296">
            <v>2404</v>
          </cell>
        </row>
        <row r="297">
          <cell r="D297">
            <v>7667</v>
          </cell>
        </row>
        <row r="298">
          <cell r="D298">
            <v>4647</v>
          </cell>
        </row>
        <row r="299">
          <cell r="D299">
            <v>3929</v>
          </cell>
        </row>
        <row r="300">
          <cell r="D300">
            <v>6596</v>
          </cell>
        </row>
        <row r="301">
          <cell r="D301">
            <v>11246</v>
          </cell>
        </row>
        <row r="302">
          <cell r="D302">
            <v>18823</v>
          </cell>
        </row>
        <row r="303">
          <cell r="D303">
            <v>2576</v>
          </cell>
        </row>
        <row r="304">
          <cell r="D304">
            <v>15904</v>
          </cell>
        </row>
        <row r="305">
          <cell r="D305">
            <v>3882</v>
          </cell>
        </row>
        <row r="306">
          <cell r="D306">
            <v>29783</v>
          </cell>
        </row>
        <row r="307">
          <cell r="D307">
            <v>2705</v>
          </cell>
        </row>
        <row r="308">
          <cell r="D308">
            <v>6292</v>
          </cell>
        </row>
        <row r="309">
          <cell r="D309">
            <v>3925</v>
          </cell>
        </row>
        <row r="310">
          <cell r="D310">
            <v>3664</v>
          </cell>
        </row>
        <row r="311">
          <cell r="D311">
            <v>4630</v>
          </cell>
        </row>
        <row r="312">
          <cell r="D312">
            <v>40543</v>
          </cell>
        </row>
        <row r="313">
          <cell r="D313">
            <v>8881</v>
          </cell>
        </row>
        <row r="314">
          <cell r="D314">
            <v>5730</v>
          </cell>
        </row>
        <row r="315">
          <cell r="D315">
            <v>8885</v>
          </cell>
        </row>
        <row r="316">
          <cell r="D316">
            <v>6652</v>
          </cell>
        </row>
        <row r="317">
          <cell r="D317">
            <v>3668</v>
          </cell>
        </row>
        <row r="318">
          <cell r="D318">
            <v>9326</v>
          </cell>
        </row>
        <row r="319">
          <cell r="D319">
            <v>4215</v>
          </cell>
        </row>
        <row r="320">
          <cell r="D320">
            <v>4173</v>
          </cell>
        </row>
        <row r="321">
          <cell r="D321">
            <v>3064</v>
          </cell>
        </row>
        <row r="322">
          <cell r="D322">
            <v>6732</v>
          </cell>
        </row>
        <row r="323">
          <cell r="D323">
            <v>2848</v>
          </cell>
        </row>
        <row r="324">
          <cell r="D324">
            <v>2691</v>
          </cell>
        </row>
        <row r="325">
          <cell r="D325">
            <v>5098</v>
          </cell>
        </row>
        <row r="326">
          <cell r="D326">
            <v>5662</v>
          </cell>
        </row>
        <row r="327">
          <cell r="D327">
            <v>5027</v>
          </cell>
        </row>
        <row r="328">
          <cell r="D328">
            <v>3545</v>
          </cell>
        </row>
        <row r="329">
          <cell r="D329">
            <v>2444</v>
          </cell>
        </row>
        <row r="330">
          <cell r="D330">
            <v>14902</v>
          </cell>
        </row>
        <row r="331">
          <cell r="D331">
            <v>9212</v>
          </cell>
        </row>
        <row r="332">
          <cell r="D332">
            <v>7250</v>
          </cell>
        </row>
        <row r="333">
          <cell r="D333">
            <v>6532</v>
          </cell>
        </row>
        <row r="334">
          <cell r="D334">
            <v>7474</v>
          </cell>
        </row>
        <row r="335">
          <cell r="D335">
            <v>4317</v>
          </cell>
        </row>
        <row r="336">
          <cell r="D336">
            <v>17804</v>
          </cell>
        </row>
        <row r="337">
          <cell r="D337">
            <v>3695</v>
          </cell>
        </row>
        <row r="338">
          <cell r="D338">
            <v>1679</v>
          </cell>
        </row>
        <row r="339">
          <cell r="D339">
            <v>3407</v>
          </cell>
        </row>
        <row r="340">
          <cell r="D340">
            <v>9213</v>
          </cell>
        </row>
        <row r="341">
          <cell r="D341">
            <v>3802</v>
          </cell>
        </row>
        <row r="342">
          <cell r="D342">
            <v>10592</v>
          </cell>
        </row>
        <row r="343">
          <cell r="D343">
            <v>1934</v>
          </cell>
        </row>
        <row r="344">
          <cell r="D344">
            <v>17042</v>
          </cell>
        </row>
        <row r="345">
          <cell r="D345">
            <v>4627</v>
          </cell>
        </row>
        <row r="346">
          <cell r="D346">
            <v>1531</v>
          </cell>
        </row>
        <row r="347">
          <cell r="D347">
            <v>2809</v>
          </cell>
        </row>
        <row r="348">
          <cell r="D348">
            <v>19441</v>
          </cell>
        </row>
        <row r="349">
          <cell r="D349">
            <v>9266</v>
          </cell>
        </row>
        <row r="350">
          <cell r="D350">
            <v>2343</v>
          </cell>
        </row>
        <row r="351">
          <cell r="D351">
            <v>9487</v>
          </cell>
        </row>
        <row r="352">
          <cell r="D352">
            <v>48600</v>
          </cell>
        </row>
        <row r="353">
          <cell r="D353">
            <v>9613</v>
          </cell>
        </row>
        <row r="354">
          <cell r="D354">
            <v>17565</v>
          </cell>
        </row>
        <row r="355">
          <cell r="D355">
            <v>11494</v>
          </cell>
        </row>
        <row r="356">
          <cell r="D356">
            <v>6794</v>
          </cell>
        </row>
        <row r="357">
          <cell r="D357">
            <v>6025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ef.nl/vijfde-nieuwsbrief-onderzoek-herijking-gemeentefonds-sociaal-domein" TargetMode="External"/><Relationship Id="rId2" Type="http://schemas.openxmlformats.org/officeDocument/2006/relationships/hyperlink" Target="https://www-test9.outputteam.party/nl-nl/maatwerk/2019/23/indicatoren-ten-behoeve-van-de-bzk-verdeelmodellen-2019" TargetMode="External"/><Relationship Id="rId1" Type="http://schemas.openxmlformats.org/officeDocument/2006/relationships/hyperlink" Target="https://www.rijksoverheid.nl/onderwerpen/financien-gemeenten-en-provincies/herziening-financiele-verhouding" TargetMode="External"/><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test9.outputteam.party/nl-nl/maatwerk/2019/23/indicatoren-ten-behoeve-van-de-bzk-verdeelmodellen-20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7DEC-21E0-4232-9AF8-2D2EBE29B314}">
  <sheetPr codeName="Blad17">
    <tabColor rgb="FF00B050"/>
  </sheetPr>
  <dimension ref="A1:N39"/>
  <sheetViews>
    <sheetView showGridLines="0" tabSelected="1" zoomScale="70" zoomScaleNormal="70" workbookViewId="0">
      <selection activeCell="B11" sqref="B11"/>
    </sheetView>
  </sheetViews>
  <sheetFormatPr defaultRowHeight="14.5" x14ac:dyDescent="0.35"/>
  <cols>
    <col min="1" max="1" width="26" customWidth="1"/>
    <col min="2" max="11" width="19.81640625" customWidth="1"/>
    <col min="12" max="12" width="105.81640625" hidden="1" customWidth="1"/>
    <col min="13" max="14" width="8.7265625" hidden="1" customWidth="1"/>
  </cols>
  <sheetData>
    <row r="1" spans="1:14" s="312" customFormat="1" ht="15.5" x14ac:dyDescent="0.35">
      <c r="A1" s="392" t="s">
        <v>1267</v>
      </c>
      <c r="B1" s="393"/>
      <c r="C1" s="393"/>
      <c r="D1" s="393"/>
      <c r="E1" s="393"/>
      <c r="F1" s="393"/>
      <c r="I1" s="391"/>
    </row>
    <row r="2" spans="1:14" s="312" customFormat="1" ht="15.5" x14ac:dyDescent="0.35">
      <c r="A2" s="394" t="s">
        <v>1268</v>
      </c>
      <c r="B2" s="393"/>
      <c r="C2" s="393"/>
      <c r="D2" s="393"/>
      <c r="E2" s="393"/>
      <c r="F2" s="393"/>
    </row>
    <row r="3" spans="1:14" ht="21" customHeight="1" x14ac:dyDescent="0.45">
      <c r="A3" s="505" t="s">
        <v>1260</v>
      </c>
      <c r="B3" s="506"/>
      <c r="C3" s="503" t="s">
        <v>1258</v>
      </c>
      <c r="D3" s="504"/>
      <c r="E3" s="504"/>
      <c r="F3" s="504"/>
      <c r="G3" s="504"/>
      <c r="H3" s="504"/>
      <c r="I3" s="504"/>
      <c r="J3" s="504"/>
      <c r="K3" s="504"/>
    </row>
    <row r="4" spans="1:14" ht="29.4" customHeight="1" x14ac:dyDescent="0.35">
      <c r="A4" s="396" t="s">
        <v>1271</v>
      </c>
      <c r="B4" s="395"/>
      <c r="L4" s="266" t="s">
        <v>1013</v>
      </c>
    </row>
    <row r="5" spans="1:14" ht="25" hidden="1" customHeight="1" x14ac:dyDescent="0.35">
      <c r="A5" s="389" t="s">
        <v>1</v>
      </c>
      <c r="B5" s="387" t="e">
        <f>VLOOKUP($B$4,'Hulpblad gemeenten 2022'!$A$2:$C$391,3,FALSE)</f>
        <v>#N/A</v>
      </c>
      <c r="L5" s="265" t="s">
        <v>1047</v>
      </c>
    </row>
    <row r="6" spans="1:14" ht="25" hidden="1" customHeight="1" x14ac:dyDescent="0.35">
      <c r="A6" s="390"/>
      <c r="B6" s="387" t="e">
        <f>VLOOKUP($B$4,'Hulpblad gemeenten 2022'!$A$2:$C$391,2,FALSE)</f>
        <v>#N/A</v>
      </c>
    </row>
    <row r="7" spans="1:14" ht="25" customHeight="1" x14ac:dyDescent="0.35">
      <c r="A7" s="498" t="s">
        <v>1270</v>
      </c>
      <c r="B7" s="397"/>
      <c r="M7" s="384">
        <f>IF(B7&gt;0,VLOOKUP($B$7,'Hulpblad gemeenten 2022'!$A$2:$C$391,3,FALSE),0)</f>
        <v>0</v>
      </c>
      <c r="N7" s="68">
        <f>IF(B7&gt;0,VLOOKUP($B$7,'Hulpblad gemeenten 2022'!$A$2:$C$391,2,FALSE),0)</f>
        <v>0</v>
      </c>
    </row>
    <row r="8" spans="1:14" ht="25" customHeight="1" x14ac:dyDescent="0.35">
      <c r="A8" s="499"/>
      <c r="B8" s="397"/>
      <c r="M8" s="384">
        <f>IF(B8&gt;0,VLOOKUP($B$8,'Hulpblad gemeenten 2022'!$A$2:$C$391,3,FALSE),0)</f>
        <v>0</v>
      </c>
      <c r="N8" s="68">
        <f>IF(B8&gt;0,VLOOKUP($B$8,'Hulpblad gemeenten 2022'!$A$2:$C$391,2,FALSE),0)</f>
        <v>0</v>
      </c>
    </row>
    <row r="9" spans="1:14" ht="25" customHeight="1" x14ac:dyDescent="0.35">
      <c r="A9" s="499"/>
      <c r="B9" s="397"/>
      <c r="M9" s="384">
        <f>IF(B9&gt;0,VLOOKUP($B$9,'Hulpblad gemeenten 2022'!$A$2:$C$391,3,FALSE),0)</f>
        <v>0</v>
      </c>
      <c r="N9" s="68">
        <f>IF(B9&gt;0,VLOOKUP($B$9,'Hulpblad gemeenten 2022'!$A$2:$C$391,2,FALSE),0)</f>
        <v>0</v>
      </c>
    </row>
    <row r="10" spans="1:14" ht="25" customHeight="1" x14ac:dyDescent="0.35">
      <c r="A10" s="499"/>
      <c r="B10" s="397"/>
      <c r="M10" s="384">
        <f>IF(B10&gt;0,VLOOKUP($B$10,'Hulpblad gemeenten 2022'!$A$2:$C$391,3,FALSE),0)</f>
        <v>0</v>
      </c>
      <c r="N10" s="68">
        <f>IF(B10&gt;0,VLOOKUP($B$10,'Hulpblad gemeenten 2022'!$A$2:$C$391,2,FALSE),0)</f>
        <v>0</v>
      </c>
    </row>
    <row r="11" spans="1:14" ht="25" customHeight="1" x14ac:dyDescent="0.35">
      <c r="A11" s="499"/>
      <c r="B11" s="397"/>
      <c r="M11" s="384">
        <f>IF(B11&gt;0,VLOOKUP($B$11,'Hulpblad gemeenten 2022'!$A$2:$C$391,3,FALSE),0)</f>
        <v>0</v>
      </c>
      <c r="N11" s="68">
        <f>IF(B11&gt;0,VLOOKUP($B$11,'Hulpblad gemeenten 2022'!$A$2:$C$391,2,FALSE),0)</f>
        <v>0</v>
      </c>
    </row>
    <row r="12" spans="1:14" ht="25" customHeight="1" x14ac:dyDescent="0.35">
      <c r="A12" s="499"/>
      <c r="B12" s="397"/>
      <c r="F12" s="355"/>
      <c r="G12" s="355"/>
      <c r="M12" s="384">
        <f>IF(B12&gt;0,VLOOKUP($B$12,'Hulpblad gemeenten 2022'!$A$2:$C$391,3,FALSE),0)</f>
        <v>0</v>
      </c>
      <c r="N12" s="68">
        <f>IF(B12&gt;0,VLOOKUP($B$12,'Hulpblad gemeenten 2022'!$A$2:$C$391,2,FALSE),0)</f>
        <v>0</v>
      </c>
    </row>
    <row r="13" spans="1:14" ht="25" customHeight="1" x14ac:dyDescent="0.35">
      <c r="A13" s="499"/>
      <c r="B13" s="397"/>
      <c r="M13" s="384">
        <f>IF(B13&gt;0,VLOOKUP($B$13,'Hulpblad gemeenten 2022'!$A$2:$C$391,3,FALSE),0)</f>
        <v>0</v>
      </c>
      <c r="N13" s="68">
        <f>IF(B13&gt;0,VLOOKUP($B$13,'Hulpblad gemeenten 2022'!$A$2:$C$391,2,FALSE),0)</f>
        <v>0</v>
      </c>
    </row>
    <row r="14" spans="1:14" ht="25" customHeight="1" x14ac:dyDescent="0.35">
      <c r="A14" s="499"/>
      <c r="B14" s="397"/>
      <c r="M14" s="384">
        <f>IF(B14&gt;0,VLOOKUP($B$14,'Hulpblad gemeenten 2022'!$A$2:$C$391,3,FALSE),0)</f>
        <v>0</v>
      </c>
      <c r="N14" s="68">
        <f>IF(B14&gt;0,VLOOKUP($B$14,'Hulpblad gemeenten 2022'!$A$2:$C$391,2,FALSE),0)</f>
        <v>0</v>
      </c>
    </row>
    <row r="15" spans="1:14" ht="5" customHeight="1" x14ac:dyDescent="0.35">
      <c r="A15" s="385"/>
      <c r="B15" s="386"/>
      <c r="D15" s="355"/>
      <c r="E15" s="355"/>
    </row>
    <row r="16" spans="1:14" ht="21" customHeight="1" x14ac:dyDescent="0.45">
      <c r="A16" s="500" t="s">
        <v>1104</v>
      </c>
      <c r="B16" s="501"/>
      <c r="C16" s="501"/>
      <c r="D16" s="501"/>
      <c r="E16" s="501"/>
      <c r="F16" s="502"/>
      <c r="G16" s="503">
        <f>+Start!B4</f>
        <v>0</v>
      </c>
      <c r="H16" s="504"/>
      <c r="I16" s="504"/>
      <c r="J16" s="504"/>
      <c r="K16" s="413"/>
    </row>
    <row r="17" spans="1:11" ht="5" customHeight="1" x14ac:dyDescent="0.35"/>
    <row r="18" spans="1:11" ht="20" customHeight="1" x14ac:dyDescent="0.35">
      <c r="A18" s="341" t="s">
        <v>1126</v>
      </c>
      <c r="B18" s="342">
        <v>2018</v>
      </c>
      <c r="C18" s="342">
        <v>2019</v>
      </c>
      <c r="D18" s="342">
        <v>2020</v>
      </c>
      <c r="E18" s="342">
        <v>2021</v>
      </c>
      <c r="F18" s="342">
        <v>2022</v>
      </c>
      <c r="G18" s="343">
        <v>2023</v>
      </c>
      <c r="H18" s="344">
        <v>2024</v>
      </c>
      <c r="I18" s="344">
        <v>2025</v>
      </c>
      <c r="J18" s="419">
        <v>2026</v>
      </c>
      <c r="K18" s="476">
        <v>2027</v>
      </c>
    </row>
    <row r="19" spans="1:11" ht="20" customHeight="1" x14ac:dyDescent="0.35">
      <c r="A19" s="334" t="s">
        <v>1105</v>
      </c>
      <c r="B19" s="335" t="e">
        <f>+'2 Cijfers'!C19</f>
        <v>#N/A</v>
      </c>
      <c r="C19" s="335" t="e">
        <f>+'2 Cijfers'!D19</f>
        <v>#N/A</v>
      </c>
      <c r="D19" s="335" t="e">
        <f>+'2 Cijfers'!E19</f>
        <v>#N/A</v>
      </c>
      <c r="E19" s="335" t="e">
        <f>+'2 Cijfers'!F19</f>
        <v>#N/A</v>
      </c>
      <c r="F19" s="335" t="e">
        <f>+'2 Cijfers'!G19</f>
        <v>#N/A</v>
      </c>
      <c r="G19" s="335" t="e">
        <f>+'2 Cijfers'!H19</f>
        <v>#N/A</v>
      </c>
      <c r="H19" s="335" t="e">
        <f>+'2 Cijfers'!I19</f>
        <v>#N/A</v>
      </c>
      <c r="I19" s="335" t="e">
        <f>+'2 Cijfers'!J19</f>
        <v>#N/A</v>
      </c>
      <c r="J19" s="335" t="e">
        <f>+'2 Cijfers'!K19</f>
        <v>#N/A</v>
      </c>
      <c r="K19" s="335" t="e">
        <f>+'2 Cijfers'!L19</f>
        <v>#N/A</v>
      </c>
    </row>
    <row r="20" spans="1:11" ht="20" customHeight="1" x14ac:dyDescent="0.35">
      <c r="A20" s="334" t="s">
        <v>1106</v>
      </c>
      <c r="B20" s="335" t="e">
        <f>+'2 Cijfers'!C39</f>
        <v>#N/A</v>
      </c>
      <c r="C20" s="335" t="e">
        <f>+'2 Cijfers'!D39</f>
        <v>#N/A</v>
      </c>
      <c r="D20" s="335" t="e">
        <f>+'2 Cijfers'!E39</f>
        <v>#N/A</v>
      </c>
      <c r="E20" s="335" t="e">
        <f>+'2 Cijfers'!F39</f>
        <v>#N/A</v>
      </c>
      <c r="F20" s="335" t="e">
        <f>+'2 Cijfers'!G39</f>
        <v>#N/A</v>
      </c>
      <c r="G20" s="335" t="e">
        <f>+'2 Cijfers'!H39</f>
        <v>#N/A</v>
      </c>
      <c r="H20" s="335" t="e">
        <f>+'2 Cijfers'!I39</f>
        <v>#N/A</v>
      </c>
      <c r="I20" s="335" t="e">
        <f>+'2 Cijfers'!J39</f>
        <v>#N/A</v>
      </c>
      <c r="J20" s="335" t="e">
        <f>+'2 Cijfers'!K39</f>
        <v>#N/A</v>
      </c>
      <c r="K20" s="335" t="e">
        <f>+'2 Cijfers'!L39</f>
        <v>#N/A</v>
      </c>
    </row>
    <row r="21" spans="1:11" ht="20" customHeight="1" x14ac:dyDescent="0.35">
      <c r="A21" s="333" t="s">
        <v>379</v>
      </c>
      <c r="B21" s="332" t="e">
        <f>SUM(B19:B20)</f>
        <v>#N/A</v>
      </c>
      <c r="C21" s="332" t="e">
        <f t="shared" ref="C21:J21" si="0">SUM(C19:C20)</f>
        <v>#N/A</v>
      </c>
      <c r="D21" s="332" t="e">
        <f t="shared" si="0"/>
        <v>#N/A</v>
      </c>
      <c r="E21" s="332" t="e">
        <f t="shared" si="0"/>
        <v>#N/A</v>
      </c>
      <c r="F21" s="332" t="e">
        <f t="shared" si="0"/>
        <v>#N/A</v>
      </c>
      <c r="G21" s="332" t="e">
        <f t="shared" si="0"/>
        <v>#N/A</v>
      </c>
      <c r="H21" s="332" t="e">
        <f t="shared" si="0"/>
        <v>#N/A</v>
      </c>
      <c r="I21" s="332" t="e">
        <f t="shared" si="0"/>
        <v>#N/A</v>
      </c>
      <c r="J21" s="332" t="e">
        <f t="shared" si="0"/>
        <v>#N/A</v>
      </c>
      <c r="K21" s="332" t="e">
        <f t="shared" ref="K21" si="1">SUM(K19:K20)</f>
        <v>#N/A</v>
      </c>
    </row>
    <row r="22" spans="1:11" x14ac:dyDescent="0.35">
      <c r="A22" s="385"/>
      <c r="B22" s="386"/>
      <c r="D22" s="355"/>
      <c r="E22" s="355"/>
    </row>
    <row r="23" spans="1:11" ht="21" customHeight="1" x14ac:dyDescent="0.35">
      <c r="A23" s="495" t="s">
        <v>1261</v>
      </c>
      <c r="B23" s="496"/>
      <c r="C23" s="496"/>
      <c r="D23" s="496"/>
      <c r="E23" s="496"/>
      <c r="F23" s="496"/>
      <c r="G23" s="496"/>
      <c r="H23" s="496"/>
      <c r="I23" s="496"/>
      <c r="J23" s="497"/>
      <c r="K23" s="418"/>
    </row>
    <row r="24" spans="1:11" x14ac:dyDescent="0.35">
      <c r="A24" s="385"/>
      <c r="B24" s="386"/>
      <c r="D24" s="355"/>
      <c r="E24" s="355"/>
    </row>
    <row r="25" spans="1:11" x14ac:dyDescent="0.35">
      <c r="A25" s="385"/>
      <c r="B25" s="386"/>
      <c r="D25" s="355"/>
      <c r="E25" s="355"/>
    </row>
    <row r="26" spans="1:11" x14ac:dyDescent="0.35">
      <c r="A26" s="385"/>
      <c r="B26" s="386"/>
      <c r="D26" s="355"/>
      <c r="E26" s="355"/>
    </row>
    <row r="27" spans="1:11" x14ac:dyDescent="0.35">
      <c r="A27" s="385"/>
      <c r="B27" s="386"/>
      <c r="D27" s="355"/>
      <c r="E27" s="355"/>
    </row>
    <row r="28" spans="1:11" x14ac:dyDescent="0.35">
      <c r="A28" s="385"/>
      <c r="B28" s="386"/>
      <c r="D28" s="355"/>
      <c r="E28" s="355"/>
    </row>
    <row r="29" spans="1:11" x14ac:dyDescent="0.35">
      <c r="A29" s="385"/>
      <c r="B29" s="386"/>
      <c r="D29" s="355"/>
      <c r="E29" s="355"/>
    </row>
    <row r="30" spans="1:11" x14ac:dyDescent="0.35">
      <c r="A30" s="385"/>
      <c r="B30" s="386"/>
      <c r="D30" s="355"/>
      <c r="E30" s="355"/>
    </row>
    <row r="31" spans="1:11" x14ac:dyDescent="0.35">
      <c r="A31" s="385"/>
      <c r="B31" s="386"/>
      <c r="D31" s="355"/>
      <c r="E31" s="355"/>
    </row>
    <row r="32" spans="1:11" x14ac:dyDescent="0.35">
      <c r="A32" s="385"/>
      <c r="B32" s="386"/>
      <c r="D32" s="355"/>
      <c r="E32" s="355"/>
    </row>
    <row r="33" spans="1:5" x14ac:dyDescent="0.35">
      <c r="A33" s="385"/>
      <c r="B33" s="386"/>
      <c r="D33" s="355"/>
      <c r="E33" s="355"/>
    </row>
    <row r="34" spans="1:5" x14ac:dyDescent="0.35">
      <c r="A34" s="385"/>
      <c r="B34" s="386"/>
      <c r="D34" s="355"/>
      <c r="E34" s="355"/>
    </row>
    <row r="35" spans="1:5" x14ac:dyDescent="0.35">
      <c r="A35" s="385"/>
      <c r="B35" s="386"/>
      <c r="D35" s="355"/>
      <c r="E35" s="355"/>
    </row>
    <row r="36" spans="1:5" x14ac:dyDescent="0.35">
      <c r="A36" s="385"/>
      <c r="B36" s="386"/>
      <c r="D36" s="355"/>
      <c r="E36" s="355"/>
    </row>
    <row r="37" spans="1:5" x14ac:dyDescent="0.35">
      <c r="A37" s="385"/>
      <c r="B37" s="386"/>
      <c r="D37" s="355"/>
      <c r="E37" s="355"/>
    </row>
    <row r="38" spans="1:5" x14ac:dyDescent="0.35">
      <c r="A38" s="385"/>
      <c r="B38" s="386"/>
      <c r="D38" s="355"/>
      <c r="E38" s="355"/>
    </row>
    <row r="39" spans="1:5" x14ac:dyDescent="0.35">
      <c r="A39" s="385"/>
      <c r="B39" s="386"/>
      <c r="D39" s="355"/>
      <c r="E39" s="355"/>
    </row>
  </sheetData>
  <sheetProtection algorithmName="SHA-512" hashValue="VolrVW6ieMlnjYCatnIUE1cObVE05ZusK9lQZSW9pe3DJnxHaNgltgh+aX5cXHeP+7iCm46tO8BpUn5MI0gjxA==" saltValue="BKU9FB9pyzBG1mLjmixnUQ==" spinCount="100000" sheet="1" objects="1" scenarios="1"/>
  <mergeCells count="6">
    <mergeCell ref="A23:J23"/>
    <mergeCell ref="A7:A14"/>
    <mergeCell ref="A16:F16"/>
    <mergeCell ref="G16:J16"/>
    <mergeCell ref="A3:B3"/>
    <mergeCell ref="C3:K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2B98C2-E918-4FC8-BB83-C5A803976AA5}">
          <x14:formula1>
            <xm:f>'Hulpblad gemeenten 2022'!$A$1:$A$356</xm:f>
          </x14:formula1>
          <xm:sqref>B4 B16 B7:B14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EA2A3-325B-41B5-9B98-12F24DE0D300}">
  <sheetPr codeName="Blad20">
    <tabColor rgb="FF00B0F0"/>
  </sheetPr>
  <dimension ref="A1:AC378"/>
  <sheetViews>
    <sheetView topLeftCell="A361" workbookViewId="0">
      <selection activeCell="K355" sqref="K355"/>
    </sheetView>
  </sheetViews>
  <sheetFormatPr defaultRowHeight="14.5" x14ac:dyDescent="0.35"/>
  <cols>
    <col min="1" max="1" width="8.81640625" bestFit="1" customWidth="1"/>
    <col min="2" max="2" width="26.08984375" customWidth="1"/>
    <col min="3" max="6" width="12.81640625" customWidth="1"/>
    <col min="7" max="9" width="12.81640625" style="147" customWidth="1"/>
    <col min="10" max="10" width="12.453125" customWidth="1"/>
    <col min="11" max="11" width="13.26953125" customWidth="1"/>
  </cols>
  <sheetData>
    <row r="1" spans="1:29" ht="70.25" customHeight="1" x14ac:dyDescent="0.35">
      <c r="A1" s="69" t="s">
        <v>1054</v>
      </c>
      <c r="B1" s="69" t="s">
        <v>1055</v>
      </c>
      <c r="C1" s="575" t="s">
        <v>1308</v>
      </c>
      <c r="D1" s="576"/>
      <c r="E1" s="576"/>
      <c r="F1" s="576"/>
      <c r="G1" s="577"/>
      <c r="H1" s="573" t="s">
        <v>1311</v>
      </c>
      <c r="I1" s="574"/>
      <c r="J1" s="574"/>
      <c r="K1" s="574"/>
    </row>
    <row r="2" spans="1:29" x14ac:dyDescent="0.35">
      <c r="A2" s="1" t="s">
        <v>8</v>
      </c>
      <c r="B2" s="1" t="s">
        <v>9</v>
      </c>
      <c r="C2" s="1" t="s">
        <v>1056</v>
      </c>
      <c r="D2" s="1" t="s">
        <v>1057</v>
      </c>
      <c r="E2" s="1" t="s">
        <v>1058</v>
      </c>
      <c r="F2" s="1" t="s">
        <v>1059</v>
      </c>
      <c r="G2" s="1" t="s">
        <v>1061</v>
      </c>
      <c r="H2" s="1" t="s">
        <v>1062</v>
      </c>
      <c r="I2" s="1" t="s">
        <v>1063</v>
      </c>
      <c r="J2" s="1" t="s">
        <v>1309</v>
      </c>
      <c r="K2" s="1" t="s">
        <v>1310</v>
      </c>
      <c r="M2" s="578" t="s">
        <v>1312</v>
      </c>
      <c r="N2" s="578"/>
      <c r="O2" s="578"/>
      <c r="P2" s="578"/>
      <c r="Q2" s="578"/>
      <c r="R2" s="578"/>
      <c r="S2" s="578"/>
      <c r="T2" s="578"/>
      <c r="U2" s="578"/>
      <c r="V2" s="578"/>
      <c r="W2" s="578"/>
      <c r="X2" s="578"/>
      <c r="Y2" s="578"/>
      <c r="Z2" s="578"/>
      <c r="AA2" s="578"/>
      <c r="AB2" s="578"/>
      <c r="AC2" s="578"/>
    </row>
    <row r="3" spans="1:29" x14ac:dyDescent="0.35">
      <c r="A3">
        <v>1680</v>
      </c>
      <c r="B3" t="s">
        <v>0</v>
      </c>
      <c r="C3">
        <f>VLOOKUP($B3,'[1]taakstelling  2017 2018 2019'!$B$1:$F$389,3,FALSE)</f>
        <v>2</v>
      </c>
      <c r="D3">
        <f>VLOOKUP($B3,'[1]taakstelling  2017 2018 2019'!$B$2:$F$389,4,FALSE)</f>
        <v>4</v>
      </c>
      <c r="E3">
        <f>VLOOKUP($B3,'[1]taakstelling  2017 2018 2019'!$B$2:$F$389,5,FALSE)</f>
        <v>5</v>
      </c>
      <c r="F3">
        <v>6</v>
      </c>
      <c r="G3">
        <v>7</v>
      </c>
      <c r="H3" s="316">
        <f>+G3/G$355*H$355</f>
        <v>7.7352564848202858</v>
      </c>
      <c r="I3" s="316">
        <f t="shared" ref="I3:K3" si="0">+H3/H$355*I$355</f>
        <v>8.3866465045946264</v>
      </c>
      <c r="J3" s="316">
        <f t="shared" si="0"/>
        <v>9.038036524368966</v>
      </c>
      <c r="K3" s="316">
        <f t="shared" si="0"/>
        <v>9.6894265441433056</v>
      </c>
      <c r="M3" t="s">
        <v>1313</v>
      </c>
    </row>
    <row r="4" spans="1:29" x14ac:dyDescent="0.35">
      <c r="A4">
        <v>358</v>
      </c>
      <c r="B4" t="s">
        <v>12</v>
      </c>
      <c r="C4">
        <f>VLOOKUP($B4,'[1]taakstelling  2017 2018 2019'!$B$1:$F$389,3,FALSE)</f>
        <v>2</v>
      </c>
      <c r="D4">
        <f>VLOOKUP($B4,'[1]taakstelling  2017 2018 2019'!$B$2:$F$389,4,FALSE)</f>
        <v>4</v>
      </c>
      <c r="E4">
        <f>VLOOKUP($B4,'[1]taakstelling  2017 2018 2019'!$B$2:$F$389,5,FALSE)</f>
        <v>5</v>
      </c>
      <c r="F4">
        <v>6</v>
      </c>
      <c r="G4">
        <v>7</v>
      </c>
      <c r="H4" s="316">
        <f t="shared" ref="H4:K19" si="1">+G4/G$355*H$355</f>
        <v>7.7352564848202858</v>
      </c>
      <c r="I4" s="316">
        <f t="shared" si="1"/>
        <v>8.3866465045946264</v>
      </c>
      <c r="J4" s="316">
        <f t="shared" si="1"/>
        <v>9.038036524368966</v>
      </c>
      <c r="K4" s="316">
        <f t="shared" si="1"/>
        <v>9.6894265441433056</v>
      </c>
    </row>
    <row r="5" spans="1:29" x14ac:dyDescent="0.35">
      <c r="A5">
        <v>197</v>
      </c>
      <c r="B5" t="s">
        <v>13</v>
      </c>
      <c r="C5">
        <f>VLOOKUP($B5,'[1]taakstelling  2017 2018 2019'!$B$1:$F$389,3,FALSE)</f>
        <v>2</v>
      </c>
      <c r="D5">
        <f>VLOOKUP($B5,'[1]taakstelling  2017 2018 2019'!$B$2:$F$389,4,FALSE)</f>
        <v>4</v>
      </c>
      <c r="E5">
        <f>VLOOKUP($B5,'[1]taakstelling  2017 2018 2019'!$B$2:$F$389,5,FALSE)</f>
        <v>6</v>
      </c>
      <c r="F5">
        <v>7</v>
      </c>
      <c r="G5">
        <v>8</v>
      </c>
      <c r="H5" s="316">
        <f t="shared" si="1"/>
        <v>8.8402931255088983</v>
      </c>
      <c r="I5" s="316">
        <f t="shared" si="1"/>
        <v>9.5847388623938574</v>
      </c>
      <c r="J5" s="316">
        <f t="shared" si="1"/>
        <v>10.329184599278818</v>
      </c>
      <c r="K5" s="316">
        <f t="shared" si="1"/>
        <v>11.073630336163779</v>
      </c>
    </row>
    <row r="6" spans="1:29" x14ac:dyDescent="0.35">
      <c r="A6">
        <v>59</v>
      </c>
      <c r="B6" t="s">
        <v>14</v>
      </c>
      <c r="C6">
        <f>VLOOKUP($B6,'[1]taakstelling  2017 2018 2019'!$B$1:$F$389,3,FALSE)</f>
        <v>3</v>
      </c>
      <c r="D6">
        <f>VLOOKUP($B6,'[1]taakstelling  2017 2018 2019'!$B$2:$F$389,4,FALSE)</f>
        <v>5</v>
      </c>
      <c r="E6">
        <f>VLOOKUP($B6,'[1]taakstelling  2017 2018 2019'!$B$2:$F$389,5,FALSE)</f>
        <v>7</v>
      </c>
      <c r="F6">
        <v>9</v>
      </c>
      <c r="G6">
        <v>10</v>
      </c>
      <c r="H6" s="316">
        <f t="shared" si="1"/>
        <v>11.050366406886122</v>
      </c>
      <c r="I6" s="316">
        <f t="shared" si="1"/>
        <v>11.980923577992321</v>
      </c>
      <c r="J6" s="316">
        <f t="shared" si="1"/>
        <v>12.911480749098523</v>
      </c>
      <c r="K6" s="316">
        <f t="shared" si="1"/>
        <v>13.842037920204723</v>
      </c>
    </row>
    <row r="7" spans="1:29" x14ac:dyDescent="0.35">
      <c r="A7">
        <v>482</v>
      </c>
      <c r="B7" t="s">
        <v>15</v>
      </c>
      <c r="C7">
        <f>VLOOKUP($B7,'[1]taakstelling  2017 2018 2019'!$B$1:$F$389,3,FALSE)</f>
        <v>2</v>
      </c>
      <c r="D7">
        <f>VLOOKUP($B7,'[1]taakstelling  2017 2018 2019'!$B$2:$F$389,4,FALSE)</f>
        <v>4</v>
      </c>
      <c r="E7">
        <f>VLOOKUP($B7,'[1]taakstelling  2017 2018 2019'!$B$2:$F$389,5,FALSE)</f>
        <v>5</v>
      </c>
      <c r="F7">
        <v>7</v>
      </c>
      <c r="G7">
        <v>8</v>
      </c>
      <c r="H7" s="316">
        <f t="shared" si="1"/>
        <v>8.8402931255088983</v>
      </c>
      <c r="I7" s="316">
        <f t="shared" si="1"/>
        <v>9.5847388623938574</v>
      </c>
      <c r="J7" s="316">
        <f t="shared" si="1"/>
        <v>10.329184599278818</v>
      </c>
      <c r="K7" s="316">
        <f t="shared" si="1"/>
        <v>11.073630336163779</v>
      </c>
    </row>
    <row r="8" spans="1:29" x14ac:dyDescent="0.35">
      <c r="A8">
        <v>613</v>
      </c>
      <c r="B8" t="s">
        <v>16</v>
      </c>
      <c r="C8">
        <f>VLOOKUP($B8,'[1]taakstelling  2017 2018 2019'!$B$1:$F$389,3,FALSE)</f>
        <v>5</v>
      </c>
      <c r="D8">
        <f>VLOOKUP($B8,'[1]taakstelling  2017 2018 2019'!$B$2:$F$389,4,FALSE)</f>
        <v>8</v>
      </c>
      <c r="E8">
        <f>VLOOKUP($B8,'[1]taakstelling  2017 2018 2019'!$B$2:$F$389,5,FALSE)</f>
        <v>10</v>
      </c>
      <c r="F8">
        <v>13</v>
      </c>
      <c r="G8">
        <v>15</v>
      </c>
      <c r="H8" s="316">
        <f t="shared" si="1"/>
        <v>16.575549610329183</v>
      </c>
      <c r="I8" s="316">
        <f t="shared" si="1"/>
        <v>17.971385366988482</v>
      </c>
      <c r="J8" s="316">
        <f t="shared" si="1"/>
        <v>19.367221123647781</v>
      </c>
      <c r="K8" s="316">
        <f t="shared" si="1"/>
        <v>20.763056880307083</v>
      </c>
    </row>
    <row r="9" spans="1:29" x14ac:dyDescent="0.35">
      <c r="A9">
        <v>361</v>
      </c>
      <c r="B9" t="s">
        <v>17</v>
      </c>
      <c r="C9">
        <f>VLOOKUP($B9,'[1]taakstelling  2017 2018 2019'!$B$1:$F$389,3,FALSE)</f>
        <v>23</v>
      </c>
      <c r="D9">
        <f>VLOOKUP($B9,'[1]taakstelling  2017 2018 2019'!$B$2:$F$389,4,FALSE)</f>
        <v>38</v>
      </c>
      <c r="E9">
        <f>VLOOKUP($B9,'[1]taakstelling  2017 2018 2019'!$B$2:$F$389,5,FALSE)</f>
        <v>50</v>
      </c>
      <c r="F9">
        <v>61</v>
      </c>
      <c r="G9">
        <v>71</v>
      </c>
      <c r="H9" s="316">
        <f t="shared" si="1"/>
        <v>78.457601488891484</v>
      </c>
      <c r="I9" s="316">
        <f t="shared" si="1"/>
        <v>85.064557403745496</v>
      </c>
      <c r="J9" s="316">
        <f t="shared" si="1"/>
        <v>91.671513318599523</v>
      </c>
      <c r="K9" s="316">
        <f t="shared" si="1"/>
        <v>98.278469233453535</v>
      </c>
    </row>
    <row r="10" spans="1:29" x14ac:dyDescent="0.35">
      <c r="A10">
        <v>141</v>
      </c>
      <c r="B10" t="s">
        <v>18</v>
      </c>
      <c r="C10">
        <f>VLOOKUP($B10,'[1]taakstelling  2017 2018 2019'!$B$1:$F$389,3,FALSE)</f>
        <v>21</v>
      </c>
      <c r="D10">
        <f>VLOOKUP($B10,'[1]taakstelling  2017 2018 2019'!$B$2:$F$389,4,FALSE)</f>
        <v>40</v>
      </c>
      <c r="E10">
        <f>VLOOKUP($B10,'[1]taakstelling  2017 2018 2019'!$B$2:$F$389,5,FALSE)</f>
        <v>52</v>
      </c>
      <c r="F10">
        <v>64</v>
      </c>
      <c r="G10">
        <v>75</v>
      </c>
      <c r="H10" s="316">
        <f t="shared" si="1"/>
        <v>82.877748051645924</v>
      </c>
      <c r="I10" s="316">
        <f t="shared" si="1"/>
        <v>89.856926834942414</v>
      </c>
      <c r="J10" s="316">
        <f t="shared" si="1"/>
        <v>96.836105618238918</v>
      </c>
      <c r="K10" s="316">
        <f t="shared" si="1"/>
        <v>103.81528440153541</v>
      </c>
    </row>
    <row r="11" spans="1:29" x14ac:dyDescent="0.35">
      <c r="A11">
        <v>34</v>
      </c>
      <c r="B11" t="s">
        <v>19</v>
      </c>
      <c r="C11">
        <f>VLOOKUP($B11,'[1]taakstelling  2017 2018 2019'!$B$1:$F$389,3,FALSE)</f>
        <v>28</v>
      </c>
      <c r="D11">
        <f>VLOOKUP($B11,'[1]taakstelling  2017 2018 2019'!$B$2:$F$389,4,FALSE)</f>
        <v>50</v>
      </c>
      <c r="E11">
        <f>VLOOKUP($B11,'[1]taakstelling  2017 2018 2019'!$B$2:$F$389,5,FALSE)</f>
        <v>65</v>
      </c>
      <c r="F11">
        <v>80</v>
      </c>
      <c r="G11">
        <v>93</v>
      </c>
      <c r="H11" s="316">
        <f t="shared" si="1"/>
        <v>102.76840758404094</v>
      </c>
      <c r="I11" s="316">
        <f t="shared" si="1"/>
        <v>111.4225892753286</v>
      </c>
      <c r="J11" s="316">
        <f t="shared" si="1"/>
        <v>120.07677096661627</v>
      </c>
      <c r="K11" s="316">
        <f t="shared" si="1"/>
        <v>128.73095265790391</v>
      </c>
    </row>
    <row r="12" spans="1:29" x14ac:dyDescent="0.35">
      <c r="A12">
        <v>484</v>
      </c>
      <c r="B12" t="s">
        <v>20</v>
      </c>
      <c r="C12">
        <f>VLOOKUP($B12,'[1]taakstelling  2017 2018 2019'!$B$1:$F$389,3,FALSE)</f>
        <v>15</v>
      </c>
      <c r="D12">
        <f>VLOOKUP($B12,'[1]taakstelling  2017 2018 2019'!$B$2:$F$389,4,FALSE)</f>
        <v>28</v>
      </c>
      <c r="E12">
        <f>VLOOKUP($B12,'[1]taakstelling  2017 2018 2019'!$B$2:$F$389,5,FALSE)</f>
        <v>36</v>
      </c>
      <c r="F12">
        <v>45</v>
      </c>
      <c r="G12">
        <v>52</v>
      </c>
      <c r="H12" s="316">
        <f t="shared" si="1"/>
        <v>57.46190531580784</v>
      </c>
      <c r="I12" s="316">
        <f t="shared" si="1"/>
        <v>62.300802605560079</v>
      </c>
      <c r="J12" s="316">
        <f t="shared" si="1"/>
        <v>67.139699895312319</v>
      </c>
      <c r="K12" s="316">
        <f t="shared" si="1"/>
        <v>71.978597185064558</v>
      </c>
    </row>
    <row r="13" spans="1:29" x14ac:dyDescent="0.35">
      <c r="A13">
        <v>1723</v>
      </c>
      <c r="B13" t="s">
        <v>21</v>
      </c>
      <c r="C13">
        <f>VLOOKUP($B13,'[1]taakstelling  2017 2018 2019'!$B$1:$F$389,3,FALSE)</f>
        <v>0</v>
      </c>
      <c r="D13">
        <f>VLOOKUP($B13,'[1]taakstelling  2017 2018 2019'!$B$2:$F$389,4,FALSE)</f>
        <v>0</v>
      </c>
      <c r="E13">
        <f>VLOOKUP($B13,'[1]taakstelling  2017 2018 2019'!$B$2:$F$389,5,FALSE)</f>
        <v>1</v>
      </c>
      <c r="F13">
        <v>1</v>
      </c>
      <c r="G13">
        <v>1</v>
      </c>
      <c r="H13" s="316">
        <f t="shared" si="1"/>
        <v>1.1050366406886123</v>
      </c>
      <c r="I13" s="316">
        <f t="shared" si="1"/>
        <v>1.1980923577992322</v>
      </c>
      <c r="J13" s="316">
        <f t="shared" si="1"/>
        <v>1.2911480749098523</v>
      </c>
      <c r="K13" s="316">
        <f t="shared" si="1"/>
        <v>1.3842037920204724</v>
      </c>
    </row>
    <row r="14" spans="1:29" x14ac:dyDescent="0.35">
      <c r="A14">
        <v>1959</v>
      </c>
      <c r="B14" t="s">
        <v>22</v>
      </c>
      <c r="C14">
        <f>+'[1]taakstelling  2017 2018 2019'!D3+'[1]taakstelling  2017 2018 2019'!D356+'[1]taakstelling  2017 2018 2019'!D373</f>
        <v>7</v>
      </c>
      <c r="D14">
        <f>+'[1]taakstelling  2017 2018 2019'!E3+'[1]taakstelling  2017 2018 2019'!E356+'[1]taakstelling  2017 2018 2019'!E373</f>
        <v>14</v>
      </c>
      <c r="E14">
        <f>+'[1]taakstelling  2017 2018 2019'!F3+'[1]taakstelling  2017 2018 2019'!F356+'[1]taakstelling  2017 2018 2019'!F373</f>
        <v>18</v>
      </c>
      <c r="F14">
        <v>21</v>
      </c>
      <c r="G14">
        <v>25</v>
      </c>
      <c r="H14" s="316">
        <f t="shared" si="1"/>
        <v>27.625916017215307</v>
      </c>
      <c r="I14" s="316">
        <f t="shared" si="1"/>
        <v>29.952308944980807</v>
      </c>
      <c r="J14" s="316">
        <f t="shared" si="1"/>
        <v>32.278701872746304</v>
      </c>
      <c r="K14" s="316">
        <f t="shared" si="1"/>
        <v>34.6050948005118</v>
      </c>
    </row>
    <row r="15" spans="1:29" x14ac:dyDescent="0.35">
      <c r="A15">
        <v>60</v>
      </c>
      <c r="B15" t="s">
        <v>23</v>
      </c>
      <c r="C15">
        <f>VLOOKUP($B15,'[1]taakstelling  2017 2018 2019'!$B$1:$F$389,3,FALSE)</f>
        <v>0</v>
      </c>
      <c r="D15">
        <f>VLOOKUP($B15,'[1]taakstelling  2017 2018 2019'!$B$2:$F$389,4,FALSE)</f>
        <v>0</v>
      </c>
      <c r="E15">
        <f>VLOOKUP($B15,'[1]taakstelling  2017 2018 2019'!$B$2:$F$389,5,FALSE)</f>
        <v>1</v>
      </c>
      <c r="F15">
        <v>1</v>
      </c>
      <c r="G15">
        <v>1</v>
      </c>
      <c r="H15" s="316">
        <f t="shared" si="1"/>
        <v>1.1050366406886123</v>
      </c>
      <c r="I15" s="316">
        <f t="shared" si="1"/>
        <v>1.1980923577992322</v>
      </c>
      <c r="J15" s="316">
        <f t="shared" si="1"/>
        <v>1.2911480749098523</v>
      </c>
      <c r="K15" s="316">
        <f t="shared" si="1"/>
        <v>1.3842037920204724</v>
      </c>
    </row>
    <row r="16" spans="1:29" x14ac:dyDescent="0.35">
      <c r="A16">
        <v>307</v>
      </c>
      <c r="B16" t="s">
        <v>24</v>
      </c>
      <c r="C16">
        <f>VLOOKUP($B16,'[1]taakstelling  2017 2018 2019'!$B$1:$F$389,3,FALSE)</f>
        <v>17</v>
      </c>
      <c r="D16">
        <f>VLOOKUP($B16,'[1]taakstelling  2017 2018 2019'!$B$2:$F$389,4,FALSE)</f>
        <v>31</v>
      </c>
      <c r="E16">
        <f>VLOOKUP($B16,'[1]taakstelling  2017 2018 2019'!$B$2:$F$389,5,FALSE)</f>
        <v>41</v>
      </c>
      <c r="F16">
        <v>50</v>
      </c>
      <c r="G16">
        <v>58</v>
      </c>
      <c r="H16" s="316">
        <f t="shared" si="1"/>
        <v>64.092125159939513</v>
      </c>
      <c r="I16" s="316">
        <f t="shared" si="1"/>
        <v>69.489356752355476</v>
      </c>
      <c r="J16" s="316">
        <f t="shared" si="1"/>
        <v>74.88658834477144</v>
      </c>
      <c r="K16" s="316">
        <f t="shared" si="1"/>
        <v>80.283819937187403</v>
      </c>
    </row>
    <row r="17" spans="1:11" x14ac:dyDescent="0.35">
      <c r="A17">
        <v>362</v>
      </c>
      <c r="B17" t="s">
        <v>25</v>
      </c>
      <c r="C17">
        <f>VLOOKUP($B17,'[1]taakstelling  2017 2018 2019'!$B$1:$F$389,3,FALSE)</f>
        <v>9</v>
      </c>
      <c r="D17">
        <f>VLOOKUP($B17,'[1]taakstelling  2017 2018 2019'!$B$2:$F$389,4,FALSE)</f>
        <v>14</v>
      </c>
      <c r="E17">
        <f>VLOOKUP($B17,'[1]taakstelling  2017 2018 2019'!$B$2:$F$389,5,FALSE)</f>
        <v>19</v>
      </c>
      <c r="F17">
        <v>23</v>
      </c>
      <c r="G17">
        <v>27</v>
      </c>
      <c r="H17" s="316">
        <f t="shared" si="1"/>
        <v>29.835989298592533</v>
      </c>
      <c r="I17" s="316">
        <f t="shared" si="1"/>
        <v>32.348493660579273</v>
      </c>
      <c r="J17" s="316">
        <f t="shared" si="1"/>
        <v>34.860998022566015</v>
      </c>
      <c r="K17" s="316">
        <f t="shared" si="1"/>
        <v>37.373502384552751</v>
      </c>
    </row>
    <row r="19" spans="1:11" x14ac:dyDescent="0.35">
      <c r="A19">
        <v>200</v>
      </c>
      <c r="B19" t="s">
        <v>27</v>
      </c>
      <c r="C19">
        <f>VLOOKUP($B19,'[1]taakstelling  2017 2018 2019'!$B$1:$F$389,3,FALSE)</f>
        <v>27</v>
      </c>
      <c r="D19">
        <f>VLOOKUP($B19,'[1]taakstelling  2017 2018 2019'!$B$2:$F$389,4,FALSE)</f>
        <v>48</v>
      </c>
      <c r="E19">
        <f>VLOOKUP($B19,'[1]taakstelling  2017 2018 2019'!$B$2:$F$389,5,FALSE)</f>
        <v>62</v>
      </c>
      <c r="F19">
        <v>77</v>
      </c>
      <c r="G19">
        <v>89</v>
      </c>
      <c r="H19" s="316">
        <f t="shared" si="1"/>
        <v>98.34826102128649</v>
      </c>
      <c r="I19" s="316">
        <f t="shared" si="1"/>
        <v>106.63021984413167</v>
      </c>
      <c r="J19" s="316">
        <f t="shared" si="1"/>
        <v>114.91217866697686</v>
      </c>
      <c r="K19" s="316">
        <f t="shared" si="1"/>
        <v>123.19413748982203</v>
      </c>
    </row>
    <row r="20" spans="1:11" x14ac:dyDescent="0.35">
      <c r="A20">
        <v>202</v>
      </c>
      <c r="B20" t="s">
        <v>29</v>
      </c>
      <c r="C20">
        <f>VLOOKUP($B20,'[1]taakstelling  2017 2018 2019'!$B$1:$F$389,3,FALSE)</f>
        <v>55</v>
      </c>
      <c r="D20">
        <f>VLOOKUP($B20,'[1]taakstelling  2017 2018 2019'!$B$2:$F$389,4,FALSE)</f>
        <v>97</v>
      </c>
      <c r="E20">
        <f>VLOOKUP($B20,'[1]taakstelling  2017 2018 2019'!$B$2:$F$389,5,FALSE)</f>
        <v>127</v>
      </c>
      <c r="F20">
        <v>156</v>
      </c>
      <c r="G20">
        <v>182</v>
      </c>
      <c r="H20" s="316">
        <f t="shared" ref="H20:K35" si="2">+G20/G$355*H$355</f>
        <v>201.11666860532742</v>
      </c>
      <c r="I20" s="316">
        <f t="shared" si="2"/>
        <v>218.05280911946025</v>
      </c>
      <c r="J20" s="316">
        <f t="shared" si="2"/>
        <v>234.98894963359311</v>
      </c>
      <c r="K20" s="316">
        <f t="shared" si="2"/>
        <v>251.92509014772594</v>
      </c>
    </row>
    <row r="21" spans="1:11" x14ac:dyDescent="0.35">
      <c r="A21">
        <v>106</v>
      </c>
      <c r="B21" t="s">
        <v>30</v>
      </c>
      <c r="C21">
        <f>VLOOKUP($B21,'[1]taakstelling  2017 2018 2019'!$B$1:$F$389,3,FALSE)</f>
        <v>15</v>
      </c>
      <c r="D21">
        <f>VLOOKUP($B21,'[1]taakstelling  2017 2018 2019'!$B$2:$F$389,4,FALSE)</f>
        <v>27</v>
      </c>
      <c r="E21">
        <f>VLOOKUP($B21,'[1]taakstelling  2017 2018 2019'!$B$2:$F$389,5,FALSE)</f>
        <v>35</v>
      </c>
      <c r="F21">
        <v>43</v>
      </c>
      <c r="G21">
        <v>50</v>
      </c>
      <c r="H21" s="316">
        <f t="shared" si="2"/>
        <v>55.251832034430613</v>
      </c>
      <c r="I21" s="316">
        <f t="shared" si="2"/>
        <v>59.904617889961614</v>
      </c>
      <c r="J21" s="316">
        <f t="shared" si="2"/>
        <v>64.557403745492607</v>
      </c>
      <c r="K21" s="316">
        <f t="shared" si="2"/>
        <v>69.2101896010236</v>
      </c>
    </row>
    <row r="22" spans="1:11" x14ac:dyDescent="0.35">
      <c r="A22">
        <v>743</v>
      </c>
      <c r="B22" t="s">
        <v>31</v>
      </c>
      <c r="C22">
        <f>VLOOKUP($B22,'[1]taakstelling  2017 2018 2019'!$B$1:$F$389,3,FALSE)</f>
        <v>1</v>
      </c>
      <c r="D22">
        <f>VLOOKUP($B22,'[1]taakstelling  2017 2018 2019'!$B$2:$F$389,4,FALSE)</f>
        <v>3</v>
      </c>
      <c r="E22">
        <f>VLOOKUP($B22,'[1]taakstelling  2017 2018 2019'!$B$2:$F$389,5,FALSE)</f>
        <v>4</v>
      </c>
      <c r="F22">
        <v>5</v>
      </c>
      <c r="G22">
        <v>6</v>
      </c>
      <c r="H22" s="316">
        <f t="shared" si="2"/>
        <v>6.6302198441316733</v>
      </c>
      <c r="I22" s="316">
        <f t="shared" si="2"/>
        <v>7.1885541467953935</v>
      </c>
      <c r="J22" s="316">
        <f t="shared" si="2"/>
        <v>7.7468884494591128</v>
      </c>
      <c r="K22" s="316">
        <f t="shared" si="2"/>
        <v>8.3052227521228339</v>
      </c>
    </row>
    <row r="23" spans="1:11" x14ac:dyDescent="0.35">
      <c r="A23">
        <v>744</v>
      </c>
      <c r="B23" t="s">
        <v>32</v>
      </c>
      <c r="C23">
        <f>VLOOKUP($B23,'[1]taakstelling  2017 2018 2019'!$B$1:$F$389,3,FALSE)</f>
        <v>1</v>
      </c>
      <c r="D23">
        <f>VLOOKUP($B23,'[1]taakstelling  2017 2018 2019'!$B$2:$F$389,4,FALSE)</f>
        <v>1</v>
      </c>
      <c r="E23">
        <f>VLOOKUP($B23,'[1]taakstelling  2017 2018 2019'!$B$2:$F$389,5,FALSE)</f>
        <v>1</v>
      </c>
      <c r="F23">
        <v>1</v>
      </c>
      <c r="G23">
        <v>2</v>
      </c>
      <c r="H23" s="316">
        <f t="shared" si="2"/>
        <v>2.2100732813772246</v>
      </c>
      <c r="I23" s="316">
        <f t="shared" si="2"/>
        <v>2.3961847155984644</v>
      </c>
      <c r="J23" s="316">
        <f t="shared" si="2"/>
        <v>2.5822961498197046</v>
      </c>
      <c r="K23" s="316">
        <f t="shared" si="2"/>
        <v>2.7684075840409448</v>
      </c>
    </row>
    <row r="24" spans="1:11" x14ac:dyDescent="0.35">
      <c r="A24">
        <v>308</v>
      </c>
      <c r="B24" t="s">
        <v>33</v>
      </c>
      <c r="C24">
        <f>VLOOKUP($B24,'[1]taakstelling  2017 2018 2019'!$B$1:$F$389,3,FALSE)</f>
        <v>1</v>
      </c>
      <c r="D24">
        <f>VLOOKUP($B24,'[1]taakstelling  2017 2018 2019'!$B$2:$F$389,4,FALSE)</f>
        <v>2</v>
      </c>
      <c r="E24">
        <f>VLOOKUP($B24,'[1]taakstelling  2017 2018 2019'!$B$2:$F$389,5,FALSE)</f>
        <v>3</v>
      </c>
      <c r="F24">
        <v>3</v>
      </c>
      <c r="G24">
        <v>4</v>
      </c>
      <c r="H24" s="316">
        <f t="shared" si="2"/>
        <v>4.4201465627544492</v>
      </c>
      <c r="I24" s="316">
        <f t="shared" si="2"/>
        <v>4.7923694311969287</v>
      </c>
      <c r="J24" s="316">
        <f t="shared" si="2"/>
        <v>5.1645922996394091</v>
      </c>
      <c r="K24" s="316">
        <f t="shared" si="2"/>
        <v>5.5368151680818896</v>
      </c>
    </row>
    <row r="25" spans="1:11" x14ac:dyDescent="0.35">
      <c r="A25">
        <v>489</v>
      </c>
      <c r="B25" t="s">
        <v>34</v>
      </c>
      <c r="C25">
        <f>VLOOKUP($B25,'[1]taakstelling  2017 2018 2019'!$B$1:$F$389,3,FALSE)</f>
        <v>3</v>
      </c>
      <c r="D25">
        <f>VLOOKUP($B25,'[1]taakstelling  2017 2018 2019'!$B$2:$F$389,4,FALSE)</f>
        <v>5</v>
      </c>
      <c r="E25">
        <f>VLOOKUP($B25,'[1]taakstelling  2017 2018 2019'!$B$2:$F$389,5,FALSE)</f>
        <v>7</v>
      </c>
      <c r="F25">
        <v>9</v>
      </c>
      <c r="G25">
        <v>10</v>
      </c>
      <c r="H25" s="316">
        <f t="shared" si="2"/>
        <v>11.050366406886122</v>
      </c>
      <c r="I25" s="316">
        <f t="shared" si="2"/>
        <v>11.980923577992321</v>
      </c>
      <c r="J25" s="316">
        <f t="shared" si="2"/>
        <v>12.911480749098523</v>
      </c>
      <c r="K25" s="316">
        <f t="shared" si="2"/>
        <v>13.842037920204723</v>
      </c>
    </row>
    <row r="26" spans="1:11" x14ac:dyDescent="0.35">
      <c r="A26">
        <v>203</v>
      </c>
      <c r="B26" t="s">
        <v>35</v>
      </c>
      <c r="C26">
        <f>VLOOKUP($B26,'[1]taakstelling  2017 2018 2019'!$B$1:$F$389,3,FALSE)</f>
        <v>5</v>
      </c>
      <c r="D26">
        <f>VLOOKUP($B26,'[1]taakstelling  2017 2018 2019'!$B$2:$F$389,4,FALSE)</f>
        <v>7</v>
      </c>
      <c r="E26">
        <f>VLOOKUP($B26,'[1]taakstelling  2017 2018 2019'!$B$2:$F$389,5,FALSE)</f>
        <v>10</v>
      </c>
      <c r="F26">
        <v>12</v>
      </c>
      <c r="G26">
        <v>14</v>
      </c>
      <c r="H26" s="316">
        <f t="shared" si="2"/>
        <v>15.470512969640572</v>
      </c>
      <c r="I26" s="316">
        <f t="shared" si="2"/>
        <v>16.773293009189253</v>
      </c>
      <c r="J26" s="316">
        <f t="shared" si="2"/>
        <v>18.076073048737932</v>
      </c>
      <c r="K26" s="316">
        <f t="shared" si="2"/>
        <v>19.378853088286611</v>
      </c>
    </row>
    <row r="27" spans="1:11" x14ac:dyDescent="0.35">
      <c r="A27">
        <v>888</v>
      </c>
      <c r="B27" t="s">
        <v>36</v>
      </c>
      <c r="C27">
        <f>VLOOKUP($B27,'[1]taakstelling  2017 2018 2019'!$B$1:$F$389,3,FALSE)</f>
        <v>2</v>
      </c>
      <c r="D27">
        <f>VLOOKUP($B27,'[1]taakstelling  2017 2018 2019'!$B$2:$F$389,4,FALSE)</f>
        <v>2</v>
      </c>
      <c r="E27">
        <f>VLOOKUP($B27,'[1]taakstelling  2017 2018 2019'!$B$2:$F$389,5,FALSE)</f>
        <v>3</v>
      </c>
      <c r="F27">
        <v>4</v>
      </c>
      <c r="G27">
        <v>4</v>
      </c>
      <c r="H27" s="316">
        <f t="shared" si="2"/>
        <v>4.4201465627544492</v>
      </c>
      <c r="I27" s="316">
        <f t="shared" si="2"/>
        <v>4.7923694311969287</v>
      </c>
      <c r="J27" s="316">
        <f t="shared" si="2"/>
        <v>5.1645922996394091</v>
      </c>
      <c r="K27" s="316">
        <f t="shared" si="2"/>
        <v>5.5368151680818896</v>
      </c>
    </row>
    <row r="28" spans="1:11" x14ac:dyDescent="0.35">
      <c r="A28">
        <v>1954</v>
      </c>
      <c r="B28" t="s">
        <v>37</v>
      </c>
      <c r="C28">
        <f>+'[1]taakstelling  2017 2018 2019'!D238+'[1]taakstelling  2017 2018 2019'!D247+'[1]taakstelling  2017 2018 2019'!D287</f>
        <v>3</v>
      </c>
      <c r="D28">
        <f>+'[1]taakstelling  2017 2018 2019'!E238+'[1]taakstelling  2017 2018 2019'!E247+'[1]taakstelling  2017 2018 2019'!E287</f>
        <v>5</v>
      </c>
      <c r="E28">
        <f>+'[1]taakstelling  2017 2018 2019'!F238+'[1]taakstelling  2017 2018 2019'!F247+'[1]taakstelling  2017 2018 2019'!F287</f>
        <v>8</v>
      </c>
      <c r="F28">
        <v>10</v>
      </c>
      <c r="G28">
        <v>11</v>
      </c>
      <c r="H28" s="316">
        <f t="shared" si="2"/>
        <v>12.155403047574735</v>
      </c>
      <c r="I28" s="316">
        <f t="shared" si="2"/>
        <v>13.179015935791556</v>
      </c>
      <c r="J28" s="316">
        <f t="shared" si="2"/>
        <v>14.202628824008375</v>
      </c>
      <c r="K28" s="316">
        <f t="shared" si="2"/>
        <v>15.226241712225196</v>
      </c>
    </row>
    <row r="30" spans="1:11" x14ac:dyDescent="0.35">
      <c r="A30">
        <v>889</v>
      </c>
      <c r="B30" t="s">
        <v>39</v>
      </c>
      <c r="C30">
        <f>VLOOKUP($B30,'[1]taakstelling  2017 2018 2019'!$B$1:$F$389,3,FALSE)</f>
        <v>2</v>
      </c>
      <c r="D30">
        <f>VLOOKUP($B30,'[1]taakstelling  2017 2018 2019'!$B$2:$F$389,4,FALSE)</f>
        <v>3</v>
      </c>
      <c r="E30">
        <f>VLOOKUP($B30,'[1]taakstelling  2017 2018 2019'!$B$2:$F$389,5,FALSE)</f>
        <v>4</v>
      </c>
      <c r="F30">
        <v>5</v>
      </c>
      <c r="G30">
        <v>6</v>
      </c>
      <c r="H30" s="316">
        <f t="shared" si="2"/>
        <v>6.6302198441316733</v>
      </c>
      <c r="I30" s="316">
        <f t="shared" si="2"/>
        <v>7.1885541467953935</v>
      </c>
      <c r="J30" s="316">
        <f t="shared" si="2"/>
        <v>7.7468884494591128</v>
      </c>
      <c r="K30" s="316">
        <f t="shared" si="2"/>
        <v>8.3052227521228339</v>
      </c>
    </row>
    <row r="31" spans="1:11" x14ac:dyDescent="0.35">
      <c r="A31">
        <v>1945</v>
      </c>
      <c r="B31" t="s">
        <v>40</v>
      </c>
      <c r="C31">
        <f>VLOOKUP($B31,'[1]taakstelling  2017 2018 2019'!$B$1:$F$389,3,FALSE)</f>
        <v>5</v>
      </c>
      <c r="D31">
        <f>VLOOKUP($B31,'[1]taakstelling  2017 2018 2019'!$B$2:$F$389,4,FALSE)</f>
        <v>8</v>
      </c>
      <c r="E31">
        <f>VLOOKUP($B31,'[1]taakstelling  2017 2018 2019'!$B$2:$F$389,5,FALSE)</f>
        <v>11</v>
      </c>
      <c r="F31">
        <v>13</v>
      </c>
      <c r="G31">
        <v>16</v>
      </c>
      <c r="H31" s="316">
        <f t="shared" si="2"/>
        <v>17.680586251017797</v>
      </c>
      <c r="I31" s="316">
        <f t="shared" si="2"/>
        <v>19.169477724787715</v>
      </c>
      <c r="J31" s="316">
        <f t="shared" si="2"/>
        <v>20.658369198557637</v>
      </c>
      <c r="K31" s="316">
        <f t="shared" si="2"/>
        <v>22.147260672327558</v>
      </c>
    </row>
    <row r="32" spans="1:11" x14ac:dyDescent="0.35">
      <c r="A32">
        <v>1724</v>
      </c>
      <c r="B32" t="s">
        <v>41</v>
      </c>
      <c r="C32">
        <f>VLOOKUP($B32,'[1]taakstelling  2017 2018 2019'!$B$1:$F$389,3,FALSE)</f>
        <v>2</v>
      </c>
      <c r="D32">
        <f>VLOOKUP($B32,'[1]taakstelling  2017 2018 2019'!$B$2:$F$389,4,FALSE)</f>
        <v>4</v>
      </c>
      <c r="E32">
        <f>VLOOKUP($B32,'[1]taakstelling  2017 2018 2019'!$B$2:$F$389,5,FALSE)</f>
        <v>5</v>
      </c>
      <c r="F32">
        <v>7</v>
      </c>
      <c r="G32">
        <v>8</v>
      </c>
      <c r="H32" s="316">
        <f t="shared" si="2"/>
        <v>8.8402931255088983</v>
      </c>
      <c r="I32" s="316">
        <f t="shared" si="2"/>
        <v>9.5847388623938574</v>
      </c>
      <c r="J32" s="316">
        <f t="shared" si="2"/>
        <v>10.329184599278818</v>
      </c>
      <c r="K32" s="316">
        <f t="shared" si="2"/>
        <v>11.073630336163779</v>
      </c>
    </row>
    <row r="33" spans="1:11" x14ac:dyDescent="0.35">
      <c r="A33">
        <v>893</v>
      </c>
      <c r="B33" t="s">
        <v>42</v>
      </c>
      <c r="C33">
        <f>VLOOKUP($B33,'[1]taakstelling  2017 2018 2019'!$B$1:$F$389,3,FALSE)</f>
        <v>2</v>
      </c>
      <c r="D33">
        <f>VLOOKUP($B33,'[1]taakstelling  2017 2018 2019'!$B$2:$F$389,4,FALSE)</f>
        <v>5</v>
      </c>
      <c r="E33">
        <f>VLOOKUP($B33,'[1]taakstelling  2017 2018 2019'!$B$2:$F$389,5,FALSE)</f>
        <v>6</v>
      </c>
      <c r="F33">
        <v>8</v>
      </c>
      <c r="G33">
        <v>9</v>
      </c>
      <c r="H33" s="316">
        <f t="shared" si="2"/>
        <v>9.9453297661975117</v>
      </c>
      <c r="I33" s="316">
        <f t="shared" si="2"/>
        <v>10.78283122019309</v>
      </c>
      <c r="J33" s="316">
        <f t="shared" si="2"/>
        <v>11.620332674188671</v>
      </c>
      <c r="K33" s="316">
        <f t="shared" si="2"/>
        <v>12.457834128184251</v>
      </c>
    </row>
    <row r="34" spans="1:11" x14ac:dyDescent="0.35">
      <c r="A34">
        <v>373</v>
      </c>
      <c r="B34" t="s">
        <v>43</v>
      </c>
      <c r="C34">
        <f>VLOOKUP($B34,'[1]taakstelling  2017 2018 2019'!$B$1:$F$389,3,FALSE)</f>
        <v>3</v>
      </c>
      <c r="D34">
        <f>VLOOKUP($B34,'[1]taakstelling  2017 2018 2019'!$B$2:$F$389,4,FALSE)</f>
        <v>4</v>
      </c>
      <c r="E34">
        <f>VLOOKUP($B34,'[1]taakstelling  2017 2018 2019'!$B$2:$F$389,5,FALSE)</f>
        <v>5</v>
      </c>
      <c r="F34">
        <v>6</v>
      </c>
      <c r="G34">
        <v>7</v>
      </c>
      <c r="H34" s="316">
        <f t="shared" si="2"/>
        <v>7.7352564848202858</v>
      </c>
      <c r="I34" s="316">
        <f t="shared" si="2"/>
        <v>8.3866465045946264</v>
      </c>
      <c r="J34" s="316">
        <f t="shared" si="2"/>
        <v>9.038036524368966</v>
      </c>
      <c r="K34" s="316">
        <f t="shared" si="2"/>
        <v>9.6894265441433056</v>
      </c>
    </row>
    <row r="35" spans="1:11" x14ac:dyDescent="0.35">
      <c r="A35">
        <v>748</v>
      </c>
      <c r="B35" t="s">
        <v>44</v>
      </c>
      <c r="C35">
        <f>VLOOKUP($B35,'[1]taakstelling  2017 2018 2019'!$B$1:$F$389,3,FALSE)</f>
        <v>11</v>
      </c>
      <c r="D35">
        <f>VLOOKUP($B35,'[1]taakstelling  2017 2018 2019'!$B$2:$F$389,4,FALSE)</f>
        <v>20</v>
      </c>
      <c r="E35">
        <f>VLOOKUP($B35,'[1]taakstelling  2017 2018 2019'!$B$2:$F$389,5,FALSE)</f>
        <v>27</v>
      </c>
      <c r="F35">
        <v>33</v>
      </c>
      <c r="G35">
        <v>38</v>
      </c>
      <c r="H35" s="316">
        <f t="shared" si="2"/>
        <v>41.991392346167274</v>
      </c>
      <c r="I35" s="316">
        <f t="shared" si="2"/>
        <v>45.527509596370834</v>
      </c>
      <c r="J35" s="316">
        <f t="shared" si="2"/>
        <v>49.063626846574394</v>
      </c>
      <c r="K35" s="316">
        <f t="shared" si="2"/>
        <v>52.599744096777947</v>
      </c>
    </row>
    <row r="36" spans="1:11" x14ac:dyDescent="0.35">
      <c r="A36">
        <v>1859</v>
      </c>
      <c r="B36" t="s">
        <v>45</v>
      </c>
      <c r="C36">
        <f>VLOOKUP($B36,'[1]taakstelling  2017 2018 2019'!$B$1:$F$389,3,FALSE)</f>
        <v>6</v>
      </c>
      <c r="D36">
        <f>VLOOKUP($B36,'[1]taakstelling  2017 2018 2019'!$B$2:$F$389,4,FALSE)</f>
        <v>10</v>
      </c>
      <c r="E36">
        <f>VLOOKUP($B36,'[1]taakstelling  2017 2018 2019'!$B$2:$F$389,5,FALSE)</f>
        <v>13</v>
      </c>
      <c r="F36">
        <v>16</v>
      </c>
      <c r="G36">
        <v>19</v>
      </c>
      <c r="H36" s="316">
        <f t="shared" ref="H36:K51" si="3">+G36/G$355*H$355</f>
        <v>20.995696173083637</v>
      </c>
      <c r="I36" s="316">
        <f t="shared" si="3"/>
        <v>22.763754798185417</v>
      </c>
      <c r="J36" s="316">
        <f t="shared" si="3"/>
        <v>24.531813423287197</v>
      </c>
      <c r="K36" s="316">
        <f t="shared" si="3"/>
        <v>26.299872048388973</v>
      </c>
    </row>
    <row r="37" spans="1:11" x14ac:dyDescent="0.35">
      <c r="A37">
        <v>1721</v>
      </c>
      <c r="B37" t="s">
        <v>46</v>
      </c>
      <c r="C37">
        <f>VLOOKUP($B37,'[1]taakstelling  2017 2018 2019'!$B$1:$F$389,3,FALSE)</f>
        <v>5</v>
      </c>
      <c r="D37">
        <f>VLOOKUP($B37,'[1]taakstelling  2017 2018 2019'!$B$2:$F$389,4,FALSE)</f>
        <v>10</v>
      </c>
      <c r="E37">
        <f>VLOOKUP($B37,'[1]taakstelling  2017 2018 2019'!$B$2:$F$389,5,FALSE)</f>
        <v>13</v>
      </c>
      <c r="F37">
        <v>16</v>
      </c>
      <c r="G37">
        <v>18</v>
      </c>
      <c r="H37" s="316">
        <f t="shared" si="3"/>
        <v>19.890659532395023</v>
      </c>
      <c r="I37" s="316">
        <f t="shared" si="3"/>
        <v>21.565662440386181</v>
      </c>
      <c r="J37" s="316">
        <f t="shared" si="3"/>
        <v>23.240665348377341</v>
      </c>
      <c r="K37" s="316">
        <f t="shared" si="3"/>
        <v>24.915668256368502</v>
      </c>
    </row>
    <row r="38" spans="1:11" x14ac:dyDescent="0.35">
      <c r="A38">
        <v>753</v>
      </c>
      <c r="B38" t="s">
        <v>47</v>
      </c>
      <c r="C38">
        <f>VLOOKUP($B38,'[1]taakstelling  2017 2018 2019'!$B$1:$F$389,3,FALSE)</f>
        <v>4</v>
      </c>
      <c r="D38">
        <f>VLOOKUP($B38,'[1]taakstelling  2017 2018 2019'!$B$2:$F$389,4,FALSE)</f>
        <v>7</v>
      </c>
      <c r="E38">
        <f>VLOOKUP($B38,'[1]taakstelling  2017 2018 2019'!$B$2:$F$389,5,FALSE)</f>
        <v>9</v>
      </c>
      <c r="F38">
        <v>11</v>
      </c>
      <c r="G38">
        <v>13</v>
      </c>
      <c r="H38" s="316">
        <f t="shared" si="3"/>
        <v>14.36547632895196</v>
      </c>
      <c r="I38" s="316">
        <f t="shared" si="3"/>
        <v>15.57520065139002</v>
      </c>
      <c r="J38" s="316">
        <f t="shared" si="3"/>
        <v>16.78492497382808</v>
      </c>
      <c r="K38" s="316">
        <f t="shared" si="3"/>
        <v>17.99464929626614</v>
      </c>
    </row>
    <row r="39" spans="1:11" x14ac:dyDescent="0.35">
      <c r="A39">
        <v>209</v>
      </c>
      <c r="B39" t="s">
        <v>48</v>
      </c>
      <c r="C39">
        <f>VLOOKUP($B39,'[1]taakstelling  2017 2018 2019'!$B$1:$F$389,3,FALSE)</f>
        <v>3</v>
      </c>
      <c r="D39">
        <f>VLOOKUP($B39,'[1]taakstelling  2017 2018 2019'!$B$2:$F$389,4,FALSE)</f>
        <v>6</v>
      </c>
      <c r="E39">
        <f>VLOOKUP($B39,'[1]taakstelling  2017 2018 2019'!$B$2:$F$389,5,FALSE)</f>
        <v>8</v>
      </c>
      <c r="F39">
        <v>9</v>
      </c>
      <c r="G39">
        <v>11</v>
      </c>
      <c r="H39" s="316">
        <f t="shared" si="3"/>
        <v>12.155403047574735</v>
      </c>
      <c r="I39" s="316">
        <f t="shared" si="3"/>
        <v>13.179015935791556</v>
      </c>
      <c r="J39" s="316">
        <f t="shared" si="3"/>
        <v>14.202628824008375</v>
      </c>
      <c r="K39" s="316">
        <f t="shared" si="3"/>
        <v>15.226241712225196</v>
      </c>
    </row>
    <row r="40" spans="1:11" x14ac:dyDescent="0.35">
      <c r="A40">
        <v>375</v>
      </c>
      <c r="B40" t="s">
        <v>49</v>
      </c>
      <c r="C40">
        <f>VLOOKUP($B40,'[1]taakstelling  2017 2018 2019'!$B$1:$F$389,3,FALSE)</f>
        <v>6</v>
      </c>
      <c r="D40">
        <f>VLOOKUP($B40,'[1]taakstelling  2017 2018 2019'!$B$2:$F$389,4,FALSE)</f>
        <v>11</v>
      </c>
      <c r="E40">
        <f>VLOOKUP($B40,'[1]taakstelling  2017 2018 2019'!$B$2:$F$389,5,FALSE)</f>
        <v>15</v>
      </c>
      <c r="F40">
        <v>18</v>
      </c>
      <c r="G40">
        <v>21</v>
      </c>
      <c r="H40" s="316">
        <f t="shared" si="3"/>
        <v>23.205769454460857</v>
      </c>
      <c r="I40" s="316">
        <f t="shared" si="3"/>
        <v>25.159939513783879</v>
      </c>
      <c r="J40" s="316">
        <f t="shared" si="3"/>
        <v>27.114109573106898</v>
      </c>
      <c r="K40" s="316">
        <f t="shared" si="3"/>
        <v>29.068279632429917</v>
      </c>
    </row>
    <row r="41" spans="1:11" x14ac:dyDescent="0.35">
      <c r="A41">
        <v>1728</v>
      </c>
      <c r="B41" t="s">
        <v>50</v>
      </c>
      <c r="C41">
        <f>VLOOKUP($B41,'[1]taakstelling  2017 2018 2019'!$B$1:$F$389,3,FALSE)</f>
        <v>3</v>
      </c>
      <c r="D41">
        <f>VLOOKUP($B41,'[1]taakstelling  2017 2018 2019'!$B$2:$F$389,4,FALSE)</f>
        <v>7</v>
      </c>
      <c r="E41">
        <f>VLOOKUP($B41,'[1]taakstelling  2017 2018 2019'!$B$2:$F$389,5,FALSE)</f>
        <v>9</v>
      </c>
      <c r="F41">
        <v>11</v>
      </c>
      <c r="G41">
        <v>13</v>
      </c>
      <c r="H41" s="316">
        <f t="shared" si="3"/>
        <v>14.36547632895196</v>
      </c>
      <c r="I41" s="316">
        <f t="shared" si="3"/>
        <v>15.57520065139002</v>
      </c>
      <c r="J41" s="316">
        <f t="shared" si="3"/>
        <v>16.78492497382808</v>
      </c>
      <c r="K41" s="316">
        <f t="shared" si="3"/>
        <v>17.99464929626614</v>
      </c>
    </row>
    <row r="42" spans="1:11" x14ac:dyDescent="0.35">
      <c r="A42">
        <v>376</v>
      </c>
      <c r="B42" t="s">
        <v>51</v>
      </c>
      <c r="C42">
        <f>VLOOKUP($B42,'[1]taakstelling  2017 2018 2019'!$B$1:$F$389,3,FALSE)</f>
        <v>0</v>
      </c>
      <c r="D42">
        <f>VLOOKUP($B42,'[1]taakstelling  2017 2018 2019'!$B$2:$F$389,4,FALSE)</f>
        <v>0</v>
      </c>
      <c r="E42">
        <f>VLOOKUP($B42,'[1]taakstelling  2017 2018 2019'!$B$2:$F$389,5,FALSE)</f>
        <v>1</v>
      </c>
      <c r="F42">
        <v>1</v>
      </c>
      <c r="G42">
        <v>1</v>
      </c>
      <c r="H42" s="316">
        <f t="shared" si="3"/>
        <v>1.1050366406886123</v>
      </c>
      <c r="I42" s="316">
        <f t="shared" si="3"/>
        <v>1.1980923577992322</v>
      </c>
      <c r="J42" s="316">
        <f t="shared" si="3"/>
        <v>1.2911480749098523</v>
      </c>
      <c r="K42" s="316">
        <f t="shared" si="3"/>
        <v>1.3842037920204724</v>
      </c>
    </row>
    <row r="43" spans="1:11" x14ac:dyDescent="0.35">
      <c r="A43">
        <v>377</v>
      </c>
      <c r="B43" t="s">
        <v>52</v>
      </c>
      <c r="C43">
        <f>VLOOKUP($B43,'[1]taakstelling  2017 2018 2019'!$B$1:$F$389,3,FALSE)</f>
        <v>1</v>
      </c>
      <c r="D43">
        <f>VLOOKUP($B43,'[1]taakstelling  2017 2018 2019'!$B$2:$F$389,4,FALSE)</f>
        <v>2</v>
      </c>
      <c r="E43">
        <f>VLOOKUP($B43,'[1]taakstelling  2017 2018 2019'!$B$2:$F$389,5,FALSE)</f>
        <v>3</v>
      </c>
      <c r="F43">
        <v>4</v>
      </c>
      <c r="G43">
        <v>4</v>
      </c>
      <c r="H43" s="316">
        <f t="shared" si="3"/>
        <v>4.4201465627544492</v>
      </c>
      <c r="I43" s="316">
        <f t="shared" si="3"/>
        <v>4.7923694311969287</v>
      </c>
      <c r="J43" s="316">
        <f t="shared" si="3"/>
        <v>5.1645922996394091</v>
      </c>
      <c r="K43" s="316">
        <f t="shared" si="3"/>
        <v>5.5368151680818896</v>
      </c>
    </row>
    <row r="44" spans="1:11" x14ac:dyDescent="0.35">
      <c r="A44">
        <v>1901</v>
      </c>
      <c r="B44" t="s">
        <v>53</v>
      </c>
      <c r="C44">
        <f>VLOOKUP($B44,'[1]taakstelling  2017 2018 2019'!$B$1:$F$389,3,FALSE)</f>
        <v>3</v>
      </c>
      <c r="D44">
        <f>VLOOKUP($B44,'[1]taakstelling  2017 2018 2019'!$B$2:$F$389,4,FALSE)</f>
        <v>5</v>
      </c>
      <c r="E44">
        <f>VLOOKUP($B44,'[1]taakstelling  2017 2018 2019'!$B$2:$F$389,5,FALSE)</f>
        <v>6</v>
      </c>
      <c r="F44">
        <v>7</v>
      </c>
      <c r="G44">
        <v>9</v>
      </c>
      <c r="H44" s="316">
        <f t="shared" si="3"/>
        <v>9.9453297661975117</v>
      </c>
      <c r="I44" s="316">
        <f t="shared" si="3"/>
        <v>10.78283122019309</v>
      </c>
      <c r="J44" s="316">
        <f t="shared" si="3"/>
        <v>11.620332674188671</v>
      </c>
      <c r="K44" s="316">
        <f t="shared" si="3"/>
        <v>12.457834128184251</v>
      </c>
    </row>
    <row r="45" spans="1:11" x14ac:dyDescent="0.35">
      <c r="A45">
        <v>755</v>
      </c>
      <c r="B45" t="s">
        <v>54</v>
      </c>
      <c r="C45">
        <f>VLOOKUP($B45,'[1]taakstelling  2017 2018 2019'!$B$1:$F$389,3,FALSE)</f>
        <v>2</v>
      </c>
      <c r="D45">
        <f>VLOOKUP($B45,'[1]taakstelling  2017 2018 2019'!$B$2:$F$389,4,FALSE)</f>
        <v>4</v>
      </c>
      <c r="E45">
        <f>VLOOKUP($B45,'[1]taakstelling  2017 2018 2019'!$B$2:$F$389,5,FALSE)</f>
        <v>5</v>
      </c>
      <c r="F45">
        <v>6</v>
      </c>
      <c r="G45">
        <v>7</v>
      </c>
      <c r="H45" s="316">
        <f t="shared" si="3"/>
        <v>7.7352564848202858</v>
      </c>
      <c r="I45" s="316">
        <f t="shared" si="3"/>
        <v>8.3866465045946264</v>
      </c>
      <c r="J45" s="316">
        <f t="shared" si="3"/>
        <v>9.038036524368966</v>
      </c>
      <c r="K45" s="316">
        <f t="shared" si="3"/>
        <v>9.6894265441433056</v>
      </c>
    </row>
    <row r="46" spans="1:11" x14ac:dyDescent="0.35">
      <c r="A46">
        <v>1681</v>
      </c>
      <c r="B46" t="s">
        <v>55</v>
      </c>
      <c r="C46">
        <f>VLOOKUP($B46,'[1]taakstelling  2017 2018 2019'!$B$1:$F$389,3,FALSE)</f>
        <v>5</v>
      </c>
      <c r="D46">
        <f>VLOOKUP($B46,'[1]taakstelling  2017 2018 2019'!$B$2:$F$389,4,FALSE)</f>
        <v>8</v>
      </c>
      <c r="E46">
        <f>VLOOKUP($B46,'[1]taakstelling  2017 2018 2019'!$B$2:$F$389,5,FALSE)</f>
        <v>11</v>
      </c>
      <c r="F46">
        <v>13</v>
      </c>
      <c r="G46">
        <v>16</v>
      </c>
      <c r="H46" s="316">
        <f t="shared" si="3"/>
        <v>17.680586251017797</v>
      </c>
      <c r="I46" s="316">
        <f t="shared" si="3"/>
        <v>19.169477724787715</v>
      </c>
      <c r="J46" s="316">
        <f t="shared" si="3"/>
        <v>20.658369198557637</v>
      </c>
      <c r="K46" s="316">
        <f t="shared" si="3"/>
        <v>22.147260672327558</v>
      </c>
    </row>
    <row r="47" spans="1:11" x14ac:dyDescent="0.35">
      <c r="A47">
        <v>147</v>
      </c>
      <c r="B47" t="s">
        <v>56</v>
      </c>
      <c r="C47">
        <f>VLOOKUP($B47,'[1]taakstelling  2017 2018 2019'!$B$1:$F$389,3,FALSE)</f>
        <v>2</v>
      </c>
      <c r="D47">
        <f>VLOOKUP($B47,'[1]taakstelling  2017 2018 2019'!$B$2:$F$389,4,FALSE)</f>
        <v>4</v>
      </c>
      <c r="E47">
        <f>VLOOKUP($B47,'[1]taakstelling  2017 2018 2019'!$B$2:$F$389,5,FALSE)</f>
        <v>5</v>
      </c>
      <c r="F47">
        <v>6</v>
      </c>
      <c r="G47">
        <v>7</v>
      </c>
      <c r="H47" s="316">
        <f t="shared" si="3"/>
        <v>7.7352564848202858</v>
      </c>
      <c r="I47" s="316">
        <f t="shared" si="3"/>
        <v>8.3866465045946264</v>
      </c>
      <c r="J47" s="316">
        <f t="shared" si="3"/>
        <v>9.038036524368966</v>
      </c>
      <c r="K47" s="316">
        <f t="shared" si="3"/>
        <v>9.6894265441433056</v>
      </c>
    </row>
    <row r="48" spans="1:11" x14ac:dyDescent="0.35">
      <c r="A48">
        <v>654</v>
      </c>
      <c r="B48" t="s">
        <v>57</v>
      </c>
      <c r="C48">
        <f>VLOOKUP($B48,'[1]taakstelling  2017 2018 2019'!$B$1:$F$389,3,FALSE)</f>
        <v>2</v>
      </c>
      <c r="D48">
        <f>VLOOKUP($B48,'[1]taakstelling  2017 2018 2019'!$B$2:$F$389,4,FALSE)</f>
        <v>4</v>
      </c>
      <c r="E48">
        <f>VLOOKUP($B48,'[1]taakstelling  2017 2018 2019'!$B$2:$F$389,5,FALSE)</f>
        <v>5</v>
      </c>
      <c r="F48">
        <v>6</v>
      </c>
      <c r="G48">
        <v>7</v>
      </c>
      <c r="H48" s="316">
        <f t="shared" si="3"/>
        <v>7.7352564848202858</v>
      </c>
      <c r="I48" s="316">
        <f t="shared" si="3"/>
        <v>8.3866465045946264</v>
      </c>
      <c r="J48" s="316">
        <f t="shared" si="3"/>
        <v>9.038036524368966</v>
      </c>
      <c r="K48" s="316">
        <f t="shared" si="3"/>
        <v>9.6894265441433056</v>
      </c>
    </row>
    <row r="50" spans="1:11" x14ac:dyDescent="0.35">
      <c r="A50">
        <v>757</v>
      </c>
      <c r="B50" t="s">
        <v>59</v>
      </c>
      <c r="C50">
        <f>VLOOKUP($B50,'[1]taakstelling  2017 2018 2019'!$B$1:$F$389,3,FALSE)</f>
        <v>10</v>
      </c>
      <c r="D50">
        <f>VLOOKUP($B50,'[1]taakstelling  2017 2018 2019'!$B$2:$F$389,4,FALSE)</f>
        <v>21</v>
      </c>
      <c r="E50">
        <f>VLOOKUP($B50,'[1]taakstelling  2017 2018 2019'!$B$2:$F$389,5,FALSE)</f>
        <v>27</v>
      </c>
      <c r="F50">
        <v>34</v>
      </c>
      <c r="G50">
        <v>40</v>
      </c>
      <c r="H50" s="316">
        <f t="shared" si="3"/>
        <v>44.201465627544486</v>
      </c>
      <c r="I50" s="316">
        <f t="shared" si="3"/>
        <v>47.923694311969285</v>
      </c>
      <c r="J50" s="316">
        <f t="shared" si="3"/>
        <v>51.645922996394091</v>
      </c>
      <c r="K50" s="316">
        <f t="shared" si="3"/>
        <v>55.36815168081889</v>
      </c>
    </row>
    <row r="51" spans="1:11" x14ac:dyDescent="0.35">
      <c r="A51">
        <v>758</v>
      </c>
      <c r="B51" t="s">
        <v>60</v>
      </c>
      <c r="C51">
        <f>VLOOKUP($B51,'[1]taakstelling  2017 2018 2019'!$B$1:$F$389,3,FALSE)</f>
        <v>26</v>
      </c>
      <c r="D51">
        <f>VLOOKUP($B51,'[1]taakstelling  2017 2018 2019'!$B$2:$F$389,4,FALSE)</f>
        <v>49</v>
      </c>
      <c r="E51">
        <f>VLOOKUP($B51,'[1]taakstelling  2017 2018 2019'!$B$2:$F$389,5,FALSE)</f>
        <v>63</v>
      </c>
      <c r="F51">
        <v>78</v>
      </c>
      <c r="G51">
        <v>91</v>
      </c>
      <c r="H51" s="316">
        <f t="shared" si="3"/>
        <v>100.55833430266371</v>
      </c>
      <c r="I51" s="316">
        <f t="shared" si="3"/>
        <v>109.02640455973012</v>
      </c>
      <c r="J51" s="316">
        <f t="shared" si="3"/>
        <v>117.49447481679655</v>
      </c>
      <c r="K51" s="316">
        <f t="shared" si="3"/>
        <v>125.96254507386297</v>
      </c>
    </row>
    <row r="52" spans="1:11" x14ac:dyDescent="0.35">
      <c r="A52">
        <v>501</v>
      </c>
      <c r="B52" t="s">
        <v>61</v>
      </c>
      <c r="C52">
        <f>VLOOKUP($B52,'[1]taakstelling  2017 2018 2019'!$B$1:$F$389,3,FALSE)</f>
        <v>1</v>
      </c>
      <c r="D52">
        <f>VLOOKUP($B52,'[1]taakstelling  2017 2018 2019'!$B$2:$F$389,4,FALSE)</f>
        <v>2</v>
      </c>
      <c r="E52">
        <f>VLOOKUP($B52,'[1]taakstelling  2017 2018 2019'!$B$2:$F$389,5,FALSE)</f>
        <v>2</v>
      </c>
      <c r="F52">
        <v>3</v>
      </c>
      <c r="G52">
        <v>4</v>
      </c>
      <c r="H52" s="316">
        <f t="shared" ref="H52:K67" si="4">+G52/G$355*H$355</f>
        <v>4.4201465627544492</v>
      </c>
      <c r="I52" s="316">
        <f t="shared" si="4"/>
        <v>4.7923694311969287</v>
      </c>
      <c r="J52" s="316">
        <f t="shared" si="4"/>
        <v>5.1645922996394091</v>
      </c>
      <c r="K52" s="316">
        <f t="shared" si="4"/>
        <v>5.5368151680818896</v>
      </c>
    </row>
    <row r="53" spans="1:11" x14ac:dyDescent="0.35">
      <c r="A53">
        <v>1876</v>
      </c>
      <c r="B53" t="s">
        <v>62</v>
      </c>
      <c r="C53">
        <f>VLOOKUP($B53,'[1]taakstelling  2017 2018 2019'!$B$1:$F$389,3,FALSE)</f>
        <v>4</v>
      </c>
      <c r="D53">
        <f>VLOOKUP($B53,'[1]taakstelling  2017 2018 2019'!$B$2:$F$389,4,FALSE)</f>
        <v>8</v>
      </c>
      <c r="E53">
        <f>VLOOKUP($B53,'[1]taakstelling  2017 2018 2019'!$B$2:$F$389,5,FALSE)</f>
        <v>10</v>
      </c>
      <c r="F53">
        <v>13</v>
      </c>
      <c r="G53">
        <v>15</v>
      </c>
      <c r="H53" s="316">
        <f t="shared" si="4"/>
        <v>16.575549610329183</v>
      </c>
      <c r="I53" s="316">
        <f t="shared" si="4"/>
        <v>17.971385366988482</v>
      </c>
      <c r="J53" s="316">
        <f t="shared" si="4"/>
        <v>19.367221123647781</v>
      </c>
      <c r="K53" s="316">
        <f t="shared" si="4"/>
        <v>20.763056880307083</v>
      </c>
    </row>
    <row r="54" spans="1:11" x14ac:dyDescent="0.35">
      <c r="A54">
        <v>213</v>
      </c>
      <c r="B54" t="s">
        <v>63</v>
      </c>
      <c r="C54">
        <f>VLOOKUP($B54,'[1]taakstelling  2017 2018 2019'!$B$1:$F$389,3,FALSE)</f>
        <v>3</v>
      </c>
      <c r="D54">
        <f>VLOOKUP($B54,'[1]taakstelling  2017 2018 2019'!$B$2:$F$389,4,FALSE)</f>
        <v>5</v>
      </c>
      <c r="E54">
        <f>VLOOKUP($B54,'[1]taakstelling  2017 2018 2019'!$B$2:$F$389,5,FALSE)</f>
        <v>6</v>
      </c>
      <c r="F54">
        <v>8</v>
      </c>
      <c r="G54">
        <v>9</v>
      </c>
      <c r="H54" s="316">
        <f t="shared" si="4"/>
        <v>9.9453297661975117</v>
      </c>
      <c r="I54" s="316">
        <f t="shared" si="4"/>
        <v>10.78283122019309</v>
      </c>
      <c r="J54" s="316">
        <f t="shared" si="4"/>
        <v>11.620332674188671</v>
      </c>
      <c r="K54" s="316">
        <f t="shared" si="4"/>
        <v>12.457834128184251</v>
      </c>
    </row>
    <row r="55" spans="1:11" x14ac:dyDescent="0.35">
      <c r="A55">
        <v>899</v>
      </c>
      <c r="B55" t="s">
        <v>64</v>
      </c>
      <c r="C55">
        <f>VLOOKUP($B55,'[1]taakstelling  2017 2018 2019'!$B$1:$F$389,3,FALSE)</f>
        <v>5</v>
      </c>
      <c r="D55">
        <f>VLOOKUP($B55,'[1]taakstelling  2017 2018 2019'!$B$2:$F$389,4,FALSE)</f>
        <v>9</v>
      </c>
      <c r="E55">
        <f>VLOOKUP($B55,'[1]taakstelling  2017 2018 2019'!$B$2:$F$389,5,FALSE)</f>
        <v>12</v>
      </c>
      <c r="F55">
        <v>15</v>
      </c>
      <c r="G55">
        <v>17</v>
      </c>
      <c r="H55" s="316">
        <f t="shared" si="4"/>
        <v>18.78562289170641</v>
      </c>
      <c r="I55" s="316">
        <f t="shared" si="4"/>
        <v>20.367570082586948</v>
      </c>
      <c r="J55" s="316">
        <f t="shared" si="4"/>
        <v>21.949517273467489</v>
      </c>
      <c r="K55" s="316">
        <f t="shared" si="4"/>
        <v>23.53146446434803</v>
      </c>
    </row>
    <row r="56" spans="1:11" x14ac:dyDescent="0.35">
      <c r="A56">
        <v>312</v>
      </c>
      <c r="B56" t="s">
        <v>65</v>
      </c>
      <c r="C56">
        <f>VLOOKUP($B56,'[1]taakstelling  2017 2018 2019'!$B$1:$F$389,3,FALSE)</f>
        <v>1</v>
      </c>
      <c r="D56">
        <f>VLOOKUP($B56,'[1]taakstelling  2017 2018 2019'!$B$2:$F$389,4,FALSE)</f>
        <v>1</v>
      </c>
      <c r="E56">
        <f>VLOOKUP($B56,'[1]taakstelling  2017 2018 2019'!$B$2:$F$389,5,FALSE)</f>
        <v>1</v>
      </c>
      <c r="F56">
        <v>2</v>
      </c>
      <c r="G56">
        <v>2</v>
      </c>
      <c r="H56" s="316">
        <f t="shared" si="4"/>
        <v>2.2100732813772246</v>
      </c>
      <c r="I56" s="316">
        <f t="shared" si="4"/>
        <v>2.3961847155984644</v>
      </c>
      <c r="J56" s="316">
        <f t="shared" si="4"/>
        <v>2.5822961498197046</v>
      </c>
      <c r="K56" s="316">
        <f t="shared" si="4"/>
        <v>2.7684075840409448</v>
      </c>
    </row>
    <row r="57" spans="1:11" x14ac:dyDescent="0.35">
      <c r="A57">
        <v>313</v>
      </c>
      <c r="B57" t="s">
        <v>66</v>
      </c>
      <c r="C57">
        <f>VLOOKUP($B57,'[1]taakstelling  2017 2018 2019'!$B$1:$F$389,3,FALSE)</f>
        <v>1</v>
      </c>
      <c r="D57">
        <f>VLOOKUP($B57,'[1]taakstelling  2017 2018 2019'!$B$2:$F$389,4,FALSE)</f>
        <v>2</v>
      </c>
      <c r="E57">
        <f>VLOOKUP($B57,'[1]taakstelling  2017 2018 2019'!$B$2:$F$389,5,FALSE)</f>
        <v>2</v>
      </c>
      <c r="F57">
        <v>3</v>
      </c>
      <c r="G57">
        <v>3</v>
      </c>
      <c r="H57" s="316">
        <f t="shared" si="4"/>
        <v>3.3151099220658367</v>
      </c>
      <c r="I57" s="316">
        <f t="shared" si="4"/>
        <v>3.5942770733976968</v>
      </c>
      <c r="J57" s="316">
        <f t="shared" si="4"/>
        <v>3.8734442247295564</v>
      </c>
      <c r="K57" s="316">
        <f t="shared" si="4"/>
        <v>4.1526113760614169</v>
      </c>
    </row>
    <row r="58" spans="1:11" x14ac:dyDescent="0.35">
      <c r="A58">
        <v>214</v>
      </c>
      <c r="B58" t="s">
        <v>67</v>
      </c>
      <c r="C58">
        <f>VLOOKUP($B58,'[1]taakstelling  2017 2018 2019'!$B$1:$F$389,3,FALSE)</f>
        <v>3</v>
      </c>
      <c r="D58">
        <f>VLOOKUP($B58,'[1]taakstelling  2017 2018 2019'!$B$2:$F$389,4,FALSE)</f>
        <v>6</v>
      </c>
      <c r="E58">
        <f>VLOOKUP($B58,'[1]taakstelling  2017 2018 2019'!$B$2:$F$389,5,FALSE)</f>
        <v>7</v>
      </c>
      <c r="F58">
        <v>9</v>
      </c>
      <c r="G58">
        <v>10</v>
      </c>
      <c r="H58" s="316">
        <f t="shared" si="4"/>
        <v>11.050366406886122</v>
      </c>
      <c r="I58" s="316">
        <f t="shared" si="4"/>
        <v>11.980923577992321</v>
      </c>
      <c r="J58" s="316">
        <f t="shared" si="4"/>
        <v>12.911480749098523</v>
      </c>
      <c r="K58" s="316">
        <f t="shared" si="4"/>
        <v>13.842037920204723</v>
      </c>
    </row>
    <row r="59" spans="1:11" x14ac:dyDescent="0.35">
      <c r="A59">
        <v>502</v>
      </c>
      <c r="B59" t="s">
        <v>1060</v>
      </c>
      <c r="C59">
        <f>VLOOKUP($B59,'[1]taakstelling  2017 2018 2019'!$B$1:$F$389,3,FALSE)</f>
        <v>10</v>
      </c>
      <c r="D59">
        <f>VLOOKUP($B59,'[1]taakstelling  2017 2018 2019'!$B$2:$F$389,4,FALSE)</f>
        <v>15</v>
      </c>
      <c r="E59">
        <f>VLOOKUP($B59,'[1]taakstelling  2017 2018 2019'!$B$2:$F$389,5,FALSE)</f>
        <v>19</v>
      </c>
      <c r="F59">
        <v>24</v>
      </c>
      <c r="G59">
        <v>27</v>
      </c>
      <c r="H59" s="316">
        <f t="shared" si="4"/>
        <v>29.835989298592533</v>
      </c>
      <c r="I59" s="316">
        <f t="shared" si="4"/>
        <v>32.348493660579273</v>
      </c>
      <c r="J59" s="316">
        <f t="shared" si="4"/>
        <v>34.860998022566015</v>
      </c>
      <c r="K59" s="316">
        <f t="shared" si="4"/>
        <v>37.373502384552751</v>
      </c>
    </row>
    <row r="60" spans="1:11" x14ac:dyDescent="0.35">
      <c r="A60">
        <v>383</v>
      </c>
      <c r="B60" t="s">
        <v>69</v>
      </c>
      <c r="C60">
        <f>VLOOKUP($B60,'[1]taakstelling  2017 2018 2019'!$B$1:$F$389,3,FALSE)</f>
        <v>4</v>
      </c>
      <c r="D60">
        <f>VLOOKUP($B60,'[1]taakstelling  2017 2018 2019'!$B$2:$F$389,4,FALSE)</f>
        <v>5</v>
      </c>
      <c r="E60">
        <f>VLOOKUP($B60,'[1]taakstelling  2017 2018 2019'!$B$2:$F$389,5,FALSE)</f>
        <v>7</v>
      </c>
      <c r="F60">
        <v>9</v>
      </c>
      <c r="G60">
        <v>10</v>
      </c>
      <c r="H60" s="316">
        <f t="shared" si="4"/>
        <v>11.050366406886122</v>
      </c>
      <c r="I60" s="316">
        <f t="shared" si="4"/>
        <v>11.980923577992321</v>
      </c>
      <c r="J60" s="316">
        <f t="shared" si="4"/>
        <v>12.911480749098523</v>
      </c>
      <c r="K60" s="316">
        <f t="shared" si="4"/>
        <v>13.842037920204723</v>
      </c>
    </row>
    <row r="61" spans="1:11" x14ac:dyDescent="0.35">
      <c r="A61">
        <v>109</v>
      </c>
      <c r="B61" t="s">
        <v>70</v>
      </c>
      <c r="C61">
        <f>VLOOKUP($B61,'[1]taakstelling  2017 2018 2019'!$B$1:$F$389,3,FALSE)</f>
        <v>5</v>
      </c>
      <c r="D61">
        <f>VLOOKUP($B61,'[1]taakstelling  2017 2018 2019'!$B$2:$F$389,4,FALSE)</f>
        <v>9</v>
      </c>
      <c r="E61">
        <f>VLOOKUP($B61,'[1]taakstelling  2017 2018 2019'!$B$2:$F$389,5,FALSE)</f>
        <v>11</v>
      </c>
      <c r="F61">
        <v>14</v>
      </c>
      <c r="G61">
        <v>16</v>
      </c>
      <c r="H61" s="316">
        <f t="shared" si="4"/>
        <v>17.680586251017797</v>
      </c>
      <c r="I61" s="316">
        <f t="shared" si="4"/>
        <v>19.169477724787715</v>
      </c>
      <c r="J61" s="316">
        <f t="shared" si="4"/>
        <v>20.658369198557637</v>
      </c>
      <c r="K61" s="316">
        <f t="shared" si="4"/>
        <v>22.147260672327558</v>
      </c>
    </row>
    <row r="62" spans="1:11" x14ac:dyDescent="0.35">
      <c r="A62">
        <v>1706</v>
      </c>
      <c r="B62" t="s">
        <v>71</v>
      </c>
      <c r="C62">
        <f>VLOOKUP($B62,'[1]taakstelling  2017 2018 2019'!$B$1:$F$389,3,FALSE)</f>
        <v>2</v>
      </c>
      <c r="D62">
        <f>VLOOKUP($B62,'[1]taakstelling  2017 2018 2019'!$B$2:$F$389,4,FALSE)</f>
        <v>4</v>
      </c>
      <c r="E62">
        <f>VLOOKUP($B62,'[1]taakstelling  2017 2018 2019'!$B$2:$F$389,5,FALSE)</f>
        <v>6</v>
      </c>
      <c r="F62">
        <v>7</v>
      </c>
      <c r="G62">
        <v>8</v>
      </c>
      <c r="H62" s="316">
        <f t="shared" si="4"/>
        <v>8.8402931255088983</v>
      </c>
      <c r="I62" s="316">
        <f t="shared" si="4"/>
        <v>9.5847388623938574</v>
      </c>
      <c r="J62" s="316">
        <f t="shared" si="4"/>
        <v>10.329184599278818</v>
      </c>
      <c r="K62" s="316">
        <f t="shared" si="4"/>
        <v>11.073630336163779</v>
      </c>
    </row>
    <row r="64" spans="1:11" x14ac:dyDescent="0.35">
      <c r="A64">
        <v>216</v>
      </c>
      <c r="B64" t="s">
        <v>73</v>
      </c>
      <c r="C64">
        <f>VLOOKUP($B64,'[1]taakstelling  2017 2018 2019'!$B$1:$F$389,3,FALSE)</f>
        <v>4</v>
      </c>
      <c r="D64">
        <f>VLOOKUP($B64,'[1]taakstelling  2017 2018 2019'!$B$2:$F$389,4,FALSE)</f>
        <v>8</v>
      </c>
      <c r="E64">
        <f>VLOOKUP($B64,'[1]taakstelling  2017 2018 2019'!$B$2:$F$389,5,FALSE)</f>
        <v>11</v>
      </c>
      <c r="F64">
        <v>13</v>
      </c>
      <c r="G64">
        <v>16</v>
      </c>
      <c r="H64" s="316">
        <f t="shared" si="4"/>
        <v>17.680586251017797</v>
      </c>
      <c r="I64" s="316">
        <f t="shared" si="4"/>
        <v>19.169477724787715</v>
      </c>
      <c r="J64" s="316">
        <f t="shared" si="4"/>
        <v>20.658369198557637</v>
      </c>
      <c r="K64" s="316">
        <f t="shared" si="4"/>
        <v>22.147260672327558</v>
      </c>
    </row>
    <row r="65" spans="1:11" x14ac:dyDescent="0.35">
      <c r="A65">
        <v>148</v>
      </c>
      <c r="B65" t="s">
        <v>74</v>
      </c>
      <c r="C65">
        <f>VLOOKUP($B65,'[1]taakstelling  2017 2018 2019'!$B$1:$F$389,3,FALSE)</f>
        <v>2</v>
      </c>
      <c r="D65">
        <f>VLOOKUP($B65,'[1]taakstelling  2017 2018 2019'!$B$2:$F$389,4,FALSE)</f>
        <v>4</v>
      </c>
      <c r="E65">
        <f>VLOOKUP($B65,'[1]taakstelling  2017 2018 2019'!$B$2:$F$389,5,FALSE)</f>
        <v>5</v>
      </c>
      <c r="F65">
        <v>6</v>
      </c>
      <c r="G65">
        <v>7</v>
      </c>
      <c r="H65" s="316">
        <f t="shared" si="4"/>
        <v>7.7352564848202858</v>
      </c>
      <c r="I65" s="316">
        <f t="shared" si="4"/>
        <v>8.3866465045946264</v>
      </c>
      <c r="J65" s="316">
        <f t="shared" si="4"/>
        <v>9.038036524368966</v>
      </c>
      <c r="K65" s="316">
        <f t="shared" si="4"/>
        <v>9.6894265441433056</v>
      </c>
    </row>
    <row r="66" spans="1:11" x14ac:dyDescent="0.35">
      <c r="A66">
        <v>1891</v>
      </c>
      <c r="B66" t="s">
        <v>75</v>
      </c>
      <c r="C66">
        <f>VLOOKUP($B66,'[1]taakstelling  2017 2018 2019'!$B$1:$F$389,3,FALSE)</f>
        <v>2</v>
      </c>
      <c r="D66">
        <f>VLOOKUP($B66,'[1]taakstelling  2017 2018 2019'!$B$2:$F$389,4,FALSE)</f>
        <v>4</v>
      </c>
      <c r="E66">
        <f>VLOOKUP($B66,'[1]taakstelling  2017 2018 2019'!$B$2:$F$389,5,FALSE)</f>
        <v>5</v>
      </c>
      <c r="F66">
        <v>6</v>
      </c>
      <c r="G66">
        <v>7</v>
      </c>
      <c r="H66" s="316">
        <f t="shared" si="4"/>
        <v>7.7352564848202858</v>
      </c>
      <c r="I66" s="316">
        <f t="shared" si="4"/>
        <v>8.3866465045946264</v>
      </c>
      <c r="J66" s="316">
        <f t="shared" si="4"/>
        <v>9.038036524368966</v>
      </c>
      <c r="K66" s="316">
        <f t="shared" si="4"/>
        <v>9.6894265441433056</v>
      </c>
    </row>
    <row r="67" spans="1:11" x14ac:dyDescent="0.35">
      <c r="A67">
        <v>310</v>
      </c>
      <c r="B67" t="s">
        <v>76</v>
      </c>
      <c r="C67">
        <f>VLOOKUP($B67,'[1]taakstelling  2017 2018 2019'!$B$1:$F$389,3,FALSE)</f>
        <v>3</v>
      </c>
      <c r="D67">
        <f>VLOOKUP($B67,'[1]taakstelling  2017 2018 2019'!$B$2:$F$389,4,FALSE)</f>
        <v>4</v>
      </c>
      <c r="E67">
        <f>VLOOKUP($B67,'[1]taakstelling  2017 2018 2019'!$B$2:$F$389,5,FALSE)</f>
        <v>6</v>
      </c>
      <c r="F67">
        <v>7</v>
      </c>
      <c r="G67">
        <v>8</v>
      </c>
      <c r="H67" s="316">
        <f t="shared" si="4"/>
        <v>8.8402931255088983</v>
      </c>
      <c r="I67" s="316">
        <f t="shared" si="4"/>
        <v>9.5847388623938574</v>
      </c>
      <c r="J67" s="316">
        <f t="shared" si="4"/>
        <v>10.329184599278818</v>
      </c>
      <c r="K67" s="316">
        <f t="shared" si="4"/>
        <v>11.073630336163779</v>
      </c>
    </row>
    <row r="68" spans="1:11" x14ac:dyDescent="0.35">
      <c r="A68">
        <v>1940</v>
      </c>
      <c r="B68" t="s">
        <v>77</v>
      </c>
      <c r="C68">
        <f>VLOOKUP($B68,'[1]taakstelling  2017 2018 2019'!$B$1:$F$389,3,FALSE)</f>
        <v>4</v>
      </c>
      <c r="D68">
        <f>VLOOKUP($B68,'[1]taakstelling  2017 2018 2019'!$B$2:$F$389,4,FALSE)</f>
        <v>6</v>
      </c>
      <c r="E68">
        <f>VLOOKUP($B68,'[1]taakstelling  2017 2018 2019'!$B$2:$F$389,5,FALSE)</f>
        <v>7</v>
      </c>
      <c r="F68">
        <v>9</v>
      </c>
      <c r="G68">
        <v>10</v>
      </c>
      <c r="H68" s="316">
        <f t="shared" ref="H68:K83" si="5">+G68/G$355*H$355</f>
        <v>11.050366406886122</v>
      </c>
      <c r="I68" s="316">
        <f t="shared" si="5"/>
        <v>11.980923577992321</v>
      </c>
      <c r="J68" s="316">
        <f t="shared" si="5"/>
        <v>12.911480749098523</v>
      </c>
      <c r="K68" s="316">
        <f t="shared" si="5"/>
        <v>13.842037920204723</v>
      </c>
    </row>
    <row r="69" spans="1:11" x14ac:dyDescent="0.35">
      <c r="A69">
        <v>736</v>
      </c>
      <c r="B69" t="s">
        <v>78</v>
      </c>
      <c r="C69">
        <f>VLOOKUP($B69,'[1]taakstelling  2017 2018 2019'!$B$1:$F$389,3,FALSE)</f>
        <v>3</v>
      </c>
      <c r="D69">
        <f>VLOOKUP($B69,'[1]taakstelling  2017 2018 2019'!$B$2:$F$389,4,FALSE)</f>
        <v>5</v>
      </c>
      <c r="E69">
        <f>VLOOKUP($B69,'[1]taakstelling  2017 2018 2019'!$B$2:$F$389,5,FALSE)</f>
        <v>7</v>
      </c>
      <c r="F69">
        <v>9</v>
      </c>
      <c r="G69">
        <v>10</v>
      </c>
      <c r="H69" s="316">
        <f t="shared" si="5"/>
        <v>11.050366406886122</v>
      </c>
      <c r="I69" s="316">
        <f t="shared" si="5"/>
        <v>11.980923577992321</v>
      </c>
      <c r="J69" s="316">
        <f t="shared" si="5"/>
        <v>12.911480749098523</v>
      </c>
      <c r="K69" s="316">
        <f t="shared" si="5"/>
        <v>13.842037920204723</v>
      </c>
    </row>
    <row r="70" spans="1:11" x14ac:dyDescent="0.35">
      <c r="A70">
        <v>1690</v>
      </c>
      <c r="B70" t="s">
        <v>79</v>
      </c>
      <c r="C70">
        <f>VLOOKUP($B70,'[1]taakstelling  2017 2018 2019'!$B$1:$F$389,3,FALSE)</f>
        <v>2</v>
      </c>
      <c r="D70">
        <f>VLOOKUP($B70,'[1]taakstelling  2017 2018 2019'!$B$2:$F$389,4,FALSE)</f>
        <v>3</v>
      </c>
      <c r="E70">
        <f>VLOOKUP($B70,'[1]taakstelling  2017 2018 2019'!$B$2:$F$389,5,FALSE)</f>
        <v>4</v>
      </c>
      <c r="F70">
        <v>4</v>
      </c>
      <c r="G70">
        <v>5</v>
      </c>
      <c r="H70" s="316">
        <f t="shared" si="5"/>
        <v>5.5251832034430608</v>
      </c>
      <c r="I70" s="316">
        <f t="shared" si="5"/>
        <v>5.9904617889961607</v>
      </c>
      <c r="J70" s="316">
        <f t="shared" si="5"/>
        <v>6.4557403745492614</v>
      </c>
      <c r="K70" s="316">
        <f t="shared" si="5"/>
        <v>6.9210189601023613</v>
      </c>
    </row>
    <row r="71" spans="1:11" x14ac:dyDescent="0.35">
      <c r="A71">
        <v>503</v>
      </c>
      <c r="B71" t="s">
        <v>80</v>
      </c>
      <c r="C71">
        <f>VLOOKUP($B71,'[1]taakstelling  2017 2018 2019'!$B$1:$F$389,3,FALSE)</f>
        <v>20</v>
      </c>
      <c r="D71">
        <f>VLOOKUP($B71,'[1]taakstelling  2017 2018 2019'!$B$2:$F$389,4,FALSE)</f>
        <v>35</v>
      </c>
      <c r="E71">
        <f>VLOOKUP($B71,'[1]taakstelling  2017 2018 2019'!$B$2:$F$389,5,FALSE)</f>
        <v>45</v>
      </c>
      <c r="F71">
        <v>56</v>
      </c>
      <c r="G71">
        <v>65</v>
      </c>
      <c r="H71" s="316">
        <f t="shared" si="5"/>
        <v>71.827381644759797</v>
      </c>
      <c r="I71" s="316">
        <f t="shared" si="5"/>
        <v>77.876003256950085</v>
      </c>
      <c r="J71" s="316">
        <f t="shared" si="5"/>
        <v>83.924624869140374</v>
      </c>
      <c r="K71" s="316">
        <f t="shared" si="5"/>
        <v>89.973246481330662</v>
      </c>
    </row>
    <row r="72" spans="1:11" x14ac:dyDescent="0.35">
      <c r="A72">
        <v>400</v>
      </c>
      <c r="B72" t="s">
        <v>82</v>
      </c>
      <c r="C72">
        <f>VLOOKUP($B72,'[1]taakstelling  2017 2018 2019'!$B$1:$F$389,3,FALSE)</f>
        <v>18</v>
      </c>
      <c r="D72">
        <f>VLOOKUP($B72,'[1]taakstelling  2017 2018 2019'!$B$2:$F$389,4,FALSE)</f>
        <v>28</v>
      </c>
      <c r="E72">
        <f>VLOOKUP($B72,'[1]taakstelling  2017 2018 2019'!$B$2:$F$389,5,FALSE)</f>
        <v>36</v>
      </c>
      <c r="F72">
        <v>45</v>
      </c>
      <c r="G72">
        <v>52</v>
      </c>
      <c r="H72" s="316">
        <f t="shared" si="5"/>
        <v>57.46190531580784</v>
      </c>
      <c r="I72" s="316">
        <f t="shared" si="5"/>
        <v>62.300802605560079</v>
      </c>
      <c r="J72" s="316">
        <f t="shared" si="5"/>
        <v>67.139699895312319</v>
      </c>
      <c r="K72" s="316">
        <f t="shared" si="5"/>
        <v>71.978597185064558</v>
      </c>
    </row>
    <row r="73" spans="1:11" x14ac:dyDescent="0.35">
      <c r="A73">
        <v>762</v>
      </c>
      <c r="B73" t="s">
        <v>83</v>
      </c>
      <c r="C73">
        <f>VLOOKUP($B73,'[1]taakstelling  2017 2018 2019'!$B$1:$F$389,3,FALSE)</f>
        <v>5</v>
      </c>
      <c r="D73">
        <f>VLOOKUP($B73,'[1]taakstelling  2017 2018 2019'!$B$2:$F$389,4,FALSE)</f>
        <v>10</v>
      </c>
      <c r="E73">
        <f>VLOOKUP($B73,'[1]taakstelling  2017 2018 2019'!$B$2:$F$389,5,FALSE)</f>
        <v>14</v>
      </c>
      <c r="F73">
        <v>17</v>
      </c>
      <c r="G73">
        <v>20</v>
      </c>
      <c r="H73" s="316">
        <f t="shared" si="5"/>
        <v>22.100732813772243</v>
      </c>
      <c r="I73" s="316">
        <f t="shared" si="5"/>
        <v>23.961847155984643</v>
      </c>
      <c r="J73" s="316">
        <f t="shared" si="5"/>
        <v>25.822961498197046</v>
      </c>
      <c r="K73" s="316">
        <f t="shared" si="5"/>
        <v>27.684075840409445</v>
      </c>
    </row>
    <row r="74" spans="1:11" x14ac:dyDescent="0.35">
      <c r="A74">
        <v>150</v>
      </c>
      <c r="B74" t="s">
        <v>84</v>
      </c>
      <c r="C74">
        <f>VLOOKUP($B74,'[1]taakstelling  2017 2018 2019'!$B$1:$F$389,3,FALSE)</f>
        <v>28</v>
      </c>
      <c r="D74">
        <f>VLOOKUP($B74,'[1]taakstelling  2017 2018 2019'!$B$2:$F$389,4,FALSE)</f>
        <v>53</v>
      </c>
      <c r="E74">
        <f>VLOOKUP($B74,'[1]taakstelling  2017 2018 2019'!$B$2:$F$389,5,FALSE)</f>
        <v>69</v>
      </c>
      <c r="F74">
        <v>86</v>
      </c>
      <c r="G74">
        <v>99</v>
      </c>
      <c r="H74" s="316">
        <f t="shared" si="5"/>
        <v>109.39862742817262</v>
      </c>
      <c r="I74" s="316">
        <f t="shared" si="5"/>
        <v>118.611143422124</v>
      </c>
      <c r="J74" s="316">
        <f t="shared" si="5"/>
        <v>127.82365941607537</v>
      </c>
      <c r="K74" s="316">
        <f t="shared" si="5"/>
        <v>137.03617541002674</v>
      </c>
    </row>
    <row r="75" spans="1:11" x14ac:dyDescent="0.35">
      <c r="A75">
        <v>384</v>
      </c>
      <c r="B75" t="s">
        <v>85</v>
      </c>
      <c r="C75">
        <f>VLOOKUP($B75,'[1]taakstelling  2017 2018 2019'!$B$1:$F$389,3,FALSE)</f>
        <v>3</v>
      </c>
      <c r="D75">
        <f>VLOOKUP($B75,'[1]taakstelling  2017 2018 2019'!$B$2:$F$389,4,FALSE)</f>
        <v>6</v>
      </c>
      <c r="E75">
        <f>VLOOKUP($B75,'[1]taakstelling  2017 2018 2019'!$B$2:$F$389,5,FALSE)</f>
        <v>7</v>
      </c>
      <c r="F75">
        <v>9</v>
      </c>
      <c r="G75">
        <v>10</v>
      </c>
      <c r="H75" s="316">
        <f t="shared" si="5"/>
        <v>11.050366406886122</v>
      </c>
      <c r="I75" s="316">
        <f t="shared" si="5"/>
        <v>11.980923577992321</v>
      </c>
      <c r="J75" s="316">
        <f t="shared" si="5"/>
        <v>12.911480749098523</v>
      </c>
      <c r="K75" s="316">
        <f t="shared" si="5"/>
        <v>13.842037920204723</v>
      </c>
    </row>
    <row r="76" spans="1:11" x14ac:dyDescent="0.35">
      <c r="A76">
        <v>1774</v>
      </c>
      <c r="B76" t="s">
        <v>86</v>
      </c>
      <c r="C76">
        <f>VLOOKUP($B76,'[1]taakstelling  2017 2018 2019'!$B$1:$F$389,3,FALSE)</f>
        <v>2</v>
      </c>
      <c r="D76">
        <f>VLOOKUP($B76,'[1]taakstelling  2017 2018 2019'!$B$2:$F$389,4,FALSE)</f>
        <v>3</v>
      </c>
      <c r="E76">
        <f>VLOOKUP($B76,'[1]taakstelling  2017 2018 2019'!$B$2:$F$389,5,FALSE)</f>
        <v>4</v>
      </c>
      <c r="F76">
        <v>5</v>
      </c>
      <c r="G76">
        <v>6</v>
      </c>
      <c r="H76" s="316">
        <f t="shared" si="5"/>
        <v>6.6302198441316733</v>
      </c>
      <c r="I76" s="316">
        <f t="shared" si="5"/>
        <v>7.1885541467953935</v>
      </c>
      <c r="J76" s="316">
        <f t="shared" si="5"/>
        <v>7.7468884494591128</v>
      </c>
      <c r="K76" s="316">
        <f t="shared" si="5"/>
        <v>8.3052227521228339</v>
      </c>
    </row>
    <row r="77" spans="1:11" x14ac:dyDescent="0.35">
      <c r="A77">
        <v>221</v>
      </c>
      <c r="B77" t="s">
        <v>87</v>
      </c>
      <c r="C77">
        <f>VLOOKUP($B77,'[1]taakstelling  2017 2018 2019'!$B$1:$F$389,3,FALSE)</f>
        <v>2</v>
      </c>
      <c r="D77">
        <f>VLOOKUP($B77,'[1]taakstelling  2017 2018 2019'!$B$2:$F$389,4,FALSE)</f>
        <v>4</v>
      </c>
      <c r="E77">
        <f>VLOOKUP($B77,'[1]taakstelling  2017 2018 2019'!$B$2:$F$389,5,FALSE)</f>
        <v>5</v>
      </c>
      <c r="F77">
        <v>6</v>
      </c>
      <c r="G77">
        <v>7</v>
      </c>
      <c r="H77" s="316">
        <f t="shared" si="5"/>
        <v>7.7352564848202858</v>
      </c>
      <c r="I77" s="316">
        <f t="shared" si="5"/>
        <v>8.3866465045946264</v>
      </c>
      <c r="J77" s="316">
        <f t="shared" si="5"/>
        <v>9.038036524368966</v>
      </c>
      <c r="K77" s="316">
        <f t="shared" si="5"/>
        <v>9.6894265441433056</v>
      </c>
    </row>
    <row r="78" spans="1:11" x14ac:dyDescent="0.35">
      <c r="A78">
        <v>222</v>
      </c>
      <c r="B78" t="s">
        <v>88</v>
      </c>
      <c r="C78">
        <f>VLOOKUP($B78,'[1]taakstelling  2017 2018 2019'!$B$1:$F$389,3,FALSE)</f>
        <v>11</v>
      </c>
      <c r="D78">
        <f>VLOOKUP($B78,'[1]taakstelling  2017 2018 2019'!$B$2:$F$389,4,FALSE)</f>
        <v>20</v>
      </c>
      <c r="E78">
        <f>VLOOKUP($B78,'[1]taakstelling  2017 2018 2019'!$B$2:$F$389,5,FALSE)</f>
        <v>26</v>
      </c>
      <c r="F78">
        <v>32</v>
      </c>
      <c r="G78">
        <v>38</v>
      </c>
      <c r="H78" s="316">
        <f t="shared" si="5"/>
        <v>41.991392346167274</v>
      </c>
      <c r="I78" s="316">
        <f t="shared" si="5"/>
        <v>45.527509596370834</v>
      </c>
      <c r="J78" s="316">
        <f t="shared" si="5"/>
        <v>49.063626846574394</v>
      </c>
      <c r="K78" s="316">
        <f t="shared" si="5"/>
        <v>52.599744096777947</v>
      </c>
    </row>
    <row r="79" spans="1:11" x14ac:dyDescent="0.35">
      <c r="A79">
        <v>766</v>
      </c>
      <c r="B79" t="s">
        <v>89</v>
      </c>
      <c r="C79">
        <f>VLOOKUP($B79,'[1]taakstelling  2017 2018 2019'!$B$1:$F$389,3,FALSE)</f>
        <v>2</v>
      </c>
      <c r="D79">
        <f>VLOOKUP($B79,'[1]taakstelling  2017 2018 2019'!$B$2:$F$389,4,FALSE)</f>
        <v>4</v>
      </c>
      <c r="E79">
        <f>VLOOKUP($B79,'[1]taakstelling  2017 2018 2019'!$B$2:$F$389,5,FALSE)</f>
        <v>5</v>
      </c>
      <c r="F79">
        <v>6</v>
      </c>
      <c r="G79">
        <v>7</v>
      </c>
      <c r="H79" s="316">
        <f t="shared" si="5"/>
        <v>7.7352564848202858</v>
      </c>
      <c r="I79" s="316">
        <f t="shared" si="5"/>
        <v>8.3866465045946264</v>
      </c>
      <c r="J79" s="316">
        <f t="shared" si="5"/>
        <v>9.038036524368966</v>
      </c>
      <c r="K79" s="316">
        <f t="shared" si="5"/>
        <v>9.6894265441433056</v>
      </c>
    </row>
    <row r="80" spans="1:11" x14ac:dyDescent="0.35">
      <c r="A80">
        <v>505</v>
      </c>
      <c r="B80" t="s">
        <v>90</v>
      </c>
      <c r="C80">
        <f>VLOOKUP($B80,'[1]taakstelling  2017 2018 2019'!$B$1:$F$389,3,FALSE)</f>
        <v>30</v>
      </c>
      <c r="D80">
        <f>VLOOKUP($B80,'[1]taakstelling  2017 2018 2019'!$B$2:$F$389,4,FALSE)</f>
        <v>51</v>
      </c>
      <c r="E80">
        <f>VLOOKUP($B80,'[1]taakstelling  2017 2018 2019'!$B$2:$F$389,5,FALSE)</f>
        <v>66</v>
      </c>
      <c r="F80">
        <v>81</v>
      </c>
      <c r="G80">
        <v>95</v>
      </c>
      <c r="H80" s="316">
        <f t="shared" si="5"/>
        <v>104.97848086541816</v>
      </c>
      <c r="I80" s="316">
        <f t="shared" si="5"/>
        <v>113.81877399092707</v>
      </c>
      <c r="J80" s="316">
        <f t="shared" si="5"/>
        <v>122.65906711643596</v>
      </c>
      <c r="K80" s="316">
        <f t="shared" si="5"/>
        <v>131.49936024194486</v>
      </c>
    </row>
    <row r="81" spans="1:11" x14ac:dyDescent="0.35">
      <c r="A81">
        <v>498</v>
      </c>
      <c r="B81" t="s">
        <v>91</v>
      </c>
      <c r="C81">
        <f>VLOOKUP($B81,'[1]taakstelling  2017 2018 2019'!$B$1:$F$389,3,FALSE)</f>
        <v>2</v>
      </c>
      <c r="D81">
        <f>VLOOKUP($B81,'[1]taakstelling  2017 2018 2019'!$B$2:$F$389,4,FALSE)</f>
        <v>3</v>
      </c>
      <c r="E81">
        <f>VLOOKUP($B81,'[1]taakstelling  2017 2018 2019'!$B$2:$F$389,5,FALSE)</f>
        <v>4</v>
      </c>
      <c r="F81">
        <v>4</v>
      </c>
      <c r="G81">
        <v>5</v>
      </c>
      <c r="H81" s="316">
        <f t="shared" si="5"/>
        <v>5.5251832034430608</v>
      </c>
      <c r="I81" s="316">
        <f t="shared" si="5"/>
        <v>5.9904617889961607</v>
      </c>
      <c r="J81" s="316">
        <f t="shared" si="5"/>
        <v>6.4557403745492614</v>
      </c>
      <c r="K81" s="316">
        <f t="shared" si="5"/>
        <v>6.9210189601023613</v>
      </c>
    </row>
    <row r="82" spans="1:11" x14ac:dyDescent="0.35">
      <c r="A82">
        <v>1719</v>
      </c>
      <c r="B82" t="s">
        <v>92</v>
      </c>
      <c r="C82">
        <f>VLOOKUP($B82,'[1]taakstelling  2017 2018 2019'!$B$1:$F$389,3,FALSE)</f>
        <v>2</v>
      </c>
      <c r="D82">
        <f>VLOOKUP($B82,'[1]taakstelling  2017 2018 2019'!$B$2:$F$389,4,FALSE)</f>
        <v>3</v>
      </c>
      <c r="E82">
        <f>VLOOKUP($B82,'[1]taakstelling  2017 2018 2019'!$B$2:$F$389,5,FALSE)</f>
        <v>4</v>
      </c>
      <c r="F82">
        <v>5</v>
      </c>
      <c r="G82">
        <v>6</v>
      </c>
      <c r="H82" s="316">
        <f t="shared" si="5"/>
        <v>6.6302198441316733</v>
      </c>
      <c r="I82" s="316">
        <f t="shared" si="5"/>
        <v>7.1885541467953935</v>
      </c>
      <c r="J82" s="316">
        <f t="shared" si="5"/>
        <v>7.7468884494591128</v>
      </c>
      <c r="K82" s="316">
        <f t="shared" si="5"/>
        <v>8.3052227521228339</v>
      </c>
    </row>
    <row r="83" spans="1:11" x14ac:dyDescent="0.35">
      <c r="A83">
        <v>303</v>
      </c>
      <c r="B83" t="s">
        <v>93</v>
      </c>
      <c r="C83">
        <f>VLOOKUP($B83,'[1]taakstelling  2017 2018 2019'!$B$1:$F$389,3,FALSE)</f>
        <v>3</v>
      </c>
      <c r="D83">
        <f>VLOOKUP($B83,'[1]taakstelling  2017 2018 2019'!$B$2:$F$389,4,FALSE)</f>
        <v>6</v>
      </c>
      <c r="E83">
        <f>VLOOKUP($B83,'[1]taakstelling  2017 2018 2019'!$B$2:$F$389,5,FALSE)</f>
        <v>7</v>
      </c>
      <c r="F83">
        <v>9</v>
      </c>
      <c r="G83">
        <v>11</v>
      </c>
      <c r="H83" s="316">
        <f t="shared" si="5"/>
        <v>12.155403047574735</v>
      </c>
      <c r="I83" s="316">
        <f t="shared" si="5"/>
        <v>13.179015935791556</v>
      </c>
      <c r="J83" s="316">
        <f t="shared" si="5"/>
        <v>14.202628824008375</v>
      </c>
      <c r="K83" s="316">
        <f t="shared" si="5"/>
        <v>15.226241712225196</v>
      </c>
    </row>
    <row r="84" spans="1:11" x14ac:dyDescent="0.35">
      <c r="A84">
        <v>225</v>
      </c>
      <c r="B84" t="s">
        <v>94</v>
      </c>
      <c r="C84">
        <f>VLOOKUP($B84,'[1]taakstelling  2017 2018 2019'!$B$1:$F$389,3,FALSE)</f>
        <v>2</v>
      </c>
      <c r="D84">
        <f>VLOOKUP($B84,'[1]taakstelling  2017 2018 2019'!$B$2:$F$389,4,FALSE)</f>
        <v>4</v>
      </c>
      <c r="E84">
        <f>VLOOKUP($B84,'[1]taakstelling  2017 2018 2019'!$B$2:$F$389,5,FALSE)</f>
        <v>5</v>
      </c>
      <c r="F84">
        <v>6</v>
      </c>
      <c r="G84">
        <v>7</v>
      </c>
      <c r="H84" s="316">
        <f t="shared" ref="H84:K99" si="6">+G84/G$355*H$355</f>
        <v>7.7352564848202858</v>
      </c>
      <c r="I84" s="316">
        <f t="shared" si="6"/>
        <v>8.3866465045946264</v>
      </c>
      <c r="J84" s="316">
        <f t="shared" si="6"/>
        <v>9.038036524368966</v>
      </c>
      <c r="K84" s="316">
        <f t="shared" si="6"/>
        <v>9.6894265441433056</v>
      </c>
    </row>
    <row r="85" spans="1:11" x14ac:dyDescent="0.35">
      <c r="A85">
        <v>226</v>
      </c>
      <c r="B85" t="s">
        <v>95</v>
      </c>
      <c r="C85">
        <f>VLOOKUP($B85,'[1]taakstelling  2017 2018 2019'!$B$1:$F$389,3,FALSE)</f>
        <v>4</v>
      </c>
      <c r="D85">
        <f>VLOOKUP($B85,'[1]taakstelling  2017 2018 2019'!$B$2:$F$389,4,FALSE)</f>
        <v>6</v>
      </c>
      <c r="E85">
        <f>VLOOKUP($B85,'[1]taakstelling  2017 2018 2019'!$B$2:$F$389,5,FALSE)</f>
        <v>8</v>
      </c>
      <c r="F85">
        <v>10</v>
      </c>
      <c r="G85">
        <v>11</v>
      </c>
      <c r="H85" s="316">
        <f t="shared" si="6"/>
        <v>12.155403047574735</v>
      </c>
      <c r="I85" s="316">
        <f t="shared" si="6"/>
        <v>13.179015935791556</v>
      </c>
      <c r="J85" s="316">
        <f t="shared" si="6"/>
        <v>14.202628824008375</v>
      </c>
      <c r="K85" s="316">
        <f t="shared" si="6"/>
        <v>15.226241712225196</v>
      </c>
    </row>
    <row r="86" spans="1:11" x14ac:dyDescent="0.35">
      <c r="A86">
        <v>1711</v>
      </c>
      <c r="B86" t="s">
        <v>96</v>
      </c>
      <c r="C86">
        <f>VLOOKUP($B86,'[1]taakstelling  2017 2018 2019'!$B$1:$F$389,3,FALSE)</f>
        <v>4</v>
      </c>
      <c r="D86">
        <f>VLOOKUP($B86,'[1]taakstelling  2017 2018 2019'!$B$2:$F$389,4,FALSE)</f>
        <v>8</v>
      </c>
      <c r="E86">
        <f>VLOOKUP($B86,'[1]taakstelling  2017 2018 2019'!$B$2:$F$389,5,FALSE)</f>
        <v>10</v>
      </c>
      <c r="F86">
        <v>12</v>
      </c>
      <c r="G86">
        <v>14</v>
      </c>
      <c r="H86" s="316">
        <f t="shared" si="6"/>
        <v>15.470512969640572</v>
      </c>
      <c r="I86" s="316">
        <f t="shared" si="6"/>
        <v>16.773293009189253</v>
      </c>
      <c r="J86" s="316">
        <f t="shared" si="6"/>
        <v>18.076073048737932</v>
      </c>
      <c r="K86" s="316">
        <f t="shared" si="6"/>
        <v>19.378853088286611</v>
      </c>
    </row>
    <row r="87" spans="1:11" x14ac:dyDescent="0.35">
      <c r="A87">
        <v>385</v>
      </c>
      <c r="B87" t="s">
        <v>97</v>
      </c>
      <c r="C87">
        <f>VLOOKUP($B87,'[1]taakstelling  2017 2018 2019'!$B$1:$F$389,3,FALSE)</f>
        <v>3</v>
      </c>
      <c r="D87">
        <f>VLOOKUP($B87,'[1]taakstelling  2017 2018 2019'!$B$2:$F$389,4,FALSE)</f>
        <v>5</v>
      </c>
      <c r="E87">
        <f>VLOOKUP($B87,'[1]taakstelling  2017 2018 2019'!$B$2:$F$389,5,FALSE)</f>
        <v>6</v>
      </c>
      <c r="F87">
        <v>7</v>
      </c>
      <c r="G87">
        <v>8</v>
      </c>
      <c r="H87" s="316">
        <f t="shared" si="6"/>
        <v>8.8402931255088983</v>
      </c>
      <c r="I87" s="316">
        <f t="shared" si="6"/>
        <v>9.5847388623938574</v>
      </c>
      <c r="J87" s="316">
        <f t="shared" si="6"/>
        <v>10.329184599278818</v>
      </c>
      <c r="K87" s="316">
        <f t="shared" si="6"/>
        <v>11.073630336163779</v>
      </c>
    </row>
    <row r="88" spans="1:11" x14ac:dyDescent="0.35">
      <c r="A88">
        <v>228</v>
      </c>
      <c r="B88" t="s">
        <v>98</v>
      </c>
      <c r="C88">
        <f>VLOOKUP($B88,'[1]taakstelling  2017 2018 2019'!$B$1:$F$389,3,FALSE)</f>
        <v>20</v>
      </c>
      <c r="D88">
        <f>VLOOKUP($B88,'[1]taakstelling  2017 2018 2019'!$B$2:$F$389,4,FALSE)</f>
        <v>32</v>
      </c>
      <c r="E88">
        <f>VLOOKUP($B88,'[1]taakstelling  2017 2018 2019'!$B$2:$F$389,5,FALSE)</f>
        <v>42</v>
      </c>
      <c r="F88">
        <v>52</v>
      </c>
      <c r="G88">
        <v>61</v>
      </c>
      <c r="H88" s="316">
        <f t="shared" si="6"/>
        <v>67.407235082005343</v>
      </c>
      <c r="I88" s="316">
        <f t="shared" si="6"/>
        <v>73.083633825753154</v>
      </c>
      <c r="J88" s="316">
        <f t="shared" si="6"/>
        <v>78.760032569500979</v>
      </c>
      <c r="K88" s="316">
        <f t="shared" si="6"/>
        <v>84.436431313248789</v>
      </c>
    </row>
    <row r="89" spans="1:11" x14ac:dyDescent="0.35">
      <c r="A89">
        <v>317</v>
      </c>
      <c r="B89" t="s">
        <v>99</v>
      </c>
      <c r="C89">
        <f>VLOOKUP($B89,'[1]taakstelling  2017 2018 2019'!$B$1:$F$389,3,FALSE)</f>
        <v>0</v>
      </c>
      <c r="D89">
        <f>VLOOKUP($B89,'[1]taakstelling  2017 2018 2019'!$B$2:$F$389,4,FALSE)</f>
        <v>1</v>
      </c>
      <c r="E89">
        <f>VLOOKUP($B89,'[1]taakstelling  2017 2018 2019'!$B$2:$F$389,5,FALSE)</f>
        <v>1</v>
      </c>
      <c r="F89">
        <v>1</v>
      </c>
      <c r="G89">
        <v>1</v>
      </c>
      <c r="H89" s="316">
        <f t="shared" si="6"/>
        <v>1.1050366406886123</v>
      </c>
      <c r="I89" s="316">
        <f t="shared" si="6"/>
        <v>1.1980923577992322</v>
      </c>
      <c r="J89" s="316">
        <f t="shared" si="6"/>
        <v>1.2911480749098523</v>
      </c>
      <c r="K89" s="316">
        <f t="shared" si="6"/>
        <v>1.3842037920204724</v>
      </c>
    </row>
    <row r="90" spans="1:11" x14ac:dyDescent="0.35">
      <c r="A90">
        <v>1979</v>
      </c>
      <c r="B90" t="s">
        <v>1285</v>
      </c>
      <c r="C90">
        <f>+'[1]taakstelling  2017 2018 2019'!D19+'[1]taakstelling  2017 2018 2019'!D76+'[1]taakstelling  2017 2018 2019'!D201</f>
        <v>11</v>
      </c>
      <c r="D90">
        <f>+'[1]taakstelling  2017 2018 2019'!E19+'[1]taakstelling  2017 2018 2019'!E76+'[1]taakstelling  2017 2018 2019'!E201</f>
        <v>19</v>
      </c>
      <c r="E90">
        <f>+'[1]taakstelling  2017 2018 2019'!F19+'[1]taakstelling  2017 2018 2019'!F76+'[1]taakstelling  2017 2018 2019'!F201</f>
        <v>25</v>
      </c>
      <c r="F90">
        <v>31</v>
      </c>
      <c r="G90">
        <v>36</v>
      </c>
      <c r="H90" s="316">
        <f t="shared" si="6"/>
        <v>39.781319064790047</v>
      </c>
      <c r="I90" s="316">
        <f t="shared" si="6"/>
        <v>43.131324880772361</v>
      </c>
      <c r="J90" s="316">
        <f t="shared" si="6"/>
        <v>46.481330696754682</v>
      </c>
      <c r="K90" s="316">
        <f t="shared" si="6"/>
        <v>49.831336512737003</v>
      </c>
    </row>
    <row r="91" spans="1:11" x14ac:dyDescent="0.35">
      <c r="A91">
        <v>770</v>
      </c>
      <c r="B91" t="s">
        <v>100</v>
      </c>
      <c r="C91">
        <f>VLOOKUP($B91,'[1]taakstelling  2017 2018 2019'!$B$1:$F$389,3,FALSE)</f>
        <v>2</v>
      </c>
      <c r="D91">
        <f>VLOOKUP($B91,'[1]taakstelling  2017 2018 2019'!$B$2:$F$389,4,FALSE)</f>
        <v>5</v>
      </c>
      <c r="E91">
        <f>VLOOKUP($B91,'[1]taakstelling  2017 2018 2019'!$B$2:$F$389,5,FALSE)</f>
        <v>6</v>
      </c>
      <c r="F91">
        <v>8</v>
      </c>
      <c r="G91">
        <v>9</v>
      </c>
      <c r="H91" s="316">
        <f t="shared" si="6"/>
        <v>9.9453297661975117</v>
      </c>
      <c r="I91" s="316">
        <f t="shared" si="6"/>
        <v>10.78283122019309</v>
      </c>
      <c r="J91" s="316">
        <f t="shared" si="6"/>
        <v>11.620332674188671</v>
      </c>
      <c r="K91" s="316">
        <f t="shared" si="6"/>
        <v>12.457834128184251</v>
      </c>
    </row>
    <row r="92" spans="1:11" x14ac:dyDescent="0.35">
      <c r="A92">
        <v>1903</v>
      </c>
      <c r="B92" t="s">
        <v>101</v>
      </c>
      <c r="C92">
        <f>VLOOKUP($B92,'[1]taakstelling  2017 2018 2019'!$B$1:$F$389,3,FALSE)</f>
        <v>5</v>
      </c>
      <c r="D92">
        <f>VLOOKUP($B92,'[1]taakstelling  2017 2018 2019'!$B$2:$F$389,4,FALSE)</f>
        <v>7</v>
      </c>
      <c r="E92">
        <f>VLOOKUP($B92,'[1]taakstelling  2017 2018 2019'!$B$2:$F$389,5,FALSE)</f>
        <v>10</v>
      </c>
      <c r="F92">
        <v>12</v>
      </c>
      <c r="G92">
        <v>14</v>
      </c>
      <c r="H92" s="316">
        <f t="shared" si="6"/>
        <v>15.470512969640572</v>
      </c>
      <c r="I92" s="316">
        <f t="shared" si="6"/>
        <v>16.773293009189253</v>
      </c>
      <c r="J92" s="316">
        <f t="shared" si="6"/>
        <v>18.076073048737932</v>
      </c>
      <c r="K92" s="316">
        <f t="shared" si="6"/>
        <v>19.378853088286611</v>
      </c>
    </row>
    <row r="93" spans="1:11" x14ac:dyDescent="0.35">
      <c r="A93">
        <v>772</v>
      </c>
      <c r="B93" t="s">
        <v>102</v>
      </c>
      <c r="C93">
        <f>VLOOKUP($B93,'[1]taakstelling  2017 2018 2019'!$B$1:$F$389,3,FALSE)</f>
        <v>39</v>
      </c>
      <c r="D93">
        <f>VLOOKUP($B93,'[1]taakstelling  2017 2018 2019'!$B$2:$F$389,4,FALSE)</f>
        <v>83</v>
      </c>
      <c r="E93">
        <f>VLOOKUP($B93,'[1]taakstelling  2017 2018 2019'!$B$2:$F$389,5,FALSE)</f>
        <v>108</v>
      </c>
      <c r="F93">
        <v>133</v>
      </c>
      <c r="G93">
        <v>154</v>
      </c>
      <c r="H93" s="316">
        <f t="shared" si="6"/>
        <v>170.17564266604631</v>
      </c>
      <c r="I93" s="316">
        <f t="shared" si="6"/>
        <v>184.50622310108179</v>
      </c>
      <c r="J93" s="316">
        <f t="shared" si="6"/>
        <v>198.83680353611726</v>
      </c>
      <c r="K93" s="316">
        <f t="shared" si="6"/>
        <v>213.16738397115273</v>
      </c>
    </row>
    <row r="94" spans="1:11" x14ac:dyDescent="0.35">
      <c r="A94">
        <v>230</v>
      </c>
      <c r="B94" t="s">
        <v>103</v>
      </c>
      <c r="C94">
        <f>VLOOKUP($B94,'[1]taakstelling  2017 2018 2019'!$B$1:$F$389,3,FALSE)</f>
        <v>4</v>
      </c>
      <c r="D94">
        <f>VLOOKUP($B94,'[1]taakstelling  2017 2018 2019'!$B$2:$F$389,4,FALSE)</f>
        <v>7</v>
      </c>
      <c r="E94">
        <f>VLOOKUP($B94,'[1]taakstelling  2017 2018 2019'!$B$2:$F$389,5,FALSE)</f>
        <v>10</v>
      </c>
      <c r="F94">
        <v>12</v>
      </c>
      <c r="G94">
        <v>14</v>
      </c>
      <c r="H94" s="316">
        <f t="shared" si="6"/>
        <v>15.470512969640572</v>
      </c>
      <c r="I94" s="316">
        <f t="shared" si="6"/>
        <v>16.773293009189253</v>
      </c>
      <c r="J94" s="316">
        <f t="shared" si="6"/>
        <v>18.076073048737932</v>
      </c>
      <c r="K94" s="316">
        <f t="shared" si="6"/>
        <v>19.378853088286611</v>
      </c>
    </row>
    <row r="95" spans="1:11" x14ac:dyDescent="0.35">
      <c r="A95">
        <v>114</v>
      </c>
      <c r="B95" t="s">
        <v>104</v>
      </c>
      <c r="C95">
        <f>VLOOKUP($B95,'[1]taakstelling  2017 2018 2019'!$B$1:$F$389,3,FALSE)</f>
        <v>20</v>
      </c>
      <c r="D95">
        <f>VLOOKUP($B95,'[1]taakstelling  2017 2018 2019'!$B$2:$F$389,4,FALSE)</f>
        <v>35</v>
      </c>
      <c r="E95">
        <f>VLOOKUP($B95,'[1]taakstelling  2017 2018 2019'!$B$2:$F$389,5,FALSE)</f>
        <v>45</v>
      </c>
      <c r="F95">
        <v>56</v>
      </c>
      <c r="G95">
        <v>65</v>
      </c>
      <c r="H95" s="316">
        <f t="shared" si="6"/>
        <v>71.827381644759797</v>
      </c>
      <c r="I95" s="316">
        <f t="shared" si="6"/>
        <v>77.876003256950085</v>
      </c>
      <c r="J95" s="316">
        <f t="shared" si="6"/>
        <v>83.924624869140374</v>
      </c>
      <c r="K95" s="316">
        <f t="shared" si="6"/>
        <v>89.973246481330662</v>
      </c>
    </row>
    <row r="96" spans="1:11" x14ac:dyDescent="0.35">
      <c r="A96">
        <v>388</v>
      </c>
      <c r="B96" t="s">
        <v>105</v>
      </c>
      <c r="C96">
        <f>VLOOKUP($B96,'[1]taakstelling  2017 2018 2019'!$B$1:$F$389,3,FALSE)</f>
        <v>4</v>
      </c>
      <c r="D96">
        <f>VLOOKUP($B96,'[1]taakstelling  2017 2018 2019'!$B$2:$F$389,4,FALSE)</f>
        <v>6</v>
      </c>
      <c r="E96">
        <f>VLOOKUP($B96,'[1]taakstelling  2017 2018 2019'!$B$2:$F$389,5,FALSE)</f>
        <v>7</v>
      </c>
      <c r="F96">
        <v>9</v>
      </c>
      <c r="G96">
        <v>10</v>
      </c>
      <c r="H96" s="316">
        <f t="shared" si="6"/>
        <v>11.050366406886122</v>
      </c>
      <c r="I96" s="316">
        <f t="shared" si="6"/>
        <v>11.980923577992321</v>
      </c>
      <c r="J96" s="316">
        <f t="shared" si="6"/>
        <v>12.911480749098523</v>
      </c>
      <c r="K96" s="316">
        <f t="shared" si="6"/>
        <v>13.842037920204723</v>
      </c>
    </row>
    <row r="97" spans="1:11" x14ac:dyDescent="0.35">
      <c r="A97">
        <v>153</v>
      </c>
      <c r="B97" t="s">
        <v>106</v>
      </c>
      <c r="C97">
        <f>VLOOKUP($B97,'[1]taakstelling  2017 2018 2019'!$B$1:$F$389,3,FALSE)</f>
        <v>32</v>
      </c>
      <c r="D97">
        <f>VLOOKUP($B97,'[1]taakstelling  2017 2018 2019'!$B$2:$F$389,4,FALSE)</f>
        <v>53</v>
      </c>
      <c r="E97">
        <f>VLOOKUP($B97,'[1]taakstelling  2017 2018 2019'!$B$2:$F$389,5,FALSE)</f>
        <v>69</v>
      </c>
      <c r="F97">
        <v>86</v>
      </c>
      <c r="G97">
        <v>100</v>
      </c>
      <c r="H97" s="316">
        <f t="shared" si="6"/>
        <v>110.50366406886123</v>
      </c>
      <c r="I97" s="316">
        <f t="shared" si="6"/>
        <v>119.80923577992323</v>
      </c>
      <c r="J97" s="316">
        <f t="shared" si="6"/>
        <v>129.11480749098521</v>
      </c>
      <c r="K97" s="316">
        <f t="shared" si="6"/>
        <v>138.4203792020472</v>
      </c>
    </row>
    <row r="98" spans="1:11" x14ac:dyDescent="0.35">
      <c r="A98">
        <v>232</v>
      </c>
      <c r="B98" t="s">
        <v>107</v>
      </c>
      <c r="C98">
        <f>VLOOKUP($B98,'[1]taakstelling  2017 2018 2019'!$B$1:$F$389,3,FALSE)</f>
        <v>4</v>
      </c>
      <c r="D98">
        <f>VLOOKUP($B98,'[1]taakstelling  2017 2018 2019'!$B$2:$F$389,4,FALSE)</f>
        <v>7</v>
      </c>
      <c r="E98">
        <f>VLOOKUP($B98,'[1]taakstelling  2017 2018 2019'!$B$2:$F$389,5,FALSE)</f>
        <v>9</v>
      </c>
      <c r="F98">
        <v>11</v>
      </c>
      <c r="G98">
        <v>13</v>
      </c>
      <c r="H98" s="316">
        <f t="shared" si="6"/>
        <v>14.36547632895196</v>
      </c>
      <c r="I98" s="316">
        <f t="shared" si="6"/>
        <v>15.57520065139002</v>
      </c>
      <c r="J98" s="316">
        <f t="shared" si="6"/>
        <v>16.78492497382808</v>
      </c>
      <c r="K98" s="316">
        <f t="shared" si="6"/>
        <v>17.99464929626614</v>
      </c>
    </row>
    <row r="99" spans="1:11" x14ac:dyDescent="0.35">
      <c r="A99">
        <v>233</v>
      </c>
      <c r="B99" t="s">
        <v>108</v>
      </c>
      <c r="C99">
        <f>VLOOKUP($B99,'[1]taakstelling  2017 2018 2019'!$B$1:$F$389,3,FALSE)</f>
        <v>4</v>
      </c>
      <c r="D99">
        <f>VLOOKUP($B99,'[1]taakstelling  2017 2018 2019'!$B$2:$F$389,4,FALSE)</f>
        <v>8</v>
      </c>
      <c r="E99">
        <f>VLOOKUP($B99,'[1]taakstelling  2017 2018 2019'!$B$2:$F$389,5,FALSE)</f>
        <v>10</v>
      </c>
      <c r="F99">
        <v>12</v>
      </c>
      <c r="G99">
        <v>14</v>
      </c>
      <c r="H99" s="316">
        <f t="shared" si="6"/>
        <v>15.470512969640572</v>
      </c>
      <c r="I99" s="316">
        <f t="shared" si="6"/>
        <v>16.773293009189253</v>
      </c>
      <c r="J99" s="316">
        <f t="shared" si="6"/>
        <v>18.076073048737932</v>
      </c>
      <c r="K99" s="316">
        <f t="shared" si="6"/>
        <v>19.378853088286611</v>
      </c>
    </row>
    <row r="100" spans="1:11" x14ac:dyDescent="0.35">
      <c r="A100">
        <v>777</v>
      </c>
      <c r="B100" t="s">
        <v>109</v>
      </c>
      <c r="C100">
        <f>VLOOKUP($B100,'[1]taakstelling  2017 2018 2019'!$B$1:$F$389,3,FALSE)</f>
        <v>5</v>
      </c>
      <c r="D100">
        <f>VLOOKUP($B100,'[1]taakstelling  2017 2018 2019'!$B$2:$F$389,4,FALSE)</f>
        <v>10</v>
      </c>
      <c r="E100">
        <f>VLOOKUP($B100,'[1]taakstelling  2017 2018 2019'!$B$2:$F$389,5,FALSE)</f>
        <v>12</v>
      </c>
      <c r="F100">
        <v>15</v>
      </c>
      <c r="G100">
        <v>18</v>
      </c>
      <c r="H100" s="316">
        <f t="shared" ref="H100:K115" si="7">+G100/G$355*H$355</f>
        <v>19.890659532395023</v>
      </c>
      <c r="I100" s="316">
        <f t="shared" si="7"/>
        <v>21.565662440386181</v>
      </c>
      <c r="J100" s="316">
        <f t="shared" si="7"/>
        <v>23.240665348377341</v>
      </c>
      <c r="K100" s="316">
        <f t="shared" si="7"/>
        <v>24.915668256368502</v>
      </c>
    </row>
    <row r="101" spans="1:11" x14ac:dyDescent="0.35">
      <c r="A101">
        <v>779</v>
      </c>
      <c r="B101" t="s">
        <v>110</v>
      </c>
      <c r="C101">
        <f>VLOOKUP($B101,'[1]taakstelling  2017 2018 2019'!$B$1:$F$389,3,FALSE)</f>
        <v>3</v>
      </c>
      <c r="D101">
        <f>VLOOKUP($B101,'[1]taakstelling  2017 2018 2019'!$B$2:$F$389,4,FALSE)</f>
        <v>7</v>
      </c>
      <c r="E101">
        <f>VLOOKUP($B101,'[1]taakstelling  2017 2018 2019'!$B$2:$F$389,5,FALSE)</f>
        <v>9</v>
      </c>
      <c r="F101">
        <v>11</v>
      </c>
      <c r="G101">
        <v>13</v>
      </c>
      <c r="H101" s="316">
        <f t="shared" si="7"/>
        <v>14.36547632895196</v>
      </c>
      <c r="I101" s="316">
        <f t="shared" si="7"/>
        <v>15.57520065139002</v>
      </c>
      <c r="J101" s="316">
        <f t="shared" si="7"/>
        <v>16.78492497382808</v>
      </c>
      <c r="K101" s="316">
        <f t="shared" si="7"/>
        <v>17.99464929626614</v>
      </c>
    </row>
    <row r="102" spans="1:11" x14ac:dyDescent="0.35">
      <c r="A102">
        <v>1771</v>
      </c>
      <c r="B102" t="s">
        <v>111</v>
      </c>
      <c r="C102">
        <f>VLOOKUP($B102,'[1]taakstelling  2017 2018 2019'!$B$1:$F$389,3,FALSE)</f>
        <v>5</v>
      </c>
      <c r="D102">
        <f>VLOOKUP($B102,'[1]taakstelling  2017 2018 2019'!$B$2:$F$389,4,FALSE)</f>
        <v>11</v>
      </c>
      <c r="E102">
        <f>VLOOKUP($B102,'[1]taakstelling  2017 2018 2019'!$B$2:$F$389,5,FALSE)</f>
        <v>15</v>
      </c>
      <c r="F102">
        <v>18</v>
      </c>
      <c r="G102">
        <v>21</v>
      </c>
      <c r="H102" s="316">
        <f t="shared" si="7"/>
        <v>23.205769454460857</v>
      </c>
      <c r="I102" s="316">
        <f t="shared" si="7"/>
        <v>25.159939513783879</v>
      </c>
      <c r="J102" s="316">
        <f t="shared" si="7"/>
        <v>27.114109573106898</v>
      </c>
      <c r="K102" s="316">
        <f t="shared" si="7"/>
        <v>29.068279632429917</v>
      </c>
    </row>
    <row r="103" spans="1:11" x14ac:dyDescent="0.35">
      <c r="A103">
        <v>1652</v>
      </c>
      <c r="B103" t="s">
        <v>112</v>
      </c>
      <c r="C103">
        <f>VLOOKUP($B103,'[1]taakstelling  2017 2018 2019'!$B$1:$F$389,3,FALSE)</f>
        <v>4</v>
      </c>
      <c r="D103">
        <f>VLOOKUP($B103,'[1]taakstelling  2017 2018 2019'!$B$2:$F$389,4,FALSE)</f>
        <v>10</v>
      </c>
      <c r="E103">
        <f>VLOOKUP($B103,'[1]taakstelling  2017 2018 2019'!$B$2:$F$389,5,FALSE)</f>
        <v>12</v>
      </c>
      <c r="F103">
        <v>15</v>
      </c>
      <c r="G103">
        <v>18</v>
      </c>
      <c r="H103" s="316">
        <f t="shared" si="7"/>
        <v>19.890659532395023</v>
      </c>
      <c r="I103" s="316">
        <f t="shared" si="7"/>
        <v>21.565662440386181</v>
      </c>
      <c r="J103" s="316">
        <f t="shared" si="7"/>
        <v>23.240665348377341</v>
      </c>
      <c r="K103" s="316">
        <f t="shared" si="7"/>
        <v>24.915668256368502</v>
      </c>
    </row>
    <row r="104" spans="1:11" x14ac:dyDescent="0.35">
      <c r="A104">
        <v>907</v>
      </c>
      <c r="B104" t="s">
        <v>113</v>
      </c>
      <c r="C104">
        <f>VLOOKUP($B104,'[1]taakstelling  2017 2018 2019'!$B$1:$F$389,3,FALSE)</f>
        <v>3</v>
      </c>
      <c r="D104">
        <f>VLOOKUP($B104,'[1]taakstelling  2017 2018 2019'!$B$2:$F$389,4,FALSE)</f>
        <v>7</v>
      </c>
      <c r="E104">
        <f>VLOOKUP($B104,'[1]taakstelling  2017 2018 2019'!$B$2:$F$389,5,FALSE)</f>
        <v>9</v>
      </c>
      <c r="F104">
        <v>11</v>
      </c>
      <c r="G104">
        <v>13</v>
      </c>
      <c r="H104" s="316">
        <f t="shared" si="7"/>
        <v>14.36547632895196</v>
      </c>
      <c r="I104" s="316">
        <f t="shared" si="7"/>
        <v>15.57520065139002</v>
      </c>
      <c r="J104" s="316">
        <f t="shared" si="7"/>
        <v>16.78492497382808</v>
      </c>
      <c r="K104" s="316">
        <f t="shared" si="7"/>
        <v>17.99464929626614</v>
      </c>
    </row>
    <row r="105" spans="1:11" x14ac:dyDescent="0.35">
      <c r="A105">
        <v>784</v>
      </c>
      <c r="B105" t="s">
        <v>114</v>
      </c>
      <c r="C105">
        <f>VLOOKUP($B105,'[1]taakstelling  2017 2018 2019'!$B$1:$F$389,3,FALSE)</f>
        <v>2</v>
      </c>
      <c r="D105">
        <f>VLOOKUP($B105,'[1]taakstelling  2017 2018 2019'!$B$2:$F$389,4,FALSE)</f>
        <v>4</v>
      </c>
      <c r="E105">
        <f>VLOOKUP($B105,'[1]taakstelling  2017 2018 2019'!$B$2:$F$389,5,FALSE)</f>
        <v>5</v>
      </c>
      <c r="F105">
        <v>6</v>
      </c>
      <c r="G105">
        <v>7</v>
      </c>
      <c r="H105" s="316">
        <f t="shared" si="7"/>
        <v>7.7352564848202858</v>
      </c>
      <c r="I105" s="316">
        <f t="shared" si="7"/>
        <v>8.3866465045946264</v>
      </c>
      <c r="J105" s="316">
        <f t="shared" si="7"/>
        <v>9.038036524368966</v>
      </c>
      <c r="K105" s="316">
        <f t="shared" si="7"/>
        <v>9.6894265441433056</v>
      </c>
    </row>
    <row r="106" spans="1:11" x14ac:dyDescent="0.35">
      <c r="A106">
        <v>1924</v>
      </c>
      <c r="B106" t="s">
        <v>115</v>
      </c>
      <c r="C106">
        <f>VLOOKUP($B106,'[1]taakstelling  2017 2018 2019'!$B$1:$F$389,3,FALSE)</f>
        <v>5</v>
      </c>
      <c r="D106">
        <f>VLOOKUP($B106,'[1]taakstelling  2017 2018 2019'!$B$2:$F$389,4,FALSE)</f>
        <v>8</v>
      </c>
      <c r="E106">
        <f>VLOOKUP($B106,'[1]taakstelling  2017 2018 2019'!$B$2:$F$389,5,FALSE)</f>
        <v>11</v>
      </c>
      <c r="F106">
        <v>14</v>
      </c>
      <c r="G106">
        <v>16</v>
      </c>
      <c r="H106" s="316">
        <f t="shared" si="7"/>
        <v>17.680586251017797</v>
      </c>
      <c r="I106" s="316">
        <f t="shared" si="7"/>
        <v>19.169477724787715</v>
      </c>
      <c r="J106" s="316">
        <f t="shared" si="7"/>
        <v>20.658369198557637</v>
      </c>
      <c r="K106" s="316">
        <f t="shared" si="7"/>
        <v>22.147260672327558</v>
      </c>
    </row>
    <row r="107" spans="1:11" x14ac:dyDescent="0.35">
      <c r="A107">
        <v>664</v>
      </c>
      <c r="B107" t="s">
        <v>116</v>
      </c>
      <c r="C107">
        <f>VLOOKUP($B107,'[1]taakstelling  2017 2018 2019'!$B$1:$F$389,3,FALSE)</f>
        <v>6</v>
      </c>
      <c r="D107">
        <f>VLOOKUP($B107,'[1]taakstelling  2017 2018 2019'!$B$2:$F$389,4,FALSE)</f>
        <v>11</v>
      </c>
      <c r="E107">
        <f>VLOOKUP($B107,'[1]taakstelling  2017 2018 2019'!$B$2:$F$389,5,FALSE)</f>
        <v>15</v>
      </c>
      <c r="F107">
        <v>18</v>
      </c>
      <c r="G107">
        <v>21</v>
      </c>
      <c r="H107" s="316">
        <f t="shared" si="7"/>
        <v>23.205769454460857</v>
      </c>
      <c r="I107" s="316">
        <f t="shared" si="7"/>
        <v>25.159939513783879</v>
      </c>
      <c r="J107" s="316">
        <f t="shared" si="7"/>
        <v>27.114109573106898</v>
      </c>
      <c r="K107" s="316">
        <f t="shared" si="7"/>
        <v>29.068279632429917</v>
      </c>
    </row>
    <row r="108" spans="1:11" x14ac:dyDescent="0.35">
      <c r="A108">
        <v>785</v>
      </c>
      <c r="B108" t="s">
        <v>117</v>
      </c>
      <c r="C108">
        <f>VLOOKUP($B108,'[1]taakstelling  2017 2018 2019'!$B$1:$F$389,3,FALSE)</f>
        <v>3</v>
      </c>
      <c r="D108">
        <f>VLOOKUP($B108,'[1]taakstelling  2017 2018 2019'!$B$2:$F$389,4,FALSE)</f>
        <v>5</v>
      </c>
      <c r="E108">
        <f>VLOOKUP($B108,'[1]taakstelling  2017 2018 2019'!$B$2:$F$389,5,FALSE)</f>
        <v>7</v>
      </c>
      <c r="F108">
        <v>9</v>
      </c>
      <c r="G108">
        <v>10</v>
      </c>
      <c r="H108" s="316">
        <f t="shared" si="7"/>
        <v>11.050366406886122</v>
      </c>
      <c r="I108" s="316">
        <f t="shared" si="7"/>
        <v>11.980923577992321</v>
      </c>
      <c r="J108" s="316">
        <f t="shared" si="7"/>
        <v>12.911480749098523</v>
      </c>
      <c r="K108" s="316">
        <f t="shared" si="7"/>
        <v>13.842037920204723</v>
      </c>
    </row>
    <row r="109" spans="1:11" x14ac:dyDescent="0.35">
      <c r="A109">
        <v>1942</v>
      </c>
      <c r="B109" t="s">
        <v>118</v>
      </c>
      <c r="C109">
        <f>VLOOKUP($B109,'[1]taakstelling  2017 2018 2019'!$B$1:$F$389,3,FALSE)</f>
        <v>3</v>
      </c>
      <c r="D109">
        <f>VLOOKUP($B109,'[1]taakstelling  2017 2018 2019'!$B$2:$F$389,4,FALSE)</f>
        <v>5</v>
      </c>
      <c r="E109">
        <f>VLOOKUP($B109,'[1]taakstelling  2017 2018 2019'!$B$2:$F$389,5,FALSE)</f>
        <v>7</v>
      </c>
      <c r="F109">
        <v>8</v>
      </c>
      <c r="G109">
        <v>9</v>
      </c>
      <c r="H109" s="316">
        <f t="shared" si="7"/>
        <v>9.9453297661975117</v>
      </c>
      <c r="I109" s="316">
        <f t="shared" si="7"/>
        <v>10.78283122019309</v>
      </c>
      <c r="J109" s="316">
        <f t="shared" si="7"/>
        <v>11.620332674188671</v>
      </c>
      <c r="K109" s="316">
        <f t="shared" si="7"/>
        <v>12.457834128184251</v>
      </c>
    </row>
    <row r="110" spans="1:11" x14ac:dyDescent="0.35">
      <c r="A110">
        <v>512</v>
      </c>
      <c r="B110" t="s">
        <v>119</v>
      </c>
      <c r="C110">
        <f>VLOOKUP($B110,'[1]taakstelling  2017 2018 2019'!$B$1:$F$389,3,FALSE)</f>
        <v>8</v>
      </c>
      <c r="D110">
        <f>VLOOKUP($B110,'[1]taakstelling  2017 2018 2019'!$B$2:$F$389,4,FALSE)</f>
        <v>15</v>
      </c>
      <c r="E110">
        <f>VLOOKUP($B110,'[1]taakstelling  2017 2018 2019'!$B$2:$F$389,5,FALSE)</f>
        <v>20</v>
      </c>
      <c r="F110">
        <v>25</v>
      </c>
      <c r="G110">
        <v>28</v>
      </c>
      <c r="H110" s="316">
        <f t="shared" si="7"/>
        <v>30.941025939281143</v>
      </c>
      <c r="I110" s="316">
        <f t="shared" si="7"/>
        <v>33.546586018378505</v>
      </c>
      <c r="J110" s="316">
        <f t="shared" si="7"/>
        <v>36.152146097475864</v>
      </c>
      <c r="K110" s="316">
        <f t="shared" si="7"/>
        <v>38.757706176573222</v>
      </c>
    </row>
    <row r="111" spans="1:11" x14ac:dyDescent="0.35">
      <c r="A111">
        <v>513</v>
      </c>
      <c r="B111" t="s">
        <v>120</v>
      </c>
      <c r="C111">
        <f>VLOOKUP($B111,'[1]taakstelling  2017 2018 2019'!$B$1:$F$389,3,FALSE)</f>
        <v>19</v>
      </c>
      <c r="D111">
        <f>VLOOKUP($B111,'[1]taakstelling  2017 2018 2019'!$B$2:$F$389,4,FALSE)</f>
        <v>36</v>
      </c>
      <c r="E111">
        <f>VLOOKUP($B111,'[1]taakstelling  2017 2018 2019'!$B$2:$F$389,5,FALSE)</f>
        <v>47</v>
      </c>
      <c r="F111">
        <v>58</v>
      </c>
      <c r="G111">
        <v>67</v>
      </c>
      <c r="H111" s="316">
        <f t="shared" si="7"/>
        <v>74.03745492613703</v>
      </c>
      <c r="I111" s="316">
        <f t="shared" si="7"/>
        <v>80.272187972548565</v>
      </c>
      <c r="J111" s="316">
        <f t="shared" si="7"/>
        <v>86.506921018960099</v>
      </c>
      <c r="K111" s="316">
        <f t="shared" si="7"/>
        <v>92.741654065371634</v>
      </c>
    </row>
    <row r="113" spans="1:11" x14ac:dyDescent="0.35">
      <c r="A113">
        <v>14</v>
      </c>
      <c r="B113" t="s">
        <v>122</v>
      </c>
      <c r="C113">
        <f>VLOOKUP($B113,'[1]taakstelling  2017 2018 2019'!$B$2:$F$389,3,FALSE)+'[1]taakstelling  2017 2018 2019'!D311+'[1]taakstelling  2017 2018 2019'!D135</f>
        <v>46</v>
      </c>
      <c r="D113">
        <f>VLOOKUP($B113,'[1]taakstelling  2017 2018 2019'!$B$2:$F$389,4,FALSE)+'[1]taakstelling  2017 2018 2019'!E311+'[1]taakstelling  2017 2018 2019'!E135</f>
        <v>73</v>
      </c>
      <c r="E113">
        <f>VLOOKUP($B113,'[1]taakstelling  2017 2018 2019'!$B$2:$F$389,5,FALSE)+'[1]taakstelling  2017 2018 2019'!F311+'[1]taakstelling  2017 2018 2019'!F135</f>
        <v>96</v>
      </c>
      <c r="F113">
        <v>119</v>
      </c>
      <c r="G113">
        <v>138</v>
      </c>
      <c r="H113" s="316">
        <f t="shared" si="7"/>
        <v>152.4950564150285</v>
      </c>
      <c r="I113" s="316">
        <f t="shared" si="7"/>
        <v>165.33674537629406</v>
      </c>
      <c r="J113" s="316">
        <f t="shared" si="7"/>
        <v>178.17843433755959</v>
      </c>
      <c r="K113" s="316">
        <f t="shared" si="7"/>
        <v>191.02012329882515</v>
      </c>
    </row>
    <row r="114" spans="1:11" x14ac:dyDescent="0.35">
      <c r="A114">
        <v>1729</v>
      </c>
      <c r="B114" t="s">
        <v>123</v>
      </c>
      <c r="C114">
        <f>VLOOKUP($B114,'[1]taakstelling  2017 2018 2019'!$B$1:$F$389,3,FALSE)</f>
        <v>1</v>
      </c>
      <c r="D114">
        <f>VLOOKUP($B114,'[1]taakstelling  2017 2018 2019'!$B$2:$F$389,4,FALSE)</f>
        <v>1</v>
      </c>
      <c r="E114">
        <f>VLOOKUP($B114,'[1]taakstelling  2017 2018 2019'!$B$2:$F$389,5,FALSE)</f>
        <v>2</v>
      </c>
      <c r="F114">
        <v>2</v>
      </c>
      <c r="G114">
        <v>2</v>
      </c>
      <c r="H114" s="316">
        <f t="shared" si="7"/>
        <v>2.2100732813772246</v>
      </c>
      <c r="I114" s="316">
        <f t="shared" si="7"/>
        <v>2.3961847155984644</v>
      </c>
      <c r="J114" s="316">
        <f t="shared" si="7"/>
        <v>2.5822961498197046</v>
      </c>
      <c r="K114" s="316">
        <f t="shared" si="7"/>
        <v>2.7684075840409448</v>
      </c>
    </row>
    <row r="115" spans="1:11" x14ac:dyDescent="0.35">
      <c r="A115">
        <v>158</v>
      </c>
      <c r="B115" t="s">
        <v>124</v>
      </c>
      <c r="C115">
        <f>VLOOKUP($B115,'[1]taakstelling  2017 2018 2019'!$B$1:$F$389,3,FALSE)</f>
        <v>3</v>
      </c>
      <c r="D115">
        <f>VLOOKUP($B115,'[1]taakstelling  2017 2018 2019'!$B$2:$F$389,4,FALSE)</f>
        <v>5</v>
      </c>
      <c r="E115">
        <f>VLOOKUP($B115,'[1]taakstelling  2017 2018 2019'!$B$2:$F$389,5,FALSE)</f>
        <v>6</v>
      </c>
      <c r="F115">
        <v>8</v>
      </c>
      <c r="G115">
        <v>9</v>
      </c>
      <c r="H115" s="316">
        <f t="shared" si="7"/>
        <v>9.9453297661975117</v>
      </c>
      <c r="I115" s="316">
        <f t="shared" si="7"/>
        <v>10.78283122019309</v>
      </c>
      <c r="J115" s="316">
        <f t="shared" si="7"/>
        <v>11.620332674188671</v>
      </c>
      <c r="K115" s="316">
        <f t="shared" si="7"/>
        <v>12.457834128184251</v>
      </c>
    </row>
    <row r="116" spans="1:11" x14ac:dyDescent="0.35">
      <c r="A116">
        <v>392</v>
      </c>
      <c r="B116" t="s">
        <v>126</v>
      </c>
      <c r="C116">
        <f>VLOOKUP($B116,'[1]taakstelling  2017 2018 2019'!$B$1:$F$389,3,FALSE)</f>
        <v>25</v>
      </c>
      <c r="D116">
        <f>VLOOKUP($B116,'[1]taakstelling  2017 2018 2019'!$B$2:$F$389,4,FALSE)</f>
        <v>40</v>
      </c>
      <c r="E116">
        <f>VLOOKUP($B116,'[1]taakstelling  2017 2018 2019'!$B$2:$F$389,5,FALSE)</f>
        <v>52</v>
      </c>
      <c r="F116">
        <v>65</v>
      </c>
      <c r="G116">
        <v>75</v>
      </c>
      <c r="H116" s="316">
        <f t="shared" ref="H116:K131" si="8">+G116/G$355*H$355</f>
        <v>82.877748051645924</v>
      </c>
      <c r="I116" s="316">
        <f t="shared" si="8"/>
        <v>89.856926834942414</v>
      </c>
      <c r="J116" s="316">
        <f t="shared" si="8"/>
        <v>96.836105618238918</v>
      </c>
      <c r="K116" s="316">
        <f t="shared" si="8"/>
        <v>103.81528440153541</v>
      </c>
    </row>
    <row r="117" spans="1:11" x14ac:dyDescent="0.35">
      <c r="A117">
        <v>394</v>
      </c>
      <c r="B117" t="s">
        <v>127</v>
      </c>
      <c r="C117">
        <f>VLOOKUP($B117,'[1]taakstelling  2017 2018 2019'!$B$1:$F$389,3,FALSE)</f>
        <v>13</v>
      </c>
      <c r="D117">
        <f>VLOOKUP($B117,'[1]taakstelling  2017 2018 2019'!$B$2:$F$389,4,FALSE)+'[1]taakstelling  2017 2018 2019'!E129</f>
        <v>21</v>
      </c>
      <c r="E117">
        <f>VLOOKUP($B117,'[1]taakstelling  2017 2018 2019'!$B$2:$F$389,5,FALSE)</f>
        <v>27</v>
      </c>
      <c r="F117">
        <v>34</v>
      </c>
      <c r="G117">
        <v>39</v>
      </c>
      <c r="H117" s="316">
        <f t="shared" si="8"/>
        <v>43.096428986855884</v>
      </c>
      <c r="I117" s="316">
        <f t="shared" si="8"/>
        <v>46.72560195417006</v>
      </c>
      <c r="J117" s="316">
        <f t="shared" si="8"/>
        <v>50.354774921484243</v>
      </c>
      <c r="K117" s="316">
        <f t="shared" si="8"/>
        <v>53.983947888798419</v>
      </c>
    </row>
    <row r="118" spans="1:11" x14ac:dyDescent="0.35">
      <c r="A118">
        <v>1655</v>
      </c>
      <c r="B118" t="s">
        <v>128</v>
      </c>
      <c r="C118">
        <f>VLOOKUP($B118,'[1]taakstelling  2017 2018 2019'!$B$1:$F$389,3,FALSE)</f>
        <v>4</v>
      </c>
      <c r="D118">
        <f>VLOOKUP($B118,'[1]taakstelling  2017 2018 2019'!$B$2:$F$389,4,FALSE)</f>
        <v>8</v>
      </c>
      <c r="E118">
        <f>VLOOKUP($B118,'[1]taakstelling  2017 2018 2019'!$B$2:$F$389,5,FALSE)</f>
        <v>11</v>
      </c>
      <c r="F118">
        <v>13</v>
      </c>
      <c r="G118">
        <v>15</v>
      </c>
      <c r="H118" s="316">
        <f t="shared" si="8"/>
        <v>16.575549610329183</v>
      </c>
      <c r="I118" s="316">
        <f t="shared" si="8"/>
        <v>17.971385366988482</v>
      </c>
      <c r="J118" s="316">
        <f t="shared" si="8"/>
        <v>19.367221123647781</v>
      </c>
      <c r="K118" s="316">
        <f t="shared" si="8"/>
        <v>20.763056880307083</v>
      </c>
    </row>
    <row r="119" spans="1:11" x14ac:dyDescent="0.35">
      <c r="A119">
        <v>160</v>
      </c>
      <c r="B119" t="s">
        <v>129</v>
      </c>
      <c r="C119">
        <f>VLOOKUP($B119,'[1]taakstelling  2017 2018 2019'!$B$1:$F$389,3,FALSE)</f>
        <v>9</v>
      </c>
      <c r="D119">
        <f>VLOOKUP($B119,'[1]taakstelling  2017 2018 2019'!$B$2:$F$389,4,FALSE)</f>
        <v>16</v>
      </c>
      <c r="E119">
        <f>VLOOKUP($B119,'[1]taakstelling  2017 2018 2019'!$B$2:$F$389,5,FALSE)</f>
        <v>21</v>
      </c>
      <c r="F119">
        <v>26</v>
      </c>
      <c r="G119">
        <v>30</v>
      </c>
      <c r="H119" s="316">
        <f t="shared" si="8"/>
        <v>33.151099220658367</v>
      </c>
      <c r="I119" s="316">
        <f t="shared" si="8"/>
        <v>35.942770733976964</v>
      </c>
      <c r="J119" s="316">
        <f t="shared" si="8"/>
        <v>38.734442247295561</v>
      </c>
      <c r="K119" s="316">
        <f t="shared" si="8"/>
        <v>41.526113760614166</v>
      </c>
    </row>
    <row r="120" spans="1:11" x14ac:dyDescent="0.35">
      <c r="A120">
        <v>243</v>
      </c>
      <c r="B120" t="s">
        <v>130</v>
      </c>
      <c r="C120">
        <f>VLOOKUP($B120,'[1]taakstelling  2017 2018 2019'!$B$1:$F$389,3,FALSE)</f>
        <v>6</v>
      </c>
      <c r="D120">
        <f>VLOOKUP($B120,'[1]taakstelling  2017 2018 2019'!$B$2:$F$389,4,FALSE)</f>
        <v>12</v>
      </c>
      <c r="E120">
        <f>VLOOKUP($B120,'[1]taakstelling  2017 2018 2019'!$B$2:$F$389,5,FALSE)</f>
        <v>16</v>
      </c>
      <c r="F120">
        <v>20</v>
      </c>
      <c r="G120">
        <v>23</v>
      </c>
      <c r="H120" s="316">
        <f t="shared" si="8"/>
        <v>25.415842735838083</v>
      </c>
      <c r="I120" s="316">
        <f t="shared" si="8"/>
        <v>27.556124229382345</v>
      </c>
      <c r="J120" s="316">
        <f t="shared" si="8"/>
        <v>29.696405722926603</v>
      </c>
      <c r="K120" s="316">
        <f t="shared" si="8"/>
        <v>31.836687216470864</v>
      </c>
    </row>
    <row r="121" spans="1:11" x14ac:dyDescent="0.35">
      <c r="A121">
        <v>523</v>
      </c>
      <c r="B121" t="s">
        <v>131</v>
      </c>
      <c r="C121">
        <f>VLOOKUP($B121,'[1]taakstelling  2017 2018 2019'!$B$1:$F$389,3,FALSE)</f>
        <v>2</v>
      </c>
      <c r="D121">
        <f>VLOOKUP($B121,'[1]taakstelling  2017 2018 2019'!$B$2:$F$389,4,FALSE)</f>
        <v>4</v>
      </c>
      <c r="E121">
        <f>VLOOKUP($B121,'[1]taakstelling  2017 2018 2019'!$B$2:$F$389,5,FALSE)</f>
        <v>5</v>
      </c>
      <c r="F121">
        <v>6</v>
      </c>
      <c r="G121">
        <v>7</v>
      </c>
      <c r="H121" s="316">
        <f t="shared" si="8"/>
        <v>7.7352564848202858</v>
      </c>
      <c r="I121" s="316">
        <f t="shared" si="8"/>
        <v>8.3866465045946264</v>
      </c>
      <c r="J121" s="316">
        <f t="shared" si="8"/>
        <v>9.038036524368966</v>
      </c>
      <c r="K121" s="316">
        <f t="shared" si="8"/>
        <v>9.6894265441433056</v>
      </c>
    </row>
    <row r="122" spans="1:11" x14ac:dyDescent="0.35">
      <c r="A122">
        <v>72</v>
      </c>
      <c r="B122" t="s">
        <v>132</v>
      </c>
      <c r="C122">
        <f>VLOOKUP($B122,'[1]taakstelling  2017 2018 2019'!$B$1:$F$389,3,FALSE)</f>
        <v>2</v>
      </c>
      <c r="D122">
        <f>VLOOKUP($B122,'[1]taakstelling  2017 2018 2019'!$B$2:$F$389,4,FALSE)</f>
        <v>4</v>
      </c>
      <c r="E122">
        <f>VLOOKUP($B122,'[1]taakstelling  2017 2018 2019'!$B$2:$F$389,5,FALSE)</f>
        <v>5</v>
      </c>
      <c r="F122">
        <v>6</v>
      </c>
      <c r="G122">
        <v>7</v>
      </c>
      <c r="H122" s="316">
        <f t="shared" si="8"/>
        <v>7.7352564848202858</v>
      </c>
      <c r="I122" s="316">
        <f t="shared" si="8"/>
        <v>8.3866465045946264</v>
      </c>
      <c r="J122" s="316">
        <f t="shared" si="8"/>
        <v>9.038036524368966</v>
      </c>
      <c r="K122" s="316">
        <f t="shared" si="8"/>
        <v>9.6894265441433056</v>
      </c>
    </row>
    <row r="123" spans="1:11" x14ac:dyDescent="0.35">
      <c r="A123">
        <v>244</v>
      </c>
      <c r="B123" t="s">
        <v>133</v>
      </c>
      <c r="C123">
        <f>VLOOKUP($B123,'[1]taakstelling  2017 2018 2019'!$B$1:$F$389,3,FALSE)</f>
        <v>1</v>
      </c>
      <c r="D123">
        <f>VLOOKUP($B123,'[1]taakstelling  2017 2018 2019'!$B$2:$F$389,4,FALSE)</f>
        <v>2</v>
      </c>
      <c r="E123">
        <f>VLOOKUP($B123,'[1]taakstelling  2017 2018 2019'!$B$2:$F$389,5,FALSE)</f>
        <v>2</v>
      </c>
      <c r="F123">
        <v>3</v>
      </c>
      <c r="G123">
        <v>3</v>
      </c>
      <c r="H123" s="316">
        <f t="shared" si="8"/>
        <v>3.3151099220658367</v>
      </c>
      <c r="I123" s="316">
        <f t="shared" si="8"/>
        <v>3.5942770733976968</v>
      </c>
      <c r="J123" s="316">
        <f t="shared" si="8"/>
        <v>3.8734442247295564</v>
      </c>
      <c r="K123" s="316">
        <f t="shared" si="8"/>
        <v>4.1526113760614169</v>
      </c>
    </row>
    <row r="124" spans="1:11" x14ac:dyDescent="0.35">
      <c r="A124">
        <v>396</v>
      </c>
      <c r="B124" t="s">
        <v>134</v>
      </c>
      <c r="C124">
        <f>VLOOKUP($B124,'[1]taakstelling  2017 2018 2019'!$B$1:$F$389,3,FALSE)</f>
        <v>5</v>
      </c>
      <c r="D124">
        <f>VLOOKUP($B124,'[1]taakstelling  2017 2018 2019'!$B$2:$F$389,4,FALSE)</f>
        <v>10</v>
      </c>
      <c r="E124">
        <f>VLOOKUP($B124,'[1]taakstelling  2017 2018 2019'!$B$2:$F$389,5,FALSE)</f>
        <v>12</v>
      </c>
      <c r="F124">
        <v>15</v>
      </c>
      <c r="G124">
        <v>18</v>
      </c>
      <c r="H124" s="316">
        <f t="shared" si="8"/>
        <v>19.890659532395023</v>
      </c>
      <c r="I124" s="316">
        <f t="shared" si="8"/>
        <v>21.565662440386181</v>
      </c>
      <c r="J124" s="316">
        <f t="shared" si="8"/>
        <v>23.240665348377341</v>
      </c>
      <c r="K124" s="316">
        <f t="shared" si="8"/>
        <v>24.915668256368502</v>
      </c>
    </row>
    <row r="125" spans="1:11" x14ac:dyDescent="0.35">
      <c r="A125">
        <v>397</v>
      </c>
      <c r="B125" t="s">
        <v>135</v>
      </c>
      <c r="C125">
        <f>VLOOKUP($B125,'[1]taakstelling  2017 2018 2019'!$B$1:$F$389,3,FALSE)</f>
        <v>2</v>
      </c>
      <c r="D125">
        <f>VLOOKUP($B125,'[1]taakstelling  2017 2018 2019'!$B$2:$F$389,4,FALSE)</f>
        <v>4</v>
      </c>
      <c r="E125">
        <f>VLOOKUP($B125,'[1]taakstelling  2017 2018 2019'!$B$2:$F$389,5,FALSE)</f>
        <v>5</v>
      </c>
      <c r="F125">
        <v>6</v>
      </c>
      <c r="G125">
        <v>7</v>
      </c>
      <c r="H125" s="316">
        <f t="shared" si="8"/>
        <v>7.7352564848202858</v>
      </c>
      <c r="I125" s="316">
        <f t="shared" si="8"/>
        <v>8.3866465045946264</v>
      </c>
      <c r="J125" s="316">
        <f t="shared" si="8"/>
        <v>9.038036524368966</v>
      </c>
      <c r="K125" s="316">
        <f t="shared" si="8"/>
        <v>9.6894265441433056</v>
      </c>
    </row>
    <row r="126" spans="1:11" x14ac:dyDescent="0.35">
      <c r="A126">
        <v>246</v>
      </c>
      <c r="B126" t="s">
        <v>136</v>
      </c>
      <c r="C126">
        <f>VLOOKUP($B126,'[1]taakstelling  2017 2018 2019'!$B$1:$F$389,3,FALSE)</f>
        <v>3</v>
      </c>
      <c r="D126">
        <f>VLOOKUP($B126,'[1]taakstelling  2017 2018 2019'!$B$2:$F$389,4,FALSE)</f>
        <v>5</v>
      </c>
      <c r="E126">
        <f>VLOOKUP($B126,'[1]taakstelling  2017 2018 2019'!$B$2:$F$389,5,FALSE)</f>
        <v>6</v>
      </c>
      <c r="F126">
        <v>8</v>
      </c>
      <c r="G126">
        <v>9</v>
      </c>
      <c r="H126" s="316">
        <f t="shared" si="8"/>
        <v>9.9453297661975117</v>
      </c>
      <c r="I126" s="316">
        <f t="shared" si="8"/>
        <v>10.78283122019309</v>
      </c>
      <c r="J126" s="316">
        <f t="shared" si="8"/>
        <v>11.620332674188671</v>
      </c>
      <c r="K126" s="316">
        <f t="shared" si="8"/>
        <v>12.457834128184251</v>
      </c>
    </row>
    <row r="127" spans="1:11" x14ac:dyDescent="0.35">
      <c r="A127">
        <v>74</v>
      </c>
      <c r="B127" t="s">
        <v>137</v>
      </c>
      <c r="C127">
        <f>VLOOKUP($B127,'[1]taakstelling  2017 2018 2019'!$B$1:$F$389,3,FALSE)</f>
        <v>4</v>
      </c>
      <c r="D127">
        <f>VLOOKUP($B127,'[1]taakstelling  2017 2018 2019'!$B$2:$F$389,4,FALSE)</f>
        <v>7</v>
      </c>
      <c r="E127">
        <f>VLOOKUP($B127,'[1]taakstelling  2017 2018 2019'!$B$2:$F$389,5,FALSE)</f>
        <v>9</v>
      </c>
      <c r="F127">
        <v>11</v>
      </c>
      <c r="G127">
        <v>13</v>
      </c>
      <c r="H127" s="316">
        <f t="shared" si="8"/>
        <v>14.36547632895196</v>
      </c>
      <c r="I127" s="316">
        <f t="shared" si="8"/>
        <v>15.57520065139002</v>
      </c>
      <c r="J127" s="316">
        <f t="shared" si="8"/>
        <v>16.78492497382808</v>
      </c>
      <c r="K127" s="316">
        <f t="shared" si="8"/>
        <v>17.99464929626614</v>
      </c>
    </row>
    <row r="129" spans="1:11" x14ac:dyDescent="0.35">
      <c r="A129">
        <v>917</v>
      </c>
      <c r="B129" t="s">
        <v>139</v>
      </c>
      <c r="C129">
        <f>VLOOKUP($B129,'[1]taakstelling  2017 2018 2019'!$B$1:$F$389,3,FALSE)</f>
        <v>25</v>
      </c>
      <c r="D129">
        <f>VLOOKUP($B129,'[1]taakstelling  2017 2018 2019'!$B$2:$F$389,4,FALSE)</f>
        <v>41</v>
      </c>
      <c r="E129">
        <f>VLOOKUP($B129,'[1]taakstelling  2017 2018 2019'!$B$2:$F$389,5,FALSE)</f>
        <v>54</v>
      </c>
      <c r="F129">
        <v>66</v>
      </c>
      <c r="G129">
        <v>77</v>
      </c>
      <c r="H129" s="316">
        <f t="shared" si="8"/>
        <v>85.087821333023157</v>
      </c>
      <c r="I129" s="316">
        <f t="shared" si="8"/>
        <v>92.253111550540893</v>
      </c>
      <c r="J129" s="316">
        <f t="shared" si="8"/>
        <v>99.418401768058629</v>
      </c>
      <c r="K129" s="316">
        <f t="shared" si="8"/>
        <v>106.58369198557637</v>
      </c>
    </row>
    <row r="130" spans="1:11" x14ac:dyDescent="0.35">
      <c r="A130">
        <v>1658</v>
      </c>
      <c r="B130" t="s">
        <v>140</v>
      </c>
      <c r="C130">
        <f>VLOOKUP($B130,'[1]taakstelling  2017 2018 2019'!$B$1:$F$389,3,FALSE)</f>
        <v>1</v>
      </c>
      <c r="D130">
        <f>VLOOKUP($B130,'[1]taakstelling  2017 2018 2019'!$B$2:$F$389,4,FALSE)</f>
        <v>2</v>
      </c>
      <c r="E130">
        <f>VLOOKUP($B130,'[1]taakstelling  2017 2018 2019'!$B$2:$F$389,5,FALSE)</f>
        <v>3</v>
      </c>
      <c r="F130">
        <v>3</v>
      </c>
      <c r="G130">
        <v>4</v>
      </c>
      <c r="H130" s="316">
        <f t="shared" si="8"/>
        <v>4.4201465627544492</v>
      </c>
      <c r="I130" s="316">
        <f t="shared" si="8"/>
        <v>4.7923694311969287</v>
      </c>
      <c r="J130" s="316">
        <f t="shared" si="8"/>
        <v>5.1645922996394091</v>
      </c>
      <c r="K130" s="316">
        <f t="shared" si="8"/>
        <v>5.5368151680818896</v>
      </c>
    </row>
    <row r="131" spans="1:11" x14ac:dyDescent="0.35">
      <c r="A131">
        <v>399</v>
      </c>
      <c r="B131" t="s">
        <v>141</v>
      </c>
      <c r="C131">
        <f>VLOOKUP($B131,'[1]taakstelling  2017 2018 2019'!$B$1:$F$389,3,FALSE)</f>
        <v>4</v>
      </c>
      <c r="D131">
        <f>VLOOKUP($B131,'[1]taakstelling  2017 2018 2019'!$B$2:$F$389,4,FALSE)</f>
        <v>6</v>
      </c>
      <c r="E131">
        <f>VLOOKUP($B131,'[1]taakstelling  2017 2018 2019'!$B$2:$F$389,5,FALSE)</f>
        <v>8</v>
      </c>
      <c r="F131">
        <v>10</v>
      </c>
      <c r="G131">
        <v>12</v>
      </c>
      <c r="H131" s="316">
        <f t="shared" si="8"/>
        <v>13.260439688263347</v>
      </c>
      <c r="I131" s="316">
        <f t="shared" si="8"/>
        <v>14.377108293590787</v>
      </c>
      <c r="J131" s="316">
        <f t="shared" si="8"/>
        <v>15.493776898918226</v>
      </c>
      <c r="K131" s="316">
        <f t="shared" si="8"/>
        <v>16.610445504245668</v>
      </c>
    </row>
    <row r="132" spans="1:11" x14ac:dyDescent="0.35">
      <c r="A132">
        <v>163</v>
      </c>
      <c r="B132" t="s">
        <v>142</v>
      </c>
      <c r="C132">
        <f>VLOOKUP($B132,'[1]taakstelling  2017 2018 2019'!$B$1:$F$389,3,FALSE)</f>
        <v>4</v>
      </c>
      <c r="D132">
        <f>VLOOKUP($B132,'[1]taakstelling  2017 2018 2019'!$B$2:$F$389,4,FALSE)</f>
        <v>6</v>
      </c>
      <c r="E132">
        <f>VLOOKUP($B132,'[1]taakstelling  2017 2018 2019'!$B$2:$F$389,5,FALSE)</f>
        <v>8</v>
      </c>
      <c r="F132">
        <v>10</v>
      </c>
      <c r="G132">
        <v>11</v>
      </c>
      <c r="H132" s="316">
        <f t="shared" ref="H132:K147" si="9">+G132/G$355*H$355</f>
        <v>12.155403047574735</v>
      </c>
      <c r="I132" s="316">
        <f t="shared" si="9"/>
        <v>13.179015935791556</v>
      </c>
      <c r="J132" s="316">
        <f t="shared" si="9"/>
        <v>14.202628824008375</v>
      </c>
      <c r="K132" s="316">
        <f t="shared" si="9"/>
        <v>15.226241712225196</v>
      </c>
    </row>
    <row r="133" spans="1:11" x14ac:dyDescent="0.35">
      <c r="A133">
        <v>530</v>
      </c>
      <c r="B133" t="s">
        <v>143</v>
      </c>
      <c r="C133">
        <f>VLOOKUP($B133,'[1]taakstelling  2017 2018 2019'!$B$1:$F$389,3,FALSE)</f>
        <v>5</v>
      </c>
      <c r="D133">
        <f>VLOOKUP($B133,'[1]taakstelling  2017 2018 2019'!$B$2:$F$389,4,FALSE)</f>
        <v>7</v>
      </c>
      <c r="E133">
        <f>VLOOKUP($B133,'[1]taakstelling  2017 2018 2019'!$B$2:$F$389,5,FALSE)</f>
        <v>9</v>
      </c>
      <c r="F133">
        <v>11</v>
      </c>
      <c r="G133">
        <v>13</v>
      </c>
      <c r="H133" s="316">
        <f t="shared" si="9"/>
        <v>14.36547632895196</v>
      </c>
      <c r="I133" s="316">
        <f t="shared" si="9"/>
        <v>15.57520065139002</v>
      </c>
      <c r="J133" s="316">
        <f t="shared" si="9"/>
        <v>16.78492497382808</v>
      </c>
      <c r="K133" s="316">
        <f t="shared" si="9"/>
        <v>17.99464929626614</v>
      </c>
    </row>
    <row r="134" spans="1:11" x14ac:dyDescent="0.35">
      <c r="A134">
        <v>794</v>
      </c>
      <c r="B134" t="s">
        <v>144</v>
      </c>
      <c r="C134">
        <f>VLOOKUP($B134,'[1]taakstelling  2017 2018 2019'!$B$1:$F$389,3,FALSE)</f>
        <v>21</v>
      </c>
      <c r="D134">
        <f>VLOOKUP($B134,'[1]taakstelling  2017 2018 2019'!$B$2:$F$389,4,FALSE)</f>
        <v>47</v>
      </c>
      <c r="E134">
        <f>VLOOKUP($B134,'[1]taakstelling  2017 2018 2019'!$B$2:$F$389,5,FALSE)</f>
        <v>61</v>
      </c>
      <c r="F134">
        <v>75</v>
      </c>
      <c r="G134">
        <v>88</v>
      </c>
      <c r="H134" s="316">
        <f t="shared" si="9"/>
        <v>97.24322438059788</v>
      </c>
      <c r="I134" s="316">
        <f t="shared" si="9"/>
        <v>105.43212748633245</v>
      </c>
      <c r="J134" s="316">
        <f t="shared" si="9"/>
        <v>113.621030592067</v>
      </c>
      <c r="K134" s="316">
        <f t="shared" si="9"/>
        <v>121.80993369780157</v>
      </c>
    </row>
    <row r="135" spans="1:11" x14ac:dyDescent="0.35">
      <c r="A135">
        <v>531</v>
      </c>
      <c r="B135" t="s">
        <v>145</v>
      </c>
      <c r="C135">
        <f>VLOOKUP($B135,'[1]taakstelling  2017 2018 2019'!$B$1:$F$389,3,FALSE)</f>
        <v>3</v>
      </c>
      <c r="D135">
        <f>VLOOKUP($B135,'[1]taakstelling  2017 2018 2019'!$B$2:$F$389,4,FALSE)</f>
        <v>4</v>
      </c>
      <c r="E135">
        <f>VLOOKUP($B135,'[1]taakstelling  2017 2018 2019'!$B$2:$F$389,5,FALSE)</f>
        <v>6</v>
      </c>
      <c r="F135">
        <v>7</v>
      </c>
      <c r="G135">
        <v>8</v>
      </c>
      <c r="H135" s="316">
        <f t="shared" si="9"/>
        <v>8.8402931255088983</v>
      </c>
      <c r="I135" s="316">
        <f t="shared" si="9"/>
        <v>9.5847388623938574</v>
      </c>
      <c r="J135" s="316">
        <f t="shared" si="9"/>
        <v>10.329184599278818</v>
      </c>
      <c r="K135" s="316">
        <f t="shared" si="9"/>
        <v>11.073630336163779</v>
      </c>
    </row>
    <row r="136" spans="1:11" x14ac:dyDescent="0.35">
      <c r="A136">
        <v>164</v>
      </c>
      <c r="B136" t="s">
        <v>146</v>
      </c>
      <c r="C136">
        <f>VLOOKUP($B136,'[1]taakstelling  2017 2018 2019'!$B$1:$F$389,3,FALSE)</f>
        <v>14</v>
      </c>
      <c r="D136">
        <f>VLOOKUP($B136,'[1]taakstelling  2017 2018 2019'!$B$2:$F$389,4,FALSE)</f>
        <v>26</v>
      </c>
      <c r="E136">
        <f>VLOOKUP($B136,'[1]taakstelling  2017 2018 2019'!$B$2:$F$389,5,FALSE)</f>
        <v>34</v>
      </c>
      <c r="F136">
        <v>42</v>
      </c>
      <c r="G136">
        <v>48</v>
      </c>
      <c r="H136" s="316">
        <f t="shared" si="9"/>
        <v>53.041758753053386</v>
      </c>
      <c r="I136" s="316">
        <f t="shared" si="9"/>
        <v>57.508433174363148</v>
      </c>
      <c r="J136" s="316">
        <f t="shared" si="9"/>
        <v>61.975107595672903</v>
      </c>
      <c r="K136" s="316">
        <f t="shared" si="9"/>
        <v>66.441782016982671</v>
      </c>
    </row>
    <row r="137" spans="1:11" x14ac:dyDescent="0.35">
      <c r="A137">
        <v>1966</v>
      </c>
      <c r="B137" t="s">
        <v>147</v>
      </c>
      <c r="C137">
        <f>+'[1]taakstelling  2017 2018 2019'!D27+'[1]taakstelling  2017 2018 2019'!D72+'[1]taakstelling  2017 2018 2019'!D96+'[1]taakstelling  2017 2018 2019'!D367</f>
        <v>10</v>
      </c>
      <c r="D137">
        <f>+'[1]taakstelling  2017 2018 2019'!E27+'[1]taakstelling  2017 2018 2019'!E72+'[1]taakstelling  2017 2018 2019'!E96+'[1]taakstelling  2017 2018 2019'!E367</f>
        <v>18</v>
      </c>
      <c r="E137">
        <f>+'[1]taakstelling  2017 2018 2019'!F27+'[1]taakstelling  2017 2018 2019'!F72+'[1]taakstelling  2017 2018 2019'!F96+'[1]taakstelling  2017 2018 2019'!F367</f>
        <v>23</v>
      </c>
      <c r="F137">
        <v>29</v>
      </c>
      <c r="G137">
        <v>34</v>
      </c>
      <c r="H137" s="316">
        <f t="shared" si="9"/>
        <v>37.57124578341282</v>
      </c>
      <c r="I137" s="316">
        <f t="shared" si="9"/>
        <v>40.735140165173895</v>
      </c>
      <c r="J137" s="316">
        <f t="shared" si="9"/>
        <v>43.899034546934978</v>
      </c>
      <c r="K137" s="316">
        <f t="shared" si="9"/>
        <v>47.06292892869606</v>
      </c>
    </row>
    <row r="138" spans="1:11" x14ac:dyDescent="0.35">
      <c r="A138">
        <v>252</v>
      </c>
      <c r="B138" t="s">
        <v>148</v>
      </c>
      <c r="C138">
        <f>VLOOKUP($B138,'[1]taakstelling  2017 2018 2019'!$B$1:$F$389,3,FALSE)</f>
        <v>2</v>
      </c>
      <c r="D138">
        <f>VLOOKUP($B138,'[1]taakstelling  2017 2018 2019'!$B$2:$F$389,4,FALSE)</f>
        <v>3</v>
      </c>
      <c r="E138">
        <f>VLOOKUP($B138,'[1]taakstelling  2017 2018 2019'!$B$2:$F$389,5,FALSE)</f>
        <v>4</v>
      </c>
      <c r="F138">
        <v>5</v>
      </c>
      <c r="G138">
        <v>6</v>
      </c>
      <c r="H138" s="316">
        <f t="shared" si="9"/>
        <v>6.6302198441316733</v>
      </c>
      <c r="I138" s="316">
        <f t="shared" si="9"/>
        <v>7.1885541467953935</v>
      </c>
      <c r="J138" s="316">
        <f t="shared" si="9"/>
        <v>7.7468884494591128</v>
      </c>
      <c r="K138" s="316">
        <f t="shared" si="9"/>
        <v>8.3052227521228339</v>
      </c>
    </row>
    <row r="139" spans="1:11" x14ac:dyDescent="0.35">
      <c r="A139">
        <v>797</v>
      </c>
      <c r="B139" t="s">
        <v>149</v>
      </c>
      <c r="C139">
        <f>VLOOKUP($B139,'[1]taakstelling  2017 2018 2019'!$B$1:$F$389,3,FALSE)</f>
        <v>5</v>
      </c>
      <c r="D139">
        <f>VLOOKUP($B139,'[1]taakstelling  2017 2018 2019'!$B$2:$F$389,4,FALSE)</f>
        <v>10</v>
      </c>
      <c r="E139">
        <f>VLOOKUP($B139,'[1]taakstelling  2017 2018 2019'!$B$2:$F$389,5,FALSE)</f>
        <v>13</v>
      </c>
      <c r="F139">
        <v>16</v>
      </c>
      <c r="G139">
        <v>19</v>
      </c>
      <c r="H139" s="316">
        <f t="shared" si="9"/>
        <v>20.995696173083637</v>
      </c>
      <c r="I139" s="316">
        <f t="shared" si="9"/>
        <v>22.763754798185417</v>
      </c>
      <c r="J139" s="316">
        <f t="shared" si="9"/>
        <v>24.531813423287197</v>
      </c>
      <c r="K139" s="316">
        <f t="shared" si="9"/>
        <v>26.299872048388973</v>
      </c>
    </row>
    <row r="140" spans="1:11" x14ac:dyDescent="0.35">
      <c r="A140">
        <v>534</v>
      </c>
      <c r="B140" t="s">
        <v>150</v>
      </c>
      <c r="C140">
        <f>VLOOKUP($B140,'[1]taakstelling  2017 2018 2019'!$B$1:$F$389,3,FALSE)</f>
        <v>3</v>
      </c>
      <c r="D140">
        <f>VLOOKUP($B140,'[1]taakstelling  2017 2018 2019'!$B$2:$F$389,4,FALSE)</f>
        <v>6</v>
      </c>
      <c r="E140">
        <f>VLOOKUP($B140,'[1]taakstelling  2017 2018 2019'!$B$2:$F$389,5,FALSE)</f>
        <v>8</v>
      </c>
      <c r="F140">
        <v>10</v>
      </c>
      <c r="G140">
        <v>11</v>
      </c>
      <c r="H140" s="316">
        <f t="shared" si="9"/>
        <v>12.155403047574735</v>
      </c>
      <c r="I140" s="316">
        <f t="shared" si="9"/>
        <v>13.179015935791556</v>
      </c>
      <c r="J140" s="316">
        <f t="shared" si="9"/>
        <v>14.202628824008375</v>
      </c>
      <c r="K140" s="316">
        <f t="shared" si="9"/>
        <v>15.226241712225196</v>
      </c>
    </row>
    <row r="141" spans="1:11" x14ac:dyDescent="0.35">
      <c r="A141">
        <v>798</v>
      </c>
      <c r="B141" t="s">
        <v>151</v>
      </c>
      <c r="C141">
        <f>VLOOKUP($B141,'[1]taakstelling  2017 2018 2019'!$B$1:$F$389,3,FALSE)</f>
        <v>1</v>
      </c>
      <c r="D141">
        <f>VLOOKUP($B141,'[1]taakstelling  2017 2018 2019'!$B$2:$F$389,4,FALSE)</f>
        <v>1</v>
      </c>
      <c r="E141">
        <f>VLOOKUP($B141,'[1]taakstelling  2017 2018 2019'!$B$2:$F$389,5,FALSE)</f>
        <v>2</v>
      </c>
      <c r="F141">
        <v>2</v>
      </c>
      <c r="G141">
        <v>2</v>
      </c>
      <c r="H141" s="316">
        <f t="shared" si="9"/>
        <v>2.2100732813772246</v>
      </c>
      <c r="I141" s="316">
        <f t="shared" si="9"/>
        <v>2.3961847155984644</v>
      </c>
      <c r="J141" s="316">
        <f t="shared" si="9"/>
        <v>2.5822961498197046</v>
      </c>
      <c r="K141" s="316">
        <f t="shared" si="9"/>
        <v>2.7684075840409448</v>
      </c>
    </row>
    <row r="142" spans="1:11" x14ac:dyDescent="0.35">
      <c r="A142">
        <v>402</v>
      </c>
      <c r="B142" t="s">
        <v>152</v>
      </c>
      <c r="C142">
        <f>VLOOKUP($B142,'[1]taakstelling  2017 2018 2019'!$B$1:$F$389,3,FALSE)</f>
        <v>8</v>
      </c>
      <c r="D142">
        <f>VLOOKUP($B142,'[1]taakstelling  2017 2018 2019'!$B$2:$F$389,4,FALSE)</f>
        <v>14</v>
      </c>
      <c r="E142">
        <f>VLOOKUP($B142,'[1]taakstelling  2017 2018 2019'!$B$2:$F$389,5,FALSE)</f>
        <v>18</v>
      </c>
      <c r="F142">
        <v>23</v>
      </c>
      <c r="G142">
        <v>26</v>
      </c>
      <c r="H142" s="316">
        <f t="shared" si="9"/>
        <v>28.73095265790392</v>
      </c>
      <c r="I142" s="316">
        <f t="shared" si="9"/>
        <v>31.15040130278004</v>
      </c>
      <c r="J142" s="316">
        <f t="shared" si="9"/>
        <v>33.569849947656159</v>
      </c>
      <c r="K142" s="316">
        <f t="shared" si="9"/>
        <v>35.989298592532279</v>
      </c>
    </row>
    <row r="143" spans="1:11" x14ac:dyDescent="0.35">
      <c r="A143">
        <v>1963</v>
      </c>
      <c r="B143" t="s">
        <v>153</v>
      </c>
      <c r="C143">
        <f>+'[1]taakstelling  2017 2018 2019'!D42+'[1]taakstelling  2017 2018 2019'!D65+'[1]taakstelling  2017 2018 2019'!D174+'[1]taakstelling  2017 2018 2019'!D255+'[1]taakstelling  2017 2018 2019'!D309</f>
        <v>8</v>
      </c>
      <c r="D143">
        <f>+'[1]taakstelling  2017 2018 2019'!E42+'[1]taakstelling  2017 2018 2019'!E65+'[1]taakstelling  2017 2018 2019'!E174+'[1]taakstelling  2017 2018 2019'!E255+'[1]taakstelling  2017 2018 2019'!E309</f>
        <v>11</v>
      </c>
      <c r="E143">
        <f>+'[1]taakstelling  2017 2018 2019'!F42+'[1]taakstelling  2017 2018 2019'!F65+'[1]taakstelling  2017 2018 2019'!F174+'[1]taakstelling  2017 2018 2019'!F255+'[1]taakstelling  2017 2018 2019'!F309</f>
        <v>15</v>
      </c>
      <c r="F143">
        <v>18</v>
      </c>
      <c r="G143">
        <v>21</v>
      </c>
      <c r="H143" s="316">
        <f t="shared" si="9"/>
        <v>23.205769454460857</v>
      </c>
      <c r="I143" s="316">
        <f t="shared" si="9"/>
        <v>25.159939513783879</v>
      </c>
      <c r="J143" s="316">
        <f t="shared" si="9"/>
        <v>27.114109573106898</v>
      </c>
      <c r="K143" s="316">
        <f t="shared" si="9"/>
        <v>29.068279632429917</v>
      </c>
    </row>
    <row r="144" spans="1:11" x14ac:dyDescent="0.35">
      <c r="A144">
        <v>1735</v>
      </c>
      <c r="B144" t="s">
        <v>154</v>
      </c>
      <c r="C144">
        <f>VLOOKUP($B144,'[1]taakstelling  2017 2018 2019'!$B$1:$F$389,3,FALSE)</f>
        <v>3</v>
      </c>
      <c r="D144">
        <f>VLOOKUP($B144,'[1]taakstelling  2017 2018 2019'!$B$2:$F$389,4,FALSE)</f>
        <v>5</v>
      </c>
      <c r="E144">
        <f>VLOOKUP($B144,'[1]taakstelling  2017 2018 2019'!$B$2:$F$389,5,FALSE)</f>
        <v>6</v>
      </c>
      <c r="F144">
        <v>8</v>
      </c>
      <c r="G144">
        <v>9</v>
      </c>
      <c r="H144" s="316">
        <f t="shared" si="9"/>
        <v>9.9453297661975117</v>
      </c>
      <c r="I144" s="316">
        <f t="shared" si="9"/>
        <v>10.78283122019309</v>
      </c>
      <c r="J144" s="316">
        <f t="shared" si="9"/>
        <v>11.620332674188671</v>
      </c>
      <c r="K144" s="316">
        <f t="shared" si="9"/>
        <v>12.457834128184251</v>
      </c>
    </row>
    <row r="145" spans="1:11" x14ac:dyDescent="0.35">
      <c r="A145">
        <v>1911</v>
      </c>
      <c r="B145" t="s">
        <v>155</v>
      </c>
      <c r="C145">
        <f>VLOOKUP($B145,'[1]taakstelling  2017 2018 2019'!$B$1:$F$389,3,FALSE)</f>
        <v>6</v>
      </c>
      <c r="D145">
        <f>VLOOKUP($B145,'[1]taakstelling  2017 2018 2019'!$B$2:$F$389,4,FALSE)</f>
        <v>10</v>
      </c>
      <c r="E145">
        <f>VLOOKUP($B145,'[1]taakstelling  2017 2018 2019'!$B$2:$F$389,5,FALSE)</f>
        <v>13</v>
      </c>
      <c r="F145">
        <v>16</v>
      </c>
      <c r="G145">
        <v>18</v>
      </c>
      <c r="H145" s="316">
        <f t="shared" si="9"/>
        <v>19.890659532395023</v>
      </c>
      <c r="I145" s="316">
        <f t="shared" si="9"/>
        <v>21.565662440386181</v>
      </c>
      <c r="J145" s="316">
        <f t="shared" si="9"/>
        <v>23.240665348377341</v>
      </c>
      <c r="K145" s="316">
        <f t="shared" si="9"/>
        <v>24.915668256368502</v>
      </c>
    </row>
    <row r="146" spans="1:11" x14ac:dyDescent="0.35">
      <c r="A146">
        <v>118</v>
      </c>
      <c r="B146" t="s">
        <v>156</v>
      </c>
      <c r="C146">
        <f>VLOOKUP($B146,'[1]taakstelling  2017 2018 2019'!$B$1:$F$389,3,FALSE)</f>
        <v>10</v>
      </c>
      <c r="D146">
        <f>VLOOKUP($B146,'[1]taakstelling  2017 2018 2019'!$B$2:$F$389,4,FALSE)</f>
        <v>20</v>
      </c>
      <c r="E146">
        <f>VLOOKUP($B146,'[1]taakstelling  2017 2018 2019'!$B$2:$F$389,5,FALSE)</f>
        <v>26</v>
      </c>
      <c r="F146">
        <v>32</v>
      </c>
      <c r="G146">
        <v>37</v>
      </c>
      <c r="H146" s="316">
        <f t="shared" si="9"/>
        <v>40.886355705478657</v>
      </c>
      <c r="I146" s="316">
        <f t="shared" si="9"/>
        <v>44.329417238571594</v>
      </c>
      <c r="J146" s="316">
        <f t="shared" si="9"/>
        <v>47.772478771664531</v>
      </c>
      <c r="K146" s="316">
        <f t="shared" si="9"/>
        <v>51.215540304757475</v>
      </c>
    </row>
    <row r="147" spans="1:11" x14ac:dyDescent="0.35">
      <c r="A147">
        <v>405</v>
      </c>
      <c r="B147" t="s">
        <v>157</v>
      </c>
      <c r="C147">
        <f>VLOOKUP($B147,'[1]taakstelling  2017 2018 2019'!$B$1:$F$389,3,FALSE)</f>
        <v>20</v>
      </c>
      <c r="D147">
        <f>VLOOKUP($B147,'[1]taakstelling  2017 2018 2019'!$B$2:$F$389,4,FALSE)</f>
        <v>31</v>
      </c>
      <c r="E147">
        <f>VLOOKUP($B147,'[1]taakstelling  2017 2018 2019'!$B$2:$F$389,5,FALSE)</f>
        <v>40</v>
      </c>
      <c r="F147">
        <v>49</v>
      </c>
      <c r="G147">
        <v>57</v>
      </c>
      <c r="H147" s="316">
        <f t="shared" si="9"/>
        <v>62.987088519250904</v>
      </c>
      <c r="I147" s="316">
        <f t="shared" si="9"/>
        <v>68.291264394556237</v>
      </c>
      <c r="J147" s="316">
        <f t="shared" si="9"/>
        <v>73.59544026986157</v>
      </c>
      <c r="K147" s="316">
        <f t="shared" si="9"/>
        <v>78.899616145166917</v>
      </c>
    </row>
    <row r="148" spans="1:11" x14ac:dyDescent="0.35">
      <c r="A148">
        <v>1507</v>
      </c>
      <c r="B148" t="s">
        <v>158</v>
      </c>
      <c r="C148">
        <f>VLOOKUP($B148,'[1]taakstelling  2017 2018 2019'!$B$1:$F$389,3,FALSE)</f>
        <v>3</v>
      </c>
      <c r="D148">
        <f>VLOOKUP($B148,'[1]taakstelling  2017 2018 2019'!$B$2:$F$389,4,FALSE)</f>
        <v>6</v>
      </c>
      <c r="E148">
        <f>VLOOKUP($B148,'[1]taakstelling  2017 2018 2019'!$B$2:$F$389,5,FALSE)</f>
        <v>8</v>
      </c>
      <c r="F148">
        <v>9</v>
      </c>
      <c r="G148">
        <v>11</v>
      </c>
      <c r="H148" s="316">
        <f t="shared" ref="H148:K163" si="10">+G148/G$355*H$355</f>
        <v>12.155403047574735</v>
      </c>
      <c r="I148" s="316">
        <f t="shared" si="10"/>
        <v>13.179015935791556</v>
      </c>
      <c r="J148" s="316">
        <f t="shared" si="10"/>
        <v>14.202628824008375</v>
      </c>
      <c r="K148" s="316">
        <f t="shared" si="10"/>
        <v>15.226241712225196</v>
      </c>
    </row>
    <row r="149" spans="1:11" x14ac:dyDescent="0.35">
      <c r="A149">
        <v>321</v>
      </c>
      <c r="B149" t="s">
        <v>159</v>
      </c>
      <c r="C149">
        <f>VLOOKUP($B149,'[1]taakstelling  2017 2018 2019'!$B$1:$F$389,3,FALSE)</f>
        <v>4</v>
      </c>
      <c r="D149">
        <f>VLOOKUP($B149,'[1]taakstelling  2017 2018 2019'!$B$2:$F$389,4,FALSE)</f>
        <v>7</v>
      </c>
      <c r="E149">
        <f>VLOOKUP($B149,'[1]taakstelling  2017 2018 2019'!$B$2:$F$389,5,FALSE)</f>
        <v>9</v>
      </c>
      <c r="F149">
        <v>11</v>
      </c>
      <c r="G149">
        <v>13</v>
      </c>
      <c r="H149" s="316">
        <f t="shared" si="10"/>
        <v>14.36547632895196</v>
      </c>
      <c r="I149" s="316">
        <f t="shared" si="10"/>
        <v>15.57520065139002</v>
      </c>
      <c r="J149" s="316">
        <f t="shared" si="10"/>
        <v>16.78492497382808</v>
      </c>
      <c r="K149" s="316">
        <f t="shared" si="10"/>
        <v>17.99464929626614</v>
      </c>
    </row>
    <row r="150" spans="1:11" x14ac:dyDescent="0.35">
      <c r="A150">
        <v>406</v>
      </c>
      <c r="B150" t="s">
        <v>160</v>
      </c>
      <c r="C150">
        <f>VLOOKUP($B150,'[1]taakstelling  2017 2018 2019'!$B$1:$F$389,3,FALSE)</f>
        <v>3</v>
      </c>
      <c r="D150">
        <f>VLOOKUP($B150,'[1]taakstelling  2017 2018 2019'!$B$2:$F$389,4,FALSE)</f>
        <v>6</v>
      </c>
      <c r="E150">
        <f>VLOOKUP($B150,'[1]taakstelling  2017 2018 2019'!$B$2:$F$389,5,FALSE)</f>
        <v>8</v>
      </c>
      <c r="F150">
        <v>9</v>
      </c>
      <c r="G150">
        <v>11</v>
      </c>
      <c r="H150" s="316">
        <f t="shared" si="10"/>
        <v>12.155403047574735</v>
      </c>
      <c r="I150" s="316">
        <f t="shared" si="10"/>
        <v>13.179015935791556</v>
      </c>
      <c r="J150" s="316">
        <f t="shared" si="10"/>
        <v>14.202628824008375</v>
      </c>
      <c r="K150" s="316">
        <f t="shared" si="10"/>
        <v>15.226241712225196</v>
      </c>
    </row>
    <row r="151" spans="1:11" x14ac:dyDescent="0.35">
      <c r="A151">
        <v>677</v>
      </c>
      <c r="B151" t="s">
        <v>161</v>
      </c>
      <c r="C151">
        <f>VLOOKUP($B151,'[1]taakstelling  2017 2018 2019'!$B$1:$F$389,3,FALSE)</f>
        <v>3</v>
      </c>
      <c r="D151">
        <f>VLOOKUP($B151,'[1]taakstelling  2017 2018 2019'!$B$2:$F$389,4,FALSE)</f>
        <v>8</v>
      </c>
      <c r="E151">
        <f>VLOOKUP($B151,'[1]taakstelling  2017 2018 2019'!$B$2:$F$389,5,FALSE)</f>
        <v>10</v>
      </c>
      <c r="F151">
        <v>12</v>
      </c>
      <c r="G151">
        <v>14</v>
      </c>
      <c r="H151" s="316">
        <f t="shared" si="10"/>
        <v>15.470512969640572</v>
      </c>
      <c r="I151" s="316">
        <f t="shared" si="10"/>
        <v>16.773293009189253</v>
      </c>
      <c r="J151" s="316">
        <f t="shared" si="10"/>
        <v>18.076073048737932</v>
      </c>
      <c r="K151" s="316">
        <f t="shared" si="10"/>
        <v>19.378853088286611</v>
      </c>
    </row>
    <row r="152" spans="1:11" x14ac:dyDescent="0.35">
      <c r="A152">
        <v>353</v>
      </c>
      <c r="B152" t="s">
        <v>162</v>
      </c>
      <c r="C152">
        <f>VLOOKUP($B152,'[1]taakstelling  2017 2018 2019'!$B$1:$F$389,3,FALSE)</f>
        <v>5</v>
      </c>
      <c r="D152">
        <f>VLOOKUP($B152,'[1]taakstelling  2017 2018 2019'!$B$2:$F$389,4,FALSE)</f>
        <v>8</v>
      </c>
      <c r="E152">
        <f>VLOOKUP($B152,'[1]taakstelling  2017 2018 2019'!$B$2:$F$389,5,FALSE)</f>
        <v>10</v>
      </c>
      <c r="F152">
        <v>12</v>
      </c>
      <c r="G152">
        <v>14</v>
      </c>
      <c r="H152" s="316">
        <f t="shared" si="10"/>
        <v>15.470512969640572</v>
      </c>
      <c r="I152" s="316">
        <f t="shared" si="10"/>
        <v>16.773293009189253</v>
      </c>
      <c r="J152" s="316">
        <f t="shared" si="10"/>
        <v>18.076073048737932</v>
      </c>
      <c r="K152" s="316">
        <f t="shared" si="10"/>
        <v>19.378853088286611</v>
      </c>
    </row>
    <row r="153" spans="1:11" x14ac:dyDescent="0.35">
      <c r="A153">
        <v>1884</v>
      </c>
      <c r="B153" t="s">
        <v>163</v>
      </c>
      <c r="C153">
        <f>VLOOKUP($B153,'[1]taakstelling  2017 2018 2019'!$B$1:$F$389,3,FALSE)</f>
        <v>2</v>
      </c>
      <c r="D153">
        <f>VLOOKUP($B153,'[1]taakstelling  2017 2018 2019'!$B$2:$F$389,4,FALSE)</f>
        <v>3</v>
      </c>
      <c r="E153">
        <f>VLOOKUP($B153,'[1]taakstelling  2017 2018 2019'!$B$2:$F$389,5,FALSE)</f>
        <v>4</v>
      </c>
      <c r="F153">
        <v>5</v>
      </c>
      <c r="G153">
        <v>6</v>
      </c>
      <c r="H153" s="316">
        <f t="shared" si="10"/>
        <v>6.6302198441316733</v>
      </c>
      <c r="I153" s="316">
        <f t="shared" si="10"/>
        <v>7.1885541467953935</v>
      </c>
      <c r="J153" s="316">
        <f t="shared" si="10"/>
        <v>7.7468884494591128</v>
      </c>
      <c r="K153" s="316">
        <f t="shared" si="10"/>
        <v>8.3052227521228339</v>
      </c>
    </row>
    <row r="154" spans="1:11" x14ac:dyDescent="0.35">
      <c r="A154">
        <v>166</v>
      </c>
      <c r="B154" t="s">
        <v>164</v>
      </c>
      <c r="C154">
        <f>VLOOKUP($B154,'[1]taakstelling  2017 2018 2019'!$B$1:$F$389,3,FALSE)</f>
        <v>7</v>
      </c>
      <c r="D154">
        <f>VLOOKUP($B154,'[1]taakstelling  2017 2018 2019'!$B$2:$F$389,4,FALSE)</f>
        <v>11</v>
      </c>
      <c r="E154">
        <f>VLOOKUP($B154,'[1]taakstelling  2017 2018 2019'!$B$2:$F$389,5,FALSE)</f>
        <v>14</v>
      </c>
      <c r="F154">
        <v>17</v>
      </c>
      <c r="G154">
        <v>20</v>
      </c>
      <c r="H154" s="316">
        <f t="shared" si="10"/>
        <v>22.100732813772243</v>
      </c>
      <c r="I154" s="316">
        <f t="shared" si="10"/>
        <v>23.961847155984643</v>
      </c>
      <c r="J154" s="316">
        <f t="shared" si="10"/>
        <v>25.822961498197046</v>
      </c>
      <c r="K154" s="316">
        <f t="shared" si="10"/>
        <v>27.684075840409445</v>
      </c>
    </row>
    <row r="155" spans="1:11" x14ac:dyDescent="0.35">
      <c r="A155">
        <v>678</v>
      </c>
      <c r="B155" t="s">
        <v>165</v>
      </c>
      <c r="C155">
        <f>VLOOKUP($B155,'[1]taakstelling  2017 2018 2019'!$B$1:$F$389,3,FALSE)</f>
        <v>1</v>
      </c>
      <c r="D155">
        <f>VLOOKUP($B155,'[1]taakstelling  2017 2018 2019'!$B$2:$F$389,4,FALSE)</f>
        <v>3</v>
      </c>
      <c r="E155">
        <f>VLOOKUP($B155,'[1]taakstelling  2017 2018 2019'!$B$2:$F$389,5,FALSE)</f>
        <v>3</v>
      </c>
      <c r="F155">
        <v>4</v>
      </c>
      <c r="G155">
        <v>5</v>
      </c>
      <c r="H155" s="316">
        <f t="shared" si="10"/>
        <v>5.5251832034430608</v>
      </c>
      <c r="I155" s="316">
        <f t="shared" si="10"/>
        <v>5.9904617889961607</v>
      </c>
      <c r="J155" s="316">
        <f t="shared" si="10"/>
        <v>6.4557403745492614</v>
      </c>
      <c r="K155" s="316">
        <f t="shared" si="10"/>
        <v>6.9210189601023613</v>
      </c>
    </row>
    <row r="156" spans="1:11" x14ac:dyDescent="0.35">
      <c r="A156">
        <v>537</v>
      </c>
      <c r="B156" t="s">
        <v>166</v>
      </c>
      <c r="C156">
        <f>VLOOKUP($B156,'[1]taakstelling  2017 2018 2019'!$B$1:$F$389,3,FALSE)</f>
        <v>7</v>
      </c>
      <c r="D156">
        <f>VLOOKUP($B156,'[1]taakstelling  2017 2018 2019'!$B$2:$F$389,4,FALSE)</f>
        <v>13</v>
      </c>
      <c r="E156">
        <f>VLOOKUP($B156,'[1]taakstelling  2017 2018 2019'!$B$2:$F$389,5,FALSE)</f>
        <v>17</v>
      </c>
      <c r="F156">
        <v>21</v>
      </c>
      <c r="G156">
        <v>25</v>
      </c>
      <c r="H156" s="316">
        <f t="shared" si="10"/>
        <v>27.625916017215307</v>
      </c>
      <c r="I156" s="316">
        <f t="shared" si="10"/>
        <v>29.952308944980807</v>
      </c>
      <c r="J156" s="316">
        <f t="shared" si="10"/>
        <v>32.278701872746304</v>
      </c>
      <c r="K156" s="316">
        <f t="shared" si="10"/>
        <v>34.6050948005118</v>
      </c>
    </row>
    <row r="157" spans="1:11" x14ac:dyDescent="0.35">
      <c r="A157">
        <v>928</v>
      </c>
      <c r="B157" t="s">
        <v>167</v>
      </c>
      <c r="C157">
        <f>VLOOKUP($B157,'[1]taakstelling  2017 2018 2019'!$B$1:$F$389,3,FALSE)</f>
        <v>11</v>
      </c>
      <c r="D157">
        <f>VLOOKUP($B157,'[1]taakstelling  2017 2018 2019'!$B$2:$F$389,4,FALSE)</f>
        <v>18</v>
      </c>
      <c r="E157">
        <f>VLOOKUP($B157,'[1]taakstelling  2017 2018 2019'!$B$2:$F$389,5,FALSE)</f>
        <v>24</v>
      </c>
      <c r="F157">
        <v>30</v>
      </c>
      <c r="G157">
        <v>35</v>
      </c>
      <c r="H157" s="316">
        <f t="shared" si="10"/>
        <v>38.67628242410143</v>
      </c>
      <c r="I157" s="316">
        <f t="shared" si="10"/>
        <v>41.933232522973128</v>
      </c>
      <c r="J157" s="316">
        <f t="shared" si="10"/>
        <v>45.190182621844826</v>
      </c>
      <c r="K157" s="316">
        <f t="shared" si="10"/>
        <v>48.447132720716525</v>
      </c>
    </row>
    <row r="158" spans="1:11" x14ac:dyDescent="0.35">
      <c r="A158">
        <v>1598</v>
      </c>
      <c r="B158" t="s">
        <v>168</v>
      </c>
      <c r="C158">
        <f>VLOOKUP($B158,'[1]taakstelling  2017 2018 2019'!$B$1:$F$389,3,FALSE)</f>
        <v>3</v>
      </c>
      <c r="D158">
        <f>VLOOKUP($B158,'[1]taakstelling  2017 2018 2019'!$B$2:$F$389,4,FALSE)</f>
        <v>4</v>
      </c>
      <c r="E158">
        <f>VLOOKUP($B158,'[1]taakstelling  2017 2018 2019'!$B$2:$F$389,5,FALSE)</f>
        <v>5</v>
      </c>
      <c r="F158">
        <v>6</v>
      </c>
      <c r="G158">
        <v>7</v>
      </c>
      <c r="H158" s="316">
        <f t="shared" si="10"/>
        <v>7.7352564848202858</v>
      </c>
      <c r="I158" s="316">
        <f t="shared" si="10"/>
        <v>8.3866465045946264</v>
      </c>
      <c r="J158" s="316">
        <f t="shared" si="10"/>
        <v>9.038036524368966</v>
      </c>
      <c r="K158" s="316">
        <f t="shared" si="10"/>
        <v>9.6894265441433056</v>
      </c>
    </row>
    <row r="159" spans="1:11" x14ac:dyDescent="0.35">
      <c r="A159">
        <v>542</v>
      </c>
      <c r="B159" t="s">
        <v>169</v>
      </c>
      <c r="C159">
        <f>VLOOKUP($B159,'[1]taakstelling  2017 2018 2019'!$B$1:$F$389,3,FALSE)</f>
        <v>3</v>
      </c>
      <c r="D159">
        <f>VLOOKUP($B159,'[1]taakstelling  2017 2018 2019'!$B$2:$F$389,4,FALSE)</f>
        <v>5</v>
      </c>
      <c r="E159">
        <f>VLOOKUP($B159,'[1]taakstelling  2017 2018 2019'!$B$2:$F$389,5,FALSE)</f>
        <v>7</v>
      </c>
      <c r="F159">
        <v>8</v>
      </c>
      <c r="G159">
        <v>10</v>
      </c>
      <c r="H159" s="316">
        <f t="shared" si="10"/>
        <v>11.050366406886122</v>
      </c>
      <c r="I159" s="316">
        <f t="shared" si="10"/>
        <v>11.980923577992321</v>
      </c>
      <c r="J159" s="316">
        <f t="shared" si="10"/>
        <v>12.911480749098523</v>
      </c>
      <c r="K159" s="316">
        <f t="shared" si="10"/>
        <v>13.842037920204723</v>
      </c>
    </row>
    <row r="160" spans="1:11" x14ac:dyDescent="0.35">
      <c r="A160">
        <v>1931</v>
      </c>
      <c r="B160" t="s">
        <v>170</v>
      </c>
      <c r="C160">
        <f>VLOOKUP($B160,'[1]taakstelling  2017 2018 2019'!$B$1:$F$389,3,FALSE)</f>
        <v>6</v>
      </c>
      <c r="D160">
        <f>VLOOKUP($B160,'[1]taakstelling  2017 2018 2019'!$B$2:$F$389,4,FALSE)</f>
        <v>10</v>
      </c>
      <c r="E160">
        <f>VLOOKUP($B160,'[1]taakstelling  2017 2018 2019'!$B$2:$F$389,5,FALSE)</f>
        <v>14</v>
      </c>
      <c r="F160">
        <v>17</v>
      </c>
      <c r="G160">
        <v>19</v>
      </c>
      <c r="H160" s="316">
        <f t="shared" si="10"/>
        <v>20.995696173083637</v>
      </c>
      <c r="I160" s="316">
        <f t="shared" si="10"/>
        <v>22.763754798185417</v>
      </c>
      <c r="J160" s="316">
        <f t="shared" si="10"/>
        <v>24.531813423287197</v>
      </c>
      <c r="K160" s="316">
        <f t="shared" si="10"/>
        <v>26.299872048388973</v>
      </c>
    </row>
    <row r="161" spans="1:11" x14ac:dyDescent="0.35">
      <c r="A161">
        <v>1659</v>
      </c>
      <c r="B161" t="s">
        <v>171</v>
      </c>
      <c r="C161">
        <f>VLOOKUP($B161,'[1]taakstelling  2017 2018 2019'!$B$1:$F$389,3,FALSE)</f>
        <v>2</v>
      </c>
      <c r="D161">
        <f>VLOOKUP($B161,'[1]taakstelling  2017 2018 2019'!$B$2:$F$389,4,FALSE)</f>
        <v>4</v>
      </c>
      <c r="E161">
        <f>VLOOKUP($B161,'[1]taakstelling  2017 2018 2019'!$B$2:$F$389,5,FALSE)</f>
        <v>5</v>
      </c>
      <c r="F161">
        <v>6</v>
      </c>
      <c r="G161">
        <v>7</v>
      </c>
      <c r="H161" s="316">
        <f t="shared" si="10"/>
        <v>7.7352564848202858</v>
      </c>
      <c r="I161" s="316">
        <f t="shared" si="10"/>
        <v>8.3866465045946264</v>
      </c>
      <c r="J161" s="316">
        <f t="shared" si="10"/>
        <v>9.038036524368966</v>
      </c>
      <c r="K161" s="316">
        <f t="shared" si="10"/>
        <v>9.6894265441433056</v>
      </c>
    </row>
    <row r="163" spans="1:11" x14ac:dyDescent="0.35">
      <c r="A163">
        <v>882</v>
      </c>
      <c r="B163" t="s">
        <v>173</v>
      </c>
      <c r="C163">
        <f>VLOOKUP($B163,'[1]taakstelling  2017 2018 2019'!$B$1:$F$389,3,FALSE)</f>
        <v>6</v>
      </c>
      <c r="D163">
        <f>VLOOKUP($B163,'[1]taakstelling  2017 2018 2019'!$B$2:$F$389,4,FALSE)</f>
        <v>9</v>
      </c>
      <c r="E163">
        <f>VLOOKUP($B163,'[1]taakstelling  2017 2018 2019'!$B$2:$F$389,5,FALSE)</f>
        <v>12</v>
      </c>
      <c r="F163">
        <v>15</v>
      </c>
      <c r="G163">
        <v>17</v>
      </c>
      <c r="H163" s="316">
        <f t="shared" si="10"/>
        <v>18.78562289170641</v>
      </c>
      <c r="I163" s="316">
        <f t="shared" si="10"/>
        <v>20.367570082586948</v>
      </c>
      <c r="J163" s="316">
        <f t="shared" si="10"/>
        <v>21.949517273467489</v>
      </c>
      <c r="K163" s="316">
        <f t="shared" si="10"/>
        <v>23.53146446434803</v>
      </c>
    </row>
    <row r="164" spans="1:11" x14ac:dyDescent="0.35">
      <c r="A164">
        <v>415</v>
      </c>
      <c r="B164" t="s">
        <v>174</v>
      </c>
      <c r="C164">
        <f>VLOOKUP($B164,'[1]taakstelling  2017 2018 2019'!$B$1:$F$389,3,FALSE)</f>
        <v>1</v>
      </c>
      <c r="D164">
        <f>VLOOKUP($B164,'[1]taakstelling  2017 2018 2019'!$B$2:$F$389,4,FALSE)</f>
        <v>2</v>
      </c>
      <c r="E164">
        <f>VLOOKUP($B164,'[1]taakstelling  2017 2018 2019'!$B$2:$F$389,5,FALSE)</f>
        <v>2</v>
      </c>
      <c r="F164">
        <v>3</v>
      </c>
      <c r="G164">
        <v>3</v>
      </c>
      <c r="H164" s="316">
        <f t="shared" ref="H164:K179" si="11">+G164/G$355*H$355</f>
        <v>3.3151099220658367</v>
      </c>
      <c r="I164" s="316">
        <f t="shared" si="11"/>
        <v>3.5942770733976968</v>
      </c>
      <c r="J164" s="316">
        <f t="shared" si="11"/>
        <v>3.8734442247295564</v>
      </c>
      <c r="K164" s="316">
        <f t="shared" si="11"/>
        <v>4.1526113760614169</v>
      </c>
    </row>
    <row r="166" spans="1:11" x14ac:dyDescent="0.35">
      <c r="A166">
        <v>1621</v>
      </c>
      <c r="B166" t="s">
        <v>176</v>
      </c>
      <c r="C166">
        <f>VLOOKUP($B166,'[1]taakstelling  2017 2018 2019'!$B$1:$F$389,3,FALSE)</f>
        <v>3</v>
      </c>
      <c r="D166">
        <f>VLOOKUP($B166,'[1]taakstelling  2017 2018 2019'!$B$2:$F$389,4,FALSE)</f>
        <v>5</v>
      </c>
      <c r="E166">
        <f>VLOOKUP($B166,'[1]taakstelling  2017 2018 2019'!$B$2:$F$389,5,FALSE)</f>
        <v>7</v>
      </c>
      <c r="F166">
        <v>8</v>
      </c>
      <c r="G166">
        <v>9</v>
      </c>
      <c r="H166" s="316">
        <f t="shared" si="11"/>
        <v>9.9453297661975117</v>
      </c>
      <c r="I166" s="316">
        <f t="shared" si="11"/>
        <v>10.78283122019309</v>
      </c>
      <c r="J166" s="316">
        <f t="shared" si="11"/>
        <v>11.620332674188671</v>
      </c>
      <c r="K166" s="316">
        <f t="shared" si="11"/>
        <v>12.457834128184251</v>
      </c>
    </row>
    <row r="167" spans="1:11" x14ac:dyDescent="0.35">
      <c r="A167">
        <v>417</v>
      </c>
      <c r="B167" t="s">
        <v>177</v>
      </c>
      <c r="C167">
        <f>VLOOKUP($B167,'[1]taakstelling  2017 2018 2019'!$B$1:$F$389,3,FALSE)</f>
        <v>0</v>
      </c>
      <c r="D167">
        <f>VLOOKUP($B167,'[1]taakstelling  2017 2018 2019'!$B$2:$F$389,4,FALSE)</f>
        <v>1</v>
      </c>
      <c r="E167">
        <f>VLOOKUP($B167,'[1]taakstelling  2017 2018 2019'!$B$2:$F$389,5,FALSE)</f>
        <v>1</v>
      </c>
      <c r="F167">
        <v>1</v>
      </c>
      <c r="G167">
        <v>1</v>
      </c>
      <c r="H167" s="316">
        <f t="shared" si="11"/>
        <v>1.1050366406886123</v>
      </c>
      <c r="I167" s="316">
        <f t="shared" si="11"/>
        <v>1.1980923577992322</v>
      </c>
      <c r="J167" s="316">
        <f t="shared" si="11"/>
        <v>1.2911480749098523</v>
      </c>
      <c r="K167" s="316">
        <f t="shared" si="11"/>
        <v>1.3842037920204724</v>
      </c>
    </row>
    <row r="168" spans="1:11" x14ac:dyDescent="0.35">
      <c r="A168">
        <v>80</v>
      </c>
      <c r="B168" t="s">
        <v>178</v>
      </c>
      <c r="C168">
        <f>+'[1]taakstelling  2017 2018 2019'!D186+'[1]taakstelling  2017 2018 2019'!D187</f>
        <v>23</v>
      </c>
      <c r="D168">
        <f>+'[1]taakstelling  2017 2018 2019'!E186+'[1]taakstelling  2017 2018 2019'!E187</f>
        <v>35</v>
      </c>
      <c r="E168">
        <f>+'[1]taakstelling  2017 2018 2019'!F186+'[1]taakstelling  2017 2018 2019'!F187</f>
        <v>46</v>
      </c>
      <c r="F168">
        <v>56</v>
      </c>
      <c r="G168">
        <v>65</v>
      </c>
      <c r="H168" s="316">
        <f t="shared" si="11"/>
        <v>71.827381644759797</v>
      </c>
      <c r="I168" s="316">
        <f t="shared" si="11"/>
        <v>77.876003256950085</v>
      </c>
      <c r="J168" s="316">
        <f t="shared" si="11"/>
        <v>83.924624869140374</v>
      </c>
      <c r="K168" s="316">
        <f t="shared" si="11"/>
        <v>89.973246481330662</v>
      </c>
    </row>
    <row r="169" spans="1:11" x14ac:dyDescent="0.35">
      <c r="A169">
        <v>546</v>
      </c>
      <c r="B169" t="s">
        <v>179</v>
      </c>
      <c r="C169">
        <f>VLOOKUP($B169,'[1]taakstelling  2017 2018 2019'!$B$1:$F$389,3,FALSE)</f>
        <v>26</v>
      </c>
      <c r="D169">
        <f>VLOOKUP($B169,'[1]taakstelling  2017 2018 2019'!$B$2:$F$389,4,FALSE)</f>
        <v>46</v>
      </c>
      <c r="E169">
        <f>VLOOKUP($B169,'[1]taakstelling  2017 2018 2019'!$B$2:$F$389,5,FALSE)</f>
        <v>59</v>
      </c>
      <c r="F169">
        <v>73</v>
      </c>
      <c r="G169">
        <v>85</v>
      </c>
      <c r="H169" s="316">
        <f t="shared" si="11"/>
        <v>93.928114458532036</v>
      </c>
      <c r="I169" s="316">
        <f t="shared" si="11"/>
        <v>101.83785041293474</v>
      </c>
      <c r="J169" s="316">
        <f t="shared" si="11"/>
        <v>109.74758636733743</v>
      </c>
      <c r="K169" s="316">
        <f t="shared" si="11"/>
        <v>117.65732232174014</v>
      </c>
    </row>
    <row r="170" spans="1:11" x14ac:dyDescent="0.35">
      <c r="A170">
        <v>547</v>
      </c>
      <c r="B170" t="s">
        <v>180</v>
      </c>
      <c r="C170">
        <f>VLOOKUP($B170,'[1]taakstelling  2017 2018 2019'!$B$1:$F$389,3,FALSE)</f>
        <v>3</v>
      </c>
      <c r="D170">
        <f>VLOOKUP($B170,'[1]taakstelling  2017 2018 2019'!$B$2:$F$389,4,FALSE)</f>
        <v>7</v>
      </c>
      <c r="E170">
        <f>VLOOKUP($B170,'[1]taakstelling  2017 2018 2019'!$B$2:$F$389,5,FALSE)</f>
        <v>9</v>
      </c>
      <c r="F170">
        <v>11</v>
      </c>
      <c r="G170">
        <v>13</v>
      </c>
      <c r="H170" s="316">
        <f t="shared" si="11"/>
        <v>14.36547632895196</v>
      </c>
      <c r="I170" s="316">
        <f t="shared" si="11"/>
        <v>15.57520065139002</v>
      </c>
      <c r="J170" s="316">
        <f t="shared" si="11"/>
        <v>16.78492497382808</v>
      </c>
      <c r="K170" s="316">
        <f t="shared" si="11"/>
        <v>17.99464929626614</v>
      </c>
    </row>
    <row r="171" spans="1:11" x14ac:dyDescent="0.35">
      <c r="A171">
        <v>1916</v>
      </c>
      <c r="B171" t="s">
        <v>181</v>
      </c>
      <c r="C171">
        <f>VLOOKUP($B171,'[1]taakstelling  2017 2018 2019'!$B$1:$F$389,3,FALSE)</f>
        <v>10</v>
      </c>
      <c r="D171">
        <f>VLOOKUP($B171,'[1]taakstelling  2017 2018 2019'!$B$2:$F$389,4,FALSE)</f>
        <v>16</v>
      </c>
      <c r="E171">
        <f>VLOOKUP($B171,'[1]taakstelling  2017 2018 2019'!$B$2:$F$389,5,FALSE)</f>
        <v>21</v>
      </c>
      <c r="F171">
        <v>26</v>
      </c>
      <c r="G171">
        <v>30</v>
      </c>
      <c r="H171" s="316">
        <f t="shared" si="11"/>
        <v>33.151099220658367</v>
      </c>
      <c r="I171" s="316">
        <f t="shared" si="11"/>
        <v>35.942770733976964</v>
      </c>
      <c r="J171" s="316">
        <f t="shared" si="11"/>
        <v>38.734442247295561</v>
      </c>
      <c r="K171" s="316">
        <f t="shared" si="11"/>
        <v>41.526113760614166</v>
      </c>
    </row>
    <row r="172" spans="1:11" x14ac:dyDescent="0.35">
      <c r="A172">
        <v>995</v>
      </c>
      <c r="B172" t="s">
        <v>182</v>
      </c>
      <c r="C172">
        <f>VLOOKUP($B172,'[1]taakstelling  2017 2018 2019'!$B$1:$F$389,3,FALSE)</f>
        <v>13</v>
      </c>
      <c r="D172">
        <f>VLOOKUP($B172,'[1]taakstelling  2017 2018 2019'!$B$2:$F$389,4,FALSE)</f>
        <v>22</v>
      </c>
      <c r="E172">
        <f>VLOOKUP($B172,'[1]taakstelling  2017 2018 2019'!$B$2:$F$389,5,FALSE)</f>
        <v>29</v>
      </c>
      <c r="F172">
        <v>35</v>
      </c>
      <c r="G172">
        <v>41</v>
      </c>
      <c r="H172" s="316">
        <f t="shared" si="11"/>
        <v>45.30650226823311</v>
      </c>
      <c r="I172" s="316">
        <f t="shared" si="11"/>
        <v>49.121786669768525</v>
      </c>
      <c r="J172" s="316">
        <f t="shared" si="11"/>
        <v>52.937071071303947</v>
      </c>
      <c r="K172" s="316">
        <f t="shared" si="11"/>
        <v>56.752355472839369</v>
      </c>
    </row>
    <row r="173" spans="1:11" x14ac:dyDescent="0.35">
      <c r="A173">
        <v>1640</v>
      </c>
      <c r="B173" t="s">
        <v>183</v>
      </c>
      <c r="C173">
        <f>VLOOKUP($B173,'[1]taakstelling  2017 2018 2019'!$B$1:$F$389,3,FALSE)</f>
        <v>3</v>
      </c>
      <c r="D173">
        <f>VLOOKUP($B173,'[1]taakstelling  2017 2018 2019'!$B$2:$F$389,4,FALSE)</f>
        <v>4</v>
      </c>
      <c r="E173">
        <f>VLOOKUP($B173,'[1]taakstelling  2017 2018 2019'!$B$2:$F$389,5,FALSE)</f>
        <v>6</v>
      </c>
      <c r="F173">
        <v>7</v>
      </c>
      <c r="G173">
        <v>8</v>
      </c>
      <c r="H173" s="316">
        <f t="shared" si="11"/>
        <v>8.8402931255088983</v>
      </c>
      <c r="I173" s="316">
        <f t="shared" si="11"/>
        <v>9.5847388623938574</v>
      </c>
      <c r="J173" s="316">
        <f t="shared" si="11"/>
        <v>10.329184599278818</v>
      </c>
      <c r="K173" s="316">
        <f t="shared" si="11"/>
        <v>11.073630336163779</v>
      </c>
    </row>
    <row r="174" spans="1:11" x14ac:dyDescent="0.35">
      <c r="A174">
        <v>327</v>
      </c>
      <c r="B174" t="s">
        <v>184</v>
      </c>
      <c r="C174">
        <f>VLOOKUP($B174,'[1]taakstelling  2017 2018 2019'!$B$1:$F$389,3,FALSE)</f>
        <v>1</v>
      </c>
      <c r="D174">
        <f>VLOOKUP($B174,'[1]taakstelling  2017 2018 2019'!$B$2:$F$389,4,FALSE)</f>
        <v>2</v>
      </c>
      <c r="E174">
        <f>VLOOKUP($B174,'[1]taakstelling  2017 2018 2019'!$B$2:$F$389,5,FALSE)</f>
        <v>3</v>
      </c>
      <c r="F174">
        <v>3</v>
      </c>
      <c r="G174">
        <v>4</v>
      </c>
      <c r="H174" s="316">
        <f t="shared" si="11"/>
        <v>4.4201465627544492</v>
      </c>
      <c r="I174" s="316">
        <f t="shared" si="11"/>
        <v>4.7923694311969287</v>
      </c>
      <c r="J174" s="316">
        <f t="shared" si="11"/>
        <v>5.1645922996394091</v>
      </c>
      <c r="K174" s="316">
        <f t="shared" si="11"/>
        <v>5.5368151680818896</v>
      </c>
    </row>
    <row r="175" spans="1:11" x14ac:dyDescent="0.35">
      <c r="A175">
        <v>1705</v>
      </c>
      <c r="B175" t="s">
        <v>185</v>
      </c>
      <c r="C175">
        <f>VLOOKUP($B175,'[1]taakstelling  2017 2018 2019'!$B$1:$F$389,3,FALSE)</f>
        <v>5</v>
      </c>
      <c r="D175">
        <f>VLOOKUP($B175,'[1]taakstelling  2017 2018 2019'!$B$2:$F$389,4,FALSE)</f>
        <v>8</v>
      </c>
      <c r="E175">
        <f>VLOOKUP($B175,'[1]taakstelling  2017 2018 2019'!$B$2:$F$389,5,FALSE)</f>
        <v>10</v>
      </c>
      <c r="F175">
        <v>13</v>
      </c>
      <c r="G175">
        <v>15</v>
      </c>
      <c r="H175" s="316">
        <f t="shared" si="11"/>
        <v>16.575549610329183</v>
      </c>
      <c r="I175" s="316">
        <f t="shared" si="11"/>
        <v>17.971385366988482</v>
      </c>
      <c r="J175" s="316">
        <f t="shared" si="11"/>
        <v>19.367221123647781</v>
      </c>
      <c r="K175" s="316">
        <f t="shared" si="11"/>
        <v>20.763056880307083</v>
      </c>
    </row>
    <row r="176" spans="1:11" x14ac:dyDescent="0.35">
      <c r="A176">
        <v>553</v>
      </c>
      <c r="B176" t="s">
        <v>186</v>
      </c>
      <c r="C176">
        <f>VLOOKUP($B176,'[1]taakstelling  2017 2018 2019'!$B$1:$F$389,3,FALSE)</f>
        <v>2</v>
      </c>
      <c r="D176">
        <f>VLOOKUP($B176,'[1]taakstelling  2017 2018 2019'!$B$2:$F$389,4,FALSE)</f>
        <v>5</v>
      </c>
      <c r="E176">
        <f>VLOOKUP($B176,'[1]taakstelling  2017 2018 2019'!$B$2:$F$389,5,FALSE)</f>
        <v>6</v>
      </c>
      <c r="F176">
        <v>7</v>
      </c>
      <c r="G176">
        <v>8</v>
      </c>
      <c r="H176" s="316">
        <f t="shared" si="11"/>
        <v>8.8402931255088983</v>
      </c>
      <c r="I176" s="316">
        <f t="shared" si="11"/>
        <v>9.5847388623938574</v>
      </c>
      <c r="J176" s="316">
        <f t="shared" si="11"/>
        <v>10.329184599278818</v>
      </c>
      <c r="K176" s="316">
        <f t="shared" si="11"/>
        <v>11.073630336163779</v>
      </c>
    </row>
    <row r="177" spans="1:11" x14ac:dyDescent="0.35">
      <c r="A177">
        <v>262</v>
      </c>
      <c r="B177" t="s">
        <v>187</v>
      </c>
      <c r="C177">
        <f>VLOOKUP($B177,'[1]taakstelling  2017 2018 2019'!$B$1:$F$389,3,FALSE)</f>
        <v>3</v>
      </c>
      <c r="D177">
        <f>VLOOKUP($B177,'[1]taakstelling  2017 2018 2019'!$B$2:$F$389,4,FALSE)</f>
        <v>6</v>
      </c>
      <c r="E177">
        <f>VLOOKUP($B177,'[1]taakstelling  2017 2018 2019'!$B$2:$F$389,5,FALSE)</f>
        <v>7</v>
      </c>
      <c r="F177">
        <v>9</v>
      </c>
      <c r="G177">
        <v>10</v>
      </c>
      <c r="H177" s="316">
        <f t="shared" si="11"/>
        <v>11.050366406886122</v>
      </c>
      <c r="I177" s="316">
        <f t="shared" si="11"/>
        <v>11.980923577992321</v>
      </c>
      <c r="J177" s="316">
        <f t="shared" si="11"/>
        <v>12.911480749098523</v>
      </c>
      <c r="K177" s="316">
        <f t="shared" si="11"/>
        <v>13.842037920204723</v>
      </c>
    </row>
    <row r="178" spans="1:11" x14ac:dyDescent="0.35">
      <c r="A178">
        <v>809</v>
      </c>
      <c r="B178" t="s">
        <v>188</v>
      </c>
      <c r="C178">
        <f>VLOOKUP($B178,'[1]taakstelling  2017 2018 2019'!$B$1:$F$389,3,FALSE)</f>
        <v>2</v>
      </c>
      <c r="D178">
        <f>VLOOKUP($B178,'[1]taakstelling  2017 2018 2019'!$B$2:$F$389,4,FALSE)</f>
        <v>4</v>
      </c>
      <c r="E178">
        <f>VLOOKUP($B178,'[1]taakstelling  2017 2018 2019'!$B$2:$F$389,5,FALSE)</f>
        <v>6</v>
      </c>
      <c r="F178">
        <v>7</v>
      </c>
      <c r="G178">
        <v>8</v>
      </c>
      <c r="H178" s="316">
        <f t="shared" si="11"/>
        <v>8.8402931255088983</v>
      </c>
      <c r="I178" s="316">
        <f t="shared" si="11"/>
        <v>9.5847388623938574</v>
      </c>
      <c r="J178" s="316">
        <f t="shared" si="11"/>
        <v>10.329184599278818</v>
      </c>
      <c r="K178" s="316">
        <f t="shared" si="11"/>
        <v>11.073630336163779</v>
      </c>
    </row>
    <row r="179" spans="1:11" x14ac:dyDescent="0.35">
      <c r="A179">
        <v>331</v>
      </c>
      <c r="B179" t="s">
        <v>189</v>
      </c>
      <c r="C179">
        <f>VLOOKUP($B179,'[1]taakstelling  2017 2018 2019'!$B$1:$F$389,3,FALSE)</f>
        <v>1</v>
      </c>
      <c r="D179">
        <f>VLOOKUP($B179,'[1]taakstelling  2017 2018 2019'!$B$2:$F$389,4,FALSE)</f>
        <v>2</v>
      </c>
      <c r="E179">
        <f>VLOOKUP($B179,'[1]taakstelling  2017 2018 2019'!$B$2:$F$389,5,FALSE)</f>
        <v>2</v>
      </c>
      <c r="F179">
        <v>3</v>
      </c>
      <c r="G179">
        <v>3</v>
      </c>
      <c r="H179" s="316">
        <f t="shared" si="11"/>
        <v>3.3151099220658367</v>
      </c>
      <c r="I179" s="316">
        <f t="shared" si="11"/>
        <v>3.5942770733976968</v>
      </c>
      <c r="J179" s="316">
        <f t="shared" si="11"/>
        <v>3.8734442247295564</v>
      </c>
      <c r="K179" s="316">
        <f t="shared" si="11"/>
        <v>4.1526113760614169</v>
      </c>
    </row>
    <row r="180" spans="1:11" x14ac:dyDescent="0.35">
      <c r="A180">
        <v>168</v>
      </c>
      <c r="B180" t="s">
        <v>191</v>
      </c>
      <c r="C180">
        <f>VLOOKUP($B180,'[1]taakstelling  2017 2018 2019'!$B$1:$F$389,3,FALSE)</f>
        <v>2</v>
      </c>
      <c r="D180">
        <f>VLOOKUP($B180,'[1]taakstelling  2017 2018 2019'!$B$2:$F$389,4,FALSE)</f>
        <v>4</v>
      </c>
      <c r="E180">
        <f>VLOOKUP($B180,'[1]taakstelling  2017 2018 2019'!$B$2:$F$389,5,FALSE)</f>
        <v>5</v>
      </c>
      <c r="F180">
        <v>6</v>
      </c>
      <c r="G180">
        <v>7</v>
      </c>
      <c r="H180" s="316">
        <f t="shared" ref="H180:K195" si="12">+G180/G$355*H$355</f>
        <v>7.7352564848202858</v>
      </c>
      <c r="I180" s="316">
        <f t="shared" si="12"/>
        <v>8.3866465045946264</v>
      </c>
      <c r="J180" s="316">
        <f t="shared" si="12"/>
        <v>9.038036524368966</v>
      </c>
      <c r="K180" s="316">
        <f t="shared" si="12"/>
        <v>9.6894265441433056</v>
      </c>
    </row>
    <row r="181" spans="1:11" x14ac:dyDescent="0.35">
      <c r="A181">
        <v>263</v>
      </c>
      <c r="B181" t="s">
        <v>192</v>
      </c>
      <c r="C181">
        <f>VLOOKUP($B181,'[1]taakstelling  2017 2018 2019'!$B$1:$F$389,3,FALSE)</f>
        <v>3</v>
      </c>
      <c r="D181">
        <f>VLOOKUP($B181,'[1]taakstelling  2017 2018 2019'!$B$2:$F$389,4,FALSE)</f>
        <v>7</v>
      </c>
      <c r="E181">
        <f>VLOOKUP($B181,'[1]taakstelling  2017 2018 2019'!$B$2:$F$389,5,FALSE)</f>
        <v>9</v>
      </c>
      <c r="F181">
        <v>11</v>
      </c>
      <c r="G181">
        <v>13</v>
      </c>
      <c r="H181" s="316">
        <f t="shared" si="12"/>
        <v>14.36547632895196</v>
      </c>
      <c r="I181" s="316">
        <f t="shared" si="12"/>
        <v>15.57520065139002</v>
      </c>
      <c r="J181" s="316">
        <f t="shared" si="12"/>
        <v>16.78492497382808</v>
      </c>
      <c r="K181" s="316">
        <f t="shared" si="12"/>
        <v>17.99464929626614</v>
      </c>
    </row>
    <row r="182" spans="1:11" x14ac:dyDescent="0.35">
      <c r="A182">
        <v>1641</v>
      </c>
      <c r="B182" t="s">
        <v>193</v>
      </c>
      <c r="C182">
        <f>VLOOKUP($B182,'[1]taakstelling  2017 2018 2019'!$B$1:$F$389,3,FALSE)</f>
        <v>2</v>
      </c>
      <c r="D182">
        <f>VLOOKUP($B182,'[1]taakstelling  2017 2018 2019'!$B$2:$F$389,4,FALSE)</f>
        <v>3</v>
      </c>
      <c r="E182">
        <f>VLOOKUP($B182,'[1]taakstelling  2017 2018 2019'!$B$2:$F$389,5,FALSE)</f>
        <v>4</v>
      </c>
      <c r="F182">
        <v>5</v>
      </c>
      <c r="G182">
        <v>6</v>
      </c>
      <c r="H182" s="316">
        <f t="shared" si="12"/>
        <v>6.6302198441316733</v>
      </c>
      <c r="I182" s="316">
        <f t="shared" si="12"/>
        <v>7.1885541467953935</v>
      </c>
      <c r="J182" s="316">
        <f t="shared" si="12"/>
        <v>7.7468884494591128</v>
      </c>
      <c r="K182" s="316">
        <f t="shared" si="12"/>
        <v>8.3052227521228339</v>
      </c>
    </row>
    <row r="183" spans="1:11" x14ac:dyDescent="0.35">
      <c r="A183">
        <v>556</v>
      </c>
      <c r="B183" t="s">
        <v>194</v>
      </c>
      <c r="C183">
        <f>VLOOKUP($B183,'[1]taakstelling  2017 2018 2019'!$B$1:$F$389,3,FALSE)</f>
        <v>4</v>
      </c>
      <c r="D183">
        <f>VLOOKUP($B183,'[1]taakstelling  2017 2018 2019'!$B$2:$F$389,4,FALSE)</f>
        <v>8</v>
      </c>
      <c r="E183">
        <f>VLOOKUP($B183,'[1]taakstelling  2017 2018 2019'!$B$2:$F$389,5,FALSE)</f>
        <v>11</v>
      </c>
      <c r="F183">
        <v>13</v>
      </c>
      <c r="G183">
        <v>15</v>
      </c>
      <c r="H183" s="316">
        <f t="shared" si="12"/>
        <v>16.575549610329183</v>
      </c>
      <c r="I183" s="316">
        <f t="shared" si="12"/>
        <v>17.971385366988482</v>
      </c>
      <c r="J183" s="316">
        <f t="shared" si="12"/>
        <v>19.367221123647781</v>
      </c>
      <c r="K183" s="316">
        <f t="shared" si="12"/>
        <v>20.763056880307083</v>
      </c>
    </row>
    <row r="184" spans="1:11" x14ac:dyDescent="0.35">
      <c r="A184">
        <v>935</v>
      </c>
      <c r="B184" t="s">
        <v>195</v>
      </c>
      <c r="C184">
        <f>VLOOKUP($B184,'[1]taakstelling  2017 2018 2019'!$B$1:$F$389,3,FALSE)</f>
        <v>30</v>
      </c>
      <c r="D184">
        <f>VLOOKUP($B184,'[1]taakstelling  2017 2018 2019'!$B$2:$F$389,4,FALSE)</f>
        <v>54</v>
      </c>
      <c r="E184">
        <f>VLOOKUP($B184,'[1]taakstelling  2017 2018 2019'!$B$2:$F$389,5,FALSE)</f>
        <v>70</v>
      </c>
      <c r="F184">
        <v>87</v>
      </c>
      <c r="G184">
        <v>101</v>
      </c>
      <c r="H184" s="316">
        <f t="shared" si="12"/>
        <v>111.60870070954984</v>
      </c>
      <c r="I184" s="316">
        <f t="shared" si="12"/>
        <v>121.00732813772245</v>
      </c>
      <c r="J184" s="316">
        <f t="shared" si="12"/>
        <v>130.40595556589508</v>
      </c>
      <c r="K184" s="316">
        <f t="shared" si="12"/>
        <v>139.80458299406772</v>
      </c>
    </row>
    <row r="185" spans="1:11" x14ac:dyDescent="0.35">
      <c r="A185">
        <v>420</v>
      </c>
      <c r="B185" t="s">
        <v>196</v>
      </c>
      <c r="C185">
        <f>VLOOKUP($B185,'[1]taakstelling  2017 2018 2019'!$B$1:$F$389,3,FALSE)</f>
        <v>7</v>
      </c>
      <c r="D185">
        <f>VLOOKUP($B185,'[1]taakstelling  2017 2018 2019'!$B$2:$F$389,4,FALSE)</f>
        <v>10</v>
      </c>
      <c r="E185">
        <f>VLOOKUP($B185,'[1]taakstelling  2017 2018 2019'!$B$2:$F$389,5,FALSE)</f>
        <v>13</v>
      </c>
      <c r="F185">
        <v>16</v>
      </c>
      <c r="G185">
        <v>19</v>
      </c>
      <c r="H185" s="316">
        <f t="shared" si="12"/>
        <v>20.995696173083637</v>
      </c>
      <c r="I185" s="316">
        <f t="shared" si="12"/>
        <v>22.763754798185417</v>
      </c>
      <c r="J185" s="316">
        <f t="shared" si="12"/>
        <v>24.531813423287197</v>
      </c>
      <c r="K185" s="316">
        <f t="shared" si="12"/>
        <v>26.299872048388973</v>
      </c>
    </row>
    <row r="186" spans="1:11" x14ac:dyDescent="0.35">
      <c r="A186">
        <v>938</v>
      </c>
      <c r="B186" t="s">
        <v>197</v>
      </c>
      <c r="C186">
        <f>VLOOKUP($B186,'[1]taakstelling  2017 2018 2019'!$B$1:$F$389,3,FALSE)</f>
        <v>2</v>
      </c>
      <c r="D186">
        <f>VLOOKUP($B186,'[1]taakstelling  2017 2018 2019'!$B$2:$F$389,4,FALSE)</f>
        <v>4</v>
      </c>
      <c r="E186">
        <f>VLOOKUP($B186,'[1]taakstelling  2017 2018 2019'!$B$2:$F$389,5,FALSE)</f>
        <v>6</v>
      </c>
      <c r="F186">
        <v>7</v>
      </c>
      <c r="G186">
        <v>8</v>
      </c>
      <c r="H186" s="316">
        <f t="shared" si="12"/>
        <v>8.8402931255088983</v>
      </c>
      <c r="I186" s="316">
        <f t="shared" si="12"/>
        <v>9.5847388623938574</v>
      </c>
      <c r="J186" s="316">
        <f t="shared" si="12"/>
        <v>10.329184599278818</v>
      </c>
      <c r="K186" s="316">
        <f t="shared" si="12"/>
        <v>11.073630336163779</v>
      </c>
    </row>
    <row r="187" spans="1:11" x14ac:dyDescent="0.35">
      <c r="A187">
        <v>1948</v>
      </c>
      <c r="B187" t="s">
        <v>198</v>
      </c>
      <c r="C187">
        <f>VLOOKUP($B187,'[1]taakstelling  2017 2018 2019'!$B$1:$F$389,3,FALSE)</f>
        <v>15</v>
      </c>
      <c r="D187">
        <f>VLOOKUP($B187,'[1]taakstelling  2017 2018 2019'!$B$2:$F$389,4,FALSE)</f>
        <v>33</v>
      </c>
      <c r="E187">
        <f>VLOOKUP($B187,'[1]taakstelling  2017 2018 2019'!$B$2:$F$389,5,FALSE)</f>
        <v>43</v>
      </c>
      <c r="F187">
        <v>53</v>
      </c>
      <c r="G187">
        <v>61</v>
      </c>
      <c r="H187" s="316">
        <f t="shared" si="12"/>
        <v>67.407235082005343</v>
      </c>
      <c r="I187" s="316">
        <f t="shared" si="12"/>
        <v>73.083633825753154</v>
      </c>
      <c r="J187" s="316">
        <f t="shared" si="12"/>
        <v>78.760032569500979</v>
      </c>
      <c r="K187" s="316">
        <f t="shared" si="12"/>
        <v>84.436431313248789</v>
      </c>
    </row>
    <row r="188" spans="1:11" x14ac:dyDescent="0.35">
      <c r="A188">
        <v>119</v>
      </c>
      <c r="B188" t="s">
        <v>199</v>
      </c>
      <c r="C188">
        <f>VLOOKUP($B188,'[1]taakstelling  2017 2018 2019'!$B$1:$F$389,3,FALSE)</f>
        <v>6</v>
      </c>
      <c r="D188">
        <f>VLOOKUP($B188,'[1]taakstelling  2017 2018 2019'!$B$2:$F$389,4,FALSE)</f>
        <v>10</v>
      </c>
      <c r="E188">
        <f>VLOOKUP($B188,'[1]taakstelling  2017 2018 2019'!$B$2:$F$389,5,FALSE)</f>
        <v>13</v>
      </c>
      <c r="F188">
        <v>16</v>
      </c>
      <c r="G188">
        <v>18</v>
      </c>
      <c r="H188" s="316">
        <f t="shared" si="12"/>
        <v>19.890659532395023</v>
      </c>
      <c r="I188" s="316">
        <f t="shared" si="12"/>
        <v>21.565662440386181</v>
      </c>
      <c r="J188" s="316">
        <f t="shared" si="12"/>
        <v>23.240665348377341</v>
      </c>
      <c r="K188" s="316">
        <f t="shared" si="12"/>
        <v>24.915668256368502</v>
      </c>
    </row>
    <row r="189" spans="1:11" x14ac:dyDescent="0.35">
      <c r="A189">
        <v>687</v>
      </c>
      <c r="B189" t="s">
        <v>200</v>
      </c>
      <c r="C189">
        <f>VLOOKUP($B189,'[1]taakstelling  2017 2018 2019'!$B$1:$F$389,3,FALSE)</f>
        <v>5</v>
      </c>
      <c r="D189">
        <f>VLOOKUP($B189,'[1]taakstelling  2017 2018 2019'!$B$2:$F$389,4,FALSE)</f>
        <v>9</v>
      </c>
      <c r="E189">
        <f>VLOOKUP($B189,'[1]taakstelling  2017 2018 2019'!$B$2:$F$389,5,FALSE)</f>
        <v>12</v>
      </c>
      <c r="F189">
        <v>15</v>
      </c>
      <c r="G189">
        <v>18</v>
      </c>
      <c r="H189" s="316">
        <f t="shared" si="12"/>
        <v>19.890659532395023</v>
      </c>
      <c r="I189" s="316">
        <f t="shared" si="12"/>
        <v>21.565662440386181</v>
      </c>
      <c r="J189" s="316">
        <f t="shared" si="12"/>
        <v>23.240665348377341</v>
      </c>
      <c r="K189" s="316">
        <f t="shared" si="12"/>
        <v>24.915668256368502</v>
      </c>
    </row>
    <row r="190" spans="1:11" x14ac:dyDescent="0.35">
      <c r="A190">
        <v>1731</v>
      </c>
      <c r="B190" t="s">
        <v>701</v>
      </c>
      <c r="C190">
        <f>VLOOKUP($B190,'[1]taakstelling  2017 2018 2019'!$B$1:$F$389,3,FALSE)</f>
        <v>4</v>
      </c>
      <c r="D190">
        <f>VLOOKUP($B190,'[1]taakstelling  2017 2018 2019'!$B$2:$F$389,4,FALSE)</f>
        <v>7</v>
      </c>
      <c r="E190">
        <f>VLOOKUP($B190,'[1]taakstelling  2017 2018 2019'!$B$2:$F$389,5,FALSE)</f>
        <v>9</v>
      </c>
      <c r="F190">
        <v>11</v>
      </c>
      <c r="G190">
        <v>6</v>
      </c>
      <c r="H190" s="316">
        <f t="shared" si="12"/>
        <v>6.6302198441316733</v>
      </c>
      <c r="I190" s="316">
        <f t="shared" si="12"/>
        <v>7.1885541467953935</v>
      </c>
      <c r="J190" s="316">
        <f t="shared" si="12"/>
        <v>7.7468884494591128</v>
      </c>
      <c r="K190" s="316">
        <f t="shared" si="12"/>
        <v>8.3052227521228339</v>
      </c>
    </row>
    <row r="191" spans="1:11" x14ac:dyDescent="0.35">
      <c r="A191">
        <v>1842</v>
      </c>
      <c r="B191" t="s">
        <v>202</v>
      </c>
      <c r="C191">
        <f>VLOOKUP($B191,'[1]taakstelling  2017 2018 2019'!$B$1:$F$389,3,FALSE)</f>
        <v>2</v>
      </c>
      <c r="D191">
        <f>VLOOKUP($B191,'[1]taakstelling  2017 2018 2019'!$B$2:$F$389,4,FALSE)</f>
        <v>3</v>
      </c>
      <c r="E191">
        <f>VLOOKUP($B191,'[1]taakstelling  2017 2018 2019'!$B$2:$F$389,5,FALSE)</f>
        <v>4</v>
      </c>
      <c r="F191">
        <v>5</v>
      </c>
      <c r="G191">
        <v>13</v>
      </c>
      <c r="H191" s="316">
        <f t="shared" si="12"/>
        <v>14.36547632895196</v>
      </c>
      <c r="I191" s="316">
        <f t="shared" si="12"/>
        <v>15.57520065139002</v>
      </c>
      <c r="J191" s="316">
        <f t="shared" si="12"/>
        <v>16.78492497382808</v>
      </c>
      <c r="K191" s="316">
        <f t="shared" si="12"/>
        <v>17.99464929626614</v>
      </c>
    </row>
    <row r="192" spans="1:11" x14ac:dyDescent="0.35">
      <c r="A192">
        <v>1952</v>
      </c>
      <c r="B192" t="s">
        <v>203</v>
      </c>
      <c r="C192">
        <f>+'[1]taakstelling  2017 2018 2019'!D160+'[1]taakstelling  2017 2018 2019'!D212+'[1]taakstelling  2017 2018 2019'!D296</f>
        <v>12</v>
      </c>
      <c r="D192">
        <f>+'[1]taakstelling  2017 2018 2019'!E160+'[1]taakstelling  2017 2018 2019'!E212+'[1]taakstelling  2017 2018 2019'!E296</f>
        <v>20</v>
      </c>
      <c r="E192">
        <f>+'[1]taakstelling  2017 2018 2019'!F160+'[1]taakstelling  2017 2018 2019'!F212+'[1]taakstelling  2017 2018 2019'!F296</f>
        <v>26</v>
      </c>
      <c r="F192">
        <v>32</v>
      </c>
      <c r="G192">
        <v>37</v>
      </c>
      <c r="H192" s="316">
        <f t="shared" si="12"/>
        <v>40.886355705478657</v>
      </c>
      <c r="I192" s="316">
        <f t="shared" si="12"/>
        <v>44.329417238571594</v>
      </c>
      <c r="J192" s="316">
        <f t="shared" si="12"/>
        <v>47.772478771664531</v>
      </c>
      <c r="K192" s="316">
        <f t="shared" si="12"/>
        <v>51.215540304757475</v>
      </c>
    </row>
    <row r="194" spans="1:11" x14ac:dyDescent="0.35">
      <c r="A194">
        <v>1709</v>
      </c>
      <c r="B194" t="s">
        <v>205</v>
      </c>
      <c r="C194">
        <f>VLOOKUP($B194,'[1]taakstelling  2017 2018 2019'!$B$1:$F$389,3,FALSE)</f>
        <v>4</v>
      </c>
      <c r="D194">
        <f>VLOOKUP($B194,'[1]taakstelling  2017 2018 2019'!$B$2:$F$389,4,FALSE)</f>
        <v>7</v>
      </c>
      <c r="E194">
        <f>VLOOKUP($B194,'[1]taakstelling  2017 2018 2019'!$B$2:$F$389,5,FALSE)</f>
        <v>9</v>
      </c>
      <c r="F194">
        <v>11</v>
      </c>
      <c r="G194">
        <v>13</v>
      </c>
      <c r="H194" s="316">
        <f t="shared" si="12"/>
        <v>14.36547632895196</v>
      </c>
      <c r="I194" s="316">
        <f t="shared" si="12"/>
        <v>15.57520065139002</v>
      </c>
      <c r="J194" s="316">
        <f t="shared" si="12"/>
        <v>16.78492497382808</v>
      </c>
      <c r="K194" s="316">
        <f t="shared" si="12"/>
        <v>17.99464929626614</v>
      </c>
    </row>
    <row r="195" spans="1:11" x14ac:dyDescent="0.35">
      <c r="A195">
        <v>1978</v>
      </c>
      <c r="B195" t="s">
        <v>206</v>
      </c>
      <c r="C195">
        <f>+'[1]taakstelling  2017 2018 2019'!D114+'[1]taakstelling  2017 2018 2019'!D219</f>
        <v>3</v>
      </c>
      <c r="D195">
        <f>+'[1]taakstelling  2017 2018 2019'!E114+'[1]taakstelling  2017 2018 2019'!E219</f>
        <v>5</v>
      </c>
      <c r="E195">
        <f>+'[1]taakstelling  2017 2018 2019'!F114+'[1]taakstelling  2017 2018 2019'!F219</f>
        <v>6</v>
      </c>
      <c r="F195">
        <v>7</v>
      </c>
      <c r="G195">
        <v>9</v>
      </c>
      <c r="H195" s="316">
        <f t="shared" si="12"/>
        <v>9.9453297661975117</v>
      </c>
      <c r="I195" s="316">
        <f t="shared" si="12"/>
        <v>10.78283122019309</v>
      </c>
      <c r="J195" s="316">
        <f t="shared" si="12"/>
        <v>11.620332674188671</v>
      </c>
      <c r="K195" s="316">
        <f t="shared" si="12"/>
        <v>12.457834128184251</v>
      </c>
    </row>
    <row r="196" spans="1:11" x14ac:dyDescent="0.35">
      <c r="A196">
        <v>1955</v>
      </c>
      <c r="B196" t="s">
        <v>207</v>
      </c>
      <c r="C196">
        <f>VLOOKUP($B196,'[1]taakstelling  2017 2018 2019'!$B$1:$F$389,3,FALSE)</f>
        <v>6</v>
      </c>
      <c r="D196">
        <f>VLOOKUP($B196,'[1]taakstelling  2017 2018 2019'!$B$2:$F$389,4,FALSE)</f>
        <v>11</v>
      </c>
      <c r="E196">
        <f>VLOOKUP($B196,'[1]taakstelling  2017 2018 2019'!$B$2:$F$389,5,FALSE)</f>
        <v>15</v>
      </c>
      <c r="F196">
        <v>18</v>
      </c>
      <c r="G196">
        <v>21</v>
      </c>
      <c r="H196" s="316">
        <f t="shared" ref="H196:K211" si="13">+G196/G$355*H$355</f>
        <v>23.205769454460857</v>
      </c>
      <c r="I196" s="316">
        <f t="shared" si="13"/>
        <v>25.159939513783879</v>
      </c>
      <c r="J196" s="316">
        <f t="shared" si="13"/>
        <v>27.114109573106898</v>
      </c>
      <c r="K196" s="316">
        <f t="shared" si="13"/>
        <v>29.068279632429917</v>
      </c>
    </row>
    <row r="197" spans="1:11" x14ac:dyDescent="0.35">
      <c r="A197">
        <v>335</v>
      </c>
      <c r="B197" t="s">
        <v>208</v>
      </c>
      <c r="C197">
        <f>VLOOKUP($B197,'[1]taakstelling  2017 2018 2019'!$B$1:$F$389,3,FALSE)</f>
        <v>1</v>
      </c>
      <c r="D197">
        <f>VLOOKUP($B197,'[1]taakstelling  2017 2018 2019'!$B$2:$F$389,4,FALSE)</f>
        <v>1</v>
      </c>
      <c r="E197">
        <f>VLOOKUP($B197,'[1]taakstelling  2017 2018 2019'!$B$2:$F$389,5,FALSE)</f>
        <v>2</v>
      </c>
      <c r="F197">
        <v>2</v>
      </c>
      <c r="G197">
        <v>3</v>
      </c>
      <c r="H197" s="316">
        <f t="shared" si="13"/>
        <v>3.3151099220658367</v>
      </c>
      <c r="I197" s="316">
        <f t="shared" si="13"/>
        <v>3.5942770733976968</v>
      </c>
      <c r="J197" s="316">
        <f t="shared" si="13"/>
        <v>3.8734442247295564</v>
      </c>
      <c r="K197" s="316">
        <f t="shared" si="13"/>
        <v>4.1526113760614169</v>
      </c>
    </row>
    <row r="198" spans="1:11" x14ac:dyDescent="0.35">
      <c r="A198">
        <v>944</v>
      </c>
      <c r="B198" t="s">
        <v>209</v>
      </c>
      <c r="C198">
        <f>VLOOKUP($B198,'[1]taakstelling  2017 2018 2019'!$B$1:$F$389,3,FALSE)</f>
        <v>1</v>
      </c>
      <c r="D198">
        <f>VLOOKUP($B198,'[1]taakstelling  2017 2018 2019'!$B$2:$F$389,4,FALSE)</f>
        <v>2</v>
      </c>
      <c r="E198">
        <f>VLOOKUP($B198,'[1]taakstelling  2017 2018 2019'!$B$2:$F$389,5,FALSE)</f>
        <v>2</v>
      </c>
      <c r="F198">
        <v>2</v>
      </c>
      <c r="G198">
        <v>3</v>
      </c>
      <c r="H198" s="316">
        <f t="shared" si="13"/>
        <v>3.3151099220658367</v>
      </c>
      <c r="I198" s="316">
        <f t="shared" si="13"/>
        <v>3.5942770733976968</v>
      </c>
      <c r="J198" s="316">
        <f t="shared" si="13"/>
        <v>3.8734442247295564</v>
      </c>
      <c r="K198" s="316">
        <f t="shared" si="13"/>
        <v>4.1526113760614169</v>
      </c>
    </row>
    <row r="199" spans="1:11" x14ac:dyDescent="0.35">
      <c r="A199">
        <v>1740</v>
      </c>
      <c r="B199" t="s">
        <v>210</v>
      </c>
      <c r="C199">
        <f>VLOOKUP($B199,'[1]taakstelling  2017 2018 2019'!$B$1:$F$389,3,FALSE)</f>
        <v>2</v>
      </c>
      <c r="D199">
        <f>VLOOKUP($B199,'[1]taakstelling  2017 2018 2019'!$B$2:$F$389,4,FALSE)</f>
        <v>5</v>
      </c>
      <c r="E199">
        <f>VLOOKUP($B199,'[1]taakstelling  2017 2018 2019'!$B$2:$F$389,5,FALSE)</f>
        <v>6</v>
      </c>
      <c r="F199">
        <v>8</v>
      </c>
      <c r="G199">
        <v>9</v>
      </c>
      <c r="H199" s="316">
        <f t="shared" si="13"/>
        <v>9.9453297661975117</v>
      </c>
      <c r="I199" s="316">
        <f t="shared" si="13"/>
        <v>10.78283122019309</v>
      </c>
      <c r="J199" s="316">
        <f t="shared" si="13"/>
        <v>11.620332674188671</v>
      </c>
      <c r="K199" s="316">
        <f t="shared" si="13"/>
        <v>12.457834128184251</v>
      </c>
    </row>
    <row r="200" spans="1:11" x14ac:dyDescent="0.35">
      <c r="A200">
        <v>946</v>
      </c>
      <c r="B200" t="s">
        <v>211</v>
      </c>
      <c r="C200">
        <f>VLOOKUP($B200,'[1]taakstelling  2017 2018 2019'!$B$1:$F$389,3,FALSE)</f>
        <v>1</v>
      </c>
      <c r="D200">
        <f>VLOOKUP($B200,'[1]taakstelling  2017 2018 2019'!$B$2:$F$389,4,FALSE)</f>
        <v>2</v>
      </c>
      <c r="E200">
        <f>VLOOKUP($B200,'[1]taakstelling  2017 2018 2019'!$B$2:$F$389,5,FALSE)</f>
        <v>3</v>
      </c>
      <c r="F200">
        <v>3</v>
      </c>
      <c r="G200">
        <v>4</v>
      </c>
      <c r="H200" s="316">
        <f t="shared" si="13"/>
        <v>4.4201465627544492</v>
      </c>
      <c r="I200" s="316">
        <f t="shared" si="13"/>
        <v>4.7923694311969287</v>
      </c>
      <c r="J200" s="316">
        <f t="shared" si="13"/>
        <v>5.1645922996394091</v>
      </c>
      <c r="K200" s="316">
        <f t="shared" si="13"/>
        <v>5.5368151680818896</v>
      </c>
    </row>
    <row r="201" spans="1:11" x14ac:dyDescent="0.35">
      <c r="A201">
        <v>356</v>
      </c>
      <c r="B201" t="s">
        <v>212</v>
      </c>
      <c r="C201">
        <f>VLOOKUP($B201,'[1]taakstelling  2017 2018 2019'!$B$1:$F$389,3,FALSE)</f>
        <v>9</v>
      </c>
      <c r="D201">
        <f>VLOOKUP($B201,'[1]taakstelling  2017 2018 2019'!$B$2:$F$389,4,FALSE)</f>
        <v>15</v>
      </c>
      <c r="E201">
        <f>VLOOKUP($B201,'[1]taakstelling  2017 2018 2019'!$B$2:$F$389,5,FALSE)</f>
        <v>19</v>
      </c>
      <c r="F201">
        <v>23</v>
      </c>
      <c r="G201">
        <v>27</v>
      </c>
      <c r="H201" s="316">
        <f t="shared" si="13"/>
        <v>29.835989298592533</v>
      </c>
      <c r="I201" s="316">
        <f t="shared" si="13"/>
        <v>32.348493660579273</v>
      </c>
      <c r="J201" s="316">
        <f t="shared" si="13"/>
        <v>34.860998022566015</v>
      </c>
      <c r="K201" s="316">
        <f t="shared" si="13"/>
        <v>37.373502384552751</v>
      </c>
    </row>
    <row r="202" spans="1:11" x14ac:dyDescent="0.35">
      <c r="A202">
        <v>569</v>
      </c>
      <c r="B202" t="s">
        <v>213</v>
      </c>
      <c r="C202">
        <f>VLOOKUP($B202,'[1]taakstelling  2017 2018 2019'!$B$1:$F$389,3,FALSE)</f>
        <v>2</v>
      </c>
      <c r="D202">
        <f>VLOOKUP($B202,'[1]taakstelling  2017 2018 2019'!$B$2:$F$389,4,FALSE)</f>
        <v>4</v>
      </c>
      <c r="E202">
        <f>VLOOKUP($B202,'[1]taakstelling  2017 2018 2019'!$B$2:$F$389,5,FALSE)</f>
        <v>6</v>
      </c>
      <c r="F202">
        <v>7</v>
      </c>
      <c r="G202">
        <v>8</v>
      </c>
      <c r="H202" s="316">
        <f t="shared" si="13"/>
        <v>8.8402931255088983</v>
      </c>
      <c r="I202" s="316">
        <f t="shared" si="13"/>
        <v>9.5847388623938574</v>
      </c>
      <c r="J202" s="316">
        <f t="shared" si="13"/>
        <v>10.329184599278818</v>
      </c>
      <c r="K202" s="316">
        <f t="shared" si="13"/>
        <v>11.073630336163779</v>
      </c>
    </row>
    <row r="203" spans="1:11" x14ac:dyDescent="0.35">
      <c r="A203">
        <v>267</v>
      </c>
      <c r="B203" t="s">
        <v>214</v>
      </c>
      <c r="C203">
        <f>VLOOKUP($B203,'[1]taakstelling  2017 2018 2019'!$B$1:$F$389,3,FALSE)</f>
        <v>4</v>
      </c>
      <c r="D203">
        <f>VLOOKUP($B203,'[1]taakstelling  2017 2018 2019'!$B$2:$F$389,4,FALSE)</f>
        <v>6</v>
      </c>
      <c r="E203">
        <f>VLOOKUP($B203,'[1]taakstelling  2017 2018 2019'!$B$2:$F$389,5,FALSE)</f>
        <v>8</v>
      </c>
      <c r="F203">
        <v>10</v>
      </c>
      <c r="G203">
        <v>12</v>
      </c>
      <c r="H203" s="316">
        <f t="shared" si="13"/>
        <v>13.260439688263347</v>
      </c>
      <c r="I203" s="316">
        <f t="shared" si="13"/>
        <v>14.377108293590787</v>
      </c>
      <c r="J203" s="316">
        <f t="shared" si="13"/>
        <v>15.493776898918226</v>
      </c>
      <c r="K203" s="316">
        <f t="shared" si="13"/>
        <v>16.610445504245668</v>
      </c>
    </row>
    <row r="204" spans="1:11" x14ac:dyDescent="0.35">
      <c r="A204">
        <v>268</v>
      </c>
      <c r="B204" t="s">
        <v>215</v>
      </c>
      <c r="C204">
        <f>VLOOKUP($B204,'[1]taakstelling  2017 2018 2019'!$B$1:$F$389,3,FALSE)</f>
        <v>43</v>
      </c>
      <c r="D204">
        <f>VLOOKUP($B204,'[1]taakstelling  2017 2018 2019'!$B$2:$F$389,4,FALSE)</f>
        <v>79</v>
      </c>
      <c r="E204">
        <f>VLOOKUP($B204,'[1]taakstelling  2017 2018 2019'!$B$2:$F$389,5,FALSE)</f>
        <v>103</v>
      </c>
      <c r="F204">
        <v>127</v>
      </c>
      <c r="G204">
        <v>148</v>
      </c>
      <c r="H204" s="316">
        <f t="shared" si="13"/>
        <v>163.54542282191463</v>
      </c>
      <c r="I204" s="316">
        <f t="shared" si="13"/>
        <v>177.31766895428638</v>
      </c>
      <c r="J204" s="316">
        <f t="shared" si="13"/>
        <v>191.08991508665812</v>
      </c>
      <c r="K204" s="316">
        <f t="shared" si="13"/>
        <v>204.8621612190299</v>
      </c>
    </row>
    <row r="205" spans="1:11" x14ac:dyDescent="0.35">
      <c r="A205">
        <v>1930</v>
      </c>
      <c r="B205" t="s">
        <v>216</v>
      </c>
      <c r="C205">
        <f>VLOOKUP($B205,'[1]taakstelling  2017 2018 2019'!$B$1:$F$389,3,FALSE)</f>
        <v>11</v>
      </c>
      <c r="D205">
        <f>VLOOKUP($B205,'[1]taakstelling  2017 2018 2019'!$B$2:$F$389,4,FALSE)</f>
        <v>18</v>
      </c>
      <c r="E205">
        <f>VLOOKUP($B205,'[1]taakstelling  2017 2018 2019'!$B$2:$F$389,5,FALSE)</f>
        <v>23</v>
      </c>
      <c r="F205">
        <v>28</v>
      </c>
      <c r="G205">
        <v>33</v>
      </c>
      <c r="H205" s="316">
        <f t="shared" si="13"/>
        <v>36.466209142724203</v>
      </c>
      <c r="I205" s="316">
        <f t="shared" si="13"/>
        <v>39.537047807374663</v>
      </c>
      <c r="J205" s="316">
        <f t="shared" si="13"/>
        <v>42.607886472025122</v>
      </c>
      <c r="K205" s="316">
        <f t="shared" si="13"/>
        <v>45.678725136675581</v>
      </c>
    </row>
    <row r="206" spans="1:11" x14ac:dyDescent="0.35">
      <c r="A206">
        <v>1970</v>
      </c>
      <c r="B206" t="s">
        <v>217</v>
      </c>
      <c r="C206">
        <f>+'[1]taakstelling  2017 2018 2019'!D85+'[1]taakstelling  2017 2018 2019'!D107+'[1]taakstelling  2017 2018 2019'!D173</f>
        <v>6</v>
      </c>
      <c r="D206">
        <f>+'[1]taakstelling  2017 2018 2019'!E85+'[1]taakstelling  2017 2018 2019'!E107+'[1]taakstelling  2017 2018 2019'!E173</f>
        <v>8</v>
      </c>
      <c r="E206">
        <f>+'[1]taakstelling  2017 2018 2019'!F85+'[1]taakstelling  2017 2018 2019'!F107+'[1]taakstelling  2017 2018 2019'!F173</f>
        <v>11</v>
      </c>
      <c r="F206">
        <v>14</v>
      </c>
      <c r="G206">
        <v>16</v>
      </c>
      <c r="H206" s="316">
        <f t="shared" si="13"/>
        <v>17.680586251017797</v>
      </c>
      <c r="I206" s="316">
        <f t="shared" si="13"/>
        <v>19.169477724787715</v>
      </c>
      <c r="J206" s="316">
        <f t="shared" si="13"/>
        <v>20.658369198557637</v>
      </c>
      <c r="K206" s="316">
        <f t="shared" si="13"/>
        <v>22.147260672327558</v>
      </c>
    </row>
    <row r="207" spans="1:11" x14ac:dyDescent="0.35">
      <c r="A207">
        <v>1695</v>
      </c>
      <c r="B207" t="s">
        <v>218</v>
      </c>
      <c r="C207">
        <f>VLOOKUP($B207,'[1]taakstelling  2017 2018 2019'!$B$1:$F$389,3,FALSE)</f>
        <v>1</v>
      </c>
      <c r="D207">
        <f>VLOOKUP($B207,'[1]taakstelling  2017 2018 2019'!$B$2:$F$389,4,FALSE)</f>
        <v>2</v>
      </c>
      <c r="E207">
        <f>VLOOKUP($B207,'[1]taakstelling  2017 2018 2019'!$B$2:$F$389,5,FALSE)</f>
        <v>3</v>
      </c>
      <c r="F207">
        <v>3</v>
      </c>
      <c r="G207">
        <v>4</v>
      </c>
      <c r="H207" s="316">
        <f t="shared" si="13"/>
        <v>4.4201465627544492</v>
      </c>
      <c r="I207" s="316">
        <f t="shared" si="13"/>
        <v>4.7923694311969287</v>
      </c>
      <c r="J207" s="316">
        <f t="shared" si="13"/>
        <v>5.1645922996394091</v>
      </c>
      <c r="K207" s="316">
        <f t="shared" si="13"/>
        <v>5.5368151680818896</v>
      </c>
    </row>
    <row r="208" spans="1:11" x14ac:dyDescent="0.35">
      <c r="A208">
        <v>1699</v>
      </c>
      <c r="B208" t="s">
        <v>219</v>
      </c>
      <c r="C208">
        <f>VLOOKUP($B208,'[1]taakstelling  2017 2018 2019'!$B$1:$F$389,3,FALSE)</f>
        <v>3</v>
      </c>
      <c r="D208">
        <f>VLOOKUP($B208,'[1]taakstelling  2017 2018 2019'!$B$2:$F$389,4,FALSE)</f>
        <v>5</v>
      </c>
      <c r="E208">
        <f>VLOOKUP($B208,'[1]taakstelling  2017 2018 2019'!$B$2:$F$389,5,FALSE)</f>
        <v>6</v>
      </c>
      <c r="F208">
        <v>8</v>
      </c>
      <c r="G208">
        <v>9</v>
      </c>
      <c r="H208" s="316">
        <f t="shared" si="13"/>
        <v>9.9453297661975117</v>
      </c>
      <c r="I208" s="316">
        <f t="shared" si="13"/>
        <v>10.78283122019309</v>
      </c>
      <c r="J208" s="316">
        <f t="shared" si="13"/>
        <v>11.620332674188671</v>
      </c>
      <c r="K208" s="316">
        <f t="shared" si="13"/>
        <v>12.457834128184251</v>
      </c>
    </row>
    <row r="209" spans="1:11" x14ac:dyDescent="0.35">
      <c r="A209">
        <v>171</v>
      </c>
      <c r="B209" t="s">
        <v>220</v>
      </c>
      <c r="C209">
        <f>VLOOKUP($B209,'[1]taakstelling  2017 2018 2019'!$B$1:$F$389,3,FALSE)</f>
        <v>4</v>
      </c>
      <c r="D209">
        <f>VLOOKUP($B209,'[1]taakstelling  2017 2018 2019'!$B$2:$F$389,4,FALSE)</f>
        <v>7</v>
      </c>
      <c r="E209">
        <f>VLOOKUP($B209,'[1]taakstelling  2017 2018 2019'!$B$2:$F$389,5,FALSE)</f>
        <v>10</v>
      </c>
      <c r="F209">
        <v>12</v>
      </c>
      <c r="G209">
        <v>14</v>
      </c>
      <c r="H209" s="316">
        <f t="shared" si="13"/>
        <v>15.470512969640572</v>
      </c>
      <c r="I209" s="316">
        <f t="shared" si="13"/>
        <v>16.773293009189253</v>
      </c>
      <c r="J209" s="316">
        <f t="shared" si="13"/>
        <v>18.076073048737932</v>
      </c>
      <c r="K209" s="316">
        <f t="shared" si="13"/>
        <v>19.378853088286611</v>
      </c>
    </row>
    <row r="210" spans="1:11" x14ac:dyDescent="0.35">
      <c r="A210">
        <v>575</v>
      </c>
      <c r="B210" t="s">
        <v>221</v>
      </c>
      <c r="C210">
        <f>VLOOKUP($B210,'[1]taakstelling  2017 2018 2019'!$B$2:$F$389,3,FALSE)+'[1]taakstelling  2017 2018 2019'!D235</f>
        <v>4</v>
      </c>
      <c r="D210">
        <f>VLOOKUP($B210,'[1]taakstelling  2017 2018 2019'!$B$2:$F$389,4,FALSE)+'[1]taakstelling  2017 2018 2019'!E235</f>
        <v>7</v>
      </c>
      <c r="E210">
        <f>VLOOKUP($B210,'[1]taakstelling  2017 2018 2019'!$B$2:$F$389,5,FALSE)+'[1]taakstelling  2017 2018 2019'!F235</f>
        <v>9</v>
      </c>
      <c r="F210">
        <v>12</v>
      </c>
      <c r="G210">
        <v>14</v>
      </c>
      <c r="H210" s="316">
        <f t="shared" si="13"/>
        <v>15.470512969640572</v>
      </c>
      <c r="I210" s="316">
        <f t="shared" si="13"/>
        <v>16.773293009189253</v>
      </c>
      <c r="J210" s="316">
        <f t="shared" si="13"/>
        <v>18.076073048737932</v>
      </c>
      <c r="K210" s="316">
        <f t="shared" si="13"/>
        <v>19.378853088286611</v>
      </c>
    </row>
    <row r="211" spans="1:11" x14ac:dyDescent="0.35">
      <c r="A211">
        <v>820</v>
      </c>
      <c r="B211" t="s">
        <v>222</v>
      </c>
      <c r="C211">
        <f>VLOOKUP($B211,'[1]taakstelling  2017 2018 2019'!$B$1:$F$389,3,FALSE)</f>
        <v>2</v>
      </c>
      <c r="D211">
        <f>VLOOKUP($B211,'[1]taakstelling  2017 2018 2019'!$B$2:$F$389,4,FALSE)</f>
        <v>5</v>
      </c>
      <c r="E211">
        <f>VLOOKUP($B211,'[1]taakstelling  2017 2018 2019'!$B$2:$F$389,5,FALSE)</f>
        <v>6</v>
      </c>
      <c r="F211">
        <v>8</v>
      </c>
      <c r="G211">
        <v>9</v>
      </c>
      <c r="H211" s="316">
        <f t="shared" si="13"/>
        <v>9.9453297661975117</v>
      </c>
      <c r="I211" s="316">
        <f t="shared" si="13"/>
        <v>10.78283122019309</v>
      </c>
      <c r="J211" s="316">
        <f t="shared" si="13"/>
        <v>11.620332674188671</v>
      </c>
      <c r="K211" s="316">
        <f t="shared" si="13"/>
        <v>12.457834128184251</v>
      </c>
    </row>
    <row r="212" spans="1:11" x14ac:dyDescent="0.35">
      <c r="A212">
        <v>302</v>
      </c>
      <c r="B212" t="s">
        <v>223</v>
      </c>
      <c r="C212">
        <f>VLOOKUP($B212,'[1]taakstelling  2017 2018 2019'!$B$1:$F$389,3,FALSE)</f>
        <v>4</v>
      </c>
      <c r="D212">
        <f>VLOOKUP($B212,'[1]taakstelling  2017 2018 2019'!$B$2:$F$389,4,FALSE)</f>
        <v>7</v>
      </c>
      <c r="E212">
        <f>VLOOKUP($B212,'[1]taakstelling  2017 2018 2019'!$B$2:$F$389,5,FALSE)</f>
        <v>9</v>
      </c>
      <c r="F212">
        <v>12</v>
      </c>
      <c r="G212">
        <v>13</v>
      </c>
      <c r="H212" s="316">
        <f t="shared" ref="H212:K227" si="14">+G212/G$355*H$355</f>
        <v>14.36547632895196</v>
      </c>
      <c r="I212" s="316">
        <f t="shared" si="14"/>
        <v>15.57520065139002</v>
      </c>
      <c r="J212" s="316">
        <f t="shared" si="14"/>
        <v>16.78492497382808</v>
      </c>
      <c r="K212" s="316">
        <f t="shared" si="14"/>
        <v>17.99464929626614</v>
      </c>
    </row>
    <row r="213" spans="1:11" x14ac:dyDescent="0.35">
      <c r="A213">
        <v>579</v>
      </c>
      <c r="B213" t="s">
        <v>224</v>
      </c>
      <c r="C213">
        <f>VLOOKUP($B213,'[1]taakstelling  2017 2018 2019'!$B$1:$F$389,3,FALSE)</f>
        <v>2</v>
      </c>
      <c r="D213">
        <f>VLOOKUP($B213,'[1]taakstelling  2017 2018 2019'!$B$2:$F$389,4,FALSE)</f>
        <v>3</v>
      </c>
      <c r="E213">
        <f>VLOOKUP($B213,'[1]taakstelling  2017 2018 2019'!$B$2:$F$389,5,FALSE)</f>
        <v>4</v>
      </c>
      <c r="F213">
        <v>5</v>
      </c>
      <c r="G213">
        <v>6</v>
      </c>
      <c r="H213" s="316">
        <f t="shared" si="14"/>
        <v>6.6302198441316733</v>
      </c>
      <c r="I213" s="316">
        <f t="shared" si="14"/>
        <v>7.1885541467953935</v>
      </c>
      <c r="J213" s="316">
        <f t="shared" si="14"/>
        <v>7.7468884494591128</v>
      </c>
      <c r="K213" s="316">
        <f t="shared" si="14"/>
        <v>8.3052227521228339</v>
      </c>
    </row>
    <row r="214" spans="1:11" x14ac:dyDescent="0.35">
      <c r="A214">
        <v>823</v>
      </c>
      <c r="B214" t="s">
        <v>225</v>
      </c>
      <c r="C214">
        <f>VLOOKUP($B214,'[1]taakstelling  2017 2018 2019'!$B$1:$F$389,3,FALSE)</f>
        <v>1</v>
      </c>
      <c r="D214">
        <f>VLOOKUP($B214,'[1]taakstelling  2017 2018 2019'!$B$2:$F$389,4,FALSE)</f>
        <v>3</v>
      </c>
      <c r="E214">
        <f>VLOOKUP($B214,'[1]taakstelling  2017 2018 2019'!$B$2:$F$389,5,FALSE)</f>
        <v>4</v>
      </c>
      <c r="F214">
        <v>5</v>
      </c>
      <c r="G214">
        <v>6</v>
      </c>
      <c r="H214" s="316">
        <f t="shared" si="14"/>
        <v>6.6302198441316733</v>
      </c>
      <c r="I214" s="316">
        <f t="shared" si="14"/>
        <v>7.1885541467953935</v>
      </c>
      <c r="J214" s="316">
        <f t="shared" si="14"/>
        <v>7.7468884494591128</v>
      </c>
      <c r="K214" s="316">
        <f t="shared" si="14"/>
        <v>8.3052227521228339</v>
      </c>
    </row>
    <row r="215" spans="1:11" x14ac:dyDescent="0.35">
      <c r="A215">
        <v>824</v>
      </c>
      <c r="B215" t="s">
        <v>226</v>
      </c>
      <c r="C215">
        <f>VLOOKUP($B215,'[1]taakstelling  2017 2018 2019'!$B$1:$F$389,3,FALSE)</f>
        <v>3</v>
      </c>
      <c r="D215">
        <f>VLOOKUP($B215,'[1]taakstelling  2017 2018 2019'!$B$2:$F$389,4,FALSE)</f>
        <v>6</v>
      </c>
      <c r="E215">
        <f>VLOOKUP($B215,'[1]taakstelling  2017 2018 2019'!$B$2:$F$389,5,FALSE)</f>
        <v>8</v>
      </c>
      <c r="F215">
        <v>10</v>
      </c>
      <c r="G215">
        <v>13</v>
      </c>
      <c r="H215" s="316">
        <f t="shared" si="14"/>
        <v>14.36547632895196</v>
      </c>
      <c r="I215" s="316">
        <f t="shared" si="14"/>
        <v>15.57520065139002</v>
      </c>
      <c r="J215" s="316">
        <f t="shared" si="14"/>
        <v>16.78492497382808</v>
      </c>
      <c r="K215" s="316">
        <f t="shared" si="14"/>
        <v>17.99464929626614</v>
      </c>
    </row>
    <row r="216" spans="1:11" x14ac:dyDescent="0.35">
      <c r="A216">
        <v>1895</v>
      </c>
      <c r="B216" t="s">
        <v>227</v>
      </c>
      <c r="C216">
        <f>VLOOKUP($B216,'[1]taakstelling  2017 2018 2019'!$B$1:$F$389,3,FALSE)</f>
        <v>9</v>
      </c>
      <c r="D216">
        <f>VLOOKUP($B216,'[1]taakstelling  2017 2018 2019'!$B$2:$F$389,4,FALSE)</f>
        <v>16</v>
      </c>
      <c r="E216">
        <f>VLOOKUP($B216,'[1]taakstelling  2017 2018 2019'!$B$2:$F$389,5,FALSE)</f>
        <v>20</v>
      </c>
      <c r="F216">
        <v>25</v>
      </c>
      <c r="G216">
        <v>29</v>
      </c>
      <c r="H216" s="316">
        <f t="shared" si="14"/>
        <v>32.046062579969757</v>
      </c>
      <c r="I216" s="316">
        <f t="shared" si="14"/>
        <v>34.744678376177738</v>
      </c>
      <c r="J216" s="316">
        <f t="shared" si="14"/>
        <v>37.44329417238572</v>
      </c>
      <c r="K216" s="316">
        <f t="shared" si="14"/>
        <v>40.141909968593701</v>
      </c>
    </row>
    <row r="217" spans="1:11" x14ac:dyDescent="0.35">
      <c r="A217">
        <v>269</v>
      </c>
      <c r="B217" t="s">
        <v>228</v>
      </c>
      <c r="C217">
        <f>VLOOKUP($B217,'[1]taakstelling  2017 2018 2019'!$B$1:$F$389,3,FALSE)</f>
        <v>3</v>
      </c>
      <c r="D217">
        <f>VLOOKUP($B217,'[1]taakstelling  2017 2018 2019'!$B$2:$F$389,4,FALSE)</f>
        <v>5</v>
      </c>
      <c r="E217">
        <f>VLOOKUP($B217,'[1]taakstelling  2017 2018 2019'!$B$2:$F$389,5,FALSE)</f>
        <v>7</v>
      </c>
      <c r="F217">
        <v>8</v>
      </c>
      <c r="G217">
        <v>10</v>
      </c>
      <c r="H217" s="316">
        <f t="shared" si="14"/>
        <v>11.050366406886122</v>
      </c>
      <c r="I217" s="316">
        <f t="shared" si="14"/>
        <v>11.980923577992321</v>
      </c>
      <c r="J217" s="316">
        <f t="shared" si="14"/>
        <v>12.911480749098523</v>
      </c>
      <c r="K217" s="316">
        <f t="shared" si="14"/>
        <v>13.842037920204723</v>
      </c>
    </row>
    <row r="218" spans="1:11" x14ac:dyDescent="0.35">
      <c r="A218">
        <v>173</v>
      </c>
      <c r="B218" t="s">
        <v>229</v>
      </c>
      <c r="C218">
        <f>VLOOKUP($B218,'[1]taakstelling  2017 2018 2019'!$B$1:$F$389,3,FALSE)</f>
        <v>5</v>
      </c>
      <c r="D218">
        <f>VLOOKUP($B218,'[1]taakstelling  2017 2018 2019'!$B$2:$F$389,4,FALSE)</f>
        <v>9</v>
      </c>
      <c r="E218">
        <f>VLOOKUP($B218,'[1]taakstelling  2017 2018 2019'!$B$2:$F$389,5,FALSE)</f>
        <v>12</v>
      </c>
      <c r="F218">
        <v>15</v>
      </c>
      <c r="G218">
        <v>17</v>
      </c>
      <c r="H218" s="316">
        <f t="shared" si="14"/>
        <v>18.78562289170641</v>
      </c>
      <c r="I218" s="316">
        <f t="shared" si="14"/>
        <v>20.367570082586948</v>
      </c>
      <c r="J218" s="316">
        <f t="shared" si="14"/>
        <v>21.949517273467489</v>
      </c>
      <c r="K218" s="316">
        <f t="shared" si="14"/>
        <v>23.53146446434803</v>
      </c>
    </row>
    <row r="219" spans="1:11" x14ac:dyDescent="0.35">
      <c r="A219">
        <v>1773</v>
      </c>
      <c r="B219" t="s">
        <v>230</v>
      </c>
      <c r="C219">
        <f>VLOOKUP($B219,'[1]taakstelling  2017 2018 2019'!$B$1:$F$389,3,FALSE)</f>
        <v>2</v>
      </c>
      <c r="D219">
        <f>VLOOKUP($B219,'[1]taakstelling  2017 2018 2019'!$B$2:$F$389,4,FALSE)</f>
        <v>4</v>
      </c>
      <c r="E219">
        <f>VLOOKUP($B219,'[1]taakstelling  2017 2018 2019'!$B$2:$F$389,5,FALSE)</f>
        <v>5</v>
      </c>
      <c r="F219">
        <v>6</v>
      </c>
      <c r="G219">
        <v>7</v>
      </c>
      <c r="H219" s="316">
        <f t="shared" si="14"/>
        <v>7.7352564848202858</v>
      </c>
      <c r="I219" s="316">
        <f t="shared" si="14"/>
        <v>8.3866465045946264</v>
      </c>
      <c r="J219" s="316">
        <f t="shared" si="14"/>
        <v>9.038036524368966</v>
      </c>
      <c r="K219" s="316">
        <f t="shared" si="14"/>
        <v>9.6894265441433056</v>
      </c>
    </row>
    <row r="220" spans="1:11" x14ac:dyDescent="0.35">
      <c r="A220">
        <v>175</v>
      </c>
      <c r="B220" t="s">
        <v>231</v>
      </c>
      <c r="C220">
        <f>VLOOKUP($B220,'[1]taakstelling  2017 2018 2019'!$B$1:$F$389,3,FALSE)</f>
        <v>3</v>
      </c>
      <c r="D220">
        <f>VLOOKUP($B220,'[1]taakstelling  2017 2018 2019'!$B$2:$F$389,4,FALSE)</f>
        <v>4</v>
      </c>
      <c r="E220">
        <f>VLOOKUP($B220,'[1]taakstelling  2017 2018 2019'!$B$2:$F$389,5,FALSE)</f>
        <v>6</v>
      </c>
      <c r="F220">
        <v>7</v>
      </c>
      <c r="G220">
        <v>8</v>
      </c>
      <c r="H220" s="316">
        <f t="shared" si="14"/>
        <v>8.8402931255088983</v>
      </c>
      <c r="I220" s="316">
        <f t="shared" si="14"/>
        <v>9.5847388623938574</v>
      </c>
      <c r="J220" s="316">
        <f t="shared" si="14"/>
        <v>10.329184599278818</v>
      </c>
      <c r="K220" s="316">
        <f t="shared" si="14"/>
        <v>11.073630336163779</v>
      </c>
    </row>
    <row r="221" spans="1:11" x14ac:dyDescent="0.35">
      <c r="A221">
        <v>1586</v>
      </c>
      <c r="B221" t="s">
        <v>232</v>
      </c>
      <c r="C221">
        <f>VLOOKUP($B221,'[1]taakstelling  2017 2018 2019'!$B$1:$F$389,3,FALSE)</f>
        <v>3</v>
      </c>
      <c r="D221">
        <f>VLOOKUP($B221,'[1]taakstelling  2017 2018 2019'!$B$2:$F$389,4,FALSE)</f>
        <v>6</v>
      </c>
      <c r="E221">
        <f>VLOOKUP($B221,'[1]taakstelling  2017 2018 2019'!$B$2:$F$389,5,FALSE)</f>
        <v>7</v>
      </c>
      <c r="F221">
        <v>9</v>
      </c>
      <c r="G221">
        <v>10</v>
      </c>
      <c r="H221" s="316">
        <f t="shared" si="14"/>
        <v>11.050366406886122</v>
      </c>
      <c r="I221" s="316">
        <f t="shared" si="14"/>
        <v>11.980923577992321</v>
      </c>
      <c r="J221" s="316">
        <f t="shared" si="14"/>
        <v>12.911480749098523</v>
      </c>
      <c r="K221" s="316">
        <f t="shared" si="14"/>
        <v>13.842037920204723</v>
      </c>
    </row>
    <row r="222" spans="1:11" x14ac:dyDescent="0.35">
      <c r="A222">
        <v>826</v>
      </c>
      <c r="B222" t="s">
        <v>233</v>
      </c>
      <c r="C222">
        <f>VLOOKUP($B222,'[1]taakstelling  2017 2018 2019'!$B$1:$F$389,3,FALSE)</f>
        <v>9</v>
      </c>
      <c r="D222">
        <f>VLOOKUP($B222,'[1]taakstelling  2017 2018 2019'!$B$2:$F$389,4,FALSE)</f>
        <v>19</v>
      </c>
      <c r="E222">
        <f>VLOOKUP($B222,'[1]taakstelling  2017 2018 2019'!$B$2:$F$389,5,FALSE)</f>
        <v>25</v>
      </c>
      <c r="F222">
        <v>31</v>
      </c>
      <c r="G222">
        <v>36</v>
      </c>
      <c r="H222" s="316">
        <f t="shared" si="14"/>
        <v>39.781319064790047</v>
      </c>
      <c r="I222" s="316">
        <f t="shared" si="14"/>
        <v>43.131324880772361</v>
      </c>
      <c r="J222" s="316">
        <f t="shared" si="14"/>
        <v>46.481330696754682</v>
      </c>
      <c r="K222" s="316">
        <f t="shared" si="14"/>
        <v>49.831336512737003</v>
      </c>
    </row>
    <row r="223" spans="1:11" x14ac:dyDescent="0.35">
      <c r="A223">
        <v>85</v>
      </c>
      <c r="B223" t="s">
        <v>234</v>
      </c>
      <c r="C223">
        <f>VLOOKUP($B223,'[1]taakstelling  2017 2018 2019'!$B$1:$F$389,3,FALSE)</f>
        <v>3</v>
      </c>
      <c r="D223">
        <f>VLOOKUP($B223,'[1]taakstelling  2017 2018 2019'!$B$2:$F$389,4,FALSE)</f>
        <v>5</v>
      </c>
      <c r="E223">
        <f>VLOOKUP($B223,'[1]taakstelling  2017 2018 2019'!$B$2:$F$389,5,FALSE)</f>
        <v>6</v>
      </c>
      <c r="F223">
        <v>8</v>
      </c>
      <c r="G223">
        <v>9</v>
      </c>
      <c r="H223" s="316">
        <f t="shared" si="14"/>
        <v>9.9453297661975117</v>
      </c>
      <c r="I223" s="316">
        <f t="shared" si="14"/>
        <v>10.78283122019309</v>
      </c>
      <c r="J223" s="316">
        <f t="shared" si="14"/>
        <v>11.620332674188671</v>
      </c>
      <c r="K223" s="316">
        <f t="shared" si="14"/>
        <v>12.457834128184251</v>
      </c>
    </row>
    <row r="224" spans="1:11" x14ac:dyDescent="0.35">
      <c r="A224">
        <v>431</v>
      </c>
      <c r="B224" t="s">
        <v>235</v>
      </c>
      <c r="C224">
        <f>VLOOKUP($B224,'[1]taakstelling  2017 2018 2019'!$B$1:$F$389,3,FALSE)</f>
        <v>1</v>
      </c>
      <c r="D224">
        <f>VLOOKUP($B224,'[1]taakstelling  2017 2018 2019'!$B$2:$F$389,4,FALSE)</f>
        <v>1</v>
      </c>
      <c r="E224">
        <f>VLOOKUP($B224,'[1]taakstelling  2017 2018 2019'!$B$2:$F$389,5,FALSE)</f>
        <v>1</v>
      </c>
      <c r="F224">
        <v>2</v>
      </c>
      <c r="G224">
        <v>2</v>
      </c>
      <c r="H224" s="316">
        <f t="shared" si="14"/>
        <v>2.2100732813772246</v>
      </c>
      <c r="I224" s="316">
        <f t="shared" si="14"/>
        <v>2.3961847155984644</v>
      </c>
      <c r="J224" s="316">
        <f t="shared" si="14"/>
        <v>2.5822961498197046</v>
      </c>
      <c r="K224" s="316">
        <f t="shared" si="14"/>
        <v>2.7684075840409448</v>
      </c>
    </row>
    <row r="225" spans="1:11" x14ac:dyDescent="0.35">
      <c r="A225">
        <v>432</v>
      </c>
      <c r="B225" t="s">
        <v>236</v>
      </c>
      <c r="C225">
        <f>VLOOKUP($B225,'[1]taakstelling  2017 2018 2019'!$B$1:$F$389,3,FALSE)</f>
        <v>2</v>
      </c>
      <c r="D225">
        <f>VLOOKUP($B225,'[1]taakstelling  2017 2018 2019'!$B$2:$F$389,4,FALSE)</f>
        <v>2</v>
      </c>
      <c r="E225">
        <f>VLOOKUP($B225,'[1]taakstelling  2017 2018 2019'!$B$2:$F$389,5,FALSE)</f>
        <v>3</v>
      </c>
      <c r="F225">
        <v>4</v>
      </c>
      <c r="G225">
        <v>5</v>
      </c>
      <c r="H225" s="316">
        <f t="shared" si="14"/>
        <v>5.5251832034430608</v>
      </c>
      <c r="I225" s="316">
        <f t="shared" si="14"/>
        <v>5.9904617889961607</v>
      </c>
      <c r="J225" s="316">
        <f t="shared" si="14"/>
        <v>6.4557403745492614</v>
      </c>
      <c r="K225" s="316">
        <f t="shared" si="14"/>
        <v>6.9210189601023613</v>
      </c>
    </row>
    <row r="226" spans="1:11" x14ac:dyDescent="0.35">
      <c r="A226">
        <v>86</v>
      </c>
      <c r="B226" t="s">
        <v>237</v>
      </c>
      <c r="C226">
        <f>VLOOKUP($B226,'[1]taakstelling  2017 2018 2019'!$B$1:$F$389,3,FALSE)</f>
        <v>4</v>
      </c>
      <c r="D226">
        <f>VLOOKUP($B226,'[1]taakstelling  2017 2018 2019'!$B$2:$F$389,4,FALSE)</f>
        <v>6</v>
      </c>
      <c r="E226">
        <f>VLOOKUP($B226,'[1]taakstelling  2017 2018 2019'!$B$2:$F$389,5,FALSE)</f>
        <v>8</v>
      </c>
      <c r="F226">
        <v>10</v>
      </c>
      <c r="G226">
        <v>11</v>
      </c>
      <c r="H226" s="316">
        <f t="shared" si="14"/>
        <v>12.155403047574735</v>
      </c>
      <c r="I226" s="316">
        <f t="shared" si="14"/>
        <v>13.179015935791556</v>
      </c>
      <c r="J226" s="316">
        <f t="shared" si="14"/>
        <v>14.202628824008375</v>
      </c>
      <c r="K226" s="316">
        <f t="shared" si="14"/>
        <v>15.226241712225196</v>
      </c>
    </row>
    <row r="227" spans="1:11" x14ac:dyDescent="0.35">
      <c r="A227">
        <v>828</v>
      </c>
      <c r="B227" t="s">
        <v>238</v>
      </c>
      <c r="C227">
        <f>VLOOKUP($B227,'[1]taakstelling  2017 2018 2019'!$B$1:$F$389,3,FALSE)</f>
        <v>31</v>
      </c>
      <c r="D227">
        <f>VLOOKUP($B227,'[1]taakstelling  2017 2018 2019'!$B$2:$F$389,4,FALSE)</f>
        <v>66</v>
      </c>
      <c r="E227">
        <f>VLOOKUP($B227,'[1]taakstelling  2017 2018 2019'!$B$2:$F$389,5,FALSE)</f>
        <v>86</v>
      </c>
      <c r="F227">
        <v>106</v>
      </c>
      <c r="G227">
        <v>123</v>
      </c>
      <c r="H227" s="316">
        <f t="shared" si="14"/>
        <v>135.91950680469932</v>
      </c>
      <c r="I227" s="316">
        <f t="shared" si="14"/>
        <v>147.36536000930559</v>
      </c>
      <c r="J227" s="316">
        <f t="shared" si="14"/>
        <v>158.81121321391186</v>
      </c>
      <c r="K227" s="316">
        <f t="shared" si="14"/>
        <v>170.25706641851812</v>
      </c>
    </row>
    <row r="228" spans="1:11" x14ac:dyDescent="0.35">
      <c r="A228">
        <v>1509</v>
      </c>
      <c r="B228" t="s">
        <v>239</v>
      </c>
      <c r="C228">
        <f>VLOOKUP($B228,'[1]taakstelling  2017 2018 2019'!$B$1:$F$389,3,FALSE)</f>
        <v>6</v>
      </c>
      <c r="D228">
        <f>VLOOKUP($B228,'[1]taakstelling  2017 2018 2019'!$B$2:$F$389,4,FALSE)</f>
        <v>12</v>
      </c>
      <c r="E228">
        <f>VLOOKUP($B228,'[1]taakstelling  2017 2018 2019'!$B$2:$F$389,5,FALSE)</f>
        <v>15</v>
      </c>
      <c r="F228">
        <v>19</v>
      </c>
      <c r="G228">
        <v>22</v>
      </c>
      <c r="H228" s="316">
        <f t="shared" ref="H228:K243" si="15">+G228/G$355*H$355</f>
        <v>24.31080609514947</v>
      </c>
      <c r="I228" s="316">
        <f t="shared" si="15"/>
        <v>26.358031871583112</v>
      </c>
      <c r="J228" s="316">
        <f t="shared" si="15"/>
        <v>28.40525764801675</v>
      </c>
      <c r="K228" s="316">
        <f t="shared" si="15"/>
        <v>30.452483424450392</v>
      </c>
    </row>
    <row r="229" spans="1:11" x14ac:dyDescent="0.35">
      <c r="A229">
        <v>437</v>
      </c>
      <c r="B229" t="s">
        <v>240</v>
      </c>
      <c r="C229">
        <f>VLOOKUP($B229,'[1]taakstelling  2017 2018 2019'!$B$1:$F$389,3,FALSE)</f>
        <v>1</v>
      </c>
      <c r="D229">
        <f>VLOOKUP($B229,'[1]taakstelling  2017 2018 2019'!$B$2:$F$389,4,FALSE)</f>
        <v>1</v>
      </c>
      <c r="E229">
        <f>VLOOKUP($B229,'[1]taakstelling  2017 2018 2019'!$B$2:$F$389,5,FALSE)</f>
        <v>2</v>
      </c>
      <c r="F229">
        <v>2</v>
      </c>
      <c r="G229">
        <v>2</v>
      </c>
      <c r="H229" s="316">
        <f t="shared" si="15"/>
        <v>2.2100732813772246</v>
      </c>
      <c r="I229" s="316">
        <f t="shared" si="15"/>
        <v>2.3961847155984644</v>
      </c>
      <c r="J229" s="316">
        <f t="shared" si="15"/>
        <v>2.5822961498197046</v>
      </c>
      <c r="K229" s="316">
        <f t="shared" si="15"/>
        <v>2.7684075840409448</v>
      </c>
    </row>
    <row r="230" spans="1:11" x14ac:dyDescent="0.35">
      <c r="A230">
        <v>589</v>
      </c>
      <c r="B230" t="s">
        <v>241</v>
      </c>
      <c r="C230">
        <f>VLOOKUP($B230,'[1]taakstelling  2017 2018 2019'!$B$1:$F$389,3,FALSE)</f>
        <v>0</v>
      </c>
      <c r="D230">
        <f>VLOOKUP($B230,'[1]taakstelling  2017 2018 2019'!$B$2:$F$389,4,FALSE)</f>
        <v>1</v>
      </c>
      <c r="E230">
        <f>VLOOKUP($B230,'[1]taakstelling  2017 2018 2019'!$B$2:$F$389,5,FALSE)</f>
        <v>1</v>
      </c>
      <c r="F230">
        <v>1</v>
      </c>
      <c r="G230">
        <v>1</v>
      </c>
      <c r="H230" s="316">
        <f t="shared" si="15"/>
        <v>1.1050366406886123</v>
      </c>
      <c r="I230" s="316">
        <f t="shared" si="15"/>
        <v>1.1980923577992322</v>
      </c>
      <c r="J230" s="316">
        <f t="shared" si="15"/>
        <v>1.2911480749098523</v>
      </c>
      <c r="K230" s="316">
        <f t="shared" si="15"/>
        <v>1.3842037920204724</v>
      </c>
    </row>
    <row r="231" spans="1:11" x14ac:dyDescent="0.35">
      <c r="A231">
        <v>1734</v>
      </c>
      <c r="B231" t="s">
        <v>242</v>
      </c>
      <c r="C231">
        <f>VLOOKUP($B231,'[1]taakstelling  2017 2018 2019'!$B$1:$F$389,3,FALSE)</f>
        <v>8</v>
      </c>
      <c r="D231">
        <f>VLOOKUP($B231,'[1]taakstelling  2017 2018 2019'!$B$2:$F$389,4,FALSE)</f>
        <v>13</v>
      </c>
      <c r="E231">
        <f>VLOOKUP($B231,'[1]taakstelling  2017 2018 2019'!$B$2:$F$389,5,FALSE)</f>
        <v>16</v>
      </c>
      <c r="F231">
        <v>20</v>
      </c>
      <c r="G231">
        <v>23</v>
      </c>
      <c r="H231" s="316">
        <f t="shared" si="15"/>
        <v>25.415842735838083</v>
      </c>
      <c r="I231" s="316">
        <f t="shared" si="15"/>
        <v>27.556124229382345</v>
      </c>
      <c r="J231" s="316">
        <f t="shared" si="15"/>
        <v>29.696405722926603</v>
      </c>
      <c r="K231" s="316">
        <f t="shared" si="15"/>
        <v>31.836687216470864</v>
      </c>
    </row>
    <row r="232" spans="1:11" x14ac:dyDescent="0.35">
      <c r="A232">
        <v>590</v>
      </c>
      <c r="B232" t="s">
        <v>243</v>
      </c>
      <c r="C232">
        <f>VLOOKUP($B232,'[1]taakstelling  2017 2018 2019'!$B$1:$F$389,3,FALSE)</f>
        <v>4</v>
      </c>
      <c r="D232">
        <f>VLOOKUP($B232,'[1]taakstelling  2017 2018 2019'!$B$2:$F$389,4,FALSE)</f>
        <v>6</v>
      </c>
      <c r="E232">
        <f>VLOOKUP($B232,'[1]taakstelling  2017 2018 2019'!$B$2:$F$389,5,FALSE)</f>
        <v>8</v>
      </c>
      <c r="F232">
        <v>10</v>
      </c>
      <c r="G232">
        <v>11</v>
      </c>
      <c r="H232" s="316">
        <f t="shared" si="15"/>
        <v>12.155403047574735</v>
      </c>
      <c r="I232" s="316">
        <f t="shared" si="15"/>
        <v>13.179015935791556</v>
      </c>
      <c r="J232" s="316">
        <f t="shared" si="15"/>
        <v>14.202628824008375</v>
      </c>
      <c r="K232" s="316">
        <f t="shared" si="15"/>
        <v>15.226241712225196</v>
      </c>
    </row>
    <row r="233" spans="1:11" x14ac:dyDescent="0.35">
      <c r="A233">
        <v>1894</v>
      </c>
      <c r="B233" t="s">
        <v>244</v>
      </c>
      <c r="C233">
        <f>VLOOKUP($B233,'[1]taakstelling  2017 2018 2019'!$B$1:$F$389,3,FALSE)</f>
        <v>4</v>
      </c>
      <c r="D233">
        <f>VLOOKUP($B233,'[1]taakstelling  2017 2018 2019'!$B$2:$F$389,4,FALSE)</f>
        <v>7</v>
      </c>
      <c r="E233">
        <f>VLOOKUP($B233,'[1]taakstelling  2017 2018 2019'!$B$2:$F$389,5,FALSE)</f>
        <v>9</v>
      </c>
      <c r="F233">
        <v>12</v>
      </c>
      <c r="G233">
        <v>13</v>
      </c>
      <c r="H233" s="316">
        <f t="shared" si="15"/>
        <v>14.36547632895196</v>
      </c>
      <c r="I233" s="316">
        <f t="shared" si="15"/>
        <v>15.57520065139002</v>
      </c>
      <c r="J233" s="316">
        <f t="shared" si="15"/>
        <v>16.78492497382808</v>
      </c>
      <c r="K233" s="316">
        <f t="shared" si="15"/>
        <v>17.99464929626614</v>
      </c>
    </row>
    <row r="234" spans="1:11" x14ac:dyDescent="0.35">
      <c r="A234">
        <v>765</v>
      </c>
      <c r="B234" t="s">
        <v>245</v>
      </c>
      <c r="C234">
        <f>VLOOKUP($B234,'[1]taakstelling  2017 2018 2019'!$B$1:$F$389,3,FALSE)</f>
        <v>3</v>
      </c>
      <c r="D234">
        <f>VLOOKUP($B234,'[1]taakstelling  2017 2018 2019'!$B$2:$F$389,4,FALSE)</f>
        <v>6</v>
      </c>
      <c r="E234">
        <f>VLOOKUP($B234,'[1]taakstelling  2017 2018 2019'!$B$2:$F$389,5,FALSE)</f>
        <v>8</v>
      </c>
      <c r="F234">
        <v>9</v>
      </c>
      <c r="G234">
        <v>11</v>
      </c>
      <c r="H234" s="316">
        <f t="shared" si="15"/>
        <v>12.155403047574735</v>
      </c>
      <c r="I234" s="316">
        <f t="shared" si="15"/>
        <v>13.179015935791556</v>
      </c>
      <c r="J234" s="316">
        <f t="shared" si="15"/>
        <v>14.202628824008375</v>
      </c>
      <c r="K234" s="316">
        <f t="shared" si="15"/>
        <v>15.226241712225196</v>
      </c>
    </row>
    <row r="235" spans="1:11" x14ac:dyDescent="0.35">
      <c r="A235">
        <v>1926</v>
      </c>
      <c r="B235" t="s">
        <v>246</v>
      </c>
      <c r="C235">
        <f>VLOOKUP($B235,'[1]taakstelling  2017 2018 2019'!$B$1:$F$389,3,FALSE)</f>
        <v>4</v>
      </c>
      <c r="D235">
        <f>VLOOKUP($B235,'[1]taakstelling  2017 2018 2019'!$B$2:$F$389,4,FALSE)</f>
        <v>7</v>
      </c>
      <c r="E235">
        <f>VLOOKUP($B235,'[1]taakstelling  2017 2018 2019'!$B$2:$F$389,5,FALSE)</f>
        <v>9</v>
      </c>
      <c r="F235">
        <v>11</v>
      </c>
      <c r="G235">
        <v>13</v>
      </c>
      <c r="H235" s="316">
        <f t="shared" si="15"/>
        <v>14.36547632895196</v>
      </c>
      <c r="I235" s="316">
        <f t="shared" si="15"/>
        <v>15.57520065139002</v>
      </c>
      <c r="J235" s="316">
        <f t="shared" si="15"/>
        <v>16.78492497382808</v>
      </c>
      <c r="K235" s="316">
        <f t="shared" si="15"/>
        <v>17.99464929626614</v>
      </c>
    </row>
    <row r="237" spans="1:11" x14ac:dyDescent="0.35">
      <c r="A237">
        <v>273</v>
      </c>
      <c r="B237" t="s">
        <v>248</v>
      </c>
      <c r="C237">
        <f>VLOOKUP($B237,'[1]taakstelling  2017 2018 2019'!$B$1:$F$389,3,FALSE)</f>
        <v>2</v>
      </c>
      <c r="D237">
        <f>VLOOKUP($B237,'[1]taakstelling  2017 2018 2019'!$B$2:$F$389,4,FALSE)</f>
        <v>4</v>
      </c>
      <c r="E237">
        <f>VLOOKUP($B237,'[1]taakstelling  2017 2018 2019'!$B$2:$F$389,5,FALSE)</f>
        <v>5</v>
      </c>
      <c r="F237">
        <v>6</v>
      </c>
      <c r="G237">
        <v>7</v>
      </c>
      <c r="H237" s="316">
        <f t="shared" si="15"/>
        <v>7.7352564848202858</v>
      </c>
      <c r="I237" s="316">
        <f t="shared" si="15"/>
        <v>8.3866465045946264</v>
      </c>
      <c r="J237" s="316">
        <f t="shared" si="15"/>
        <v>9.038036524368966</v>
      </c>
      <c r="K237" s="316">
        <f t="shared" si="15"/>
        <v>9.6894265441433056</v>
      </c>
    </row>
    <row r="238" spans="1:11" x14ac:dyDescent="0.35">
      <c r="A238">
        <v>177</v>
      </c>
      <c r="B238" t="s">
        <v>249</v>
      </c>
      <c r="C238">
        <f>VLOOKUP($B238,'[1]taakstelling  2017 2018 2019'!$B$1:$F$389,3,FALSE)</f>
        <v>3</v>
      </c>
      <c r="D238">
        <f>VLOOKUP($B238,'[1]taakstelling  2017 2018 2019'!$B$2:$F$389,4,FALSE)</f>
        <v>6</v>
      </c>
      <c r="E238">
        <f>VLOOKUP($B238,'[1]taakstelling  2017 2018 2019'!$B$2:$F$389,5,FALSE)</f>
        <v>8</v>
      </c>
      <c r="F238">
        <v>10</v>
      </c>
      <c r="G238">
        <v>11</v>
      </c>
      <c r="H238" s="316">
        <f t="shared" si="15"/>
        <v>12.155403047574735</v>
      </c>
      <c r="I238" s="316">
        <f t="shared" si="15"/>
        <v>13.179015935791556</v>
      </c>
      <c r="J238" s="316">
        <f t="shared" si="15"/>
        <v>14.202628824008375</v>
      </c>
      <c r="K238" s="316">
        <f t="shared" si="15"/>
        <v>15.226241712225196</v>
      </c>
    </row>
    <row r="239" spans="1:11" x14ac:dyDescent="0.35">
      <c r="A239">
        <v>703</v>
      </c>
      <c r="B239" t="s">
        <v>250</v>
      </c>
      <c r="C239">
        <f>VLOOKUP($B239,'[1]taakstelling  2017 2018 2019'!$B$1:$F$389,3,FALSE)</f>
        <v>2</v>
      </c>
      <c r="D239">
        <f>VLOOKUP($B239,'[1]taakstelling  2017 2018 2019'!$B$2:$F$389,4,FALSE)</f>
        <v>4</v>
      </c>
      <c r="E239">
        <f>VLOOKUP($B239,'[1]taakstelling  2017 2018 2019'!$B$2:$F$389,5,FALSE)</f>
        <v>5</v>
      </c>
      <c r="F239">
        <v>7</v>
      </c>
      <c r="G239">
        <v>8</v>
      </c>
      <c r="H239" s="316">
        <f t="shared" si="15"/>
        <v>8.8402931255088983</v>
      </c>
      <c r="I239" s="316">
        <f t="shared" si="15"/>
        <v>9.5847388623938574</v>
      </c>
      <c r="J239" s="316">
        <f t="shared" si="15"/>
        <v>10.329184599278818</v>
      </c>
      <c r="K239" s="316">
        <f t="shared" si="15"/>
        <v>11.073630336163779</v>
      </c>
    </row>
    <row r="240" spans="1:11" x14ac:dyDescent="0.35">
      <c r="A240">
        <v>274</v>
      </c>
      <c r="B240" t="s">
        <v>251</v>
      </c>
      <c r="C240">
        <f>VLOOKUP($B240,'[1]taakstelling  2017 2018 2019'!$B$1:$F$389,3,FALSE)</f>
        <v>6</v>
      </c>
      <c r="D240">
        <f>VLOOKUP($B240,'[1]taakstelling  2017 2018 2019'!$B$2:$F$389,4,FALSE)</f>
        <v>10</v>
      </c>
      <c r="E240">
        <f>VLOOKUP($B240,'[1]taakstelling  2017 2018 2019'!$B$2:$F$389,5,FALSE)</f>
        <v>13</v>
      </c>
      <c r="F240">
        <v>16</v>
      </c>
      <c r="G240">
        <v>19</v>
      </c>
      <c r="H240" s="316">
        <f t="shared" si="15"/>
        <v>20.995696173083637</v>
      </c>
      <c r="I240" s="316">
        <f t="shared" si="15"/>
        <v>22.763754798185417</v>
      </c>
      <c r="J240" s="316">
        <f t="shared" si="15"/>
        <v>24.531813423287197</v>
      </c>
      <c r="K240" s="316">
        <f t="shared" si="15"/>
        <v>26.299872048388973</v>
      </c>
    </row>
    <row r="241" spans="1:11" x14ac:dyDescent="0.35">
      <c r="A241">
        <v>339</v>
      </c>
      <c r="B241" t="s">
        <v>252</v>
      </c>
      <c r="C241">
        <f>VLOOKUP($B241,'[1]taakstelling  2017 2018 2019'!$B$1:$F$389,3,FALSE)</f>
        <v>1</v>
      </c>
      <c r="D241">
        <f>VLOOKUP($B241,'[1]taakstelling  2017 2018 2019'!$B$2:$F$389,4,FALSE)</f>
        <v>1</v>
      </c>
      <c r="E241">
        <f>VLOOKUP($B241,'[1]taakstelling  2017 2018 2019'!$B$2:$F$389,5,FALSE)</f>
        <v>1</v>
      </c>
      <c r="F241">
        <v>1</v>
      </c>
      <c r="G241">
        <v>2</v>
      </c>
      <c r="H241" s="316">
        <f t="shared" si="15"/>
        <v>2.2100732813772246</v>
      </c>
      <c r="I241" s="316">
        <f t="shared" si="15"/>
        <v>2.3961847155984644</v>
      </c>
      <c r="J241" s="316">
        <f t="shared" si="15"/>
        <v>2.5822961498197046</v>
      </c>
      <c r="K241" s="316">
        <f t="shared" si="15"/>
        <v>2.7684075840409448</v>
      </c>
    </row>
    <row r="242" spans="1:11" x14ac:dyDescent="0.35">
      <c r="A242">
        <v>1667</v>
      </c>
      <c r="B242" t="s">
        <v>253</v>
      </c>
      <c r="C242">
        <f>VLOOKUP($B242,'[1]taakstelling  2017 2018 2019'!$B$1:$F$389,3,FALSE)</f>
        <v>2</v>
      </c>
      <c r="D242">
        <f>VLOOKUP($B242,'[1]taakstelling  2017 2018 2019'!$B$2:$F$389,4,FALSE)</f>
        <v>3</v>
      </c>
      <c r="E242">
        <f>VLOOKUP($B242,'[1]taakstelling  2017 2018 2019'!$B$2:$F$389,5,FALSE)</f>
        <v>4</v>
      </c>
      <c r="F242">
        <v>5</v>
      </c>
      <c r="G242">
        <v>6</v>
      </c>
      <c r="H242" s="316">
        <f t="shared" si="15"/>
        <v>6.6302198441316733</v>
      </c>
      <c r="I242" s="316">
        <f t="shared" si="15"/>
        <v>7.1885541467953935</v>
      </c>
      <c r="J242" s="316">
        <f t="shared" si="15"/>
        <v>7.7468884494591128</v>
      </c>
      <c r="K242" s="316">
        <f t="shared" si="15"/>
        <v>8.3052227521228339</v>
      </c>
    </row>
    <row r="243" spans="1:11" x14ac:dyDescent="0.35">
      <c r="A243">
        <v>275</v>
      </c>
      <c r="B243" t="s">
        <v>254</v>
      </c>
      <c r="C243">
        <f>VLOOKUP($B243,'[1]taakstelling  2017 2018 2019'!$B$1:$F$389,3,FALSE)</f>
        <v>9</v>
      </c>
      <c r="D243">
        <f>VLOOKUP($B243,'[1]taakstelling  2017 2018 2019'!$B$2:$F$389,4,FALSE)</f>
        <v>16</v>
      </c>
      <c r="E243">
        <f>VLOOKUP($B243,'[1]taakstelling  2017 2018 2019'!$B$2:$F$389,5,FALSE)</f>
        <v>21</v>
      </c>
      <c r="F243">
        <v>26</v>
      </c>
      <c r="G243">
        <v>30</v>
      </c>
      <c r="H243" s="316">
        <f t="shared" si="15"/>
        <v>33.151099220658367</v>
      </c>
      <c r="I243" s="316">
        <f t="shared" si="15"/>
        <v>35.942770733976964</v>
      </c>
      <c r="J243" s="316">
        <f t="shared" si="15"/>
        <v>38.734442247295561</v>
      </c>
      <c r="K243" s="316">
        <f t="shared" si="15"/>
        <v>41.526113760614166</v>
      </c>
    </row>
    <row r="244" spans="1:11" x14ac:dyDescent="0.35">
      <c r="A244">
        <v>340</v>
      </c>
      <c r="B244" t="s">
        <v>255</v>
      </c>
      <c r="C244">
        <f>VLOOKUP($B244,'[1]taakstelling  2017 2018 2019'!$B$1:$F$389,3,FALSE)</f>
        <v>2</v>
      </c>
      <c r="D244">
        <f>VLOOKUP($B244,'[1]taakstelling  2017 2018 2019'!$B$2:$F$389,4,FALSE)</f>
        <v>3</v>
      </c>
      <c r="E244">
        <f>VLOOKUP($B244,'[1]taakstelling  2017 2018 2019'!$B$2:$F$389,5,FALSE)</f>
        <v>3</v>
      </c>
      <c r="F244">
        <v>4</v>
      </c>
      <c r="G244">
        <v>5</v>
      </c>
      <c r="H244" s="316">
        <f t="shared" ref="H244:K259" si="16">+G244/G$355*H$355</f>
        <v>5.5251832034430608</v>
      </c>
      <c r="I244" s="316">
        <f t="shared" si="16"/>
        <v>5.9904617889961607</v>
      </c>
      <c r="J244" s="316">
        <f t="shared" si="16"/>
        <v>6.4557403745492614</v>
      </c>
      <c r="K244" s="316">
        <f t="shared" si="16"/>
        <v>6.9210189601023613</v>
      </c>
    </row>
    <row r="245" spans="1:11" x14ac:dyDescent="0.35">
      <c r="A245">
        <v>597</v>
      </c>
      <c r="B245" t="s">
        <v>256</v>
      </c>
      <c r="C245">
        <f>VLOOKUP($B245,'[1]taakstelling  2017 2018 2019'!$B$1:$F$389,3,FALSE)</f>
        <v>5</v>
      </c>
      <c r="D245">
        <f>VLOOKUP($B245,'[1]taakstelling  2017 2018 2019'!$B$2:$F$389,4,FALSE)</f>
        <v>8</v>
      </c>
      <c r="E245">
        <f>VLOOKUP($B245,'[1]taakstelling  2017 2018 2019'!$B$2:$F$389,5,FALSE)</f>
        <v>10</v>
      </c>
      <c r="F245">
        <v>13</v>
      </c>
      <c r="G245">
        <v>15</v>
      </c>
      <c r="H245" s="316">
        <f t="shared" si="16"/>
        <v>16.575549610329183</v>
      </c>
      <c r="I245" s="316">
        <f t="shared" si="16"/>
        <v>17.971385366988482</v>
      </c>
      <c r="J245" s="316">
        <f t="shared" si="16"/>
        <v>19.367221123647781</v>
      </c>
      <c r="K245" s="316">
        <f t="shared" si="16"/>
        <v>20.763056880307083</v>
      </c>
    </row>
    <row r="246" spans="1:11" x14ac:dyDescent="0.35">
      <c r="A246">
        <v>1742</v>
      </c>
      <c r="B246" t="s">
        <v>257</v>
      </c>
      <c r="C246">
        <f>VLOOKUP($B246,'[1]taakstelling  2017 2018 2019'!$B$1:$F$389,3,FALSE)</f>
        <v>3</v>
      </c>
      <c r="D246">
        <f>VLOOKUP($B246,'[1]taakstelling  2017 2018 2019'!$B$2:$F$389,4,FALSE)</f>
        <v>6</v>
      </c>
      <c r="E246">
        <f>VLOOKUP($B246,'[1]taakstelling  2017 2018 2019'!$B$2:$F$389,5,FALSE)</f>
        <v>8</v>
      </c>
      <c r="F246">
        <v>10</v>
      </c>
      <c r="G246">
        <v>11</v>
      </c>
      <c r="H246" s="316">
        <f t="shared" si="16"/>
        <v>12.155403047574735</v>
      </c>
      <c r="I246" s="316">
        <f t="shared" si="16"/>
        <v>13.179015935791556</v>
      </c>
      <c r="J246" s="316">
        <f t="shared" si="16"/>
        <v>14.202628824008375</v>
      </c>
      <c r="K246" s="316">
        <f t="shared" si="16"/>
        <v>15.226241712225196</v>
      </c>
    </row>
    <row r="247" spans="1:11" x14ac:dyDescent="0.35">
      <c r="A247">
        <v>603</v>
      </c>
      <c r="B247" t="s">
        <v>258</v>
      </c>
      <c r="C247">
        <f>VLOOKUP($B247,'[1]taakstelling  2017 2018 2019'!$B$1:$F$389,3,FALSE)</f>
        <v>8</v>
      </c>
      <c r="D247">
        <f>VLOOKUP($B247,'[1]taakstelling  2017 2018 2019'!$B$2:$F$389,4,FALSE)</f>
        <v>13</v>
      </c>
      <c r="E247">
        <f>VLOOKUP($B247,'[1]taakstelling  2017 2018 2019'!$B$2:$F$389,5,FALSE)</f>
        <v>17</v>
      </c>
      <c r="F247">
        <v>21</v>
      </c>
      <c r="G247">
        <v>24</v>
      </c>
      <c r="H247" s="316">
        <f t="shared" si="16"/>
        <v>26.520879376526693</v>
      </c>
      <c r="I247" s="316">
        <f t="shared" si="16"/>
        <v>28.754216587181574</v>
      </c>
      <c r="J247" s="316">
        <f t="shared" si="16"/>
        <v>30.987553797836451</v>
      </c>
      <c r="K247" s="316">
        <f t="shared" si="16"/>
        <v>33.220891008491336</v>
      </c>
    </row>
    <row r="248" spans="1:11" x14ac:dyDescent="0.35">
      <c r="A248">
        <v>1669</v>
      </c>
      <c r="B248" t="s">
        <v>259</v>
      </c>
      <c r="C248">
        <f>VLOOKUP($B248,'[1]taakstelling  2017 2018 2019'!$B$1:$F$389,3,FALSE)</f>
        <v>2</v>
      </c>
      <c r="D248">
        <f>VLOOKUP($B248,'[1]taakstelling  2017 2018 2019'!$B$2:$F$389,4,FALSE)</f>
        <v>5</v>
      </c>
      <c r="E248">
        <f>VLOOKUP($B248,'[1]taakstelling  2017 2018 2019'!$B$2:$F$389,5,FALSE)</f>
        <v>6</v>
      </c>
      <c r="F248">
        <v>8</v>
      </c>
      <c r="G248">
        <v>9</v>
      </c>
      <c r="H248" s="316">
        <f t="shared" si="16"/>
        <v>9.9453297661975117</v>
      </c>
      <c r="I248" s="316">
        <f t="shared" si="16"/>
        <v>10.78283122019309</v>
      </c>
      <c r="J248" s="316">
        <f t="shared" si="16"/>
        <v>11.620332674188671</v>
      </c>
      <c r="K248" s="316">
        <f t="shared" si="16"/>
        <v>12.457834128184251</v>
      </c>
    </row>
    <row r="249" spans="1:11" x14ac:dyDescent="0.35">
      <c r="A249">
        <v>957</v>
      </c>
      <c r="B249" t="s">
        <v>260</v>
      </c>
      <c r="C249">
        <f>VLOOKUP($B249,'[1]taakstelling  2017 2018 2019'!$B$1:$F$389,3,FALSE)</f>
        <v>14</v>
      </c>
      <c r="D249">
        <f>VLOOKUP($B249,'[1]taakstelling  2017 2018 2019'!$B$2:$F$389,4,FALSE)</f>
        <v>28</v>
      </c>
      <c r="E249">
        <f>VLOOKUP($B249,'[1]taakstelling  2017 2018 2019'!$B$2:$F$389,5,FALSE)</f>
        <v>37</v>
      </c>
      <c r="F249">
        <v>45</v>
      </c>
      <c r="G249">
        <v>53</v>
      </c>
      <c r="H249" s="316">
        <f t="shared" si="16"/>
        <v>58.56694195649645</v>
      </c>
      <c r="I249" s="316">
        <f t="shared" si="16"/>
        <v>63.498894963359305</v>
      </c>
      <c r="J249" s="316">
        <f t="shared" si="16"/>
        <v>68.430847970222175</v>
      </c>
      <c r="K249" s="316">
        <f t="shared" si="16"/>
        <v>73.36280097708503</v>
      </c>
    </row>
    <row r="250" spans="1:11" x14ac:dyDescent="0.35">
      <c r="A250">
        <v>1674</v>
      </c>
      <c r="B250" t="s">
        <v>261</v>
      </c>
      <c r="C250">
        <f>VLOOKUP($B250,'[1]taakstelling  2017 2018 2019'!$B$1:$F$389,3,FALSE)</f>
        <v>14</v>
      </c>
      <c r="D250">
        <f>VLOOKUP($B250,'[1]taakstelling  2017 2018 2019'!$B$2:$F$389,4,FALSE)</f>
        <v>28</v>
      </c>
      <c r="E250">
        <f>VLOOKUP($B250,'[1]taakstelling  2017 2018 2019'!$B$2:$F$389,5,FALSE)</f>
        <v>36</v>
      </c>
      <c r="F250">
        <v>45</v>
      </c>
      <c r="G250">
        <v>52</v>
      </c>
      <c r="H250" s="316">
        <f t="shared" si="16"/>
        <v>57.46190531580784</v>
      </c>
      <c r="I250" s="316">
        <f t="shared" si="16"/>
        <v>62.300802605560079</v>
      </c>
      <c r="J250" s="316">
        <f t="shared" si="16"/>
        <v>67.139699895312319</v>
      </c>
      <c r="K250" s="316">
        <f t="shared" si="16"/>
        <v>71.978597185064558</v>
      </c>
    </row>
    <row r="251" spans="1:11" x14ac:dyDescent="0.35">
      <c r="A251">
        <v>599</v>
      </c>
      <c r="B251" t="s">
        <v>262</v>
      </c>
      <c r="C251">
        <f>VLOOKUP($B251,'[1]taakstelling  2017 2018 2019'!$B$1:$F$389,3,FALSE)</f>
        <v>107</v>
      </c>
      <c r="D251">
        <f>VLOOKUP($B251,'[1]taakstelling  2017 2018 2019'!$B$2:$F$389,4,FALSE)</f>
        <v>172</v>
      </c>
      <c r="E251">
        <f>VLOOKUP($B251,'[1]taakstelling  2017 2018 2019'!$B$2:$F$389,5,FALSE)</f>
        <v>224</v>
      </c>
      <c r="F251">
        <v>276</v>
      </c>
      <c r="G251">
        <v>321</v>
      </c>
      <c r="H251" s="316">
        <f t="shared" si="16"/>
        <v>354.71676166104459</v>
      </c>
      <c r="I251" s="316">
        <f t="shared" si="16"/>
        <v>384.58764685355357</v>
      </c>
      <c r="J251" s="316">
        <f t="shared" si="16"/>
        <v>414.4585320460626</v>
      </c>
      <c r="K251" s="316">
        <f t="shared" si="16"/>
        <v>444.32941723857164</v>
      </c>
    </row>
    <row r="252" spans="1:11" x14ac:dyDescent="0.35">
      <c r="A252">
        <v>277</v>
      </c>
      <c r="B252" t="s">
        <v>263</v>
      </c>
      <c r="C252">
        <f>VLOOKUP($B252,'[1]taakstelling  2017 2018 2019'!$B$1:$F$389,3,FALSE)</f>
        <v>0</v>
      </c>
      <c r="D252">
        <f>VLOOKUP($B252,'[1]taakstelling  2017 2018 2019'!$B$2:$F$389,4,FALSE)</f>
        <v>0</v>
      </c>
      <c r="E252">
        <f>VLOOKUP($B252,'[1]taakstelling  2017 2018 2019'!$B$2:$F$389,5,FALSE)</f>
        <v>1</v>
      </c>
      <c r="F252">
        <v>1</v>
      </c>
      <c r="G252">
        <v>1</v>
      </c>
      <c r="H252" s="316">
        <f t="shared" si="16"/>
        <v>1.1050366406886123</v>
      </c>
      <c r="I252" s="316">
        <f t="shared" si="16"/>
        <v>1.1980923577992322</v>
      </c>
      <c r="J252" s="316">
        <f t="shared" si="16"/>
        <v>1.2911480749098523</v>
      </c>
      <c r="K252" s="316">
        <f t="shared" si="16"/>
        <v>1.3842037920204724</v>
      </c>
    </row>
    <row r="253" spans="1:11" x14ac:dyDescent="0.35">
      <c r="A253">
        <v>840</v>
      </c>
      <c r="B253" t="s">
        <v>264</v>
      </c>
      <c r="C253">
        <f>VLOOKUP($B253,'[1]taakstelling  2017 2018 2019'!$B$1:$F$389,3,FALSE)</f>
        <v>5</v>
      </c>
      <c r="D253">
        <f>VLOOKUP($B253,'[1]taakstelling  2017 2018 2019'!$B$2:$F$389,4,FALSE)</f>
        <v>10</v>
      </c>
      <c r="E253">
        <f>VLOOKUP($B253,'[1]taakstelling  2017 2018 2019'!$B$2:$F$389,5,FALSE)</f>
        <v>13</v>
      </c>
      <c r="F253">
        <v>16</v>
      </c>
      <c r="G253">
        <v>19</v>
      </c>
      <c r="H253" s="316">
        <f t="shared" si="16"/>
        <v>20.995696173083637</v>
      </c>
      <c r="I253" s="316">
        <f t="shared" si="16"/>
        <v>22.763754798185417</v>
      </c>
      <c r="J253" s="316">
        <f t="shared" si="16"/>
        <v>24.531813423287197</v>
      </c>
      <c r="K253" s="316">
        <f t="shared" si="16"/>
        <v>26.299872048388973</v>
      </c>
    </row>
    <row r="254" spans="1:11" x14ac:dyDescent="0.35">
      <c r="A254">
        <v>441</v>
      </c>
      <c r="B254" t="s">
        <v>265</v>
      </c>
      <c r="C254">
        <f>VLOOKUP($B254,'[1]taakstelling  2017 2018 2019'!$B$1:$F$389,3,FALSE)</f>
        <v>6</v>
      </c>
      <c r="D254">
        <f>VLOOKUP($B254,'[1]taakstelling  2017 2018 2019'!$B$2:$F$389,4,FALSE)</f>
        <v>9</v>
      </c>
      <c r="E254">
        <f>VLOOKUP($B254,'[1]taakstelling  2017 2018 2019'!$B$2:$F$389,5,FALSE)</f>
        <v>12</v>
      </c>
      <c r="F254">
        <v>15</v>
      </c>
      <c r="G254">
        <v>18</v>
      </c>
      <c r="H254" s="316">
        <f t="shared" si="16"/>
        <v>19.890659532395023</v>
      </c>
      <c r="I254" s="316">
        <f t="shared" si="16"/>
        <v>21.565662440386181</v>
      </c>
      <c r="J254" s="316">
        <f t="shared" si="16"/>
        <v>23.240665348377341</v>
      </c>
      <c r="K254" s="316">
        <f t="shared" si="16"/>
        <v>24.915668256368502</v>
      </c>
    </row>
    <row r="255" spans="1:11" x14ac:dyDescent="0.35">
      <c r="A255">
        <v>279</v>
      </c>
      <c r="B255" t="s">
        <v>266</v>
      </c>
      <c r="C255">
        <f>VLOOKUP($B255,'[1]taakstelling  2017 2018 2019'!$B$1:$F$389,3,FALSE)</f>
        <v>1</v>
      </c>
      <c r="D255">
        <f>VLOOKUP($B255,'[1]taakstelling  2017 2018 2019'!$B$2:$F$389,4,FALSE)</f>
        <v>1</v>
      </c>
      <c r="E255">
        <f>VLOOKUP($B255,'[1]taakstelling  2017 2018 2019'!$B$2:$F$389,5,FALSE)</f>
        <v>2</v>
      </c>
      <c r="F255">
        <v>2</v>
      </c>
      <c r="G255">
        <v>3</v>
      </c>
      <c r="H255" s="316">
        <f t="shared" si="16"/>
        <v>3.3151099220658367</v>
      </c>
      <c r="I255" s="316">
        <f t="shared" si="16"/>
        <v>3.5942770733976968</v>
      </c>
      <c r="J255" s="316">
        <f t="shared" si="16"/>
        <v>3.8734442247295564</v>
      </c>
      <c r="K255" s="316">
        <f t="shared" si="16"/>
        <v>4.1526113760614169</v>
      </c>
    </row>
    <row r="256" spans="1:11" x14ac:dyDescent="0.35">
      <c r="A256">
        <v>606</v>
      </c>
      <c r="B256" t="s">
        <v>267</v>
      </c>
      <c r="C256">
        <f>VLOOKUP($B256,'[1]taakstelling  2017 2018 2019'!$B$1:$F$389,3,FALSE)</f>
        <v>12</v>
      </c>
      <c r="D256">
        <f>VLOOKUP($B256,'[1]taakstelling  2017 2018 2019'!$B$2:$F$389,4,FALSE)</f>
        <v>20</v>
      </c>
      <c r="E256">
        <f>VLOOKUP($B256,'[1]taakstelling  2017 2018 2019'!$B$2:$F$389,5,FALSE)</f>
        <v>27</v>
      </c>
      <c r="F256">
        <v>33</v>
      </c>
      <c r="G256">
        <v>38</v>
      </c>
      <c r="H256" s="316">
        <f t="shared" si="16"/>
        <v>41.991392346167274</v>
      </c>
      <c r="I256" s="316">
        <f t="shared" si="16"/>
        <v>45.527509596370834</v>
      </c>
      <c r="J256" s="316">
        <f t="shared" si="16"/>
        <v>49.063626846574394</v>
      </c>
      <c r="K256" s="316">
        <f t="shared" si="16"/>
        <v>52.599744096777947</v>
      </c>
    </row>
    <row r="257" spans="1:11" x14ac:dyDescent="0.35">
      <c r="A257">
        <v>88</v>
      </c>
      <c r="B257" t="s">
        <v>268</v>
      </c>
      <c r="C257">
        <f>VLOOKUP($B257,'[1]taakstelling  2017 2018 2019'!$B$1:$F$389,3,FALSE)</f>
        <v>0</v>
      </c>
      <c r="D257">
        <f>VLOOKUP($B257,'[1]taakstelling  2017 2018 2019'!$B$2:$F$389,4,FALSE)</f>
        <v>0</v>
      </c>
      <c r="E257">
        <f>VLOOKUP($B257,'[1]taakstelling  2017 2018 2019'!$B$2:$F$389,5,FALSE)</f>
        <v>1</v>
      </c>
      <c r="F257">
        <v>1</v>
      </c>
      <c r="G257">
        <v>1</v>
      </c>
      <c r="H257" s="316">
        <f t="shared" si="16"/>
        <v>1.1050366406886123</v>
      </c>
      <c r="I257" s="316">
        <f t="shared" si="16"/>
        <v>1.1980923577992322</v>
      </c>
      <c r="J257" s="316">
        <f t="shared" si="16"/>
        <v>1.2911480749098523</v>
      </c>
      <c r="K257" s="316">
        <f t="shared" si="16"/>
        <v>1.3842037920204724</v>
      </c>
    </row>
    <row r="258" spans="1:11" x14ac:dyDescent="0.35">
      <c r="A258">
        <v>1676</v>
      </c>
      <c r="B258" t="s">
        <v>269</v>
      </c>
      <c r="C258">
        <f>VLOOKUP($B258,'[1]taakstelling  2017 2018 2019'!$B$1:$F$389,3,FALSE)</f>
        <v>4</v>
      </c>
      <c r="D258">
        <f>VLOOKUP($B258,'[1]taakstelling  2017 2018 2019'!$B$2:$F$389,4,FALSE)</f>
        <v>9</v>
      </c>
      <c r="E258">
        <f>VLOOKUP($B258,'[1]taakstelling  2017 2018 2019'!$B$2:$F$389,5,FALSE)</f>
        <v>12</v>
      </c>
      <c r="F258">
        <v>15</v>
      </c>
      <c r="G258">
        <v>18</v>
      </c>
      <c r="H258" s="316">
        <f t="shared" si="16"/>
        <v>19.890659532395023</v>
      </c>
      <c r="I258" s="316">
        <f t="shared" si="16"/>
        <v>21.565662440386181</v>
      </c>
      <c r="J258" s="316">
        <f t="shared" si="16"/>
        <v>23.240665348377341</v>
      </c>
      <c r="K258" s="316">
        <f t="shared" si="16"/>
        <v>24.915668256368502</v>
      </c>
    </row>
    <row r="259" spans="1:11" x14ac:dyDescent="0.35">
      <c r="A259">
        <v>518</v>
      </c>
      <c r="B259" t="s">
        <v>270</v>
      </c>
      <c r="C259">
        <f>VLOOKUP($B259,'[1]taakstelling  2017 2018 2019'!$B$1:$F$389,3,FALSE)</f>
        <v>84</v>
      </c>
      <c r="D259">
        <f>VLOOKUP($B259,'[1]taakstelling  2017 2018 2019'!$B$2:$F$389,4,FALSE)</f>
        <v>127</v>
      </c>
      <c r="E259">
        <f>VLOOKUP($B259,'[1]taakstelling  2017 2018 2019'!$B$2:$F$389,5,FALSE)</f>
        <v>166</v>
      </c>
      <c r="F259">
        <v>205</v>
      </c>
      <c r="G259">
        <v>238</v>
      </c>
      <c r="H259" s="316">
        <f t="shared" si="16"/>
        <v>262.99872048388971</v>
      </c>
      <c r="I259" s="316">
        <f t="shared" si="16"/>
        <v>285.14598115621726</v>
      </c>
      <c r="J259" s="316">
        <f t="shared" si="16"/>
        <v>307.29324182854481</v>
      </c>
      <c r="K259" s="316">
        <f t="shared" si="16"/>
        <v>329.44050250087236</v>
      </c>
    </row>
    <row r="260" spans="1:11" x14ac:dyDescent="0.35">
      <c r="A260">
        <v>796</v>
      </c>
      <c r="B260" t="s">
        <v>271</v>
      </c>
      <c r="C260">
        <f>VLOOKUP($B260,'[1]taakstelling  2017 2018 2019'!$B$1:$F$389,3,FALSE)</f>
        <v>44</v>
      </c>
      <c r="D260">
        <f>VLOOKUP($B260,'[1]taakstelling  2017 2018 2019'!$B$2:$F$389,4,FALSE)</f>
        <v>90</v>
      </c>
      <c r="E260">
        <f>VLOOKUP($B260,'[1]taakstelling  2017 2018 2019'!$B$2:$F$389,5,FALSE)</f>
        <v>117</v>
      </c>
      <c r="F260">
        <v>144</v>
      </c>
      <c r="G260">
        <v>168</v>
      </c>
      <c r="H260" s="316">
        <f t="shared" ref="H260:K275" si="17">+G260/G$355*H$355</f>
        <v>185.64615563568685</v>
      </c>
      <c r="I260" s="316">
        <f t="shared" si="17"/>
        <v>201.27951611027103</v>
      </c>
      <c r="J260" s="316">
        <f t="shared" si="17"/>
        <v>216.91287658485518</v>
      </c>
      <c r="K260" s="316">
        <f t="shared" si="17"/>
        <v>232.54623705943933</v>
      </c>
    </row>
    <row r="261" spans="1:11" x14ac:dyDescent="0.35">
      <c r="A261">
        <v>965</v>
      </c>
      <c r="B261" t="s">
        <v>272</v>
      </c>
      <c r="C261">
        <f>VLOOKUP($B261,'[1]taakstelling  2017 2018 2019'!$B$1:$F$389,3,FALSE)</f>
        <v>1</v>
      </c>
      <c r="D261">
        <f>VLOOKUP($B261,'[1]taakstelling  2017 2018 2019'!$B$2:$F$389,4,FALSE)</f>
        <v>2</v>
      </c>
      <c r="E261">
        <f>VLOOKUP($B261,'[1]taakstelling  2017 2018 2019'!$B$2:$F$389,5,FALSE)</f>
        <v>3</v>
      </c>
      <c r="F261">
        <v>3</v>
      </c>
      <c r="G261">
        <v>4</v>
      </c>
      <c r="H261" s="316">
        <f t="shared" si="17"/>
        <v>4.4201465627544492</v>
      </c>
      <c r="I261" s="316">
        <f t="shared" si="17"/>
        <v>4.7923694311969287</v>
      </c>
      <c r="J261" s="316">
        <f t="shared" si="17"/>
        <v>5.1645922996394091</v>
      </c>
      <c r="K261" s="316">
        <f t="shared" si="17"/>
        <v>5.5368151680818896</v>
      </c>
    </row>
    <row r="263" spans="1:11" x14ac:dyDescent="0.35">
      <c r="A263">
        <v>845</v>
      </c>
      <c r="B263" t="s">
        <v>274</v>
      </c>
      <c r="C263">
        <f>VLOOKUP($B263,'[1]taakstelling  2017 2018 2019'!$B$1:$F$389,3,FALSE)</f>
        <v>4</v>
      </c>
      <c r="D263">
        <f>VLOOKUP($B263,'[1]taakstelling  2017 2018 2019'!$B$2:$F$389,4,FALSE)</f>
        <v>8</v>
      </c>
      <c r="E263">
        <f>VLOOKUP($B263,'[1]taakstelling  2017 2018 2019'!$B$2:$F$389,5,FALSE)</f>
        <v>11</v>
      </c>
      <c r="F263">
        <v>13</v>
      </c>
      <c r="G263">
        <v>16</v>
      </c>
      <c r="H263" s="316">
        <f t="shared" si="17"/>
        <v>17.680586251017797</v>
      </c>
      <c r="I263" s="316">
        <f t="shared" si="17"/>
        <v>19.169477724787715</v>
      </c>
      <c r="J263" s="316">
        <f t="shared" si="17"/>
        <v>20.658369198557637</v>
      </c>
      <c r="K263" s="316">
        <f t="shared" si="17"/>
        <v>22.147260672327558</v>
      </c>
    </row>
    <row r="264" spans="1:11" x14ac:dyDescent="0.35">
      <c r="A264">
        <v>1883</v>
      </c>
      <c r="B264" t="s">
        <v>275</v>
      </c>
      <c r="C264">
        <f>VLOOKUP($B264,'[1]taakstelling  2017 2018 2019'!$B$1:$F$389,3,FALSE)</f>
        <v>18</v>
      </c>
      <c r="D264">
        <f>VLOOKUP($B264,'[1]taakstelling  2017 2018 2019'!$B$2:$F$389,4,FALSE)</f>
        <v>28</v>
      </c>
      <c r="E264">
        <f>VLOOKUP($B264,'[1]taakstelling  2017 2018 2019'!$B$2:$F$389,5,FALSE)</f>
        <v>36</v>
      </c>
      <c r="F264">
        <v>45</v>
      </c>
      <c r="G264">
        <v>52</v>
      </c>
      <c r="H264" s="316">
        <f t="shared" si="17"/>
        <v>57.46190531580784</v>
      </c>
      <c r="I264" s="316">
        <f t="shared" si="17"/>
        <v>62.300802605560079</v>
      </c>
      <c r="J264" s="316">
        <f t="shared" si="17"/>
        <v>67.139699895312319</v>
      </c>
      <c r="K264" s="316">
        <f t="shared" si="17"/>
        <v>71.978597185064558</v>
      </c>
    </row>
    <row r="265" spans="1:11" x14ac:dyDescent="0.35">
      <c r="A265">
        <v>610</v>
      </c>
      <c r="B265" t="s">
        <v>276</v>
      </c>
      <c r="C265">
        <f>VLOOKUP($B265,'[1]taakstelling  2017 2018 2019'!$B$1:$F$389,3,FALSE)</f>
        <v>3</v>
      </c>
      <c r="D265">
        <f>VLOOKUP($B265,'[1]taakstelling  2017 2018 2019'!$B$2:$F$389,4,FALSE)</f>
        <v>5</v>
      </c>
      <c r="E265">
        <f>VLOOKUP($B265,'[1]taakstelling  2017 2018 2019'!$B$2:$F$389,5,FALSE)</f>
        <v>7</v>
      </c>
      <c r="F265">
        <v>8</v>
      </c>
      <c r="G265">
        <v>10</v>
      </c>
      <c r="H265" s="316">
        <f t="shared" si="17"/>
        <v>11.050366406886122</v>
      </c>
      <c r="I265" s="316">
        <f t="shared" si="17"/>
        <v>11.980923577992321</v>
      </c>
      <c r="J265" s="316">
        <f t="shared" si="17"/>
        <v>12.911480749098523</v>
      </c>
      <c r="K265" s="316">
        <f t="shared" si="17"/>
        <v>13.842037920204723</v>
      </c>
    </row>
    <row r="266" spans="1:11" x14ac:dyDescent="0.35">
      <c r="A266">
        <v>1714</v>
      </c>
      <c r="B266" t="s">
        <v>277</v>
      </c>
      <c r="C266">
        <f>VLOOKUP($B266,'[1]taakstelling  2017 2018 2019'!$B$1:$F$389,3,FALSE)</f>
        <v>3</v>
      </c>
      <c r="D266">
        <f>VLOOKUP($B266,'[1]taakstelling  2017 2018 2019'!$B$2:$F$389,4,FALSE)</f>
        <v>6</v>
      </c>
      <c r="E266">
        <f>VLOOKUP($B266,'[1]taakstelling  2017 2018 2019'!$B$2:$F$389,5,FALSE)</f>
        <v>8</v>
      </c>
      <c r="F266">
        <v>10</v>
      </c>
      <c r="G266">
        <v>11</v>
      </c>
      <c r="H266" s="316">
        <f t="shared" si="17"/>
        <v>12.155403047574735</v>
      </c>
      <c r="I266" s="316">
        <f t="shared" si="17"/>
        <v>13.179015935791556</v>
      </c>
      <c r="J266" s="316">
        <f t="shared" si="17"/>
        <v>14.202628824008375</v>
      </c>
      <c r="K266" s="316">
        <f t="shared" si="17"/>
        <v>15.226241712225196</v>
      </c>
    </row>
    <row r="267" spans="1:11" x14ac:dyDescent="0.35">
      <c r="A267">
        <v>90</v>
      </c>
      <c r="B267" t="s">
        <v>278</v>
      </c>
      <c r="C267">
        <f>VLOOKUP($B267,'[1]taakstelling  2017 2018 2019'!$B$1:$F$389,3,FALSE)</f>
        <v>12</v>
      </c>
      <c r="D267">
        <f>VLOOKUP($B267,'[1]taakstelling  2017 2018 2019'!$B$2:$F$389,4,FALSE)</f>
        <v>20</v>
      </c>
      <c r="E267">
        <f>VLOOKUP($B267,'[1]taakstelling  2017 2018 2019'!$B$2:$F$389,5,FALSE)</f>
        <v>26</v>
      </c>
      <c r="F267">
        <v>32</v>
      </c>
      <c r="G267">
        <v>37</v>
      </c>
      <c r="H267" s="316">
        <f t="shared" si="17"/>
        <v>40.886355705478657</v>
      </c>
      <c r="I267" s="316">
        <f t="shared" si="17"/>
        <v>44.329417238571594</v>
      </c>
      <c r="J267" s="316">
        <f t="shared" si="17"/>
        <v>47.772478771664531</v>
      </c>
      <c r="K267" s="316">
        <f t="shared" si="17"/>
        <v>51.215540304757475</v>
      </c>
    </row>
    <row r="268" spans="1:11" x14ac:dyDescent="0.35">
      <c r="A268">
        <v>342</v>
      </c>
      <c r="B268" t="s">
        <v>279</v>
      </c>
      <c r="C268">
        <f>VLOOKUP($B268,'[1]taakstelling  2017 2018 2019'!$B$1:$F$389,3,FALSE)</f>
        <v>3</v>
      </c>
      <c r="D268">
        <f>VLOOKUP($B268,'[1]taakstelling  2017 2018 2019'!$B$2:$F$389,4,FALSE)</f>
        <v>5</v>
      </c>
      <c r="E268">
        <f>VLOOKUP($B268,'[1]taakstelling  2017 2018 2019'!$B$2:$F$389,5,FALSE)</f>
        <v>7</v>
      </c>
      <c r="F268">
        <v>8</v>
      </c>
      <c r="G268">
        <v>9</v>
      </c>
      <c r="H268" s="316">
        <f t="shared" si="17"/>
        <v>9.9453297661975117</v>
      </c>
      <c r="I268" s="316">
        <f t="shared" si="17"/>
        <v>10.78283122019309</v>
      </c>
      <c r="J268" s="316">
        <f t="shared" si="17"/>
        <v>11.620332674188671</v>
      </c>
      <c r="K268" s="316">
        <f t="shared" si="17"/>
        <v>12.457834128184251</v>
      </c>
    </row>
    <row r="269" spans="1:11" x14ac:dyDescent="0.35">
      <c r="A269">
        <v>847</v>
      </c>
      <c r="B269" t="s">
        <v>280</v>
      </c>
      <c r="C269">
        <f>VLOOKUP($B269,'[1]taakstelling  2017 2018 2019'!$B$1:$F$389,3,FALSE)</f>
        <v>2</v>
      </c>
      <c r="D269">
        <f>VLOOKUP($B269,'[1]taakstelling  2017 2018 2019'!$B$2:$F$389,4,FALSE)</f>
        <v>3</v>
      </c>
      <c r="E269">
        <f>VLOOKUP($B269,'[1]taakstelling  2017 2018 2019'!$B$2:$F$389,5,FALSE)</f>
        <v>4</v>
      </c>
      <c r="F269">
        <v>5</v>
      </c>
      <c r="G269">
        <v>5</v>
      </c>
      <c r="H269" s="316">
        <f t="shared" si="17"/>
        <v>5.5251832034430608</v>
      </c>
      <c r="I269" s="316">
        <f t="shared" si="17"/>
        <v>5.9904617889961607</v>
      </c>
      <c r="J269" s="316">
        <f t="shared" si="17"/>
        <v>6.4557403745492614</v>
      </c>
      <c r="K269" s="316">
        <f t="shared" si="17"/>
        <v>6.9210189601023613</v>
      </c>
    </row>
    <row r="270" spans="1:11" x14ac:dyDescent="0.35">
      <c r="A270">
        <v>848</v>
      </c>
      <c r="B270" t="s">
        <v>281</v>
      </c>
      <c r="C270">
        <f>VLOOKUP($B270,'[1]taakstelling  2017 2018 2019'!$B$1:$F$389,3,FALSE)</f>
        <v>1</v>
      </c>
      <c r="D270">
        <f>VLOOKUP($B270,'[1]taakstelling  2017 2018 2019'!$B$2:$F$389,4,FALSE)</f>
        <v>2</v>
      </c>
      <c r="E270">
        <f>VLOOKUP($B270,'[1]taakstelling  2017 2018 2019'!$B$2:$F$389,5,FALSE)</f>
        <v>3</v>
      </c>
      <c r="F270">
        <v>4</v>
      </c>
      <c r="G270">
        <v>5</v>
      </c>
      <c r="H270" s="316">
        <f t="shared" si="17"/>
        <v>5.5251832034430608</v>
      </c>
      <c r="I270" s="316">
        <f t="shared" si="17"/>
        <v>5.9904617889961607</v>
      </c>
      <c r="J270" s="316">
        <f t="shared" si="17"/>
        <v>6.4557403745492614</v>
      </c>
      <c r="K270" s="316">
        <f t="shared" si="17"/>
        <v>6.9210189601023613</v>
      </c>
    </row>
    <row r="271" spans="1:11" x14ac:dyDescent="0.35">
      <c r="A271">
        <v>37</v>
      </c>
      <c r="B271" t="s">
        <v>282</v>
      </c>
      <c r="C271">
        <f>VLOOKUP($B271,'[1]taakstelling  2017 2018 2019'!$B$1:$F$389,3,FALSE)</f>
        <v>11</v>
      </c>
      <c r="D271">
        <f>VLOOKUP($B271,'[1]taakstelling  2017 2018 2019'!$B$2:$F$389,4,FALSE)</f>
        <v>20</v>
      </c>
      <c r="E271">
        <f>VLOOKUP($B271,'[1]taakstelling  2017 2018 2019'!$B$2:$F$389,5,FALSE)</f>
        <v>26</v>
      </c>
      <c r="F271">
        <v>33</v>
      </c>
      <c r="G271">
        <v>38</v>
      </c>
      <c r="H271" s="316">
        <f t="shared" si="17"/>
        <v>41.991392346167274</v>
      </c>
      <c r="I271" s="316">
        <f t="shared" si="17"/>
        <v>45.527509596370834</v>
      </c>
      <c r="J271" s="316">
        <f t="shared" si="17"/>
        <v>49.063626846574394</v>
      </c>
      <c r="K271" s="316">
        <f t="shared" si="17"/>
        <v>52.599744096777947</v>
      </c>
    </row>
    <row r="272" spans="1:11" x14ac:dyDescent="0.35">
      <c r="A272">
        <v>180</v>
      </c>
      <c r="B272" t="s">
        <v>283</v>
      </c>
      <c r="C272">
        <f>VLOOKUP($B272,'[1]taakstelling  2017 2018 2019'!$B$1:$F$389,3,FALSE)</f>
        <v>2</v>
      </c>
      <c r="D272">
        <f>VLOOKUP($B272,'[1]taakstelling  2017 2018 2019'!$B$2:$F$389,4,FALSE)</f>
        <v>3</v>
      </c>
      <c r="E272">
        <f>VLOOKUP($B272,'[1]taakstelling  2017 2018 2019'!$B$2:$F$389,5,FALSE)</f>
        <v>4</v>
      </c>
      <c r="F272">
        <v>4</v>
      </c>
      <c r="G272">
        <v>5</v>
      </c>
      <c r="H272" s="316">
        <f t="shared" si="17"/>
        <v>5.5251832034430608</v>
      </c>
      <c r="I272" s="316">
        <f t="shared" si="17"/>
        <v>5.9904617889961607</v>
      </c>
      <c r="J272" s="316">
        <f t="shared" si="17"/>
        <v>6.4557403745492614</v>
      </c>
      <c r="K272" s="316">
        <f t="shared" si="17"/>
        <v>6.9210189601023613</v>
      </c>
    </row>
    <row r="273" spans="1:11" x14ac:dyDescent="0.35">
      <c r="A273">
        <v>532</v>
      </c>
      <c r="B273" t="s">
        <v>284</v>
      </c>
      <c r="C273">
        <f>VLOOKUP($B273,'[1]taakstelling  2017 2018 2019'!$B$1:$F$389,3,FALSE)</f>
        <v>4</v>
      </c>
      <c r="D273">
        <f>VLOOKUP($B273,'[1]taakstelling  2017 2018 2019'!$B$2:$F$389,4,FALSE)</f>
        <v>6</v>
      </c>
      <c r="E273">
        <f>VLOOKUP($B273,'[1]taakstelling  2017 2018 2019'!$B$2:$F$389,5,FALSE)</f>
        <v>8</v>
      </c>
      <c r="F273">
        <v>9</v>
      </c>
      <c r="G273">
        <v>11</v>
      </c>
      <c r="H273" s="316">
        <f t="shared" si="17"/>
        <v>12.155403047574735</v>
      </c>
      <c r="I273" s="316">
        <f t="shared" si="17"/>
        <v>13.179015935791556</v>
      </c>
      <c r="J273" s="316">
        <f t="shared" si="17"/>
        <v>14.202628824008375</v>
      </c>
      <c r="K273" s="316">
        <f t="shared" si="17"/>
        <v>15.226241712225196</v>
      </c>
    </row>
    <row r="274" spans="1:11" x14ac:dyDescent="0.35">
      <c r="A274">
        <v>851</v>
      </c>
      <c r="B274" t="s">
        <v>285</v>
      </c>
      <c r="C274">
        <f>VLOOKUP($B274,'[1]taakstelling  2017 2018 2019'!$B$1:$F$389,3,FALSE)</f>
        <v>3</v>
      </c>
      <c r="D274">
        <f>VLOOKUP($B274,'[1]taakstelling  2017 2018 2019'!$B$2:$F$389,4,FALSE)</f>
        <v>5</v>
      </c>
      <c r="E274">
        <f>VLOOKUP($B274,'[1]taakstelling  2017 2018 2019'!$B$2:$F$389,5,FALSE)</f>
        <v>6</v>
      </c>
      <c r="F274">
        <v>8</v>
      </c>
      <c r="G274">
        <v>9</v>
      </c>
      <c r="H274" s="316">
        <f t="shared" si="17"/>
        <v>9.9453297661975117</v>
      </c>
      <c r="I274" s="316">
        <f t="shared" si="17"/>
        <v>10.78283122019309</v>
      </c>
      <c r="J274" s="316">
        <f t="shared" si="17"/>
        <v>11.620332674188671</v>
      </c>
      <c r="K274" s="316">
        <f t="shared" si="17"/>
        <v>12.457834128184251</v>
      </c>
    </row>
    <row r="275" spans="1:11" x14ac:dyDescent="0.35">
      <c r="A275">
        <v>1708</v>
      </c>
      <c r="B275" t="s">
        <v>286</v>
      </c>
      <c r="C275">
        <f>VLOOKUP($B275,'[1]taakstelling  2017 2018 2019'!$B$1:$F$389,3,FALSE)</f>
        <v>6</v>
      </c>
      <c r="D275">
        <f>VLOOKUP($B275,'[1]taakstelling  2017 2018 2019'!$B$2:$F$389,4,FALSE)</f>
        <v>10</v>
      </c>
      <c r="E275">
        <f>VLOOKUP($B275,'[1]taakstelling  2017 2018 2019'!$B$2:$F$389,5,FALSE)</f>
        <v>14</v>
      </c>
      <c r="F275">
        <v>17</v>
      </c>
      <c r="G275">
        <v>19</v>
      </c>
      <c r="H275" s="316">
        <f t="shared" si="17"/>
        <v>20.995696173083637</v>
      </c>
      <c r="I275" s="316">
        <f t="shared" si="17"/>
        <v>22.763754798185417</v>
      </c>
      <c r="J275" s="316">
        <f t="shared" si="17"/>
        <v>24.531813423287197</v>
      </c>
      <c r="K275" s="316">
        <f t="shared" si="17"/>
        <v>26.299872048388973</v>
      </c>
    </row>
    <row r="276" spans="1:11" x14ac:dyDescent="0.35">
      <c r="A276">
        <v>971</v>
      </c>
      <c r="B276" t="s">
        <v>287</v>
      </c>
      <c r="C276">
        <f>VLOOKUP($B276,'[1]taakstelling  2017 2018 2019'!$B$1:$F$389,3,FALSE)</f>
        <v>3</v>
      </c>
      <c r="D276">
        <f>VLOOKUP($B276,'[1]taakstelling  2017 2018 2019'!$B$2:$F$389,4,FALSE)</f>
        <v>5</v>
      </c>
      <c r="E276">
        <f>VLOOKUP($B276,'[1]taakstelling  2017 2018 2019'!$B$2:$F$389,5,FALSE)</f>
        <v>6</v>
      </c>
      <c r="F276">
        <v>7</v>
      </c>
      <c r="G276">
        <v>8</v>
      </c>
      <c r="H276" s="316">
        <f t="shared" ref="H276:K291" si="18">+G276/G$355*H$355</f>
        <v>8.8402931255088983</v>
      </c>
      <c r="I276" s="316">
        <f t="shared" si="18"/>
        <v>9.5847388623938574</v>
      </c>
      <c r="J276" s="316">
        <f t="shared" si="18"/>
        <v>10.329184599278818</v>
      </c>
      <c r="K276" s="316">
        <f t="shared" si="18"/>
        <v>11.073630336163779</v>
      </c>
    </row>
    <row r="277" spans="1:11" x14ac:dyDescent="0.35">
      <c r="A277">
        <v>1904</v>
      </c>
      <c r="B277" t="s">
        <v>288</v>
      </c>
      <c r="C277">
        <f>VLOOKUP($B277,'[1]taakstelling  2017 2018 2019'!$B$1:$F$389,3,FALSE)</f>
        <v>6</v>
      </c>
      <c r="D277">
        <f>VLOOKUP($B277,'[1]taakstelling  2017 2018 2019'!$B$2:$F$389,4,FALSE)</f>
        <v>11</v>
      </c>
      <c r="E277">
        <f>VLOOKUP($B277,'[1]taakstelling  2017 2018 2019'!$B$2:$F$389,5,FALSE)</f>
        <v>14</v>
      </c>
      <c r="F277">
        <v>18</v>
      </c>
      <c r="G277">
        <v>20</v>
      </c>
      <c r="H277" s="316">
        <f t="shared" si="18"/>
        <v>22.100732813772243</v>
      </c>
      <c r="I277" s="316">
        <f t="shared" si="18"/>
        <v>23.961847155984643</v>
      </c>
      <c r="J277" s="316">
        <f t="shared" si="18"/>
        <v>25.822961498197046</v>
      </c>
      <c r="K277" s="316">
        <f t="shared" si="18"/>
        <v>27.684075840409445</v>
      </c>
    </row>
    <row r="278" spans="1:11" x14ac:dyDescent="0.35">
      <c r="A278">
        <v>1900</v>
      </c>
      <c r="B278" t="s">
        <v>289</v>
      </c>
      <c r="C278">
        <f>VLOOKUP($B278,'[1]taakstelling  2017 2018 2019'!$B$1:$F$389,3,FALSE)</f>
        <v>8</v>
      </c>
      <c r="D278">
        <f>VLOOKUP($B278,'[1]taakstelling  2017 2018 2019'!$B$2:$F$389,4,FALSE)</f>
        <v>13</v>
      </c>
      <c r="E278">
        <f>VLOOKUP($B278,'[1]taakstelling  2017 2018 2019'!$B$2:$F$389,5,FALSE)</f>
        <v>17</v>
      </c>
      <c r="F278">
        <v>21</v>
      </c>
      <c r="G278">
        <v>25</v>
      </c>
      <c r="H278" s="316">
        <f t="shared" si="18"/>
        <v>27.625916017215307</v>
      </c>
      <c r="I278" s="316">
        <f t="shared" si="18"/>
        <v>29.952308944980807</v>
      </c>
      <c r="J278" s="316">
        <f t="shared" si="18"/>
        <v>32.278701872746304</v>
      </c>
      <c r="K278" s="316">
        <f t="shared" si="18"/>
        <v>34.6050948005118</v>
      </c>
    </row>
    <row r="279" spans="1:11" x14ac:dyDescent="0.35">
      <c r="A279">
        <v>715</v>
      </c>
      <c r="B279" t="s">
        <v>290</v>
      </c>
      <c r="C279">
        <f>VLOOKUP($B279,'[1]taakstelling  2017 2018 2019'!$B$1:$F$389,3,FALSE)</f>
        <v>11</v>
      </c>
      <c r="D279">
        <f>VLOOKUP($B279,'[1]taakstelling  2017 2018 2019'!$B$2:$F$389,4,FALSE)</f>
        <v>26</v>
      </c>
      <c r="E279">
        <f>VLOOKUP($B279,'[1]taakstelling  2017 2018 2019'!$B$2:$F$389,5,FALSE)</f>
        <v>34</v>
      </c>
      <c r="F279">
        <v>42</v>
      </c>
      <c r="G279">
        <v>49</v>
      </c>
      <c r="H279" s="316">
        <f t="shared" si="18"/>
        <v>54.146795393742003</v>
      </c>
      <c r="I279" s="316">
        <f t="shared" si="18"/>
        <v>58.706525532162381</v>
      </c>
      <c r="J279" s="316">
        <f t="shared" si="18"/>
        <v>63.266255670582765</v>
      </c>
      <c r="K279" s="316">
        <f t="shared" si="18"/>
        <v>67.825985809003143</v>
      </c>
    </row>
    <row r="280" spans="1:11" x14ac:dyDescent="0.35">
      <c r="A280">
        <v>93</v>
      </c>
      <c r="B280" t="s">
        <v>291</v>
      </c>
      <c r="C280">
        <f>VLOOKUP($B280,'[1]taakstelling  2017 2018 2019'!$B$1:$F$389,3,FALSE)</f>
        <v>0</v>
      </c>
      <c r="D280">
        <f>VLOOKUP($B280,'[1]taakstelling  2017 2018 2019'!$B$2:$F$389,4,FALSE)</f>
        <v>0</v>
      </c>
      <c r="E280">
        <f>VLOOKUP($B280,'[1]taakstelling  2017 2018 2019'!$B$2:$F$389,5,FALSE)</f>
        <v>1</v>
      </c>
      <c r="F280">
        <v>1</v>
      </c>
      <c r="G280">
        <v>1</v>
      </c>
      <c r="H280" s="316">
        <f t="shared" si="18"/>
        <v>1.1050366406886123</v>
      </c>
      <c r="I280" s="316">
        <f t="shared" si="18"/>
        <v>1.1980923577992322</v>
      </c>
      <c r="J280" s="316">
        <f t="shared" si="18"/>
        <v>1.2911480749098523</v>
      </c>
      <c r="K280" s="316">
        <f t="shared" si="18"/>
        <v>1.3842037920204724</v>
      </c>
    </row>
    <row r="281" spans="1:11" x14ac:dyDescent="0.35">
      <c r="A281">
        <v>448</v>
      </c>
      <c r="B281" t="s">
        <v>292</v>
      </c>
      <c r="C281">
        <f>VLOOKUP($B281,'[1]taakstelling  2017 2018 2019'!$B$1:$F$389,3,FALSE)</f>
        <v>2</v>
      </c>
      <c r="D281">
        <f>VLOOKUP($B281,'[1]taakstelling  2017 2018 2019'!$B$2:$F$389,4,FALSE)</f>
        <v>5</v>
      </c>
      <c r="E281">
        <f>VLOOKUP($B281,'[1]taakstelling  2017 2018 2019'!$B$2:$F$389,5,FALSE)</f>
        <v>6</v>
      </c>
      <c r="F281">
        <v>7</v>
      </c>
      <c r="G281">
        <v>8</v>
      </c>
      <c r="H281" s="316">
        <f t="shared" si="18"/>
        <v>8.8402931255088983</v>
      </c>
      <c r="I281" s="316">
        <f t="shared" si="18"/>
        <v>9.5847388623938574</v>
      </c>
      <c r="J281" s="316">
        <f t="shared" si="18"/>
        <v>10.329184599278818</v>
      </c>
      <c r="K281" s="316">
        <f t="shared" si="18"/>
        <v>11.073630336163779</v>
      </c>
    </row>
    <row r="282" spans="1:11" x14ac:dyDescent="0.35">
      <c r="A282">
        <v>1525</v>
      </c>
      <c r="B282" t="s">
        <v>293</v>
      </c>
      <c r="C282">
        <f>VLOOKUP($B282,'[1]taakstelling  2017 2018 2019'!$B$1:$F$389,3,FALSE)</f>
        <v>5</v>
      </c>
      <c r="D282">
        <f>VLOOKUP($B282,'[1]taakstelling  2017 2018 2019'!$B$2:$F$389,4,FALSE)</f>
        <v>8</v>
      </c>
      <c r="E282">
        <f>VLOOKUP($B282,'[1]taakstelling  2017 2018 2019'!$B$2:$F$389,5,FALSE)</f>
        <v>10</v>
      </c>
      <c r="F282">
        <v>13</v>
      </c>
      <c r="G282">
        <v>15</v>
      </c>
      <c r="H282" s="316">
        <f t="shared" si="18"/>
        <v>16.575549610329183</v>
      </c>
      <c r="I282" s="316">
        <f t="shared" si="18"/>
        <v>17.971385366988482</v>
      </c>
      <c r="J282" s="316">
        <f t="shared" si="18"/>
        <v>19.367221123647781</v>
      </c>
      <c r="K282" s="316">
        <f t="shared" si="18"/>
        <v>20.763056880307083</v>
      </c>
    </row>
    <row r="283" spans="1:11" x14ac:dyDescent="0.35">
      <c r="A283">
        <v>716</v>
      </c>
      <c r="B283" t="s">
        <v>294</v>
      </c>
      <c r="C283">
        <f>VLOOKUP($B283,'[1]taakstelling  2017 2018 2019'!$B$1:$F$389,3,FALSE)</f>
        <v>3</v>
      </c>
      <c r="D283">
        <f>VLOOKUP($B283,'[1]taakstelling  2017 2018 2019'!$B$2:$F$389,4,FALSE)</f>
        <v>5</v>
      </c>
      <c r="E283">
        <f>VLOOKUP($B283,'[1]taakstelling  2017 2018 2019'!$B$2:$F$389,5,FALSE)</f>
        <v>7</v>
      </c>
      <c r="F283">
        <v>8</v>
      </c>
      <c r="G283">
        <v>10</v>
      </c>
      <c r="H283" s="316">
        <f t="shared" si="18"/>
        <v>11.050366406886122</v>
      </c>
      <c r="I283" s="316">
        <f t="shared" si="18"/>
        <v>11.980923577992321</v>
      </c>
      <c r="J283" s="316">
        <f t="shared" si="18"/>
        <v>12.911480749098523</v>
      </c>
      <c r="K283" s="316">
        <f t="shared" si="18"/>
        <v>13.842037920204723</v>
      </c>
    </row>
    <row r="284" spans="1:11" x14ac:dyDescent="0.35">
      <c r="A284">
        <v>281</v>
      </c>
      <c r="B284" t="s">
        <v>295</v>
      </c>
      <c r="C284">
        <f>VLOOKUP($B284,'[1]taakstelling  2017 2018 2019'!$B$1:$F$389,3,FALSE)</f>
        <v>11</v>
      </c>
      <c r="D284">
        <f>VLOOKUP($B284,'[1]taakstelling  2017 2018 2019'!$B$2:$F$389,4,FALSE)</f>
        <v>22</v>
      </c>
      <c r="E284">
        <f>VLOOKUP($B284,'[1]taakstelling  2017 2018 2019'!$B$2:$F$389,5,FALSE)</f>
        <v>29</v>
      </c>
      <c r="F284">
        <v>36</v>
      </c>
      <c r="G284">
        <v>42</v>
      </c>
      <c r="H284" s="316">
        <f t="shared" si="18"/>
        <v>46.411538908921713</v>
      </c>
      <c r="I284" s="316">
        <f t="shared" si="18"/>
        <v>50.319879027567758</v>
      </c>
      <c r="J284" s="316">
        <f t="shared" si="18"/>
        <v>54.228219146213796</v>
      </c>
      <c r="K284" s="316">
        <f t="shared" si="18"/>
        <v>58.136559264859834</v>
      </c>
    </row>
    <row r="285" spans="1:11" x14ac:dyDescent="0.35">
      <c r="A285">
        <v>855</v>
      </c>
      <c r="B285" t="s">
        <v>296</v>
      </c>
      <c r="C285">
        <v>35</v>
      </c>
      <c r="D285">
        <v>73</v>
      </c>
      <c r="E285">
        <v>95</v>
      </c>
      <c r="F285">
        <v>118</v>
      </c>
      <c r="G285">
        <v>133</v>
      </c>
      <c r="H285" s="316">
        <f t="shared" si="18"/>
        <v>146.96987321158542</v>
      </c>
      <c r="I285" s="316">
        <f t="shared" si="18"/>
        <v>159.34628358729788</v>
      </c>
      <c r="J285" s="316">
        <f t="shared" si="18"/>
        <v>171.72269396301033</v>
      </c>
      <c r="K285" s="316">
        <f t="shared" si="18"/>
        <v>184.09910433872278</v>
      </c>
    </row>
    <row r="286" spans="1:11" x14ac:dyDescent="0.35">
      <c r="A286">
        <v>183</v>
      </c>
      <c r="B286" t="s">
        <v>297</v>
      </c>
      <c r="C286">
        <f>VLOOKUP($B286,'[1]taakstelling  2017 2018 2019'!$B$1:$F$389,3,FALSE)</f>
        <v>1</v>
      </c>
      <c r="D286">
        <f>VLOOKUP($B286,'[1]taakstelling  2017 2018 2019'!$B$2:$F$389,4,FALSE)</f>
        <v>2</v>
      </c>
      <c r="E286">
        <f>VLOOKUP($B286,'[1]taakstelling  2017 2018 2019'!$B$2:$F$389,5,FALSE)</f>
        <v>3</v>
      </c>
      <c r="F286">
        <v>3</v>
      </c>
      <c r="G286">
        <v>4</v>
      </c>
      <c r="H286" s="316">
        <f t="shared" si="18"/>
        <v>4.4201465627544492</v>
      </c>
      <c r="I286" s="316">
        <f t="shared" si="18"/>
        <v>4.7923694311969287</v>
      </c>
      <c r="J286" s="316">
        <f t="shared" si="18"/>
        <v>5.1645922996394091</v>
      </c>
      <c r="K286" s="316">
        <f t="shared" si="18"/>
        <v>5.5368151680818896</v>
      </c>
    </row>
    <row r="287" spans="1:11" x14ac:dyDescent="0.35">
      <c r="A287">
        <v>1700</v>
      </c>
      <c r="B287" t="s">
        <v>298</v>
      </c>
      <c r="C287">
        <f>VLOOKUP($B287,'[1]taakstelling  2017 2018 2019'!$B$1:$F$389,3,FALSE)</f>
        <v>5</v>
      </c>
      <c r="D287">
        <f>VLOOKUP($B287,'[1]taakstelling  2017 2018 2019'!$B$2:$F$389,4,FALSE)</f>
        <v>8</v>
      </c>
      <c r="E287">
        <f>VLOOKUP($B287,'[1]taakstelling  2017 2018 2019'!$B$2:$F$389,5,FALSE)</f>
        <v>11</v>
      </c>
      <c r="F287">
        <v>13</v>
      </c>
      <c r="G287">
        <v>16</v>
      </c>
      <c r="H287" s="316">
        <f t="shared" si="18"/>
        <v>17.680586251017797</v>
      </c>
      <c r="I287" s="316">
        <f t="shared" si="18"/>
        <v>19.169477724787715</v>
      </c>
      <c r="J287" s="316">
        <f t="shared" si="18"/>
        <v>20.658369198557637</v>
      </c>
      <c r="K287" s="316">
        <f t="shared" si="18"/>
        <v>22.147260672327558</v>
      </c>
    </row>
    <row r="288" spans="1:11" x14ac:dyDescent="0.35">
      <c r="A288">
        <v>1730</v>
      </c>
      <c r="B288" t="s">
        <v>299</v>
      </c>
      <c r="C288">
        <f>VLOOKUP($B288,'[1]taakstelling  2017 2018 2019'!$B$1:$F$389,3,FALSE)</f>
        <v>4</v>
      </c>
      <c r="D288">
        <f>VLOOKUP($B288,'[1]taakstelling  2017 2018 2019'!$B$2:$F$389,4,FALSE)</f>
        <v>7</v>
      </c>
      <c r="E288">
        <f>VLOOKUP($B288,'[1]taakstelling  2017 2018 2019'!$B$2:$F$389,5,FALSE)</f>
        <v>9</v>
      </c>
      <c r="F288">
        <v>11</v>
      </c>
      <c r="G288">
        <v>13</v>
      </c>
      <c r="H288" s="316">
        <f t="shared" si="18"/>
        <v>14.36547632895196</v>
      </c>
      <c r="I288" s="316">
        <f t="shared" si="18"/>
        <v>15.57520065139002</v>
      </c>
      <c r="J288" s="316">
        <f t="shared" si="18"/>
        <v>16.78492497382808</v>
      </c>
      <c r="K288" s="316">
        <f t="shared" si="18"/>
        <v>17.99464929626614</v>
      </c>
    </row>
    <row r="289" spans="1:11" x14ac:dyDescent="0.35">
      <c r="A289">
        <v>737</v>
      </c>
      <c r="B289" t="s">
        <v>300</v>
      </c>
      <c r="C289">
        <f>VLOOKUP($B289,'[1]taakstelling  2017 2018 2019'!$B$1:$F$389,3,FALSE)</f>
        <v>3</v>
      </c>
      <c r="D289">
        <f>VLOOKUP($B289,'[1]taakstelling  2017 2018 2019'!$B$2:$F$389,4,FALSE)</f>
        <v>5</v>
      </c>
      <c r="E289">
        <f>VLOOKUP($B289,'[1]taakstelling  2017 2018 2019'!$B$2:$F$389,5,FALSE)</f>
        <v>7</v>
      </c>
      <c r="F289">
        <v>8</v>
      </c>
      <c r="G289">
        <v>10</v>
      </c>
      <c r="H289" s="316">
        <f t="shared" si="18"/>
        <v>11.050366406886122</v>
      </c>
      <c r="I289" s="316">
        <f t="shared" si="18"/>
        <v>11.980923577992321</v>
      </c>
      <c r="J289" s="316">
        <f t="shared" si="18"/>
        <v>12.911480749098523</v>
      </c>
      <c r="K289" s="316">
        <f t="shared" si="18"/>
        <v>13.842037920204723</v>
      </c>
    </row>
    <row r="291" spans="1:11" x14ac:dyDescent="0.35">
      <c r="A291">
        <v>450</v>
      </c>
      <c r="B291" t="s">
        <v>302</v>
      </c>
      <c r="C291">
        <f>VLOOKUP($B291,'[1]taakstelling  2017 2018 2019'!$B$1:$F$389,3,FALSE)</f>
        <v>2</v>
      </c>
      <c r="D291">
        <f>VLOOKUP($B291,'[1]taakstelling  2017 2018 2019'!$B$2:$F$389,4,FALSE)</f>
        <v>3</v>
      </c>
      <c r="E291">
        <f>VLOOKUP($B291,'[1]taakstelling  2017 2018 2019'!$B$2:$F$389,5,FALSE)</f>
        <v>3</v>
      </c>
      <c r="F291">
        <v>4</v>
      </c>
      <c r="G291">
        <v>5</v>
      </c>
      <c r="H291" s="316">
        <f t="shared" si="18"/>
        <v>5.5251832034430608</v>
      </c>
      <c r="I291" s="316">
        <f t="shared" si="18"/>
        <v>5.9904617889961607</v>
      </c>
      <c r="J291" s="316">
        <f t="shared" si="18"/>
        <v>6.4557403745492614</v>
      </c>
      <c r="K291" s="316">
        <f t="shared" si="18"/>
        <v>6.9210189601023613</v>
      </c>
    </row>
    <row r="292" spans="1:11" x14ac:dyDescent="0.35">
      <c r="A292">
        <v>451</v>
      </c>
      <c r="B292" t="s">
        <v>303</v>
      </c>
      <c r="C292">
        <f>VLOOKUP($B292,'[1]taakstelling  2017 2018 2019'!$B$1:$F$389,3,FALSE)</f>
        <v>3</v>
      </c>
      <c r="D292">
        <f>VLOOKUP($B292,'[1]taakstelling  2017 2018 2019'!$B$2:$F$389,4,FALSE)</f>
        <v>5</v>
      </c>
      <c r="E292">
        <f>VLOOKUP($B292,'[1]taakstelling  2017 2018 2019'!$B$2:$F$389,5,FALSE)</f>
        <v>7</v>
      </c>
      <c r="F292">
        <v>8</v>
      </c>
      <c r="G292">
        <v>9</v>
      </c>
      <c r="H292" s="316">
        <f t="shared" ref="H292:K307" si="19">+G292/G$355*H$355</f>
        <v>9.9453297661975117</v>
      </c>
      <c r="I292" s="316">
        <f t="shared" si="19"/>
        <v>10.78283122019309</v>
      </c>
      <c r="J292" s="316">
        <f t="shared" si="19"/>
        <v>11.620332674188671</v>
      </c>
      <c r="K292" s="316">
        <f t="shared" si="19"/>
        <v>12.457834128184251</v>
      </c>
    </row>
    <row r="293" spans="1:11" x14ac:dyDescent="0.35">
      <c r="A293">
        <v>184</v>
      </c>
      <c r="B293" t="s">
        <v>304</v>
      </c>
      <c r="C293">
        <f>VLOOKUP($B293,'[1]taakstelling  2017 2018 2019'!$B$1:$F$389,3,FALSE)</f>
        <v>1</v>
      </c>
      <c r="D293">
        <f>VLOOKUP($B293,'[1]taakstelling  2017 2018 2019'!$B$2:$F$389,4,FALSE)</f>
        <v>2</v>
      </c>
      <c r="E293">
        <f>VLOOKUP($B293,'[1]taakstelling  2017 2018 2019'!$B$2:$F$389,5,FALSE)</f>
        <v>3</v>
      </c>
      <c r="F293">
        <v>3</v>
      </c>
      <c r="G293">
        <v>4</v>
      </c>
      <c r="H293" s="316">
        <f t="shared" si="19"/>
        <v>4.4201465627544492</v>
      </c>
      <c r="I293" s="316">
        <f t="shared" si="19"/>
        <v>4.7923694311969287</v>
      </c>
      <c r="J293" s="316">
        <f t="shared" si="19"/>
        <v>5.1645922996394091</v>
      </c>
      <c r="K293" s="316">
        <f t="shared" si="19"/>
        <v>5.5368151680818896</v>
      </c>
    </row>
    <row r="294" spans="1:11" x14ac:dyDescent="0.35">
      <c r="A294">
        <v>344</v>
      </c>
      <c r="B294" t="s">
        <v>305</v>
      </c>
      <c r="C294">
        <f>VLOOKUP($B294,'[1]taakstelling  2017 2018 2019'!$B$1:$F$389,3,FALSE)</f>
        <v>39</v>
      </c>
      <c r="D294">
        <f>VLOOKUP($B294,'[1]taakstelling  2017 2018 2019'!$B$2:$F$389,4,FALSE)</f>
        <v>66</v>
      </c>
      <c r="E294">
        <f>VLOOKUP($B294,'[1]taakstelling  2017 2018 2019'!$B$2:$F$389,5,FALSE)</f>
        <v>86</v>
      </c>
      <c r="F294">
        <v>106</v>
      </c>
      <c r="G294">
        <v>123</v>
      </c>
      <c r="H294" s="316">
        <f t="shared" si="19"/>
        <v>135.91950680469932</v>
      </c>
      <c r="I294" s="316">
        <f t="shared" si="19"/>
        <v>147.36536000930559</v>
      </c>
      <c r="J294" s="316">
        <f t="shared" si="19"/>
        <v>158.81121321391186</v>
      </c>
      <c r="K294" s="316">
        <f t="shared" si="19"/>
        <v>170.25706641851812</v>
      </c>
    </row>
    <row r="295" spans="1:11" x14ac:dyDescent="0.35">
      <c r="A295">
        <v>1581</v>
      </c>
      <c r="B295" t="s">
        <v>306</v>
      </c>
      <c r="C295">
        <f>VLOOKUP($B295,'[1]taakstelling  2017 2018 2019'!$B$1:$F$389,3,FALSE)</f>
        <v>4</v>
      </c>
      <c r="D295">
        <f>VLOOKUP($B295,'[1]taakstelling  2017 2018 2019'!$B$2:$F$389,4,FALSE)</f>
        <v>6</v>
      </c>
      <c r="E295">
        <f>VLOOKUP($B295,'[1]taakstelling  2017 2018 2019'!$B$2:$F$389,5,FALSE)</f>
        <v>8</v>
      </c>
      <c r="F295">
        <v>9</v>
      </c>
      <c r="G295">
        <v>11</v>
      </c>
      <c r="H295" s="316">
        <f t="shared" si="19"/>
        <v>12.155403047574735</v>
      </c>
      <c r="I295" s="316">
        <f t="shared" si="19"/>
        <v>13.179015935791556</v>
      </c>
      <c r="J295" s="316">
        <f t="shared" si="19"/>
        <v>14.202628824008375</v>
      </c>
      <c r="K295" s="316">
        <f t="shared" si="19"/>
        <v>15.226241712225196</v>
      </c>
    </row>
    <row r="296" spans="1:11" x14ac:dyDescent="0.35">
      <c r="A296">
        <v>981</v>
      </c>
      <c r="B296" t="s">
        <v>307</v>
      </c>
      <c r="C296">
        <f>VLOOKUP($B296,'[1]taakstelling  2017 2018 2019'!$B$1:$F$389,3,FALSE)</f>
        <v>1</v>
      </c>
      <c r="D296">
        <f>VLOOKUP($B296,'[1]taakstelling  2017 2018 2019'!$B$2:$F$389,4,FALSE)</f>
        <v>2</v>
      </c>
      <c r="E296">
        <f>VLOOKUP($B296,'[1]taakstelling  2017 2018 2019'!$B$2:$F$389,5,FALSE)</f>
        <v>2</v>
      </c>
      <c r="F296">
        <v>3</v>
      </c>
      <c r="G296">
        <v>3</v>
      </c>
      <c r="H296" s="316">
        <f t="shared" si="19"/>
        <v>3.3151099220658367</v>
      </c>
      <c r="I296" s="316">
        <f t="shared" si="19"/>
        <v>3.5942770733976968</v>
      </c>
      <c r="J296" s="316">
        <f t="shared" si="19"/>
        <v>3.8734442247295564</v>
      </c>
      <c r="K296" s="316">
        <f t="shared" si="19"/>
        <v>4.1526113760614169</v>
      </c>
    </row>
    <row r="297" spans="1:11" x14ac:dyDescent="0.35">
      <c r="A297">
        <v>994</v>
      </c>
      <c r="B297" t="s">
        <v>308</v>
      </c>
      <c r="C297">
        <f>VLOOKUP($B297,'[1]taakstelling  2017 2018 2019'!$B$1:$F$389,3,FALSE)</f>
        <v>2</v>
      </c>
      <c r="D297">
        <f>VLOOKUP($B297,'[1]taakstelling  2017 2018 2019'!$B$2:$F$389,4,FALSE)</f>
        <v>3</v>
      </c>
      <c r="E297">
        <f>VLOOKUP($B297,'[1]taakstelling  2017 2018 2019'!$B$2:$F$389,5,FALSE)</f>
        <v>4</v>
      </c>
      <c r="F297">
        <v>5</v>
      </c>
      <c r="G297">
        <v>6</v>
      </c>
      <c r="H297" s="316">
        <f t="shared" si="19"/>
        <v>6.6302198441316733</v>
      </c>
      <c r="I297" s="316">
        <f t="shared" si="19"/>
        <v>7.1885541467953935</v>
      </c>
      <c r="J297" s="316">
        <f t="shared" si="19"/>
        <v>7.7468884494591128</v>
      </c>
      <c r="K297" s="316">
        <f t="shared" si="19"/>
        <v>8.3052227521228339</v>
      </c>
    </row>
    <row r="298" spans="1:11" x14ac:dyDescent="0.35">
      <c r="A298">
        <v>858</v>
      </c>
      <c r="B298" t="s">
        <v>309</v>
      </c>
      <c r="C298">
        <f>VLOOKUP($B298,'[1]taakstelling  2017 2018 2019'!$B$1:$F$389,3,FALSE)</f>
        <v>2</v>
      </c>
      <c r="D298">
        <f>VLOOKUP($B298,'[1]taakstelling  2017 2018 2019'!$B$2:$F$389,4,FALSE)</f>
        <v>5</v>
      </c>
      <c r="E298">
        <f>VLOOKUP($B298,'[1]taakstelling  2017 2018 2019'!$B$2:$F$389,5,FALSE)</f>
        <v>7</v>
      </c>
      <c r="F298">
        <v>9</v>
      </c>
      <c r="G298">
        <v>10</v>
      </c>
      <c r="H298" s="316">
        <f t="shared" si="19"/>
        <v>11.050366406886122</v>
      </c>
      <c r="I298" s="316">
        <f t="shared" si="19"/>
        <v>11.980923577992321</v>
      </c>
      <c r="J298" s="316">
        <f t="shared" si="19"/>
        <v>12.911480749098523</v>
      </c>
      <c r="K298" s="316">
        <f t="shared" si="19"/>
        <v>13.842037920204723</v>
      </c>
    </row>
    <row r="299" spans="1:11" x14ac:dyDescent="0.35">
      <c r="A299">
        <v>47</v>
      </c>
      <c r="B299" t="s">
        <v>310</v>
      </c>
      <c r="C299">
        <f>VLOOKUP($B299,'[1]taakstelling  2017 2018 2019'!$B$1:$F$389,3,FALSE)</f>
        <v>8</v>
      </c>
      <c r="D299">
        <f>VLOOKUP($B299,'[1]taakstelling  2017 2018 2019'!$B$2:$F$389,4,FALSE)</f>
        <v>15</v>
      </c>
      <c r="E299">
        <f>VLOOKUP($B299,'[1]taakstelling  2017 2018 2019'!$B$2:$F$389,5,FALSE)</f>
        <v>19</v>
      </c>
      <c r="F299">
        <v>24</v>
      </c>
      <c r="G299">
        <v>28</v>
      </c>
      <c r="H299" s="316">
        <f t="shared" si="19"/>
        <v>30.941025939281143</v>
      </c>
      <c r="I299" s="316">
        <f t="shared" si="19"/>
        <v>33.546586018378505</v>
      </c>
      <c r="J299" s="316">
        <f t="shared" si="19"/>
        <v>36.152146097475864</v>
      </c>
      <c r="K299" s="316">
        <f t="shared" si="19"/>
        <v>38.757706176573222</v>
      </c>
    </row>
    <row r="300" spans="1:11" x14ac:dyDescent="0.35">
      <c r="A300">
        <v>345</v>
      </c>
      <c r="B300" t="s">
        <v>311</v>
      </c>
      <c r="C300">
        <f>VLOOKUP($B300,'[1]taakstelling  2017 2018 2019'!$B$1:$F$389,3,FALSE)</f>
        <v>10</v>
      </c>
      <c r="D300">
        <f>VLOOKUP($B300,'[1]taakstelling  2017 2018 2019'!$B$2:$F$389,4,FALSE)</f>
        <v>16</v>
      </c>
      <c r="E300">
        <f>VLOOKUP($B300,'[1]taakstelling  2017 2018 2019'!$B$2:$F$389,5,FALSE)</f>
        <v>21</v>
      </c>
      <c r="F300">
        <v>25</v>
      </c>
      <c r="G300">
        <v>29</v>
      </c>
      <c r="H300" s="316">
        <f t="shared" si="19"/>
        <v>32.046062579969757</v>
      </c>
      <c r="I300" s="316">
        <f t="shared" si="19"/>
        <v>34.744678376177738</v>
      </c>
      <c r="J300" s="316">
        <f t="shared" si="19"/>
        <v>37.44329417238572</v>
      </c>
      <c r="K300" s="316">
        <f t="shared" si="19"/>
        <v>40.141909968593701</v>
      </c>
    </row>
    <row r="301" spans="1:11" x14ac:dyDescent="0.35">
      <c r="A301">
        <v>717</v>
      </c>
      <c r="B301" t="s">
        <v>312</v>
      </c>
      <c r="C301">
        <f>VLOOKUP($B301,'[1]taakstelling  2017 2018 2019'!$B$1:$F$389,3,FALSE)</f>
        <v>1</v>
      </c>
      <c r="D301">
        <f>VLOOKUP($B301,'[1]taakstelling  2017 2018 2019'!$B$2:$F$389,4,FALSE)</f>
        <v>2</v>
      </c>
      <c r="E301">
        <f>VLOOKUP($B301,'[1]taakstelling  2017 2018 2019'!$B$2:$F$389,5,FALSE)</f>
        <v>2</v>
      </c>
      <c r="F301">
        <v>3</v>
      </c>
      <c r="G301">
        <v>3</v>
      </c>
      <c r="H301" s="316">
        <f t="shared" si="19"/>
        <v>3.3151099220658367</v>
      </c>
      <c r="I301" s="316">
        <f t="shared" si="19"/>
        <v>3.5942770733976968</v>
      </c>
      <c r="J301" s="316">
        <f t="shared" si="19"/>
        <v>3.8734442247295564</v>
      </c>
      <c r="K301" s="316">
        <f t="shared" si="19"/>
        <v>4.1526113760614169</v>
      </c>
    </row>
    <row r="302" spans="1:11" x14ac:dyDescent="0.35">
      <c r="A302">
        <v>861</v>
      </c>
      <c r="B302" t="s">
        <v>313</v>
      </c>
      <c r="C302">
        <f>VLOOKUP($B302,'[1]taakstelling  2017 2018 2019'!$B$1:$F$389,3,FALSE)</f>
        <v>5</v>
      </c>
      <c r="D302">
        <f>VLOOKUP($B302,'[1]taakstelling  2017 2018 2019'!$B$2:$F$389,4,FALSE)</f>
        <v>9</v>
      </c>
      <c r="E302">
        <f>VLOOKUP($B302,'[1]taakstelling  2017 2018 2019'!$B$2:$F$389,5,FALSE)</f>
        <v>12</v>
      </c>
      <c r="F302">
        <v>15</v>
      </c>
      <c r="G302">
        <v>17</v>
      </c>
      <c r="H302" s="316">
        <f t="shared" si="19"/>
        <v>18.78562289170641</v>
      </c>
      <c r="I302" s="316">
        <f t="shared" si="19"/>
        <v>20.367570082586948</v>
      </c>
      <c r="J302" s="316">
        <f t="shared" si="19"/>
        <v>21.949517273467489</v>
      </c>
      <c r="K302" s="316">
        <f t="shared" si="19"/>
        <v>23.53146446434803</v>
      </c>
    </row>
    <row r="303" spans="1:11" x14ac:dyDescent="0.35">
      <c r="A303">
        <v>453</v>
      </c>
      <c r="B303" t="s">
        <v>314</v>
      </c>
      <c r="C303">
        <f>VLOOKUP($B303,'[1]taakstelling  2017 2018 2019'!$B$1:$F$389,3,FALSE)</f>
        <v>12</v>
      </c>
      <c r="D303">
        <f>VLOOKUP($B303,'[1]taakstelling  2017 2018 2019'!$B$2:$F$389,4,FALSE)</f>
        <v>21</v>
      </c>
      <c r="E303">
        <f>VLOOKUP($B303,'[1]taakstelling  2017 2018 2019'!$B$2:$F$389,5,FALSE)</f>
        <v>27</v>
      </c>
      <c r="F303">
        <v>33</v>
      </c>
      <c r="G303">
        <v>39</v>
      </c>
      <c r="H303" s="316">
        <f t="shared" si="19"/>
        <v>43.096428986855884</v>
      </c>
      <c r="I303" s="316">
        <f t="shared" si="19"/>
        <v>46.72560195417006</v>
      </c>
      <c r="J303" s="316">
        <f t="shared" si="19"/>
        <v>50.354774921484243</v>
      </c>
      <c r="K303" s="316">
        <f t="shared" si="19"/>
        <v>53.983947888798419</v>
      </c>
    </row>
    <row r="304" spans="1:11" x14ac:dyDescent="0.35">
      <c r="A304">
        <v>983</v>
      </c>
      <c r="B304" t="s">
        <v>315</v>
      </c>
      <c r="C304">
        <f>VLOOKUP($B304,'[1]taakstelling  2017 2018 2019'!$B$1:$F$389,3,FALSE)</f>
        <v>14</v>
      </c>
      <c r="D304">
        <f>VLOOKUP($B304,'[1]taakstelling  2017 2018 2019'!$B$2:$F$389,4,FALSE)</f>
        <v>27</v>
      </c>
      <c r="E304">
        <f>VLOOKUP($B304,'[1]taakstelling  2017 2018 2019'!$B$2:$F$389,5,FALSE)</f>
        <v>35</v>
      </c>
      <c r="F304">
        <v>43</v>
      </c>
      <c r="G304">
        <v>50</v>
      </c>
      <c r="H304" s="316">
        <f t="shared" si="19"/>
        <v>55.251832034430613</v>
      </c>
      <c r="I304" s="316">
        <f t="shared" si="19"/>
        <v>59.904617889961614</v>
      </c>
      <c r="J304" s="316">
        <f t="shared" si="19"/>
        <v>64.557403745492607</v>
      </c>
      <c r="K304" s="316">
        <f t="shared" si="19"/>
        <v>69.2101896010236</v>
      </c>
    </row>
    <row r="305" spans="1:11" x14ac:dyDescent="0.35">
      <c r="A305">
        <v>984</v>
      </c>
      <c r="B305" t="s">
        <v>316</v>
      </c>
      <c r="C305">
        <f>VLOOKUP($B305,'[1]taakstelling  2017 2018 2019'!$B$1:$F$389,3,FALSE)</f>
        <v>7</v>
      </c>
      <c r="D305">
        <f>VLOOKUP($B305,'[1]taakstelling  2017 2018 2019'!$B$2:$F$389,4,FALSE)</f>
        <v>15</v>
      </c>
      <c r="E305">
        <f>VLOOKUP($B305,'[1]taakstelling  2017 2018 2019'!$B$2:$F$389,5,FALSE)</f>
        <v>19</v>
      </c>
      <c r="F305">
        <v>24</v>
      </c>
      <c r="G305">
        <v>28</v>
      </c>
      <c r="H305" s="316">
        <f t="shared" si="19"/>
        <v>30.941025939281143</v>
      </c>
      <c r="I305" s="316">
        <f t="shared" si="19"/>
        <v>33.546586018378505</v>
      </c>
      <c r="J305" s="316">
        <f t="shared" si="19"/>
        <v>36.152146097475864</v>
      </c>
      <c r="K305" s="316">
        <f t="shared" si="19"/>
        <v>38.757706176573222</v>
      </c>
    </row>
    <row r="306" spans="1:11" x14ac:dyDescent="0.35">
      <c r="A306">
        <v>1961</v>
      </c>
      <c r="B306" t="s">
        <v>317</v>
      </c>
      <c r="C306">
        <f>+'[1]taakstelling  2017 2018 2019'!D185+'[1]taakstelling  2017 2018 2019'!D339+'[1]taakstelling  2017 2018 2019'!D377</f>
        <v>5</v>
      </c>
      <c r="D306">
        <f>+'[1]taakstelling  2017 2018 2019'!E185+'[1]taakstelling  2017 2018 2019'!E339+'[1]taakstelling  2017 2018 2019'!E377</f>
        <v>9</v>
      </c>
      <c r="E306">
        <f>+'[1]taakstelling  2017 2018 2019'!F185+'[1]taakstelling  2017 2018 2019'!F339+'[1]taakstelling  2017 2018 2019'!F377</f>
        <v>13</v>
      </c>
      <c r="F306">
        <v>17</v>
      </c>
      <c r="G306">
        <v>19</v>
      </c>
      <c r="H306" s="316">
        <f t="shared" si="19"/>
        <v>20.995696173083637</v>
      </c>
      <c r="I306" s="316">
        <f t="shared" si="19"/>
        <v>22.763754798185417</v>
      </c>
      <c r="J306" s="316">
        <f t="shared" si="19"/>
        <v>24.531813423287197</v>
      </c>
      <c r="K306" s="316">
        <f t="shared" si="19"/>
        <v>26.299872048388973</v>
      </c>
    </row>
    <row r="307" spans="1:11" x14ac:dyDescent="0.35">
      <c r="A307">
        <v>622</v>
      </c>
      <c r="B307" t="s">
        <v>318</v>
      </c>
      <c r="C307">
        <f>VLOOKUP($B307,'[1]taakstelling  2017 2018 2019'!$B$1:$F$389,3,FALSE)</f>
        <v>11</v>
      </c>
      <c r="D307">
        <f>VLOOKUP($B307,'[1]taakstelling  2017 2018 2019'!$B$2:$F$389,4,FALSE)</f>
        <v>19</v>
      </c>
      <c r="E307">
        <f>VLOOKUP($B307,'[1]taakstelling  2017 2018 2019'!$B$2:$F$389,5,FALSE)</f>
        <v>25</v>
      </c>
      <c r="F307">
        <v>31</v>
      </c>
      <c r="G307">
        <v>36</v>
      </c>
      <c r="H307" s="316">
        <f t="shared" si="19"/>
        <v>39.781319064790047</v>
      </c>
      <c r="I307" s="316">
        <f t="shared" si="19"/>
        <v>43.131324880772361</v>
      </c>
      <c r="J307" s="316">
        <f t="shared" si="19"/>
        <v>46.481330696754682</v>
      </c>
      <c r="K307" s="316">
        <f t="shared" si="19"/>
        <v>49.831336512737003</v>
      </c>
    </row>
    <row r="308" spans="1:11" x14ac:dyDescent="0.35">
      <c r="A308">
        <v>96</v>
      </c>
      <c r="B308" t="s">
        <v>319</v>
      </c>
      <c r="C308">
        <f>VLOOKUP($B308,'[1]taakstelling  2017 2018 2019'!$B$1:$F$389,3,FALSE)</f>
        <v>0</v>
      </c>
      <c r="D308">
        <f>VLOOKUP($B308,'[1]taakstelling  2017 2018 2019'!$B$2:$F$389,4,FALSE)</f>
        <v>0</v>
      </c>
      <c r="E308">
        <f>VLOOKUP($B308,'[1]taakstelling  2017 2018 2019'!$B$2:$F$389,5,FALSE)</f>
        <v>1</v>
      </c>
      <c r="F308">
        <v>1</v>
      </c>
      <c r="G308">
        <v>1</v>
      </c>
      <c r="H308" s="316">
        <f t="shared" ref="H308:K323" si="20">+G308/G$355*H$355</f>
        <v>1.1050366406886123</v>
      </c>
      <c r="I308" s="316">
        <f t="shared" si="20"/>
        <v>1.1980923577992322</v>
      </c>
      <c r="J308" s="316">
        <f t="shared" si="20"/>
        <v>1.2911480749098523</v>
      </c>
      <c r="K308" s="316">
        <f t="shared" si="20"/>
        <v>1.3842037920204724</v>
      </c>
    </row>
    <row r="309" spans="1:11" x14ac:dyDescent="0.35">
      <c r="A309">
        <v>718</v>
      </c>
      <c r="B309" t="s">
        <v>320</v>
      </c>
      <c r="C309">
        <f>VLOOKUP($B309,'[1]taakstelling  2017 2018 2019'!$B$1:$F$389,3,FALSE)</f>
        <v>5</v>
      </c>
      <c r="D309">
        <f>VLOOKUP($B309,'[1]taakstelling  2017 2018 2019'!$B$2:$F$389,4,FALSE)</f>
        <v>11</v>
      </c>
      <c r="E309">
        <f>VLOOKUP($B309,'[1]taakstelling  2017 2018 2019'!$B$2:$F$389,5,FALSE)</f>
        <v>14</v>
      </c>
      <c r="F309">
        <v>18</v>
      </c>
      <c r="G309">
        <v>20</v>
      </c>
      <c r="H309" s="316">
        <f t="shared" si="20"/>
        <v>22.100732813772243</v>
      </c>
      <c r="I309" s="316">
        <f t="shared" si="20"/>
        <v>23.961847155984643</v>
      </c>
      <c r="J309" s="316">
        <f t="shared" si="20"/>
        <v>25.822961498197046</v>
      </c>
      <c r="K309" s="316">
        <f t="shared" si="20"/>
        <v>27.684075840409445</v>
      </c>
    </row>
    <row r="310" spans="1:11" x14ac:dyDescent="0.35">
      <c r="A310">
        <v>986</v>
      </c>
      <c r="B310" t="s">
        <v>321</v>
      </c>
      <c r="C310">
        <f>VLOOKUP($B310,'[1]taakstelling  2017 2018 2019'!$B$1:$F$389,3,FALSE)</f>
        <v>1</v>
      </c>
      <c r="D310">
        <f>VLOOKUP($B310,'[1]taakstelling  2017 2018 2019'!$B$2:$F$389,4,FALSE)</f>
        <v>1</v>
      </c>
      <c r="E310">
        <f>VLOOKUP($B310,'[1]taakstelling  2017 2018 2019'!$B$2:$F$389,5,FALSE)</f>
        <v>2</v>
      </c>
      <c r="F310">
        <v>2</v>
      </c>
      <c r="G310">
        <v>2</v>
      </c>
      <c r="H310" s="316">
        <f t="shared" si="20"/>
        <v>2.2100732813772246</v>
      </c>
      <c r="I310" s="316">
        <f t="shared" si="20"/>
        <v>2.3961847155984644</v>
      </c>
      <c r="J310" s="316">
        <f t="shared" si="20"/>
        <v>2.5822961498197046</v>
      </c>
      <c r="K310" s="316">
        <f t="shared" si="20"/>
        <v>2.7684075840409448</v>
      </c>
    </row>
    <row r="311" spans="1:11" x14ac:dyDescent="0.35">
      <c r="A311">
        <v>626</v>
      </c>
      <c r="B311" t="s">
        <v>322</v>
      </c>
      <c r="C311">
        <f>VLOOKUP($B311,'[1]taakstelling  2017 2018 2019'!$B$1:$F$389,3,FALSE)</f>
        <v>2</v>
      </c>
      <c r="D311">
        <f>VLOOKUP($B311,'[1]taakstelling  2017 2018 2019'!$B$2:$F$389,4,FALSE)</f>
        <v>4</v>
      </c>
      <c r="E311">
        <f>VLOOKUP($B311,'[1]taakstelling  2017 2018 2019'!$B$2:$F$389,5,FALSE)</f>
        <v>5</v>
      </c>
      <c r="F311">
        <v>7</v>
      </c>
      <c r="G311">
        <v>8</v>
      </c>
      <c r="H311" s="316">
        <f t="shared" si="20"/>
        <v>8.8402931255088983</v>
      </c>
      <c r="I311" s="316">
        <f t="shared" si="20"/>
        <v>9.5847388623938574</v>
      </c>
      <c r="J311" s="316">
        <f t="shared" si="20"/>
        <v>10.329184599278818</v>
      </c>
      <c r="K311" s="316">
        <f t="shared" si="20"/>
        <v>11.073630336163779</v>
      </c>
    </row>
    <row r="312" spans="1:11" x14ac:dyDescent="0.35">
      <c r="A312">
        <v>285</v>
      </c>
      <c r="B312" t="s">
        <v>323</v>
      </c>
      <c r="C312">
        <f>VLOOKUP($B312,'[1]taakstelling  2017 2018 2019'!$B$1:$F$389,3,FALSE)</f>
        <v>3</v>
      </c>
      <c r="D312">
        <f>VLOOKUP($B312,'[1]taakstelling  2017 2018 2019'!$B$2:$F$389,4,FALSE)</f>
        <v>5</v>
      </c>
      <c r="E312">
        <f>VLOOKUP($B312,'[1]taakstelling  2017 2018 2019'!$B$2:$F$389,5,FALSE)</f>
        <v>7</v>
      </c>
      <c r="F312">
        <v>8</v>
      </c>
      <c r="G312">
        <v>10</v>
      </c>
      <c r="H312" s="316">
        <f t="shared" si="20"/>
        <v>11.050366406886122</v>
      </c>
      <c r="I312" s="316">
        <f t="shared" si="20"/>
        <v>11.980923577992321</v>
      </c>
      <c r="J312" s="316">
        <f t="shared" si="20"/>
        <v>12.911480749098523</v>
      </c>
      <c r="K312" s="316">
        <f t="shared" si="20"/>
        <v>13.842037920204723</v>
      </c>
    </row>
    <row r="313" spans="1:11" x14ac:dyDescent="0.35">
      <c r="A313">
        <v>865</v>
      </c>
      <c r="B313" t="s">
        <v>324</v>
      </c>
      <c r="C313">
        <f>VLOOKUP($B313,'[1]taakstelling  2017 2018 2019'!$B$1:$F$389,3,FALSE)</f>
        <v>6</v>
      </c>
      <c r="D313">
        <f>VLOOKUP($B313,'[1]taakstelling  2017 2018 2019'!$B$2:$F$389,4,FALSE)</f>
        <v>12</v>
      </c>
      <c r="E313">
        <f>VLOOKUP($B313,'[1]taakstelling  2017 2018 2019'!$B$2:$F$389,5,FALSE)</f>
        <v>15</v>
      </c>
      <c r="F313">
        <v>19</v>
      </c>
      <c r="G313">
        <v>23</v>
      </c>
      <c r="H313" s="316">
        <f t="shared" si="20"/>
        <v>25.415842735838083</v>
      </c>
      <c r="I313" s="316">
        <f t="shared" si="20"/>
        <v>27.556124229382345</v>
      </c>
      <c r="J313" s="316">
        <f t="shared" si="20"/>
        <v>29.696405722926603</v>
      </c>
      <c r="K313" s="316">
        <f t="shared" si="20"/>
        <v>31.836687216470864</v>
      </c>
    </row>
    <row r="314" spans="1:11" x14ac:dyDescent="0.35">
      <c r="A314">
        <v>1949</v>
      </c>
      <c r="B314" t="s">
        <v>325</v>
      </c>
      <c r="C314">
        <f>+'[1]taakstelling  2017 2018 2019'!D108+'[1]taakstelling  2017 2018 2019'!D151+'[1]taakstelling  2017 2018 2019'!D197+'[1]taakstelling  2017 2018 2019'!D211</f>
        <v>7</v>
      </c>
      <c r="D314">
        <f>+'[1]taakstelling  2017 2018 2019'!E108+'[1]taakstelling  2017 2018 2019'!E151+'[1]taakstelling  2017 2018 2019'!E197+'[1]taakstelling  2017 2018 2019'!E211</f>
        <v>9</v>
      </c>
      <c r="E314">
        <f>+'[1]taakstelling  2017 2018 2019'!F108+'[1]taakstelling  2017 2018 2019'!F151+'[1]taakstelling  2017 2018 2019'!F197+'[1]taakstelling  2017 2018 2019'!F211</f>
        <v>12</v>
      </c>
      <c r="F314">
        <v>15</v>
      </c>
      <c r="G314">
        <v>17</v>
      </c>
      <c r="H314" s="316">
        <f t="shared" si="20"/>
        <v>18.78562289170641</v>
      </c>
      <c r="I314" s="316">
        <f t="shared" si="20"/>
        <v>20.367570082586948</v>
      </c>
      <c r="J314" s="316">
        <f t="shared" si="20"/>
        <v>21.949517273467489</v>
      </c>
      <c r="K314" s="316">
        <f t="shared" si="20"/>
        <v>23.53146446434803</v>
      </c>
    </row>
    <row r="315" spans="1:11" x14ac:dyDescent="0.35">
      <c r="A315">
        <v>866</v>
      </c>
      <c r="B315" t="s">
        <v>326</v>
      </c>
      <c r="C315">
        <f>VLOOKUP($B315,'[1]taakstelling  2017 2018 2019'!$B$1:$F$389,3,FALSE)</f>
        <v>1</v>
      </c>
      <c r="D315">
        <f>VLOOKUP($B315,'[1]taakstelling  2017 2018 2019'!$B$2:$F$389,4,FALSE)</f>
        <v>2</v>
      </c>
      <c r="E315">
        <f>VLOOKUP($B315,'[1]taakstelling  2017 2018 2019'!$B$2:$F$389,5,FALSE)</f>
        <v>2</v>
      </c>
      <c r="F315">
        <v>2</v>
      </c>
      <c r="G315">
        <v>3</v>
      </c>
      <c r="H315" s="316">
        <f t="shared" si="20"/>
        <v>3.3151099220658367</v>
      </c>
      <c r="I315" s="316">
        <f t="shared" si="20"/>
        <v>3.5942770733976968</v>
      </c>
      <c r="J315" s="316">
        <f t="shared" si="20"/>
        <v>3.8734442247295564</v>
      </c>
      <c r="K315" s="316">
        <f t="shared" si="20"/>
        <v>4.1526113760614169</v>
      </c>
    </row>
    <row r="316" spans="1:11" x14ac:dyDescent="0.35">
      <c r="A316">
        <v>867</v>
      </c>
      <c r="B316" t="s">
        <v>327</v>
      </c>
      <c r="C316">
        <f>VLOOKUP($B316,'[1]taakstelling  2017 2018 2019'!$B$1:$F$389,3,FALSE)</f>
        <v>5</v>
      </c>
      <c r="D316">
        <f>VLOOKUP($B316,'[1]taakstelling  2017 2018 2019'!$B$2:$F$389,4,FALSE)</f>
        <v>11</v>
      </c>
      <c r="E316">
        <f>VLOOKUP($B316,'[1]taakstelling  2017 2018 2019'!$B$2:$F$389,5,FALSE)</f>
        <v>15</v>
      </c>
      <c r="F316">
        <v>18</v>
      </c>
      <c r="G316">
        <v>21</v>
      </c>
      <c r="H316" s="316">
        <f t="shared" si="20"/>
        <v>23.205769454460857</v>
      </c>
      <c r="I316" s="316">
        <f t="shared" si="20"/>
        <v>25.159939513783879</v>
      </c>
      <c r="J316" s="316">
        <f t="shared" si="20"/>
        <v>27.114109573106898</v>
      </c>
      <c r="K316" s="316">
        <f t="shared" si="20"/>
        <v>29.068279632429917</v>
      </c>
    </row>
    <row r="317" spans="1:11" x14ac:dyDescent="0.35">
      <c r="A317">
        <v>627</v>
      </c>
      <c r="B317" t="s">
        <v>328</v>
      </c>
      <c r="C317">
        <f>VLOOKUP($B317,'[1]taakstelling  2017 2018 2019'!$B$1:$F$389,3,FALSE)</f>
        <v>5</v>
      </c>
      <c r="D317">
        <f>VLOOKUP($B317,'[1]taakstelling  2017 2018 2019'!$B$2:$F$389,4,FALSE)</f>
        <v>9</v>
      </c>
      <c r="E317">
        <f>VLOOKUP($B317,'[1]taakstelling  2017 2018 2019'!$B$2:$F$389,5,FALSE)</f>
        <v>12</v>
      </c>
      <c r="F317">
        <v>15</v>
      </c>
      <c r="G317">
        <v>17</v>
      </c>
      <c r="H317" s="316">
        <f t="shared" si="20"/>
        <v>18.78562289170641</v>
      </c>
      <c r="I317" s="316">
        <f t="shared" si="20"/>
        <v>20.367570082586948</v>
      </c>
      <c r="J317" s="316">
        <f t="shared" si="20"/>
        <v>21.949517273467489</v>
      </c>
      <c r="K317" s="316">
        <f t="shared" si="20"/>
        <v>23.53146446434803</v>
      </c>
    </row>
    <row r="318" spans="1:11" x14ac:dyDescent="0.35">
      <c r="A318">
        <v>289</v>
      </c>
      <c r="B318" t="s">
        <v>329</v>
      </c>
      <c r="C318">
        <f>VLOOKUP($B318,'[1]taakstelling  2017 2018 2019'!$B$1:$F$389,3,FALSE)</f>
        <v>6</v>
      </c>
      <c r="D318">
        <f>VLOOKUP($B318,'[1]taakstelling  2017 2018 2019'!$B$2:$F$389,4,FALSE)</f>
        <v>9</v>
      </c>
      <c r="E318">
        <f>VLOOKUP($B318,'[1]taakstelling  2017 2018 2019'!$B$2:$F$389,5,FALSE)</f>
        <v>12</v>
      </c>
      <c r="F318">
        <v>15</v>
      </c>
      <c r="G318">
        <v>18</v>
      </c>
      <c r="H318" s="316">
        <f t="shared" si="20"/>
        <v>19.890659532395023</v>
      </c>
      <c r="I318" s="316">
        <f t="shared" si="20"/>
        <v>21.565662440386181</v>
      </c>
      <c r="J318" s="316">
        <f t="shared" si="20"/>
        <v>23.240665348377341</v>
      </c>
      <c r="K318" s="316">
        <f t="shared" si="20"/>
        <v>24.915668256368502</v>
      </c>
    </row>
    <row r="319" spans="1:11" x14ac:dyDescent="0.35">
      <c r="A319">
        <v>629</v>
      </c>
      <c r="B319" t="s">
        <v>330</v>
      </c>
      <c r="C319">
        <f>VLOOKUP($B319,'[1]taakstelling  2017 2018 2019'!$B$1:$F$389,3,FALSE)</f>
        <v>2</v>
      </c>
      <c r="D319">
        <f>VLOOKUP($B319,'[1]taakstelling  2017 2018 2019'!$B$2:$F$389,4,FALSE)</f>
        <v>3</v>
      </c>
      <c r="E319">
        <f>VLOOKUP($B319,'[1]taakstelling  2017 2018 2019'!$B$2:$F$389,5,FALSE)</f>
        <v>4</v>
      </c>
      <c r="F319">
        <v>4</v>
      </c>
      <c r="G319">
        <v>5</v>
      </c>
      <c r="H319" s="316">
        <f t="shared" si="20"/>
        <v>5.5251832034430608</v>
      </c>
      <c r="I319" s="316">
        <f t="shared" si="20"/>
        <v>5.9904617889961607</v>
      </c>
      <c r="J319" s="316">
        <f t="shared" si="20"/>
        <v>6.4557403745492614</v>
      </c>
      <c r="K319" s="316">
        <f t="shared" si="20"/>
        <v>6.9210189601023613</v>
      </c>
    </row>
    <row r="320" spans="1:11" x14ac:dyDescent="0.35">
      <c r="A320">
        <v>852</v>
      </c>
      <c r="B320" t="s">
        <v>331</v>
      </c>
      <c r="C320">
        <f>VLOOKUP($B320,'[1]taakstelling  2017 2018 2019'!$B$1:$F$389,3,FALSE)</f>
        <v>2</v>
      </c>
      <c r="D320">
        <f>VLOOKUP($B320,'[1]taakstelling  2017 2018 2019'!$B$2:$F$389,4,FALSE)</f>
        <v>3</v>
      </c>
      <c r="E320">
        <f>VLOOKUP($B320,'[1]taakstelling  2017 2018 2019'!$B$2:$F$389,5,FALSE)</f>
        <v>4</v>
      </c>
      <c r="F320">
        <v>4</v>
      </c>
      <c r="G320">
        <v>5</v>
      </c>
      <c r="H320" s="316">
        <f t="shared" si="20"/>
        <v>5.5251832034430608</v>
      </c>
      <c r="I320" s="316">
        <f t="shared" si="20"/>
        <v>5.9904617889961607</v>
      </c>
      <c r="J320" s="316">
        <f t="shared" si="20"/>
        <v>6.4557403745492614</v>
      </c>
      <c r="K320" s="316">
        <f t="shared" si="20"/>
        <v>6.9210189601023613</v>
      </c>
    </row>
    <row r="321" spans="1:11" x14ac:dyDescent="0.35">
      <c r="A321">
        <v>988</v>
      </c>
      <c r="B321" t="s">
        <v>332</v>
      </c>
      <c r="C321">
        <f>VLOOKUP($B321,'[1]taakstelling  2017 2018 2019'!$B$1:$F$389,3,FALSE)</f>
        <v>8</v>
      </c>
      <c r="D321">
        <f>VLOOKUP($B321,'[1]taakstelling  2017 2018 2019'!$B$2:$F$389,4,FALSE)</f>
        <v>16</v>
      </c>
      <c r="E321">
        <f>VLOOKUP($B321,'[1]taakstelling  2017 2018 2019'!$B$2:$F$389,5,FALSE)</f>
        <v>20</v>
      </c>
      <c r="F321">
        <v>25</v>
      </c>
      <c r="G321">
        <v>29</v>
      </c>
      <c r="H321" s="316">
        <f t="shared" si="20"/>
        <v>32.046062579969757</v>
      </c>
      <c r="I321" s="316">
        <f t="shared" si="20"/>
        <v>34.744678376177738</v>
      </c>
      <c r="J321" s="316">
        <f t="shared" si="20"/>
        <v>37.44329417238572</v>
      </c>
      <c r="K321" s="316">
        <f t="shared" si="20"/>
        <v>40.141909968593701</v>
      </c>
    </row>
    <row r="323" spans="1:11" x14ac:dyDescent="0.35">
      <c r="A323">
        <v>1960</v>
      </c>
      <c r="B323" t="s">
        <v>334</v>
      </c>
      <c r="C323">
        <f>+'[1]taakstelling  2017 2018 2019'!D110+'[1]taakstelling  2017 2018 2019'!D194+'[1]taakstelling  2017 2018 2019'!D225</f>
        <v>5</v>
      </c>
      <c r="D323">
        <f>+'[1]taakstelling  2017 2018 2019'!E110+'[1]taakstelling  2017 2018 2019'!E194+'[1]taakstelling  2017 2018 2019'!E225</f>
        <v>10</v>
      </c>
      <c r="E323">
        <f>+'[1]taakstelling  2017 2018 2019'!F110+'[1]taakstelling  2017 2018 2019'!F194+'[1]taakstelling  2017 2018 2019'!F225</f>
        <v>13</v>
      </c>
      <c r="F323">
        <v>16</v>
      </c>
      <c r="G323">
        <v>5</v>
      </c>
      <c r="H323" s="316">
        <f t="shared" si="20"/>
        <v>5.5251832034430608</v>
      </c>
      <c r="I323" s="316">
        <f t="shared" si="20"/>
        <v>5.9904617889961607</v>
      </c>
      <c r="J323" s="316">
        <f t="shared" si="20"/>
        <v>6.4557403745492614</v>
      </c>
      <c r="K323" s="316">
        <f t="shared" si="20"/>
        <v>6.9210189601023613</v>
      </c>
    </row>
    <row r="324" spans="1:11" x14ac:dyDescent="0.35">
      <c r="A324">
        <v>668</v>
      </c>
      <c r="B324" t="s">
        <v>335</v>
      </c>
      <c r="C324">
        <f>VLOOKUP($B324,'[1]taakstelling  2017 2018 2019'!$B$1:$F$389,3,FALSE)</f>
        <v>1</v>
      </c>
      <c r="D324">
        <f>VLOOKUP($B324,'[1]taakstelling  2017 2018 2019'!$B$2:$F$389,4,FALSE)</f>
        <v>3</v>
      </c>
      <c r="E324">
        <f>VLOOKUP($B324,'[1]taakstelling  2017 2018 2019'!$B$2:$F$389,5,FALSE)</f>
        <v>3</v>
      </c>
      <c r="F324">
        <v>4</v>
      </c>
      <c r="G324">
        <v>18</v>
      </c>
      <c r="H324" s="316">
        <f t="shared" ref="H324:K339" si="21">+G324/G$355*H$355</f>
        <v>19.890659532395023</v>
      </c>
      <c r="I324" s="316">
        <f t="shared" si="21"/>
        <v>21.565662440386181</v>
      </c>
      <c r="J324" s="316">
        <f t="shared" si="21"/>
        <v>23.240665348377341</v>
      </c>
      <c r="K324" s="316">
        <f t="shared" si="21"/>
        <v>24.915668256368502</v>
      </c>
    </row>
    <row r="325" spans="1:11" x14ac:dyDescent="0.35">
      <c r="A325">
        <v>1969</v>
      </c>
      <c r="B325" t="s">
        <v>336</v>
      </c>
      <c r="C325">
        <f>+'[1]taakstelling  2017 2018 2019'!D124+'[1]taakstelling  2017 2018 2019'!D184+'[1]taakstelling  2017 2018 2019'!D207+'[1]taakstelling  2017 2018 2019'!D383</f>
        <v>8</v>
      </c>
      <c r="D325">
        <f>+'[1]taakstelling  2017 2018 2019'!E124+'[1]taakstelling  2017 2018 2019'!E184+'[1]taakstelling  2017 2018 2019'!E207+'[1]taakstelling  2017 2018 2019'!E383</f>
        <v>11</v>
      </c>
      <c r="E325">
        <f>+'[1]taakstelling  2017 2018 2019'!F124+'[1]taakstelling  2017 2018 2019'!F184+'[1]taakstelling  2017 2018 2019'!F207+'[1]taakstelling  2017 2018 2019'!F383</f>
        <v>15</v>
      </c>
      <c r="F325">
        <v>20</v>
      </c>
      <c r="G325">
        <v>23</v>
      </c>
      <c r="H325" s="316">
        <f t="shared" si="21"/>
        <v>25.415842735838083</v>
      </c>
      <c r="I325" s="316">
        <f t="shared" si="21"/>
        <v>27.556124229382345</v>
      </c>
      <c r="J325" s="316">
        <f t="shared" si="21"/>
        <v>29.696405722926603</v>
      </c>
      <c r="K325" s="316">
        <f t="shared" si="21"/>
        <v>31.836687216470864</v>
      </c>
    </row>
    <row r="326" spans="1:11" x14ac:dyDescent="0.35">
      <c r="A326">
        <v>1701</v>
      </c>
      <c r="B326" t="s">
        <v>337</v>
      </c>
      <c r="C326">
        <f>VLOOKUP($B326,'[1]taakstelling  2017 2018 2019'!$B$1:$F$389,3,FALSE)</f>
        <v>2</v>
      </c>
      <c r="D326">
        <f>VLOOKUP($B326,'[1]taakstelling  2017 2018 2019'!$B$2:$F$389,4,FALSE)</f>
        <v>4</v>
      </c>
      <c r="E326">
        <f>VLOOKUP($B326,'[1]taakstelling  2017 2018 2019'!$B$2:$F$389,5,FALSE)</f>
        <v>5</v>
      </c>
      <c r="F326">
        <v>7</v>
      </c>
      <c r="G326">
        <v>8</v>
      </c>
      <c r="H326" s="316">
        <f t="shared" si="21"/>
        <v>8.8402931255088983</v>
      </c>
      <c r="I326" s="316">
        <f t="shared" si="21"/>
        <v>9.5847388623938574</v>
      </c>
      <c r="J326" s="316">
        <f t="shared" si="21"/>
        <v>10.329184599278818</v>
      </c>
      <c r="K326" s="316">
        <f t="shared" si="21"/>
        <v>11.073630336163779</v>
      </c>
    </row>
    <row r="327" spans="1:11" x14ac:dyDescent="0.35">
      <c r="A327">
        <v>293</v>
      </c>
      <c r="B327" t="s">
        <v>338</v>
      </c>
      <c r="C327">
        <f>VLOOKUP($B327,'[1]taakstelling  2017 2018 2019'!$B$1:$F$389,3,FALSE)</f>
        <v>4</v>
      </c>
      <c r="D327">
        <f>VLOOKUP($B327,'[1]taakstelling  2017 2018 2019'!$B$2:$F$389,4,FALSE)</f>
        <v>6</v>
      </c>
      <c r="E327">
        <f>VLOOKUP($B327,'[1]taakstelling  2017 2018 2019'!$B$2:$F$389,5,FALSE)</f>
        <v>8</v>
      </c>
      <c r="F327">
        <v>10</v>
      </c>
      <c r="G327">
        <v>12</v>
      </c>
      <c r="H327" s="316">
        <f t="shared" si="21"/>
        <v>13.260439688263347</v>
      </c>
      <c r="I327" s="316">
        <f t="shared" si="21"/>
        <v>14.377108293590787</v>
      </c>
      <c r="J327" s="316">
        <f t="shared" si="21"/>
        <v>15.493776898918226</v>
      </c>
      <c r="K327" s="316">
        <f t="shared" si="21"/>
        <v>16.610445504245668</v>
      </c>
    </row>
    <row r="328" spans="1:11" x14ac:dyDescent="0.35">
      <c r="A328">
        <v>1950</v>
      </c>
      <c r="B328" t="s">
        <v>339</v>
      </c>
      <c r="C328">
        <f>+'[1]taakstelling  2017 2018 2019'!D31+'[1]taakstelling  2017 2018 2019'!D341</f>
        <v>5</v>
      </c>
      <c r="D328">
        <f>+'[1]taakstelling  2017 2018 2019'!E31+'[1]taakstelling  2017 2018 2019'!E341</f>
        <v>8</v>
      </c>
      <c r="E328">
        <f>+'[1]taakstelling  2017 2018 2019'!F31+'[1]taakstelling  2017 2018 2019'!F341</f>
        <v>11</v>
      </c>
      <c r="F328">
        <v>13</v>
      </c>
      <c r="G328">
        <v>15</v>
      </c>
      <c r="H328" s="316">
        <f t="shared" si="21"/>
        <v>16.575549610329183</v>
      </c>
      <c r="I328" s="316">
        <f t="shared" si="21"/>
        <v>17.971385366988482</v>
      </c>
      <c r="J328" s="316">
        <f t="shared" si="21"/>
        <v>19.367221123647781</v>
      </c>
      <c r="K328" s="316">
        <f t="shared" si="21"/>
        <v>20.763056880307083</v>
      </c>
    </row>
    <row r="329" spans="1:11" x14ac:dyDescent="0.35">
      <c r="A329">
        <v>1783</v>
      </c>
      <c r="B329" t="s">
        <v>340</v>
      </c>
      <c r="C329">
        <f>VLOOKUP($B329,'[1]taakstelling  2017 2018 2019'!$B$1:$F$389,3,FALSE)</f>
        <v>10</v>
      </c>
      <c r="D329">
        <f>VLOOKUP($B329,'[1]taakstelling  2017 2018 2019'!$B$2:$F$389,4,FALSE)</f>
        <v>16</v>
      </c>
      <c r="E329">
        <f>VLOOKUP($B329,'[1]taakstelling  2017 2018 2019'!$B$2:$F$389,5,FALSE)</f>
        <v>21</v>
      </c>
      <c r="F329">
        <v>26</v>
      </c>
      <c r="G329">
        <v>31</v>
      </c>
      <c r="H329" s="316">
        <f t="shared" si="21"/>
        <v>34.256135861346984</v>
      </c>
      <c r="I329" s="316">
        <f t="shared" si="21"/>
        <v>37.140863091776204</v>
      </c>
      <c r="J329" s="316">
        <f t="shared" si="21"/>
        <v>40.025590322205424</v>
      </c>
      <c r="K329" s="316">
        <f t="shared" si="21"/>
        <v>42.910317552634645</v>
      </c>
    </row>
    <row r="330" spans="1:11" x14ac:dyDescent="0.35">
      <c r="A330">
        <v>98</v>
      </c>
      <c r="B330" t="s">
        <v>341</v>
      </c>
      <c r="C330">
        <f>VLOOKUP($B330,'[1]taakstelling  2017 2018 2019'!$B$1:$F$389,3,FALSE)</f>
        <v>3</v>
      </c>
      <c r="D330">
        <f>VLOOKUP($B330,'[1]taakstelling  2017 2018 2019'!$B$2:$F$389,4,FALSE)</f>
        <v>5</v>
      </c>
      <c r="E330">
        <f>VLOOKUP($B330,'[1]taakstelling  2017 2018 2019'!$B$2:$F$389,5,FALSE)</f>
        <v>7</v>
      </c>
      <c r="F330">
        <v>9</v>
      </c>
      <c r="G330">
        <v>10</v>
      </c>
      <c r="H330" s="316">
        <f t="shared" si="21"/>
        <v>11.050366406886122</v>
      </c>
      <c r="I330" s="316">
        <f t="shared" si="21"/>
        <v>11.980923577992321</v>
      </c>
      <c r="J330" s="316">
        <f t="shared" si="21"/>
        <v>12.911480749098523</v>
      </c>
      <c r="K330" s="316">
        <f t="shared" si="21"/>
        <v>13.842037920204723</v>
      </c>
    </row>
    <row r="331" spans="1:11" x14ac:dyDescent="0.35">
      <c r="A331">
        <v>614</v>
      </c>
      <c r="B331" t="s">
        <v>342</v>
      </c>
      <c r="C331">
        <f>VLOOKUP($B331,'[1]taakstelling  2017 2018 2019'!$B$1:$F$389,3,FALSE)</f>
        <v>1</v>
      </c>
      <c r="D331">
        <f>VLOOKUP($B331,'[1]taakstelling  2017 2018 2019'!$B$2:$F$389,4,FALSE)</f>
        <v>2</v>
      </c>
      <c r="E331">
        <f>VLOOKUP($B331,'[1]taakstelling  2017 2018 2019'!$B$2:$F$389,5,FALSE)</f>
        <v>2</v>
      </c>
      <c r="F331">
        <v>3</v>
      </c>
      <c r="G331">
        <v>3</v>
      </c>
      <c r="H331" s="316">
        <f t="shared" si="21"/>
        <v>3.3151099220658367</v>
      </c>
      <c r="I331" s="316">
        <f t="shared" si="21"/>
        <v>3.5942770733976968</v>
      </c>
      <c r="J331" s="316">
        <f t="shared" si="21"/>
        <v>3.8734442247295564</v>
      </c>
      <c r="K331" s="316">
        <f t="shared" si="21"/>
        <v>4.1526113760614169</v>
      </c>
    </row>
    <row r="332" spans="1:11" x14ac:dyDescent="0.35">
      <c r="A332">
        <v>189</v>
      </c>
      <c r="B332" t="s">
        <v>343</v>
      </c>
      <c r="C332">
        <f>VLOOKUP($B332,'[1]taakstelling  2017 2018 2019'!$B$1:$F$389,3,FALSE)</f>
        <v>2</v>
      </c>
      <c r="D332">
        <f>VLOOKUP($B332,'[1]taakstelling  2017 2018 2019'!$B$2:$F$389,4,FALSE)</f>
        <v>2</v>
      </c>
      <c r="E332">
        <f>VLOOKUP($B332,'[1]taakstelling  2017 2018 2019'!$B$2:$F$389,5,FALSE)</f>
        <v>3</v>
      </c>
      <c r="F332">
        <v>4</v>
      </c>
      <c r="G332">
        <v>4</v>
      </c>
      <c r="H332" s="316">
        <f t="shared" si="21"/>
        <v>4.4201465627544492</v>
      </c>
      <c r="I332" s="316">
        <f t="shared" si="21"/>
        <v>4.7923694311969287</v>
      </c>
      <c r="J332" s="316">
        <f t="shared" si="21"/>
        <v>5.1645922996394091</v>
      </c>
      <c r="K332" s="316">
        <f t="shared" si="21"/>
        <v>5.5368151680818896</v>
      </c>
    </row>
    <row r="333" spans="1:11" x14ac:dyDescent="0.35">
      <c r="A333">
        <v>296</v>
      </c>
      <c r="B333" t="s">
        <v>344</v>
      </c>
      <c r="C333">
        <f>VLOOKUP($B333,'[1]taakstelling  2017 2018 2019'!$B$1:$F$389,3,FALSE)</f>
        <v>6</v>
      </c>
      <c r="D333">
        <f>VLOOKUP($B333,'[1]taakstelling  2017 2018 2019'!$B$2:$F$389,4,FALSE)</f>
        <v>10</v>
      </c>
      <c r="E333">
        <f>VLOOKUP($B333,'[1]taakstelling  2017 2018 2019'!$B$2:$F$389,5,FALSE)</f>
        <v>14</v>
      </c>
      <c r="F333">
        <v>17</v>
      </c>
      <c r="G333">
        <v>20</v>
      </c>
      <c r="H333" s="316">
        <f t="shared" si="21"/>
        <v>22.100732813772243</v>
      </c>
      <c r="I333" s="316">
        <f t="shared" si="21"/>
        <v>23.961847155984643</v>
      </c>
      <c r="J333" s="316">
        <f t="shared" si="21"/>
        <v>25.822961498197046</v>
      </c>
      <c r="K333" s="316">
        <f t="shared" si="21"/>
        <v>27.684075840409445</v>
      </c>
    </row>
    <row r="334" spans="1:11" x14ac:dyDescent="0.35">
      <c r="A334">
        <v>1696</v>
      </c>
      <c r="B334" t="s">
        <v>345</v>
      </c>
      <c r="C334">
        <f>VLOOKUP($B334,'[1]taakstelling  2017 2018 2019'!$B$1:$F$389,3,FALSE)</f>
        <v>1</v>
      </c>
      <c r="D334">
        <f>VLOOKUP($B334,'[1]taakstelling  2017 2018 2019'!$B$2:$F$389,4,FALSE)</f>
        <v>2</v>
      </c>
      <c r="E334">
        <f>VLOOKUP($B334,'[1]taakstelling  2017 2018 2019'!$B$2:$F$389,5,FALSE)</f>
        <v>3</v>
      </c>
      <c r="F334">
        <v>4</v>
      </c>
      <c r="G334">
        <v>4</v>
      </c>
      <c r="H334" s="316">
        <f t="shared" si="21"/>
        <v>4.4201465627544492</v>
      </c>
      <c r="I334" s="316">
        <f t="shared" si="21"/>
        <v>4.7923694311969287</v>
      </c>
      <c r="J334" s="316">
        <f t="shared" si="21"/>
        <v>5.1645922996394091</v>
      </c>
      <c r="K334" s="316">
        <f t="shared" si="21"/>
        <v>5.5368151680818896</v>
      </c>
    </row>
    <row r="335" spans="1:11" x14ac:dyDescent="0.35">
      <c r="A335">
        <v>352</v>
      </c>
      <c r="B335" t="s">
        <v>346</v>
      </c>
      <c r="C335">
        <f>VLOOKUP($B335,'[1]taakstelling  2017 2018 2019'!$B$1:$F$389,3,FALSE)</f>
        <v>2</v>
      </c>
      <c r="D335">
        <f>VLOOKUP($B335,'[1]taakstelling  2017 2018 2019'!$B$2:$F$389,4,FALSE)</f>
        <v>4</v>
      </c>
      <c r="E335">
        <f>VLOOKUP($B335,'[1]taakstelling  2017 2018 2019'!$B$2:$F$389,5,FALSE)</f>
        <v>5</v>
      </c>
      <c r="F335">
        <v>6</v>
      </c>
      <c r="G335">
        <v>7</v>
      </c>
      <c r="H335" s="316">
        <f t="shared" si="21"/>
        <v>7.7352564848202858</v>
      </c>
      <c r="I335" s="316">
        <f t="shared" si="21"/>
        <v>8.3866465045946264</v>
      </c>
      <c r="J335" s="316">
        <f t="shared" si="21"/>
        <v>9.038036524368966</v>
      </c>
      <c r="K335" s="316">
        <f t="shared" si="21"/>
        <v>9.6894265441433056</v>
      </c>
    </row>
    <row r="336" spans="1:11" x14ac:dyDescent="0.35">
      <c r="A336">
        <v>294</v>
      </c>
      <c r="B336" t="s">
        <v>347</v>
      </c>
      <c r="C336">
        <f>VLOOKUP($B336,'[1]taakstelling  2017 2018 2019'!$B$1:$F$389,3,FALSE)</f>
        <v>3</v>
      </c>
      <c r="D336">
        <f>VLOOKUP($B336,'[1]taakstelling  2017 2018 2019'!$B$2:$F$389,4,FALSE)</f>
        <v>6</v>
      </c>
      <c r="E336">
        <f>VLOOKUP($B336,'[1]taakstelling  2017 2018 2019'!$B$2:$F$389,5,FALSE)</f>
        <v>8</v>
      </c>
      <c r="F336">
        <v>10</v>
      </c>
      <c r="G336">
        <v>11</v>
      </c>
      <c r="H336" s="316">
        <f t="shared" si="21"/>
        <v>12.155403047574735</v>
      </c>
      <c r="I336" s="316">
        <f t="shared" si="21"/>
        <v>13.179015935791556</v>
      </c>
      <c r="J336" s="316">
        <f t="shared" si="21"/>
        <v>14.202628824008375</v>
      </c>
      <c r="K336" s="316">
        <f t="shared" si="21"/>
        <v>15.226241712225196</v>
      </c>
    </row>
    <row r="337" spans="1:11" x14ac:dyDescent="0.35">
      <c r="A337">
        <v>873</v>
      </c>
      <c r="B337" t="s">
        <v>348</v>
      </c>
      <c r="C337">
        <f>VLOOKUP($B337,'[1]taakstelling  2017 2018 2019'!$B$1:$F$389,3,FALSE)</f>
        <v>3</v>
      </c>
      <c r="D337">
        <f>VLOOKUP($B337,'[1]taakstelling  2017 2018 2019'!$B$2:$F$389,4,FALSE)</f>
        <v>5</v>
      </c>
      <c r="E337">
        <f>VLOOKUP($B337,'[1]taakstelling  2017 2018 2019'!$B$2:$F$389,5,FALSE)</f>
        <v>6</v>
      </c>
      <c r="F337">
        <v>8</v>
      </c>
      <c r="G337">
        <v>9</v>
      </c>
      <c r="H337" s="316">
        <f t="shared" si="21"/>
        <v>9.9453297661975117</v>
      </c>
      <c r="I337" s="316">
        <f t="shared" si="21"/>
        <v>10.78283122019309</v>
      </c>
      <c r="J337" s="316">
        <f t="shared" si="21"/>
        <v>11.620332674188671</v>
      </c>
      <c r="K337" s="316">
        <f t="shared" si="21"/>
        <v>12.457834128184251</v>
      </c>
    </row>
    <row r="338" spans="1:11" x14ac:dyDescent="0.35">
      <c r="A338">
        <v>632</v>
      </c>
      <c r="B338" t="s">
        <v>349</v>
      </c>
      <c r="C338">
        <f>VLOOKUP($B338,'[1]taakstelling  2017 2018 2019'!$B$1:$F$389,3,FALSE)</f>
        <v>5</v>
      </c>
      <c r="D338">
        <f>VLOOKUP($B338,'[1]taakstelling  2017 2018 2019'!$B$2:$F$389,4,FALSE)</f>
        <v>8</v>
      </c>
      <c r="E338">
        <f>VLOOKUP($B338,'[1]taakstelling  2017 2018 2019'!$B$2:$F$389,5,FALSE)</f>
        <v>11</v>
      </c>
      <c r="F338">
        <v>13</v>
      </c>
      <c r="G338">
        <v>15</v>
      </c>
      <c r="H338" s="316">
        <f t="shared" si="21"/>
        <v>16.575549610329183</v>
      </c>
      <c r="I338" s="316">
        <f t="shared" si="21"/>
        <v>17.971385366988482</v>
      </c>
      <c r="J338" s="316">
        <f t="shared" si="21"/>
        <v>19.367221123647781</v>
      </c>
      <c r="K338" s="316">
        <f t="shared" si="21"/>
        <v>20.763056880307083</v>
      </c>
    </row>
    <row r="339" spans="1:11" x14ac:dyDescent="0.35">
      <c r="A339">
        <v>880</v>
      </c>
      <c r="B339" t="s">
        <v>350</v>
      </c>
      <c r="C339">
        <f>VLOOKUP($B339,'[1]taakstelling  2017 2018 2019'!$B$1:$F$389,3,FALSE)</f>
        <v>2</v>
      </c>
      <c r="D339">
        <f>VLOOKUP($B339,'[1]taakstelling  2017 2018 2019'!$B$2:$F$389,4,FALSE)</f>
        <v>3</v>
      </c>
      <c r="E339">
        <f>VLOOKUP($B339,'[1]taakstelling  2017 2018 2019'!$B$2:$F$389,5,FALSE)</f>
        <v>4</v>
      </c>
      <c r="F339">
        <v>5</v>
      </c>
      <c r="G339">
        <v>6</v>
      </c>
      <c r="H339" s="316">
        <f t="shared" si="21"/>
        <v>6.6302198441316733</v>
      </c>
      <c r="I339" s="316">
        <f t="shared" si="21"/>
        <v>7.1885541467953935</v>
      </c>
      <c r="J339" s="316">
        <f t="shared" si="21"/>
        <v>7.7468884494591128</v>
      </c>
      <c r="K339" s="316">
        <f t="shared" si="21"/>
        <v>8.3052227521228339</v>
      </c>
    </row>
    <row r="340" spans="1:11" x14ac:dyDescent="0.35">
      <c r="A340">
        <v>351</v>
      </c>
      <c r="B340" t="s">
        <v>351</v>
      </c>
      <c r="C340">
        <f>VLOOKUP($B340,'[1]taakstelling  2017 2018 2019'!$B$1:$F$389,3,FALSE)</f>
        <v>1</v>
      </c>
      <c r="D340">
        <f>VLOOKUP($B340,'[1]taakstelling  2017 2018 2019'!$B$2:$F$389,4,FALSE)</f>
        <v>1</v>
      </c>
      <c r="E340">
        <f>VLOOKUP($B340,'[1]taakstelling  2017 2018 2019'!$B$2:$F$389,5,FALSE)</f>
        <v>1</v>
      </c>
      <c r="F340">
        <v>1</v>
      </c>
      <c r="G340">
        <v>2</v>
      </c>
      <c r="H340" s="316">
        <f t="shared" ref="H340:K354" si="22">+G340/G$355*H$355</f>
        <v>2.2100732813772246</v>
      </c>
      <c r="I340" s="316">
        <f t="shared" si="22"/>
        <v>2.3961847155984644</v>
      </c>
      <c r="J340" s="316">
        <f t="shared" si="22"/>
        <v>2.5822961498197046</v>
      </c>
      <c r="K340" s="316">
        <f t="shared" si="22"/>
        <v>2.7684075840409448</v>
      </c>
    </row>
    <row r="341" spans="1:11" x14ac:dyDescent="0.35">
      <c r="A341">
        <v>479</v>
      </c>
      <c r="B341" t="s">
        <v>352</v>
      </c>
      <c r="C341">
        <f>VLOOKUP($B341,'[1]taakstelling  2017 2018 2019'!$B$1:$F$389,3,FALSE)</f>
        <v>31</v>
      </c>
      <c r="D341">
        <f>VLOOKUP($B341,'[1]taakstelling  2017 2018 2019'!$B$2:$F$389,4,FALSE)</f>
        <v>48</v>
      </c>
      <c r="E341">
        <f>VLOOKUP($B341,'[1]taakstelling  2017 2018 2019'!$B$2:$F$389,5,FALSE)</f>
        <v>63</v>
      </c>
      <c r="F341">
        <v>77</v>
      </c>
      <c r="G341">
        <v>90</v>
      </c>
      <c r="H341" s="316">
        <f t="shared" si="22"/>
        <v>99.4532976619751</v>
      </c>
      <c r="I341" s="316">
        <f t="shared" si="22"/>
        <v>107.8283122019309</v>
      </c>
      <c r="J341" s="316">
        <f t="shared" si="22"/>
        <v>116.2033267418867</v>
      </c>
      <c r="K341" s="316">
        <f t="shared" si="22"/>
        <v>124.5783412818425</v>
      </c>
    </row>
    <row r="342" spans="1:11" x14ac:dyDescent="0.35">
      <c r="A342">
        <v>297</v>
      </c>
      <c r="B342" t="s">
        <v>353</v>
      </c>
      <c r="C342">
        <f>VLOOKUP($B342,'[1]taakstelling  2017 2018 2019'!$B$1:$F$389,3,FALSE)</f>
        <v>3</v>
      </c>
      <c r="D342">
        <f>VLOOKUP($B342,'[1]taakstelling  2017 2018 2019'!$B$2:$F$389,4,FALSE)</f>
        <v>6</v>
      </c>
      <c r="E342">
        <f>VLOOKUP($B342,'[1]taakstelling  2017 2018 2019'!$B$2:$F$389,5,FALSE)</f>
        <v>8</v>
      </c>
      <c r="F342">
        <v>10</v>
      </c>
      <c r="G342">
        <v>12</v>
      </c>
      <c r="H342" s="316">
        <f t="shared" si="22"/>
        <v>13.260439688263347</v>
      </c>
      <c r="I342" s="316">
        <f t="shared" si="22"/>
        <v>14.377108293590787</v>
      </c>
      <c r="J342" s="316">
        <f t="shared" si="22"/>
        <v>15.493776898918226</v>
      </c>
      <c r="K342" s="316">
        <f t="shared" si="22"/>
        <v>16.610445504245668</v>
      </c>
    </row>
    <row r="343" spans="1:11" x14ac:dyDescent="0.35">
      <c r="A343">
        <v>473</v>
      </c>
      <c r="B343" t="s">
        <v>354</v>
      </c>
      <c r="C343">
        <f>VLOOKUP($B343,'[1]taakstelling  2017 2018 2019'!$B$1:$F$389,3,FALSE)</f>
        <v>2</v>
      </c>
      <c r="D343">
        <f>VLOOKUP($B343,'[1]taakstelling  2017 2018 2019'!$B$2:$F$389,4,FALSE)</f>
        <v>3</v>
      </c>
      <c r="E343">
        <f>VLOOKUP($B343,'[1]taakstelling  2017 2018 2019'!$B$2:$F$389,5,FALSE)</f>
        <v>3</v>
      </c>
      <c r="F343">
        <v>4</v>
      </c>
      <c r="G343">
        <v>5</v>
      </c>
      <c r="H343" s="316">
        <f t="shared" si="22"/>
        <v>5.5251832034430608</v>
      </c>
      <c r="I343" s="316">
        <f t="shared" si="22"/>
        <v>5.9904617889961607</v>
      </c>
      <c r="J343" s="316">
        <f t="shared" si="22"/>
        <v>6.4557403745492614</v>
      </c>
      <c r="K343" s="316">
        <f t="shared" si="22"/>
        <v>6.9210189601023613</v>
      </c>
    </row>
    <row r="344" spans="1:11" x14ac:dyDescent="0.35">
      <c r="A344">
        <v>50</v>
      </c>
      <c r="B344" t="s">
        <v>355</v>
      </c>
      <c r="C344">
        <f>VLOOKUP($B344,'[1]taakstelling  2017 2018 2019'!$B$1:$F$389,3,FALSE)</f>
        <v>2</v>
      </c>
      <c r="D344">
        <f>VLOOKUP($B344,'[1]taakstelling  2017 2018 2019'!$B$2:$F$389,4,FALSE)</f>
        <v>3</v>
      </c>
      <c r="E344">
        <f>VLOOKUP($B344,'[1]taakstelling  2017 2018 2019'!$B$2:$F$389,5,FALSE)</f>
        <v>4</v>
      </c>
      <c r="F344">
        <v>5</v>
      </c>
      <c r="G344">
        <v>5</v>
      </c>
      <c r="H344" s="316">
        <f t="shared" si="22"/>
        <v>5.5251832034430608</v>
      </c>
      <c r="I344" s="316">
        <f t="shared" si="22"/>
        <v>5.9904617889961607</v>
      </c>
      <c r="J344" s="316">
        <f t="shared" si="22"/>
        <v>6.4557403745492614</v>
      </c>
      <c r="K344" s="316">
        <f t="shared" si="22"/>
        <v>6.9210189601023613</v>
      </c>
    </row>
    <row r="345" spans="1:11" x14ac:dyDescent="0.35">
      <c r="A345">
        <v>355</v>
      </c>
      <c r="B345" t="s">
        <v>356</v>
      </c>
      <c r="C345">
        <f>VLOOKUP($B345,'[1]taakstelling  2017 2018 2019'!$B$1:$F$389,3,FALSE)</f>
        <v>11</v>
      </c>
      <c r="D345">
        <f>VLOOKUP($B345,'[1]taakstelling  2017 2018 2019'!$B$2:$F$389,4,FALSE)</f>
        <v>18</v>
      </c>
      <c r="E345">
        <f>VLOOKUP($B345,'[1]taakstelling  2017 2018 2019'!$B$2:$F$389,5,FALSE)</f>
        <v>24</v>
      </c>
      <c r="F345">
        <v>30</v>
      </c>
      <c r="G345">
        <v>35</v>
      </c>
      <c r="H345" s="316">
        <f t="shared" si="22"/>
        <v>38.67628242410143</v>
      </c>
      <c r="I345" s="316">
        <f t="shared" si="22"/>
        <v>41.933232522973128</v>
      </c>
      <c r="J345" s="316">
        <f t="shared" si="22"/>
        <v>45.190182621844826</v>
      </c>
      <c r="K345" s="316">
        <f t="shared" si="22"/>
        <v>48.447132720716525</v>
      </c>
    </row>
    <row r="346" spans="1:11" x14ac:dyDescent="0.35">
      <c r="A346">
        <v>299</v>
      </c>
      <c r="B346" t="s">
        <v>357</v>
      </c>
      <c r="C346">
        <f>+'[1]taakstelling  2017 2018 2019'!D274+'[1]taakstelling  2017 2018 2019'!D380</f>
        <v>8</v>
      </c>
      <c r="D346">
        <f>+'[1]taakstelling  2017 2018 2019'!E274+'[1]taakstelling  2017 2018 2019'!E380</f>
        <v>14</v>
      </c>
      <c r="E346">
        <f>+'[1]taakstelling  2017 2018 2019'!F274+'[1]taakstelling  2017 2018 2019'!F380</f>
        <v>18</v>
      </c>
      <c r="F346">
        <v>22</v>
      </c>
      <c r="G346">
        <v>25</v>
      </c>
      <c r="H346" s="316">
        <f t="shared" si="22"/>
        <v>27.625916017215307</v>
      </c>
      <c r="I346" s="316">
        <f t="shared" si="22"/>
        <v>29.952308944980807</v>
      </c>
      <c r="J346" s="316">
        <f t="shared" si="22"/>
        <v>32.278701872746304</v>
      </c>
      <c r="K346" s="316">
        <f t="shared" si="22"/>
        <v>34.6050948005118</v>
      </c>
    </row>
    <row r="347" spans="1:11" x14ac:dyDescent="0.35">
      <c r="A347">
        <v>637</v>
      </c>
      <c r="B347" t="s">
        <v>358</v>
      </c>
      <c r="C347">
        <f>VLOOKUP($B347,'[1]taakstelling  2017 2018 2019'!$B$1:$F$389,3,FALSE)</f>
        <v>21</v>
      </c>
      <c r="D347">
        <f>VLOOKUP($B347,'[1]taakstelling  2017 2018 2019'!$B$2:$F$389,4,FALSE)</f>
        <v>32</v>
      </c>
      <c r="E347">
        <f>VLOOKUP($B347,'[1]taakstelling  2017 2018 2019'!$B$2:$F$389,5,FALSE)</f>
        <v>41</v>
      </c>
      <c r="F347">
        <v>51</v>
      </c>
      <c r="G347">
        <v>59</v>
      </c>
      <c r="H347" s="316">
        <f t="shared" si="22"/>
        <v>65.197161800628123</v>
      </c>
      <c r="I347" s="316">
        <f t="shared" si="22"/>
        <v>70.687449110154702</v>
      </c>
      <c r="J347" s="316">
        <f t="shared" si="22"/>
        <v>76.177736419681281</v>
      </c>
      <c r="K347" s="316">
        <f t="shared" si="22"/>
        <v>81.66802372920786</v>
      </c>
    </row>
    <row r="348" spans="1:11" x14ac:dyDescent="0.35">
      <c r="A348">
        <v>638</v>
      </c>
      <c r="B348" t="s">
        <v>359</v>
      </c>
      <c r="C348">
        <f>VLOOKUP($B348,'[1]taakstelling  2017 2018 2019'!$B$1:$F$389,3,FALSE)</f>
        <v>1</v>
      </c>
      <c r="D348">
        <f>VLOOKUP($B348,'[1]taakstelling  2017 2018 2019'!$B$2:$F$389,4,FALSE)</f>
        <v>1</v>
      </c>
      <c r="E348">
        <f>VLOOKUP($B348,'[1]taakstelling  2017 2018 2019'!$B$2:$F$389,5,FALSE)</f>
        <v>1</v>
      </c>
      <c r="F348">
        <v>2</v>
      </c>
      <c r="G348">
        <v>2</v>
      </c>
      <c r="H348" s="316">
        <f t="shared" si="22"/>
        <v>2.2100732813772246</v>
      </c>
      <c r="I348" s="316">
        <f t="shared" si="22"/>
        <v>2.3961847155984644</v>
      </c>
      <c r="J348" s="316">
        <f t="shared" si="22"/>
        <v>2.5822961498197046</v>
      </c>
      <c r="K348" s="316">
        <f t="shared" si="22"/>
        <v>2.7684075840409448</v>
      </c>
    </row>
    <row r="349" spans="1:11" x14ac:dyDescent="0.35">
      <c r="A349">
        <v>1892</v>
      </c>
      <c r="B349" t="s">
        <v>360</v>
      </c>
      <c r="C349">
        <f>VLOOKUP($B349,'[1]taakstelling  2017 2018 2019'!$B$1:$F$389,3,FALSE)</f>
        <v>4</v>
      </c>
      <c r="D349">
        <f>VLOOKUP($B349,'[1]taakstelling  2017 2018 2019'!$B$2:$F$389,4,FALSE)</f>
        <v>6</v>
      </c>
      <c r="E349">
        <f>VLOOKUP($B349,'[1]taakstelling  2017 2018 2019'!$B$2:$F$389,5,FALSE)</f>
        <v>8</v>
      </c>
      <c r="F349">
        <v>10</v>
      </c>
      <c r="G349">
        <v>12</v>
      </c>
      <c r="H349" s="316">
        <f t="shared" si="22"/>
        <v>13.260439688263347</v>
      </c>
      <c r="I349" s="316">
        <f t="shared" si="22"/>
        <v>14.377108293590787</v>
      </c>
      <c r="J349" s="316">
        <f t="shared" si="22"/>
        <v>15.493776898918226</v>
      </c>
      <c r="K349" s="316">
        <f t="shared" si="22"/>
        <v>16.610445504245668</v>
      </c>
    </row>
    <row r="350" spans="1:11" x14ac:dyDescent="0.35">
      <c r="A350">
        <v>879</v>
      </c>
      <c r="B350" t="s">
        <v>361</v>
      </c>
      <c r="C350">
        <f>VLOOKUP($B350,'[1]taakstelling  2017 2018 2019'!$B$1:$F$389,3,FALSE)</f>
        <v>2</v>
      </c>
      <c r="D350">
        <f>VLOOKUP($B350,'[1]taakstelling  2017 2018 2019'!$B$2:$F$389,4,FALSE)</f>
        <v>3</v>
      </c>
      <c r="E350">
        <f>VLOOKUP($B350,'[1]taakstelling  2017 2018 2019'!$B$2:$F$389,5,FALSE)</f>
        <v>4</v>
      </c>
      <c r="F350">
        <v>5</v>
      </c>
      <c r="G350">
        <v>6</v>
      </c>
      <c r="H350" s="316">
        <f t="shared" si="22"/>
        <v>6.6302198441316733</v>
      </c>
      <c r="I350" s="316">
        <f t="shared" si="22"/>
        <v>7.1885541467953935</v>
      </c>
      <c r="J350" s="316">
        <f t="shared" si="22"/>
        <v>7.7468884494591128</v>
      </c>
      <c r="K350" s="316">
        <f t="shared" si="22"/>
        <v>8.3052227521228339</v>
      </c>
    </row>
    <row r="351" spans="1:11" x14ac:dyDescent="0.35">
      <c r="A351">
        <v>301</v>
      </c>
      <c r="B351" t="s">
        <v>362</v>
      </c>
      <c r="C351">
        <f>VLOOKUP($B351,'[1]taakstelling  2017 2018 2019'!$B$1:$F$389,3,FALSE)</f>
        <v>14</v>
      </c>
      <c r="D351">
        <f>VLOOKUP($B351,'[1]taakstelling  2017 2018 2019'!$B$2:$F$389,4,FALSE)</f>
        <v>28</v>
      </c>
      <c r="E351">
        <f>VLOOKUP($B351,'[1]taakstelling  2017 2018 2019'!$B$2:$F$389,5,FALSE)</f>
        <v>36</v>
      </c>
      <c r="F351">
        <v>44</v>
      </c>
      <c r="G351">
        <v>51</v>
      </c>
      <c r="H351" s="316">
        <f t="shared" si="22"/>
        <v>56.35686867511923</v>
      </c>
      <c r="I351" s="316">
        <f t="shared" si="22"/>
        <v>61.102710247760854</v>
      </c>
      <c r="J351" s="316">
        <f t="shared" si="22"/>
        <v>65.848551820402477</v>
      </c>
      <c r="K351" s="316">
        <f t="shared" si="22"/>
        <v>70.594393393044101</v>
      </c>
    </row>
    <row r="352" spans="1:11" x14ac:dyDescent="0.35">
      <c r="A352">
        <v>1896</v>
      </c>
      <c r="B352" t="s">
        <v>363</v>
      </c>
      <c r="C352">
        <f>VLOOKUP($B352,'[1]taakstelling  2017 2018 2019'!$B$1:$F$389,3,FALSE)</f>
        <v>3</v>
      </c>
      <c r="D352">
        <f>VLOOKUP($B352,'[1]taakstelling  2017 2018 2019'!$B$2:$F$389,4,FALSE)</f>
        <v>4</v>
      </c>
      <c r="E352">
        <f>VLOOKUP($B352,'[1]taakstelling  2017 2018 2019'!$B$2:$F$389,5,FALSE)</f>
        <v>7</v>
      </c>
      <c r="F352">
        <v>8</v>
      </c>
      <c r="G352">
        <v>10</v>
      </c>
      <c r="H352" s="316">
        <f t="shared" si="22"/>
        <v>11.050366406886122</v>
      </c>
      <c r="I352" s="316">
        <f t="shared" si="22"/>
        <v>11.980923577992321</v>
      </c>
      <c r="J352" s="316">
        <f t="shared" si="22"/>
        <v>12.911480749098523</v>
      </c>
      <c r="K352" s="316">
        <f t="shared" si="22"/>
        <v>13.842037920204723</v>
      </c>
    </row>
    <row r="353" spans="1:11" x14ac:dyDescent="0.35">
      <c r="A353">
        <v>642</v>
      </c>
      <c r="B353" t="s">
        <v>364</v>
      </c>
      <c r="C353">
        <f>VLOOKUP($B353,'[1]taakstelling  2017 2018 2019'!$B$1:$F$389,3,FALSE)</f>
        <v>6</v>
      </c>
      <c r="D353">
        <f>VLOOKUP($B353,'[1]taakstelling  2017 2018 2019'!$B$2:$F$389,4,FALSE)</f>
        <v>11</v>
      </c>
      <c r="E353">
        <f>VLOOKUP($B353,'[1]taakstelling  2017 2018 2019'!$B$2:$F$389,5,FALSE)</f>
        <v>14</v>
      </c>
      <c r="F353">
        <v>17</v>
      </c>
      <c r="G353">
        <v>20</v>
      </c>
      <c r="H353" s="316">
        <f t="shared" si="22"/>
        <v>22.100732813772243</v>
      </c>
      <c r="I353" s="316">
        <f t="shared" si="22"/>
        <v>23.961847155984643</v>
      </c>
      <c r="J353" s="316">
        <f t="shared" si="22"/>
        <v>25.822961498197046</v>
      </c>
      <c r="K353" s="316">
        <f t="shared" si="22"/>
        <v>27.684075840409445</v>
      </c>
    </row>
    <row r="354" spans="1:11" x14ac:dyDescent="0.35">
      <c r="A354">
        <v>193</v>
      </c>
      <c r="B354" t="s">
        <v>365</v>
      </c>
      <c r="C354">
        <f>VLOOKUP($B354,'[1]taakstelling  2017 2018 2019'!$B$1:$F$389,3,FALSE)</f>
        <v>26</v>
      </c>
      <c r="D354">
        <f>VLOOKUP($B354,'[1]taakstelling  2017 2018 2019'!$B$2:$F$389,4,FALSE)</f>
        <v>40</v>
      </c>
      <c r="E354">
        <f>VLOOKUP($B354,'[1]taakstelling  2017 2018 2019'!$B$2:$F$389,5,FALSE)</f>
        <v>52</v>
      </c>
      <c r="F354">
        <v>64</v>
      </c>
      <c r="G354">
        <v>74</v>
      </c>
      <c r="H354" s="316">
        <f t="shared" si="22"/>
        <v>81.772711410957314</v>
      </c>
      <c r="I354" s="316">
        <f t="shared" si="22"/>
        <v>88.658834477143188</v>
      </c>
      <c r="J354" s="316">
        <f t="shared" si="22"/>
        <v>95.544957543329062</v>
      </c>
      <c r="K354" s="316">
        <f t="shared" si="22"/>
        <v>102.43108060951495</v>
      </c>
    </row>
    <row r="355" spans="1:11" x14ac:dyDescent="0.35">
      <c r="C355" s="147">
        <f>SUM(C3:C354)+C359+C366+C370+C374+C378</f>
        <v>2597</v>
      </c>
      <c r="D355" s="147">
        <f t="shared" ref="D355:G355" si="23">SUM(D3:D354)+D359+D366+D370+D374+D378</f>
        <v>4597</v>
      </c>
      <c r="E355" s="147">
        <f t="shared" si="23"/>
        <v>5998</v>
      </c>
      <c r="F355" s="147">
        <f t="shared" si="23"/>
        <v>7398</v>
      </c>
      <c r="G355" s="147">
        <f t="shared" si="23"/>
        <v>8597</v>
      </c>
      <c r="H355">
        <v>9500</v>
      </c>
      <c r="I355">
        <v>10300</v>
      </c>
      <c r="J355">
        <v>11100</v>
      </c>
      <c r="K355">
        <v>11900</v>
      </c>
    </row>
    <row r="357" spans="1:11" x14ac:dyDescent="0.35">
      <c r="A357">
        <v>1685</v>
      </c>
      <c r="B357" t="s">
        <v>172</v>
      </c>
      <c r="C357">
        <f>VLOOKUP($B357,'[1]taakstelling  2017 2018 2019'!$B$1:$F$389,3,FALSE)</f>
        <v>2</v>
      </c>
      <c r="D357">
        <f>VLOOKUP($B357,'[1]taakstelling  2017 2018 2019'!$B$2:$F$389,4,FALSE)</f>
        <v>5</v>
      </c>
      <c r="E357">
        <f>VLOOKUP($B357,'[1]taakstelling  2017 2018 2019'!$B$2:$F$389,5,FALSE)</f>
        <v>6</v>
      </c>
      <c r="F357">
        <v>7</v>
      </c>
      <c r="G357">
        <v>9</v>
      </c>
      <c r="H357" s="316">
        <f t="shared" ref="H357:K358" si="24">+G357/G$355*H$355</f>
        <v>9.9453297661975117</v>
      </c>
      <c r="I357" s="316">
        <f t="shared" si="24"/>
        <v>10.78283122019309</v>
      </c>
      <c r="J357" s="316">
        <f t="shared" si="24"/>
        <v>11.620332674188671</v>
      </c>
      <c r="K357" s="316">
        <f t="shared" si="24"/>
        <v>12.457834128184251</v>
      </c>
    </row>
    <row r="358" spans="1:11" x14ac:dyDescent="0.35">
      <c r="A358">
        <v>856</v>
      </c>
      <c r="B358" t="s">
        <v>301</v>
      </c>
      <c r="C358">
        <f>VLOOKUP($B358,'[1]taakstelling  2017 2018 2019'!$B$1:$F$389,3,FALSE)</f>
        <v>9</v>
      </c>
      <c r="D358">
        <f>VLOOKUP($B358,'[1]taakstelling  2017 2018 2019'!$B$2:$F$389,4,FALSE)</f>
        <v>19</v>
      </c>
      <c r="E358">
        <f>VLOOKUP($B358,'[1]taakstelling  2017 2018 2019'!$B$2:$F$389,5,FALSE)</f>
        <v>25</v>
      </c>
      <c r="F358">
        <v>30</v>
      </c>
      <c r="G358">
        <v>35</v>
      </c>
      <c r="H358" s="316">
        <f t="shared" si="24"/>
        <v>38.67628242410143</v>
      </c>
      <c r="I358" s="316">
        <f t="shared" si="24"/>
        <v>41.933232522973128</v>
      </c>
      <c r="J358" s="316">
        <f t="shared" si="24"/>
        <v>45.190182621844826</v>
      </c>
      <c r="K358" s="316">
        <f t="shared" si="24"/>
        <v>48.447132720716525</v>
      </c>
    </row>
    <row r="359" spans="1:11" x14ac:dyDescent="0.35">
      <c r="A359">
        <v>1991</v>
      </c>
      <c r="B359" t="s">
        <v>1301</v>
      </c>
      <c r="C359">
        <f>SUM(C357:C358)</f>
        <v>11</v>
      </c>
      <c r="D359">
        <f t="shared" ref="D359:K359" si="25">SUM(D357:D358)</f>
        <v>24</v>
      </c>
      <c r="E359">
        <f t="shared" si="25"/>
        <v>31</v>
      </c>
      <c r="F359">
        <f t="shared" si="25"/>
        <v>37</v>
      </c>
      <c r="G359">
        <f t="shared" si="25"/>
        <v>44</v>
      </c>
      <c r="H359" s="147">
        <f t="shared" si="25"/>
        <v>48.62161219029894</v>
      </c>
      <c r="I359" s="147">
        <f t="shared" si="25"/>
        <v>52.716063743166217</v>
      </c>
      <c r="J359" s="147">
        <f t="shared" si="25"/>
        <v>56.8105152960335</v>
      </c>
      <c r="K359" s="147">
        <f t="shared" si="25"/>
        <v>60.904966848900777</v>
      </c>
    </row>
    <row r="361" spans="1:11" x14ac:dyDescent="0.35">
      <c r="A361">
        <v>756</v>
      </c>
      <c r="B361" t="s">
        <v>58</v>
      </c>
      <c r="C361">
        <f>VLOOKUP($B361,'[1]taakstelling  2017 2018 2019'!$B$1:$F$389,3,FALSE)</f>
        <v>6</v>
      </c>
      <c r="D361">
        <f>VLOOKUP($B361,'[1]taakstelling  2017 2018 2019'!$B$2:$F$389,4,FALSE)</f>
        <v>12</v>
      </c>
      <c r="E361">
        <f>VLOOKUP($B361,'[1]taakstelling  2017 2018 2019'!$B$2:$F$389,5,FALSE)</f>
        <v>15</v>
      </c>
      <c r="F361">
        <v>19</v>
      </c>
      <c r="G361">
        <v>22</v>
      </c>
      <c r="H361" s="316">
        <f t="shared" ref="H361:K365" si="26">+G361/G$355*H$355</f>
        <v>24.31080609514947</v>
      </c>
      <c r="I361" s="316">
        <f t="shared" si="26"/>
        <v>26.358031871583112</v>
      </c>
      <c r="J361" s="316">
        <f t="shared" si="26"/>
        <v>28.40525764801675</v>
      </c>
      <c r="K361" s="316">
        <f t="shared" si="26"/>
        <v>30.452483424450392</v>
      </c>
    </row>
    <row r="362" spans="1:11" x14ac:dyDescent="0.35">
      <c r="A362">
        <v>1684</v>
      </c>
      <c r="B362" t="s">
        <v>72</v>
      </c>
      <c r="C362">
        <f>VLOOKUP($B362,'[1]taakstelling  2017 2018 2019'!$B$1:$F$389,3,FALSE)</f>
        <v>6</v>
      </c>
      <c r="D362">
        <f>VLOOKUP($B362,'[1]taakstelling  2017 2018 2019'!$B$2:$F$389,4,FALSE)</f>
        <v>12</v>
      </c>
      <c r="E362">
        <f>VLOOKUP($B362,'[1]taakstelling  2017 2018 2019'!$B$2:$F$389,5,FALSE)</f>
        <v>15</v>
      </c>
      <c r="F362">
        <v>19</v>
      </c>
      <c r="G362">
        <v>22</v>
      </c>
      <c r="H362" s="316">
        <f t="shared" si="26"/>
        <v>24.31080609514947</v>
      </c>
      <c r="I362" s="316">
        <f t="shared" si="26"/>
        <v>26.358031871583112</v>
      </c>
      <c r="J362" s="316">
        <f t="shared" si="26"/>
        <v>28.40525764801675</v>
      </c>
      <c r="K362" s="316">
        <f t="shared" si="26"/>
        <v>30.452483424450392</v>
      </c>
    </row>
    <row r="363" spans="1:11" x14ac:dyDescent="0.35">
      <c r="A363">
        <v>786</v>
      </c>
      <c r="B363" t="s">
        <v>121</v>
      </c>
      <c r="C363">
        <f>VLOOKUP($B363,'[1]taakstelling  2017 2018 2019'!$B$1:$F$389,3,FALSE)</f>
        <v>2</v>
      </c>
      <c r="D363">
        <f>VLOOKUP($B363,'[1]taakstelling  2017 2018 2019'!$B$2:$F$389,4,FALSE)</f>
        <v>4</v>
      </c>
      <c r="E363">
        <f>VLOOKUP($B363,'[1]taakstelling  2017 2018 2019'!$B$2:$F$389,5,FALSE)</f>
        <v>6</v>
      </c>
      <c r="F363">
        <v>7</v>
      </c>
      <c r="G363">
        <v>8</v>
      </c>
      <c r="H363" s="316">
        <f t="shared" si="26"/>
        <v>8.8402931255088983</v>
      </c>
      <c r="I363" s="316">
        <f t="shared" si="26"/>
        <v>9.5847388623938574</v>
      </c>
      <c r="J363" s="316">
        <f t="shared" si="26"/>
        <v>10.329184599278818</v>
      </c>
      <c r="K363" s="316">
        <f t="shared" si="26"/>
        <v>11.073630336163779</v>
      </c>
    </row>
    <row r="364" spans="1:11" x14ac:dyDescent="0.35">
      <c r="A364">
        <v>815</v>
      </c>
      <c r="B364" t="s">
        <v>204</v>
      </c>
      <c r="C364">
        <f>VLOOKUP($B364,'[1]taakstelling  2017 2018 2019'!$B$1:$F$389,3,FALSE)</f>
        <v>2</v>
      </c>
      <c r="D364">
        <f>VLOOKUP($B364,'[1]taakstelling  2017 2018 2019'!$B$2:$F$389,4,FALSE)</f>
        <v>5</v>
      </c>
      <c r="E364">
        <f>VLOOKUP($B364,'[1]taakstelling  2017 2018 2019'!$B$2:$F$389,5,FALSE)</f>
        <v>6</v>
      </c>
      <c r="F364">
        <v>8</v>
      </c>
      <c r="G364">
        <v>9</v>
      </c>
      <c r="H364" s="316">
        <f t="shared" si="26"/>
        <v>9.9453297661975117</v>
      </c>
      <c r="I364" s="316">
        <f t="shared" si="26"/>
        <v>10.78283122019309</v>
      </c>
      <c r="J364" s="316">
        <f t="shared" si="26"/>
        <v>11.620332674188671</v>
      </c>
      <c r="K364" s="316">
        <f t="shared" si="26"/>
        <v>12.457834128184251</v>
      </c>
    </row>
    <row r="365" spans="1:11" x14ac:dyDescent="0.35">
      <c r="A365">
        <v>1702</v>
      </c>
      <c r="B365" t="s">
        <v>273</v>
      </c>
      <c r="C365">
        <f>VLOOKUP($B365,'[1]taakstelling  2017 2018 2019'!$B$1:$F$389,3,FALSE)</f>
        <v>1</v>
      </c>
      <c r="D365">
        <f>VLOOKUP($B365,'[1]taakstelling  2017 2018 2019'!$B$2:$F$389,4,FALSE)</f>
        <v>2</v>
      </c>
      <c r="E365">
        <f>VLOOKUP($B365,'[1]taakstelling  2017 2018 2019'!$B$2:$F$389,5,FALSE)</f>
        <v>3</v>
      </c>
      <c r="F365">
        <v>4</v>
      </c>
      <c r="G365">
        <v>4</v>
      </c>
      <c r="H365" s="316">
        <f t="shared" si="26"/>
        <v>4.4201465627544492</v>
      </c>
      <c r="I365" s="316">
        <f t="shared" si="26"/>
        <v>4.7923694311969287</v>
      </c>
      <c r="J365" s="316">
        <f t="shared" si="26"/>
        <v>5.1645922996394091</v>
      </c>
      <c r="K365" s="316">
        <f t="shared" si="26"/>
        <v>5.5368151680818896</v>
      </c>
    </row>
    <row r="366" spans="1:11" x14ac:dyDescent="0.35">
      <c r="A366">
        <v>1982</v>
      </c>
      <c r="B366" t="s">
        <v>1302</v>
      </c>
      <c r="C366" s="147">
        <f>SUM(C361:C365)</f>
        <v>17</v>
      </c>
      <c r="D366" s="147">
        <f t="shared" ref="D366:K366" si="27">SUM(D361:D365)</f>
        <v>35</v>
      </c>
      <c r="E366" s="147">
        <f t="shared" si="27"/>
        <v>45</v>
      </c>
      <c r="F366" s="147">
        <f t="shared" si="27"/>
        <v>57</v>
      </c>
      <c r="G366" s="147">
        <f t="shared" si="27"/>
        <v>65</v>
      </c>
      <c r="H366" s="147">
        <f t="shared" si="27"/>
        <v>71.827381644759811</v>
      </c>
      <c r="I366" s="147">
        <f t="shared" si="27"/>
        <v>77.876003256950099</v>
      </c>
      <c r="J366" s="147">
        <f t="shared" si="27"/>
        <v>83.924624869140402</v>
      </c>
      <c r="K366" s="147">
        <f t="shared" si="27"/>
        <v>89.97324648133069</v>
      </c>
    </row>
    <row r="368" spans="1:11" x14ac:dyDescent="0.35">
      <c r="A368">
        <v>398</v>
      </c>
      <c r="B368" t="s">
        <v>138</v>
      </c>
      <c r="C368">
        <f>VLOOKUP($B368,'[1]taakstelling  2017 2018 2019'!$B$1:$F$389,3,FALSE)</f>
        <v>12</v>
      </c>
      <c r="D368">
        <f>VLOOKUP($B368,'[1]taakstelling  2017 2018 2019'!$B$2:$F$389,4,FALSE)</f>
        <v>18</v>
      </c>
      <c r="E368">
        <f>VLOOKUP($B368,'[1]taakstelling  2017 2018 2019'!$B$2:$F$389,5,FALSE)</f>
        <v>23</v>
      </c>
      <c r="F368">
        <v>29</v>
      </c>
      <c r="G368">
        <v>33</v>
      </c>
      <c r="H368" s="316">
        <f t="shared" ref="H368:K369" si="28">+G368/G$355*H$355</f>
        <v>36.466209142724203</v>
      </c>
      <c r="I368" s="316">
        <f t="shared" si="28"/>
        <v>39.537047807374663</v>
      </c>
      <c r="J368" s="316">
        <f t="shared" si="28"/>
        <v>42.607886472025122</v>
      </c>
      <c r="K368" s="316">
        <f t="shared" si="28"/>
        <v>45.678725136675581</v>
      </c>
    </row>
    <row r="369" spans="1:11" x14ac:dyDescent="0.35">
      <c r="A369">
        <v>416</v>
      </c>
      <c r="B369" t="s">
        <v>175</v>
      </c>
      <c r="C369">
        <f>VLOOKUP($B369,'[1]taakstelling  2017 2018 2019'!$B$1:$F$389,3,FALSE)</f>
        <v>4</v>
      </c>
      <c r="D369">
        <f>VLOOKUP($B369,'[1]taakstelling  2017 2018 2019'!$B$2:$F$389,4,FALSE)</f>
        <v>6</v>
      </c>
      <c r="E369">
        <f>VLOOKUP($B369,'[1]taakstelling  2017 2018 2019'!$B$2:$F$389,5,FALSE)</f>
        <v>8</v>
      </c>
      <c r="F369">
        <v>10</v>
      </c>
      <c r="G369">
        <v>12</v>
      </c>
      <c r="H369" s="316">
        <f t="shared" si="28"/>
        <v>13.260439688263347</v>
      </c>
      <c r="I369" s="316">
        <f t="shared" si="28"/>
        <v>14.377108293590787</v>
      </c>
      <c r="J369" s="316">
        <f t="shared" si="28"/>
        <v>15.493776898918226</v>
      </c>
      <c r="K369" s="316">
        <f t="shared" si="28"/>
        <v>16.610445504245668</v>
      </c>
    </row>
    <row r="370" spans="1:11" x14ac:dyDescent="0.35">
      <c r="A370">
        <v>1980</v>
      </c>
      <c r="B370" t="s">
        <v>1303</v>
      </c>
      <c r="C370" s="147">
        <f>SUM(C368:C369)</f>
        <v>16</v>
      </c>
      <c r="D370" s="147">
        <f t="shared" ref="D370:K370" si="29">SUM(D368:D369)</f>
        <v>24</v>
      </c>
      <c r="E370" s="147">
        <f t="shared" si="29"/>
        <v>31</v>
      </c>
      <c r="F370" s="147">
        <f t="shared" si="29"/>
        <v>39</v>
      </c>
      <c r="G370" s="147">
        <f t="shared" si="29"/>
        <v>45</v>
      </c>
      <c r="H370" s="147">
        <f t="shared" si="29"/>
        <v>49.72664883098755</v>
      </c>
      <c r="I370" s="147">
        <f t="shared" si="29"/>
        <v>53.91415610096545</v>
      </c>
      <c r="J370" s="147">
        <f t="shared" si="29"/>
        <v>58.101663370943349</v>
      </c>
      <c r="K370" s="147">
        <f t="shared" si="29"/>
        <v>62.289170640921249</v>
      </c>
    </row>
    <row r="372" spans="1:11" x14ac:dyDescent="0.35">
      <c r="A372">
        <v>370</v>
      </c>
      <c r="B372" t="s">
        <v>38</v>
      </c>
      <c r="C372">
        <f>VLOOKUP($B372,'[1]taakstelling  2017 2018 2019'!$B$1:$F$389,3,FALSE)</f>
        <v>1</v>
      </c>
      <c r="D372">
        <f>VLOOKUP($B372,'[1]taakstelling  2017 2018 2019'!$B$2:$F$389,4,FALSE)</f>
        <v>2</v>
      </c>
      <c r="E372">
        <f>VLOOKUP($B372,'[1]taakstelling  2017 2018 2019'!$B$2:$F$389,5,FALSE)</f>
        <v>2</v>
      </c>
      <c r="F372">
        <v>3</v>
      </c>
      <c r="G372">
        <v>3</v>
      </c>
      <c r="H372" s="316">
        <f t="shared" ref="H372:K373" si="30">+G372/G$355*H$355</f>
        <v>3.3151099220658367</v>
      </c>
      <c r="I372" s="316">
        <f t="shared" si="30"/>
        <v>3.5942770733976968</v>
      </c>
      <c r="J372" s="316">
        <f t="shared" si="30"/>
        <v>3.8734442247295564</v>
      </c>
      <c r="K372" s="316">
        <f t="shared" si="30"/>
        <v>4.1526113760614169</v>
      </c>
    </row>
    <row r="373" spans="1:11" x14ac:dyDescent="0.35">
      <c r="A373">
        <v>439</v>
      </c>
      <c r="B373" t="s">
        <v>1322</v>
      </c>
      <c r="C373">
        <v>17</v>
      </c>
      <c r="D373">
        <v>28</v>
      </c>
      <c r="E373">
        <v>36</v>
      </c>
      <c r="F373">
        <v>44</v>
      </c>
      <c r="G373">
        <v>52</v>
      </c>
      <c r="H373" s="316">
        <f t="shared" si="30"/>
        <v>57.46190531580784</v>
      </c>
      <c r="I373" s="316">
        <f t="shared" si="30"/>
        <v>62.300802605560079</v>
      </c>
      <c r="J373" s="316">
        <f t="shared" si="30"/>
        <v>67.139699895312319</v>
      </c>
      <c r="K373" s="316">
        <f t="shared" si="30"/>
        <v>71.978597185064558</v>
      </c>
    </row>
    <row r="374" spans="1:11" x14ac:dyDescent="0.35">
      <c r="A374">
        <v>439</v>
      </c>
      <c r="B374" t="s">
        <v>247</v>
      </c>
      <c r="C374" s="147">
        <f>SUM(C372:C373)</f>
        <v>18</v>
      </c>
      <c r="D374" s="147">
        <f t="shared" ref="D374:K374" si="31">SUM(D372:D373)</f>
        <v>30</v>
      </c>
      <c r="E374" s="147">
        <f t="shared" si="31"/>
        <v>38</v>
      </c>
      <c r="F374" s="147">
        <f t="shared" si="31"/>
        <v>47</v>
      </c>
      <c r="G374" s="147">
        <f t="shared" si="31"/>
        <v>55</v>
      </c>
      <c r="H374" s="147">
        <f t="shared" si="31"/>
        <v>60.777015237873677</v>
      </c>
      <c r="I374" s="147">
        <f t="shared" si="31"/>
        <v>65.895079678957771</v>
      </c>
      <c r="J374" s="147">
        <f t="shared" si="31"/>
        <v>71.013144120041872</v>
      </c>
      <c r="K374" s="147">
        <f t="shared" si="31"/>
        <v>76.131208561125973</v>
      </c>
    </row>
    <row r="376" spans="1:11" x14ac:dyDescent="0.35">
      <c r="A376">
        <v>363</v>
      </c>
      <c r="B376" t="s">
        <v>1323</v>
      </c>
      <c r="C376">
        <v>130</v>
      </c>
      <c r="D376">
        <v>243</v>
      </c>
      <c r="E376">
        <v>316</v>
      </c>
      <c r="F376">
        <v>390</v>
      </c>
      <c r="G376">
        <v>454</v>
      </c>
      <c r="H376" s="316">
        <f t="shared" ref="H376:K377" si="32">+G376/G$355*H$355</f>
        <v>501.68663487262995</v>
      </c>
      <c r="I376" s="316">
        <f t="shared" si="32"/>
        <v>543.93393044085144</v>
      </c>
      <c r="J376" s="316">
        <f t="shared" si="32"/>
        <v>586.18122600907293</v>
      </c>
      <c r="K376" s="316">
        <f t="shared" si="32"/>
        <v>628.42852157729442</v>
      </c>
    </row>
    <row r="377" spans="1:11" x14ac:dyDescent="0.35">
      <c r="A377">
        <v>457</v>
      </c>
      <c r="B377" t="s">
        <v>333</v>
      </c>
      <c r="C377">
        <f>VLOOKUP($B377,'[1]taakstelling  2017 2018 2019'!$B$1:$F$389,3,FALSE)</f>
        <v>1</v>
      </c>
      <c r="D377">
        <f>VLOOKUP($B377,'[1]taakstelling  2017 2018 2019'!$B$2:$F$389,4,FALSE)</f>
        <v>2</v>
      </c>
      <c r="E377">
        <f>VLOOKUP($B377,'[1]taakstelling  2017 2018 2019'!$B$2:$F$389,5,FALSE)</f>
        <v>2</v>
      </c>
      <c r="F377">
        <v>3</v>
      </c>
      <c r="G377">
        <v>4</v>
      </c>
      <c r="H377" s="316">
        <f t="shared" si="32"/>
        <v>4.4201465627544492</v>
      </c>
      <c r="I377" s="316">
        <f t="shared" si="32"/>
        <v>4.7923694311969287</v>
      </c>
      <c r="J377" s="316">
        <f t="shared" si="32"/>
        <v>5.1645922996394091</v>
      </c>
      <c r="K377" s="316">
        <f t="shared" si="32"/>
        <v>5.5368151680818896</v>
      </c>
    </row>
    <row r="378" spans="1:11" x14ac:dyDescent="0.35">
      <c r="A378">
        <v>363</v>
      </c>
      <c r="B378" t="s">
        <v>26</v>
      </c>
      <c r="C378">
        <f>SUM(C376:C377)</f>
        <v>131</v>
      </c>
      <c r="D378">
        <f t="shared" ref="D378:K378" si="33">SUM(D376:D377)</f>
        <v>245</v>
      </c>
      <c r="E378">
        <f t="shared" si="33"/>
        <v>318</v>
      </c>
      <c r="F378">
        <f t="shared" si="33"/>
        <v>393</v>
      </c>
      <c r="G378">
        <f t="shared" si="33"/>
        <v>458</v>
      </c>
      <c r="H378">
        <f t="shared" si="33"/>
        <v>506.10678143538439</v>
      </c>
      <c r="I378">
        <f t="shared" si="33"/>
        <v>548.72629987204834</v>
      </c>
      <c r="J378">
        <f t="shared" si="33"/>
        <v>591.3458183087123</v>
      </c>
      <c r="K378">
        <f t="shared" si="33"/>
        <v>633.96533674537636</v>
      </c>
    </row>
  </sheetData>
  <mergeCells count="3">
    <mergeCell ref="H1:K1"/>
    <mergeCell ref="C1:G1"/>
    <mergeCell ref="M2:AC2"/>
  </mergeCells>
  <phoneticPr fontId="17"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145B2-D729-487B-92A9-C5BC0E825941}">
  <sheetPr codeName="Blad21">
    <tabColor rgb="FF00B0F0"/>
  </sheetPr>
  <dimension ref="A1:T391"/>
  <sheetViews>
    <sheetView topLeftCell="A353" zoomScale="85" zoomScaleNormal="85" workbookViewId="0">
      <selection activeCell="A365" sqref="A365:A391"/>
    </sheetView>
  </sheetViews>
  <sheetFormatPr defaultRowHeight="14.5" x14ac:dyDescent="0.35"/>
  <cols>
    <col min="1" max="1" width="34.08984375" bestFit="1" customWidth="1"/>
    <col min="2" max="18" width="12.81640625" customWidth="1"/>
    <col min="19" max="19" width="13.81640625" customWidth="1"/>
    <col min="20" max="20" width="22" bestFit="1" customWidth="1"/>
  </cols>
  <sheetData>
    <row r="1" spans="1:20" x14ac:dyDescent="0.35">
      <c r="A1" s="1" t="s">
        <v>1085</v>
      </c>
      <c r="B1" t="s">
        <v>1314</v>
      </c>
    </row>
    <row r="2" spans="1:20" x14ac:dyDescent="0.35">
      <c r="B2" t="s">
        <v>1086</v>
      </c>
    </row>
    <row r="3" spans="1:20" x14ac:dyDescent="0.35">
      <c r="B3" t="s">
        <v>1087</v>
      </c>
    </row>
    <row r="4" spans="1:20" s="1" customFormat="1" ht="48" customHeight="1" x14ac:dyDescent="0.35">
      <c r="B4" s="579" t="s">
        <v>1065</v>
      </c>
      <c r="C4" s="579"/>
      <c r="D4" s="579"/>
      <c r="E4" s="579"/>
      <c r="F4" s="579" t="s">
        <v>1066</v>
      </c>
      <c r="G4" s="579"/>
      <c r="H4" s="579"/>
      <c r="I4" s="579"/>
      <c r="J4" s="579" t="s">
        <v>1067</v>
      </c>
      <c r="K4" s="579"/>
      <c r="L4" s="579"/>
      <c r="M4" s="579"/>
      <c r="N4" s="579"/>
      <c r="O4" s="579" t="s">
        <v>1208</v>
      </c>
      <c r="P4" s="579"/>
      <c r="Q4" s="579"/>
      <c r="R4" s="579"/>
    </row>
    <row r="5" spans="1:20" s="1" customFormat="1" ht="58" x14ac:dyDescent="0.35">
      <c r="A5" s="1" t="s">
        <v>9</v>
      </c>
      <c r="B5" s="315" t="s">
        <v>1068</v>
      </c>
      <c r="C5" s="315" t="s">
        <v>1069</v>
      </c>
      <c r="D5" s="315" t="s">
        <v>1070</v>
      </c>
      <c r="E5" s="315" t="s">
        <v>1071</v>
      </c>
      <c r="F5" s="315" t="s">
        <v>1072</v>
      </c>
      <c r="G5" s="315" t="s">
        <v>1073</v>
      </c>
      <c r="H5" s="315" t="s">
        <v>1070</v>
      </c>
      <c r="I5" s="315" t="s">
        <v>1071</v>
      </c>
      <c r="J5" s="315" t="s">
        <v>1074</v>
      </c>
      <c r="K5" s="315" t="s">
        <v>1075</v>
      </c>
      <c r="L5" s="315" t="s">
        <v>1076</v>
      </c>
      <c r="M5" s="315" t="s">
        <v>1077</v>
      </c>
      <c r="N5" s="315" t="s">
        <v>1071</v>
      </c>
      <c r="O5" s="315" t="s">
        <v>1205</v>
      </c>
      <c r="P5" s="315" t="s">
        <v>1206</v>
      </c>
      <c r="Q5" s="315" t="s">
        <v>1207</v>
      </c>
      <c r="R5" s="315" t="s">
        <v>1071</v>
      </c>
      <c r="S5" s="315" t="s">
        <v>1281</v>
      </c>
    </row>
    <row r="6" spans="1:20" x14ac:dyDescent="0.35">
      <c r="A6" t="s">
        <v>0</v>
      </c>
      <c r="B6" s="58">
        <v>6000</v>
      </c>
      <c r="C6" s="58">
        <v>0</v>
      </c>
      <c r="D6" s="58">
        <v>6000</v>
      </c>
      <c r="E6" s="316">
        <v>2</v>
      </c>
      <c r="F6" s="58">
        <v>0</v>
      </c>
      <c r="G6" s="58">
        <v>6000</v>
      </c>
      <c r="H6" s="58">
        <v>6000</v>
      </c>
      <c r="I6" s="316">
        <v>2</v>
      </c>
      <c r="J6" s="58">
        <v>9000</v>
      </c>
      <c r="K6" s="58">
        <v>6000</v>
      </c>
      <c r="L6" s="58">
        <v>0</v>
      </c>
      <c r="M6" s="58">
        <v>15000</v>
      </c>
      <c r="N6" s="316">
        <v>5</v>
      </c>
      <c r="O6" s="58">
        <v>3000</v>
      </c>
      <c r="P6" s="58">
        <v>14750</v>
      </c>
      <c r="Q6" s="58">
        <v>17750</v>
      </c>
      <c r="R6" s="316">
        <f>+Q6/3000</f>
        <v>5.916666666666667</v>
      </c>
      <c r="S6" s="58">
        <v>18462.409518017932</v>
      </c>
      <c r="T6" s="1" t="s">
        <v>1078</v>
      </c>
    </row>
    <row r="7" spans="1:20" x14ac:dyDescent="0.35">
      <c r="A7" t="s">
        <v>12</v>
      </c>
      <c r="B7" s="58"/>
      <c r="C7" s="58"/>
      <c r="D7" s="58"/>
      <c r="E7" s="316">
        <v>0</v>
      </c>
      <c r="F7" s="58">
        <v>6000</v>
      </c>
      <c r="G7" s="58">
        <v>0</v>
      </c>
      <c r="H7" s="58">
        <v>6000</v>
      </c>
      <c r="I7" s="316">
        <v>2</v>
      </c>
      <c r="J7" s="58">
        <v>3000</v>
      </c>
      <c r="K7" s="58">
        <v>6000</v>
      </c>
      <c r="L7" s="58">
        <v>0</v>
      </c>
      <c r="M7" s="58">
        <v>9000</v>
      </c>
      <c r="N7" s="316">
        <v>3</v>
      </c>
      <c r="O7" s="58">
        <v>3000</v>
      </c>
      <c r="P7" s="58">
        <v>9000</v>
      </c>
      <c r="Q7" s="58">
        <v>12000</v>
      </c>
      <c r="R7" s="316">
        <f t="shared" ref="R7:R70" si="0">+Q7/3000</f>
        <v>4</v>
      </c>
      <c r="S7" s="58">
        <v>12481.628969927615</v>
      </c>
    </row>
    <row r="8" spans="1:20" x14ac:dyDescent="0.35">
      <c r="A8" t="s">
        <v>13</v>
      </c>
      <c r="B8" s="58"/>
      <c r="C8" s="58"/>
      <c r="D8" s="58"/>
      <c r="E8" s="316">
        <v>0</v>
      </c>
      <c r="F8" s="58">
        <v>0</v>
      </c>
      <c r="G8" s="58">
        <v>0</v>
      </c>
      <c r="H8" s="58">
        <v>0</v>
      </c>
      <c r="I8" s="316">
        <v>0</v>
      </c>
      <c r="J8" s="58">
        <v>3000</v>
      </c>
      <c r="K8" s="58">
        <v>0</v>
      </c>
      <c r="L8" s="58">
        <v>0</v>
      </c>
      <c r="M8" s="58">
        <v>3000</v>
      </c>
      <c r="N8" s="316">
        <v>1</v>
      </c>
      <c r="O8" s="58">
        <v>6000</v>
      </c>
      <c r="P8" s="58">
        <v>3000</v>
      </c>
      <c r="Q8" s="58">
        <v>9000</v>
      </c>
      <c r="R8" s="316">
        <f t="shared" si="0"/>
        <v>3</v>
      </c>
      <c r="S8" s="58">
        <v>9361.2217274457107</v>
      </c>
    </row>
    <row r="9" spans="1:20" x14ac:dyDescent="0.35">
      <c r="A9" t="s">
        <v>14</v>
      </c>
      <c r="B9" s="58"/>
      <c r="C9" s="58"/>
      <c r="D9" s="58"/>
      <c r="E9" s="316">
        <v>0</v>
      </c>
      <c r="F9" s="58">
        <v>0</v>
      </c>
      <c r="G9" s="58">
        <v>0</v>
      </c>
      <c r="H9" s="58">
        <v>0</v>
      </c>
      <c r="I9" s="316">
        <v>0</v>
      </c>
      <c r="J9" s="58">
        <v>6000</v>
      </c>
      <c r="K9" s="58">
        <v>0</v>
      </c>
      <c r="L9" s="58">
        <v>0</v>
      </c>
      <c r="M9" s="58">
        <v>6000</v>
      </c>
      <c r="N9" s="316">
        <v>2</v>
      </c>
      <c r="O9" s="58">
        <v>12000</v>
      </c>
      <c r="P9" s="58">
        <v>6000</v>
      </c>
      <c r="Q9" s="58">
        <v>18000</v>
      </c>
      <c r="R9" s="316">
        <f t="shared" si="0"/>
        <v>6</v>
      </c>
      <c r="S9" s="58">
        <v>18722.443454891421</v>
      </c>
    </row>
    <row r="10" spans="1:20" x14ac:dyDescent="0.35">
      <c r="A10" t="s">
        <v>15</v>
      </c>
      <c r="B10" s="58"/>
      <c r="C10" s="58"/>
      <c r="D10" s="58"/>
      <c r="E10" s="316">
        <v>0</v>
      </c>
      <c r="F10" s="58">
        <v>0</v>
      </c>
      <c r="G10" s="58">
        <v>0</v>
      </c>
      <c r="H10" s="58">
        <v>0</v>
      </c>
      <c r="I10" s="316">
        <v>0</v>
      </c>
      <c r="J10" s="58">
        <v>9000</v>
      </c>
      <c r="K10" s="58">
        <v>0</v>
      </c>
      <c r="L10" s="58">
        <v>0</v>
      </c>
      <c r="M10" s="58">
        <v>9000</v>
      </c>
      <c r="N10" s="316">
        <v>3</v>
      </c>
      <c r="O10" s="58">
        <v>3000</v>
      </c>
      <c r="P10" s="58">
        <v>8750</v>
      </c>
      <c r="Q10" s="58">
        <v>11750</v>
      </c>
      <c r="R10" s="316">
        <f t="shared" si="0"/>
        <v>3.9166666666666665</v>
      </c>
      <c r="S10" s="58">
        <v>12221.595033054124</v>
      </c>
    </row>
    <row r="11" spans="1:20" x14ac:dyDescent="0.35">
      <c r="A11" t="s">
        <v>16</v>
      </c>
      <c r="B11" s="58"/>
      <c r="C11" s="58"/>
      <c r="D11" s="58"/>
      <c r="E11" s="316">
        <v>0</v>
      </c>
      <c r="F11" s="58">
        <v>0</v>
      </c>
      <c r="G11" s="58">
        <v>0</v>
      </c>
      <c r="H11" s="58">
        <v>0</v>
      </c>
      <c r="I11" s="316">
        <v>0</v>
      </c>
      <c r="J11" s="58">
        <v>0</v>
      </c>
      <c r="K11" s="58">
        <v>0</v>
      </c>
      <c r="L11" s="58">
        <v>0</v>
      </c>
      <c r="M11" s="58">
        <v>0</v>
      </c>
      <c r="N11" s="316">
        <v>0</v>
      </c>
      <c r="O11" s="58">
        <v>3000</v>
      </c>
      <c r="P11" s="58">
        <v>0</v>
      </c>
      <c r="Q11" s="58">
        <v>3000</v>
      </c>
      <c r="R11" s="316">
        <f t="shared" si="0"/>
        <v>1</v>
      </c>
      <c r="S11" s="58">
        <v>3120.4072424819037</v>
      </c>
    </row>
    <row r="12" spans="1:20" x14ac:dyDescent="0.35">
      <c r="A12" t="s">
        <v>17</v>
      </c>
      <c r="B12" s="58">
        <v>27000</v>
      </c>
      <c r="C12" s="58">
        <v>3000</v>
      </c>
      <c r="D12" s="58">
        <v>30000</v>
      </c>
      <c r="E12" s="316">
        <v>10</v>
      </c>
      <c r="F12" s="58">
        <v>42000</v>
      </c>
      <c r="G12" s="58">
        <v>27000</v>
      </c>
      <c r="H12" s="58">
        <v>69000</v>
      </c>
      <c r="I12" s="316">
        <v>23</v>
      </c>
      <c r="J12" s="58">
        <v>78000</v>
      </c>
      <c r="K12" s="58">
        <v>61500</v>
      </c>
      <c r="L12" s="58">
        <v>0</v>
      </c>
      <c r="M12" s="58">
        <v>139500</v>
      </c>
      <c r="N12" s="316">
        <v>46.5</v>
      </c>
      <c r="O12" s="58">
        <v>78000</v>
      </c>
      <c r="P12" s="58">
        <v>133500</v>
      </c>
      <c r="Q12" s="58">
        <v>211500</v>
      </c>
      <c r="R12" s="316">
        <f t="shared" si="0"/>
        <v>70.5</v>
      </c>
      <c r="S12" s="58">
        <v>219988.7105949742</v>
      </c>
    </row>
    <row r="13" spans="1:20" x14ac:dyDescent="0.35">
      <c r="A13" t="s">
        <v>18</v>
      </c>
      <c r="B13" s="58"/>
      <c r="C13" s="58"/>
      <c r="D13" s="58"/>
      <c r="E13" s="316">
        <v>0</v>
      </c>
      <c r="F13" s="58">
        <v>3000</v>
      </c>
      <c r="G13" s="58">
        <v>0</v>
      </c>
      <c r="H13" s="58">
        <v>3000</v>
      </c>
      <c r="I13" s="316">
        <v>1</v>
      </c>
      <c r="J13" s="58">
        <v>42000</v>
      </c>
      <c r="K13" s="58">
        <v>3000</v>
      </c>
      <c r="L13" s="58">
        <v>0</v>
      </c>
      <c r="M13" s="58">
        <v>45000</v>
      </c>
      <c r="N13" s="316">
        <v>15</v>
      </c>
      <c r="O13" s="58">
        <v>33000</v>
      </c>
      <c r="P13" s="58">
        <v>36000</v>
      </c>
      <c r="Q13" s="58">
        <v>69000</v>
      </c>
      <c r="R13" s="316">
        <f t="shared" si="0"/>
        <v>23</v>
      </c>
      <c r="S13" s="58">
        <v>71769.366577083783</v>
      </c>
    </row>
    <row r="14" spans="1:20" x14ac:dyDescent="0.35">
      <c r="A14" t="s">
        <v>19</v>
      </c>
      <c r="B14" s="58">
        <v>36000</v>
      </c>
      <c r="C14" s="58">
        <v>21750</v>
      </c>
      <c r="D14" s="58">
        <v>57750</v>
      </c>
      <c r="E14" s="316">
        <v>19.25</v>
      </c>
      <c r="F14" s="58">
        <v>75000</v>
      </c>
      <c r="G14" s="58">
        <v>27250</v>
      </c>
      <c r="H14" s="58">
        <v>102250</v>
      </c>
      <c r="I14" s="316">
        <v>34.083333333333336</v>
      </c>
      <c r="J14" s="58">
        <v>108000</v>
      </c>
      <c r="K14" s="58">
        <v>85250</v>
      </c>
      <c r="L14" s="58">
        <v>0</v>
      </c>
      <c r="M14" s="58">
        <v>193250</v>
      </c>
      <c r="N14" s="316">
        <v>64.416666666666671</v>
      </c>
      <c r="O14" s="58">
        <v>126000</v>
      </c>
      <c r="P14" s="58">
        <v>181000</v>
      </c>
      <c r="Q14" s="58">
        <v>307000</v>
      </c>
      <c r="R14" s="316">
        <f t="shared" si="0"/>
        <v>102.33333333333333</v>
      </c>
      <c r="S14" s="58">
        <v>319321.67448064813</v>
      </c>
    </row>
    <row r="15" spans="1:20" x14ac:dyDescent="0.35">
      <c r="A15" t="s">
        <v>20</v>
      </c>
      <c r="B15" s="58">
        <v>27000</v>
      </c>
      <c r="C15" s="58">
        <v>3000</v>
      </c>
      <c r="D15" s="58">
        <v>30000</v>
      </c>
      <c r="E15" s="316">
        <v>10</v>
      </c>
      <c r="F15" s="58">
        <v>42000</v>
      </c>
      <c r="G15" s="58">
        <v>26000</v>
      </c>
      <c r="H15" s="58">
        <v>68000</v>
      </c>
      <c r="I15" s="316">
        <v>22.666666666666668</v>
      </c>
      <c r="J15" s="58">
        <v>60000</v>
      </c>
      <c r="K15" s="58">
        <v>57750</v>
      </c>
      <c r="L15" s="58">
        <v>0</v>
      </c>
      <c r="M15" s="58">
        <v>117750</v>
      </c>
      <c r="N15" s="316">
        <v>39.25</v>
      </c>
      <c r="O15" s="58">
        <v>39000</v>
      </c>
      <c r="P15" s="58">
        <v>111250</v>
      </c>
      <c r="Q15" s="58">
        <v>150250</v>
      </c>
      <c r="R15" s="316">
        <f t="shared" si="0"/>
        <v>50.083333333333336</v>
      </c>
      <c r="S15" s="58">
        <v>156280.39606096866</v>
      </c>
    </row>
    <row r="16" spans="1:20" x14ac:dyDescent="0.35">
      <c r="A16" t="s">
        <v>21</v>
      </c>
      <c r="B16" s="58"/>
      <c r="C16" s="58"/>
      <c r="D16" s="58"/>
      <c r="E16" s="316">
        <v>0</v>
      </c>
      <c r="F16" s="58">
        <v>0</v>
      </c>
      <c r="G16" s="58">
        <v>0</v>
      </c>
      <c r="H16" s="58">
        <v>0</v>
      </c>
      <c r="I16" s="316">
        <v>0</v>
      </c>
      <c r="J16" s="58">
        <v>0</v>
      </c>
      <c r="K16" s="58">
        <v>0</v>
      </c>
      <c r="L16" s="58">
        <v>0</v>
      </c>
      <c r="M16" s="58">
        <v>0</v>
      </c>
      <c r="N16" s="316">
        <v>0</v>
      </c>
      <c r="O16" s="58">
        <v>3000</v>
      </c>
      <c r="P16" s="58">
        <v>0</v>
      </c>
      <c r="Q16" s="58">
        <v>3000</v>
      </c>
      <c r="R16" s="316">
        <f t="shared" si="0"/>
        <v>1</v>
      </c>
      <c r="S16" s="58">
        <v>3120.4072424819037</v>
      </c>
    </row>
    <row r="17" spans="1:19" x14ac:dyDescent="0.35">
      <c r="A17" t="s">
        <v>22</v>
      </c>
      <c r="B17" s="58"/>
      <c r="C17" s="58"/>
      <c r="D17" s="58"/>
      <c r="E17" s="316">
        <v>0</v>
      </c>
      <c r="F17" s="58">
        <v>9000</v>
      </c>
      <c r="G17" s="58">
        <v>0</v>
      </c>
      <c r="H17" s="58">
        <v>9000</v>
      </c>
      <c r="I17" s="316">
        <v>3</v>
      </c>
      <c r="J17" s="58">
        <v>15000</v>
      </c>
      <c r="K17" s="58">
        <v>9000</v>
      </c>
      <c r="L17" s="58">
        <v>0</v>
      </c>
      <c r="M17" s="58">
        <v>24000</v>
      </c>
      <c r="N17" s="316">
        <v>8</v>
      </c>
      <c r="O17" s="58">
        <v>24000</v>
      </c>
      <c r="P17" s="58">
        <v>24000</v>
      </c>
      <c r="Q17" s="58">
        <v>48000</v>
      </c>
      <c r="R17" s="316">
        <f t="shared" si="0"/>
        <v>16</v>
      </c>
      <c r="S17" s="58">
        <v>49926.51587971046</v>
      </c>
    </row>
    <row r="18" spans="1:19" x14ac:dyDescent="0.35">
      <c r="A18" t="s">
        <v>23</v>
      </c>
      <c r="B18" s="58"/>
      <c r="C18" s="58"/>
      <c r="D18" s="58"/>
      <c r="E18" s="316">
        <v>0</v>
      </c>
      <c r="F18" s="58">
        <v>0</v>
      </c>
      <c r="G18" s="58">
        <v>0</v>
      </c>
      <c r="H18" s="58">
        <v>0</v>
      </c>
      <c r="I18" s="316">
        <v>0</v>
      </c>
      <c r="J18" s="58">
        <v>0</v>
      </c>
      <c r="K18" s="58">
        <v>0</v>
      </c>
      <c r="L18" s="58">
        <v>0</v>
      </c>
      <c r="M18" s="58">
        <v>0</v>
      </c>
      <c r="N18" s="316">
        <v>0</v>
      </c>
      <c r="O18" s="58">
        <v>0</v>
      </c>
      <c r="P18" s="58">
        <v>0</v>
      </c>
      <c r="Q18" s="58">
        <v>0</v>
      </c>
      <c r="R18" s="316">
        <f t="shared" si="0"/>
        <v>0</v>
      </c>
      <c r="S18" s="58">
        <v>0</v>
      </c>
    </row>
    <row r="19" spans="1:19" x14ac:dyDescent="0.35">
      <c r="A19" t="s">
        <v>24</v>
      </c>
      <c r="B19" s="58">
        <v>3000</v>
      </c>
      <c r="C19" s="58">
        <v>3000</v>
      </c>
      <c r="D19" s="58">
        <v>6000</v>
      </c>
      <c r="E19" s="316">
        <v>2</v>
      </c>
      <c r="F19" s="58">
        <v>6000</v>
      </c>
      <c r="G19" s="58">
        <v>2250</v>
      </c>
      <c r="H19" s="58">
        <v>8250</v>
      </c>
      <c r="I19" s="316">
        <v>2.75</v>
      </c>
      <c r="J19" s="58">
        <v>6000</v>
      </c>
      <c r="K19" s="58">
        <v>7500</v>
      </c>
      <c r="L19" s="58">
        <v>0</v>
      </c>
      <c r="M19" s="58">
        <v>13500</v>
      </c>
      <c r="N19" s="316">
        <v>4.5</v>
      </c>
      <c r="O19" s="58">
        <v>6000</v>
      </c>
      <c r="P19" s="58">
        <v>3750</v>
      </c>
      <c r="Q19" s="58">
        <v>9750</v>
      </c>
      <c r="R19" s="316">
        <f t="shared" si="0"/>
        <v>3.25</v>
      </c>
      <c r="S19" s="58">
        <v>10141.323538066188</v>
      </c>
    </row>
    <row r="20" spans="1:19" x14ac:dyDescent="0.35">
      <c r="A20" t="s">
        <v>25</v>
      </c>
      <c r="B20" s="58"/>
      <c r="C20" s="58"/>
      <c r="D20" s="58"/>
      <c r="E20" s="316">
        <v>0</v>
      </c>
      <c r="F20" s="58">
        <v>9000</v>
      </c>
      <c r="G20" s="58">
        <v>0</v>
      </c>
      <c r="H20" s="58">
        <v>9000</v>
      </c>
      <c r="I20" s="316">
        <v>3</v>
      </c>
      <c r="J20" s="58">
        <v>12000</v>
      </c>
      <c r="K20" s="58">
        <v>9000</v>
      </c>
      <c r="L20" s="58">
        <v>0</v>
      </c>
      <c r="M20" s="58">
        <v>21000</v>
      </c>
      <c r="N20" s="316">
        <v>7</v>
      </c>
      <c r="O20" s="58">
        <v>12000</v>
      </c>
      <c r="P20" s="58">
        <v>21000</v>
      </c>
      <c r="Q20" s="58">
        <v>33000</v>
      </c>
      <c r="R20" s="316">
        <f t="shared" si="0"/>
        <v>11</v>
      </c>
      <c r="S20" s="58">
        <v>34324.47966730094</v>
      </c>
    </row>
    <row r="22" spans="1:19" x14ac:dyDescent="0.35">
      <c r="A22" t="s">
        <v>27</v>
      </c>
      <c r="B22" s="58">
        <v>30000</v>
      </c>
      <c r="C22" s="58">
        <v>2750</v>
      </c>
      <c r="D22" s="58">
        <v>32750</v>
      </c>
      <c r="E22" s="316">
        <v>10.916666666666666</v>
      </c>
      <c r="F22" s="58">
        <v>21000</v>
      </c>
      <c r="G22" s="58">
        <v>18250</v>
      </c>
      <c r="H22" s="58">
        <v>39250</v>
      </c>
      <c r="I22" s="316">
        <v>13.083333333333334</v>
      </c>
      <c r="J22" s="58">
        <v>48000</v>
      </c>
      <c r="K22" s="58">
        <v>48000</v>
      </c>
      <c r="L22" s="58">
        <v>6250</v>
      </c>
      <c r="M22" s="58">
        <v>102250</v>
      </c>
      <c r="N22" s="316">
        <v>34.083333333333336</v>
      </c>
      <c r="O22" s="58">
        <v>60000</v>
      </c>
      <c r="P22" s="58">
        <v>83000</v>
      </c>
      <c r="Q22" s="58">
        <v>143000</v>
      </c>
      <c r="R22" s="316">
        <f t="shared" si="0"/>
        <v>47.666666666666664</v>
      </c>
      <c r="S22" s="58">
        <v>148739.4118916374</v>
      </c>
    </row>
    <row r="24" spans="1:19" x14ac:dyDescent="0.35">
      <c r="A24" t="s">
        <v>29</v>
      </c>
      <c r="B24" s="58">
        <v>3000</v>
      </c>
      <c r="C24" s="58">
        <v>0</v>
      </c>
      <c r="D24" s="58">
        <v>3000</v>
      </c>
      <c r="E24" s="316">
        <v>1</v>
      </c>
      <c r="F24" s="58">
        <v>9000</v>
      </c>
      <c r="G24" s="58">
        <v>3000</v>
      </c>
      <c r="H24" s="58">
        <v>12000</v>
      </c>
      <c r="I24" s="316">
        <v>4</v>
      </c>
      <c r="J24" s="58">
        <v>33000</v>
      </c>
      <c r="K24" s="58">
        <v>8250</v>
      </c>
      <c r="L24" s="58">
        <v>0</v>
      </c>
      <c r="M24" s="58">
        <v>41250</v>
      </c>
      <c r="N24" s="316">
        <v>13.75</v>
      </c>
      <c r="O24" s="58">
        <v>0</v>
      </c>
      <c r="P24" s="58">
        <v>33750</v>
      </c>
      <c r="Q24" s="58">
        <v>33750</v>
      </c>
      <c r="R24" s="316">
        <f t="shared" si="0"/>
        <v>11.25</v>
      </c>
      <c r="S24" s="58">
        <v>35104.58147792142</v>
      </c>
    </row>
    <row r="25" spans="1:19" x14ac:dyDescent="0.35">
      <c r="A25" t="s">
        <v>30</v>
      </c>
      <c r="B25" s="58">
        <v>24000</v>
      </c>
      <c r="C25" s="58">
        <v>750</v>
      </c>
      <c r="D25" s="58">
        <v>24750</v>
      </c>
      <c r="E25" s="316">
        <v>8.25</v>
      </c>
      <c r="F25" s="58">
        <v>33000</v>
      </c>
      <c r="G25" s="58">
        <v>16500</v>
      </c>
      <c r="H25" s="58">
        <v>49500</v>
      </c>
      <c r="I25" s="316">
        <v>16.5</v>
      </c>
      <c r="J25" s="58">
        <v>36000</v>
      </c>
      <c r="K25" s="58">
        <v>45750</v>
      </c>
      <c r="L25" s="58">
        <v>0</v>
      </c>
      <c r="M25" s="58">
        <v>81750</v>
      </c>
      <c r="N25" s="316">
        <v>27.25</v>
      </c>
      <c r="O25" s="58">
        <v>27000</v>
      </c>
      <c r="P25" s="58">
        <v>73750</v>
      </c>
      <c r="Q25" s="58">
        <v>100750</v>
      </c>
      <c r="R25" s="316">
        <f t="shared" si="0"/>
        <v>33.583333333333336</v>
      </c>
      <c r="S25" s="58">
        <v>104793.67656001727</v>
      </c>
    </row>
    <row r="26" spans="1:19" x14ac:dyDescent="0.35">
      <c r="A26" t="s">
        <v>31</v>
      </c>
      <c r="B26" s="58"/>
      <c r="C26" s="58"/>
      <c r="D26" s="58"/>
      <c r="E26" s="316">
        <v>0</v>
      </c>
      <c r="F26" s="58">
        <v>0</v>
      </c>
      <c r="G26" s="58">
        <v>0</v>
      </c>
      <c r="H26" s="58">
        <v>0</v>
      </c>
      <c r="I26" s="316">
        <v>0</v>
      </c>
      <c r="J26" s="58">
        <v>0</v>
      </c>
      <c r="K26" s="58">
        <v>0</v>
      </c>
      <c r="L26" s="58">
        <v>0</v>
      </c>
      <c r="M26" s="58">
        <v>0</v>
      </c>
      <c r="N26" s="316">
        <v>0</v>
      </c>
      <c r="O26" s="58">
        <v>0</v>
      </c>
      <c r="P26" s="58">
        <v>0</v>
      </c>
      <c r="Q26" s="58">
        <v>0</v>
      </c>
      <c r="R26" s="316">
        <f t="shared" si="0"/>
        <v>0</v>
      </c>
      <c r="S26" s="58">
        <v>0</v>
      </c>
    </row>
    <row r="27" spans="1:19" x14ac:dyDescent="0.35">
      <c r="A27" t="s">
        <v>32</v>
      </c>
      <c r="B27" s="58"/>
      <c r="C27" s="58"/>
      <c r="D27" s="58"/>
      <c r="E27" s="316">
        <v>0</v>
      </c>
      <c r="F27" s="58">
        <v>0</v>
      </c>
      <c r="G27" s="58">
        <v>0</v>
      </c>
      <c r="H27" s="58">
        <v>0</v>
      </c>
      <c r="I27" s="316">
        <v>0</v>
      </c>
      <c r="J27" s="58">
        <v>0</v>
      </c>
      <c r="K27" s="58">
        <v>0</v>
      </c>
      <c r="L27" s="58">
        <v>0</v>
      </c>
      <c r="M27" s="58">
        <v>0</v>
      </c>
      <c r="N27" s="316">
        <v>0</v>
      </c>
      <c r="O27" s="58">
        <v>0</v>
      </c>
      <c r="P27" s="58">
        <v>0</v>
      </c>
      <c r="Q27" s="58">
        <v>0</v>
      </c>
      <c r="R27" s="316">
        <f t="shared" si="0"/>
        <v>0</v>
      </c>
      <c r="S27" s="58">
        <v>0</v>
      </c>
    </row>
    <row r="28" spans="1:19" x14ac:dyDescent="0.35">
      <c r="A28" t="s">
        <v>33</v>
      </c>
      <c r="B28" s="58"/>
      <c r="C28" s="58"/>
      <c r="D28" s="58"/>
      <c r="E28" s="316">
        <v>0</v>
      </c>
      <c r="F28" s="58">
        <v>0</v>
      </c>
      <c r="G28" s="58">
        <v>0</v>
      </c>
      <c r="H28" s="58">
        <v>0</v>
      </c>
      <c r="I28" s="316">
        <v>0</v>
      </c>
      <c r="J28" s="58">
        <v>0</v>
      </c>
      <c r="K28" s="58">
        <v>0</v>
      </c>
      <c r="L28" s="58">
        <v>0</v>
      </c>
      <c r="M28" s="58">
        <v>0</v>
      </c>
      <c r="N28" s="316">
        <v>0</v>
      </c>
      <c r="O28" s="58">
        <v>0</v>
      </c>
      <c r="P28" s="58">
        <v>0</v>
      </c>
      <c r="Q28" s="58">
        <v>0</v>
      </c>
      <c r="R28" s="316">
        <f t="shared" si="0"/>
        <v>0</v>
      </c>
      <c r="S28" s="58">
        <v>0</v>
      </c>
    </row>
    <row r="29" spans="1:19" x14ac:dyDescent="0.35">
      <c r="A29" t="s">
        <v>34</v>
      </c>
      <c r="B29" s="58"/>
      <c r="C29" s="58"/>
      <c r="D29" s="58"/>
      <c r="E29" s="316">
        <v>0</v>
      </c>
      <c r="F29" s="58">
        <v>0</v>
      </c>
      <c r="G29" s="58">
        <v>0</v>
      </c>
      <c r="H29" s="58">
        <v>0</v>
      </c>
      <c r="I29" s="316">
        <v>0</v>
      </c>
      <c r="J29" s="58">
        <v>3000</v>
      </c>
      <c r="K29" s="58">
        <v>0</v>
      </c>
      <c r="L29" s="58">
        <v>0</v>
      </c>
      <c r="M29" s="58">
        <v>3000</v>
      </c>
      <c r="N29" s="316">
        <v>1</v>
      </c>
      <c r="O29" s="58">
        <v>9000</v>
      </c>
      <c r="P29" s="58">
        <v>0</v>
      </c>
      <c r="Q29" s="58">
        <v>9000</v>
      </c>
      <c r="R29" s="316">
        <f t="shared" si="0"/>
        <v>3</v>
      </c>
      <c r="S29" s="58">
        <v>9361.2217274457107</v>
      </c>
    </row>
    <row r="30" spans="1:19" x14ac:dyDescent="0.35">
      <c r="A30" t="s">
        <v>35</v>
      </c>
      <c r="B30" s="58"/>
      <c r="C30" s="58"/>
      <c r="D30" s="58"/>
      <c r="E30" s="316">
        <v>0</v>
      </c>
      <c r="F30" s="58">
        <v>6000</v>
      </c>
      <c r="G30" s="58">
        <v>0</v>
      </c>
      <c r="H30" s="58">
        <v>6000</v>
      </c>
      <c r="I30" s="316">
        <v>2</v>
      </c>
      <c r="J30" s="58">
        <v>12000</v>
      </c>
      <c r="K30" s="58">
        <v>6000</v>
      </c>
      <c r="L30" s="58">
        <v>0</v>
      </c>
      <c r="M30" s="58">
        <v>18000</v>
      </c>
      <c r="N30" s="316">
        <v>6</v>
      </c>
      <c r="O30" s="58">
        <v>9000</v>
      </c>
      <c r="P30" s="58">
        <v>15750</v>
      </c>
      <c r="Q30" s="58">
        <v>24750</v>
      </c>
      <c r="R30" s="316">
        <f t="shared" si="0"/>
        <v>8.25</v>
      </c>
      <c r="S30" s="58">
        <v>25743.359750475705</v>
      </c>
    </row>
    <row r="31" spans="1:19" x14ac:dyDescent="0.35">
      <c r="A31" t="s">
        <v>36</v>
      </c>
      <c r="B31" s="58"/>
      <c r="C31" s="58"/>
      <c r="D31" s="58"/>
      <c r="E31" s="316">
        <v>0</v>
      </c>
      <c r="F31" s="58">
        <v>3000</v>
      </c>
      <c r="G31" s="58">
        <v>0</v>
      </c>
      <c r="H31" s="58">
        <v>3000</v>
      </c>
      <c r="I31" s="316">
        <v>1</v>
      </c>
      <c r="J31" s="58">
        <v>0</v>
      </c>
      <c r="K31" s="58">
        <v>3000</v>
      </c>
      <c r="L31" s="58">
        <v>0</v>
      </c>
      <c r="M31" s="58">
        <v>3000</v>
      </c>
      <c r="N31" s="316">
        <v>1</v>
      </c>
      <c r="O31" s="58">
        <v>0</v>
      </c>
      <c r="P31" s="58">
        <v>3000</v>
      </c>
      <c r="Q31" s="58">
        <v>3000</v>
      </c>
      <c r="R31" s="316">
        <f t="shared" si="0"/>
        <v>1</v>
      </c>
      <c r="S31" s="58">
        <v>3120.4072424819037</v>
      </c>
    </row>
    <row r="32" spans="1:19" x14ac:dyDescent="0.35">
      <c r="A32" t="s">
        <v>37</v>
      </c>
      <c r="B32" s="58"/>
      <c r="C32" s="58"/>
      <c r="D32" s="58"/>
      <c r="E32" s="316">
        <v>0</v>
      </c>
      <c r="F32" s="58">
        <v>0</v>
      </c>
      <c r="G32" s="58">
        <v>0</v>
      </c>
      <c r="H32" s="58">
        <v>0</v>
      </c>
      <c r="I32" s="316">
        <v>0</v>
      </c>
      <c r="J32" s="58">
        <v>0</v>
      </c>
      <c r="K32" s="58">
        <v>0</v>
      </c>
      <c r="L32" s="58">
        <v>0</v>
      </c>
      <c r="M32" s="58">
        <v>0</v>
      </c>
      <c r="N32" s="316">
        <v>0</v>
      </c>
      <c r="O32" s="58">
        <v>0</v>
      </c>
      <c r="P32" s="58">
        <v>0</v>
      </c>
      <c r="Q32" s="58">
        <v>0</v>
      </c>
      <c r="R32" s="316">
        <f t="shared" si="0"/>
        <v>0</v>
      </c>
      <c r="S32" s="58">
        <v>0</v>
      </c>
    </row>
    <row r="34" spans="1:20" x14ac:dyDescent="0.35">
      <c r="A34" t="s">
        <v>39</v>
      </c>
      <c r="B34" s="58"/>
      <c r="C34" s="58"/>
      <c r="D34" s="58"/>
      <c r="E34" s="316">
        <v>0</v>
      </c>
      <c r="F34" s="58">
        <v>0</v>
      </c>
      <c r="G34" s="58">
        <v>0</v>
      </c>
      <c r="H34" s="58">
        <v>0</v>
      </c>
      <c r="I34" s="316">
        <v>0</v>
      </c>
      <c r="J34" s="58">
        <v>0</v>
      </c>
      <c r="K34" s="58">
        <v>0</v>
      </c>
      <c r="L34" s="58">
        <v>0</v>
      </c>
      <c r="M34" s="58">
        <v>0</v>
      </c>
      <c r="N34" s="316">
        <v>0</v>
      </c>
      <c r="O34" s="58">
        <v>3000</v>
      </c>
      <c r="P34" s="58">
        <v>0</v>
      </c>
      <c r="Q34" s="58">
        <v>3000</v>
      </c>
      <c r="R34" s="316">
        <f t="shared" si="0"/>
        <v>1</v>
      </c>
      <c r="S34" s="58">
        <v>3120.4072424819037</v>
      </c>
    </row>
    <row r="35" spans="1:20" x14ac:dyDescent="0.35">
      <c r="A35" t="s">
        <v>40</v>
      </c>
      <c r="B35" s="58"/>
      <c r="C35" s="58"/>
      <c r="D35" s="58"/>
      <c r="E35" s="316">
        <v>0</v>
      </c>
      <c r="F35" s="58">
        <v>0</v>
      </c>
      <c r="G35" s="58">
        <v>0</v>
      </c>
      <c r="H35" s="58">
        <v>0</v>
      </c>
      <c r="I35" s="316">
        <v>0</v>
      </c>
      <c r="J35" s="58">
        <v>0</v>
      </c>
      <c r="K35" s="58">
        <v>0</v>
      </c>
      <c r="L35" s="58">
        <v>0</v>
      </c>
      <c r="M35" s="58">
        <v>0</v>
      </c>
      <c r="N35" s="316">
        <v>0</v>
      </c>
      <c r="O35" s="58">
        <v>0</v>
      </c>
      <c r="P35" s="58">
        <v>0</v>
      </c>
      <c r="Q35" s="58">
        <v>0</v>
      </c>
      <c r="R35" s="316">
        <f t="shared" si="0"/>
        <v>0</v>
      </c>
      <c r="S35" s="58">
        <v>0</v>
      </c>
    </row>
    <row r="36" spans="1:20" x14ac:dyDescent="0.35">
      <c r="A36" t="s">
        <v>41</v>
      </c>
      <c r="B36" s="58"/>
      <c r="C36" s="58"/>
      <c r="D36" s="58"/>
      <c r="E36" s="316">
        <v>0</v>
      </c>
      <c r="F36" s="58">
        <v>6000</v>
      </c>
      <c r="G36" s="58">
        <v>0</v>
      </c>
      <c r="H36" s="58">
        <v>6000</v>
      </c>
      <c r="I36" s="316">
        <v>2</v>
      </c>
      <c r="J36" s="58">
        <v>0</v>
      </c>
      <c r="K36" s="58">
        <v>5750</v>
      </c>
      <c r="L36" s="58">
        <v>0</v>
      </c>
      <c r="M36" s="58">
        <v>5750</v>
      </c>
      <c r="N36" s="316">
        <v>1.9166666666666667</v>
      </c>
      <c r="O36" s="58">
        <v>6000</v>
      </c>
      <c r="P36" s="58">
        <v>6000</v>
      </c>
      <c r="Q36" s="58">
        <v>12000</v>
      </c>
      <c r="R36" s="316">
        <f t="shared" si="0"/>
        <v>4</v>
      </c>
      <c r="S36" s="58">
        <v>12481.628969927615</v>
      </c>
    </row>
    <row r="37" spans="1:20" x14ac:dyDescent="0.35">
      <c r="A37" t="s">
        <v>42</v>
      </c>
      <c r="B37" s="58"/>
      <c r="C37" s="58"/>
      <c r="D37" s="58"/>
      <c r="E37" s="316">
        <v>0</v>
      </c>
      <c r="F37" s="58">
        <v>0</v>
      </c>
      <c r="G37" s="58">
        <v>0</v>
      </c>
      <c r="H37" s="58">
        <v>0</v>
      </c>
      <c r="I37" s="316">
        <v>0</v>
      </c>
      <c r="J37" s="58">
        <v>21000</v>
      </c>
      <c r="K37" s="58">
        <v>0</v>
      </c>
      <c r="L37" s="58">
        <v>0</v>
      </c>
      <c r="M37" s="58">
        <v>21000</v>
      </c>
      <c r="N37" s="316">
        <v>7</v>
      </c>
      <c r="O37" s="58">
        <v>0</v>
      </c>
      <c r="P37" s="58">
        <v>13750</v>
      </c>
      <c r="Q37" s="58">
        <v>13750</v>
      </c>
      <c r="R37" s="316">
        <f t="shared" si="0"/>
        <v>4.583333333333333</v>
      </c>
      <c r="S37" s="58">
        <v>14301.866528042059</v>
      </c>
    </row>
    <row r="38" spans="1:20" x14ac:dyDescent="0.35">
      <c r="A38" t="s">
        <v>43</v>
      </c>
      <c r="B38" s="58"/>
      <c r="C38" s="58"/>
      <c r="D38" s="58"/>
      <c r="E38" s="316">
        <v>0</v>
      </c>
      <c r="F38" s="58">
        <v>3000</v>
      </c>
      <c r="G38" s="58">
        <v>0</v>
      </c>
      <c r="H38" s="58">
        <v>3000</v>
      </c>
      <c r="I38" s="316">
        <v>1</v>
      </c>
      <c r="J38" s="58">
        <v>6000</v>
      </c>
      <c r="K38" s="58">
        <v>5000</v>
      </c>
      <c r="L38" s="58">
        <v>3000</v>
      </c>
      <c r="M38" s="58">
        <v>14000</v>
      </c>
      <c r="N38" s="316">
        <v>4.666666666666667</v>
      </c>
      <c r="O38" s="58">
        <v>3000</v>
      </c>
      <c r="P38" s="58">
        <v>5750</v>
      </c>
      <c r="Q38" s="58">
        <v>8750</v>
      </c>
      <c r="R38" s="316">
        <f t="shared" si="0"/>
        <v>2.9166666666666665</v>
      </c>
      <c r="S38" s="58">
        <v>9101.1877905722195</v>
      </c>
    </row>
    <row r="39" spans="1:20" x14ac:dyDescent="0.35">
      <c r="A39" t="s">
        <v>44</v>
      </c>
      <c r="B39" s="58">
        <v>12000</v>
      </c>
      <c r="C39" s="58">
        <v>1000</v>
      </c>
      <c r="D39" s="58">
        <v>13000</v>
      </c>
      <c r="E39" s="316">
        <v>4.333333333333333</v>
      </c>
      <c r="F39" s="58">
        <v>33000</v>
      </c>
      <c r="G39" s="58">
        <v>4500</v>
      </c>
      <c r="H39" s="58">
        <v>37500</v>
      </c>
      <c r="I39" s="316">
        <v>12.5</v>
      </c>
      <c r="J39" s="58">
        <v>48000</v>
      </c>
      <c r="K39" s="58">
        <v>34500</v>
      </c>
      <c r="L39" s="58">
        <v>0</v>
      </c>
      <c r="M39" s="58">
        <v>82500</v>
      </c>
      <c r="N39" s="316">
        <v>27.5</v>
      </c>
      <c r="O39" s="58">
        <v>33000</v>
      </c>
      <c r="P39" s="58">
        <v>73500</v>
      </c>
      <c r="Q39" s="58">
        <v>106500</v>
      </c>
      <c r="R39" s="316">
        <f t="shared" si="0"/>
        <v>35.5</v>
      </c>
      <c r="S39" s="58">
        <v>110774.45710810757</v>
      </c>
    </row>
    <row r="40" spans="1:20" x14ac:dyDescent="0.35">
      <c r="A40" t="s">
        <v>45</v>
      </c>
      <c r="B40" s="58"/>
      <c r="C40" s="58"/>
      <c r="D40" s="58"/>
      <c r="E40" s="316">
        <v>0</v>
      </c>
      <c r="F40" s="58">
        <v>0</v>
      </c>
      <c r="G40" s="58">
        <v>0</v>
      </c>
      <c r="H40" s="58">
        <v>0</v>
      </c>
      <c r="I40" s="316">
        <v>0</v>
      </c>
      <c r="J40" s="58">
        <v>18000</v>
      </c>
      <c r="K40" s="58">
        <v>0</v>
      </c>
      <c r="L40" s="58">
        <v>0</v>
      </c>
      <c r="M40" s="58">
        <v>18000</v>
      </c>
      <c r="N40" s="316">
        <v>6</v>
      </c>
      <c r="O40" s="58">
        <v>21000</v>
      </c>
      <c r="P40" s="58">
        <v>14500</v>
      </c>
      <c r="Q40" s="58">
        <v>35500</v>
      </c>
      <c r="R40" s="316">
        <f t="shared" si="0"/>
        <v>11.833333333333334</v>
      </c>
      <c r="S40" s="58">
        <v>36924.819036035864</v>
      </c>
    </row>
    <row r="41" spans="1:20" x14ac:dyDescent="0.35">
      <c r="A41" t="s">
        <v>46</v>
      </c>
      <c r="B41" s="58">
        <v>3000</v>
      </c>
      <c r="C41" s="58">
        <v>0</v>
      </c>
      <c r="D41" s="58">
        <v>3000</v>
      </c>
      <c r="E41" s="316">
        <v>1</v>
      </c>
      <c r="F41" s="58">
        <v>3000</v>
      </c>
      <c r="G41" s="58">
        <v>3000</v>
      </c>
      <c r="H41" s="58">
        <v>6000</v>
      </c>
      <c r="I41" s="316">
        <v>2</v>
      </c>
      <c r="J41" s="58">
        <v>6000</v>
      </c>
      <c r="K41" s="58">
        <v>6000</v>
      </c>
      <c r="L41" s="58">
        <v>0</v>
      </c>
      <c r="M41" s="58">
        <v>12000</v>
      </c>
      <c r="N41" s="316">
        <v>4</v>
      </c>
      <c r="O41" s="58">
        <v>0</v>
      </c>
      <c r="P41" s="58">
        <v>12000</v>
      </c>
      <c r="Q41" s="58">
        <v>12000</v>
      </c>
      <c r="R41" s="316">
        <f t="shared" si="0"/>
        <v>4</v>
      </c>
      <c r="S41" s="58">
        <v>12481.628969927615</v>
      </c>
    </row>
    <row r="42" spans="1:20" x14ac:dyDescent="0.35">
      <c r="A42" t="s">
        <v>47</v>
      </c>
      <c r="B42" s="58"/>
      <c r="C42" s="58"/>
      <c r="D42" s="58"/>
      <c r="E42" s="316">
        <v>0</v>
      </c>
      <c r="F42" s="58">
        <v>3000</v>
      </c>
      <c r="G42" s="58">
        <v>0</v>
      </c>
      <c r="H42" s="58">
        <v>3000</v>
      </c>
      <c r="I42" s="316">
        <v>1</v>
      </c>
      <c r="J42" s="58">
        <v>0</v>
      </c>
      <c r="K42" s="58">
        <v>3000</v>
      </c>
      <c r="L42" s="58">
        <v>0</v>
      </c>
      <c r="M42" s="58">
        <v>3000</v>
      </c>
      <c r="N42" s="316">
        <v>1</v>
      </c>
      <c r="O42" s="58">
        <v>6000</v>
      </c>
      <c r="P42" s="58">
        <v>3000</v>
      </c>
      <c r="Q42" s="58">
        <v>9000</v>
      </c>
      <c r="R42" s="316">
        <f t="shared" si="0"/>
        <v>3</v>
      </c>
      <c r="S42" s="58">
        <v>9361.2217274457107</v>
      </c>
    </row>
    <row r="43" spans="1:20" x14ac:dyDescent="0.35">
      <c r="A43" t="s">
        <v>48</v>
      </c>
      <c r="B43" s="58"/>
      <c r="C43" s="58"/>
      <c r="D43" s="58"/>
      <c r="E43" s="316">
        <v>0</v>
      </c>
      <c r="F43" s="58">
        <v>0</v>
      </c>
      <c r="G43" s="58">
        <v>0</v>
      </c>
      <c r="H43" s="58">
        <v>0</v>
      </c>
      <c r="I43" s="316">
        <v>0</v>
      </c>
      <c r="J43" s="58">
        <v>3000</v>
      </c>
      <c r="K43" s="58">
        <v>0</v>
      </c>
      <c r="L43" s="58">
        <v>0</v>
      </c>
      <c r="M43" s="58">
        <v>3000</v>
      </c>
      <c r="N43" s="316">
        <v>1</v>
      </c>
      <c r="O43" s="58">
        <v>12000</v>
      </c>
      <c r="P43" s="58">
        <v>0</v>
      </c>
      <c r="Q43" s="58">
        <v>12000</v>
      </c>
      <c r="R43" s="316">
        <f t="shared" si="0"/>
        <v>4</v>
      </c>
      <c r="S43" s="58">
        <v>12481.628969927615</v>
      </c>
    </row>
    <row r="44" spans="1:20" x14ac:dyDescent="0.35">
      <c r="A44" t="s">
        <v>49</v>
      </c>
      <c r="B44" s="58"/>
      <c r="C44" s="58"/>
      <c r="D44" s="58"/>
      <c r="E44" s="316">
        <v>0</v>
      </c>
      <c r="F44" s="58">
        <v>3000</v>
      </c>
      <c r="G44" s="58">
        <v>0</v>
      </c>
      <c r="H44" s="58">
        <v>3000</v>
      </c>
      <c r="I44" s="316">
        <v>1</v>
      </c>
      <c r="J44" s="58">
        <v>9000</v>
      </c>
      <c r="K44" s="58">
        <v>3000</v>
      </c>
      <c r="L44" s="58">
        <v>0</v>
      </c>
      <c r="M44" s="58">
        <v>12000</v>
      </c>
      <c r="N44" s="316">
        <v>4</v>
      </c>
      <c r="O44" s="58">
        <v>6000</v>
      </c>
      <c r="P44" s="58">
        <v>12000</v>
      </c>
      <c r="Q44" s="58">
        <v>18000</v>
      </c>
      <c r="R44" s="316">
        <f t="shared" si="0"/>
        <v>6</v>
      </c>
      <c r="S44" s="58">
        <v>18722.443454891421</v>
      </c>
    </row>
    <row r="45" spans="1:20" x14ac:dyDescent="0.35">
      <c r="A45" t="s">
        <v>50</v>
      </c>
      <c r="B45" s="58"/>
      <c r="C45" s="58"/>
      <c r="D45" s="58"/>
      <c r="E45" s="316">
        <v>0</v>
      </c>
      <c r="F45" s="58">
        <v>9000</v>
      </c>
      <c r="G45" s="58">
        <v>0</v>
      </c>
      <c r="H45" s="58">
        <v>9000</v>
      </c>
      <c r="I45" s="316">
        <v>3</v>
      </c>
      <c r="J45" s="58">
        <v>9000</v>
      </c>
      <c r="K45" s="58">
        <v>3500</v>
      </c>
      <c r="L45" s="58">
        <v>0</v>
      </c>
      <c r="M45" s="58">
        <v>12500</v>
      </c>
      <c r="N45" s="316">
        <v>4.166666666666667</v>
      </c>
      <c r="O45" s="58">
        <v>6000</v>
      </c>
      <c r="P45" s="58">
        <v>10750</v>
      </c>
      <c r="Q45" s="58">
        <v>16750</v>
      </c>
      <c r="R45" s="316">
        <f t="shared" si="0"/>
        <v>5.583333333333333</v>
      </c>
      <c r="S45" s="58">
        <v>17422.273770523963</v>
      </c>
    </row>
    <row r="46" spans="1:20" x14ac:dyDescent="0.35">
      <c r="A46" t="s">
        <v>51</v>
      </c>
      <c r="B46" s="58"/>
      <c r="C46" s="58"/>
      <c r="D46" s="58"/>
      <c r="E46" s="316">
        <v>0</v>
      </c>
      <c r="F46" s="58">
        <v>0</v>
      </c>
      <c r="G46" s="58">
        <v>0</v>
      </c>
      <c r="H46" s="58">
        <v>0</v>
      </c>
      <c r="I46" s="316">
        <v>0</v>
      </c>
      <c r="J46" s="58">
        <v>0</v>
      </c>
      <c r="K46" s="58">
        <v>0</v>
      </c>
      <c r="L46" s="58">
        <v>0</v>
      </c>
      <c r="M46" s="58">
        <v>0</v>
      </c>
      <c r="N46" s="316">
        <v>0</v>
      </c>
      <c r="O46" s="58">
        <v>0</v>
      </c>
      <c r="P46" s="58">
        <v>0</v>
      </c>
      <c r="Q46" s="58">
        <v>0</v>
      </c>
      <c r="R46" s="316">
        <f t="shared" si="0"/>
        <v>0</v>
      </c>
      <c r="S46" s="58">
        <v>0</v>
      </c>
    </row>
    <row r="47" spans="1:20" x14ac:dyDescent="0.35">
      <c r="A47" t="s">
        <v>52</v>
      </c>
      <c r="B47" s="58"/>
      <c r="C47" s="58"/>
      <c r="D47" s="58"/>
      <c r="E47" s="316">
        <v>0</v>
      </c>
      <c r="F47" s="58">
        <v>0</v>
      </c>
      <c r="G47" s="58">
        <v>0</v>
      </c>
      <c r="H47" s="58">
        <v>0</v>
      </c>
      <c r="I47" s="316">
        <v>0</v>
      </c>
      <c r="J47" s="58">
        <v>0</v>
      </c>
      <c r="K47" s="58">
        <v>0</v>
      </c>
      <c r="L47" s="58">
        <v>0</v>
      </c>
      <c r="M47" s="58">
        <v>0</v>
      </c>
      <c r="N47" s="316">
        <v>0</v>
      </c>
      <c r="O47" s="58">
        <v>3000</v>
      </c>
      <c r="P47" s="58">
        <v>0</v>
      </c>
      <c r="Q47" s="58">
        <v>3000</v>
      </c>
      <c r="R47" s="316">
        <f t="shared" si="0"/>
        <v>1</v>
      </c>
      <c r="S47" s="58">
        <v>3120.4072424819037</v>
      </c>
    </row>
    <row r="48" spans="1:20" x14ac:dyDescent="0.35">
      <c r="A48" t="s">
        <v>53</v>
      </c>
      <c r="B48" s="58"/>
      <c r="C48" s="58"/>
      <c r="D48" s="58"/>
      <c r="E48" s="316">
        <v>0</v>
      </c>
      <c r="F48" s="58">
        <v>3000</v>
      </c>
      <c r="G48" s="58">
        <v>0</v>
      </c>
      <c r="H48" s="58">
        <v>3000</v>
      </c>
      <c r="I48" s="316">
        <v>1</v>
      </c>
      <c r="J48" s="58">
        <v>12000</v>
      </c>
      <c r="K48" s="58">
        <v>3000</v>
      </c>
      <c r="L48" s="58">
        <v>0</v>
      </c>
      <c r="M48" s="58">
        <v>15000</v>
      </c>
      <c r="N48" s="316">
        <v>5</v>
      </c>
      <c r="O48" s="58">
        <v>9000</v>
      </c>
      <c r="P48" s="58">
        <v>12000</v>
      </c>
      <c r="Q48" s="58">
        <v>21000</v>
      </c>
      <c r="R48" s="316">
        <f t="shared" si="0"/>
        <v>7</v>
      </c>
      <c r="S48" s="58">
        <v>21842.850697373327</v>
      </c>
      <c r="T48" s="1" t="s">
        <v>1079</v>
      </c>
    </row>
    <row r="49" spans="1:19" x14ac:dyDescent="0.35">
      <c r="A49" t="s">
        <v>54</v>
      </c>
      <c r="B49" s="58"/>
      <c r="C49" s="58"/>
      <c r="D49" s="58"/>
      <c r="E49" s="316">
        <v>0</v>
      </c>
      <c r="F49" s="58">
        <v>3000</v>
      </c>
      <c r="G49" s="58">
        <v>0</v>
      </c>
      <c r="H49" s="58">
        <v>3000</v>
      </c>
      <c r="I49" s="316">
        <v>1</v>
      </c>
      <c r="J49" s="58">
        <v>3000</v>
      </c>
      <c r="K49" s="58">
        <v>3000</v>
      </c>
      <c r="L49" s="58">
        <v>0</v>
      </c>
      <c r="M49" s="58">
        <v>6000</v>
      </c>
      <c r="N49" s="316">
        <v>2</v>
      </c>
      <c r="O49" s="58">
        <v>3000</v>
      </c>
      <c r="P49" s="58">
        <v>6000</v>
      </c>
      <c r="Q49" s="58">
        <v>9000</v>
      </c>
      <c r="R49" s="316">
        <f t="shared" si="0"/>
        <v>3</v>
      </c>
      <c r="S49" s="58">
        <v>9361.2217274457107</v>
      </c>
    </row>
    <row r="50" spans="1:19" x14ac:dyDescent="0.35">
      <c r="A50" t="s">
        <v>55</v>
      </c>
      <c r="B50" s="58"/>
      <c r="C50" s="58"/>
      <c r="D50" s="58"/>
      <c r="E50" s="316">
        <v>0</v>
      </c>
      <c r="F50" s="58">
        <v>6000</v>
      </c>
      <c r="G50" s="58">
        <v>0</v>
      </c>
      <c r="H50" s="58">
        <v>6000</v>
      </c>
      <c r="I50" s="316">
        <v>2</v>
      </c>
      <c r="J50" s="58">
        <v>9000</v>
      </c>
      <c r="K50" s="58">
        <v>6000</v>
      </c>
      <c r="L50" s="58">
        <v>0</v>
      </c>
      <c r="M50" s="58">
        <v>15000</v>
      </c>
      <c r="N50" s="316">
        <v>5</v>
      </c>
      <c r="O50" s="58">
        <v>9000</v>
      </c>
      <c r="P50" s="58">
        <v>15000</v>
      </c>
      <c r="Q50" s="58">
        <v>24000</v>
      </c>
      <c r="R50" s="316">
        <f t="shared" si="0"/>
        <v>8</v>
      </c>
      <c r="S50" s="58">
        <v>24963.25793985523</v>
      </c>
    </row>
    <row r="51" spans="1:19" x14ac:dyDescent="0.35">
      <c r="A51" t="s">
        <v>56</v>
      </c>
      <c r="B51" s="58"/>
      <c r="C51" s="58"/>
      <c r="D51" s="58"/>
      <c r="E51" s="316">
        <v>0</v>
      </c>
      <c r="F51" s="58">
        <v>0</v>
      </c>
      <c r="G51" s="58">
        <v>0</v>
      </c>
      <c r="H51" s="58">
        <v>0</v>
      </c>
      <c r="I51" s="316">
        <v>0</v>
      </c>
      <c r="J51" s="58">
        <v>6000</v>
      </c>
      <c r="K51" s="58">
        <v>0</v>
      </c>
      <c r="L51" s="58">
        <v>0</v>
      </c>
      <c r="M51" s="58">
        <v>6000</v>
      </c>
      <c r="N51" s="316">
        <v>2</v>
      </c>
      <c r="O51" s="58">
        <v>12000</v>
      </c>
      <c r="P51" s="58">
        <v>6000</v>
      </c>
      <c r="Q51" s="58">
        <v>18000</v>
      </c>
      <c r="R51" s="316">
        <f t="shared" si="0"/>
        <v>6</v>
      </c>
      <c r="S51" s="58">
        <v>18722.443454891421</v>
      </c>
    </row>
    <row r="52" spans="1:19" x14ac:dyDescent="0.35">
      <c r="A52" t="s">
        <v>57</v>
      </c>
      <c r="B52" s="58"/>
      <c r="C52" s="58"/>
      <c r="D52" s="58"/>
      <c r="E52" s="316">
        <v>0</v>
      </c>
      <c r="F52" s="58">
        <v>0</v>
      </c>
      <c r="G52" s="58">
        <v>0</v>
      </c>
      <c r="H52" s="58">
        <v>0</v>
      </c>
      <c r="I52" s="316">
        <v>0</v>
      </c>
      <c r="J52" s="58">
        <v>18000</v>
      </c>
      <c r="K52" s="58">
        <v>0</v>
      </c>
      <c r="L52" s="58">
        <v>0</v>
      </c>
      <c r="M52" s="58">
        <v>18000</v>
      </c>
      <c r="N52" s="316">
        <v>6</v>
      </c>
      <c r="O52" s="58">
        <v>9000</v>
      </c>
      <c r="P52" s="58">
        <v>12000</v>
      </c>
      <c r="Q52" s="58">
        <v>21000</v>
      </c>
      <c r="R52" s="316">
        <f t="shared" si="0"/>
        <v>7</v>
      </c>
      <c r="S52" s="58">
        <v>21842.850697373327</v>
      </c>
    </row>
    <row r="54" spans="1:19" x14ac:dyDescent="0.35">
      <c r="A54" t="s">
        <v>59</v>
      </c>
      <c r="B54" s="58"/>
      <c r="C54" s="58"/>
      <c r="D54" s="58"/>
      <c r="E54" s="316">
        <v>0</v>
      </c>
      <c r="F54" s="58">
        <v>0</v>
      </c>
      <c r="G54" s="58">
        <v>0</v>
      </c>
      <c r="H54" s="58">
        <v>0</v>
      </c>
      <c r="I54" s="316">
        <v>0</v>
      </c>
      <c r="J54" s="58">
        <v>24000</v>
      </c>
      <c r="K54" s="58">
        <v>0</v>
      </c>
      <c r="L54" s="58">
        <v>0</v>
      </c>
      <c r="M54" s="58">
        <v>24000</v>
      </c>
      <c r="N54" s="316">
        <v>8</v>
      </c>
      <c r="O54" s="58">
        <v>18000</v>
      </c>
      <c r="P54" s="58">
        <v>18500</v>
      </c>
      <c r="Q54" s="58">
        <v>36500</v>
      </c>
      <c r="R54" s="316">
        <f t="shared" si="0"/>
        <v>12.166666666666666</v>
      </c>
      <c r="S54" s="58">
        <v>37964.954783529829</v>
      </c>
    </row>
    <row r="55" spans="1:19" x14ac:dyDescent="0.35">
      <c r="A55" t="s">
        <v>60</v>
      </c>
      <c r="B55" s="58">
        <v>84000</v>
      </c>
      <c r="C55" s="58">
        <v>33750</v>
      </c>
      <c r="D55" s="58">
        <v>117750</v>
      </c>
      <c r="E55" s="316">
        <v>39.25</v>
      </c>
      <c r="F55" s="58">
        <v>42000</v>
      </c>
      <c r="G55" s="58">
        <v>74500</v>
      </c>
      <c r="H55" s="58">
        <v>116500</v>
      </c>
      <c r="I55" s="316">
        <v>38.833333333333336</v>
      </c>
      <c r="J55" s="58">
        <v>42000</v>
      </c>
      <c r="K55" s="58">
        <v>108500</v>
      </c>
      <c r="L55" s="58">
        <v>15000</v>
      </c>
      <c r="M55" s="58">
        <v>165500</v>
      </c>
      <c r="N55" s="316">
        <v>55.166666666666664</v>
      </c>
      <c r="O55" s="58">
        <v>48000</v>
      </c>
      <c r="P55" s="58">
        <v>153500</v>
      </c>
      <c r="Q55" s="58">
        <v>201500</v>
      </c>
      <c r="R55" s="316">
        <f t="shared" si="0"/>
        <v>67.166666666666671</v>
      </c>
      <c r="S55" s="58">
        <v>209587.35312003453</v>
      </c>
    </row>
    <row r="56" spans="1:19" x14ac:dyDescent="0.35">
      <c r="A56" t="s">
        <v>61</v>
      </c>
      <c r="B56" s="58"/>
      <c r="C56" s="58"/>
      <c r="D56" s="58"/>
      <c r="E56" s="316">
        <v>0</v>
      </c>
      <c r="F56" s="58">
        <v>0</v>
      </c>
      <c r="G56" s="58">
        <v>0</v>
      </c>
      <c r="H56" s="58">
        <v>0</v>
      </c>
      <c r="I56" s="316">
        <v>0</v>
      </c>
      <c r="J56" s="58">
        <v>0</v>
      </c>
      <c r="K56" s="58">
        <v>0</v>
      </c>
      <c r="L56" s="58">
        <v>0</v>
      </c>
      <c r="M56" s="58">
        <v>0</v>
      </c>
      <c r="N56" s="316">
        <v>0</v>
      </c>
      <c r="O56" s="58">
        <v>3000</v>
      </c>
      <c r="P56" s="58">
        <v>0</v>
      </c>
      <c r="Q56" s="58">
        <v>3000</v>
      </c>
      <c r="R56" s="316">
        <f t="shared" si="0"/>
        <v>1</v>
      </c>
      <c r="S56" s="58">
        <v>3120.4072424819037</v>
      </c>
    </row>
    <row r="57" spans="1:19" x14ac:dyDescent="0.35">
      <c r="A57" t="s">
        <v>62</v>
      </c>
      <c r="B57" s="58">
        <v>6000</v>
      </c>
      <c r="C57" s="58">
        <v>1500</v>
      </c>
      <c r="D57" s="58">
        <v>7500</v>
      </c>
      <c r="E57" s="316">
        <v>2.5</v>
      </c>
      <c r="F57" s="58">
        <v>0</v>
      </c>
      <c r="G57" s="58">
        <v>3000</v>
      </c>
      <c r="H57" s="58">
        <v>3000</v>
      </c>
      <c r="I57" s="316">
        <v>1</v>
      </c>
      <c r="J57" s="58">
        <v>0</v>
      </c>
      <c r="K57" s="58">
        <v>3000</v>
      </c>
      <c r="L57" s="58">
        <v>0</v>
      </c>
      <c r="M57" s="58">
        <v>3000</v>
      </c>
      <c r="N57" s="316">
        <v>1</v>
      </c>
      <c r="O57" s="58">
        <v>6000</v>
      </c>
      <c r="P57" s="58">
        <v>3000</v>
      </c>
      <c r="Q57" s="58">
        <v>9000</v>
      </c>
      <c r="R57" s="316">
        <f t="shared" si="0"/>
        <v>3</v>
      </c>
      <c r="S57" s="58">
        <v>9361.2217274457107</v>
      </c>
    </row>
    <row r="58" spans="1:19" x14ac:dyDescent="0.35">
      <c r="A58" t="s">
        <v>63</v>
      </c>
      <c r="B58" s="58"/>
      <c r="C58" s="58"/>
      <c r="D58" s="58"/>
      <c r="E58" s="316">
        <v>0</v>
      </c>
      <c r="F58" s="58">
        <v>3000</v>
      </c>
      <c r="G58" s="58">
        <v>0</v>
      </c>
      <c r="H58" s="58">
        <v>3000</v>
      </c>
      <c r="I58" s="316">
        <v>1</v>
      </c>
      <c r="J58" s="58">
        <v>0</v>
      </c>
      <c r="K58" s="58">
        <v>2750</v>
      </c>
      <c r="L58" s="58">
        <v>0</v>
      </c>
      <c r="M58" s="58">
        <v>2750</v>
      </c>
      <c r="N58" s="316">
        <v>0.91666666666666663</v>
      </c>
      <c r="O58" s="58">
        <v>3000</v>
      </c>
      <c r="P58" s="58">
        <v>0</v>
      </c>
      <c r="Q58" s="58">
        <v>3000</v>
      </c>
      <c r="R58" s="316">
        <f t="shared" si="0"/>
        <v>1</v>
      </c>
      <c r="S58" s="58">
        <v>3120.4072424819037</v>
      </c>
    </row>
    <row r="59" spans="1:19" x14ac:dyDescent="0.35">
      <c r="A59" t="s">
        <v>64</v>
      </c>
      <c r="B59" s="58"/>
      <c r="C59" s="58"/>
      <c r="D59" s="58"/>
      <c r="E59" s="316">
        <v>0</v>
      </c>
      <c r="F59" s="58">
        <v>3000</v>
      </c>
      <c r="G59" s="58">
        <v>0</v>
      </c>
      <c r="H59" s="58">
        <v>3000</v>
      </c>
      <c r="I59" s="316">
        <v>1</v>
      </c>
      <c r="J59" s="58">
        <v>0</v>
      </c>
      <c r="K59" s="58">
        <v>1000</v>
      </c>
      <c r="L59" s="58">
        <v>0</v>
      </c>
      <c r="M59" s="58">
        <v>1000</v>
      </c>
      <c r="N59" s="316">
        <v>0.33333333333333331</v>
      </c>
      <c r="O59" s="58">
        <v>0</v>
      </c>
      <c r="P59" s="58">
        <v>3000</v>
      </c>
      <c r="Q59" s="58">
        <v>3000</v>
      </c>
      <c r="R59" s="316">
        <f t="shared" si="0"/>
        <v>1</v>
      </c>
      <c r="S59" s="58">
        <v>3120.4072424819037</v>
      </c>
    </row>
    <row r="60" spans="1:19" x14ac:dyDescent="0.35">
      <c r="A60" t="s">
        <v>65</v>
      </c>
      <c r="B60" s="58"/>
      <c r="C60" s="58"/>
      <c r="D60" s="58"/>
      <c r="E60" s="316">
        <v>0</v>
      </c>
      <c r="F60" s="58">
        <v>0</v>
      </c>
      <c r="G60" s="58">
        <v>0</v>
      </c>
      <c r="H60" s="58">
        <v>0</v>
      </c>
      <c r="I60" s="316">
        <v>0</v>
      </c>
      <c r="J60" s="58">
        <v>0</v>
      </c>
      <c r="K60" s="58">
        <v>0</v>
      </c>
      <c r="L60" s="58">
        <v>0</v>
      </c>
      <c r="M60" s="58">
        <v>0</v>
      </c>
      <c r="N60" s="316">
        <v>0</v>
      </c>
      <c r="O60" s="58">
        <v>0</v>
      </c>
      <c r="P60" s="58">
        <v>0</v>
      </c>
      <c r="Q60" s="58">
        <v>0</v>
      </c>
      <c r="R60" s="316">
        <f t="shared" si="0"/>
        <v>0</v>
      </c>
      <c r="S60" s="58">
        <v>0</v>
      </c>
    </row>
    <row r="61" spans="1:19" x14ac:dyDescent="0.35">
      <c r="A61" t="s">
        <v>66</v>
      </c>
      <c r="B61" s="58"/>
      <c r="C61" s="58"/>
      <c r="D61" s="58"/>
      <c r="E61" s="316">
        <v>0</v>
      </c>
      <c r="F61" s="58">
        <v>0</v>
      </c>
      <c r="G61" s="58">
        <v>0</v>
      </c>
      <c r="H61" s="58">
        <v>0</v>
      </c>
      <c r="I61" s="316">
        <v>0</v>
      </c>
      <c r="J61" s="58">
        <v>3000</v>
      </c>
      <c r="K61" s="58">
        <v>0</v>
      </c>
      <c r="L61" s="58">
        <v>0</v>
      </c>
      <c r="M61" s="58">
        <v>3000</v>
      </c>
      <c r="N61" s="316">
        <v>1</v>
      </c>
      <c r="O61" s="58">
        <v>0</v>
      </c>
      <c r="P61" s="58">
        <v>3000</v>
      </c>
      <c r="Q61" s="58">
        <v>3000</v>
      </c>
      <c r="R61" s="316">
        <f t="shared" si="0"/>
        <v>1</v>
      </c>
      <c r="S61" s="58">
        <v>3120.4072424819037</v>
      </c>
    </row>
    <row r="62" spans="1:19" x14ac:dyDescent="0.35">
      <c r="A62" t="s">
        <v>67</v>
      </c>
      <c r="B62" s="58">
        <v>3000</v>
      </c>
      <c r="C62" s="58">
        <v>0</v>
      </c>
      <c r="D62" s="58">
        <v>3000</v>
      </c>
      <c r="E62" s="316">
        <v>1</v>
      </c>
      <c r="F62" s="58">
        <v>3000</v>
      </c>
      <c r="G62" s="58">
        <v>1500</v>
      </c>
      <c r="H62" s="58">
        <v>4500</v>
      </c>
      <c r="I62" s="316">
        <v>1.5</v>
      </c>
      <c r="J62" s="58">
        <v>3000</v>
      </c>
      <c r="K62" s="58">
        <v>3000</v>
      </c>
      <c r="L62" s="58">
        <v>0</v>
      </c>
      <c r="M62" s="58">
        <v>6000</v>
      </c>
      <c r="N62" s="316">
        <v>2</v>
      </c>
      <c r="O62" s="58">
        <v>3000</v>
      </c>
      <c r="P62" s="58">
        <v>6000</v>
      </c>
      <c r="Q62" s="58">
        <v>9000</v>
      </c>
      <c r="R62" s="316">
        <f t="shared" si="0"/>
        <v>3</v>
      </c>
      <c r="S62" s="58">
        <v>9361.2217274457107</v>
      </c>
    </row>
    <row r="63" spans="1:19" x14ac:dyDescent="0.35">
      <c r="A63" t="s">
        <v>1060</v>
      </c>
      <c r="B63" s="58"/>
      <c r="C63" s="58"/>
      <c r="D63" s="58"/>
      <c r="E63" s="316">
        <v>0</v>
      </c>
      <c r="F63" s="58">
        <v>12000</v>
      </c>
      <c r="G63" s="58">
        <v>0</v>
      </c>
      <c r="H63" s="58">
        <v>12000</v>
      </c>
      <c r="I63" s="316">
        <v>4</v>
      </c>
      <c r="J63" s="58">
        <v>24000</v>
      </c>
      <c r="K63" s="58">
        <v>12000</v>
      </c>
      <c r="L63" s="58">
        <v>0</v>
      </c>
      <c r="M63" s="58">
        <v>36000</v>
      </c>
      <c r="N63" s="316">
        <v>12</v>
      </c>
      <c r="O63" s="58">
        <v>33000</v>
      </c>
      <c r="P63" s="58">
        <v>32250</v>
      </c>
      <c r="Q63" s="58">
        <v>65250</v>
      </c>
      <c r="R63" s="316">
        <f t="shared" si="0"/>
        <v>21.75</v>
      </c>
      <c r="S63" s="58">
        <v>67868.857523981409</v>
      </c>
    </row>
    <row r="64" spans="1:19" x14ac:dyDescent="0.35">
      <c r="A64" t="s">
        <v>69</v>
      </c>
      <c r="B64" s="58"/>
      <c r="C64" s="58"/>
      <c r="D64" s="58"/>
      <c r="E64" s="316">
        <v>0</v>
      </c>
      <c r="F64" s="58">
        <v>0</v>
      </c>
      <c r="G64" s="58">
        <v>0</v>
      </c>
      <c r="H64" s="58">
        <v>0</v>
      </c>
      <c r="I64" s="316">
        <v>0</v>
      </c>
      <c r="J64" s="58">
        <v>3000</v>
      </c>
      <c r="K64" s="58">
        <v>250</v>
      </c>
      <c r="L64" s="58">
        <v>3000</v>
      </c>
      <c r="M64" s="58">
        <v>6250</v>
      </c>
      <c r="N64" s="316">
        <v>2.0833333333333335</v>
      </c>
      <c r="O64" s="58">
        <v>15000</v>
      </c>
      <c r="P64" s="58">
        <v>3250</v>
      </c>
      <c r="Q64" s="58">
        <v>18250</v>
      </c>
      <c r="R64" s="316">
        <f t="shared" si="0"/>
        <v>6.083333333333333</v>
      </c>
      <c r="S64" s="58">
        <v>18982.477391764915</v>
      </c>
    </row>
    <row r="65" spans="1:19" x14ac:dyDescent="0.35">
      <c r="A65" t="s">
        <v>70</v>
      </c>
      <c r="B65" s="58"/>
      <c r="C65" s="58"/>
      <c r="D65" s="58"/>
      <c r="E65" s="316">
        <v>0</v>
      </c>
      <c r="F65" s="58">
        <v>0</v>
      </c>
      <c r="G65" s="58">
        <v>0</v>
      </c>
      <c r="H65" s="58">
        <v>0</v>
      </c>
      <c r="I65" s="316">
        <v>0</v>
      </c>
      <c r="J65" s="58">
        <v>15000</v>
      </c>
      <c r="K65" s="58">
        <v>0</v>
      </c>
      <c r="L65" s="58">
        <v>0</v>
      </c>
      <c r="M65" s="58">
        <v>15000</v>
      </c>
      <c r="N65" s="316">
        <v>5</v>
      </c>
      <c r="O65" s="58">
        <v>15000</v>
      </c>
      <c r="P65" s="58">
        <v>15000</v>
      </c>
      <c r="Q65" s="58">
        <v>30000</v>
      </c>
      <c r="R65" s="316">
        <f t="shared" si="0"/>
        <v>10</v>
      </c>
      <c r="S65" s="58">
        <v>31204.072424819034</v>
      </c>
    </row>
    <row r="66" spans="1:19" x14ac:dyDescent="0.35">
      <c r="A66" t="s">
        <v>71</v>
      </c>
      <c r="B66" s="58"/>
      <c r="C66" s="58"/>
      <c r="D66" s="58"/>
      <c r="E66" s="316">
        <v>0</v>
      </c>
      <c r="F66" s="58">
        <v>0</v>
      </c>
      <c r="G66" s="58">
        <v>0</v>
      </c>
      <c r="H66" s="58">
        <v>0</v>
      </c>
      <c r="I66" s="316">
        <v>0</v>
      </c>
      <c r="J66" s="58">
        <v>9000</v>
      </c>
      <c r="K66" s="58">
        <v>0</v>
      </c>
      <c r="L66" s="58">
        <v>0</v>
      </c>
      <c r="M66" s="58">
        <v>9000</v>
      </c>
      <c r="N66" s="316">
        <v>3</v>
      </c>
      <c r="O66" s="58">
        <v>3000</v>
      </c>
      <c r="P66" s="58">
        <v>9000</v>
      </c>
      <c r="Q66" s="58">
        <v>12000</v>
      </c>
      <c r="R66" s="316">
        <f t="shared" si="0"/>
        <v>4</v>
      </c>
      <c r="S66" s="58">
        <v>12481.628969927615</v>
      </c>
    </row>
    <row r="68" spans="1:19" x14ac:dyDescent="0.35">
      <c r="A68" t="s">
        <v>73</v>
      </c>
      <c r="B68" s="58">
        <v>6000</v>
      </c>
      <c r="C68" s="58">
        <v>3000</v>
      </c>
      <c r="D68" s="58">
        <v>9000</v>
      </c>
      <c r="E68" s="316">
        <v>3</v>
      </c>
      <c r="F68" s="58">
        <v>18000</v>
      </c>
      <c r="G68" s="58">
        <v>6000</v>
      </c>
      <c r="H68" s="58">
        <v>24000</v>
      </c>
      <c r="I68" s="316">
        <v>8</v>
      </c>
      <c r="J68" s="58">
        <v>3000</v>
      </c>
      <c r="K68" s="58">
        <v>18000</v>
      </c>
      <c r="L68" s="58">
        <v>0</v>
      </c>
      <c r="M68" s="58">
        <v>21000</v>
      </c>
      <c r="N68" s="316">
        <v>7</v>
      </c>
      <c r="O68" s="58">
        <v>12000</v>
      </c>
      <c r="P68" s="58">
        <v>21500</v>
      </c>
      <c r="Q68" s="58">
        <v>33500</v>
      </c>
      <c r="R68" s="316">
        <f t="shared" si="0"/>
        <v>11.166666666666666</v>
      </c>
      <c r="S68" s="58">
        <v>34844.547541047927</v>
      </c>
    </row>
    <row r="69" spans="1:19" x14ac:dyDescent="0.35">
      <c r="A69" t="s">
        <v>74</v>
      </c>
      <c r="B69" s="58"/>
      <c r="C69" s="58"/>
      <c r="D69" s="58"/>
      <c r="E69" s="316">
        <v>0</v>
      </c>
      <c r="F69" s="58">
        <v>0</v>
      </c>
      <c r="G69" s="58">
        <v>0</v>
      </c>
      <c r="H69" s="58">
        <v>0</v>
      </c>
      <c r="I69" s="316">
        <v>0</v>
      </c>
      <c r="J69" s="58">
        <v>3000</v>
      </c>
      <c r="K69" s="58">
        <v>0</v>
      </c>
      <c r="L69" s="58">
        <v>0</v>
      </c>
      <c r="M69" s="58">
        <v>3000</v>
      </c>
      <c r="N69" s="316">
        <v>1</v>
      </c>
      <c r="O69" s="58">
        <v>3000</v>
      </c>
      <c r="P69" s="58">
        <v>3000</v>
      </c>
      <c r="Q69" s="58">
        <v>6000</v>
      </c>
      <c r="R69" s="316">
        <f t="shared" si="0"/>
        <v>2</v>
      </c>
      <c r="S69" s="58">
        <v>6240.8144849638074</v>
      </c>
    </row>
    <row r="70" spans="1:19" x14ac:dyDescent="0.35">
      <c r="A70" t="s">
        <v>75</v>
      </c>
      <c r="B70" s="58"/>
      <c r="C70" s="58"/>
      <c r="D70" s="58"/>
      <c r="E70" s="316">
        <v>0</v>
      </c>
      <c r="F70" s="58">
        <v>3000</v>
      </c>
      <c r="G70" s="58">
        <v>0</v>
      </c>
      <c r="H70" s="58">
        <v>3000</v>
      </c>
      <c r="I70" s="316">
        <v>1</v>
      </c>
      <c r="J70" s="58">
        <v>6000</v>
      </c>
      <c r="K70" s="58">
        <v>3000</v>
      </c>
      <c r="L70" s="58">
        <v>0</v>
      </c>
      <c r="M70" s="58">
        <v>9000</v>
      </c>
      <c r="N70" s="316">
        <v>3</v>
      </c>
      <c r="O70" s="58">
        <v>9000</v>
      </c>
      <c r="P70" s="58">
        <v>9000</v>
      </c>
      <c r="Q70" s="58">
        <v>18000</v>
      </c>
      <c r="R70" s="316">
        <f t="shared" si="0"/>
        <v>6</v>
      </c>
      <c r="S70" s="58">
        <v>18722.443454891421</v>
      </c>
    </row>
    <row r="71" spans="1:19" x14ac:dyDescent="0.35">
      <c r="A71" t="s">
        <v>76</v>
      </c>
      <c r="B71" s="58"/>
      <c r="C71" s="58"/>
      <c r="D71" s="58"/>
      <c r="E71" s="316">
        <v>0</v>
      </c>
      <c r="F71" s="58">
        <v>3000</v>
      </c>
      <c r="G71" s="58">
        <v>0</v>
      </c>
      <c r="H71" s="58">
        <v>3000</v>
      </c>
      <c r="I71" s="316">
        <v>1</v>
      </c>
      <c r="J71" s="58">
        <v>3000</v>
      </c>
      <c r="K71" s="58">
        <v>3000</v>
      </c>
      <c r="L71" s="58">
        <v>0</v>
      </c>
      <c r="M71" s="58">
        <v>6000</v>
      </c>
      <c r="N71" s="316">
        <v>2</v>
      </c>
      <c r="O71" s="58">
        <v>3000</v>
      </c>
      <c r="P71" s="58">
        <v>6000</v>
      </c>
      <c r="Q71" s="58">
        <v>9000</v>
      </c>
      <c r="R71" s="316">
        <f t="shared" ref="R71:R134" si="1">+Q71/3000</f>
        <v>3</v>
      </c>
      <c r="S71" s="58">
        <v>9361.2217274457107</v>
      </c>
    </row>
    <row r="72" spans="1:19" x14ac:dyDescent="0.35">
      <c r="A72" t="s">
        <v>77</v>
      </c>
      <c r="B72" s="58"/>
      <c r="C72" s="58"/>
      <c r="D72" s="58"/>
      <c r="E72" s="316">
        <v>0</v>
      </c>
      <c r="F72" s="58">
        <v>0</v>
      </c>
      <c r="G72" s="58">
        <v>0</v>
      </c>
      <c r="H72" s="58">
        <v>0</v>
      </c>
      <c r="I72" s="316">
        <v>0</v>
      </c>
      <c r="J72" s="58">
        <v>9000</v>
      </c>
      <c r="K72" s="58">
        <v>0</v>
      </c>
      <c r="L72" s="58">
        <v>0</v>
      </c>
      <c r="M72" s="58">
        <v>9000</v>
      </c>
      <c r="N72" s="316">
        <v>3</v>
      </c>
      <c r="O72" s="58">
        <v>12000</v>
      </c>
      <c r="P72" s="58">
        <v>9000</v>
      </c>
      <c r="Q72" s="58">
        <v>21000</v>
      </c>
      <c r="R72" s="316">
        <f t="shared" si="1"/>
        <v>7</v>
      </c>
      <c r="S72" s="58">
        <v>21842.850697373327</v>
      </c>
    </row>
    <row r="73" spans="1:19" x14ac:dyDescent="0.35">
      <c r="A73" t="s">
        <v>78</v>
      </c>
      <c r="B73" s="58"/>
      <c r="C73" s="58"/>
      <c r="D73" s="58"/>
      <c r="E73" s="316">
        <v>0</v>
      </c>
      <c r="F73" s="58">
        <v>0</v>
      </c>
      <c r="G73" s="58">
        <v>0</v>
      </c>
      <c r="H73" s="58">
        <v>0</v>
      </c>
      <c r="I73" s="316">
        <v>0</v>
      </c>
      <c r="J73" s="58">
        <v>9000</v>
      </c>
      <c r="K73" s="58">
        <v>0</v>
      </c>
      <c r="L73" s="58">
        <v>0</v>
      </c>
      <c r="M73" s="58">
        <v>9000</v>
      </c>
      <c r="N73" s="316">
        <v>3</v>
      </c>
      <c r="O73" s="58">
        <v>3000</v>
      </c>
      <c r="P73" s="58">
        <v>9000</v>
      </c>
      <c r="Q73" s="58">
        <v>12000</v>
      </c>
      <c r="R73" s="316">
        <f t="shared" si="1"/>
        <v>4</v>
      </c>
      <c r="S73" s="58">
        <v>12481.628969927615</v>
      </c>
    </row>
    <row r="74" spans="1:19" x14ac:dyDescent="0.35">
      <c r="A74" t="s">
        <v>79</v>
      </c>
      <c r="B74" s="58"/>
      <c r="C74" s="58"/>
      <c r="D74" s="58"/>
      <c r="E74" s="316">
        <v>0</v>
      </c>
      <c r="F74" s="58">
        <v>6000</v>
      </c>
      <c r="G74" s="58">
        <v>0</v>
      </c>
      <c r="H74" s="58">
        <v>6000</v>
      </c>
      <c r="I74" s="316">
        <v>2</v>
      </c>
      <c r="J74" s="58">
        <v>6000</v>
      </c>
      <c r="K74" s="58">
        <v>4500</v>
      </c>
      <c r="L74" s="58">
        <v>0</v>
      </c>
      <c r="M74" s="58">
        <v>10500</v>
      </c>
      <c r="N74" s="316">
        <v>3.5</v>
      </c>
      <c r="O74" s="58">
        <v>6000</v>
      </c>
      <c r="P74" s="58">
        <v>9000</v>
      </c>
      <c r="Q74" s="58">
        <v>15000</v>
      </c>
      <c r="R74" s="316">
        <f t="shared" si="1"/>
        <v>5</v>
      </c>
      <c r="S74" s="58">
        <v>15602.036212409517</v>
      </c>
    </row>
    <row r="75" spans="1:19" x14ac:dyDescent="0.35">
      <c r="A75" t="s">
        <v>80</v>
      </c>
      <c r="B75" s="58">
        <v>3000</v>
      </c>
      <c r="C75" s="58">
        <v>0</v>
      </c>
      <c r="D75" s="58">
        <v>3000</v>
      </c>
      <c r="E75" s="316">
        <v>1</v>
      </c>
      <c r="F75" s="58">
        <v>18000</v>
      </c>
      <c r="G75" s="58">
        <v>3000</v>
      </c>
      <c r="H75" s="58">
        <v>21000</v>
      </c>
      <c r="I75" s="316">
        <v>7</v>
      </c>
      <c r="J75" s="58">
        <v>21000</v>
      </c>
      <c r="K75" s="58">
        <v>15000</v>
      </c>
      <c r="L75" s="58">
        <v>0</v>
      </c>
      <c r="M75" s="58">
        <v>36000</v>
      </c>
      <c r="N75" s="316">
        <v>12</v>
      </c>
      <c r="O75" s="58">
        <v>51000</v>
      </c>
      <c r="P75" s="58">
        <v>30500</v>
      </c>
      <c r="Q75" s="58">
        <v>81500</v>
      </c>
      <c r="R75" s="316">
        <f t="shared" si="1"/>
        <v>27.166666666666668</v>
      </c>
      <c r="S75" s="58">
        <v>84771.063420758393</v>
      </c>
    </row>
    <row r="77" spans="1:19" x14ac:dyDescent="0.35">
      <c r="A77" t="s">
        <v>82</v>
      </c>
      <c r="B77" s="58"/>
      <c r="C77" s="58"/>
      <c r="D77" s="58"/>
      <c r="E77" s="316">
        <v>0</v>
      </c>
      <c r="F77" s="58">
        <v>15000</v>
      </c>
      <c r="G77" s="58">
        <v>0</v>
      </c>
      <c r="H77" s="58">
        <v>15000</v>
      </c>
      <c r="I77" s="316">
        <v>5</v>
      </c>
      <c r="J77" s="58">
        <v>39000</v>
      </c>
      <c r="K77" s="58">
        <v>12750</v>
      </c>
      <c r="L77" s="58">
        <v>0</v>
      </c>
      <c r="M77" s="58">
        <v>51750</v>
      </c>
      <c r="N77" s="316">
        <v>17.25</v>
      </c>
      <c r="O77" s="58">
        <v>42000</v>
      </c>
      <c r="P77" s="58">
        <v>47500</v>
      </c>
      <c r="Q77" s="58">
        <v>89500</v>
      </c>
      <c r="R77" s="316">
        <f t="shared" si="1"/>
        <v>29.833333333333332</v>
      </c>
      <c r="S77" s="58">
        <v>93092.149400710128</v>
      </c>
    </row>
    <row r="78" spans="1:19" x14ac:dyDescent="0.35">
      <c r="A78" t="s">
        <v>83</v>
      </c>
      <c r="B78" s="58"/>
      <c r="C78" s="58"/>
      <c r="D78" s="58"/>
      <c r="E78" s="316">
        <v>0</v>
      </c>
      <c r="F78" s="58">
        <v>3000</v>
      </c>
      <c r="G78" s="58">
        <v>0</v>
      </c>
      <c r="H78" s="58">
        <v>3000</v>
      </c>
      <c r="I78" s="316">
        <v>1</v>
      </c>
      <c r="J78" s="58">
        <v>3000</v>
      </c>
      <c r="K78" s="58">
        <v>3000</v>
      </c>
      <c r="L78" s="58">
        <v>0</v>
      </c>
      <c r="M78" s="58">
        <v>6000</v>
      </c>
      <c r="N78" s="316">
        <v>2</v>
      </c>
      <c r="O78" s="58">
        <v>6000</v>
      </c>
      <c r="P78" s="58">
        <v>6000</v>
      </c>
      <c r="Q78" s="58">
        <v>12000</v>
      </c>
      <c r="R78" s="316">
        <f t="shared" si="1"/>
        <v>4</v>
      </c>
      <c r="S78" s="58">
        <v>12481.628969927615</v>
      </c>
    </row>
    <row r="79" spans="1:19" x14ac:dyDescent="0.35">
      <c r="A79" t="s">
        <v>84</v>
      </c>
      <c r="B79" s="58"/>
      <c r="C79" s="58"/>
      <c r="D79" s="58"/>
      <c r="E79" s="316">
        <v>0</v>
      </c>
      <c r="F79" s="58">
        <v>18000</v>
      </c>
      <c r="G79" s="58">
        <v>0</v>
      </c>
      <c r="H79" s="58">
        <v>18000</v>
      </c>
      <c r="I79" s="316">
        <v>6</v>
      </c>
      <c r="J79" s="58">
        <v>18000</v>
      </c>
      <c r="K79" s="58">
        <v>14500</v>
      </c>
      <c r="L79" s="58">
        <v>0</v>
      </c>
      <c r="M79" s="58">
        <v>32500</v>
      </c>
      <c r="N79" s="316">
        <v>10.833333333333334</v>
      </c>
      <c r="O79" s="58">
        <v>24000</v>
      </c>
      <c r="P79" s="58">
        <v>27750</v>
      </c>
      <c r="Q79" s="58">
        <v>51750</v>
      </c>
      <c r="R79" s="316">
        <f t="shared" si="1"/>
        <v>17.25</v>
      </c>
      <c r="S79" s="58">
        <v>53827.024932812841</v>
      </c>
    </row>
    <row r="80" spans="1:19" x14ac:dyDescent="0.35">
      <c r="A80" t="s">
        <v>85</v>
      </c>
      <c r="B80" s="58"/>
      <c r="C80" s="58"/>
      <c r="D80" s="58"/>
      <c r="E80" s="316">
        <v>0</v>
      </c>
      <c r="F80" s="58">
        <v>6000</v>
      </c>
      <c r="G80" s="58">
        <v>0</v>
      </c>
      <c r="H80" s="58">
        <v>6000</v>
      </c>
      <c r="I80" s="316">
        <v>2</v>
      </c>
      <c r="J80" s="58">
        <v>0</v>
      </c>
      <c r="K80" s="58">
        <v>6000</v>
      </c>
      <c r="L80" s="58">
        <v>0</v>
      </c>
      <c r="M80" s="58">
        <v>6000</v>
      </c>
      <c r="N80" s="316">
        <v>2</v>
      </c>
      <c r="O80" s="58">
        <v>3000</v>
      </c>
      <c r="P80" s="58">
        <v>6000</v>
      </c>
      <c r="Q80" s="58">
        <v>9000</v>
      </c>
      <c r="R80" s="316">
        <f t="shared" si="1"/>
        <v>3</v>
      </c>
      <c r="S80" s="58">
        <v>9361.2217274457107</v>
      </c>
    </row>
    <row r="81" spans="1:20" x14ac:dyDescent="0.35">
      <c r="A81" t="s">
        <v>86</v>
      </c>
      <c r="B81" s="58"/>
      <c r="C81" s="58"/>
      <c r="D81" s="58"/>
      <c r="E81" s="316">
        <v>0</v>
      </c>
      <c r="F81" s="58">
        <v>0</v>
      </c>
      <c r="G81" s="58">
        <v>0</v>
      </c>
      <c r="H81" s="58">
        <v>0</v>
      </c>
      <c r="I81" s="316">
        <v>0</v>
      </c>
      <c r="J81" s="58">
        <v>9000</v>
      </c>
      <c r="K81" s="58">
        <v>0</v>
      </c>
      <c r="L81" s="58">
        <v>0</v>
      </c>
      <c r="M81" s="58">
        <v>9000</v>
      </c>
      <c r="N81" s="316">
        <v>3</v>
      </c>
      <c r="O81" s="58">
        <v>3000</v>
      </c>
      <c r="P81" s="58">
        <v>9000</v>
      </c>
      <c r="Q81" s="58">
        <v>12000</v>
      </c>
      <c r="R81" s="316">
        <f t="shared" si="1"/>
        <v>4</v>
      </c>
      <c r="S81" s="58">
        <v>12481.628969927615</v>
      </c>
    </row>
    <row r="82" spans="1:20" x14ac:dyDescent="0.35">
      <c r="A82" t="s">
        <v>87</v>
      </c>
      <c r="B82" s="58"/>
      <c r="C82" s="58"/>
      <c r="D82" s="58"/>
      <c r="E82" s="316">
        <v>0</v>
      </c>
      <c r="F82" s="58">
        <v>0</v>
      </c>
      <c r="G82" s="58">
        <v>0</v>
      </c>
      <c r="H82" s="58">
        <v>0</v>
      </c>
      <c r="I82" s="316">
        <v>0</v>
      </c>
      <c r="J82" s="58">
        <v>3000</v>
      </c>
      <c r="K82" s="58">
        <v>0</v>
      </c>
      <c r="L82" s="58">
        <v>0</v>
      </c>
      <c r="M82" s="58">
        <v>3000</v>
      </c>
      <c r="N82" s="316">
        <v>1</v>
      </c>
      <c r="O82" s="58">
        <v>3000</v>
      </c>
      <c r="P82" s="58">
        <v>3000</v>
      </c>
      <c r="Q82" s="58">
        <v>6000</v>
      </c>
      <c r="R82" s="316">
        <f t="shared" si="1"/>
        <v>2</v>
      </c>
      <c r="S82" s="58">
        <v>6240.8144849638074</v>
      </c>
    </row>
    <row r="83" spans="1:20" x14ac:dyDescent="0.35">
      <c r="A83" t="s">
        <v>88</v>
      </c>
      <c r="B83" s="58"/>
      <c r="C83" s="58"/>
      <c r="D83" s="58"/>
      <c r="E83" s="316">
        <v>0</v>
      </c>
      <c r="F83" s="58">
        <v>3000</v>
      </c>
      <c r="G83" s="58">
        <v>0</v>
      </c>
      <c r="H83" s="58">
        <v>3000</v>
      </c>
      <c r="I83" s="316">
        <v>1</v>
      </c>
      <c r="J83" s="58">
        <v>3000</v>
      </c>
      <c r="K83" s="58">
        <v>3000</v>
      </c>
      <c r="L83" s="58">
        <v>0</v>
      </c>
      <c r="M83" s="58">
        <v>6000</v>
      </c>
      <c r="N83" s="316">
        <v>2</v>
      </c>
      <c r="O83" s="58">
        <v>9000</v>
      </c>
      <c r="P83" s="58">
        <v>3000</v>
      </c>
      <c r="Q83" s="58">
        <v>12000</v>
      </c>
      <c r="R83" s="316">
        <f t="shared" si="1"/>
        <v>4</v>
      </c>
      <c r="S83" s="58">
        <v>12481.628969927615</v>
      </c>
    </row>
    <row r="84" spans="1:20" x14ac:dyDescent="0.35">
      <c r="A84" t="s">
        <v>89</v>
      </c>
      <c r="B84" s="58"/>
      <c r="C84" s="58"/>
      <c r="D84" s="58"/>
      <c r="E84" s="316">
        <v>0</v>
      </c>
      <c r="F84" s="58">
        <v>6000</v>
      </c>
      <c r="G84" s="58">
        <v>0</v>
      </c>
      <c r="H84" s="58">
        <v>6000</v>
      </c>
      <c r="I84" s="316">
        <v>2</v>
      </c>
      <c r="J84" s="58">
        <v>3000</v>
      </c>
      <c r="K84" s="58">
        <v>6000</v>
      </c>
      <c r="L84" s="58">
        <v>0</v>
      </c>
      <c r="M84" s="58">
        <v>9000</v>
      </c>
      <c r="N84" s="316">
        <v>3</v>
      </c>
      <c r="O84" s="58">
        <v>9000</v>
      </c>
      <c r="P84" s="58">
        <v>9000</v>
      </c>
      <c r="Q84" s="58">
        <v>18000</v>
      </c>
      <c r="R84" s="316">
        <f t="shared" si="1"/>
        <v>6</v>
      </c>
      <c r="S84" s="58">
        <v>18722.443454891421</v>
      </c>
    </row>
    <row r="85" spans="1:20" x14ac:dyDescent="0.35">
      <c r="A85" t="s">
        <v>90</v>
      </c>
      <c r="B85" s="58"/>
      <c r="C85" s="58"/>
      <c r="D85" s="58"/>
      <c r="E85" s="316">
        <v>0</v>
      </c>
      <c r="F85" s="58">
        <v>12000</v>
      </c>
      <c r="G85" s="58">
        <v>0</v>
      </c>
      <c r="H85" s="58">
        <v>12000</v>
      </c>
      <c r="I85" s="316">
        <v>4</v>
      </c>
      <c r="J85" s="58">
        <v>54000</v>
      </c>
      <c r="K85" s="58">
        <v>7000</v>
      </c>
      <c r="L85" s="58">
        <v>3000</v>
      </c>
      <c r="M85" s="58">
        <v>64000</v>
      </c>
      <c r="N85" s="316">
        <v>21.333333333333332</v>
      </c>
      <c r="O85" s="58">
        <v>27000</v>
      </c>
      <c r="P85" s="58">
        <v>63000</v>
      </c>
      <c r="Q85" s="58">
        <v>90000</v>
      </c>
      <c r="R85" s="316">
        <f t="shared" si="1"/>
        <v>30</v>
      </c>
      <c r="S85" s="58">
        <v>93612.217274457114</v>
      </c>
    </row>
    <row r="86" spans="1:20" x14ac:dyDescent="0.35">
      <c r="A86" t="s">
        <v>91</v>
      </c>
      <c r="B86" s="58">
        <v>6000</v>
      </c>
      <c r="C86" s="58">
        <v>0</v>
      </c>
      <c r="D86" s="58">
        <v>6000</v>
      </c>
      <c r="E86" s="316">
        <v>2</v>
      </c>
      <c r="F86" s="58">
        <v>6000</v>
      </c>
      <c r="G86" s="58">
        <v>3000</v>
      </c>
      <c r="H86" s="58">
        <v>9000</v>
      </c>
      <c r="I86" s="316">
        <v>3</v>
      </c>
      <c r="J86" s="58">
        <v>6000</v>
      </c>
      <c r="K86" s="58">
        <v>6000</v>
      </c>
      <c r="L86" s="58">
        <v>0</v>
      </c>
      <c r="M86" s="58">
        <v>12000</v>
      </c>
      <c r="N86" s="316">
        <v>4</v>
      </c>
      <c r="O86" s="58">
        <v>9000</v>
      </c>
      <c r="P86" s="58">
        <v>10750</v>
      </c>
      <c r="Q86" s="58">
        <v>19750</v>
      </c>
      <c r="R86" s="316">
        <f t="shared" si="1"/>
        <v>6.583333333333333</v>
      </c>
      <c r="S86" s="58">
        <v>20542.681013005866</v>
      </c>
    </row>
    <row r="87" spans="1:20" x14ac:dyDescent="0.35">
      <c r="A87" t="s">
        <v>92</v>
      </c>
      <c r="B87" s="58">
        <v>3000</v>
      </c>
      <c r="C87" s="58">
        <v>0</v>
      </c>
      <c r="D87" s="58">
        <v>3000</v>
      </c>
      <c r="E87" s="316">
        <v>1</v>
      </c>
      <c r="F87" s="58">
        <v>6000</v>
      </c>
      <c r="G87" s="58">
        <v>3000</v>
      </c>
      <c r="H87" s="58">
        <v>9000</v>
      </c>
      <c r="I87" s="316">
        <v>3</v>
      </c>
      <c r="J87" s="58">
        <v>3000</v>
      </c>
      <c r="K87" s="58">
        <v>6000</v>
      </c>
      <c r="L87" s="58">
        <v>0</v>
      </c>
      <c r="M87" s="58">
        <v>9000</v>
      </c>
      <c r="N87" s="316">
        <v>3</v>
      </c>
      <c r="O87" s="58">
        <v>12000</v>
      </c>
      <c r="P87" s="58">
        <v>6000</v>
      </c>
      <c r="Q87" s="58">
        <v>18000</v>
      </c>
      <c r="R87" s="316">
        <f t="shared" si="1"/>
        <v>6</v>
      </c>
      <c r="S87" s="58">
        <v>18722.443454891421</v>
      </c>
    </row>
    <row r="88" spans="1:20" x14ac:dyDescent="0.35">
      <c r="A88" t="s">
        <v>93</v>
      </c>
      <c r="B88" s="58"/>
      <c r="C88" s="58"/>
      <c r="D88" s="58"/>
      <c r="E88" s="316">
        <v>0</v>
      </c>
      <c r="F88" s="58">
        <v>12000</v>
      </c>
      <c r="G88" s="58">
        <v>0</v>
      </c>
      <c r="H88" s="58">
        <v>12000</v>
      </c>
      <c r="I88" s="316">
        <v>4</v>
      </c>
      <c r="J88" s="58">
        <v>21000</v>
      </c>
      <c r="K88" s="58">
        <v>10500</v>
      </c>
      <c r="L88" s="58">
        <v>0</v>
      </c>
      <c r="M88" s="58">
        <v>31500</v>
      </c>
      <c r="N88" s="316">
        <v>10.5</v>
      </c>
      <c r="O88" s="58">
        <v>6000</v>
      </c>
      <c r="P88" s="58">
        <v>28500</v>
      </c>
      <c r="Q88" s="58">
        <v>34500</v>
      </c>
      <c r="R88" s="316">
        <f t="shared" si="1"/>
        <v>11.5</v>
      </c>
      <c r="S88" s="58">
        <v>35884.683288541892</v>
      </c>
      <c r="T88" t="s">
        <v>1204</v>
      </c>
    </row>
    <row r="89" spans="1:20" x14ac:dyDescent="0.35">
      <c r="A89" t="s">
        <v>94</v>
      </c>
      <c r="B89" s="58"/>
      <c r="C89" s="58"/>
      <c r="D89" s="58"/>
      <c r="E89" s="316">
        <v>0</v>
      </c>
      <c r="F89" s="58">
        <v>3000</v>
      </c>
      <c r="G89" s="58">
        <v>0</v>
      </c>
      <c r="H89" s="58">
        <v>3000</v>
      </c>
      <c r="I89" s="316">
        <v>1</v>
      </c>
      <c r="J89" s="58">
        <v>3000</v>
      </c>
      <c r="K89" s="58">
        <v>1500</v>
      </c>
      <c r="L89" s="58">
        <v>0</v>
      </c>
      <c r="M89" s="58">
        <v>4500</v>
      </c>
      <c r="N89" s="316">
        <v>1.5</v>
      </c>
      <c r="O89" s="58">
        <v>0</v>
      </c>
      <c r="P89" s="58">
        <v>5750</v>
      </c>
      <c r="Q89" s="58">
        <v>5750</v>
      </c>
      <c r="R89" s="316">
        <f t="shared" si="1"/>
        <v>1.9166666666666667</v>
      </c>
      <c r="S89" s="58">
        <v>5980.7805480903153</v>
      </c>
    </row>
    <row r="90" spans="1:20" x14ac:dyDescent="0.35">
      <c r="A90" t="s">
        <v>95</v>
      </c>
      <c r="B90" s="58"/>
      <c r="C90" s="58"/>
      <c r="D90" s="58"/>
      <c r="E90" s="316">
        <v>0</v>
      </c>
      <c r="F90" s="58">
        <v>0</v>
      </c>
      <c r="G90" s="58">
        <v>0</v>
      </c>
      <c r="H90" s="58">
        <v>0</v>
      </c>
      <c r="I90" s="316">
        <v>0</v>
      </c>
      <c r="J90" s="58">
        <v>0</v>
      </c>
      <c r="K90" s="58">
        <v>0</v>
      </c>
      <c r="L90" s="58">
        <v>0</v>
      </c>
      <c r="M90" s="58">
        <v>0</v>
      </c>
      <c r="N90" s="316">
        <v>0</v>
      </c>
      <c r="O90" s="58">
        <v>0</v>
      </c>
      <c r="P90" s="58">
        <v>0</v>
      </c>
      <c r="Q90" s="58">
        <v>0</v>
      </c>
      <c r="R90" s="316">
        <f t="shared" si="1"/>
        <v>0</v>
      </c>
      <c r="S90" s="58">
        <v>0</v>
      </c>
    </row>
    <row r="91" spans="1:20" x14ac:dyDescent="0.35">
      <c r="A91" t="s">
        <v>96</v>
      </c>
      <c r="B91" s="58"/>
      <c r="C91" s="58"/>
      <c r="D91" s="58"/>
      <c r="E91" s="316">
        <v>0</v>
      </c>
      <c r="F91" s="58">
        <v>3000</v>
      </c>
      <c r="G91" s="58">
        <v>0</v>
      </c>
      <c r="H91" s="58">
        <v>3000</v>
      </c>
      <c r="I91" s="316">
        <v>1</v>
      </c>
      <c r="J91" s="58">
        <v>0</v>
      </c>
      <c r="K91" s="58">
        <v>3000</v>
      </c>
      <c r="L91" s="58">
        <v>0</v>
      </c>
      <c r="M91" s="58">
        <v>3000</v>
      </c>
      <c r="N91" s="316">
        <v>1</v>
      </c>
      <c r="O91" s="58">
        <v>0</v>
      </c>
      <c r="P91" s="58">
        <v>3000</v>
      </c>
      <c r="Q91" s="58">
        <v>3000</v>
      </c>
      <c r="R91" s="316">
        <f t="shared" si="1"/>
        <v>1</v>
      </c>
      <c r="S91" s="58">
        <v>3120.4072424819037</v>
      </c>
    </row>
    <row r="92" spans="1:20" x14ac:dyDescent="0.35">
      <c r="A92" t="s">
        <v>97</v>
      </c>
      <c r="B92" s="58"/>
      <c r="C92" s="58"/>
      <c r="D92" s="58"/>
      <c r="E92" s="316">
        <v>0</v>
      </c>
      <c r="F92" s="58">
        <v>0</v>
      </c>
      <c r="G92" s="58">
        <v>0</v>
      </c>
      <c r="H92" s="58">
        <v>0</v>
      </c>
      <c r="I92" s="316">
        <v>0</v>
      </c>
      <c r="J92" s="58">
        <v>9000</v>
      </c>
      <c r="K92" s="58">
        <v>0</v>
      </c>
      <c r="L92" s="58">
        <v>0</v>
      </c>
      <c r="M92" s="58">
        <v>9000</v>
      </c>
      <c r="N92" s="316">
        <v>3</v>
      </c>
      <c r="O92" s="58">
        <v>0</v>
      </c>
      <c r="P92" s="58">
        <v>9000</v>
      </c>
      <c r="Q92" s="58">
        <v>9000</v>
      </c>
      <c r="R92" s="316">
        <f t="shared" si="1"/>
        <v>3</v>
      </c>
      <c r="S92" s="58">
        <v>9361.2217274457107</v>
      </c>
    </row>
    <row r="93" spans="1:20" x14ac:dyDescent="0.35">
      <c r="A93" t="s">
        <v>98</v>
      </c>
      <c r="B93" s="58">
        <v>6000</v>
      </c>
      <c r="C93" s="58">
        <v>0</v>
      </c>
      <c r="D93" s="58">
        <v>6000</v>
      </c>
      <c r="E93" s="316">
        <v>2</v>
      </c>
      <c r="F93" s="58">
        <v>12000</v>
      </c>
      <c r="G93" s="58">
        <v>6000</v>
      </c>
      <c r="H93" s="58">
        <v>18000</v>
      </c>
      <c r="I93" s="316">
        <v>6</v>
      </c>
      <c r="J93" s="58">
        <v>15000</v>
      </c>
      <c r="K93" s="58">
        <v>10750</v>
      </c>
      <c r="L93" s="58">
        <v>0</v>
      </c>
      <c r="M93" s="58">
        <v>25750</v>
      </c>
      <c r="N93" s="316">
        <v>8.5833333333333339</v>
      </c>
      <c r="O93" s="58">
        <v>3000</v>
      </c>
      <c r="P93" s="58">
        <v>21000</v>
      </c>
      <c r="Q93" s="58">
        <v>24000</v>
      </c>
      <c r="R93" s="316">
        <f t="shared" si="1"/>
        <v>8</v>
      </c>
      <c r="S93" s="58">
        <v>24963.25793985523</v>
      </c>
    </row>
    <row r="94" spans="1:20" x14ac:dyDescent="0.35">
      <c r="A94" t="s">
        <v>99</v>
      </c>
      <c r="B94" s="58"/>
      <c r="C94" s="58"/>
      <c r="D94" s="58"/>
      <c r="E94" s="316">
        <v>0</v>
      </c>
      <c r="F94" s="58">
        <v>0</v>
      </c>
      <c r="G94" s="58">
        <v>0</v>
      </c>
      <c r="H94" s="58">
        <v>0</v>
      </c>
      <c r="I94" s="316">
        <v>0</v>
      </c>
      <c r="J94" s="58">
        <v>0</v>
      </c>
      <c r="K94" s="58">
        <v>0</v>
      </c>
      <c r="L94" s="58">
        <v>0</v>
      </c>
      <c r="M94" s="58">
        <v>0</v>
      </c>
      <c r="N94" s="316">
        <v>0</v>
      </c>
      <c r="O94" s="58">
        <v>0</v>
      </c>
      <c r="P94" s="58">
        <v>0</v>
      </c>
      <c r="Q94" s="58">
        <v>0</v>
      </c>
      <c r="R94" s="316">
        <f t="shared" si="1"/>
        <v>0</v>
      </c>
      <c r="S94" s="58">
        <v>0</v>
      </c>
    </row>
    <row r="95" spans="1:20" x14ac:dyDescent="0.35">
      <c r="A95" t="s">
        <v>100</v>
      </c>
      <c r="B95" s="58"/>
      <c r="C95" s="58"/>
      <c r="D95" s="58"/>
      <c r="E95" s="316">
        <v>0</v>
      </c>
      <c r="F95" s="58">
        <v>6000</v>
      </c>
      <c r="G95" s="58">
        <v>0</v>
      </c>
      <c r="H95" s="58">
        <v>6000</v>
      </c>
      <c r="I95" s="316">
        <v>2</v>
      </c>
      <c r="J95" s="58">
        <v>15000</v>
      </c>
      <c r="K95" s="58">
        <v>3500</v>
      </c>
      <c r="L95" s="58">
        <v>0</v>
      </c>
      <c r="M95" s="58">
        <v>18500</v>
      </c>
      <c r="N95" s="316">
        <v>6.166666666666667</v>
      </c>
      <c r="O95" s="58">
        <v>0</v>
      </c>
      <c r="P95" s="58">
        <v>12500</v>
      </c>
      <c r="Q95" s="58">
        <v>12500</v>
      </c>
      <c r="R95" s="316">
        <f t="shared" si="1"/>
        <v>4.166666666666667</v>
      </c>
      <c r="S95" s="58">
        <v>13001.696843674597</v>
      </c>
    </row>
    <row r="96" spans="1:20" x14ac:dyDescent="0.35">
      <c r="A96" t="s">
        <v>101</v>
      </c>
      <c r="B96" s="58"/>
      <c r="C96" s="58"/>
      <c r="D96" s="58"/>
      <c r="E96" s="316">
        <v>0</v>
      </c>
      <c r="F96" s="58">
        <v>0</v>
      </c>
      <c r="G96" s="58">
        <v>0</v>
      </c>
      <c r="H96" s="58">
        <v>0</v>
      </c>
      <c r="I96" s="316">
        <v>0</v>
      </c>
      <c r="J96" s="58">
        <v>0</v>
      </c>
      <c r="K96" s="58">
        <v>0</v>
      </c>
      <c r="L96" s="58">
        <v>0</v>
      </c>
      <c r="M96" s="58">
        <v>0</v>
      </c>
      <c r="N96" s="316">
        <v>0</v>
      </c>
      <c r="O96" s="58">
        <v>0</v>
      </c>
      <c r="P96" s="58">
        <v>0</v>
      </c>
      <c r="Q96" s="58">
        <v>0</v>
      </c>
      <c r="R96" s="316">
        <f t="shared" si="1"/>
        <v>0</v>
      </c>
      <c r="S96" s="58">
        <v>0</v>
      </c>
    </row>
    <row r="97" spans="1:20" x14ac:dyDescent="0.35">
      <c r="A97" t="s">
        <v>102</v>
      </c>
      <c r="B97" s="58"/>
      <c r="C97" s="58"/>
      <c r="D97" s="58"/>
      <c r="E97" s="316">
        <v>0</v>
      </c>
      <c r="F97" s="58">
        <v>42000</v>
      </c>
      <c r="G97" s="58">
        <v>0</v>
      </c>
      <c r="H97" s="58">
        <v>42000</v>
      </c>
      <c r="I97" s="316">
        <v>14</v>
      </c>
      <c r="J97" s="58">
        <v>51000</v>
      </c>
      <c r="K97" s="58">
        <v>35750</v>
      </c>
      <c r="L97" s="58">
        <v>3000</v>
      </c>
      <c r="M97" s="58">
        <v>89750</v>
      </c>
      <c r="N97" s="316">
        <v>29.916666666666668</v>
      </c>
      <c r="O97" s="58">
        <v>75000</v>
      </c>
      <c r="P97" s="58">
        <v>80750</v>
      </c>
      <c r="Q97" s="58">
        <v>155750</v>
      </c>
      <c r="R97" s="316">
        <f t="shared" si="1"/>
        <v>51.916666666666664</v>
      </c>
      <c r="S97" s="58">
        <v>162001.1426721855</v>
      </c>
      <c r="T97" t="s">
        <v>1315</v>
      </c>
    </row>
    <row r="98" spans="1:20" x14ac:dyDescent="0.35">
      <c r="A98" t="s">
        <v>103</v>
      </c>
      <c r="B98" s="58"/>
      <c r="C98" s="58"/>
      <c r="D98" s="58"/>
      <c r="E98" s="316">
        <v>0</v>
      </c>
      <c r="F98" s="58">
        <v>0</v>
      </c>
      <c r="G98" s="58">
        <v>0</v>
      </c>
      <c r="H98" s="58">
        <v>0</v>
      </c>
      <c r="I98" s="316">
        <v>0</v>
      </c>
      <c r="J98" s="58">
        <v>6000</v>
      </c>
      <c r="K98" s="58">
        <v>0</v>
      </c>
      <c r="L98" s="58">
        <v>0</v>
      </c>
      <c r="M98" s="58">
        <v>6000</v>
      </c>
      <c r="N98" s="316">
        <v>2</v>
      </c>
      <c r="O98" s="58">
        <v>9000</v>
      </c>
      <c r="P98" s="58">
        <v>6000</v>
      </c>
      <c r="Q98" s="58">
        <v>15000</v>
      </c>
      <c r="R98" s="316">
        <f t="shared" si="1"/>
        <v>5</v>
      </c>
      <c r="S98" s="58">
        <v>15602.036212409517</v>
      </c>
    </row>
    <row r="99" spans="1:20" x14ac:dyDescent="0.35">
      <c r="A99" t="s">
        <v>104</v>
      </c>
      <c r="B99" s="58"/>
      <c r="C99" s="58"/>
      <c r="D99" s="58"/>
      <c r="E99" s="316">
        <v>0</v>
      </c>
      <c r="F99" s="58">
        <v>72000</v>
      </c>
      <c r="G99" s="58">
        <v>0</v>
      </c>
      <c r="H99" s="58">
        <v>72000</v>
      </c>
      <c r="I99" s="316">
        <v>24</v>
      </c>
      <c r="J99" s="58">
        <v>54000</v>
      </c>
      <c r="K99" s="58">
        <v>68250</v>
      </c>
      <c r="L99" s="58">
        <v>0</v>
      </c>
      <c r="M99" s="58">
        <v>122250</v>
      </c>
      <c r="N99" s="316">
        <v>40.75</v>
      </c>
      <c r="O99" s="58">
        <v>57000</v>
      </c>
      <c r="P99" s="58">
        <v>112500</v>
      </c>
      <c r="Q99" s="58">
        <v>169500</v>
      </c>
      <c r="R99" s="316">
        <f t="shared" si="1"/>
        <v>56.5</v>
      </c>
      <c r="S99" s="58">
        <v>176303.00920022756</v>
      </c>
    </row>
    <row r="100" spans="1:20" x14ac:dyDescent="0.35">
      <c r="A100" t="s">
        <v>105</v>
      </c>
      <c r="B100" s="58">
        <v>3000</v>
      </c>
      <c r="C100" s="58">
        <v>0</v>
      </c>
      <c r="D100" s="58">
        <v>3000</v>
      </c>
      <c r="E100" s="316">
        <v>1</v>
      </c>
      <c r="F100" s="58">
        <v>0</v>
      </c>
      <c r="G100" s="58">
        <v>3000</v>
      </c>
      <c r="H100" s="58">
        <v>3000</v>
      </c>
      <c r="I100" s="316">
        <v>1</v>
      </c>
      <c r="J100" s="58">
        <v>12000</v>
      </c>
      <c r="K100" s="58">
        <v>3000</v>
      </c>
      <c r="L100" s="58">
        <v>0</v>
      </c>
      <c r="M100" s="58">
        <v>15000</v>
      </c>
      <c r="N100" s="316">
        <v>5</v>
      </c>
      <c r="O100" s="58">
        <v>6000</v>
      </c>
      <c r="P100" s="58">
        <v>12000</v>
      </c>
      <c r="Q100" s="58">
        <v>18000</v>
      </c>
      <c r="R100" s="316">
        <f t="shared" si="1"/>
        <v>6</v>
      </c>
      <c r="S100" s="58">
        <v>18722.443454891421</v>
      </c>
    </row>
    <row r="101" spans="1:20" x14ac:dyDescent="0.35">
      <c r="A101" t="s">
        <v>106</v>
      </c>
      <c r="B101" s="58"/>
      <c r="C101" s="58"/>
      <c r="D101" s="58"/>
      <c r="E101" s="316">
        <v>0</v>
      </c>
      <c r="F101" s="58">
        <v>45000</v>
      </c>
      <c r="G101" s="58">
        <v>0</v>
      </c>
      <c r="H101" s="58">
        <v>45000</v>
      </c>
      <c r="I101" s="316">
        <v>15</v>
      </c>
      <c r="J101" s="58">
        <v>75000</v>
      </c>
      <c r="K101" s="58">
        <v>40750</v>
      </c>
      <c r="L101" s="58">
        <v>0</v>
      </c>
      <c r="M101" s="58">
        <v>115750</v>
      </c>
      <c r="N101" s="316">
        <v>38.583333333333336</v>
      </c>
      <c r="O101" s="58">
        <v>87000</v>
      </c>
      <c r="P101" s="58">
        <v>104250</v>
      </c>
      <c r="Q101" s="58">
        <v>191250</v>
      </c>
      <c r="R101" s="316">
        <f t="shared" si="1"/>
        <v>63.75</v>
      </c>
      <c r="S101" s="58">
        <v>198925.96170822135</v>
      </c>
    </row>
    <row r="102" spans="1:20" x14ac:dyDescent="0.35">
      <c r="A102" t="s">
        <v>107</v>
      </c>
      <c r="B102" s="58"/>
      <c r="C102" s="58"/>
      <c r="D102" s="58"/>
      <c r="E102" s="316">
        <v>0</v>
      </c>
      <c r="F102" s="58">
        <v>3000</v>
      </c>
      <c r="G102" s="58">
        <v>0</v>
      </c>
      <c r="H102" s="58">
        <v>3000</v>
      </c>
      <c r="I102" s="316">
        <v>1</v>
      </c>
      <c r="J102" s="58">
        <v>3000</v>
      </c>
      <c r="K102" s="58">
        <v>3000</v>
      </c>
      <c r="L102" s="58">
        <v>0</v>
      </c>
      <c r="M102" s="58">
        <v>6000</v>
      </c>
      <c r="N102" s="316">
        <v>2</v>
      </c>
      <c r="O102" s="58">
        <v>12000</v>
      </c>
      <c r="P102" s="58">
        <v>6000</v>
      </c>
      <c r="Q102" s="58">
        <v>18000</v>
      </c>
      <c r="R102" s="316">
        <f t="shared" si="1"/>
        <v>6</v>
      </c>
      <c r="S102" s="58">
        <v>18722.443454891421</v>
      </c>
    </row>
    <row r="103" spans="1:20" x14ac:dyDescent="0.35">
      <c r="A103" t="s">
        <v>108</v>
      </c>
      <c r="B103" s="58"/>
      <c r="C103" s="58"/>
      <c r="D103" s="58"/>
      <c r="E103" s="316">
        <v>0</v>
      </c>
      <c r="F103" s="58">
        <v>9000</v>
      </c>
      <c r="G103" s="58">
        <v>0</v>
      </c>
      <c r="H103" s="58">
        <v>9000</v>
      </c>
      <c r="I103" s="316">
        <v>3</v>
      </c>
      <c r="J103" s="58">
        <v>12000</v>
      </c>
      <c r="K103" s="58">
        <v>6750</v>
      </c>
      <c r="L103" s="58">
        <v>0</v>
      </c>
      <c r="M103" s="58">
        <v>18750</v>
      </c>
      <c r="N103" s="316">
        <v>6.25</v>
      </c>
      <c r="O103" s="58">
        <v>6000</v>
      </c>
      <c r="P103" s="58">
        <v>19500</v>
      </c>
      <c r="Q103" s="58">
        <v>25500</v>
      </c>
      <c r="R103" s="316">
        <f t="shared" si="1"/>
        <v>8.5</v>
      </c>
      <c r="S103" s="58">
        <v>26523.461561096181</v>
      </c>
    </row>
    <row r="104" spans="1:20" x14ac:dyDescent="0.35">
      <c r="A104" t="s">
        <v>109</v>
      </c>
      <c r="B104" s="58">
        <v>3000</v>
      </c>
      <c r="C104" s="58">
        <v>0</v>
      </c>
      <c r="D104" s="58">
        <v>3000</v>
      </c>
      <c r="E104" s="316">
        <v>1</v>
      </c>
      <c r="F104" s="58">
        <v>18000</v>
      </c>
      <c r="G104" s="58">
        <v>3000</v>
      </c>
      <c r="H104" s="58">
        <v>21000</v>
      </c>
      <c r="I104" s="316">
        <v>7</v>
      </c>
      <c r="J104" s="58">
        <v>21000</v>
      </c>
      <c r="K104" s="58">
        <v>18000</v>
      </c>
      <c r="L104" s="58">
        <v>0</v>
      </c>
      <c r="M104" s="58">
        <v>39000</v>
      </c>
      <c r="N104" s="316">
        <v>13</v>
      </c>
      <c r="O104" s="58">
        <v>33000</v>
      </c>
      <c r="P104" s="58">
        <v>32250</v>
      </c>
      <c r="Q104" s="58">
        <v>65250</v>
      </c>
      <c r="R104" s="316">
        <f t="shared" si="1"/>
        <v>21.75</v>
      </c>
      <c r="S104" s="58">
        <v>67868.857523981409</v>
      </c>
    </row>
    <row r="105" spans="1:20" x14ac:dyDescent="0.35">
      <c r="A105" t="s">
        <v>110</v>
      </c>
      <c r="B105" s="58"/>
      <c r="C105" s="58"/>
      <c r="D105" s="58"/>
      <c r="E105" s="316">
        <v>0</v>
      </c>
      <c r="F105" s="58">
        <v>6000</v>
      </c>
      <c r="G105" s="58">
        <v>0</v>
      </c>
      <c r="H105" s="58">
        <v>6000</v>
      </c>
      <c r="I105" s="316">
        <v>2</v>
      </c>
      <c r="J105" s="58">
        <v>18000</v>
      </c>
      <c r="K105" s="58">
        <v>6000</v>
      </c>
      <c r="L105" s="58">
        <v>0</v>
      </c>
      <c r="M105" s="58">
        <v>24000</v>
      </c>
      <c r="N105" s="316">
        <v>8</v>
      </c>
      <c r="O105" s="58">
        <v>18000</v>
      </c>
      <c r="P105" s="58">
        <v>24000</v>
      </c>
      <c r="Q105" s="58">
        <v>42000</v>
      </c>
      <c r="R105" s="316">
        <f t="shared" si="1"/>
        <v>14</v>
      </c>
      <c r="S105" s="58">
        <v>43685.701394746655</v>
      </c>
    </row>
    <row r="106" spans="1:20" x14ac:dyDescent="0.35">
      <c r="A106" t="s">
        <v>111</v>
      </c>
      <c r="B106" s="58"/>
      <c r="C106" s="58"/>
      <c r="D106" s="58"/>
      <c r="E106" s="316">
        <v>0</v>
      </c>
      <c r="F106" s="58">
        <v>3000</v>
      </c>
      <c r="G106" s="58">
        <v>0</v>
      </c>
      <c r="H106" s="58">
        <v>3000</v>
      </c>
      <c r="I106" s="316">
        <v>1</v>
      </c>
      <c r="J106" s="58">
        <v>21000</v>
      </c>
      <c r="K106" s="58">
        <v>250</v>
      </c>
      <c r="L106" s="58">
        <v>0</v>
      </c>
      <c r="M106" s="58">
        <v>21250</v>
      </c>
      <c r="N106" s="316">
        <v>7.083333333333333</v>
      </c>
      <c r="O106" s="58">
        <v>15000</v>
      </c>
      <c r="P106" s="58">
        <v>17750</v>
      </c>
      <c r="Q106" s="58">
        <v>32750</v>
      </c>
      <c r="R106" s="316">
        <f t="shared" si="1"/>
        <v>10.916666666666666</v>
      </c>
      <c r="S106" s="58">
        <v>34064.445730427447</v>
      </c>
    </row>
    <row r="107" spans="1:20" x14ac:dyDescent="0.35">
      <c r="A107" t="s">
        <v>112</v>
      </c>
      <c r="B107" s="58"/>
      <c r="C107" s="58"/>
      <c r="D107" s="58"/>
      <c r="E107" s="316">
        <v>0</v>
      </c>
      <c r="F107" s="58">
        <v>6000</v>
      </c>
      <c r="G107" s="58">
        <v>0</v>
      </c>
      <c r="H107" s="58">
        <v>6000</v>
      </c>
      <c r="I107" s="316">
        <v>2</v>
      </c>
      <c r="J107" s="58">
        <v>12000</v>
      </c>
      <c r="K107" s="58">
        <v>3750</v>
      </c>
      <c r="L107" s="58">
        <v>3000</v>
      </c>
      <c r="M107" s="58">
        <v>18750</v>
      </c>
      <c r="N107" s="316">
        <v>6.25</v>
      </c>
      <c r="O107" s="58">
        <v>3000</v>
      </c>
      <c r="P107" s="58">
        <v>11000</v>
      </c>
      <c r="Q107" s="58">
        <v>14000</v>
      </c>
      <c r="R107" s="316">
        <f t="shared" si="1"/>
        <v>4.666666666666667</v>
      </c>
      <c r="S107" s="58">
        <v>14561.900464915549</v>
      </c>
    </row>
    <row r="108" spans="1:20" x14ac:dyDescent="0.35">
      <c r="A108" t="s">
        <v>113</v>
      </c>
      <c r="B108" s="58"/>
      <c r="C108" s="58"/>
      <c r="D108" s="58"/>
      <c r="E108" s="316">
        <v>0</v>
      </c>
      <c r="F108" s="58">
        <v>9000</v>
      </c>
      <c r="G108" s="58">
        <v>0</v>
      </c>
      <c r="H108" s="58">
        <v>9000</v>
      </c>
      <c r="I108" s="316">
        <v>3</v>
      </c>
      <c r="J108" s="58">
        <v>9000</v>
      </c>
      <c r="K108" s="58">
        <v>8250</v>
      </c>
      <c r="L108" s="58">
        <v>0</v>
      </c>
      <c r="M108" s="58">
        <v>17250</v>
      </c>
      <c r="N108" s="316">
        <v>5.75</v>
      </c>
      <c r="O108" s="58">
        <v>9000</v>
      </c>
      <c r="P108" s="58">
        <v>15000</v>
      </c>
      <c r="Q108" s="58">
        <v>24000</v>
      </c>
      <c r="R108" s="316">
        <f t="shared" si="1"/>
        <v>8</v>
      </c>
      <c r="S108" s="58">
        <v>24963.25793985523</v>
      </c>
    </row>
    <row r="109" spans="1:20" x14ac:dyDescent="0.35">
      <c r="A109" t="s">
        <v>114</v>
      </c>
      <c r="B109" s="58"/>
      <c r="C109" s="58"/>
      <c r="D109" s="58"/>
      <c r="E109" s="316">
        <v>0</v>
      </c>
      <c r="F109" s="58">
        <v>6000</v>
      </c>
      <c r="G109" s="58">
        <v>0</v>
      </c>
      <c r="H109" s="58">
        <v>6000</v>
      </c>
      <c r="I109" s="316">
        <v>2</v>
      </c>
      <c r="J109" s="58">
        <v>3000</v>
      </c>
      <c r="K109" s="58">
        <v>6000</v>
      </c>
      <c r="L109" s="58">
        <v>0</v>
      </c>
      <c r="M109" s="58">
        <v>9000</v>
      </c>
      <c r="N109" s="316">
        <v>3</v>
      </c>
      <c r="O109" s="58">
        <v>12000</v>
      </c>
      <c r="P109" s="58">
        <v>9000</v>
      </c>
      <c r="Q109" s="58">
        <v>21000</v>
      </c>
      <c r="R109" s="316">
        <f t="shared" si="1"/>
        <v>7</v>
      </c>
      <c r="S109" s="58">
        <v>21842.850697373327</v>
      </c>
    </row>
    <row r="110" spans="1:20" x14ac:dyDescent="0.35">
      <c r="A110" t="s">
        <v>115</v>
      </c>
      <c r="B110" s="58"/>
      <c r="C110" s="58"/>
      <c r="D110" s="58"/>
      <c r="E110" s="316">
        <v>0</v>
      </c>
      <c r="F110" s="58">
        <v>6000</v>
      </c>
      <c r="G110" s="58">
        <v>0</v>
      </c>
      <c r="H110" s="58">
        <v>6000</v>
      </c>
      <c r="I110" s="316">
        <v>2</v>
      </c>
      <c r="J110" s="58">
        <v>12000</v>
      </c>
      <c r="K110" s="58">
        <v>6000</v>
      </c>
      <c r="L110" s="58">
        <v>0</v>
      </c>
      <c r="M110" s="58">
        <v>18000</v>
      </c>
      <c r="N110" s="316">
        <v>6</v>
      </c>
      <c r="O110" s="58">
        <v>30000</v>
      </c>
      <c r="P110" s="58">
        <v>17750</v>
      </c>
      <c r="Q110" s="58">
        <v>47750</v>
      </c>
      <c r="R110" s="316">
        <f t="shared" si="1"/>
        <v>15.916666666666666</v>
      </c>
      <c r="S110" s="58">
        <v>49666.481942836966</v>
      </c>
    </row>
    <row r="111" spans="1:20" x14ac:dyDescent="0.35">
      <c r="A111" t="s">
        <v>116</v>
      </c>
      <c r="B111" s="58">
        <v>3000</v>
      </c>
      <c r="C111" s="58">
        <v>0</v>
      </c>
      <c r="D111" s="58">
        <v>3000</v>
      </c>
      <c r="E111" s="316">
        <v>1</v>
      </c>
      <c r="F111" s="58">
        <v>3000</v>
      </c>
      <c r="G111" s="58">
        <v>1000</v>
      </c>
      <c r="H111" s="58">
        <v>4000</v>
      </c>
      <c r="I111" s="316">
        <v>1.3333333333333333</v>
      </c>
      <c r="J111" s="58">
        <v>42000</v>
      </c>
      <c r="K111" s="58">
        <v>3750</v>
      </c>
      <c r="L111" s="58">
        <v>2000</v>
      </c>
      <c r="M111" s="58">
        <v>47750</v>
      </c>
      <c r="N111" s="316">
        <v>15.916666666666666</v>
      </c>
      <c r="O111" s="58">
        <v>24000</v>
      </c>
      <c r="P111" s="58">
        <v>29000</v>
      </c>
      <c r="Q111" s="58">
        <v>53000</v>
      </c>
      <c r="R111" s="316">
        <f t="shared" si="1"/>
        <v>17.666666666666668</v>
      </c>
      <c r="S111" s="58">
        <v>55127.194617180292</v>
      </c>
    </row>
    <row r="112" spans="1:20" x14ac:dyDescent="0.35">
      <c r="A112" t="s">
        <v>117</v>
      </c>
      <c r="B112" s="58"/>
      <c r="C112" s="58"/>
      <c r="D112" s="58"/>
      <c r="E112" s="316">
        <v>0</v>
      </c>
      <c r="F112" s="58">
        <v>9000</v>
      </c>
      <c r="G112" s="58">
        <v>0</v>
      </c>
      <c r="H112" s="58">
        <v>9000</v>
      </c>
      <c r="I112" s="316">
        <v>3</v>
      </c>
      <c r="J112" s="58">
        <v>3000</v>
      </c>
      <c r="K112" s="58">
        <v>6000</v>
      </c>
      <c r="L112" s="58">
        <v>0</v>
      </c>
      <c r="M112" s="58">
        <v>9000</v>
      </c>
      <c r="N112" s="316">
        <v>3</v>
      </c>
      <c r="O112" s="58">
        <v>9000</v>
      </c>
      <c r="P112" s="58">
        <v>9000</v>
      </c>
      <c r="Q112" s="58">
        <v>18000</v>
      </c>
      <c r="R112" s="316">
        <f t="shared" si="1"/>
        <v>6</v>
      </c>
      <c r="S112" s="58">
        <v>18722.443454891421</v>
      </c>
    </row>
    <row r="113" spans="1:19" x14ac:dyDescent="0.35">
      <c r="A113" t="s">
        <v>118</v>
      </c>
      <c r="B113" s="58"/>
      <c r="C113" s="58"/>
      <c r="D113" s="58"/>
      <c r="E113" s="316">
        <v>0</v>
      </c>
      <c r="F113" s="58">
        <v>0</v>
      </c>
      <c r="G113" s="58">
        <v>0</v>
      </c>
      <c r="H113" s="58">
        <v>0</v>
      </c>
      <c r="I113" s="316">
        <v>0</v>
      </c>
      <c r="J113" s="58">
        <v>9000</v>
      </c>
      <c r="K113" s="58">
        <v>0</v>
      </c>
      <c r="L113" s="58">
        <v>0</v>
      </c>
      <c r="M113" s="58">
        <v>9000</v>
      </c>
      <c r="N113" s="316">
        <v>3</v>
      </c>
      <c r="O113" s="58">
        <v>3000</v>
      </c>
      <c r="P113" s="58">
        <v>5000</v>
      </c>
      <c r="Q113" s="58">
        <v>8000</v>
      </c>
      <c r="R113" s="316">
        <f t="shared" si="1"/>
        <v>2.6666666666666665</v>
      </c>
      <c r="S113" s="58">
        <v>8321.085979951742</v>
      </c>
    </row>
    <row r="114" spans="1:19" x14ac:dyDescent="0.35">
      <c r="A114" t="s">
        <v>119</v>
      </c>
      <c r="B114" s="58">
        <v>6000</v>
      </c>
      <c r="C114" s="58">
        <v>0</v>
      </c>
      <c r="D114" s="58">
        <v>6000</v>
      </c>
      <c r="E114" s="316">
        <v>2</v>
      </c>
      <c r="F114" s="58">
        <v>9000</v>
      </c>
      <c r="G114" s="58">
        <v>6000</v>
      </c>
      <c r="H114" s="58">
        <v>15000</v>
      </c>
      <c r="I114" s="316">
        <v>5</v>
      </c>
      <c r="J114" s="58">
        <v>9000</v>
      </c>
      <c r="K114" s="58">
        <v>12000</v>
      </c>
      <c r="L114" s="58">
        <v>0</v>
      </c>
      <c r="M114" s="58">
        <v>21000</v>
      </c>
      <c r="N114" s="316">
        <v>7</v>
      </c>
      <c r="O114" s="58">
        <v>24000</v>
      </c>
      <c r="P114" s="58">
        <v>21000</v>
      </c>
      <c r="Q114" s="58">
        <v>45000</v>
      </c>
      <c r="R114" s="316">
        <f t="shared" si="1"/>
        <v>15</v>
      </c>
      <c r="S114" s="58">
        <v>46806.108637228557</v>
      </c>
    </row>
    <row r="115" spans="1:19" x14ac:dyDescent="0.35">
      <c r="A115" t="s">
        <v>120</v>
      </c>
      <c r="B115" s="58">
        <v>9000</v>
      </c>
      <c r="C115" s="58">
        <v>750</v>
      </c>
      <c r="D115" s="58">
        <v>9750</v>
      </c>
      <c r="E115" s="316">
        <v>3.25</v>
      </c>
      <c r="F115" s="58">
        <v>27000</v>
      </c>
      <c r="G115" s="58">
        <v>6000</v>
      </c>
      <c r="H115" s="58">
        <v>33000</v>
      </c>
      <c r="I115" s="316">
        <v>11</v>
      </c>
      <c r="J115" s="58">
        <v>69000</v>
      </c>
      <c r="K115" s="58">
        <v>26750</v>
      </c>
      <c r="L115" s="58">
        <v>4250</v>
      </c>
      <c r="M115" s="58">
        <v>100000</v>
      </c>
      <c r="N115" s="316">
        <v>33.333333333333336</v>
      </c>
      <c r="O115" s="58">
        <v>51000</v>
      </c>
      <c r="P115" s="58">
        <v>77000</v>
      </c>
      <c r="Q115" s="58">
        <v>128000</v>
      </c>
      <c r="R115" s="316">
        <f t="shared" si="1"/>
        <v>42.666666666666664</v>
      </c>
      <c r="S115" s="58">
        <v>133137.37567922787</v>
      </c>
    </row>
    <row r="117" spans="1:19" x14ac:dyDescent="0.35">
      <c r="A117" t="s">
        <v>122</v>
      </c>
      <c r="B117" s="58">
        <v>48000</v>
      </c>
      <c r="C117" s="58">
        <v>5000</v>
      </c>
      <c r="D117" s="58">
        <v>53000</v>
      </c>
      <c r="E117" s="316">
        <v>17.666666666666668</v>
      </c>
      <c r="F117" s="58">
        <v>84000</v>
      </c>
      <c r="G117" s="58">
        <v>31750</v>
      </c>
      <c r="H117" s="58">
        <v>115750</v>
      </c>
      <c r="I117" s="316">
        <v>38.583333333333336</v>
      </c>
      <c r="J117" s="58">
        <v>66000</v>
      </c>
      <c r="K117" s="58">
        <v>106000</v>
      </c>
      <c r="L117" s="58">
        <v>7000</v>
      </c>
      <c r="M117" s="58">
        <v>179000</v>
      </c>
      <c r="N117" s="316">
        <v>59.666666666666664</v>
      </c>
      <c r="O117" s="58">
        <v>120000</v>
      </c>
      <c r="P117" s="58">
        <v>159750</v>
      </c>
      <c r="Q117" s="58">
        <v>279750</v>
      </c>
      <c r="R117" s="316">
        <f t="shared" si="1"/>
        <v>93.25</v>
      </c>
      <c r="S117" s="58">
        <v>290977.97536143748</v>
      </c>
    </row>
    <row r="118" spans="1:19" x14ac:dyDescent="0.35">
      <c r="A118" t="s">
        <v>123</v>
      </c>
      <c r="B118" s="58"/>
      <c r="C118" s="58"/>
      <c r="D118" s="58"/>
      <c r="E118" s="316">
        <v>0</v>
      </c>
      <c r="F118" s="58">
        <v>0</v>
      </c>
      <c r="G118" s="58">
        <v>0</v>
      </c>
      <c r="H118" s="58">
        <v>0</v>
      </c>
      <c r="I118" s="316">
        <v>0</v>
      </c>
      <c r="J118" s="58">
        <v>0</v>
      </c>
      <c r="K118" s="58">
        <v>0</v>
      </c>
      <c r="L118" s="58">
        <v>0</v>
      </c>
      <c r="M118" s="58">
        <v>0</v>
      </c>
      <c r="N118" s="316">
        <v>0</v>
      </c>
      <c r="O118" s="58">
        <v>0</v>
      </c>
      <c r="P118" s="58">
        <v>0</v>
      </c>
      <c r="Q118" s="58">
        <v>0</v>
      </c>
      <c r="R118" s="316">
        <f t="shared" si="1"/>
        <v>0</v>
      </c>
      <c r="S118" s="58">
        <v>0</v>
      </c>
    </row>
    <row r="119" spans="1:19" x14ac:dyDescent="0.35">
      <c r="A119" t="s">
        <v>124</v>
      </c>
      <c r="B119" s="58"/>
      <c r="C119" s="58"/>
      <c r="D119" s="58"/>
      <c r="E119" s="316">
        <v>0</v>
      </c>
      <c r="F119" s="58">
        <v>3000</v>
      </c>
      <c r="G119" s="58">
        <v>0</v>
      </c>
      <c r="H119" s="58">
        <v>3000</v>
      </c>
      <c r="I119" s="316">
        <v>1</v>
      </c>
      <c r="J119" s="58">
        <v>15000</v>
      </c>
      <c r="K119" s="58">
        <v>3000</v>
      </c>
      <c r="L119" s="58">
        <v>0</v>
      </c>
      <c r="M119" s="58">
        <v>18000</v>
      </c>
      <c r="N119" s="316">
        <v>6</v>
      </c>
      <c r="O119" s="58">
        <v>21000</v>
      </c>
      <c r="P119" s="58">
        <v>15000</v>
      </c>
      <c r="Q119" s="58">
        <v>36000</v>
      </c>
      <c r="R119" s="316">
        <f t="shared" si="1"/>
        <v>12</v>
      </c>
      <c r="S119" s="58">
        <v>37444.886909782843</v>
      </c>
    </row>
    <row r="120" spans="1:19" x14ac:dyDescent="0.35">
      <c r="A120" t="s">
        <v>125</v>
      </c>
      <c r="B120" s="58"/>
      <c r="C120" s="58"/>
      <c r="D120" s="58"/>
      <c r="E120" s="316">
        <v>0</v>
      </c>
      <c r="F120" s="58">
        <v>0</v>
      </c>
      <c r="G120" s="58">
        <v>0</v>
      </c>
      <c r="H120" s="58">
        <v>0</v>
      </c>
      <c r="I120" s="316">
        <v>0</v>
      </c>
      <c r="J120" s="58">
        <v>6000</v>
      </c>
      <c r="K120" s="58">
        <v>0</v>
      </c>
      <c r="L120" s="58">
        <v>0</v>
      </c>
      <c r="M120" s="58">
        <v>6000</v>
      </c>
      <c r="N120" s="316">
        <v>2</v>
      </c>
      <c r="O120" s="58">
        <v>3000</v>
      </c>
      <c r="P120" s="58">
        <v>6000</v>
      </c>
      <c r="Q120" s="58">
        <v>9000</v>
      </c>
      <c r="R120" s="316">
        <f t="shared" si="1"/>
        <v>3</v>
      </c>
      <c r="S120" s="58">
        <v>9361.2217274457107</v>
      </c>
    </row>
    <row r="121" spans="1:19" x14ac:dyDescent="0.35">
      <c r="A121" t="s">
        <v>126</v>
      </c>
      <c r="B121" s="58"/>
      <c r="C121" s="58"/>
      <c r="D121" s="58"/>
      <c r="E121" s="316">
        <v>0</v>
      </c>
      <c r="F121" s="58">
        <v>39000</v>
      </c>
      <c r="G121" s="58">
        <v>3000</v>
      </c>
      <c r="H121" s="58">
        <v>42000</v>
      </c>
      <c r="I121" s="316">
        <v>14</v>
      </c>
      <c r="J121" s="58">
        <v>24000</v>
      </c>
      <c r="K121" s="58">
        <v>35500</v>
      </c>
      <c r="L121" s="58">
        <v>0</v>
      </c>
      <c r="M121" s="58">
        <v>59500</v>
      </c>
      <c r="N121" s="316">
        <v>19.833333333333332</v>
      </c>
      <c r="O121" s="58">
        <v>27000</v>
      </c>
      <c r="P121" s="58">
        <v>50750</v>
      </c>
      <c r="Q121" s="58">
        <v>77750</v>
      </c>
      <c r="R121" s="316">
        <f t="shared" si="1"/>
        <v>25.916666666666668</v>
      </c>
      <c r="S121" s="58">
        <v>80870.554367656005</v>
      </c>
    </row>
    <row r="122" spans="1:19" x14ac:dyDescent="0.35">
      <c r="A122" t="s">
        <v>127</v>
      </c>
      <c r="B122" s="58">
        <v>33000</v>
      </c>
      <c r="C122" s="58">
        <v>0</v>
      </c>
      <c r="D122" s="58">
        <v>33000</v>
      </c>
      <c r="E122" s="316">
        <v>11</v>
      </c>
      <c r="F122" s="58">
        <v>0</v>
      </c>
      <c r="G122" s="58">
        <v>28250</v>
      </c>
      <c r="H122" s="58">
        <v>28250</v>
      </c>
      <c r="I122" s="316">
        <v>9.4166666666666661</v>
      </c>
      <c r="J122" s="58">
        <v>12000</v>
      </c>
      <c r="K122" s="58">
        <v>24250</v>
      </c>
      <c r="L122" s="58">
        <v>3000</v>
      </c>
      <c r="M122" s="58">
        <v>39250</v>
      </c>
      <c r="N122" s="316">
        <v>13.083333333333334</v>
      </c>
      <c r="O122" s="58">
        <v>24000</v>
      </c>
      <c r="P122" s="58">
        <v>30000</v>
      </c>
      <c r="Q122" s="58">
        <v>54000</v>
      </c>
      <c r="R122" s="316">
        <f t="shared" si="1"/>
        <v>18</v>
      </c>
      <c r="S122" s="58">
        <v>56167.330364674264</v>
      </c>
    </row>
    <row r="123" spans="1:19" x14ac:dyDescent="0.35">
      <c r="A123" t="s">
        <v>128</v>
      </c>
      <c r="B123" s="58"/>
      <c r="C123" s="58"/>
      <c r="D123" s="58"/>
      <c r="E123" s="316">
        <v>0</v>
      </c>
      <c r="F123" s="58">
        <v>12000</v>
      </c>
      <c r="G123" s="58">
        <v>0</v>
      </c>
      <c r="H123" s="58">
        <v>12000</v>
      </c>
      <c r="I123" s="316">
        <v>4</v>
      </c>
      <c r="J123" s="58">
        <v>0</v>
      </c>
      <c r="K123" s="58">
        <v>11000</v>
      </c>
      <c r="L123" s="58">
        <v>0</v>
      </c>
      <c r="M123" s="58">
        <v>11000</v>
      </c>
      <c r="N123" s="316">
        <v>3.6666666666666665</v>
      </c>
      <c r="O123" s="58">
        <v>9000</v>
      </c>
      <c r="P123" s="58">
        <v>9000</v>
      </c>
      <c r="Q123" s="58">
        <v>18000</v>
      </c>
      <c r="R123" s="316">
        <f t="shared" si="1"/>
        <v>6</v>
      </c>
      <c r="S123" s="58">
        <v>18722.443454891421</v>
      </c>
    </row>
    <row r="124" spans="1:19" x14ac:dyDescent="0.35">
      <c r="A124" t="s">
        <v>129</v>
      </c>
      <c r="B124" s="58"/>
      <c r="C124" s="58"/>
      <c r="D124" s="58"/>
      <c r="E124" s="316">
        <v>0</v>
      </c>
      <c r="F124" s="58">
        <v>3000</v>
      </c>
      <c r="G124" s="58">
        <v>0</v>
      </c>
      <c r="H124" s="58">
        <v>3000</v>
      </c>
      <c r="I124" s="316">
        <v>1</v>
      </c>
      <c r="J124" s="58">
        <v>0</v>
      </c>
      <c r="K124" s="58">
        <v>3000</v>
      </c>
      <c r="L124" s="58">
        <v>0</v>
      </c>
      <c r="M124" s="58">
        <v>3000</v>
      </c>
      <c r="N124" s="316">
        <v>1</v>
      </c>
      <c r="O124" s="58">
        <v>42000</v>
      </c>
      <c r="P124" s="58">
        <v>1250</v>
      </c>
      <c r="Q124" s="58">
        <v>43250</v>
      </c>
      <c r="R124" s="316">
        <f t="shared" si="1"/>
        <v>14.416666666666666</v>
      </c>
      <c r="S124" s="58">
        <v>44985.871079114113</v>
      </c>
    </row>
    <row r="125" spans="1:19" x14ac:dyDescent="0.35">
      <c r="A125" t="s">
        <v>130</v>
      </c>
      <c r="B125" s="58"/>
      <c r="C125" s="58"/>
      <c r="D125" s="58"/>
      <c r="E125" s="316">
        <v>0</v>
      </c>
      <c r="F125" s="58">
        <v>3000</v>
      </c>
      <c r="G125" s="58">
        <v>0</v>
      </c>
      <c r="H125" s="58">
        <v>3000</v>
      </c>
      <c r="I125" s="316">
        <v>1</v>
      </c>
      <c r="J125" s="58">
        <v>6000</v>
      </c>
      <c r="K125" s="58">
        <v>3000</v>
      </c>
      <c r="L125" s="58">
        <v>0</v>
      </c>
      <c r="M125" s="58">
        <v>9000</v>
      </c>
      <c r="N125" s="316">
        <v>3</v>
      </c>
      <c r="O125" s="58">
        <v>3000</v>
      </c>
      <c r="P125" s="58">
        <v>6000</v>
      </c>
      <c r="Q125" s="58">
        <v>9000</v>
      </c>
      <c r="R125" s="316">
        <f t="shared" si="1"/>
        <v>3</v>
      </c>
      <c r="S125" s="58">
        <v>9361.2217274457107</v>
      </c>
    </row>
    <row r="126" spans="1:19" x14ac:dyDescent="0.35">
      <c r="A126" t="s">
        <v>131</v>
      </c>
      <c r="B126" s="58"/>
      <c r="C126" s="58"/>
      <c r="D126" s="58"/>
      <c r="E126" s="316">
        <v>0</v>
      </c>
      <c r="F126" s="58">
        <v>0</v>
      </c>
      <c r="G126" s="58">
        <v>0</v>
      </c>
      <c r="H126" s="58">
        <v>0</v>
      </c>
      <c r="I126" s="316">
        <v>0</v>
      </c>
      <c r="J126" s="58">
        <v>0</v>
      </c>
      <c r="K126" s="58">
        <v>0</v>
      </c>
      <c r="L126" s="58">
        <v>0</v>
      </c>
      <c r="M126" s="58">
        <v>0</v>
      </c>
      <c r="N126" s="316">
        <v>0</v>
      </c>
      <c r="O126" s="58">
        <v>3000</v>
      </c>
      <c r="P126" s="58">
        <v>0</v>
      </c>
      <c r="Q126" s="58">
        <v>3000</v>
      </c>
      <c r="R126" s="316">
        <f t="shared" si="1"/>
        <v>1</v>
      </c>
      <c r="S126" s="58">
        <v>3120.4072424819037</v>
      </c>
    </row>
    <row r="127" spans="1:19" x14ac:dyDescent="0.35">
      <c r="A127" t="s">
        <v>132</v>
      </c>
      <c r="B127" s="58"/>
      <c r="C127" s="58"/>
      <c r="D127" s="58"/>
      <c r="E127" s="316">
        <v>0</v>
      </c>
      <c r="F127" s="58">
        <v>3000</v>
      </c>
      <c r="G127" s="58">
        <v>0</v>
      </c>
      <c r="H127" s="58">
        <v>3000</v>
      </c>
      <c r="I127" s="316">
        <v>1</v>
      </c>
      <c r="J127" s="58">
        <v>12000</v>
      </c>
      <c r="K127" s="58">
        <v>3000</v>
      </c>
      <c r="L127" s="58">
        <v>0</v>
      </c>
      <c r="M127" s="58">
        <v>15000</v>
      </c>
      <c r="N127" s="316">
        <v>5</v>
      </c>
      <c r="O127" s="58">
        <v>3000</v>
      </c>
      <c r="P127" s="58">
        <v>15000</v>
      </c>
      <c r="Q127" s="58">
        <v>18000</v>
      </c>
      <c r="R127" s="316">
        <f t="shared" si="1"/>
        <v>6</v>
      </c>
      <c r="S127" s="58">
        <v>18722.443454891421</v>
      </c>
    </row>
    <row r="128" spans="1:19" x14ac:dyDescent="0.35">
      <c r="A128" t="s">
        <v>133</v>
      </c>
      <c r="B128" s="58"/>
      <c r="C128" s="58"/>
      <c r="D128" s="58"/>
      <c r="E128" s="316">
        <v>0</v>
      </c>
      <c r="F128" s="58">
        <v>0</v>
      </c>
      <c r="G128" s="58">
        <v>0</v>
      </c>
      <c r="H128" s="58">
        <v>0</v>
      </c>
      <c r="I128" s="316">
        <v>0</v>
      </c>
      <c r="J128" s="58">
        <v>3000</v>
      </c>
      <c r="K128" s="58">
        <v>0</v>
      </c>
      <c r="L128" s="58">
        <v>0</v>
      </c>
      <c r="M128" s="58">
        <v>3000</v>
      </c>
      <c r="N128" s="316">
        <v>1</v>
      </c>
      <c r="O128" s="58">
        <v>3000</v>
      </c>
      <c r="P128" s="58">
        <v>3000</v>
      </c>
      <c r="Q128" s="58">
        <v>6000</v>
      </c>
      <c r="R128" s="316">
        <f t="shared" si="1"/>
        <v>2</v>
      </c>
      <c r="S128" s="58">
        <v>6240.8144849638074</v>
      </c>
    </row>
    <row r="129" spans="1:19" x14ac:dyDescent="0.35">
      <c r="A129" t="s">
        <v>134</v>
      </c>
      <c r="B129" s="58"/>
      <c r="C129" s="58"/>
      <c r="D129" s="58"/>
      <c r="E129" s="316">
        <v>0</v>
      </c>
      <c r="F129" s="58">
        <v>0</v>
      </c>
      <c r="G129" s="58">
        <v>0</v>
      </c>
      <c r="H129" s="58">
        <v>0</v>
      </c>
      <c r="I129" s="316">
        <v>0</v>
      </c>
      <c r="J129" s="58">
        <v>0</v>
      </c>
      <c r="K129" s="58">
        <v>0</v>
      </c>
      <c r="L129" s="58">
        <v>0</v>
      </c>
      <c r="M129" s="58">
        <v>0</v>
      </c>
      <c r="N129" s="316">
        <v>0</v>
      </c>
      <c r="O129" s="58">
        <v>6000</v>
      </c>
      <c r="P129" s="58">
        <v>0</v>
      </c>
      <c r="Q129" s="58">
        <v>6000</v>
      </c>
      <c r="R129" s="316">
        <f t="shared" si="1"/>
        <v>2</v>
      </c>
      <c r="S129" s="58">
        <v>6240.8144849638074</v>
      </c>
    </row>
    <row r="130" spans="1:19" x14ac:dyDescent="0.35">
      <c r="A130" t="s">
        <v>135</v>
      </c>
      <c r="B130" s="58"/>
      <c r="C130" s="58"/>
      <c r="D130" s="58"/>
      <c r="E130" s="316">
        <v>0</v>
      </c>
      <c r="F130" s="58">
        <v>0</v>
      </c>
      <c r="G130" s="58">
        <v>0</v>
      </c>
      <c r="H130" s="58">
        <v>0</v>
      </c>
      <c r="I130" s="316">
        <v>0</v>
      </c>
      <c r="J130" s="58">
        <v>0</v>
      </c>
      <c r="K130" s="58">
        <v>0</v>
      </c>
      <c r="L130" s="58">
        <v>0</v>
      </c>
      <c r="M130" s="58">
        <v>0</v>
      </c>
      <c r="N130" s="316">
        <v>0</v>
      </c>
      <c r="O130" s="58">
        <v>3000</v>
      </c>
      <c r="P130" s="58">
        <v>0</v>
      </c>
      <c r="Q130" s="58">
        <v>3000</v>
      </c>
      <c r="R130" s="316">
        <f t="shared" si="1"/>
        <v>1</v>
      </c>
      <c r="S130" s="58">
        <v>3120.4072424819037</v>
      </c>
    </row>
    <row r="131" spans="1:19" x14ac:dyDescent="0.35">
      <c r="A131" t="s">
        <v>136</v>
      </c>
      <c r="B131" s="58"/>
      <c r="C131" s="58"/>
      <c r="D131" s="58"/>
      <c r="E131" s="316">
        <v>0</v>
      </c>
      <c r="F131" s="58">
        <v>0</v>
      </c>
      <c r="G131" s="58">
        <v>0</v>
      </c>
      <c r="H131" s="58">
        <v>0</v>
      </c>
      <c r="I131" s="316">
        <v>0</v>
      </c>
      <c r="J131" s="58">
        <v>3000</v>
      </c>
      <c r="K131" s="58">
        <v>0</v>
      </c>
      <c r="L131" s="58">
        <v>0</v>
      </c>
      <c r="M131" s="58">
        <v>3000</v>
      </c>
      <c r="N131" s="316">
        <v>1</v>
      </c>
      <c r="O131" s="58">
        <v>6000</v>
      </c>
      <c r="P131" s="58">
        <v>3000</v>
      </c>
      <c r="Q131" s="58">
        <v>9000</v>
      </c>
      <c r="R131" s="316">
        <f t="shared" si="1"/>
        <v>3</v>
      </c>
      <c r="S131" s="58">
        <v>9361.2217274457107</v>
      </c>
    </row>
    <row r="132" spans="1:19" x14ac:dyDescent="0.35">
      <c r="A132" t="s">
        <v>137</v>
      </c>
      <c r="B132" s="58"/>
      <c r="C132" s="58"/>
      <c r="D132" s="58"/>
      <c r="E132" s="316">
        <v>0</v>
      </c>
      <c r="F132" s="58">
        <v>3000</v>
      </c>
      <c r="G132" s="58">
        <v>0</v>
      </c>
      <c r="H132" s="58">
        <v>3000</v>
      </c>
      <c r="I132" s="316">
        <v>1</v>
      </c>
      <c r="J132" s="58">
        <v>0</v>
      </c>
      <c r="K132" s="58">
        <v>3000</v>
      </c>
      <c r="L132" s="58">
        <v>0</v>
      </c>
      <c r="M132" s="58">
        <v>3000</v>
      </c>
      <c r="N132" s="316">
        <v>1</v>
      </c>
      <c r="O132" s="58">
        <v>24000</v>
      </c>
      <c r="P132" s="58">
        <v>3000</v>
      </c>
      <c r="Q132" s="58">
        <v>27000</v>
      </c>
      <c r="R132" s="316">
        <f t="shared" si="1"/>
        <v>9</v>
      </c>
      <c r="S132" s="58">
        <v>28083.665182337132</v>
      </c>
    </row>
    <row r="134" spans="1:19" x14ac:dyDescent="0.35">
      <c r="A134" t="s">
        <v>139</v>
      </c>
      <c r="B134" s="58"/>
      <c r="C134" s="58"/>
      <c r="D134" s="58"/>
      <c r="E134" s="316">
        <v>0</v>
      </c>
      <c r="F134" s="58">
        <v>9000</v>
      </c>
      <c r="G134" s="58">
        <v>0</v>
      </c>
      <c r="H134" s="58">
        <v>9000</v>
      </c>
      <c r="I134" s="316">
        <v>3</v>
      </c>
      <c r="J134" s="58">
        <v>21000</v>
      </c>
      <c r="K134" s="58">
        <v>4000</v>
      </c>
      <c r="L134" s="58">
        <v>0</v>
      </c>
      <c r="M134" s="58">
        <v>25000</v>
      </c>
      <c r="N134" s="316">
        <v>8.3333333333333339</v>
      </c>
      <c r="O134" s="58">
        <v>30000</v>
      </c>
      <c r="P134" s="58">
        <v>25750</v>
      </c>
      <c r="Q134" s="58">
        <v>55750</v>
      </c>
      <c r="R134" s="316">
        <f t="shared" si="1"/>
        <v>18.583333333333332</v>
      </c>
      <c r="S134" s="58">
        <v>57987.567922788716</v>
      </c>
    </row>
    <row r="135" spans="1:19" x14ac:dyDescent="0.35">
      <c r="A135" t="s">
        <v>140</v>
      </c>
      <c r="B135" s="58"/>
      <c r="C135" s="58"/>
      <c r="D135" s="58"/>
      <c r="E135" s="316">
        <v>0</v>
      </c>
      <c r="F135" s="58">
        <v>3000</v>
      </c>
      <c r="G135" s="58">
        <v>0</v>
      </c>
      <c r="H135" s="58">
        <v>3000</v>
      </c>
      <c r="I135" s="316">
        <v>1</v>
      </c>
      <c r="J135" s="58">
        <v>3000</v>
      </c>
      <c r="K135" s="58">
        <v>3000</v>
      </c>
      <c r="L135" s="58">
        <v>0</v>
      </c>
      <c r="M135" s="58">
        <v>6000</v>
      </c>
      <c r="N135" s="316">
        <v>2</v>
      </c>
      <c r="O135" s="58">
        <v>0</v>
      </c>
      <c r="P135" s="58">
        <v>6000</v>
      </c>
      <c r="Q135" s="58">
        <v>6000</v>
      </c>
      <c r="R135" s="316">
        <f t="shared" ref="R135:R198" si="2">+Q135/3000</f>
        <v>2</v>
      </c>
      <c r="S135" s="58">
        <v>6240.8144849638074</v>
      </c>
    </row>
    <row r="136" spans="1:19" x14ac:dyDescent="0.35">
      <c r="A136" t="s">
        <v>141</v>
      </c>
      <c r="B136" s="58"/>
      <c r="C136" s="58"/>
      <c r="D136" s="58"/>
      <c r="E136" s="316">
        <v>0</v>
      </c>
      <c r="F136" s="58">
        <v>6000</v>
      </c>
      <c r="G136" s="58">
        <v>0</v>
      </c>
      <c r="H136" s="58">
        <v>6000</v>
      </c>
      <c r="I136" s="316">
        <v>2</v>
      </c>
      <c r="J136" s="58">
        <v>6000</v>
      </c>
      <c r="K136" s="58">
        <v>6000</v>
      </c>
      <c r="L136" s="58">
        <v>0</v>
      </c>
      <c r="M136" s="58">
        <v>12000</v>
      </c>
      <c r="N136" s="316">
        <v>4</v>
      </c>
      <c r="O136" s="58">
        <v>0</v>
      </c>
      <c r="P136" s="58">
        <v>12000</v>
      </c>
      <c r="Q136" s="58">
        <v>12000</v>
      </c>
      <c r="R136" s="316">
        <f t="shared" si="2"/>
        <v>4</v>
      </c>
      <c r="S136" s="58">
        <v>12481.628969927615</v>
      </c>
    </row>
    <row r="137" spans="1:19" x14ac:dyDescent="0.35">
      <c r="A137" t="s">
        <v>142</v>
      </c>
      <c r="B137" s="58"/>
      <c r="C137" s="58"/>
      <c r="D137" s="58"/>
      <c r="E137" s="316">
        <v>0</v>
      </c>
      <c r="F137" s="58">
        <v>3000</v>
      </c>
      <c r="G137" s="58">
        <v>0</v>
      </c>
      <c r="H137" s="58">
        <v>3000</v>
      </c>
      <c r="I137" s="316">
        <v>1</v>
      </c>
      <c r="J137" s="58">
        <v>9000</v>
      </c>
      <c r="K137" s="58">
        <v>3000</v>
      </c>
      <c r="L137" s="58">
        <v>0</v>
      </c>
      <c r="M137" s="58">
        <v>12000</v>
      </c>
      <c r="N137" s="316">
        <v>4</v>
      </c>
      <c r="O137" s="58">
        <v>3000</v>
      </c>
      <c r="P137" s="58">
        <v>12000</v>
      </c>
      <c r="Q137" s="58">
        <v>15000</v>
      </c>
      <c r="R137" s="316">
        <f t="shared" si="2"/>
        <v>5</v>
      </c>
      <c r="S137" s="58">
        <v>15602.036212409517</v>
      </c>
    </row>
    <row r="138" spans="1:19" x14ac:dyDescent="0.35">
      <c r="A138" t="s">
        <v>143</v>
      </c>
      <c r="B138" s="58"/>
      <c r="C138" s="58"/>
      <c r="D138" s="58"/>
      <c r="E138" s="316">
        <v>0</v>
      </c>
      <c r="F138" s="58">
        <v>3000</v>
      </c>
      <c r="G138" s="58">
        <v>0</v>
      </c>
      <c r="H138" s="58">
        <v>3000</v>
      </c>
      <c r="I138" s="316">
        <v>1</v>
      </c>
      <c r="J138" s="58">
        <v>6000</v>
      </c>
      <c r="K138" s="58">
        <v>3000</v>
      </c>
      <c r="L138" s="58">
        <v>0</v>
      </c>
      <c r="M138" s="58">
        <v>9000</v>
      </c>
      <c r="N138" s="316">
        <v>3</v>
      </c>
      <c r="O138" s="58">
        <v>12000</v>
      </c>
      <c r="P138" s="58">
        <v>9000</v>
      </c>
      <c r="Q138" s="58">
        <v>21000</v>
      </c>
      <c r="R138" s="316">
        <f t="shared" si="2"/>
        <v>7</v>
      </c>
      <c r="S138" s="58">
        <v>21842.850697373327</v>
      </c>
    </row>
    <row r="139" spans="1:19" x14ac:dyDescent="0.35">
      <c r="A139" t="s">
        <v>144</v>
      </c>
      <c r="B139" s="58">
        <v>6000</v>
      </c>
      <c r="C139" s="58">
        <v>250</v>
      </c>
      <c r="D139" s="58">
        <v>6250</v>
      </c>
      <c r="E139" s="316">
        <v>2.0833333333333335</v>
      </c>
      <c r="F139" s="58">
        <v>12000</v>
      </c>
      <c r="G139" s="58">
        <v>3500</v>
      </c>
      <c r="H139" s="58">
        <v>15500</v>
      </c>
      <c r="I139" s="316">
        <v>5.166666666666667</v>
      </c>
      <c r="J139" s="58">
        <v>63000</v>
      </c>
      <c r="K139" s="58">
        <v>13500</v>
      </c>
      <c r="L139" s="58">
        <v>0</v>
      </c>
      <c r="M139" s="58">
        <v>76500</v>
      </c>
      <c r="N139" s="316">
        <v>25.5</v>
      </c>
      <c r="O139" s="58">
        <v>39000</v>
      </c>
      <c r="P139" s="58">
        <v>54750</v>
      </c>
      <c r="Q139" s="58">
        <v>93750</v>
      </c>
      <c r="R139" s="316">
        <f t="shared" si="2"/>
        <v>31.25</v>
      </c>
      <c r="S139" s="58">
        <v>97512.726327559489</v>
      </c>
    </row>
    <row r="140" spans="1:19" x14ac:dyDescent="0.35">
      <c r="A140" t="s">
        <v>145</v>
      </c>
      <c r="B140" s="58"/>
      <c r="C140" s="58"/>
      <c r="D140" s="58"/>
      <c r="E140" s="316">
        <v>0</v>
      </c>
      <c r="F140" s="58">
        <v>3000</v>
      </c>
      <c r="G140" s="58">
        <v>0</v>
      </c>
      <c r="H140" s="58">
        <v>3000</v>
      </c>
      <c r="I140" s="316">
        <v>1</v>
      </c>
      <c r="J140" s="58">
        <v>3000</v>
      </c>
      <c r="K140" s="58">
        <v>3000</v>
      </c>
      <c r="L140" s="58">
        <v>0</v>
      </c>
      <c r="M140" s="58">
        <v>6000</v>
      </c>
      <c r="N140" s="316">
        <v>2</v>
      </c>
      <c r="O140" s="58">
        <v>9000</v>
      </c>
      <c r="P140" s="58">
        <v>6000</v>
      </c>
      <c r="Q140" s="58">
        <v>15000</v>
      </c>
      <c r="R140" s="316">
        <f t="shared" si="2"/>
        <v>5</v>
      </c>
      <c r="S140" s="58">
        <v>15602.036212409517</v>
      </c>
    </row>
    <row r="141" spans="1:19" x14ac:dyDescent="0.35">
      <c r="A141" t="s">
        <v>146</v>
      </c>
      <c r="B141" s="58"/>
      <c r="C141" s="58"/>
      <c r="D141" s="58"/>
      <c r="E141" s="316">
        <v>0</v>
      </c>
      <c r="F141" s="58">
        <v>12000</v>
      </c>
      <c r="G141" s="58">
        <v>0</v>
      </c>
      <c r="H141" s="58">
        <v>12000</v>
      </c>
      <c r="I141" s="316">
        <v>4</v>
      </c>
      <c r="J141" s="58">
        <v>39000</v>
      </c>
      <c r="K141" s="58">
        <v>12000</v>
      </c>
      <c r="L141" s="58">
        <v>0</v>
      </c>
      <c r="M141" s="58">
        <v>51000</v>
      </c>
      <c r="N141" s="316">
        <v>17</v>
      </c>
      <c r="O141" s="58">
        <v>36000</v>
      </c>
      <c r="P141" s="58">
        <v>48250</v>
      </c>
      <c r="Q141" s="58">
        <v>84250</v>
      </c>
      <c r="R141" s="316">
        <f t="shared" si="2"/>
        <v>28.083333333333332</v>
      </c>
      <c r="S141" s="58">
        <v>87631.436726366795</v>
      </c>
    </row>
    <row r="142" spans="1:19" x14ac:dyDescent="0.35">
      <c r="A142" t="s">
        <v>147</v>
      </c>
      <c r="B142" s="58"/>
      <c r="C142" s="58"/>
      <c r="D142" s="58"/>
      <c r="E142" s="316">
        <v>0</v>
      </c>
      <c r="F142" s="58">
        <v>9000</v>
      </c>
      <c r="G142" s="58">
        <v>0</v>
      </c>
      <c r="H142" s="58">
        <v>9000</v>
      </c>
      <c r="I142" s="316">
        <v>3</v>
      </c>
      <c r="J142" s="58">
        <v>24000</v>
      </c>
      <c r="K142" s="58">
        <v>5000</v>
      </c>
      <c r="L142" s="58">
        <v>0</v>
      </c>
      <c r="M142" s="58">
        <v>29000</v>
      </c>
      <c r="N142" s="316">
        <v>9.6666666666666661</v>
      </c>
      <c r="O142" s="58">
        <v>21000</v>
      </c>
      <c r="P142" s="58">
        <v>22750</v>
      </c>
      <c r="Q142" s="58">
        <v>43750</v>
      </c>
      <c r="R142" s="316">
        <f t="shared" si="2"/>
        <v>14.583333333333334</v>
      </c>
      <c r="S142" s="58">
        <v>45505.938952861099</v>
      </c>
    </row>
    <row r="143" spans="1:19" x14ac:dyDescent="0.35">
      <c r="A143" t="s">
        <v>148</v>
      </c>
      <c r="B143" s="58"/>
      <c r="C143" s="58"/>
      <c r="D143" s="58"/>
      <c r="E143" s="316">
        <v>0</v>
      </c>
      <c r="F143" s="58">
        <v>0</v>
      </c>
      <c r="G143" s="58">
        <v>0</v>
      </c>
      <c r="H143" s="58">
        <v>0</v>
      </c>
      <c r="I143" s="316">
        <v>0</v>
      </c>
      <c r="J143" s="58">
        <v>0</v>
      </c>
      <c r="K143" s="58">
        <v>0</v>
      </c>
      <c r="L143" s="58">
        <v>0</v>
      </c>
      <c r="M143" s="58">
        <v>0</v>
      </c>
      <c r="N143" s="316">
        <v>0</v>
      </c>
      <c r="O143" s="58">
        <v>0</v>
      </c>
      <c r="P143" s="58">
        <v>0</v>
      </c>
      <c r="Q143" s="58">
        <v>0</v>
      </c>
      <c r="R143" s="316">
        <f t="shared" si="2"/>
        <v>0</v>
      </c>
      <c r="S143" s="58">
        <v>0</v>
      </c>
    </row>
    <row r="144" spans="1:19" x14ac:dyDescent="0.35">
      <c r="A144" t="s">
        <v>149</v>
      </c>
      <c r="B144" s="58"/>
      <c r="C144" s="58"/>
      <c r="D144" s="58"/>
      <c r="E144" s="316">
        <v>0</v>
      </c>
      <c r="F144" s="58">
        <v>6000</v>
      </c>
      <c r="G144" s="58">
        <v>0</v>
      </c>
      <c r="H144" s="58">
        <v>6000</v>
      </c>
      <c r="I144" s="316">
        <v>2</v>
      </c>
      <c r="J144" s="58">
        <v>6000</v>
      </c>
      <c r="K144" s="58">
        <v>6000</v>
      </c>
      <c r="L144" s="58">
        <v>0</v>
      </c>
      <c r="M144" s="58">
        <v>12000</v>
      </c>
      <c r="N144" s="316">
        <v>4</v>
      </c>
      <c r="O144" s="58">
        <v>15000</v>
      </c>
      <c r="P144" s="58">
        <v>9000</v>
      </c>
      <c r="Q144" s="58">
        <v>24000</v>
      </c>
      <c r="R144" s="316">
        <f t="shared" si="2"/>
        <v>8</v>
      </c>
      <c r="S144" s="58">
        <v>24963.25793985523</v>
      </c>
    </row>
    <row r="145" spans="1:19" x14ac:dyDescent="0.35">
      <c r="A145" t="s">
        <v>150</v>
      </c>
      <c r="B145" s="58"/>
      <c r="C145" s="58"/>
      <c r="D145" s="58"/>
      <c r="E145" s="316">
        <v>0</v>
      </c>
      <c r="F145" s="58">
        <v>0</v>
      </c>
      <c r="G145" s="58">
        <v>0</v>
      </c>
      <c r="H145" s="58">
        <v>0</v>
      </c>
      <c r="I145" s="316">
        <v>0</v>
      </c>
      <c r="J145" s="58">
        <v>15000</v>
      </c>
      <c r="K145" s="58">
        <v>0</v>
      </c>
      <c r="L145" s="58">
        <v>0</v>
      </c>
      <c r="M145" s="58">
        <v>15000</v>
      </c>
      <c r="N145" s="316">
        <v>5</v>
      </c>
      <c r="O145" s="58">
        <v>15000</v>
      </c>
      <c r="P145" s="58">
        <v>7250</v>
      </c>
      <c r="Q145" s="58">
        <v>22250</v>
      </c>
      <c r="R145" s="316">
        <f t="shared" si="2"/>
        <v>7.416666666666667</v>
      </c>
      <c r="S145" s="58">
        <v>23143.020381740786</v>
      </c>
    </row>
    <row r="146" spans="1:19" x14ac:dyDescent="0.35">
      <c r="A146" t="s">
        <v>151</v>
      </c>
      <c r="B146" s="58"/>
      <c r="C146" s="58"/>
      <c r="D146" s="58"/>
      <c r="E146" s="316">
        <v>0</v>
      </c>
      <c r="F146" s="58">
        <v>0</v>
      </c>
      <c r="G146" s="58">
        <v>0</v>
      </c>
      <c r="H146" s="58">
        <v>0</v>
      </c>
      <c r="I146" s="316">
        <v>0</v>
      </c>
      <c r="J146" s="58">
        <v>3000</v>
      </c>
      <c r="K146" s="58">
        <v>0</v>
      </c>
      <c r="L146" s="58">
        <v>0</v>
      </c>
      <c r="M146" s="58">
        <v>3000</v>
      </c>
      <c r="N146" s="316">
        <v>1</v>
      </c>
      <c r="O146" s="58">
        <v>0</v>
      </c>
      <c r="P146" s="58">
        <v>3000</v>
      </c>
      <c r="Q146" s="58">
        <v>3000</v>
      </c>
      <c r="R146" s="316">
        <f t="shared" si="2"/>
        <v>1</v>
      </c>
      <c r="S146" s="58">
        <v>3120.4072424819037</v>
      </c>
    </row>
    <row r="147" spans="1:19" x14ac:dyDescent="0.35">
      <c r="A147" t="s">
        <v>152</v>
      </c>
      <c r="B147" s="58"/>
      <c r="C147" s="58"/>
      <c r="D147" s="58"/>
      <c r="E147" s="316">
        <v>0</v>
      </c>
      <c r="F147" s="58">
        <v>15000</v>
      </c>
      <c r="G147" s="58">
        <v>0</v>
      </c>
      <c r="H147" s="58">
        <v>15000</v>
      </c>
      <c r="I147" s="316">
        <v>5</v>
      </c>
      <c r="J147" s="58">
        <v>21000</v>
      </c>
      <c r="K147" s="58">
        <v>15000</v>
      </c>
      <c r="L147" s="58">
        <v>0</v>
      </c>
      <c r="M147" s="58">
        <v>36000</v>
      </c>
      <c r="N147" s="316">
        <v>12</v>
      </c>
      <c r="O147" s="58">
        <v>21000</v>
      </c>
      <c r="P147" s="58">
        <v>32250</v>
      </c>
      <c r="Q147" s="58">
        <v>53250</v>
      </c>
      <c r="R147" s="316">
        <f t="shared" si="2"/>
        <v>17.75</v>
      </c>
      <c r="S147" s="58">
        <v>55387.228554053785</v>
      </c>
    </row>
    <row r="148" spans="1:19" x14ac:dyDescent="0.35">
      <c r="A148" t="s">
        <v>153</v>
      </c>
      <c r="B148" s="58">
        <v>3000</v>
      </c>
      <c r="C148" s="58">
        <v>0</v>
      </c>
      <c r="D148" s="58">
        <v>3000</v>
      </c>
      <c r="E148" s="316">
        <v>1</v>
      </c>
      <c r="F148" s="58">
        <v>12000</v>
      </c>
      <c r="G148" s="58">
        <v>1750</v>
      </c>
      <c r="H148" s="58">
        <v>13750</v>
      </c>
      <c r="I148" s="316">
        <v>4.583333333333333</v>
      </c>
      <c r="J148" s="58">
        <v>27000</v>
      </c>
      <c r="K148" s="58">
        <v>7250</v>
      </c>
      <c r="L148" s="58">
        <v>0</v>
      </c>
      <c r="M148" s="58">
        <v>34250</v>
      </c>
      <c r="N148" s="316">
        <v>11.416666666666666</v>
      </c>
      <c r="O148" s="58">
        <v>21000</v>
      </c>
      <c r="P148" s="58">
        <v>35500</v>
      </c>
      <c r="Q148" s="58">
        <v>56500</v>
      </c>
      <c r="R148" s="316">
        <f t="shared" si="2"/>
        <v>18.833333333333332</v>
      </c>
      <c r="S148" s="58">
        <v>58767.66973340918</v>
      </c>
    </row>
    <row r="149" spans="1:19" x14ac:dyDescent="0.35">
      <c r="A149" t="s">
        <v>154</v>
      </c>
      <c r="B149" s="58"/>
      <c r="C149" s="58"/>
      <c r="D149" s="58"/>
      <c r="E149" s="316">
        <v>0</v>
      </c>
      <c r="F149" s="58">
        <v>0</v>
      </c>
      <c r="G149" s="58">
        <v>0</v>
      </c>
      <c r="H149" s="58">
        <v>0</v>
      </c>
      <c r="I149" s="316">
        <v>0</v>
      </c>
      <c r="J149" s="58">
        <v>6000</v>
      </c>
      <c r="K149" s="58">
        <v>0</v>
      </c>
      <c r="L149" s="58">
        <v>0</v>
      </c>
      <c r="M149" s="58">
        <v>6000</v>
      </c>
      <c r="N149" s="316">
        <v>2</v>
      </c>
      <c r="O149" s="58">
        <v>9000</v>
      </c>
      <c r="P149" s="58">
        <v>6000</v>
      </c>
      <c r="Q149" s="58">
        <v>15000</v>
      </c>
      <c r="R149" s="316">
        <f t="shared" si="2"/>
        <v>5</v>
      </c>
      <c r="S149" s="58">
        <v>15602.036212409517</v>
      </c>
    </row>
    <row r="150" spans="1:19" x14ac:dyDescent="0.35">
      <c r="A150" t="s">
        <v>155</v>
      </c>
      <c r="B150" s="58">
        <v>9000</v>
      </c>
      <c r="C150" s="58">
        <v>750</v>
      </c>
      <c r="D150" s="58">
        <v>9750</v>
      </c>
      <c r="E150" s="316">
        <v>3.25</v>
      </c>
      <c r="F150" s="58">
        <v>12000</v>
      </c>
      <c r="G150" s="58">
        <v>5500</v>
      </c>
      <c r="H150" s="58">
        <v>17500</v>
      </c>
      <c r="I150" s="316">
        <v>5.833333333333333</v>
      </c>
      <c r="J150" s="58">
        <v>21000</v>
      </c>
      <c r="K150" s="58">
        <v>18000</v>
      </c>
      <c r="L150" s="58">
        <v>0</v>
      </c>
      <c r="M150" s="58">
        <v>39000</v>
      </c>
      <c r="N150" s="316">
        <v>13</v>
      </c>
      <c r="O150" s="58">
        <v>27000</v>
      </c>
      <c r="P150" s="58">
        <v>34500</v>
      </c>
      <c r="Q150" s="58">
        <v>61500</v>
      </c>
      <c r="R150" s="316">
        <f t="shared" si="2"/>
        <v>20.5</v>
      </c>
      <c r="S150" s="58">
        <v>63968.348470879027</v>
      </c>
    </row>
    <row r="151" spans="1:19" x14ac:dyDescent="0.35">
      <c r="A151" t="s">
        <v>156</v>
      </c>
      <c r="B151" s="58"/>
      <c r="C151" s="58"/>
      <c r="D151" s="58"/>
      <c r="E151" s="316">
        <v>0</v>
      </c>
      <c r="F151" s="58">
        <v>9000</v>
      </c>
      <c r="G151" s="58">
        <v>0</v>
      </c>
      <c r="H151" s="58">
        <v>9000</v>
      </c>
      <c r="I151" s="316">
        <v>3</v>
      </c>
      <c r="J151" s="58">
        <v>21000</v>
      </c>
      <c r="K151" s="58">
        <v>9000</v>
      </c>
      <c r="L151" s="58">
        <v>0</v>
      </c>
      <c r="M151" s="58">
        <v>30000</v>
      </c>
      <c r="N151" s="316">
        <v>10</v>
      </c>
      <c r="O151" s="58">
        <v>30000</v>
      </c>
      <c r="P151" s="58">
        <v>21750</v>
      </c>
      <c r="Q151" s="58">
        <v>51750</v>
      </c>
      <c r="R151" s="316">
        <f t="shared" si="2"/>
        <v>17.25</v>
      </c>
      <c r="S151" s="58">
        <v>53827.024932812841</v>
      </c>
    </row>
    <row r="152" spans="1:19" x14ac:dyDescent="0.35">
      <c r="A152" t="s">
        <v>157</v>
      </c>
      <c r="B152" s="58">
        <v>6000</v>
      </c>
      <c r="C152" s="58">
        <v>0</v>
      </c>
      <c r="D152" s="58">
        <v>6000</v>
      </c>
      <c r="E152" s="316">
        <v>2</v>
      </c>
      <c r="F152" s="58">
        <v>30000</v>
      </c>
      <c r="G152" s="58">
        <v>6000</v>
      </c>
      <c r="H152" s="58">
        <v>36000</v>
      </c>
      <c r="I152" s="316">
        <v>12</v>
      </c>
      <c r="J152" s="58">
        <v>36000</v>
      </c>
      <c r="K152" s="58">
        <v>36000</v>
      </c>
      <c r="L152" s="58">
        <v>0</v>
      </c>
      <c r="M152" s="58">
        <v>72000</v>
      </c>
      <c r="N152" s="316">
        <v>24</v>
      </c>
      <c r="O152" s="58">
        <v>75000</v>
      </c>
      <c r="P152" s="58">
        <v>63750</v>
      </c>
      <c r="Q152" s="58">
        <v>138750</v>
      </c>
      <c r="R152" s="316">
        <f t="shared" si="2"/>
        <v>46.25</v>
      </c>
      <c r="S152" s="58">
        <v>144318.83496478805</v>
      </c>
    </row>
    <row r="153" spans="1:19" x14ac:dyDescent="0.35">
      <c r="A153" t="s">
        <v>158</v>
      </c>
      <c r="B153" s="58">
        <v>3000</v>
      </c>
      <c r="C153" s="58">
        <v>0</v>
      </c>
      <c r="D153" s="58">
        <v>3000</v>
      </c>
      <c r="E153" s="316">
        <v>1</v>
      </c>
      <c r="F153" s="58">
        <v>12000</v>
      </c>
      <c r="G153" s="58">
        <v>3000</v>
      </c>
      <c r="H153" s="58">
        <v>15000</v>
      </c>
      <c r="I153" s="316">
        <v>5</v>
      </c>
      <c r="J153" s="58">
        <v>6000</v>
      </c>
      <c r="K153" s="58">
        <v>10750</v>
      </c>
      <c r="L153" s="58">
        <v>0</v>
      </c>
      <c r="M153" s="58">
        <v>16750</v>
      </c>
      <c r="N153" s="316">
        <v>5.583333333333333</v>
      </c>
      <c r="O153" s="58">
        <v>6000</v>
      </c>
      <c r="P153" s="58">
        <v>17750</v>
      </c>
      <c r="Q153" s="58">
        <v>23750</v>
      </c>
      <c r="R153" s="316">
        <f t="shared" si="2"/>
        <v>7.916666666666667</v>
      </c>
      <c r="S153" s="58">
        <v>24703.224002981737</v>
      </c>
    </row>
    <row r="154" spans="1:19" x14ac:dyDescent="0.35">
      <c r="A154" t="s">
        <v>159</v>
      </c>
      <c r="B154" s="58"/>
      <c r="C154" s="58"/>
      <c r="D154" s="58"/>
      <c r="E154" s="316">
        <v>0</v>
      </c>
      <c r="F154" s="58">
        <v>3000</v>
      </c>
      <c r="G154" s="58">
        <v>0</v>
      </c>
      <c r="H154" s="58">
        <v>3000</v>
      </c>
      <c r="I154" s="316">
        <v>1</v>
      </c>
      <c r="J154" s="58">
        <v>0</v>
      </c>
      <c r="K154" s="58">
        <v>500</v>
      </c>
      <c r="L154" s="58">
        <v>0</v>
      </c>
      <c r="M154" s="58">
        <v>500</v>
      </c>
      <c r="N154" s="316">
        <v>0.16666666666666666</v>
      </c>
      <c r="O154" s="58">
        <v>3000</v>
      </c>
      <c r="P154" s="58">
        <v>0</v>
      </c>
      <c r="Q154" s="58">
        <v>3000</v>
      </c>
      <c r="R154" s="316">
        <f t="shared" si="2"/>
        <v>1</v>
      </c>
      <c r="S154" s="58">
        <v>3120.4072424819037</v>
      </c>
    </row>
    <row r="155" spans="1:19" x14ac:dyDescent="0.35">
      <c r="A155" t="s">
        <v>160</v>
      </c>
      <c r="B155" s="58"/>
      <c r="C155" s="58"/>
      <c r="D155" s="58"/>
      <c r="E155" s="316">
        <v>0</v>
      </c>
      <c r="F155" s="58">
        <v>3000</v>
      </c>
      <c r="G155" s="58">
        <v>0</v>
      </c>
      <c r="H155" s="58">
        <v>3000</v>
      </c>
      <c r="I155" s="316">
        <v>1</v>
      </c>
      <c r="J155" s="58">
        <v>3000</v>
      </c>
      <c r="K155" s="58">
        <v>3000</v>
      </c>
      <c r="L155" s="58">
        <v>0</v>
      </c>
      <c r="M155" s="58">
        <v>6000</v>
      </c>
      <c r="N155" s="316">
        <v>2</v>
      </c>
      <c r="O155" s="58">
        <v>12000</v>
      </c>
      <c r="P155" s="58">
        <v>6000</v>
      </c>
      <c r="Q155" s="58">
        <v>18000</v>
      </c>
      <c r="R155" s="316">
        <f t="shared" si="2"/>
        <v>6</v>
      </c>
      <c r="S155" s="58">
        <v>18722.443454891421</v>
      </c>
    </row>
    <row r="156" spans="1:19" x14ac:dyDescent="0.35">
      <c r="A156" t="s">
        <v>161</v>
      </c>
      <c r="B156" s="58"/>
      <c r="C156" s="58"/>
      <c r="D156" s="58"/>
      <c r="E156" s="316">
        <v>0</v>
      </c>
      <c r="F156" s="58">
        <v>15000</v>
      </c>
      <c r="G156" s="58">
        <v>0</v>
      </c>
      <c r="H156" s="58">
        <v>15000</v>
      </c>
      <c r="I156" s="316">
        <v>5</v>
      </c>
      <c r="J156" s="58">
        <v>9000</v>
      </c>
      <c r="K156" s="58">
        <v>8500</v>
      </c>
      <c r="L156" s="58">
        <v>0</v>
      </c>
      <c r="M156" s="58">
        <v>17500</v>
      </c>
      <c r="N156" s="316">
        <v>5.833333333333333</v>
      </c>
      <c r="O156" s="58">
        <v>24000</v>
      </c>
      <c r="P156" s="58">
        <v>22500</v>
      </c>
      <c r="Q156" s="58">
        <v>46500</v>
      </c>
      <c r="R156" s="316">
        <f t="shared" si="2"/>
        <v>15.5</v>
      </c>
      <c r="S156" s="58">
        <v>48366.312258469508</v>
      </c>
    </row>
    <row r="157" spans="1:19" x14ac:dyDescent="0.35">
      <c r="A157" t="s">
        <v>162</v>
      </c>
      <c r="B157" s="58"/>
      <c r="C157" s="58"/>
      <c r="D157" s="58"/>
      <c r="E157" s="316">
        <v>0</v>
      </c>
      <c r="F157" s="58">
        <v>0</v>
      </c>
      <c r="G157" s="58">
        <v>0</v>
      </c>
      <c r="H157" s="58">
        <v>0</v>
      </c>
      <c r="I157" s="316">
        <v>0</v>
      </c>
      <c r="J157" s="58">
        <v>0</v>
      </c>
      <c r="K157" s="58">
        <v>0</v>
      </c>
      <c r="L157" s="58">
        <v>0</v>
      </c>
      <c r="M157" s="58">
        <v>0</v>
      </c>
      <c r="N157" s="316">
        <v>0</v>
      </c>
      <c r="O157" s="58">
        <v>3000</v>
      </c>
      <c r="P157" s="58">
        <v>0</v>
      </c>
      <c r="Q157" s="58">
        <v>3000</v>
      </c>
      <c r="R157" s="316">
        <f t="shared" si="2"/>
        <v>1</v>
      </c>
      <c r="S157" s="58">
        <v>3120.4072424819037</v>
      </c>
    </row>
    <row r="158" spans="1:19" x14ac:dyDescent="0.35">
      <c r="A158" t="s">
        <v>163</v>
      </c>
      <c r="B158" s="58"/>
      <c r="C158" s="58"/>
      <c r="D158" s="58"/>
      <c r="E158" s="316">
        <v>0</v>
      </c>
      <c r="F158" s="58">
        <v>0</v>
      </c>
      <c r="G158" s="58">
        <v>0</v>
      </c>
      <c r="H158" s="58">
        <v>0</v>
      </c>
      <c r="I158" s="316">
        <v>0</v>
      </c>
      <c r="J158" s="58">
        <v>9000</v>
      </c>
      <c r="K158" s="58">
        <v>0</v>
      </c>
      <c r="L158" s="58">
        <v>0</v>
      </c>
      <c r="M158" s="58">
        <v>9000</v>
      </c>
      <c r="N158" s="316">
        <v>3</v>
      </c>
      <c r="O158" s="58">
        <v>3000</v>
      </c>
      <c r="P158" s="58">
        <v>9000</v>
      </c>
      <c r="Q158" s="58">
        <v>12000</v>
      </c>
      <c r="R158" s="316">
        <f t="shared" si="2"/>
        <v>4</v>
      </c>
      <c r="S158" s="58">
        <v>12481.628969927615</v>
      </c>
    </row>
    <row r="159" spans="1:19" x14ac:dyDescent="0.35">
      <c r="A159" t="s">
        <v>164</v>
      </c>
      <c r="B159" s="58"/>
      <c r="C159" s="58"/>
      <c r="D159" s="58"/>
      <c r="E159" s="316">
        <v>0</v>
      </c>
      <c r="F159" s="58">
        <v>0</v>
      </c>
      <c r="G159" s="58">
        <v>0</v>
      </c>
      <c r="H159" s="58">
        <v>0</v>
      </c>
      <c r="I159" s="316">
        <v>0</v>
      </c>
      <c r="J159" s="58">
        <v>9000</v>
      </c>
      <c r="K159" s="58">
        <v>0</v>
      </c>
      <c r="L159" s="58">
        <v>0</v>
      </c>
      <c r="M159" s="58">
        <v>9000</v>
      </c>
      <c r="N159" s="316">
        <v>3</v>
      </c>
      <c r="O159" s="58">
        <v>15000</v>
      </c>
      <c r="P159" s="58">
        <v>8750</v>
      </c>
      <c r="Q159" s="58">
        <v>23750</v>
      </c>
      <c r="R159" s="316">
        <f t="shared" si="2"/>
        <v>7.916666666666667</v>
      </c>
      <c r="S159" s="58">
        <v>24703.224002981737</v>
      </c>
    </row>
    <row r="160" spans="1:19" x14ac:dyDescent="0.35">
      <c r="A160" t="s">
        <v>165</v>
      </c>
      <c r="B160" s="58"/>
      <c r="C160" s="58"/>
      <c r="D160" s="58"/>
      <c r="E160" s="316">
        <v>0</v>
      </c>
      <c r="F160" s="58">
        <v>0</v>
      </c>
      <c r="G160" s="58">
        <v>0</v>
      </c>
      <c r="H160" s="58">
        <v>0</v>
      </c>
      <c r="I160" s="316">
        <v>0</v>
      </c>
      <c r="J160" s="58">
        <v>0</v>
      </c>
      <c r="K160" s="58">
        <v>0</v>
      </c>
      <c r="L160" s="58">
        <v>0</v>
      </c>
      <c r="M160" s="58">
        <v>0</v>
      </c>
      <c r="N160" s="316">
        <v>0</v>
      </c>
      <c r="O160" s="58">
        <v>0</v>
      </c>
      <c r="P160" s="58">
        <v>0</v>
      </c>
      <c r="Q160" s="58">
        <v>0</v>
      </c>
      <c r="R160" s="316">
        <f t="shared" si="2"/>
        <v>0</v>
      </c>
      <c r="S160" s="58">
        <v>0</v>
      </c>
    </row>
    <row r="161" spans="1:19" x14ac:dyDescent="0.35">
      <c r="A161" t="s">
        <v>166</v>
      </c>
      <c r="B161" s="58"/>
      <c r="C161" s="58"/>
      <c r="D161" s="58"/>
      <c r="E161" s="316">
        <v>0</v>
      </c>
      <c r="F161" s="58">
        <v>6000</v>
      </c>
      <c r="G161" s="58">
        <v>0</v>
      </c>
      <c r="H161" s="58">
        <v>6000</v>
      </c>
      <c r="I161" s="316">
        <v>2</v>
      </c>
      <c r="J161" s="58">
        <v>9000</v>
      </c>
      <c r="K161" s="58">
        <v>5500</v>
      </c>
      <c r="L161" s="58">
        <v>0</v>
      </c>
      <c r="M161" s="58">
        <v>14500</v>
      </c>
      <c r="N161" s="316">
        <v>4.833333333333333</v>
      </c>
      <c r="O161" s="58">
        <v>18000</v>
      </c>
      <c r="P161" s="58">
        <v>11500</v>
      </c>
      <c r="Q161" s="58">
        <v>29500</v>
      </c>
      <c r="R161" s="316">
        <f t="shared" si="2"/>
        <v>9.8333333333333339</v>
      </c>
      <c r="S161" s="58">
        <v>30684.004551072056</v>
      </c>
    </row>
    <row r="162" spans="1:19" x14ac:dyDescent="0.35">
      <c r="A162" t="s">
        <v>167</v>
      </c>
      <c r="B162" s="58"/>
      <c r="C162" s="58"/>
      <c r="D162" s="58"/>
      <c r="E162" s="316">
        <v>0</v>
      </c>
      <c r="F162" s="58">
        <v>0</v>
      </c>
      <c r="G162" s="58">
        <v>0</v>
      </c>
      <c r="H162" s="58">
        <v>0</v>
      </c>
      <c r="I162" s="316">
        <v>0</v>
      </c>
      <c r="J162" s="58">
        <v>9000</v>
      </c>
      <c r="K162" s="58">
        <v>0</v>
      </c>
      <c r="L162" s="58">
        <v>0</v>
      </c>
      <c r="M162" s="58">
        <v>9000</v>
      </c>
      <c r="N162" s="316">
        <v>3</v>
      </c>
      <c r="O162" s="58">
        <v>3000</v>
      </c>
      <c r="P162" s="58">
        <v>750</v>
      </c>
      <c r="Q162" s="58">
        <v>3750</v>
      </c>
      <c r="R162" s="316">
        <f t="shared" si="2"/>
        <v>1.25</v>
      </c>
      <c r="S162" s="58">
        <v>3900.5090531023793</v>
      </c>
    </row>
    <row r="163" spans="1:19" x14ac:dyDescent="0.35">
      <c r="A163" t="s">
        <v>168</v>
      </c>
      <c r="B163" s="58"/>
      <c r="C163" s="58"/>
      <c r="D163" s="58"/>
      <c r="E163" s="316">
        <v>0</v>
      </c>
      <c r="F163" s="58">
        <v>3000</v>
      </c>
      <c r="G163" s="58">
        <v>0</v>
      </c>
      <c r="H163" s="58">
        <v>3000</v>
      </c>
      <c r="I163" s="316">
        <v>1</v>
      </c>
      <c r="J163" s="58">
        <v>15000</v>
      </c>
      <c r="K163" s="58">
        <v>3000</v>
      </c>
      <c r="L163" s="58">
        <v>0</v>
      </c>
      <c r="M163" s="58">
        <v>18000</v>
      </c>
      <c r="N163" s="316">
        <v>6</v>
      </c>
      <c r="O163" s="58">
        <v>15000</v>
      </c>
      <c r="P163" s="58">
        <v>18000</v>
      </c>
      <c r="Q163" s="58">
        <v>33000</v>
      </c>
      <c r="R163" s="316">
        <f t="shared" si="2"/>
        <v>11</v>
      </c>
      <c r="S163" s="58">
        <v>34324.47966730094</v>
      </c>
    </row>
    <row r="164" spans="1:19" x14ac:dyDescent="0.35">
      <c r="A164" t="s">
        <v>169</v>
      </c>
      <c r="B164" s="58"/>
      <c r="C164" s="58"/>
      <c r="D164" s="58"/>
      <c r="E164" s="316">
        <v>0</v>
      </c>
      <c r="F164" s="58">
        <v>3000</v>
      </c>
      <c r="G164" s="58">
        <v>0</v>
      </c>
      <c r="H164" s="58">
        <v>3000</v>
      </c>
      <c r="I164" s="316">
        <v>1</v>
      </c>
      <c r="J164" s="58">
        <v>12000</v>
      </c>
      <c r="K164" s="58">
        <v>3000</v>
      </c>
      <c r="L164" s="58">
        <v>0</v>
      </c>
      <c r="M164" s="58">
        <v>15000</v>
      </c>
      <c r="N164" s="316">
        <v>5</v>
      </c>
      <c r="O164" s="58">
        <v>9000</v>
      </c>
      <c r="P164" s="58">
        <v>15000</v>
      </c>
      <c r="Q164" s="58">
        <v>24000</v>
      </c>
      <c r="R164" s="316">
        <f t="shared" si="2"/>
        <v>8</v>
      </c>
      <c r="S164" s="58">
        <v>24963.25793985523</v>
      </c>
    </row>
    <row r="165" spans="1:19" x14ac:dyDescent="0.35">
      <c r="A165" t="s">
        <v>170</v>
      </c>
      <c r="B165" s="58"/>
      <c r="C165" s="58"/>
      <c r="D165" s="58"/>
      <c r="E165" s="316">
        <v>0</v>
      </c>
      <c r="F165" s="58">
        <v>9000</v>
      </c>
      <c r="G165" s="58">
        <v>0</v>
      </c>
      <c r="H165" s="58">
        <v>9000</v>
      </c>
      <c r="I165" s="316">
        <v>3</v>
      </c>
      <c r="J165" s="58">
        <v>30000</v>
      </c>
      <c r="K165" s="58">
        <v>9000</v>
      </c>
      <c r="L165" s="58">
        <v>0</v>
      </c>
      <c r="M165" s="58">
        <v>39000</v>
      </c>
      <c r="N165" s="316">
        <v>13</v>
      </c>
      <c r="O165" s="58">
        <v>30000</v>
      </c>
      <c r="P165" s="58">
        <v>31750</v>
      </c>
      <c r="Q165" s="58">
        <v>61750</v>
      </c>
      <c r="R165" s="316">
        <f t="shared" si="2"/>
        <v>20.583333333333332</v>
      </c>
      <c r="S165" s="58">
        <v>64228.382407752521</v>
      </c>
    </row>
    <row r="166" spans="1:19" x14ac:dyDescent="0.35">
      <c r="A166" t="s">
        <v>171</v>
      </c>
      <c r="B166" s="58"/>
      <c r="C166" s="58"/>
      <c r="D166" s="58"/>
      <c r="E166" s="316">
        <v>0</v>
      </c>
      <c r="F166" s="58">
        <v>0</v>
      </c>
      <c r="G166" s="58">
        <v>0</v>
      </c>
      <c r="H166" s="58">
        <v>0</v>
      </c>
      <c r="I166" s="316">
        <v>0</v>
      </c>
      <c r="J166" s="58">
        <v>6000</v>
      </c>
      <c r="K166" s="58">
        <v>0</v>
      </c>
      <c r="L166" s="58">
        <v>0</v>
      </c>
      <c r="M166" s="58">
        <v>6000</v>
      </c>
      <c r="N166" s="316">
        <v>2</v>
      </c>
      <c r="O166" s="58">
        <v>6000</v>
      </c>
      <c r="P166" s="58">
        <v>4250</v>
      </c>
      <c r="Q166" s="58">
        <v>10250</v>
      </c>
      <c r="R166" s="316">
        <f t="shared" si="2"/>
        <v>3.4166666666666665</v>
      </c>
      <c r="S166" s="58">
        <v>10661.391411813171</v>
      </c>
    </row>
    <row r="168" spans="1:19" x14ac:dyDescent="0.35">
      <c r="A168" t="s">
        <v>173</v>
      </c>
      <c r="B168" s="58"/>
      <c r="C168" s="58"/>
      <c r="D168" s="58"/>
      <c r="E168" s="316">
        <v>0</v>
      </c>
      <c r="F168" s="58">
        <v>3000</v>
      </c>
      <c r="G168" s="58">
        <v>0</v>
      </c>
      <c r="H168" s="58">
        <v>3000</v>
      </c>
      <c r="I168" s="316">
        <v>1</v>
      </c>
      <c r="J168" s="58">
        <v>3000</v>
      </c>
      <c r="K168" s="58">
        <v>750</v>
      </c>
      <c r="L168" s="58">
        <v>0</v>
      </c>
      <c r="M168" s="58">
        <v>3750</v>
      </c>
      <c r="N168" s="316">
        <v>1.25</v>
      </c>
      <c r="O168" s="58">
        <v>3000</v>
      </c>
      <c r="P168" s="58">
        <v>3000</v>
      </c>
      <c r="Q168" s="58">
        <v>6000</v>
      </c>
      <c r="R168" s="316">
        <f t="shared" si="2"/>
        <v>2</v>
      </c>
      <c r="S168" s="58">
        <v>6240.8144849638074</v>
      </c>
    </row>
    <row r="169" spans="1:19" x14ac:dyDescent="0.35">
      <c r="A169" t="s">
        <v>174</v>
      </c>
      <c r="B169" s="58"/>
      <c r="C169" s="58"/>
      <c r="D169" s="58"/>
      <c r="E169" s="316">
        <v>0</v>
      </c>
      <c r="F169" s="58">
        <v>0</v>
      </c>
      <c r="G169" s="58">
        <v>0</v>
      </c>
      <c r="H169" s="58">
        <v>0</v>
      </c>
      <c r="I169" s="316">
        <v>0</v>
      </c>
      <c r="J169" s="58">
        <v>0</v>
      </c>
      <c r="K169" s="58">
        <v>0</v>
      </c>
      <c r="L169" s="58">
        <v>0</v>
      </c>
      <c r="M169" s="58">
        <v>0</v>
      </c>
      <c r="N169" s="316">
        <v>0</v>
      </c>
      <c r="O169" s="58">
        <v>6000</v>
      </c>
      <c r="P169" s="58">
        <v>0</v>
      </c>
      <c r="Q169" s="58">
        <v>6000</v>
      </c>
      <c r="R169" s="316">
        <f t="shared" si="2"/>
        <v>2</v>
      </c>
      <c r="S169" s="58">
        <v>6240.8144849638074</v>
      </c>
    </row>
    <row r="171" spans="1:19" x14ac:dyDescent="0.35">
      <c r="A171" t="s">
        <v>176</v>
      </c>
      <c r="B171" s="58"/>
      <c r="C171" s="58"/>
      <c r="D171" s="58"/>
      <c r="E171" s="316">
        <v>0</v>
      </c>
      <c r="F171" s="58">
        <v>0</v>
      </c>
      <c r="G171" s="58">
        <v>0</v>
      </c>
      <c r="H171" s="58">
        <v>0</v>
      </c>
      <c r="I171" s="316">
        <v>0</v>
      </c>
      <c r="J171" s="58">
        <v>3000</v>
      </c>
      <c r="K171" s="58">
        <v>0</v>
      </c>
      <c r="L171" s="58">
        <v>0</v>
      </c>
      <c r="M171" s="58">
        <v>3000</v>
      </c>
      <c r="N171" s="316">
        <v>1</v>
      </c>
      <c r="O171" s="58">
        <v>0</v>
      </c>
      <c r="P171" s="58">
        <v>3000</v>
      </c>
      <c r="Q171" s="58">
        <v>3000</v>
      </c>
      <c r="R171" s="316">
        <f t="shared" si="2"/>
        <v>1</v>
      </c>
      <c r="S171" s="58">
        <v>3120.4072424819037</v>
      </c>
    </row>
    <row r="172" spans="1:19" x14ac:dyDescent="0.35">
      <c r="A172" t="s">
        <v>177</v>
      </c>
      <c r="B172" s="58"/>
      <c r="C172" s="58"/>
      <c r="D172" s="58"/>
      <c r="E172" s="316">
        <v>0</v>
      </c>
      <c r="F172" s="58">
        <v>0</v>
      </c>
      <c r="G172" s="58">
        <v>0</v>
      </c>
      <c r="H172" s="58">
        <v>0</v>
      </c>
      <c r="I172" s="316">
        <v>0</v>
      </c>
      <c r="J172" s="58">
        <v>0</v>
      </c>
      <c r="K172" s="58">
        <v>0</v>
      </c>
      <c r="L172" s="58">
        <v>0</v>
      </c>
      <c r="M172" s="58">
        <v>0</v>
      </c>
      <c r="N172" s="316">
        <v>0</v>
      </c>
      <c r="O172" s="58">
        <v>0</v>
      </c>
      <c r="P172" s="58">
        <v>0</v>
      </c>
      <c r="Q172" s="58">
        <v>0</v>
      </c>
      <c r="R172" s="316">
        <f t="shared" si="2"/>
        <v>0</v>
      </c>
      <c r="S172" s="58">
        <v>0</v>
      </c>
    </row>
    <row r="173" spans="1:19" x14ac:dyDescent="0.35">
      <c r="A173" t="s">
        <v>178</v>
      </c>
      <c r="B173" s="58">
        <v>3000</v>
      </c>
      <c r="C173" s="58">
        <v>0</v>
      </c>
      <c r="D173" s="58">
        <v>3000</v>
      </c>
      <c r="E173" s="316">
        <v>1</v>
      </c>
      <c r="F173" s="58">
        <v>30000</v>
      </c>
      <c r="G173" s="58">
        <v>3000</v>
      </c>
      <c r="H173" s="58">
        <v>33000</v>
      </c>
      <c r="I173" s="316">
        <v>11</v>
      </c>
      <c r="J173" s="58">
        <v>30000</v>
      </c>
      <c r="K173" s="58">
        <v>30000</v>
      </c>
      <c r="L173" s="58">
        <v>3000</v>
      </c>
      <c r="M173" s="58">
        <v>63000</v>
      </c>
      <c r="N173" s="316">
        <v>21</v>
      </c>
      <c r="O173" s="58">
        <v>48000</v>
      </c>
      <c r="P173" s="58">
        <v>45250</v>
      </c>
      <c r="Q173" s="58">
        <v>93250</v>
      </c>
      <c r="R173" s="316">
        <f t="shared" si="2"/>
        <v>31.083333333333332</v>
      </c>
      <c r="S173" s="58">
        <v>96992.658453812503</v>
      </c>
    </row>
    <row r="174" spans="1:19" x14ac:dyDescent="0.35">
      <c r="A174" t="s">
        <v>179</v>
      </c>
      <c r="B174" s="58">
        <v>30000</v>
      </c>
      <c r="C174" s="58">
        <v>9000</v>
      </c>
      <c r="D174" s="58">
        <v>39000</v>
      </c>
      <c r="E174" s="316">
        <v>13</v>
      </c>
      <c r="F174" s="58">
        <v>18000</v>
      </c>
      <c r="G174" s="58">
        <v>21500</v>
      </c>
      <c r="H174" s="58">
        <v>39500</v>
      </c>
      <c r="I174" s="316">
        <v>13.166666666666666</v>
      </c>
      <c r="J174" s="58">
        <v>18000</v>
      </c>
      <c r="K174" s="58">
        <v>38500</v>
      </c>
      <c r="L174" s="58">
        <v>0</v>
      </c>
      <c r="M174" s="58">
        <v>56500</v>
      </c>
      <c r="N174" s="316">
        <v>18.833333333333332</v>
      </c>
      <c r="O174" s="58">
        <v>33000</v>
      </c>
      <c r="P174" s="58">
        <v>54750</v>
      </c>
      <c r="Q174" s="58">
        <v>87750</v>
      </c>
      <c r="R174" s="316">
        <f t="shared" si="2"/>
        <v>29.25</v>
      </c>
      <c r="S174" s="58">
        <v>91271.911842595684</v>
      </c>
    </row>
    <row r="175" spans="1:19" x14ac:dyDescent="0.35">
      <c r="A175" t="s">
        <v>180</v>
      </c>
      <c r="B175" s="58"/>
      <c r="C175" s="58"/>
      <c r="D175" s="58"/>
      <c r="E175" s="316">
        <v>0</v>
      </c>
      <c r="F175" s="58">
        <v>3000</v>
      </c>
      <c r="G175" s="58">
        <v>0</v>
      </c>
      <c r="H175" s="58">
        <v>3000</v>
      </c>
      <c r="I175" s="316">
        <v>1</v>
      </c>
      <c r="J175" s="58">
        <v>6000</v>
      </c>
      <c r="K175" s="58">
        <v>3000</v>
      </c>
      <c r="L175" s="58">
        <v>0</v>
      </c>
      <c r="M175" s="58">
        <v>9000</v>
      </c>
      <c r="N175" s="316">
        <v>3</v>
      </c>
      <c r="O175" s="58">
        <v>12000</v>
      </c>
      <c r="P175" s="58">
        <v>8250</v>
      </c>
      <c r="Q175" s="58">
        <v>20250</v>
      </c>
      <c r="R175" s="316">
        <f t="shared" si="2"/>
        <v>6.75</v>
      </c>
      <c r="S175" s="58">
        <v>21062.748886752852</v>
      </c>
    </row>
    <row r="176" spans="1:19" x14ac:dyDescent="0.35">
      <c r="A176" t="s">
        <v>181</v>
      </c>
      <c r="B176" s="58">
        <v>6000</v>
      </c>
      <c r="C176" s="58">
        <v>250</v>
      </c>
      <c r="D176" s="58">
        <v>6250</v>
      </c>
      <c r="E176" s="316">
        <v>2.0833333333333335</v>
      </c>
      <c r="F176" s="58">
        <v>9000</v>
      </c>
      <c r="G176" s="58">
        <v>750</v>
      </c>
      <c r="H176" s="58">
        <v>9750</v>
      </c>
      <c r="I176" s="316">
        <v>3.25</v>
      </c>
      <c r="J176" s="58">
        <v>9000</v>
      </c>
      <c r="K176" s="58">
        <v>11500</v>
      </c>
      <c r="L176" s="58">
        <v>0</v>
      </c>
      <c r="M176" s="58">
        <v>20500</v>
      </c>
      <c r="N176" s="316">
        <v>6.833333333333333</v>
      </c>
      <c r="O176" s="58">
        <v>45000</v>
      </c>
      <c r="P176" s="58">
        <v>15500</v>
      </c>
      <c r="Q176" s="58">
        <v>60500</v>
      </c>
      <c r="R176" s="316">
        <f t="shared" si="2"/>
        <v>20.166666666666668</v>
      </c>
      <c r="S176" s="58">
        <v>62928.212723385055</v>
      </c>
    </row>
    <row r="177" spans="1:19" x14ac:dyDescent="0.35">
      <c r="A177" t="s">
        <v>182</v>
      </c>
      <c r="B177" s="58"/>
      <c r="C177" s="58"/>
      <c r="D177" s="58"/>
      <c r="E177" s="316">
        <v>0</v>
      </c>
      <c r="F177" s="58">
        <v>6000</v>
      </c>
      <c r="G177" s="58">
        <v>0</v>
      </c>
      <c r="H177" s="58">
        <v>6000</v>
      </c>
      <c r="I177" s="316">
        <v>2</v>
      </c>
      <c r="J177" s="58">
        <v>48000</v>
      </c>
      <c r="K177" s="58">
        <v>6000</v>
      </c>
      <c r="L177" s="58">
        <v>0</v>
      </c>
      <c r="M177" s="58">
        <v>54000</v>
      </c>
      <c r="N177" s="316">
        <v>18</v>
      </c>
      <c r="O177" s="58">
        <v>45000</v>
      </c>
      <c r="P177" s="58">
        <v>51750</v>
      </c>
      <c r="Q177" s="58">
        <v>96750</v>
      </c>
      <c r="R177" s="316">
        <f t="shared" si="2"/>
        <v>32.25</v>
      </c>
      <c r="S177" s="58">
        <v>100633.13357004139</v>
      </c>
    </row>
    <row r="178" spans="1:19" x14ac:dyDescent="0.35">
      <c r="A178" t="s">
        <v>183</v>
      </c>
      <c r="B178" s="58"/>
      <c r="C178" s="58"/>
      <c r="D178" s="58"/>
      <c r="E178" s="316">
        <v>0</v>
      </c>
      <c r="F178" s="58">
        <v>3000</v>
      </c>
      <c r="G178" s="58">
        <v>0</v>
      </c>
      <c r="H178" s="58">
        <v>3000</v>
      </c>
      <c r="I178" s="316">
        <v>1</v>
      </c>
      <c r="J178" s="58">
        <v>6000</v>
      </c>
      <c r="K178" s="58">
        <v>3000</v>
      </c>
      <c r="L178" s="58">
        <v>0</v>
      </c>
      <c r="M178" s="58">
        <v>9000</v>
      </c>
      <c r="N178" s="316">
        <v>3</v>
      </c>
      <c r="O178" s="58">
        <v>6000</v>
      </c>
      <c r="P178" s="58">
        <v>8750</v>
      </c>
      <c r="Q178" s="58">
        <v>14750</v>
      </c>
      <c r="R178" s="316">
        <f t="shared" si="2"/>
        <v>4.916666666666667</v>
      </c>
      <c r="S178" s="58">
        <v>15342.002275536028</v>
      </c>
    </row>
    <row r="179" spans="1:19" x14ac:dyDescent="0.35">
      <c r="A179" t="s">
        <v>184</v>
      </c>
      <c r="B179" s="58"/>
      <c r="C179" s="58"/>
      <c r="D179" s="58"/>
      <c r="E179" s="316">
        <v>0</v>
      </c>
      <c r="F179" s="58">
        <v>0</v>
      </c>
      <c r="G179" s="58">
        <v>0</v>
      </c>
      <c r="H179" s="58">
        <v>0</v>
      </c>
      <c r="I179" s="316">
        <v>0</v>
      </c>
      <c r="J179" s="58">
        <v>0</v>
      </c>
      <c r="K179" s="58">
        <v>0</v>
      </c>
      <c r="L179" s="58">
        <v>0</v>
      </c>
      <c r="M179" s="58">
        <v>0</v>
      </c>
      <c r="N179" s="316">
        <v>0</v>
      </c>
      <c r="O179" s="58">
        <v>3000</v>
      </c>
      <c r="P179" s="58">
        <v>0</v>
      </c>
      <c r="Q179" s="58">
        <v>3000</v>
      </c>
      <c r="R179" s="316">
        <f t="shared" si="2"/>
        <v>1</v>
      </c>
      <c r="S179" s="58">
        <v>3120.4072424819037</v>
      </c>
    </row>
    <row r="180" spans="1:19" x14ac:dyDescent="0.35">
      <c r="A180" t="s">
        <v>185</v>
      </c>
      <c r="B180" s="58"/>
      <c r="C180" s="58"/>
      <c r="D180" s="58"/>
      <c r="E180" s="316">
        <v>0</v>
      </c>
      <c r="F180" s="58">
        <v>0</v>
      </c>
      <c r="G180" s="58">
        <v>0</v>
      </c>
      <c r="H180" s="58">
        <v>0</v>
      </c>
      <c r="I180" s="316">
        <v>0</v>
      </c>
      <c r="J180" s="58">
        <v>0</v>
      </c>
      <c r="K180" s="58">
        <v>0</v>
      </c>
      <c r="L180" s="58">
        <v>0</v>
      </c>
      <c r="M180" s="58">
        <v>0</v>
      </c>
      <c r="N180" s="316">
        <v>0</v>
      </c>
      <c r="O180" s="58">
        <v>0</v>
      </c>
      <c r="P180" s="58">
        <v>0</v>
      </c>
      <c r="Q180" s="58">
        <v>0</v>
      </c>
      <c r="R180" s="316">
        <f t="shared" si="2"/>
        <v>0</v>
      </c>
      <c r="S180" s="58">
        <v>0</v>
      </c>
    </row>
    <row r="181" spans="1:19" x14ac:dyDescent="0.35">
      <c r="A181" t="s">
        <v>186</v>
      </c>
      <c r="B181" s="58"/>
      <c r="C181" s="58"/>
      <c r="D181" s="58"/>
      <c r="E181" s="316">
        <v>0</v>
      </c>
      <c r="F181" s="58">
        <v>0</v>
      </c>
      <c r="G181" s="58">
        <v>0</v>
      </c>
      <c r="H181" s="58">
        <v>0</v>
      </c>
      <c r="I181" s="316">
        <v>0</v>
      </c>
      <c r="J181" s="58">
        <v>12000</v>
      </c>
      <c r="K181" s="58">
        <v>0</v>
      </c>
      <c r="L181" s="58">
        <v>0</v>
      </c>
      <c r="M181" s="58">
        <v>12000</v>
      </c>
      <c r="N181" s="316">
        <v>4</v>
      </c>
      <c r="O181" s="58">
        <v>15000</v>
      </c>
      <c r="P181" s="58">
        <v>8750</v>
      </c>
      <c r="Q181" s="58">
        <v>23750</v>
      </c>
      <c r="R181" s="316">
        <f t="shared" si="2"/>
        <v>7.916666666666667</v>
      </c>
      <c r="S181" s="58">
        <v>24703.224002981737</v>
      </c>
    </row>
    <row r="182" spans="1:19" x14ac:dyDescent="0.35">
      <c r="A182" t="s">
        <v>187</v>
      </c>
      <c r="B182" s="58"/>
      <c r="C182" s="58"/>
      <c r="D182" s="58"/>
      <c r="E182" s="316">
        <v>0</v>
      </c>
      <c r="F182" s="58">
        <v>0</v>
      </c>
      <c r="G182" s="58">
        <v>0</v>
      </c>
      <c r="H182" s="58">
        <v>0</v>
      </c>
      <c r="I182" s="316">
        <v>0</v>
      </c>
      <c r="J182" s="58">
        <v>3000</v>
      </c>
      <c r="K182" s="58">
        <v>0</v>
      </c>
      <c r="L182" s="58">
        <v>0</v>
      </c>
      <c r="M182" s="58">
        <v>3000</v>
      </c>
      <c r="N182" s="316">
        <v>1</v>
      </c>
      <c r="O182" s="58">
        <v>0</v>
      </c>
      <c r="P182" s="58">
        <v>1750</v>
      </c>
      <c r="Q182" s="58">
        <v>1750</v>
      </c>
      <c r="R182" s="316">
        <f t="shared" si="2"/>
        <v>0.58333333333333337</v>
      </c>
      <c r="S182" s="58">
        <v>1820.2375581144436</v>
      </c>
    </row>
    <row r="183" spans="1:19" x14ac:dyDescent="0.35">
      <c r="A183" t="s">
        <v>188</v>
      </c>
      <c r="B183" s="58"/>
      <c r="C183" s="58"/>
      <c r="D183" s="58"/>
      <c r="E183" s="316">
        <v>0</v>
      </c>
      <c r="F183" s="58">
        <v>3000</v>
      </c>
      <c r="G183" s="58">
        <v>0</v>
      </c>
      <c r="H183" s="58">
        <v>3000</v>
      </c>
      <c r="I183" s="316">
        <v>1</v>
      </c>
      <c r="J183" s="58">
        <v>9000</v>
      </c>
      <c r="K183" s="58">
        <v>1250</v>
      </c>
      <c r="L183" s="58">
        <v>0</v>
      </c>
      <c r="M183" s="58">
        <v>10250</v>
      </c>
      <c r="N183" s="316">
        <v>3.4166666666666665</v>
      </c>
      <c r="O183" s="58">
        <v>0</v>
      </c>
      <c r="P183" s="58">
        <v>9000</v>
      </c>
      <c r="Q183" s="58">
        <v>9000</v>
      </c>
      <c r="R183" s="316">
        <f t="shared" si="2"/>
        <v>3</v>
      </c>
      <c r="S183" s="58">
        <v>9361.2217274457107</v>
      </c>
    </row>
    <row r="184" spans="1:19" x14ac:dyDescent="0.35">
      <c r="A184" t="s">
        <v>189</v>
      </c>
      <c r="B184" s="58"/>
      <c r="C184" s="58"/>
      <c r="D184" s="58"/>
      <c r="E184" s="316">
        <v>0</v>
      </c>
      <c r="F184" s="58">
        <v>0</v>
      </c>
      <c r="G184" s="58">
        <v>0</v>
      </c>
      <c r="H184" s="58">
        <v>0</v>
      </c>
      <c r="I184" s="316">
        <v>0</v>
      </c>
      <c r="J184" s="58">
        <v>0</v>
      </c>
      <c r="K184" s="58">
        <v>0</v>
      </c>
      <c r="L184" s="58">
        <v>0</v>
      </c>
      <c r="M184" s="58">
        <v>0</v>
      </c>
      <c r="N184" s="316">
        <v>0</v>
      </c>
      <c r="O184" s="58">
        <v>3000</v>
      </c>
      <c r="P184" s="58">
        <v>0</v>
      </c>
      <c r="Q184" s="58">
        <v>3000</v>
      </c>
      <c r="R184" s="316">
        <f t="shared" si="2"/>
        <v>1</v>
      </c>
      <c r="S184" s="58">
        <v>3120.4072424819037</v>
      </c>
    </row>
    <row r="186" spans="1:19" x14ac:dyDescent="0.35">
      <c r="A186" t="s">
        <v>191</v>
      </c>
      <c r="B186" s="58"/>
      <c r="C186" s="58"/>
      <c r="D186" s="58"/>
      <c r="E186" s="316">
        <v>0</v>
      </c>
      <c r="F186" s="58">
        <v>6000</v>
      </c>
      <c r="G186" s="58">
        <v>0</v>
      </c>
      <c r="H186" s="58">
        <v>6000</v>
      </c>
      <c r="I186" s="316">
        <v>2</v>
      </c>
      <c r="J186" s="58">
        <v>6000</v>
      </c>
      <c r="K186" s="58">
        <v>6000</v>
      </c>
      <c r="L186" s="58">
        <v>0</v>
      </c>
      <c r="M186" s="58">
        <v>12000</v>
      </c>
      <c r="N186" s="316">
        <v>4</v>
      </c>
      <c r="O186" s="58">
        <v>3000</v>
      </c>
      <c r="P186" s="58">
        <v>10500</v>
      </c>
      <c r="Q186" s="58">
        <v>13500</v>
      </c>
      <c r="R186" s="316">
        <f t="shared" si="2"/>
        <v>4.5</v>
      </c>
      <c r="S186" s="58">
        <v>14041.832591168566</v>
      </c>
    </row>
    <row r="187" spans="1:19" x14ac:dyDescent="0.35">
      <c r="A187" t="s">
        <v>192</v>
      </c>
      <c r="B187" s="58"/>
      <c r="C187" s="58"/>
      <c r="D187" s="58"/>
      <c r="E187" s="316">
        <v>0</v>
      </c>
      <c r="F187" s="58">
        <v>0</v>
      </c>
      <c r="G187" s="58">
        <v>0</v>
      </c>
      <c r="H187" s="58">
        <v>0</v>
      </c>
      <c r="I187" s="316">
        <v>0</v>
      </c>
      <c r="J187" s="58">
        <v>0</v>
      </c>
      <c r="K187" s="58">
        <v>0</v>
      </c>
      <c r="L187" s="58">
        <v>0</v>
      </c>
      <c r="M187" s="58">
        <v>0</v>
      </c>
      <c r="N187" s="316">
        <v>0</v>
      </c>
      <c r="O187" s="58">
        <v>9000</v>
      </c>
      <c r="P187" s="58">
        <v>0</v>
      </c>
      <c r="Q187" s="58">
        <v>9000</v>
      </c>
      <c r="R187" s="316">
        <f t="shared" si="2"/>
        <v>3</v>
      </c>
      <c r="S187" s="58">
        <v>9361.2217274457107</v>
      </c>
    </row>
    <row r="188" spans="1:19" x14ac:dyDescent="0.35">
      <c r="A188" t="s">
        <v>193</v>
      </c>
      <c r="B188" s="58"/>
      <c r="C188" s="58"/>
      <c r="D188" s="58"/>
      <c r="E188" s="316">
        <v>0</v>
      </c>
      <c r="F188" s="58">
        <v>6000</v>
      </c>
      <c r="G188" s="58">
        <v>0</v>
      </c>
      <c r="H188" s="58">
        <v>6000</v>
      </c>
      <c r="I188" s="316">
        <v>2</v>
      </c>
      <c r="J188" s="58">
        <v>3000</v>
      </c>
      <c r="K188" s="58">
        <v>6500</v>
      </c>
      <c r="L188" s="58">
        <v>3000</v>
      </c>
      <c r="M188" s="58">
        <v>12500</v>
      </c>
      <c r="N188" s="316">
        <v>4.166666666666667</v>
      </c>
      <c r="O188" s="58">
        <v>6000</v>
      </c>
      <c r="P188" s="58">
        <v>9250</v>
      </c>
      <c r="Q188" s="58">
        <v>15250</v>
      </c>
      <c r="R188" s="316">
        <f t="shared" si="2"/>
        <v>5.083333333333333</v>
      </c>
      <c r="S188" s="58">
        <v>15862.07014928301</v>
      </c>
    </row>
    <row r="189" spans="1:19" x14ac:dyDescent="0.35">
      <c r="A189" t="s">
        <v>194</v>
      </c>
      <c r="B189" s="58"/>
      <c r="C189" s="58"/>
      <c r="D189" s="58"/>
      <c r="E189" s="316">
        <v>0</v>
      </c>
      <c r="F189" s="58">
        <v>3000</v>
      </c>
      <c r="G189" s="58">
        <v>0</v>
      </c>
      <c r="H189" s="58">
        <v>3000</v>
      </c>
      <c r="I189" s="316">
        <v>1</v>
      </c>
      <c r="J189" s="58">
        <v>9000</v>
      </c>
      <c r="K189" s="58">
        <v>3000</v>
      </c>
      <c r="L189" s="58">
        <v>0</v>
      </c>
      <c r="M189" s="58">
        <v>12000</v>
      </c>
      <c r="N189" s="316">
        <v>4</v>
      </c>
      <c r="O189" s="58">
        <v>3000</v>
      </c>
      <c r="P189" s="58">
        <v>12000</v>
      </c>
      <c r="Q189" s="58">
        <v>15000</v>
      </c>
      <c r="R189" s="316">
        <f t="shared" si="2"/>
        <v>5</v>
      </c>
      <c r="S189" s="58">
        <v>15602.036212409517</v>
      </c>
    </row>
    <row r="190" spans="1:19" x14ac:dyDescent="0.35">
      <c r="A190" t="s">
        <v>195</v>
      </c>
      <c r="B190" s="58"/>
      <c r="C190" s="58"/>
      <c r="D190" s="58"/>
      <c r="E190" s="316">
        <v>0</v>
      </c>
      <c r="F190" s="58">
        <v>6000</v>
      </c>
      <c r="G190" s="58">
        <v>0</v>
      </c>
      <c r="H190" s="58">
        <v>6000</v>
      </c>
      <c r="I190" s="316">
        <v>2</v>
      </c>
      <c r="J190" s="58">
        <v>6000</v>
      </c>
      <c r="K190" s="58">
        <v>4500</v>
      </c>
      <c r="L190" s="58">
        <v>3000</v>
      </c>
      <c r="M190" s="58">
        <v>13500</v>
      </c>
      <c r="N190" s="316">
        <v>4.5</v>
      </c>
      <c r="O190" s="58">
        <v>9000</v>
      </c>
      <c r="P190" s="58">
        <v>7250</v>
      </c>
      <c r="Q190" s="58">
        <v>16250</v>
      </c>
      <c r="R190" s="316">
        <f t="shared" si="2"/>
        <v>5.416666666666667</v>
      </c>
      <c r="S190" s="58">
        <v>16902.205896776977</v>
      </c>
    </row>
    <row r="191" spans="1:19" x14ac:dyDescent="0.35">
      <c r="A191" t="s">
        <v>196</v>
      </c>
      <c r="B191" s="58">
        <v>9000</v>
      </c>
      <c r="C191" s="58">
        <v>2500</v>
      </c>
      <c r="D191" s="58">
        <v>11500</v>
      </c>
      <c r="E191" s="316">
        <v>3.8333333333333335</v>
      </c>
      <c r="F191" s="58">
        <v>18000</v>
      </c>
      <c r="G191" s="58">
        <v>6000</v>
      </c>
      <c r="H191" s="58">
        <v>24000</v>
      </c>
      <c r="I191" s="316">
        <v>8</v>
      </c>
      <c r="J191" s="58">
        <v>6000</v>
      </c>
      <c r="K191" s="58">
        <v>23500</v>
      </c>
      <c r="L191" s="58">
        <v>0</v>
      </c>
      <c r="M191" s="58">
        <v>29500</v>
      </c>
      <c r="N191" s="316">
        <v>9.8333333333333339</v>
      </c>
      <c r="O191" s="58">
        <v>42000</v>
      </c>
      <c r="P191" s="58">
        <v>29500</v>
      </c>
      <c r="Q191" s="58">
        <v>71500</v>
      </c>
      <c r="R191" s="316">
        <f t="shared" si="2"/>
        <v>23.833333333333332</v>
      </c>
      <c r="S191" s="58">
        <v>74369.7059458187</v>
      </c>
    </row>
    <row r="192" spans="1:19" x14ac:dyDescent="0.35">
      <c r="A192" t="s">
        <v>197</v>
      </c>
      <c r="B192" s="58"/>
      <c r="C192" s="58"/>
      <c r="D192" s="58"/>
      <c r="E192" s="316">
        <v>0</v>
      </c>
      <c r="F192" s="58">
        <v>0</v>
      </c>
      <c r="G192" s="58">
        <v>0</v>
      </c>
      <c r="H192" s="58">
        <v>0</v>
      </c>
      <c r="I192" s="316">
        <v>0</v>
      </c>
      <c r="J192" s="58">
        <v>0</v>
      </c>
      <c r="K192" s="58">
        <v>0</v>
      </c>
      <c r="L192" s="58">
        <v>0</v>
      </c>
      <c r="M192" s="58">
        <v>0</v>
      </c>
      <c r="N192" s="316">
        <v>0</v>
      </c>
      <c r="O192" s="58">
        <v>0</v>
      </c>
      <c r="P192" s="58">
        <v>0</v>
      </c>
      <c r="Q192" s="58">
        <v>0</v>
      </c>
      <c r="R192" s="316">
        <f t="shared" si="2"/>
        <v>0</v>
      </c>
      <c r="S192" s="58">
        <v>0</v>
      </c>
    </row>
    <row r="193" spans="1:19" x14ac:dyDescent="0.35">
      <c r="A193" t="s">
        <v>198</v>
      </c>
      <c r="B193" s="58">
        <v>3000</v>
      </c>
      <c r="C193" s="58">
        <v>0</v>
      </c>
      <c r="D193" s="58">
        <v>3000</v>
      </c>
      <c r="E193" s="316">
        <v>1</v>
      </c>
      <c r="F193" s="58">
        <v>21000</v>
      </c>
      <c r="G193" s="58">
        <v>3000</v>
      </c>
      <c r="H193" s="58">
        <v>24000</v>
      </c>
      <c r="I193" s="316">
        <v>8</v>
      </c>
      <c r="J193" s="58">
        <v>30000</v>
      </c>
      <c r="K193" s="58">
        <v>20000</v>
      </c>
      <c r="L193" s="58">
        <v>0</v>
      </c>
      <c r="M193" s="58">
        <v>50000</v>
      </c>
      <c r="N193" s="316">
        <v>16.666666666666668</v>
      </c>
      <c r="O193" s="58">
        <v>24000</v>
      </c>
      <c r="P193" s="58">
        <v>39500</v>
      </c>
      <c r="Q193" s="58">
        <v>63500</v>
      </c>
      <c r="R193" s="316">
        <f t="shared" si="2"/>
        <v>21.166666666666668</v>
      </c>
      <c r="S193" s="58">
        <v>66048.619965866965</v>
      </c>
    </row>
    <row r="194" spans="1:19" x14ac:dyDescent="0.35">
      <c r="A194" t="s">
        <v>199</v>
      </c>
      <c r="B194" s="58"/>
      <c r="C194" s="58"/>
      <c r="D194" s="58"/>
      <c r="E194" s="316">
        <v>0</v>
      </c>
      <c r="F194" s="58">
        <v>0</v>
      </c>
      <c r="G194" s="58">
        <v>0</v>
      </c>
      <c r="H194" s="58">
        <v>0</v>
      </c>
      <c r="I194" s="316">
        <v>0</v>
      </c>
      <c r="J194" s="58">
        <v>0</v>
      </c>
      <c r="K194" s="58">
        <v>0</v>
      </c>
      <c r="L194" s="58">
        <v>0</v>
      </c>
      <c r="M194" s="58">
        <v>0</v>
      </c>
      <c r="N194" s="316">
        <v>0</v>
      </c>
      <c r="O194" s="58">
        <v>18000</v>
      </c>
      <c r="P194" s="58">
        <v>0</v>
      </c>
      <c r="Q194" s="58">
        <v>18000</v>
      </c>
      <c r="R194" s="316">
        <f t="shared" si="2"/>
        <v>6</v>
      </c>
      <c r="S194" s="58">
        <v>18722.443454891421</v>
      </c>
    </row>
    <row r="195" spans="1:19" x14ac:dyDescent="0.35">
      <c r="A195" t="s">
        <v>200</v>
      </c>
      <c r="B195" s="58"/>
      <c r="C195" s="58"/>
      <c r="D195" s="58"/>
      <c r="E195" s="316">
        <v>0</v>
      </c>
      <c r="F195" s="58">
        <v>27000</v>
      </c>
      <c r="G195" s="58">
        <v>0</v>
      </c>
      <c r="H195" s="58">
        <v>27000</v>
      </c>
      <c r="I195" s="316">
        <v>9</v>
      </c>
      <c r="J195" s="58">
        <v>18000</v>
      </c>
      <c r="K195" s="58">
        <v>22500</v>
      </c>
      <c r="L195" s="58">
        <v>0</v>
      </c>
      <c r="M195" s="58">
        <v>40500</v>
      </c>
      <c r="N195" s="316">
        <v>13.5</v>
      </c>
      <c r="O195" s="58">
        <v>18000</v>
      </c>
      <c r="P195" s="58">
        <v>37750</v>
      </c>
      <c r="Q195" s="58">
        <v>55750</v>
      </c>
      <c r="R195" s="316">
        <f t="shared" si="2"/>
        <v>18.583333333333332</v>
      </c>
      <c r="S195" s="58">
        <v>57987.567922788716</v>
      </c>
    </row>
    <row r="196" spans="1:19" x14ac:dyDescent="0.35">
      <c r="A196" t="s">
        <v>201</v>
      </c>
      <c r="B196" s="58"/>
      <c r="C196" s="58"/>
      <c r="D196" s="58"/>
      <c r="E196" s="316">
        <v>0</v>
      </c>
      <c r="F196" s="58">
        <v>6000</v>
      </c>
      <c r="G196" s="58">
        <v>0</v>
      </c>
      <c r="H196" s="58">
        <v>6000</v>
      </c>
      <c r="I196" s="316">
        <v>2</v>
      </c>
      <c r="J196" s="58">
        <v>3000</v>
      </c>
      <c r="K196" s="58">
        <v>0</v>
      </c>
      <c r="L196" s="58">
        <v>0</v>
      </c>
      <c r="M196" s="58">
        <v>3000</v>
      </c>
      <c r="N196" s="316">
        <v>1</v>
      </c>
      <c r="O196" s="58">
        <v>6000</v>
      </c>
      <c r="P196" s="58">
        <v>3000</v>
      </c>
      <c r="Q196" s="58">
        <v>9000</v>
      </c>
      <c r="R196" s="316">
        <f t="shared" si="2"/>
        <v>3</v>
      </c>
      <c r="S196" s="58">
        <v>9361.2217274457107</v>
      </c>
    </row>
    <row r="197" spans="1:19" x14ac:dyDescent="0.35">
      <c r="A197" t="s">
        <v>202</v>
      </c>
      <c r="B197" s="58"/>
      <c r="C197" s="58"/>
      <c r="D197" s="58"/>
      <c r="E197" s="316">
        <v>0</v>
      </c>
      <c r="F197" s="58">
        <v>0</v>
      </c>
      <c r="G197" s="58">
        <v>0</v>
      </c>
      <c r="H197" s="58">
        <v>0</v>
      </c>
      <c r="I197" s="316">
        <v>0</v>
      </c>
      <c r="J197" s="58">
        <v>6000</v>
      </c>
      <c r="K197" s="58">
        <v>6000</v>
      </c>
      <c r="L197" s="58">
        <v>0</v>
      </c>
      <c r="M197" s="58">
        <v>12000</v>
      </c>
      <c r="N197" s="316">
        <v>4</v>
      </c>
      <c r="O197" s="58">
        <v>21000</v>
      </c>
      <c r="P197" s="58">
        <v>9250</v>
      </c>
      <c r="Q197" s="58">
        <v>30250</v>
      </c>
      <c r="R197" s="316">
        <f t="shared" si="2"/>
        <v>10.083333333333334</v>
      </c>
      <c r="S197" s="58">
        <v>31464.106361692528</v>
      </c>
    </row>
    <row r="198" spans="1:19" x14ac:dyDescent="0.35">
      <c r="A198" t="s">
        <v>203</v>
      </c>
      <c r="B198" s="58">
        <v>6000</v>
      </c>
      <c r="C198" s="58">
        <v>0</v>
      </c>
      <c r="D198" s="58">
        <v>6000</v>
      </c>
      <c r="E198" s="316">
        <v>2</v>
      </c>
      <c r="F198" s="58">
        <v>33000</v>
      </c>
      <c r="G198" s="58">
        <v>5500</v>
      </c>
      <c r="H198" s="58">
        <v>38500</v>
      </c>
      <c r="I198" s="316">
        <v>12.833333333333334</v>
      </c>
      <c r="J198" s="58">
        <v>27000</v>
      </c>
      <c r="K198" s="58">
        <v>34750</v>
      </c>
      <c r="L198" s="58">
        <v>0</v>
      </c>
      <c r="M198" s="58">
        <v>61750</v>
      </c>
      <c r="N198" s="316">
        <v>20.583333333333332</v>
      </c>
      <c r="O198" s="58">
        <v>51000</v>
      </c>
      <c r="P198" s="58">
        <v>56250</v>
      </c>
      <c r="Q198" s="58">
        <v>107250</v>
      </c>
      <c r="R198" s="316">
        <f t="shared" si="2"/>
        <v>35.75</v>
      </c>
      <c r="S198" s="58">
        <v>111554.55891872806</v>
      </c>
    </row>
    <row r="200" spans="1:19" x14ac:dyDescent="0.35">
      <c r="A200" t="s">
        <v>205</v>
      </c>
      <c r="B200" s="58">
        <v>6000</v>
      </c>
      <c r="C200" s="58">
        <v>0</v>
      </c>
      <c r="D200" s="58">
        <v>6000</v>
      </c>
      <c r="E200" s="316">
        <v>2</v>
      </c>
      <c r="F200" s="58">
        <v>12000</v>
      </c>
      <c r="G200" s="58">
        <v>5500</v>
      </c>
      <c r="H200" s="58">
        <v>17500</v>
      </c>
      <c r="I200" s="316">
        <v>5.833333333333333</v>
      </c>
      <c r="J200" s="58">
        <v>6000</v>
      </c>
      <c r="K200" s="58">
        <v>15500</v>
      </c>
      <c r="L200" s="58">
        <v>0</v>
      </c>
      <c r="M200" s="58">
        <v>21500</v>
      </c>
      <c r="N200" s="316">
        <v>7.166666666666667</v>
      </c>
      <c r="O200" s="58">
        <v>12000</v>
      </c>
      <c r="P200" s="58">
        <v>20000</v>
      </c>
      <c r="Q200" s="58">
        <v>32000</v>
      </c>
      <c r="R200" s="316">
        <f t="shared" ref="R200:R262" si="3">+Q200/3000</f>
        <v>10.666666666666666</v>
      </c>
      <c r="S200" s="58">
        <v>33284.343919806968</v>
      </c>
    </row>
    <row r="201" spans="1:19" x14ac:dyDescent="0.35">
      <c r="A201" t="s">
        <v>206</v>
      </c>
      <c r="B201" s="58">
        <v>3000</v>
      </c>
      <c r="C201" s="58">
        <v>0</v>
      </c>
      <c r="D201" s="58">
        <v>3000</v>
      </c>
      <c r="E201" s="316">
        <v>1</v>
      </c>
      <c r="F201" s="58">
        <v>9000</v>
      </c>
      <c r="G201" s="58">
        <v>3000</v>
      </c>
      <c r="H201" s="58">
        <v>12000</v>
      </c>
      <c r="I201" s="316">
        <v>4</v>
      </c>
      <c r="J201" s="58">
        <v>18000</v>
      </c>
      <c r="K201" s="58">
        <v>12000</v>
      </c>
      <c r="L201" s="58">
        <v>3000</v>
      </c>
      <c r="M201" s="58">
        <v>33000</v>
      </c>
      <c r="N201" s="316">
        <v>11</v>
      </c>
      <c r="O201" s="58">
        <v>18000</v>
      </c>
      <c r="P201" s="58">
        <v>30000</v>
      </c>
      <c r="Q201" s="58">
        <v>48000</v>
      </c>
      <c r="R201" s="316">
        <f t="shared" si="3"/>
        <v>16</v>
      </c>
      <c r="S201" s="58">
        <v>49926.51587971046</v>
      </c>
    </row>
    <row r="202" spans="1:19" x14ac:dyDescent="0.35">
      <c r="A202" t="s">
        <v>207</v>
      </c>
      <c r="B202" s="58"/>
      <c r="C202" s="58"/>
      <c r="D202" s="58"/>
      <c r="E202" s="316">
        <v>0</v>
      </c>
      <c r="F202" s="58">
        <v>0</v>
      </c>
      <c r="G202" s="58">
        <v>0</v>
      </c>
      <c r="H202" s="58">
        <v>0</v>
      </c>
      <c r="I202" s="316">
        <v>0</v>
      </c>
      <c r="J202" s="58">
        <v>0</v>
      </c>
      <c r="K202" s="58">
        <v>0</v>
      </c>
      <c r="L202" s="58">
        <v>0</v>
      </c>
      <c r="M202" s="58">
        <v>0</v>
      </c>
      <c r="N202" s="316">
        <v>0</v>
      </c>
      <c r="O202" s="58">
        <v>0</v>
      </c>
      <c r="P202" s="58">
        <v>0</v>
      </c>
      <c r="Q202" s="58">
        <v>0</v>
      </c>
      <c r="R202" s="316">
        <f t="shared" si="3"/>
        <v>0</v>
      </c>
      <c r="S202" s="58">
        <v>0</v>
      </c>
    </row>
    <row r="203" spans="1:19" x14ac:dyDescent="0.35">
      <c r="A203" t="s">
        <v>208</v>
      </c>
      <c r="B203" s="58"/>
      <c r="C203" s="58"/>
      <c r="D203" s="58"/>
      <c r="E203" s="316">
        <v>0</v>
      </c>
      <c r="F203" s="58">
        <v>0</v>
      </c>
      <c r="G203" s="58">
        <v>0</v>
      </c>
      <c r="H203" s="58">
        <v>0</v>
      </c>
      <c r="I203" s="316">
        <v>0</v>
      </c>
      <c r="J203" s="58">
        <v>3000</v>
      </c>
      <c r="K203" s="58">
        <v>0</v>
      </c>
      <c r="L203" s="58">
        <v>0</v>
      </c>
      <c r="M203" s="58">
        <v>3000</v>
      </c>
      <c r="N203" s="316">
        <v>1</v>
      </c>
      <c r="O203" s="58">
        <v>0</v>
      </c>
      <c r="P203" s="58">
        <v>3000</v>
      </c>
      <c r="Q203" s="58">
        <v>3000</v>
      </c>
      <c r="R203" s="316">
        <f t="shared" si="3"/>
        <v>1</v>
      </c>
      <c r="S203" s="58">
        <v>3120.4072424819037</v>
      </c>
    </row>
    <row r="204" spans="1:19" x14ac:dyDescent="0.35">
      <c r="A204" t="s">
        <v>209</v>
      </c>
      <c r="B204" s="58"/>
      <c r="C204" s="58"/>
      <c r="D204" s="58"/>
      <c r="E204" s="316">
        <v>0</v>
      </c>
      <c r="F204" s="58">
        <v>0</v>
      </c>
      <c r="G204" s="58">
        <v>0</v>
      </c>
      <c r="H204" s="58">
        <v>0</v>
      </c>
      <c r="I204" s="316">
        <v>0</v>
      </c>
      <c r="J204" s="58">
        <v>0</v>
      </c>
      <c r="K204" s="58">
        <v>0</v>
      </c>
      <c r="L204" s="58">
        <v>0</v>
      </c>
      <c r="M204" s="58">
        <v>0</v>
      </c>
      <c r="N204" s="316">
        <v>0</v>
      </c>
      <c r="O204" s="58">
        <v>0</v>
      </c>
      <c r="P204" s="58">
        <v>0</v>
      </c>
      <c r="Q204" s="58">
        <v>0</v>
      </c>
      <c r="R204" s="316">
        <f t="shared" si="3"/>
        <v>0</v>
      </c>
      <c r="S204" s="58">
        <v>0</v>
      </c>
    </row>
    <row r="205" spans="1:19" x14ac:dyDescent="0.35">
      <c r="A205" t="s">
        <v>210</v>
      </c>
      <c r="B205" s="58"/>
      <c r="C205" s="58"/>
      <c r="D205" s="58"/>
      <c r="E205" s="316">
        <v>0</v>
      </c>
      <c r="F205" s="58">
        <v>3000</v>
      </c>
      <c r="G205" s="58">
        <v>0</v>
      </c>
      <c r="H205" s="58">
        <v>3000</v>
      </c>
      <c r="I205" s="316">
        <v>1</v>
      </c>
      <c r="J205" s="58">
        <v>0</v>
      </c>
      <c r="K205" s="58">
        <v>3000</v>
      </c>
      <c r="L205" s="58">
        <v>0</v>
      </c>
      <c r="M205" s="58">
        <v>3000</v>
      </c>
      <c r="N205" s="316">
        <v>1</v>
      </c>
      <c r="O205" s="58">
        <v>0</v>
      </c>
      <c r="P205" s="58">
        <v>3000</v>
      </c>
      <c r="Q205" s="58">
        <v>3000</v>
      </c>
      <c r="R205" s="316">
        <f t="shared" si="3"/>
        <v>1</v>
      </c>
      <c r="S205" s="58">
        <v>3120.4072424819037</v>
      </c>
    </row>
    <row r="206" spans="1:19" x14ac:dyDescent="0.35">
      <c r="A206" t="s">
        <v>211</v>
      </c>
      <c r="B206" s="58"/>
      <c r="C206" s="58"/>
      <c r="D206" s="58"/>
      <c r="E206" s="316">
        <v>0</v>
      </c>
      <c r="F206" s="58">
        <v>0</v>
      </c>
      <c r="G206" s="58">
        <v>0</v>
      </c>
      <c r="H206" s="58">
        <v>0</v>
      </c>
      <c r="I206" s="316">
        <v>0</v>
      </c>
      <c r="J206" s="58">
        <v>3000</v>
      </c>
      <c r="K206" s="58">
        <v>0</v>
      </c>
      <c r="L206" s="58">
        <v>0</v>
      </c>
      <c r="M206" s="58">
        <v>3000</v>
      </c>
      <c r="N206" s="316">
        <v>1</v>
      </c>
      <c r="O206" s="58">
        <v>3000</v>
      </c>
      <c r="P206" s="58">
        <v>3000</v>
      </c>
      <c r="Q206" s="58">
        <v>6000</v>
      </c>
      <c r="R206" s="316">
        <f t="shared" si="3"/>
        <v>2</v>
      </c>
      <c r="S206" s="58">
        <v>6240.8144849638074</v>
      </c>
    </row>
    <row r="207" spans="1:19" x14ac:dyDescent="0.35">
      <c r="A207" t="s">
        <v>212</v>
      </c>
      <c r="B207" s="58"/>
      <c r="C207" s="58"/>
      <c r="D207" s="58"/>
      <c r="E207" s="316">
        <v>0</v>
      </c>
      <c r="F207" s="58">
        <v>0</v>
      </c>
      <c r="G207" s="58">
        <v>0</v>
      </c>
      <c r="H207" s="58">
        <v>0</v>
      </c>
      <c r="I207" s="316">
        <v>0</v>
      </c>
      <c r="J207" s="58">
        <v>3000</v>
      </c>
      <c r="K207" s="58">
        <v>0</v>
      </c>
      <c r="L207" s="58">
        <v>0</v>
      </c>
      <c r="M207" s="58">
        <v>3000</v>
      </c>
      <c r="N207" s="316">
        <v>1</v>
      </c>
      <c r="O207" s="58">
        <v>6000</v>
      </c>
      <c r="P207" s="58">
        <v>3000</v>
      </c>
      <c r="Q207" s="58">
        <v>9000</v>
      </c>
      <c r="R207" s="316">
        <f t="shared" si="3"/>
        <v>3</v>
      </c>
      <c r="S207" s="58">
        <v>9361.2217274457107</v>
      </c>
    </row>
    <row r="208" spans="1:19" x14ac:dyDescent="0.35">
      <c r="A208" t="s">
        <v>213</v>
      </c>
      <c r="B208" s="58">
        <v>12000</v>
      </c>
      <c r="C208" s="58">
        <v>0</v>
      </c>
      <c r="D208" s="58">
        <v>12000</v>
      </c>
      <c r="E208" s="316">
        <v>4</v>
      </c>
      <c r="F208" s="58">
        <v>0</v>
      </c>
      <c r="G208" s="58">
        <v>12000</v>
      </c>
      <c r="H208" s="58">
        <v>12000</v>
      </c>
      <c r="I208" s="316">
        <v>4</v>
      </c>
      <c r="J208" s="58">
        <v>9000</v>
      </c>
      <c r="K208" s="58">
        <v>9000</v>
      </c>
      <c r="L208" s="58">
        <v>0</v>
      </c>
      <c r="M208" s="58">
        <v>18000</v>
      </c>
      <c r="N208" s="316">
        <v>6</v>
      </c>
      <c r="O208" s="58">
        <v>9000</v>
      </c>
      <c r="P208" s="58">
        <v>18000</v>
      </c>
      <c r="Q208" s="58">
        <v>27000</v>
      </c>
      <c r="R208" s="316">
        <f t="shared" si="3"/>
        <v>9</v>
      </c>
      <c r="S208" s="58">
        <v>28083.665182337132</v>
      </c>
    </row>
    <row r="209" spans="1:19" x14ac:dyDescent="0.35">
      <c r="A209" t="s">
        <v>214</v>
      </c>
      <c r="B209" s="58"/>
      <c r="C209" s="58"/>
      <c r="D209" s="58"/>
      <c r="E209" s="316">
        <v>0</v>
      </c>
      <c r="F209" s="58">
        <v>3000</v>
      </c>
      <c r="G209" s="58">
        <v>0</v>
      </c>
      <c r="H209" s="58">
        <v>3000</v>
      </c>
      <c r="I209" s="316">
        <v>1</v>
      </c>
      <c r="J209" s="58">
        <v>9000</v>
      </c>
      <c r="K209" s="58">
        <v>3000</v>
      </c>
      <c r="L209" s="58">
        <v>0</v>
      </c>
      <c r="M209" s="58">
        <v>12000</v>
      </c>
      <c r="N209" s="316">
        <v>4</v>
      </c>
      <c r="O209" s="58">
        <v>0</v>
      </c>
      <c r="P209" s="58">
        <v>7000</v>
      </c>
      <c r="Q209" s="58">
        <v>7000</v>
      </c>
      <c r="R209" s="316">
        <f t="shared" si="3"/>
        <v>2.3333333333333335</v>
      </c>
      <c r="S209" s="58">
        <v>7280.9502324577743</v>
      </c>
    </row>
    <row r="210" spans="1:19" x14ac:dyDescent="0.35">
      <c r="A210" t="s">
        <v>215</v>
      </c>
      <c r="B210" s="58"/>
      <c r="C210" s="58"/>
      <c r="D210" s="58"/>
      <c r="E210" s="316">
        <v>0</v>
      </c>
      <c r="F210" s="58">
        <v>12000</v>
      </c>
      <c r="G210" s="58">
        <v>0</v>
      </c>
      <c r="H210" s="58">
        <v>12000</v>
      </c>
      <c r="I210" s="316">
        <v>4</v>
      </c>
      <c r="J210" s="58">
        <v>27000</v>
      </c>
      <c r="K210" s="58">
        <v>4000</v>
      </c>
      <c r="L210" s="58">
        <v>0</v>
      </c>
      <c r="M210" s="58">
        <v>31000</v>
      </c>
      <c r="N210" s="316">
        <v>10.333333333333334</v>
      </c>
      <c r="O210" s="58">
        <v>30000</v>
      </c>
      <c r="P210" s="58">
        <v>17500</v>
      </c>
      <c r="Q210" s="58">
        <v>47500</v>
      </c>
      <c r="R210" s="316">
        <f t="shared" si="3"/>
        <v>15.833333333333334</v>
      </c>
      <c r="S210" s="58">
        <v>49406.448005963473</v>
      </c>
    </row>
    <row r="211" spans="1:19" x14ac:dyDescent="0.35">
      <c r="A211" t="s">
        <v>216</v>
      </c>
      <c r="B211" s="58"/>
      <c r="C211" s="58"/>
      <c r="D211" s="58"/>
      <c r="E211" s="316">
        <v>0</v>
      </c>
      <c r="F211" s="58">
        <v>18000</v>
      </c>
      <c r="G211" s="58">
        <v>0</v>
      </c>
      <c r="H211" s="58">
        <v>18000</v>
      </c>
      <c r="I211" s="316">
        <v>6</v>
      </c>
      <c r="J211" s="58">
        <v>15000</v>
      </c>
      <c r="K211" s="58">
        <v>18000</v>
      </c>
      <c r="L211" s="58">
        <v>0</v>
      </c>
      <c r="M211" s="58">
        <v>33000</v>
      </c>
      <c r="N211" s="316">
        <v>11</v>
      </c>
      <c r="O211" s="58">
        <v>18000</v>
      </c>
      <c r="P211" s="58">
        <v>33000</v>
      </c>
      <c r="Q211" s="58">
        <v>51000</v>
      </c>
      <c r="R211" s="316">
        <f t="shared" si="3"/>
        <v>17</v>
      </c>
      <c r="S211" s="58">
        <v>53046.923122192362</v>
      </c>
    </row>
    <row r="212" spans="1:19" x14ac:dyDescent="0.35">
      <c r="A212" t="s">
        <v>217</v>
      </c>
      <c r="B212" s="58">
        <v>3000</v>
      </c>
      <c r="C212" s="58">
        <v>0</v>
      </c>
      <c r="D212" s="58">
        <v>3000</v>
      </c>
      <c r="E212" s="316">
        <v>1</v>
      </c>
      <c r="F212" s="58">
        <v>15000</v>
      </c>
      <c r="G212" s="58">
        <v>3000</v>
      </c>
      <c r="H212" s="58">
        <v>18000</v>
      </c>
      <c r="I212" s="316">
        <v>6</v>
      </c>
      <c r="J212" s="58">
        <v>6000</v>
      </c>
      <c r="K212" s="58">
        <v>21000</v>
      </c>
      <c r="L212" s="58">
        <v>6000</v>
      </c>
      <c r="M212" s="58">
        <v>33000</v>
      </c>
      <c r="N212" s="316">
        <v>11</v>
      </c>
      <c r="O212" s="58">
        <v>12000</v>
      </c>
      <c r="P212" s="58">
        <v>27000</v>
      </c>
      <c r="Q212" s="58">
        <v>39000</v>
      </c>
      <c r="R212" s="316">
        <f t="shared" si="3"/>
        <v>13</v>
      </c>
      <c r="S212" s="58">
        <v>40565.294152264752</v>
      </c>
    </row>
    <row r="213" spans="1:19" x14ac:dyDescent="0.35">
      <c r="A213" t="s">
        <v>218</v>
      </c>
      <c r="B213" s="58"/>
      <c r="C213" s="58"/>
      <c r="D213" s="58"/>
      <c r="E213" s="316">
        <v>0</v>
      </c>
      <c r="F213" s="58">
        <v>0</v>
      </c>
      <c r="G213" s="58">
        <v>0</v>
      </c>
      <c r="H213" s="58">
        <v>0</v>
      </c>
      <c r="I213" s="316">
        <v>0</v>
      </c>
      <c r="J213" s="58">
        <v>6000</v>
      </c>
      <c r="K213" s="58">
        <v>0</v>
      </c>
      <c r="L213" s="58">
        <v>0</v>
      </c>
      <c r="M213" s="58">
        <v>6000</v>
      </c>
      <c r="N213" s="316">
        <v>2</v>
      </c>
      <c r="O213" s="58">
        <v>3000</v>
      </c>
      <c r="P213" s="58">
        <v>6000</v>
      </c>
      <c r="Q213" s="58">
        <v>9000</v>
      </c>
      <c r="R213" s="316">
        <f t="shared" si="3"/>
        <v>3</v>
      </c>
      <c r="S213" s="58">
        <v>9361.2217274457107</v>
      </c>
    </row>
    <row r="214" spans="1:19" x14ac:dyDescent="0.35">
      <c r="A214" t="s">
        <v>219</v>
      </c>
      <c r="B214" s="58">
        <v>3000</v>
      </c>
      <c r="C214" s="58">
        <v>0</v>
      </c>
      <c r="D214" s="58">
        <v>3000</v>
      </c>
      <c r="E214" s="316">
        <v>1</v>
      </c>
      <c r="F214" s="58">
        <v>6000</v>
      </c>
      <c r="G214" s="58">
        <v>3000</v>
      </c>
      <c r="H214" s="58">
        <v>9000</v>
      </c>
      <c r="I214" s="316">
        <v>3</v>
      </c>
      <c r="J214" s="58">
        <v>6000</v>
      </c>
      <c r="K214" s="58">
        <v>9000</v>
      </c>
      <c r="L214" s="58">
        <v>0</v>
      </c>
      <c r="M214" s="58">
        <v>15000</v>
      </c>
      <c r="N214" s="316">
        <v>5</v>
      </c>
      <c r="O214" s="58">
        <v>9000</v>
      </c>
      <c r="P214" s="58">
        <v>15000</v>
      </c>
      <c r="Q214" s="58">
        <v>24000</v>
      </c>
      <c r="R214" s="316">
        <f t="shared" si="3"/>
        <v>8</v>
      </c>
      <c r="S214" s="58">
        <v>24963.25793985523</v>
      </c>
    </row>
    <row r="215" spans="1:19" x14ac:dyDescent="0.35">
      <c r="A215" t="s">
        <v>220</v>
      </c>
      <c r="B215" s="58"/>
      <c r="C215" s="58"/>
      <c r="D215" s="58"/>
      <c r="E215" s="316">
        <v>0</v>
      </c>
      <c r="F215" s="58">
        <v>9000</v>
      </c>
      <c r="G215" s="58">
        <v>0</v>
      </c>
      <c r="H215" s="58">
        <v>9000</v>
      </c>
      <c r="I215" s="316">
        <v>3</v>
      </c>
      <c r="J215" s="58">
        <v>12000</v>
      </c>
      <c r="K215" s="58">
        <v>12000</v>
      </c>
      <c r="L215" s="58">
        <v>3000</v>
      </c>
      <c r="M215" s="58">
        <v>27000</v>
      </c>
      <c r="N215" s="316">
        <v>9</v>
      </c>
      <c r="O215" s="58">
        <v>15000</v>
      </c>
      <c r="P215" s="58">
        <v>24000</v>
      </c>
      <c r="Q215" s="58">
        <v>39000</v>
      </c>
      <c r="R215" s="316">
        <f t="shared" si="3"/>
        <v>13</v>
      </c>
      <c r="S215" s="58">
        <v>40565.294152264752</v>
      </c>
    </row>
    <row r="216" spans="1:19" x14ac:dyDescent="0.35">
      <c r="A216" t="s">
        <v>221</v>
      </c>
      <c r="B216" s="58"/>
      <c r="C216" s="58"/>
      <c r="D216" s="58"/>
      <c r="E216" s="316">
        <v>0</v>
      </c>
      <c r="F216" s="58">
        <v>3000</v>
      </c>
      <c r="G216" s="58">
        <v>0</v>
      </c>
      <c r="H216" s="58">
        <v>3000</v>
      </c>
      <c r="I216" s="316">
        <v>1</v>
      </c>
      <c r="J216" s="58">
        <v>9000</v>
      </c>
      <c r="K216" s="58">
        <v>3000</v>
      </c>
      <c r="L216" s="58">
        <v>0</v>
      </c>
      <c r="M216" s="58">
        <v>12000</v>
      </c>
      <c r="N216" s="316">
        <v>4</v>
      </c>
      <c r="O216" s="58">
        <v>15000</v>
      </c>
      <c r="P216" s="58">
        <v>9000</v>
      </c>
      <c r="Q216" s="58">
        <v>24000</v>
      </c>
      <c r="R216" s="316">
        <f t="shared" si="3"/>
        <v>8</v>
      </c>
      <c r="S216" s="58">
        <v>24963.25793985523</v>
      </c>
    </row>
    <row r="217" spans="1:19" x14ac:dyDescent="0.35">
      <c r="A217" t="s">
        <v>222</v>
      </c>
      <c r="B217" s="58"/>
      <c r="C217" s="58"/>
      <c r="D217" s="58"/>
      <c r="E217" s="316">
        <v>0</v>
      </c>
      <c r="F217" s="58">
        <v>0</v>
      </c>
      <c r="G217" s="58">
        <v>0</v>
      </c>
      <c r="H217" s="58">
        <v>0</v>
      </c>
      <c r="I217" s="316">
        <v>0</v>
      </c>
      <c r="J217" s="58">
        <v>0</v>
      </c>
      <c r="K217" s="58">
        <v>0</v>
      </c>
      <c r="L217" s="58">
        <v>0</v>
      </c>
      <c r="M217" s="58">
        <v>0</v>
      </c>
      <c r="N217" s="316">
        <v>0</v>
      </c>
      <c r="O217" s="58">
        <v>6000</v>
      </c>
      <c r="P217" s="58">
        <v>0</v>
      </c>
      <c r="Q217" s="58">
        <v>6000</v>
      </c>
      <c r="R217" s="316">
        <f t="shared" si="3"/>
        <v>2</v>
      </c>
      <c r="S217" s="58">
        <v>6240.8144849638074</v>
      </c>
    </row>
    <row r="218" spans="1:19" x14ac:dyDescent="0.35">
      <c r="A218" t="s">
        <v>223</v>
      </c>
      <c r="B218" s="58"/>
      <c r="C218" s="58"/>
      <c r="D218" s="58"/>
      <c r="E218" s="316">
        <v>0</v>
      </c>
      <c r="F218" s="58">
        <v>9000</v>
      </c>
      <c r="G218" s="58">
        <v>0</v>
      </c>
      <c r="H218" s="58">
        <v>9000</v>
      </c>
      <c r="I218" s="316">
        <v>3</v>
      </c>
      <c r="J218" s="58">
        <v>3000</v>
      </c>
      <c r="K218" s="58">
        <v>9000</v>
      </c>
      <c r="L218" s="58">
        <v>0</v>
      </c>
      <c r="M218" s="58">
        <v>12000</v>
      </c>
      <c r="N218" s="316">
        <v>4</v>
      </c>
      <c r="O218" s="58">
        <v>3000</v>
      </c>
      <c r="P218" s="58">
        <v>10000</v>
      </c>
      <c r="Q218" s="58">
        <v>13000</v>
      </c>
      <c r="R218" s="316">
        <f t="shared" si="3"/>
        <v>4.333333333333333</v>
      </c>
      <c r="S218" s="58">
        <v>13521.764717421584</v>
      </c>
    </row>
    <row r="219" spans="1:19" x14ac:dyDescent="0.35">
      <c r="A219" t="s">
        <v>224</v>
      </c>
      <c r="B219" s="58"/>
      <c r="C219" s="58"/>
      <c r="D219" s="58"/>
      <c r="E219" s="316">
        <v>0</v>
      </c>
      <c r="F219" s="58">
        <v>0</v>
      </c>
      <c r="G219" s="58">
        <v>0</v>
      </c>
      <c r="H219" s="58">
        <v>0</v>
      </c>
      <c r="I219" s="316">
        <v>0</v>
      </c>
      <c r="J219" s="58">
        <v>6000</v>
      </c>
      <c r="K219" s="58">
        <v>0</v>
      </c>
      <c r="L219" s="58">
        <v>0</v>
      </c>
      <c r="M219" s="58">
        <v>6000</v>
      </c>
      <c r="N219" s="316">
        <v>2</v>
      </c>
      <c r="O219" s="58">
        <v>3000</v>
      </c>
      <c r="P219" s="58">
        <v>6000</v>
      </c>
      <c r="Q219" s="58">
        <v>9000</v>
      </c>
      <c r="R219" s="316">
        <f t="shared" si="3"/>
        <v>3</v>
      </c>
      <c r="S219" s="58">
        <v>9361.2217274457107</v>
      </c>
    </row>
    <row r="220" spans="1:19" x14ac:dyDescent="0.35">
      <c r="A220" t="s">
        <v>225</v>
      </c>
      <c r="B220" s="58"/>
      <c r="C220" s="58"/>
      <c r="D220" s="58"/>
      <c r="E220" s="316">
        <v>0</v>
      </c>
      <c r="F220" s="58">
        <v>6000</v>
      </c>
      <c r="G220" s="58">
        <v>0</v>
      </c>
      <c r="H220" s="58">
        <v>6000</v>
      </c>
      <c r="I220" s="316">
        <v>2</v>
      </c>
      <c r="J220" s="58">
        <v>0</v>
      </c>
      <c r="K220" s="58">
        <v>6000</v>
      </c>
      <c r="L220" s="58">
        <v>0</v>
      </c>
      <c r="M220" s="58">
        <v>6000</v>
      </c>
      <c r="N220" s="316">
        <v>2</v>
      </c>
      <c r="O220" s="58">
        <v>6000</v>
      </c>
      <c r="P220" s="58">
        <v>5250</v>
      </c>
      <c r="Q220" s="58">
        <v>11250</v>
      </c>
      <c r="R220" s="316">
        <f t="shared" si="3"/>
        <v>3.75</v>
      </c>
      <c r="S220" s="58">
        <v>11701.527159307139</v>
      </c>
    </row>
    <row r="221" spans="1:19" x14ac:dyDescent="0.35">
      <c r="A221" t="s">
        <v>226</v>
      </c>
      <c r="B221" s="58">
        <v>3000</v>
      </c>
      <c r="C221" s="58">
        <v>0</v>
      </c>
      <c r="D221" s="58">
        <v>3000</v>
      </c>
      <c r="E221" s="316">
        <v>1</v>
      </c>
      <c r="F221" s="58">
        <v>6000</v>
      </c>
      <c r="G221" s="58">
        <v>750</v>
      </c>
      <c r="H221" s="58">
        <v>6750</v>
      </c>
      <c r="I221" s="316">
        <v>2.25</v>
      </c>
      <c r="J221" s="58">
        <v>6000</v>
      </c>
      <c r="K221" s="58">
        <v>6000</v>
      </c>
      <c r="L221" s="58">
        <v>0</v>
      </c>
      <c r="M221" s="58">
        <v>12000</v>
      </c>
      <c r="N221" s="316">
        <v>4</v>
      </c>
      <c r="O221" s="58">
        <v>6000</v>
      </c>
      <c r="P221" s="58">
        <v>9250</v>
      </c>
      <c r="Q221" s="58">
        <v>15250</v>
      </c>
      <c r="R221" s="316">
        <f t="shared" si="3"/>
        <v>5.083333333333333</v>
      </c>
      <c r="S221" s="58">
        <v>15862.07014928301</v>
      </c>
    </row>
    <row r="222" spans="1:19" x14ac:dyDescent="0.35">
      <c r="A222" t="s">
        <v>227</v>
      </c>
      <c r="B222" s="58"/>
      <c r="C222" s="58"/>
      <c r="D222" s="58"/>
      <c r="E222" s="316">
        <v>0</v>
      </c>
      <c r="F222" s="58">
        <v>0</v>
      </c>
      <c r="G222" s="58">
        <v>0</v>
      </c>
      <c r="H222" s="58">
        <v>0</v>
      </c>
      <c r="I222" s="316">
        <v>0</v>
      </c>
      <c r="J222" s="58">
        <v>6000</v>
      </c>
      <c r="K222" s="58">
        <v>0</v>
      </c>
      <c r="L222" s="58">
        <v>0</v>
      </c>
      <c r="M222" s="58">
        <v>6000</v>
      </c>
      <c r="N222" s="316">
        <v>2</v>
      </c>
      <c r="O222" s="58">
        <v>66000</v>
      </c>
      <c r="P222" s="58">
        <v>0</v>
      </c>
      <c r="Q222" s="58">
        <v>66000</v>
      </c>
      <c r="R222" s="316">
        <f t="shared" si="3"/>
        <v>22</v>
      </c>
      <c r="S222" s="58">
        <v>68648.959334601881</v>
      </c>
    </row>
    <row r="223" spans="1:19" x14ac:dyDescent="0.35">
      <c r="A223" t="s">
        <v>228</v>
      </c>
      <c r="B223" s="58"/>
      <c r="C223" s="58"/>
      <c r="D223" s="58"/>
      <c r="E223" s="316">
        <v>0</v>
      </c>
      <c r="F223" s="58">
        <v>0</v>
      </c>
      <c r="G223" s="58">
        <v>0</v>
      </c>
      <c r="H223" s="58">
        <v>0</v>
      </c>
      <c r="I223" s="316">
        <v>0</v>
      </c>
      <c r="J223" s="58">
        <v>3000</v>
      </c>
      <c r="K223" s="58">
        <v>0</v>
      </c>
      <c r="L223" s="58">
        <v>0</v>
      </c>
      <c r="M223" s="58">
        <v>3000</v>
      </c>
      <c r="N223" s="316">
        <v>1</v>
      </c>
      <c r="O223" s="58">
        <v>9000</v>
      </c>
      <c r="P223" s="58">
        <v>750</v>
      </c>
      <c r="Q223" s="58">
        <v>9750</v>
      </c>
      <c r="R223" s="316">
        <f t="shared" si="3"/>
        <v>3.25</v>
      </c>
      <c r="S223" s="58">
        <v>10141.323538066188</v>
      </c>
    </row>
    <row r="224" spans="1:19" x14ac:dyDescent="0.35">
      <c r="A224" t="s">
        <v>229</v>
      </c>
      <c r="B224" s="58"/>
      <c r="C224" s="58"/>
      <c r="D224" s="58"/>
      <c r="E224" s="316">
        <v>0</v>
      </c>
      <c r="F224" s="58">
        <v>0</v>
      </c>
      <c r="G224" s="58">
        <v>0</v>
      </c>
      <c r="H224" s="58">
        <v>0</v>
      </c>
      <c r="I224" s="316">
        <v>0</v>
      </c>
      <c r="J224" s="58">
        <v>21000</v>
      </c>
      <c r="K224" s="58">
        <v>0</v>
      </c>
      <c r="L224" s="58">
        <v>0</v>
      </c>
      <c r="M224" s="58">
        <v>21000</v>
      </c>
      <c r="N224" s="316">
        <v>7</v>
      </c>
      <c r="O224" s="58">
        <v>15000</v>
      </c>
      <c r="P224" s="58">
        <v>21000</v>
      </c>
      <c r="Q224" s="58">
        <v>36000</v>
      </c>
      <c r="R224" s="316">
        <f t="shared" si="3"/>
        <v>12</v>
      </c>
      <c r="S224" s="58">
        <v>37444.886909782843</v>
      </c>
    </row>
    <row r="225" spans="1:19" x14ac:dyDescent="0.35">
      <c r="A225" t="s">
        <v>230</v>
      </c>
      <c r="B225" s="58"/>
      <c r="C225" s="58"/>
      <c r="D225" s="58"/>
      <c r="E225" s="316">
        <v>0</v>
      </c>
      <c r="F225" s="58">
        <v>0</v>
      </c>
      <c r="G225" s="58">
        <v>0</v>
      </c>
      <c r="H225" s="58">
        <v>0</v>
      </c>
      <c r="I225" s="316">
        <v>0</v>
      </c>
      <c r="J225" s="58">
        <v>0</v>
      </c>
      <c r="K225" s="58">
        <v>0</v>
      </c>
      <c r="L225" s="58">
        <v>0</v>
      </c>
      <c r="M225" s="58">
        <v>0</v>
      </c>
      <c r="N225" s="316">
        <v>0</v>
      </c>
      <c r="O225" s="58">
        <v>3000</v>
      </c>
      <c r="P225" s="58">
        <v>0</v>
      </c>
      <c r="Q225" s="58">
        <v>3000</v>
      </c>
      <c r="R225" s="316">
        <f t="shared" si="3"/>
        <v>1</v>
      </c>
      <c r="S225" s="58">
        <v>3120.4072424819037</v>
      </c>
    </row>
    <row r="226" spans="1:19" x14ac:dyDescent="0.35">
      <c r="A226" t="s">
        <v>231</v>
      </c>
      <c r="B226" s="58"/>
      <c r="C226" s="58"/>
      <c r="D226" s="58"/>
      <c r="E226" s="316">
        <v>0</v>
      </c>
      <c r="F226" s="58">
        <v>3000</v>
      </c>
      <c r="G226" s="58">
        <v>0</v>
      </c>
      <c r="H226" s="58">
        <v>3000</v>
      </c>
      <c r="I226" s="316">
        <v>1</v>
      </c>
      <c r="J226" s="58">
        <v>3000</v>
      </c>
      <c r="K226" s="58">
        <v>3000</v>
      </c>
      <c r="L226" s="58">
        <v>0</v>
      </c>
      <c r="M226" s="58">
        <v>6000</v>
      </c>
      <c r="N226" s="316">
        <v>2</v>
      </c>
      <c r="O226" s="58">
        <v>21000</v>
      </c>
      <c r="P226" s="58">
        <v>6000</v>
      </c>
      <c r="Q226" s="58">
        <v>27000</v>
      </c>
      <c r="R226" s="316">
        <f t="shared" si="3"/>
        <v>9</v>
      </c>
      <c r="S226" s="58">
        <v>28083.665182337132</v>
      </c>
    </row>
    <row r="227" spans="1:19" x14ac:dyDescent="0.35">
      <c r="A227" t="s">
        <v>232</v>
      </c>
      <c r="B227" s="58"/>
      <c r="C227" s="58"/>
      <c r="D227" s="58"/>
      <c r="E227" s="316">
        <v>0</v>
      </c>
      <c r="F227" s="58">
        <v>0</v>
      </c>
      <c r="G227" s="58">
        <v>0</v>
      </c>
      <c r="H227" s="58">
        <v>0</v>
      </c>
      <c r="I227" s="316">
        <v>0</v>
      </c>
      <c r="J227" s="58">
        <v>9000</v>
      </c>
      <c r="K227" s="58">
        <v>0</v>
      </c>
      <c r="L227" s="58">
        <v>0</v>
      </c>
      <c r="M227" s="58">
        <v>9000</v>
      </c>
      <c r="N227" s="316">
        <v>3</v>
      </c>
      <c r="O227" s="58">
        <v>15000</v>
      </c>
      <c r="P227" s="58">
        <v>6000</v>
      </c>
      <c r="Q227" s="58">
        <v>21000</v>
      </c>
      <c r="R227" s="316">
        <f t="shared" si="3"/>
        <v>7</v>
      </c>
      <c r="S227" s="58">
        <v>21842.850697373327</v>
      </c>
    </row>
    <row r="228" spans="1:19" x14ac:dyDescent="0.35">
      <c r="A228" t="s">
        <v>233</v>
      </c>
      <c r="B228" s="58"/>
      <c r="C228" s="58"/>
      <c r="D228" s="58"/>
      <c r="E228" s="316">
        <v>0</v>
      </c>
      <c r="F228" s="58">
        <v>30000</v>
      </c>
      <c r="G228" s="58">
        <v>0</v>
      </c>
      <c r="H228" s="58">
        <v>30000</v>
      </c>
      <c r="I228" s="316">
        <v>10</v>
      </c>
      <c r="J228" s="58">
        <v>18000</v>
      </c>
      <c r="K228" s="58">
        <v>27250</v>
      </c>
      <c r="L228" s="58">
        <v>3000</v>
      </c>
      <c r="M228" s="58">
        <v>48250</v>
      </c>
      <c r="N228" s="316">
        <v>16.083333333333332</v>
      </c>
      <c r="O228" s="58">
        <v>18000</v>
      </c>
      <c r="P228" s="58">
        <v>47000</v>
      </c>
      <c r="Q228" s="58">
        <v>65000</v>
      </c>
      <c r="R228" s="316">
        <f t="shared" si="3"/>
        <v>21.666666666666668</v>
      </c>
      <c r="S228" s="58">
        <v>67608.823587107909</v>
      </c>
    </row>
    <row r="229" spans="1:19" x14ac:dyDescent="0.35">
      <c r="A229" t="s">
        <v>234</v>
      </c>
      <c r="B229" s="58"/>
      <c r="C229" s="58"/>
      <c r="D229" s="58"/>
      <c r="E229" s="316">
        <v>0</v>
      </c>
      <c r="F229" s="58">
        <v>0</v>
      </c>
      <c r="G229" s="58">
        <v>0</v>
      </c>
      <c r="H229" s="58">
        <v>0</v>
      </c>
      <c r="I229" s="316">
        <v>0</v>
      </c>
      <c r="J229" s="58">
        <v>3000</v>
      </c>
      <c r="K229" s="58">
        <v>0</v>
      </c>
      <c r="L229" s="58">
        <v>0</v>
      </c>
      <c r="M229" s="58">
        <v>3000</v>
      </c>
      <c r="N229" s="316">
        <v>1</v>
      </c>
      <c r="O229" s="58">
        <v>3000</v>
      </c>
      <c r="P229" s="58">
        <v>3000</v>
      </c>
      <c r="Q229" s="58">
        <v>6000</v>
      </c>
      <c r="R229" s="316">
        <f t="shared" si="3"/>
        <v>2</v>
      </c>
      <c r="S229" s="58">
        <v>6240.8144849638074</v>
      </c>
    </row>
    <row r="230" spans="1:19" x14ac:dyDescent="0.35">
      <c r="A230" t="s">
        <v>235</v>
      </c>
      <c r="B230" s="58"/>
      <c r="C230" s="58"/>
      <c r="D230" s="58"/>
      <c r="E230" s="316">
        <v>0</v>
      </c>
      <c r="F230" s="58">
        <v>0</v>
      </c>
      <c r="G230" s="58">
        <v>0</v>
      </c>
      <c r="H230" s="58">
        <v>0</v>
      </c>
      <c r="I230" s="316">
        <v>0</v>
      </c>
      <c r="J230" s="58">
        <v>0</v>
      </c>
      <c r="K230" s="58">
        <v>0</v>
      </c>
      <c r="L230" s="58">
        <v>0</v>
      </c>
      <c r="M230" s="58">
        <v>0</v>
      </c>
      <c r="N230" s="316">
        <v>0</v>
      </c>
      <c r="O230" s="58">
        <v>0</v>
      </c>
      <c r="P230" s="58">
        <v>0</v>
      </c>
      <c r="Q230" s="58">
        <v>0</v>
      </c>
      <c r="R230" s="316">
        <f t="shared" si="3"/>
        <v>0</v>
      </c>
      <c r="S230" s="58">
        <v>0</v>
      </c>
    </row>
    <row r="231" spans="1:19" x14ac:dyDescent="0.35">
      <c r="A231" t="s">
        <v>236</v>
      </c>
      <c r="B231" s="58">
        <v>3000</v>
      </c>
      <c r="C231" s="58">
        <v>0</v>
      </c>
      <c r="D231" s="58">
        <v>3000</v>
      </c>
      <c r="E231" s="316">
        <v>1</v>
      </c>
      <c r="F231" s="58">
        <v>3000</v>
      </c>
      <c r="G231" s="58">
        <v>3000</v>
      </c>
      <c r="H231" s="58">
        <v>6000</v>
      </c>
      <c r="I231" s="316">
        <v>2</v>
      </c>
      <c r="J231" s="58">
        <v>6000</v>
      </c>
      <c r="K231" s="58">
        <v>9000</v>
      </c>
      <c r="L231" s="58">
        <v>6000</v>
      </c>
      <c r="M231" s="58">
        <v>21000</v>
      </c>
      <c r="N231" s="316">
        <v>7</v>
      </c>
      <c r="O231" s="58">
        <v>3000</v>
      </c>
      <c r="P231" s="58">
        <v>12250</v>
      </c>
      <c r="Q231" s="58">
        <v>15250</v>
      </c>
      <c r="R231" s="316">
        <f t="shared" si="3"/>
        <v>5.083333333333333</v>
      </c>
      <c r="S231" s="58">
        <v>15862.07014928301</v>
      </c>
    </row>
    <row r="232" spans="1:19" x14ac:dyDescent="0.35">
      <c r="A232" t="s">
        <v>237</v>
      </c>
      <c r="B232" s="58"/>
      <c r="C232" s="58"/>
      <c r="D232" s="58"/>
      <c r="E232" s="316">
        <v>0</v>
      </c>
      <c r="F232" s="58">
        <v>0</v>
      </c>
      <c r="G232" s="58">
        <v>0</v>
      </c>
      <c r="H232" s="58">
        <v>0</v>
      </c>
      <c r="I232" s="316">
        <v>0</v>
      </c>
      <c r="J232" s="58">
        <v>0</v>
      </c>
      <c r="K232" s="58">
        <v>0</v>
      </c>
      <c r="L232" s="58">
        <v>0</v>
      </c>
      <c r="M232" s="58">
        <v>0</v>
      </c>
      <c r="N232" s="316">
        <v>0</v>
      </c>
      <c r="O232" s="58">
        <v>3000</v>
      </c>
      <c r="P232" s="58">
        <v>0</v>
      </c>
      <c r="Q232" s="58">
        <v>3000</v>
      </c>
      <c r="R232" s="316">
        <f t="shared" si="3"/>
        <v>1</v>
      </c>
      <c r="S232" s="58">
        <v>3120.4072424819037</v>
      </c>
    </row>
    <row r="233" spans="1:19" x14ac:dyDescent="0.35">
      <c r="A233" t="s">
        <v>238</v>
      </c>
      <c r="B233" s="58">
        <v>30000</v>
      </c>
      <c r="C233" s="58">
        <v>12000</v>
      </c>
      <c r="D233" s="58">
        <v>42000</v>
      </c>
      <c r="E233" s="316">
        <v>14</v>
      </c>
      <c r="F233" s="58">
        <v>93000</v>
      </c>
      <c r="G233" s="58">
        <v>25750</v>
      </c>
      <c r="H233" s="58">
        <v>118750</v>
      </c>
      <c r="I233" s="316">
        <v>39.583333333333336</v>
      </c>
      <c r="J233" s="58">
        <v>54000</v>
      </c>
      <c r="K233" s="58">
        <v>95500</v>
      </c>
      <c r="L233" s="58">
        <v>0</v>
      </c>
      <c r="M233" s="58">
        <v>149500</v>
      </c>
      <c r="N233" s="316">
        <v>49.833333333333336</v>
      </c>
      <c r="O233" s="58">
        <v>54000</v>
      </c>
      <c r="P233" s="58">
        <v>128000</v>
      </c>
      <c r="Q233" s="58">
        <v>182000</v>
      </c>
      <c r="R233" s="316">
        <f t="shared" si="3"/>
        <v>60.666666666666664</v>
      </c>
      <c r="S233" s="58">
        <v>189304.70604390217</v>
      </c>
    </row>
    <row r="234" spans="1:19" x14ac:dyDescent="0.35">
      <c r="A234" t="s">
        <v>239</v>
      </c>
      <c r="B234" s="58"/>
      <c r="C234" s="58"/>
      <c r="D234" s="58"/>
      <c r="E234" s="316">
        <v>0</v>
      </c>
      <c r="F234" s="58">
        <v>3000</v>
      </c>
      <c r="G234" s="58">
        <v>0</v>
      </c>
      <c r="H234" s="58">
        <v>3000</v>
      </c>
      <c r="I234" s="316">
        <v>1</v>
      </c>
      <c r="J234" s="58">
        <v>0</v>
      </c>
      <c r="K234" s="58">
        <v>0</v>
      </c>
      <c r="L234" s="58">
        <v>0</v>
      </c>
      <c r="M234" s="58">
        <v>0</v>
      </c>
      <c r="N234" s="316">
        <v>0</v>
      </c>
      <c r="O234" s="58">
        <v>9000</v>
      </c>
      <c r="P234" s="58">
        <v>0</v>
      </c>
      <c r="Q234" s="58">
        <v>9000</v>
      </c>
      <c r="R234" s="316">
        <f t="shared" si="3"/>
        <v>3</v>
      </c>
      <c r="S234" s="58">
        <v>9361.2217274457107</v>
      </c>
    </row>
    <row r="235" spans="1:19" x14ac:dyDescent="0.35">
      <c r="A235" t="s">
        <v>240</v>
      </c>
      <c r="B235" s="58"/>
      <c r="C235" s="58"/>
      <c r="D235" s="58"/>
      <c r="E235" s="316">
        <v>0</v>
      </c>
      <c r="F235" s="58">
        <v>0</v>
      </c>
      <c r="G235" s="58">
        <v>0</v>
      </c>
      <c r="H235" s="58">
        <v>0</v>
      </c>
      <c r="I235" s="316">
        <v>0</v>
      </c>
      <c r="J235" s="58">
        <v>3000</v>
      </c>
      <c r="K235" s="58">
        <v>0</v>
      </c>
      <c r="L235" s="58">
        <v>0</v>
      </c>
      <c r="M235" s="58">
        <v>3000</v>
      </c>
      <c r="N235" s="316">
        <v>1</v>
      </c>
      <c r="O235" s="58">
        <v>0</v>
      </c>
      <c r="P235" s="58">
        <v>750</v>
      </c>
      <c r="Q235" s="58">
        <v>750</v>
      </c>
      <c r="R235" s="316">
        <f t="shared" si="3"/>
        <v>0.25</v>
      </c>
      <c r="S235" s="58">
        <v>780.10181062047593</v>
      </c>
    </row>
    <row r="236" spans="1:19" x14ac:dyDescent="0.35">
      <c r="A236" t="s">
        <v>241</v>
      </c>
      <c r="B236" s="58"/>
      <c r="C236" s="58"/>
      <c r="D236" s="58"/>
      <c r="E236" s="316">
        <v>0</v>
      </c>
      <c r="F236" s="58">
        <v>0</v>
      </c>
      <c r="G236" s="58">
        <v>0</v>
      </c>
      <c r="H236" s="58">
        <v>0</v>
      </c>
      <c r="I236" s="316">
        <v>0</v>
      </c>
      <c r="J236" s="58">
        <v>0</v>
      </c>
      <c r="K236" s="58">
        <v>0</v>
      </c>
      <c r="L236" s="58">
        <v>0</v>
      </c>
      <c r="M236" s="58">
        <v>0</v>
      </c>
      <c r="N236" s="316">
        <v>0</v>
      </c>
      <c r="O236" s="58">
        <v>3000</v>
      </c>
      <c r="P236" s="58">
        <v>0</v>
      </c>
      <c r="Q236" s="58">
        <v>3000</v>
      </c>
      <c r="R236" s="316">
        <f t="shared" si="3"/>
        <v>1</v>
      </c>
      <c r="S236" s="58">
        <v>3120.4072424819037</v>
      </c>
    </row>
    <row r="237" spans="1:19" x14ac:dyDescent="0.35">
      <c r="A237" t="s">
        <v>242</v>
      </c>
      <c r="B237" s="58"/>
      <c r="C237" s="58"/>
      <c r="D237" s="58"/>
      <c r="E237" s="316">
        <v>0</v>
      </c>
      <c r="F237" s="58">
        <v>0</v>
      </c>
      <c r="G237" s="58">
        <v>0</v>
      </c>
      <c r="H237" s="58">
        <v>0</v>
      </c>
      <c r="I237" s="316">
        <v>0</v>
      </c>
      <c r="J237" s="58">
        <v>0</v>
      </c>
      <c r="K237" s="58">
        <v>0</v>
      </c>
      <c r="L237" s="58">
        <v>0</v>
      </c>
      <c r="M237" s="58">
        <v>0</v>
      </c>
      <c r="N237" s="316">
        <v>0</v>
      </c>
      <c r="O237" s="58">
        <v>0</v>
      </c>
      <c r="P237" s="58">
        <v>0</v>
      </c>
      <c r="Q237" s="58">
        <v>0</v>
      </c>
      <c r="R237" s="316">
        <f t="shared" si="3"/>
        <v>0</v>
      </c>
      <c r="S237" s="58">
        <v>0</v>
      </c>
    </row>
    <row r="238" spans="1:19" x14ac:dyDescent="0.35">
      <c r="A238" t="s">
        <v>243</v>
      </c>
      <c r="B238" s="58"/>
      <c r="C238" s="58"/>
      <c r="D238" s="58"/>
      <c r="E238" s="316">
        <v>0</v>
      </c>
      <c r="F238" s="58">
        <v>0</v>
      </c>
      <c r="G238" s="58">
        <v>0</v>
      </c>
      <c r="H238" s="58">
        <v>0</v>
      </c>
      <c r="I238" s="316">
        <v>0</v>
      </c>
      <c r="J238" s="58">
        <v>6000</v>
      </c>
      <c r="K238" s="58">
        <v>0</v>
      </c>
      <c r="L238" s="58">
        <v>0</v>
      </c>
      <c r="M238" s="58">
        <v>6000</v>
      </c>
      <c r="N238" s="316">
        <v>2</v>
      </c>
      <c r="O238" s="58">
        <v>3000</v>
      </c>
      <c r="P238" s="58">
        <v>6000</v>
      </c>
      <c r="Q238" s="58">
        <v>9000</v>
      </c>
      <c r="R238" s="316">
        <f t="shared" si="3"/>
        <v>3</v>
      </c>
      <c r="S238" s="58">
        <v>9361.2217274457107</v>
      </c>
    </row>
    <row r="239" spans="1:19" x14ac:dyDescent="0.35">
      <c r="A239" t="s">
        <v>244</v>
      </c>
      <c r="B239" s="58"/>
      <c r="C239" s="58"/>
      <c r="D239" s="58"/>
      <c r="E239" s="316">
        <v>0</v>
      </c>
      <c r="F239" s="58">
        <v>9000</v>
      </c>
      <c r="G239" s="58">
        <v>0</v>
      </c>
      <c r="H239" s="58">
        <v>9000</v>
      </c>
      <c r="I239" s="316">
        <v>3</v>
      </c>
      <c r="J239" s="58">
        <v>27000</v>
      </c>
      <c r="K239" s="58">
        <v>13250</v>
      </c>
      <c r="L239" s="58">
        <v>9000</v>
      </c>
      <c r="M239" s="58">
        <v>49250</v>
      </c>
      <c r="N239" s="316">
        <v>16.416666666666668</v>
      </c>
      <c r="O239" s="58">
        <v>21000</v>
      </c>
      <c r="P239" s="58">
        <v>36750</v>
      </c>
      <c r="Q239" s="58">
        <v>57750</v>
      </c>
      <c r="R239" s="316">
        <f t="shared" si="3"/>
        <v>19.25</v>
      </c>
      <c r="S239" s="58">
        <v>60067.839417776646</v>
      </c>
    </row>
    <row r="240" spans="1:19" x14ac:dyDescent="0.35">
      <c r="A240" t="s">
        <v>245</v>
      </c>
      <c r="B240" s="58"/>
      <c r="C240" s="58"/>
      <c r="D240" s="58"/>
      <c r="E240" s="316">
        <v>0</v>
      </c>
      <c r="F240" s="58">
        <v>3000</v>
      </c>
      <c r="G240" s="58">
        <v>0</v>
      </c>
      <c r="H240" s="58">
        <v>3000</v>
      </c>
      <c r="I240" s="316">
        <v>1</v>
      </c>
      <c r="J240" s="58">
        <v>12000</v>
      </c>
      <c r="K240" s="58">
        <v>2250</v>
      </c>
      <c r="L240" s="58">
        <v>0</v>
      </c>
      <c r="M240" s="58">
        <v>14250</v>
      </c>
      <c r="N240" s="316">
        <v>4.75</v>
      </c>
      <c r="O240" s="58">
        <v>21000</v>
      </c>
      <c r="P240" s="58">
        <v>9000</v>
      </c>
      <c r="Q240" s="58">
        <v>30000</v>
      </c>
      <c r="R240" s="316">
        <f t="shared" si="3"/>
        <v>10</v>
      </c>
      <c r="S240" s="58">
        <v>31204.072424819034</v>
      </c>
    </row>
    <row r="241" spans="1:19" x14ac:dyDescent="0.35">
      <c r="A241" t="s">
        <v>246</v>
      </c>
      <c r="B241" s="58"/>
      <c r="C241" s="58"/>
      <c r="D241" s="58"/>
      <c r="E241" s="316">
        <v>0</v>
      </c>
      <c r="F241" s="58">
        <v>0</v>
      </c>
      <c r="G241" s="58">
        <v>0</v>
      </c>
      <c r="H241" s="58">
        <v>0</v>
      </c>
      <c r="I241" s="316">
        <v>0</v>
      </c>
      <c r="J241" s="58">
        <v>6000</v>
      </c>
      <c r="K241" s="58">
        <v>6000</v>
      </c>
      <c r="L241" s="58">
        <v>6000</v>
      </c>
      <c r="M241" s="58">
        <v>18000</v>
      </c>
      <c r="N241" s="316">
        <v>6</v>
      </c>
      <c r="O241" s="58">
        <v>9000</v>
      </c>
      <c r="P241" s="58">
        <v>12000</v>
      </c>
      <c r="Q241" s="58">
        <v>21000</v>
      </c>
      <c r="R241" s="316">
        <f t="shared" si="3"/>
        <v>7</v>
      </c>
      <c r="S241" s="58">
        <v>21842.850697373327</v>
      </c>
    </row>
    <row r="243" spans="1:19" x14ac:dyDescent="0.35">
      <c r="A243" t="s">
        <v>248</v>
      </c>
      <c r="B243" s="58"/>
      <c r="C243" s="58"/>
      <c r="D243" s="58"/>
      <c r="E243" s="316">
        <v>0</v>
      </c>
      <c r="F243" s="58">
        <v>0</v>
      </c>
      <c r="G243" s="58">
        <v>0</v>
      </c>
      <c r="H243" s="58">
        <v>0</v>
      </c>
      <c r="I243" s="316">
        <v>0</v>
      </c>
      <c r="J243" s="58">
        <v>3000</v>
      </c>
      <c r="K243" s="58">
        <v>0</v>
      </c>
      <c r="L243" s="58">
        <v>0</v>
      </c>
      <c r="M243" s="58">
        <v>3000</v>
      </c>
      <c r="N243" s="316">
        <v>1</v>
      </c>
      <c r="O243" s="58">
        <v>0</v>
      </c>
      <c r="P243" s="58">
        <v>3000</v>
      </c>
      <c r="Q243" s="58">
        <v>3000</v>
      </c>
      <c r="R243" s="316">
        <f t="shared" si="3"/>
        <v>1</v>
      </c>
      <c r="S243" s="58">
        <v>3120.4072424819037</v>
      </c>
    </row>
    <row r="244" spans="1:19" x14ac:dyDescent="0.35">
      <c r="A244" t="s">
        <v>249</v>
      </c>
      <c r="B244" s="58"/>
      <c r="C244" s="58"/>
      <c r="D244" s="58"/>
      <c r="E244" s="316">
        <v>0</v>
      </c>
      <c r="F244" s="58">
        <v>0</v>
      </c>
      <c r="G244" s="58">
        <v>0</v>
      </c>
      <c r="H244" s="58">
        <v>0</v>
      </c>
      <c r="I244" s="316">
        <v>0</v>
      </c>
      <c r="J244" s="58">
        <v>18000</v>
      </c>
      <c r="K244" s="58">
        <v>0</v>
      </c>
      <c r="L244" s="58">
        <v>0</v>
      </c>
      <c r="M244" s="58">
        <v>18000</v>
      </c>
      <c r="N244" s="316">
        <v>6</v>
      </c>
      <c r="O244" s="58">
        <v>12000</v>
      </c>
      <c r="P244" s="58">
        <v>18000</v>
      </c>
      <c r="Q244" s="58">
        <v>30000</v>
      </c>
      <c r="R244" s="316">
        <f t="shared" si="3"/>
        <v>10</v>
      </c>
      <c r="S244" s="58">
        <v>31204.072424819034</v>
      </c>
    </row>
    <row r="245" spans="1:19" x14ac:dyDescent="0.35">
      <c r="A245" t="s">
        <v>250</v>
      </c>
      <c r="B245" s="58"/>
      <c r="C245" s="58"/>
      <c r="D245" s="58"/>
      <c r="E245" s="316">
        <v>0</v>
      </c>
      <c r="F245" s="58">
        <v>3000</v>
      </c>
      <c r="G245" s="58">
        <v>0</v>
      </c>
      <c r="H245" s="58">
        <v>3000</v>
      </c>
      <c r="I245" s="316">
        <v>1</v>
      </c>
      <c r="J245" s="58">
        <v>12000</v>
      </c>
      <c r="K245" s="58">
        <v>2750</v>
      </c>
      <c r="L245" s="58">
        <v>0</v>
      </c>
      <c r="M245" s="58">
        <v>14750</v>
      </c>
      <c r="N245" s="316">
        <v>4.916666666666667</v>
      </c>
      <c r="O245" s="58">
        <v>18000</v>
      </c>
      <c r="P245" s="58">
        <v>11250</v>
      </c>
      <c r="Q245" s="58">
        <v>29250</v>
      </c>
      <c r="R245" s="316">
        <f t="shared" si="3"/>
        <v>9.75</v>
      </c>
      <c r="S245" s="58">
        <v>30423.970614198563</v>
      </c>
    </row>
    <row r="246" spans="1:19" x14ac:dyDescent="0.35">
      <c r="A246" t="s">
        <v>251</v>
      </c>
      <c r="B246" s="58"/>
      <c r="C246" s="58"/>
      <c r="D246" s="58"/>
      <c r="E246" s="316">
        <v>0</v>
      </c>
      <c r="F246" s="58">
        <v>3000</v>
      </c>
      <c r="G246" s="58">
        <v>0</v>
      </c>
      <c r="H246" s="58">
        <v>3000</v>
      </c>
      <c r="I246" s="316">
        <v>1</v>
      </c>
      <c r="J246" s="58">
        <v>0</v>
      </c>
      <c r="K246" s="58">
        <v>1000</v>
      </c>
      <c r="L246" s="58">
        <v>0</v>
      </c>
      <c r="M246" s="58">
        <v>1000</v>
      </c>
      <c r="N246" s="316">
        <v>0.33333333333333331</v>
      </c>
      <c r="O246" s="58">
        <v>3000</v>
      </c>
      <c r="P246" s="58">
        <v>750</v>
      </c>
      <c r="Q246" s="58">
        <v>3750</v>
      </c>
      <c r="R246" s="316">
        <f t="shared" si="3"/>
        <v>1.25</v>
      </c>
      <c r="S246" s="58">
        <v>3900.5090531023793</v>
      </c>
    </row>
    <row r="247" spans="1:19" x14ac:dyDescent="0.35">
      <c r="A247" t="s">
        <v>252</v>
      </c>
      <c r="B247" s="58"/>
      <c r="C247" s="58"/>
      <c r="D247" s="58"/>
      <c r="E247" s="316">
        <v>0</v>
      </c>
      <c r="F247" s="58">
        <v>0</v>
      </c>
      <c r="G247" s="58">
        <v>0</v>
      </c>
      <c r="H247" s="58">
        <v>0</v>
      </c>
      <c r="I247" s="316">
        <v>0</v>
      </c>
      <c r="J247" s="58">
        <v>3000</v>
      </c>
      <c r="K247" s="58">
        <v>0</v>
      </c>
      <c r="L247" s="58">
        <v>0</v>
      </c>
      <c r="M247" s="58">
        <v>3000</v>
      </c>
      <c r="N247" s="316">
        <v>1</v>
      </c>
      <c r="O247" s="58">
        <v>0</v>
      </c>
      <c r="P247" s="58">
        <v>3000</v>
      </c>
      <c r="Q247" s="58">
        <v>3000</v>
      </c>
      <c r="R247" s="316">
        <f t="shared" si="3"/>
        <v>1</v>
      </c>
      <c r="S247" s="58">
        <v>3120.4072424819037</v>
      </c>
    </row>
    <row r="248" spans="1:19" x14ac:dyDescent="0.35">
      <c r="A248" t="s">
        <v>253</v>
      </c>
      <c r="B248" s="58"/>
      <c r="C248" s="58"/>
      <c r="D248" s="58"/>
      <c r="E248" s="316">
        <v>0</v>
      </c>
      <c r="F248" s="58">
        <v>0</v>
      </c>
      <c r="G248" s="58">
        <v>0</v>
      </c>
      <c r="H248" s="58">
        <v>0</v>
      </c>
      <c r="I248" s="316">
        <v>0</v>
      </c>
      <c r="J248" s="58">
        <v>6000</v>
      </c>
      <c r="K248" s="58">
        <v>0</v>
      </c>
      <c r="L248" s="58">
        <v>0</v>
      </c>
      <c r="M248" s="58">
        <v>6000</v>
      </c>
      <c r="N248" s="316">
        <v>2</v>
      </c>
      <c r="O248" s="58">
        <v>3000</v>
      </c>
      <c r="P248" s="58">
        <v>6000</v>
      </c>
      <c r="Q248" s="58">
        <v>9000</v>
      </c>
      <c r="R248" s="316">
        <f t="shared" si="3"/>
        <v>3</v>
      </c>
      <c r="S248" s="58">
        <v>9361.2217274457107</v>
      </c>
    </row>
    <row r="249" spans="1:19" x14ac:dyDescent="0.35">
      <c r="A249" t="s">
        <v>254</v>
      </c>
      <c r="B249" s="58"/>
      <c r="C249" s="58"/>
      <c r="D249" s="58"/>
      <c r="E249" s="316">
        <v>0</v>
      </c>
      <c r="F249" s="58">
        <v>3000</v>
      </c>
      <c r="G249" s="58">
        <v>0</v>
      </c>
      <c r="H249" s="58">
        <v>3000</v>
      </c>
      <c r="I249" s="316">
        <v>1</v>
      </c>
      <c r="J249" s="58">
        <v>0</v>
      </c>
      <c r="K249" s="58">
        <v>0</v>
      </c>
      <c r="L249" s="58">
        <v>0</v>
      </c>
      <c r="M249" s="58">
        <v>0</v>
      </c>
      <c r="N249" s="316">
        <v>0</v>
      </c>
      <c r="O249" s="58">
        <v>6000</v>
      </c>
      <c r="P249" s="58">
        <v>0</v>
      </c>
      <c r="Q249" s="58">
        <v>6000</v>
      </c>
      <c r="R249" s="316">
        <f t="shared" si="3"/>
        <v>2</v>
      </c>
      <c r="S249" s="58">
        <v>6240.8144849638074</v>
      </c>
    </row>
    <row r="250" spans="1:19" x14ac:dyDescent="0.35">
      <c r="A250" t="s">
        <v>255</v>
      </c>
      <c r="B250" s="58"/>
      <c r="C250" s="58"/>
      <c r="D250" s="58"/>
      <c r="E250" s="316">
        <v>0</v>
      </c>
      <c r="F250" s="58">
        <v>0</v>
      </c>
      <c r="G250" s="58">
        <v>0</v>
      </c>
      <c r="H250" s="58">
        <v>0</v>
      </c>
      <c r="I250" s="316">
        <v>0</v>
      </c>
      <c r="J250" s="58">
        <v>6000</v>
      </c>
      <c r="K250" s="58">
        <v>0</v>
      </c>
      <c r="L250" s="58">
        <v>0</v>
      </c>
      <c r="M250" s="58">
        <v>6000</v>
      </c>
      <c r="N250" s="316">
        <v>2</v>
      </c>
      <c r="O250" s="58">
        <v>3000</v>
      </c>
      <c r="P250" s="58">
        <v>3000</v>
      </c>
      <c r="Q250" s="58">
        <v>6000</v>
      </c>
      <c r="R250" s="316">
        <f t="shared" si="3"/>
        <v>2</v>
      </c>
      <c r="S250" s="58">
        <v>6240.8144849638074</v>
      </c>
    </row>
    <row r="251" spans="1:19" x14ac:dyDescent="0.35">
      <c r="A251" t="s">
        <v>256</v>
      </c>
      <c r="B251" s="58"/>
      <c r="C251" s="58"/>
      <c r="D251" s="58"/>
      <c r="E251" s="316">
        <v>0</v>
      </c>
      <c r="F251" s="58">
        <v>3000</v>
      </c>
      <c r="G251" s="58">
        <v>0</v>
      </c>
      <c r="H251" s="58">
        <v>3000</v>
      </c>
      <c r="I251" s="316">
        <v>1</v>
      </c>
      <c r="J251" s="58">
        <v>6000</v>
      </c>
      <c r="K251" s="58">
        <v>500</v>
      </c>
      <c r="L251" s="58">
        <v>0</v>
      </c>
      <c r="M251" s="58">
        <v>6500</v>
      </c>
      <c r="N251" s="316">
        <v>2.1666666666666665</v>
      </c>
      <c r="O251" s="58">
        <v>9000</v>
      </c>
      <c r="P251" s="58">
        <v>8750</v>
      </c>
      <c r="Q251" s="58">
        <v>17750</v>
      </c>
      <c r="R251" s="316">
        <f t="shared" si="3"/>
        <v>5.916666666666667</v>
      </c>
      <c r="S251" s="58">
        <v>18462.409518017932</v>
      </c>
    </row>
    <row r="252" spans="1:19" x14ac:dyDescent="0.35">
      <c r="A252" t="s">
        <v>257</v>
      </c>
      <c r="B252" s="58"/>
      <c r="C252" s="58"/>
      <c r="D252" s="58"/>
      <c r="E252" s="316">
        <v>0</v>
      </c>
      <c r="F252" s="58">
        <v>6000</v>
      </c>
      <c r="G252" s="58">
        <v>0</v>
      </c>
      <c r="H252" s="58">
        <v>6000</v>
      </c>
      <c r="I252" s="316">
        <v>2</v>
      </c>
      <c r="J252" s="58">
        <v>9000</v>
      </c>
      <c r="K252" s="58">
        <v>6000</v>
      </c>
      <c r="L252" s="58">
        <v>0</v>
      </c>
      <c r="M252" s="58">
        <v>15000</v>
      </c>
      <c r="N252" s="316">
        <v>5</v>
      </c>
      <c r="O252" s="58">
        <v>9000</v>
      </c>
      <c r="P252" s="58">
        <v>15000</v>
      </c>
      <c r="Q252" s="58">
        <v>24000</v>
      </c>
      <c r="R252" s="316">
        <f t="shared" si="3"/>
        <v>8</v>
      </c>
      <c r="S252" s="58">
        <v>24963.25793985523</v>
      </c>
    </row>
    <row r="253" spans="1:19" x14ac:dyDescent="0.35">
      <c r="A253" t="s">
        <v>258</v>
      </c>
      <c r="B253" s="58"/>
      <c r="C253" s="58"/>
      <c r="D253" s="58"/>
      <c r="E253" s="316">
        <v>0</v>
      </c>
      <c r="F253" s="58">
        <v>9000</v>
      </c>
      <c r="G253" s="58">
        <v>0</v>
      </c>
      <c r="H253" s="58">
        <v>9000</v>
      </c>
      <c r="I253" s="316">
        <v>3</v>
      </c>
      <c r="J253" s="58">
        <v>12000</v>
      </c>
      <c r="K253" s="58">
        <v>8500</v>
      </c>
      <c r="L253" s="58">
        <v>0</v>
      </c>
      <c r="M253" s="58">
        <v>20500</v>
      </c>
      <c r="N253" s="316">
        <v>6.833333333333333</v>
      </c>
      <c r="O253" s="58">
        <v>21000</v>
      </c>
      <c r="P253" s="58">
        <v>19000</v>
      </c>
      <c r="Q253" s="58">
        <v>40000</v>
      </c>
      <c r="R253" s="316">
        <f t="shared" si="3"/>
        <v>13.333333333333334</v>
      </c>
      <c r="S253" s="58">
        <v>41605.429899758718</v>
      </c>
    </row>
    <row r="254" spans="1:19" x14ac:dyDescent="0.35">
      <c r="A254" t="s">
        <v>259</v>
      </c>
      <c r="B254" s="58"/>
      <c r="C254" s="58"/>
      <c r="D254" s="58"/>
      <c r="E254" s="316">
        <v>0</v>
      </c>
      <c r="F254" s="58">
        <v>3000</v>
      </c>
      <c r="G254" s="58">
        <v>0</v>
      </c>
      <c r="H254" s="58">
        <v>3000</v>
      </c>
      <c r="I254" s="316">
        <v>1</v>
      </c>
      <c r="J254" s="58">
        <v>9000</v>
      </c>
      <c r="K254" s="58">
        <v>3000</v>
      </c>
      <c r="L254" s="58">
        <v>0</v>
      </c>
      <c r="M254" s="58">
        <v>12000</v>
      </c>
      <c r="N254" s="316">
        <v>4</v>
      </c>
      <c r="O254" s="58">
        <v>9000</v>
      </c>
      <c r="P254" s="58">
        <v>7250</v>
      </c>
      <c r="Q254" s="58">
        <v>16250</v>
      </c>
      <c r="R254" s="316">
        <f t="shared" si="3"/>
        <v>5.416666666666667</v>
      </c>
      <c r="S254" s="58">
        <v>16902.205896776977</v>
      </c>
    </row>
    <row r="255" spans="1:19" x14ac:dyDescent="0.35">
      <c r="A255" t="s">
        <v>260</v>
      </c>
      <c r="B255" s="58"/>
      <c r="C255" s="58"/>
      <c r="D255" s="58"/>
      <c r="E255" s="316">
        <v>0</v>
      </c>
      <c r="F255" s="58">
        <v>48000</v>
      </c>
      <c r="G255" s="58">
        <v>0</v>
      </c>
      <c r="H255" s="58">
        <v>48000</v>
      </c>
      <c r="I255" s="316">
        <v>16</v>
      </c>
      <c r="J255" s="58">
        <v>18000</v>
      </c>
      <c r="K255" s="58">
        <v>40500</v>
      </c>
      <c r="L255" s="58">
        <v>0</v>
      </c>
      <c r="M255" s="58">
        <v>58500</v>
      </c>
      <c r="N255" s="316">
        <v>19.5</v>
      </c>
      <c r="O255" s="58">
        <v>30000</v>
      </c>
      <c r="P255" s="58">
        <v>40500</v>
      </c>
      <c r="Q255" s="58">
        <v>70500</v>
      </c>
      <c r="R255" s="316">
        <f t="shared" si="3"/>
        <v>23.5</v>
      </c>
      <c r="S255" s="58">
        <v>73329.570198324742</v>
      </c>
    </row>
    <row r="256" spans="1:19" x14ac:dyDescent="0.35">
      <c r="A256" t="s">
        <v>261</v>
      </c>
      <c r="B256" s="58">
        <v>3000</v>
      </c>
      <c r="C256" s="58">
        <v>0</v>
      </c>
      <c r="D256" s="58">
        <v>3000</v>
      </c>
      <c r="E256" s="316">
        <v>1</v>
      </c>
      <c r="F256" s="58">
        <v>33000</v>
      </c>
      <c r="G256" s="58">
        <v>3000</v>
      </c>
      <c r="H256" s="58">
        <v>36000</v>
      </c>
      <c r="I256" s="316">
        <v>12</v>
      </c>
      <c r="J256" s="58">
        <v>57000</v>
      </c>
      <c r="K256" s="58">
        <v>32250</v>
      </c>
      <c r="L256" s="58">
        <v>0</v>
      </c>
      <c r="M256" s="58">
        <v>89250</v>
      </c>
      <c r="N256" s="316">
        <v>29.75</v>
      </c>
      <c r="O256" s="58">
        <v>54000</v>
      </c>
      <c r="P256" s="58">
        <v>76000</v>
      </c>
      <c r="Q256" s="58">
        <v>130000</v>
      </c>
      <c r="R256" s="316">
        <f t="shared" si="3"/>
        <v>43.333333333333336</v>
      </c>
      <c r="S256" s="58">
        <v>135217.64717421582</v>
      </c>
    </row>
    <row r="257" spans="1:19" x14ac:dyDescent="0.35">
      <c r="A257" t="s">
        <v>262</v>
      </c>
      <c r="B257" s="58"/>
      <c r="C257" s="58"/>
      <c r="D257" s="58"/>
      <c r="E257" s="316">
        <v>0</v>
      </c>
      <c r="F257" s="58">
        <v>75000</v>
      </c>
      <c r="G257" s="58">
        <v>0</v>
      </c>
      <c r="H257" s="58">
        <v>75000</v>
      </c>
      <c r="I257" s="316">
        <v>25</v>
      </c>
      <c r="J257" s="58">
        <v>132000</v>
      </c>
      <c r="K257" s="58">
        <v>72000</v>
      </c>
      <c r="L257" s="58">
        <v>0</v>
      </c>
      <c r="M257" s="58">
        <v>204000</v>
      </c>
      <c r="N257" s="316">
        <v>68</v>
      </c>
      <c r="O257" s="58">
        <v>183000</v>
      </c>
      <c r="P257" s="58">
        <v>165750</v>
      </c>
      <c r="Q257" s="58">
        <v>348750</v>
      </c>
      <c r="R257" s="316">
        <f t="shared" si="3"/>
        <v>116.25</v>
      </c>
      <c r="S257" s="58">
        <v>362747.34193852131</v>
      </c>
    </row>
    <row r="258" spans="1:19" x14ac:dyDescent="0.35">
      <c r="A258" t="s">
        <v>263</v>
      </c>
      <c r="B258" s="58"/>
      <c r="C258" s="58"/>
      <c r="D258" s="58"/>
      <c r="E258" s="316">
        <v>0</v>
      </c>
      <c r="F258" s="58">
        <v>0</v>
      </c>
      <c r="G258" s="58">
        <v>0</v>
      </c>
      <c r="H258" s="58">
        <v>0</v>
      </c>
      <c r="I258" s="316">
        <v>0</v>
      </c>
      <c r="J258" s="58">
        <v>0</v>
      </c>
      <c r="K258" s="58">
        <v>0</v>
      </c>
      <c r="L258" s="58">
        <v>0</v>
      </c>
      <c r="M258" s="58">
        <v>0</v>
      </c>
      <c r="N258" s="316">
        <v>0</v>
      </c>
      <c r="O258" s="58">
        <v>0</v>
      </c>
      <c r="P258" s="58">
        <v>0</v>
      </c>
      <c r="Q258" s="58">
        <v>0</v>
      </c>
      <c r="R258" s="316">
        <f t="shared" si="3"/>
        <v>0</v>
      </c>
      <c r="S258" s="58">
        <v>0</v>
      </c>
    </row>
    <row r="259" spans="1:19" x14ac:dyDescent="0.35">
      <c r="A259" t="s">
        <v>264</v>
      </c>
      <c r="B259" s="58"/>
      <c r="C259" s="58"/>
      <c r="D259" s="58"/>
      <c r="E259" s="316">
        <v>0</v>
      </c>
      <c r="F259" s="58">
        <v>9000</v>
      </c>
      <c r="G259" s="58">
        <v>0</v>
      </c>
      <c r="H259" s="58">
        <v>9000</v>
      </c>
      <c r="I259" s="316">
        <v>3</v>
      </c>
      <c r="J259" s="58">
        <v>15000</v>
      </c>
      <c r="K259" s="58">
        <v>8000</v>
      </c>
      <c r="L259" s="58">
        <v>0</v>
      </c>
      <c r="M259" s="58">
        <v>23000</v>
      </c>
      <c r="N259" s="316">
        <v>7.666666666666667</v>
      </c>
      <c r="O259" s="58">
        <v>9000</v>
      </c>
      <c r="P259" s="58">
        <v>24000</v>
      </c>
      <c r="Q259" s="58">
        <v>33000</v>
      </c>
      <c r="R259" s="316">
        <f t="shared" si="3"/>
        <v>11</v>
      </c>
      <c r="S259" s="58">
        <v>34324.47966730094</v>
      </c>
    </row>
    <row r="260" spans="1:19" x14ac:dyDescent="0.35">
      <c r="A260" t="s">
        <v>265</v>
      </c>
      <c r="B260" s="58">
        <v>3000</v>
      </c>
      <c r="C260" s="58">
        <v>0</v>
      </c>
      <c r="D260" s="58">
        <v>3000</v>
      </c>
      <c r="E260" s="316">
        <v>1</v>
      </c>
      <c r="F260" s="58">
        <v>18000</v>
      </c>
      <c r="G260" s="58">
        <v>3000</v>
      </c>
      <c r="H260" s="58">
        <v>21000</v>
      </c>
      <c r="I260" s="316">
        <v>7</v>
      </c>
      <c r="J260" s="58">
        <v>15000</v>
      </c>
      <c r="K260" s="58">
        <v>21000</v>
      </c>
      <c r="L260" s="58">
        <v>0</v>
      </c>
      <c r="M260" s="58">
        <v>36000</v>
      </c>
      <c r="N260" s="316">
        <v>12</v>
      </c>
      <c r="O260" s="58">
        <v>12000</v>
      </c>
      <c r="P260" s="58">
        <v>33000</v>
      </c>
      <c r="Q260" s="58">
        <v>45000</v>
      </c>
      <c r="R260" s="316">
        <f t="shared" si="3"/>
        <v>15</v>
      </c>
      <c r="S260" s="58">
        <v>46806.108637228557</v>
      </c>
    </row>
    <row r="261" spans="1:19" x14ac:dyDescent="0.35">
      <c r="A261" t="s">
        <v>266</v>
      </c>
      <c r="B261" s="58"/>
      <c r="C261" s="58"/>
      <c r="D261" s="58"/>
      <c r="E261" s="316">
        <v>0</v>
      </c>
      <c r="F261" s="58">
        <v>6000</v>
      </c>
      <c r="G261" s="58">
        <v>0</v>
      </c>
      <c r="H261" s="58">
        <v>6000</v>
      </c>
      <c r="I261" s="316">
        <v>2</v>
      </c>
      <c r="J261" s="58">
        <v>0</v>
      </c>
      <c r="K261" s="58">
        <v>5250</v>
      </c>
      <c r="L261" s="58">
        <v>0</v>
      </c>
      <c r="M261" s="58">
        <v>5250</v>
      </c>
      <c r="N261" s="316">
        <v>1.75</v>
      </c>
      <c r="O261" s="58">
        <v>0</v>
      </c>
      <c r="P261" s="58">
        <v>3000</v>
      </c>
      <c r="Q261" s="58">
        <v>3000</v>
      </c>
      <c r="R261" s="316">
        <f t="shared" si="3"/>
        <v>1</v>
      </c>
      <c r="S261" s="58">
        <v>3120.4072424819037</v>
      </c>
    </row>
    <row r="262" spans="1:19" x14ac:dyDescent="0.35">
      <c r="A262" t="s">
        <v>267</v>
      </c>
      <c r="B262" s="58"/>
      <c r="C262" s="58"/>
      <c r="D262" s="58"/>
      <c r="E262" s="316">
        <v>0</v>
      </c>
      <c r="F262" s="58">
        <v>9000</v>
      </c>
      <c r="G262" s="58">
        <v>0</v>
      </c>
      <c r="H262" s="58">
        <v>9000</v>
      </c>
      <c r="I262" s="316">
        <v>3</v>
      </c>
      <c r="J262" s="58">
        <v>27000</v>
      </c>
      <c r="K262" s="58">
        <v>12000</v>
      </c>
      <c r="L262" s="58">
        <v>3000</v>
      </c>
      <c r="M262" s="58">
        <v>42000</v>
      </c>
      <c r="N262" s="316">
        <v>14</v>
      </c>
      <c r="O262" s="58">
        <v>24000</v>
      </c>
      <c r="P262" s="58">
        <v>34250</v>
      </c>
      <c r="Q262" s="58">
        <v>58250</v>
      </c>
      <c r="R262" s="316">
        <f t="shared" si="3"/>
        <v>19.416666666666668</v>
      </c>
      <c r="S262" s="58">
        <v>60587.907291523632</v>
      </c>
    </row>
    <row r="263" spans="1:19" x14ac:dyDescent="0.35">
      <c r="A263" t="s">
        <v>268</v>
      </c>
      <c r="B263" s="58"/>
      <c r="C263" s="58"/>
      <c r="D263" s="58"/>
      <c r="E263" s="316">
        <v>0</v>
      </c>
      <c r="F263" s="58">
        <v>0</v>
      </c>
      <c r="G263" s="58">
        <v>0</v>
      </c>
      <c r="H263" s="58">
        <v>0</v>
      </c>
      <c r="I263" s="316">
        <v>0</v>
      </c>
      <c r="J263" s="58">
        <v>0</v>
      </c>
      <c r="K263" s="58">
        <v>0</v>
      </c>
      <c r="L263" s="58">
        <v>0</v>
      </c>
      <c r="M263" s="58">
        <v>0</v>
      </c>
      <c r="N263" s="316">
        <v>0</v>
      </c>
      <c r="O263" s="58">
        <v>0</v>
      </c>
      <c r="P263" s="58">
        <v>0</v>
      </c>
      <c r="Q263" s="58">
        <v>0</v>
      </c>
      <c r="R263" s="316">
        <f t="shared" ref="R263:R326" si="4">+Q263/3000</f>
        <v>0</v>
      </c>
      <c r="S263" s="58">
        <v>0</v>
      </c>
    </row>
    <row r="264" spans="1:19" x14ac:dyDescent="0.35">
      <c r="A264" t="s">
        <v>269</v>
      </c>
      <c r="B264" s="58"/>
      <c r="C264" s="58"/>
      <c r="D264" s="58"/>
      <c r="E264" s="316">
        <v>0</v>
      </c>
      <c r="F264" s="58">
        <v>18000</v>
      </c>
      <c r="G264" s="58">
        <v>0</v>
      </c>
      <c r="H264" s="58">
        <v>18000</v>
      </c>
      <c r="I264" s="316">
        <v>6</v>
      </c>
      <c r="J264" s="58">
        <v>12000</v>
      </c>
      <c r="K264" s="58">
        <v>15000</v>
      </c>
      <c r="L264" s="58">
        <v>0</v>
      </c>
      <c r="M264" s="58">
        <v>27000</v>
      </c>
      <c r="N264" s="316">
        <v>9</v>
      </c>
      <c r="O264" s="58">
        <v>12000</v>
      </c>
      <c r="P264" s="58">
        <v>24000</v>
      </c>
      <c r="Q264" s="58">
        <v>36000</v>
      </c>
      <c r="R264" s="316">
        <f t="shared" si="4"/>
        <v>12</v>
      </c>
      <c r="S264" s="58">
        <v>37444.886909782843</v>
      </c>
    </row>
    <row r="265" spans="1:19" x14ac:dyDescent="0.35">
      <c r="A265" t="s">
        <v>270</v>
      </c>
      <c r="B265" s="58">
        <v>234000</v>
      </c>
      <c r="C265" s="58">
        <v>7250</v>
      </c>
      <c r="D265" s="58">
        <v>241250</v>
      </c>
      <c r="E265" s="316">
        <v>80.416666666666671</v>
      </c>
      <c r="F265" s="58">
        <v>168000</v>
      </c>
      <c r="G265" s="58">
        <v>205250</v>
      </c>
      <c r="H265" s="58">
        <v>373250</v>
      </c>
      <c r="I265" s="316">
        <v>124.41666666666667</v>
      </c>
      <c r="J265" s="58">
        <v>225000</v>
      </c>
      <c r="K265" s="58">
        <v>367500</v>
      </c>
      <c r="L265" s="58">
        <v>0</v>
      </c>
      <c r="M265" s="58">
        <v>592500</v>
      </c>
      <c r="N265" s="316">
        <v>197.5</v>
      </c>
      <c r="O265" s="58">
        <v>204000</v>
      </c>
      <c r="P265" s="58">
        <v>555500</v>
      </c>
      <c r="Q265" s="58">
        <v>759500</v>
      </c>
      <c r="R265" s="316">
        <f t="shared" si="4"/>
        <v>253.16666666666666</v>
      </c>
      <c r="S265" s="58">
        <v>789983.1002216686</v>
      </c>
    </row>
    <row r="266" spans="1:19" x14ac:dyDescent="0.35">
      <c r="A266" t="s">
        <v>271</v>
      </c>
      <c r="B266" s="58">
        <v>90000</v>
      </c>
      <c r="C266" s="58">
        <v>6000</v>
      </c>
      <c r="D266" s="58">
        <v>96000</v>
      </c>
      <c r="E266" s="316">
        <v>32</v>
      </c>
      <c r="F266" s="58">
        <v>108000</v>
      </c>
      <c r="G266" s="58">
        <v>62500</v>
      </c>
      <c r="H266" s="58">
        <v>170500</v>
      </c>
      <c r="I266" s="316">
        <v>56.833333333333336</v>
      </c>
      <c r="J266" s="58">
        <v>105000</v>
      </c>
      <c r="K266" s="58">
        <v>126000</v>
      </c>
      <c r="L266" s="58">
        <v>0</v>
      </c>
      <c r="M266" s="58">
        <v>231000</v>
      </c>
      <c r="N266" s="316">
        <v>77</v>
      </c>
      <c r="O266" s="58">
        <v>147000</v>
      </c>
      <c r="P266" s="58">
        <v>191000</v>
      </c>
      <c r="Q266" s="58">
        <v>338000</v>
      </c>
      <c r="R266" s="316">
        <f t="shared" si="4"/>
        <v>112.66666666666667</v>
      </c>
      <c r="S266" s="58">
        <v>351565.88265296118</v>
      </c>
    </row>
    <row r="267" spans="1:19" x14ac:dyDescent="0.35">
      <c r="A267" t="s">
        <v>272</v>
      </c>
      <c r="B267" s="58"/>
      <c r="C267" s="58"/>
      <c r="D267" s="58"/>
      <c r="E267" s="316">
        <v>0</v>
      </c>
      <c r="F267" s="58">
        <v>0</v>
      </c>
      <c r="G267" s="58">
        <v>0</v>
      </c>
      <c r="H267" s="58">
        <v>0</v>
      </c>
      <c r="I267" s="316">
        <v>0</v>
      </c>
      <c r="J267" s="58">
        <v>0</v>
      </c>
      <c r="K267" s="58">
        <v>0</v>
      </c>
      <c r="L267" s="58">
        <v>0</v>
      </c>
      <c r="M267" s="58">
        <v>0</v>
      </c>
      <c r="N267" s="316">
        <v>0</v>
      </c>
      <c r="O267" s="58">
        <v>0</v>
      </c>
      <c r="P267" s="58">
        <v>0</v>
      </c>
      <c r="Q267" s="58">
        <v>0</v>
      </c>
      <c r="R267" s="316">
        <f t="shared" si="4"/>
        <v>0</v>
      </c>
      <c r="S267" s="58">
        <v>0</v>
      </c>
    </row>
    <row r="269" spans="1:19" x14ac:dyDescent="0.35">
      <c r="A269" t="s">
        <v>274</v>
      </c>
      <c r="B269" s="58"/>
      <c r="C269" s="58"/>
      <c r="D269" s="58"/>
      <c r="E269" s="316">
        <v>0</v>
      </c>
      <c r="F269" s="58">
        <v>3000</v>
      </c>
      <c r="G269" s="58">
        <v>0</v>
      </c>
      <c r="H269" s="58">
        <v>3000</v>
      </c>
      <c r="I269" s="316">
        <v>1</v>
      </c>
      <c r="J269" s="58">
        <v>15000</v>
      </c>
      <c r="K269" s="58">
        <v>3000</v>
      </c>
      <c r="L269" s="58">
        <v>0</v>
      </c>
      <c r="M269" s="58">
        <v>18000</v>
      </c>
      <c r="N269" s="316">
        <v>6</v>
      </c>
      <c r="O269" s="58">
        <v>9000</v>
      </c>
      <c r="P269" s="58">
        <v>15750</v>
      </c>
      <c r="Q269" s="58">
        <v>24750</v>
      </c>
      <c r="R269" s="316">
        <f t="shared" si="4"/>
        <v>8.25</v>
      </c>
      <c r="S269" s="58">
        <v>25743.359750475705</v>
      </c>
    </row>
    <row r="270" spans="1:19" x14ac:dyDescent="0.35">
      <c r="A270" t="s">
        <v>275</v>
      </c>
      <c r="B270" s="58"/>
      <c r="C270" s="58"/>
      <c r="D270" s="58"/>
      <c r="E270" s="316">
        <v>0</v>
      </c>
      <c r="F270" s="58">
        <v>9000</v>
      </c>
      <c r="G270" s="58">
        <v>0</v>
      </c>
      <c r="H270" s="58">
        <v>9000</v>
      </c>
      <c r="I270" s="316">
        <v>3</v>
      </c>
      <c r="J270" s="58">
        <v>6000</v>
      </c>
      <c r="K270" s="58">
        <v>6500</v>
      </c>
      <c r="L270" s="58">
        <v>3000</v>
      </c>
      <c r="M270" s="58">
        <v>15500</v>
      </c>
      <c r="N270" s="316">
        <v>5.166666666666667</v>
      </c>
      <c r="O270" s="58">
        <v>21000</v>
      </c>
      <c r="P270" s="58">
        <v>10000</v>
      </c>
      <c r="Q270" s="58">
        <v>31000</v>
      </c>
      <c r="R270" s="316">
        <f t="shared" si="4"/>
        <v>10.333333333333334</v>
      </c>
      <c r="S270" s="58">
        <v>32244.208172313007</v>
      </c>
    </row>
    <row r="271" spans="1:19" x14ac:dyDescent="0.35">
      <c r="A271" t="s">
        <v>276</v>
      </c>
      <c r="B271" s="58"/>
      <c r="C271" s="58"/>
      <c r="D271" s="58"/>
      <c r="E271" s="316">
        <v>0</v>
      </c>
      <c r="F271" s="58">
        <v>3000</v>
      </c>
      <c r="G271" s="58">
        <v>0</v>
      </c>
      <c r="H271" s="58">
        <v>3000</v>
      </c>
      <c r="I271" s="316">
        <v>1</v>
      </c>
      <c r="J271" s="58">
        <v>9000</v>
      </c>
      <c r="K271" s="58">
        <v>0</v>
      </c>
      <c r="L271" s="58">
        <v>0</v>
      </c>
      <c r="M271" s="58">
        <v>9000</v>
      </c>
      <c r="N271" s="316">
        <v>3</v>
      </c>
      <c r="O271" s="58">
        <v>6000</v>
      </c>
      <c r="P271" s="58">
        <v>6000</v>
      </c>
      <c r="Q271" s="58">
        <v>12000</v>
      </c>
      <c r="R271" s="316">
        <f t="shared" si="4"/>
        <v>4</v>
      </c>
      <c r="S271" s="58">
        <v>12481.628969927615</v>
      </c>
    </row>
    <row r="272" spans="1:19" x14ac:dyDescent="0.35">
      <c r="A272" t="s">
        <v>277</v>
      </c>
      <c r="B272" s="58"/>
      <c r="C272" s="58"/>
      <c r="D272" s="58"/>
      <c r="E272" s="316">
        <v>0</v>
      </c>
      <c r="F272" s="58">
        <v>3000</v>
      </c>
      <c r="G272" s="58">
        <v>0</v>
      </c>
      <c r="H272" s="58">
        <v>3000</v>
      </c>
      <c r="I272" s="316">
        <v>1</v>
      </c>
      <c r="J272" s="58">
        <v>6000</v>
      </c>
      <c r="K272" s="58">
        <v>3000</v>
      </c>
      <c r="L272" s="58">
        <v>0</v>
      </c>
      <c r="M272" s="58">
        <v>9000</v>
      </c>
      <c r="N272" s="316">
        <v>3</v>
      </c>
      <c r="O272" s="58">
        <v>12000</v>
      </c>
      <c r="P272" s="58">
        <v>7750</v>
      </c>
      <c r="Q272" s="58">
        <v>19750</v>
      </c>
      <c r="R272" s="316">
        <f t="shared" si="4"/>
        <v>6.583333333333333</v>
      </c>
      <c r="S272" s="58">
        <v>20542.681013005866</v>
      </c>
    </row>
    <row r="273" spans="1:19" x14ac:dyDescent="0.35">
      <c r="A273" t="s">
        <v>278</v>
      </c>
      <c r="B273" s="58"/>
      <c r="C273" s="58"/>
      <c r="D273" s="58"/>
      <c r="E273" s="316">
        <v>0</v>
      </c>
      <c r="F273" s="58">
        <v>6000</v>
      </c>
      <c r="G273" s="58">
        <v>0</v>
      </c>
      <c r="H273" s="58">
        <v>6000</v>
      </c>
      <c r="I273" s="316">
        <v>2</v>
      </c>
      <c r="J273" s="58">
        <v>3000</v>
      </c>
      <c r="K273" s="58">
        <v>2500</v>
      </c>
      <c r="L273" s="58">
        <v>0</v>
      </c>
      <c r="M273" s="58">
        <v>5500</v>
      </c>
      <c r="N273" s="316">
        <v>1.8333333333333333</v>
      </c>
      <c r="O273" s="58">
        <v>24000</v>
      </c>
      <c r="P273" s="58">
        <v>3500</v>
      </c>
      <c r="Q273" s="58">
        <v>27500</v>
      </c>
      <c r="R273" s="316">
        <f t="shared" si="4"/>
        <v>9.1666666666666661</v>
      </c>
      <c r="S273" s="58">
        <v>28603.733056084118</v>
      </c>
    </row>
    <row r="274" spans="1:19" x14ac:dyDescent="0.35">
      <c r="A274" t="s">
        <v>279</v>
      </c>
      <c r="B274" s="58"/>
      <c r="C274" s="58"/>
      <c r="D274" s="58"/>
      <c r="E274" s="316">
        <v>0</v>
      </c>
      <c r="F274" s="58">
        <v>0</v>
      </c>
      <c r="G274" s="58">
        <v>0</v>
      </c>
      <c r="H274" s="58">
        <v>0</v>
      </c>
      <c r="I274" s="316">
        <v>0</v>
      </c>
      <c r="J274" s="58">
        <v>0</v>
      </c>
      <c r="K274" s="58">
        <v>0</v>
      </c>
      <c r="L274" s="58">
        <v>0</v>
      </c>
      <c r="M274" s="58">
        <v>0</v>
      </c>
      <c r="N274" s="316">
        <v>0</v>
      </c>
      <c r="O274" s="58">
        <v>3000</v>
      </c>
      <c r="P274" s="58">
        <v>0</v>
      </c>
      <c r="Q274" s="58">
        <v>3000</v>
      </c>
      <c r="R274" s="316">
        <f t="shared" si="4"/>
        <v>1</v>
      </c>
      <c r="S274" s="58">
        <v>3120.4072424819037</v>
      </c>
    </row>
    <row r="275" spans="1:19" x14ac:dyDescent="0.35">
      <c r="A275" t="s">
        <v>280</v>
      </c>
      <c r="B275" s="58"/>
      <c r="C275" s="58"/>
      <c r="D275" s="58"/>
      <c r="E275" s="316">
        <v>0</v>
      </c>
      <c r="F275" s="58">
        <v>0</v>
      </c>
      <c r="G275" s="58">
        <v>0</v>
      </c>
      <c r="H275" s="58">
        <v>0</v>
      </c>
      <c r="I275" s="316">
        <v>0</v>
      </c>
      <c r="J275" s="58">
        <v>9000</v>
      </c>
      <c r="K275" s="58">
        <v>0</v>
      </c>
      <c r="L275" s="58">
        <v>0</v>
      </c>
      <c r="M275" s="58">
        <v>9000</v>
      </c>
      <c r="N275" s="316">
        <v>3</v>
      </c>
      <c r="O275" s="58">
        <v>3000</v>
      </c>
      <c r="P275" s="58">
        <v>9000</v>
      </c>
      <c r="Q275" s="58">
        <v>12000</v>
      </c>
      <c r="R275" s="316">
        <f t="shared" si="4"/>
        <v>4</v>
      </c>
      <c r="S275" s="58">
        <v>12481.628969927615</v>
      </c>
    </row>
    <row r="276" spans="1:19" x14ac:dyDescent="0.35">
      <c r="A276" t="s">
        <v>281</v>
      </c>
      <c r="B276" s="58"/>
      <c r="C276" s="58"/>
      <c r="D276" s="58"/>
      <c r="E276" s="316">
        <v>0</v>
      </c>
      <c r="F276" s="58">
        <v>3000</v>
      </c>
      <c r="G276" s="58">
        <v>0</v>
      </c>
      <c r="H276" s="58">
        <v>3000</v>
      </c>
      <c r="I276" s="316">
        <v>1</v>
      </c>
      <c r="J276" s="58">
        <v>0</v>
      </c>
      <c r="K276" s="58">
        <v>2000</v>
      </c>
      <c r="L276" s="58">
        <v>0</v>
      </c>
      <c r="M276" s="58">
        <v>2000</v>
      </c>
      <c r="N276" s="316">
        <v>0.66666666666666663</v>
      </c>
      <c r="O276" s="58">
        <v>6000</v>
      </c>
      <c r="P276" s="58">
        <v>3000</v>
      </c>
      <c r="Q276" s="58">
        <v>9000</v>
      </c>
      <c r="R276" s="316">
        <f t="shared" si="4"/>
        <v>3</v>
      </c>
      <c r="S276" s="58">
        <v>9361.2217274457107</v>
      </c>
    </row>
    <row r="277" spans="1:19" x14ac:dyDescent="0.35">
      <c r="A277" t="s">
        <v>282</v>
      </c>
      <c r="B277" s="58"/>
      <c r="C277" s="58"/>
      <c r="D277" s="58"/>
      <c r="E277" s="316">
        <v>0</v>
      </c>
      <c r="F277" s="58">
        <v>6000</v>
      </c>
      <c r="G277" s="58">
        <v>0</v>
      </c>
      <c r="H277" s="58">
        <v>6000</v>
      </c>
      <c r="I277" s="316">
        <v>2</v>
      </c>
      <c r="J277" s="58">
        <v>51000</v>
      </c>
      <c r="K277" s="58">
        <v>6000</v>
      </c>
      <c r="L277" s="58">
        <v>0</v>
      </c>
      <c r="M277" s="58">
        <v>57000</v>
      </c>
      <c r="N277" s="316">
        <v>19</v>
      </c>
      <c r="O277" s="58">
        <v>39000</v>
      </c>
      <c r="P277" s="58">
        <v>56250</v>
      </c>
      <c r="Q277" s="58">
        <v>95250</v>
      </c>
      <c r="R277" s="316">
        <f t="shared" si="4"/>
        <v>31.75</v>
      </c>
      <c r="S277" s="58">
        <v>99072.929948800433</v>
      </c>
    </row>
    <row r="278" spans="1:19" x14ac:dyDescent="0.35">
      <c r="A278" t="s">
        <v>283</v>
      </c>
      <c r="B278" s="58"/>
      <c r="C278" s="58"/>
      <c r="D278" s="58"/>
      <c r="E278" s="316">
        <v>0</v>
      </c>
      <c r="F278" s="58">
        <v>0</v>
      </c>
      <c r="G278" s="58">
        <v>0</v>
      </c>
      <c r="H278" s="58">
        <v>0</v>
      </c>
      <c r="I278" s="316">
        <v>0</v>
      </c>
      <c r="J278" s="58">
        <v>0</v>
      </c>
      <c r="K278" s="58">
        <v>0</v>
      </c>
      <c r="L278" s="58">
        <v>0</v>
      </c>
      <c r="M278" s="58">
        <v>0</v>
      </c>
      <c r="N278" s="316">
        <v>0</v>
      </c>
      <c r="O278" s="58">
        <v>9000</v>
      </c>
      <c r="P278" s="58">
        <v>0</v>
      </c>
      <c r="Q278" s="58">
        <v>9000</v>
      </c>
      <c r="R278" s="316">
        <f t="shared" si="4"/>
        <v>3</v>
      </c>
      <c r="S278" s="58">
        <v>9361.2217274457107</v>
      </c>
    </row>
    <row r="279" spans="1:19" x14ac:dyDescent="0.35">
      <c r="A279" t="s">
        <v>284</v>
      </c>
      <c r="B279" s="58">
        <v>6000</v>
      </c>
      <c r="C279" s="58">
        <v>3000</v>
      </c>
      <c r="D279" s="58">
        <v>9000</v>
      </c>
      <c r="E279" s="316">
        <v>3</v>
      </c>
      <c r="F279" s="58">
        <v>6000</v>
      </c>
      <c r="G279" s="58">
        <v>3000</v>
      </c>
      <c r="H279" s="58">
        <v>9000</v>
      </c>
      <c r="I279" s="316">
        <v>3</v>
      </c>
      <c r="J279" s="58">
        <v>18000</v>
      </c>
      <c r="K279" s="58">
        <v>9250</v>
      </c>
      <c r="L279" s="58">
        <v>0</v>
      </c>
      <c r="M279" s="58">
        <v>27250</v>
      </c>
      <c r="N279" s="316">
        <v>9.0833333333333339</v>
      </c>
      <c r="O279" s="58">
        <v>6000</v>
      </c>
      <c r="P279" s="58">
        <v>26750</v>
      </c>
      <c r="Q279" s="58">
        <v>32750</v>
      </c>
      <c r="R279" s="316">
        <f t="shared" si="4"/>
        <v>10.916666666666666</v>
      </c>
      <c r="S279" s="58">
        <v>34064.445730427447</v>
      </c>
    </row>
    <row r="280" spans="1:19" x14ac:dyDescent="0.35">
      <c r="A280" t="s">
        <v>285</v>
      </c>
      <c r="B280" s="58">
        <v>3000</v>
      </c>
      <c r="C280" s="58">
        <v>0</v>
      </c>
      <c r="D280" s="58">
        <v>3000</v>
      </c>
      <c r="E280" s="316">
        <v>1</v>
      </c>
      <c r="F280" s="58">
        <v>3000</v>
      </c>
      <c r="G280" s="58">
        <v>3000</v>
      </c>
      <c r="H280" s="58">
        <v>6000</v>
      </c>
      <c r="I280" s="316">
        <v>2</v>
      </c>
      <c r="J280" s="58">
        <v>6000</v>
      </c>
      <c r="K280" s="58">
        <v>6000</v>
      </c>
      <c r="L280" s="58">
        <v>0</v>
      </c>
      <c r="M280" s="58">
        <v>12000</v>
      </c>
      <c r="N280" s="316">
        <v>4</v>
      </c>
      <c r="O280" s="58">
        <v>6000</v>
      </c>
      <c r="P280" s="58">
        <v>12000</v>
      </c>
      <c r="Q280" s="58">
        <v>18000</v>
      </c>
      <c r="R280" s="316">
        <f t="shared" si="4"/>
        <v>6</v>
      </c>
      <c r="S280" s="58">
        <v>18722.443454891421</v>
      </c>
    </row>
    <row r="281" spans="1:19" x14ac:dyDescent="0.35">
      <c r="A281" t="s">
        <v>286</v>
      </c>
      <c r="B281" s="58">
        <v>3000</v>
      </c>
      <c r="C281" s="58">
        <v>1000</v>
      </c>
      <c r="D281" s="58">
        <v>4000</v>
      </c>
      <c r="E281" s="316">
        <v>1.3333333333333333</v>
      </c>
      <c r="F281" s="58">
        <v>3000</v>
      </c>
      <c r="G281" s="58">
        <v>0</v>
      </c>
      <c r="H281" s="58">
        <v>3000</v>
      </c>
      <c r="I281" s="316">
        <v>1</v>
      </c>
      <c r="J281" s="58">
        <v>36000</v>
      </c>
      <c r="K281" s="58">
        <v>3000</v>
      </c>
      <c r="L281" s="58">
        <v>0</v>
      </c>
      <c r="M281" s="58">
        <v>39000</v>
      </c>
      <c r="N281" s="316">
        <v>13</v>
      </c>
      <c r="O281" s="58">
        <v>24000</v>
      </c>
      <c r="P281" s="58">
        <v>36000</v>
      </c>
      <c r="Q281" s="58">
        <v>60000</v>
      </c>
      <c r="R281" s="316">
        <f t="shared" si="4"/>
        <v>20</v>
      </c>
      <c r="S281" s="58">
        <v>62408.144849638069</v>
      </c>
    </row>
    <row r="282" spans="1:19" x14ac:dyDescent="0.35">
      <c r="A282" t="s">
        <v>287</v>
      </c>
      <c r="B282" s="58"/>
      <c r="C282" s="58"/>
      <c r="D282" s="58"/>
      <c r="E282" s="316">
        <v>0</v>
      </c>
      <c r="F282" s="58">
        <v>0</v>
      </c>
      <c r="G282" s="58">
        <v>0</v>
      </c>
      <c r="H282" s="58">
        <v>0</v>
      </c>
      <c r="I282" s="316">
        <v>0</v>
      </c>
      <c r="J282" s="58">
        <v>0</v>
      </c>
      <c r="K282" s="58">
        <v>0</v>
      </c>
      <c r="L282" s="58">
        <v>0</v>
      </c>
      <c r="M282" s="58">
        <v>0</v>
      </c>
      <c r="N282" s="316">
        <v>0</v>
      </c>
      <c r="O282" s="58">
        <v>0</v>
      </c>
      <c r="P282" s="58">
        <v>0</v>
      </c>
      <c r="Q282" s="58">
        <v>0</v>
      </c>
      <c r="R282" s="316">
        <f t="shared" si="4"/>
        <v>0</v>
      </c>
      <c r="S282" s="58">
        <v>0</v>
      </c>
    </row>
    <row r="283" spans="1:19" x14ac:dyDescent="0.35">
      <c r="A283" t="s">
        <v>288</v>
      </c>
      <c r="B283" s="58"/>
      <c r="C283" s="58"/>
      <c r="D283" s="58"/>
      <c r="E283" s="316">
        <v>0</v>
      </c>
      <c r="F283" s="58">
        <v>3000</v>
      </c>
      <c r="G283" s="58">
        <v>0</v>
      </c>
      <c r="H283" s="58">
        <v>3000</v>
      </c>
      <c r="I283" s="316">
        <v>1</v>
      </c>
      <c r="J283" s="58">
        <v>24000</v>
      </c>
      <c r="K283" s="58">
        <v>750</v>
      </c>
      <c r="L283" s="58">
        <v>0</v>
      </c>
      <c r="M283" s="58">
        <v>24750</v>
      </c>
      <c r="N283" s="316">
        <v>8.25</v>
      </c>
      <c r="O283" s="58">
        <v>18000</v>
      </c>
      <c r="P283" s="58">
        <v>19250</v>
      </c>
      <c r="Q283" s="58">
        <v>37250</v>
      </c>
      <c r="R283" s="316">
        <f t="shared" si="4"/>
        <v>12.416666666666666</v>
      </c>
      <c r="S283" s="58">
        <v>38745.056594150308</v>
      </c>
    </row>
    <row r="284" spans="1:19" x14ac:dyDescent="0.35">
      <c r="A284" t="s">
        <v>289</v>
      </c>
      <c r="B284" s="58">
        <v>3000</v>
      </c>
      <c r="C284" s="58">
        <v>0</v>
      </c>
      <c r="D284" s="58">
        <v>3000</v>
      </c>
      <c r="E284" s="316">
        <v>1</v>
      </c>
      <c r="F284" s="58">
        <v>21000</v>
      </c>
      <c r="G284" s="58">
        <v>3000</v>
      </c>
      <c r="H284" s="58">
        <v>24000</v>
      </c>
      <c r="I284" s="316">
        <v>8</v>
      </c>
      <c r="J284" s="58">
        <v>21000</v>
      </c>
      <c r="K284" s="58">
        <v>24000</v>
      </c>
      <c r="L284" s="58">
        <v>0</v>
      </c>
      <c r="M284" s="58">
        <v>45000</v>
      </c>
      <c r="N284" s="316">
        <v>15</v>
      </c>
      <c r="O284" s="58">
        <v>27000</v>
      </c>
      <c r="P284" s="58">
        <v>42000</v>
      </c>
      <c r="Q284" s="58">
        <v>69000</v>
      </c>
      <c r="R284" s="316">
        <f t="shared" si="4"/>
        <v>23</v>
      </c>
      <c r="S284" s="58">
        <v>71769.366577083783</v>
      </c>
    </row>
    <row r="285" spans="1:19" x14ac:dyDescent="0.35">
      <c r="A285" t="s">
        <v>290</v>
      </c>
      <c r="B285" s="58">
        <v>3000</v>
      </c>
      <c r="C285" s="58">
        <v>0</v>
      </c>
      <c r="D285" s="58">
        <v>3000</v>
      </c>
      <c r="E285" s="316">
        <v>1</v>
      </c>
      <c r="F285" s="58">
        <v>18000</v>
      </c>
      <c r="G285" s="58">
        <v>3000</v>
      </c>
      <c r="H285" s="58">
        <v>21000</v>
      </c>
      <c r="I285" s="316">
        <v>7</v>
      </c>
      <c r="J285" s="58">
        <v>36000</v>
      </c>
      <c r="K285" s="58">
        <v>21000</v>
      </c>
      <c r="L285" s="58">
        <v>0</v>
      </c>
      <c r="M285" s="58">
        <v>57000</v>
      </c>
      <c r="N285" s="316">
        <v>19</v>
      </c>
      <c r="O285" s="58">
        <v>33000</v>
      </c>
      <c r="P285" s="58">
        <v>49000</v>
      </c>
      <c r="Q285" s="58">
        <v>82000</v>
      </c>
      <c r="R285" s="316">
        <f t="shared" si="4"/>
        <v>27.333333333333332</v>
      </c>
      <c r="S285" s="58">
        <v>85291.131294505365</v>
      </c>
    </row>
    <row r="286" spans="1:19" x14ac:dyDescent="0.35">
      <c r="A286" t="s">
        <v>291</v>
      </c>
      <c r="B286" s="58"/>
      <c r="C286" s="58"/>
      <c r="D286" s="58"/>
      <c r="E286" s="316">
        <v>0</v>
      </c>
      <c r="F286" s="58">
        <v>0</v>
      </c>
      <c r="G286" s="58">
        <v>0</v>
      </c>
      <c r="H286" s="58">
        <v>0</v>
      </c>
      <c r="I286" s="316">
        <v>0</v>
      </c>
      <c r="J286" s="58">
        <v>0</v>
      </c>
      <c r="K286" s="58">
        <v>0</v>
      </c>
      <c r="L286" s="58">
        <v>0</v>
      </c>
      <c r="M286" s="58">
        <v>0</v>
      </c>
      <c r="N286" s="316">
        <v>0</v>
      </c>
      <c r="O286" s="58">
        <v>0</v>
      </c>
      <c r="P286" s="58">
        <v>0</v>
      </c>
      <c r="Q286" s="58">
        <v>0</v>
      </c>
      <c r="R286" s="316">
        <f t="shared" si="4"/>
        <v>0</v>
      </c>
      <c r="S286" s="58">
        <v>0</v>
      </c>
    </row>
    <row r="287" spans="1:19" x14ac:dyDescent="0.35">
      <c r="A287" t="s">
        <v>292</v>
      </c>
      <c r="B287" s="58">
        <v>3000</v>
      </c>
      <c r="C287" s="58">
        <v>0</v>
      </c>
      <c r="D287" s="58">
        <v>3000</v>
      </c>
      <c r="E287" s="316">
        <v>1</v>
      </c>
      <c r="F287" s="58">
        <v>3000</v>
      </c>
      <c r="G287" s="58">
        <v>3000</v>
      </c>
      <c r="H287" s="58">
        <v>6000</v>
      </c>
      <c r="I287" s="316">
        <v>2</v>
      </c>
      <c r="J287" s="58">
        <v>18000</v>
      </c>
      <c r="K287" s="58">
        <v>9000</v>
      </c>
      <c r="L287" s="58">
        <v>6000</v>
      </c>
      <c r="M287" s="58">
        <v>33000</v>
      </c>
      <c r="N287" s="316">
        <v>11</v>
      </c>
      <c r="O287" s="58">
        <v>12000</v>
      </c>
      <c r="P287" s="58">
        <v>25750</v>
      </c>
      <c r="Q287" s="58">
        <v>37750</v>
      </c>
      <c r="R287" s="316">
        <f t="shared" si="4"/>
        <v>12.583333333333334</v>
      </c>
      <c r="S287" s="58">
        <v>39265.124467897287</v>
      </c>
    </row>
    <row r="288" spans="1:19" x14ac:dyDescent="0.35">
      <c r="A288" t="s">
        <v>293</v>
      </c>
      <c r="B288" s="58"/>
      <c r="C288" s="58"/>
      <c r="D288" s="58"/>
      <c r="E288" s="316">
        <v>0</v>
      </c>
      <c r="F288" s="58">
        <v>9000</v>
      </c>
      <c r="G288" s="58">
        <v>0</v>
      </c>
      <c r="H288" s="58">
        <v>9000</v>
      </c>
      <c r="I288" s="316">
        <v>3</v>
      </c>
      <c r="J288" s="58">
        <v>18000</v>
      </c>
      <c r="K288" s="58">
        <v>7500</v>
      </c>
      <c r="L288" s="58">
        <v>0</v>
      </c>
      <c r="M288" s="58">
        <v>25500</v>
      </c>
      <c r="N288" s="316">
        <v>8.5</v>
      </c>
      <c r="O288" s="58">
        <v>18000</v>
      </c>
      <c r="P288" s="58">
        <v>17250</v>
      </c>
      <c r="Q288" s="58">
        <v>35250</v>
      </c>
      <c r="R288" s="316">
        <f t="shared" si="4"/>
        <v>11.75</v>
      </c>
      <c r="S288" s="58">
        <v>36664.785099162371</v>
      </c>
    </row>
    <row r="289" spans="1:19" x14ac:dyDescent="0.35">
      <c r="A289" t="s">
        <v>294</v>
      </c>
      <c r="B289" s="58"/>
      <c r="C289" s="58"/>
      <c r="D289" s="58"/>
      <c r="E289" s="316">
        <v>0</v>
      </c>
      <c r="F289" s="58">
        <v>3000</v>
      </c>
      <c r="G289" s="58">
        <v>0</v>
      </c>
      <c r="H289" s="58">
        <v>3000</v>
      </c>
      <c r="I289" s="316">
        <v>1</v>
      </c>
      <c r="J289" s="58">
        <v>3000</v>
      </c>
      <c r="K289" s="58">
        <v>3000</v>
      </c>
      <c r="L289" s="58">
        <v>0</v>
      </c>
      <c r="M289" s="58">
        <v>6000</v>
      </c>
      <c r="N289" s="316">
        <v>2</v>
      </c>
      <c r="O289" s="58">
        <v>21000</v>
      </c>
      <c r="P289" s="58">
        <v>6000</v>
      </c>
      <c r="Q289" s="58">
        <v>27000</v>
      </c>
      <c r="R289" s="316">
        <f t="shared" si="4"/>
        <v>9</v>
      </c>
      <c r="S289" s="58">
        <v>28083.665182337132</v>
      </c>
    </row>
    <row r="290" spans="1:19" x14ac:dyDescent="0.35">
      <c r="A290" t="s">
        <v>295</v>
      </c>
      <c r="B290" s="58">
        <v>6000</v>
      </c>
      <c r="C290" s="58">
        <v>0</v>
      </c>
      <c r="D290" s="58">
        <v>6000</v>
      </c>
      <c r="E290" s="316">
        <v>2</v>
      </c>
      <c r="F290" s="58">
        <v>27000</v>
      </c>
      <c r="G290" s="58">
        <v>5250</v>
      </c>
      <c r="H290" s="58">
        <v>32250</v>
      </c>
      <c r="I290" s="316">
        <v>10.75</v>
      </c>
      <c r="J290" s="58">
        <v>27000</v>
      </c>
      <c r="K290" s="58">
        <v>29500</v>
      </c>
      <c r="L290" s="58">
        <v>6000</v>
      </c>
      <c r="M290" s="58">
        <v>62500</v>
      </c>
      <c r="N290" s="316">
        <v>20.833333333333332</v>
      </c>
      <c r="O290" s="58">
        <v>12000</v>
      </c>
      <c r="P290" s="58">
        <v>57250</v>
      </c>
      <c r="Q290" s="58">
        <v>69250</v>
      </c>
      <c r="R290" s="316">
        <f t="shared" si="4"/>
        <v>23.083333333333332</v>
      </c>
      <c r="S290" s="58">
        <v>72029.400513957269</v>
      </c>
    </row>
    <row r="291" spans="1:19" x14ac:dyDescent="0.35">
      <c r="A291" t="s">
        <v>296</v>
      </c>
      <c r="B291" s="58">
        <v>6000</v>
      </c>
      <c r="C291" s="58">
        <v>1000</v>
      </c>
      <c r="D291" s="58">
        <v>7000</v>
      </c>
      <c r="E291" s="316">
        <v>2.3333333333333335</v>
      </c>
      <c r="F291" s="58">
        <v>111000</v>
      </c>
      <c r="G291" s="58">
        <v>3000</v>
      </c>
      <c r="H291" s="58">
        <v>114000</v>
      </c>
      <c r="I291" s="316">
        <v>38</v>
      </c>
      <c r="J291" s="58">
        <v>114000</v>
      </c>
      <c r="K291" s="58">
        <v>99500</v>
      </c>
      <c r="L291" s="58">
        <v>0</v>
      </c>
      <c r="M291" s="58">
        <v>213500</v>
      </c>
      <c r="N291" s="316">
        <v>71.166666666666671</v>
      </c>
      <c r="O291" s="58">
        <v>138000</v>
      </c>
      <c r="P291" s="58">
        <v>192250</v>
      </c>
      <c r="Q291" s="58">
        <v>330250</v>
      </c>
      <c r="R291" s="316">
        <f t="shared" si="4"/>
        <v>110.08333333333333</v>
      </c>
      <c r="S291" s="58">
        <v>343504.83060988289</v>
      </c>
    </row>
    <row r="292" spans="1:19" x14ac:dyDescent="0.35">
      <c r="A292" t="s">
        <v>297</v>
      </c>
      <c r="B292" s="58"/>
      <c r="C292" s="58"/>
      <c r="D292" s="58"/>
      <c r="E292" s="316">
        <v>0</v>
      </c>
      <c r="F292" s="58">
        <v>9000</v>
      </c>
      <c r="G292" s="58">
        <v>0</v>
      </c>
      <c r="H292" s="58">
        <v>9000</v>
      </c>
      <c r="I292" s="316">
        <v>3</v>
      </c>
      <c r="J292" s="58">
        <v>3000</v>
      </c>
      <c r="K292" s="58">
        <v>9000</v>
      </c>
      <c r="L292" s="58">
        <v>0</v>
      </c>
      <c r="M292" s="58">
        <v>12000</v>
      </c>
      <c r="N292" s="316">
        <v>4</v>
      </c>
      <c r="O292" s="58">
        <v>3000</v>
      </c>
      <c r="P292" s="58">
        <v>11250</v>
      </c>
      <c r="Q292" s="58">
        <v>14250</v>
      </c>
      <c r="R292" s="316">
        <f t="shared" si="4"/>
        <v>4.75</v>
      </c>
      <c r="S292" s="58">
        <v>14821.934401789042</v>
      </c>
    </row>
    <row r="293" spans="1:19" x14ac:dyDescent="0.35">
      <c r="A293" t="s">
        <v>298</v>
      </c>
      <c r="B293" s="58"/>
      <c r="C293" s="58"/>
      <c r="D293" s="58"/>
      <c r="E293" s="316">
        <v>0</v>
      </c>
      <c r="F293" s="58">
        <v>9000</v>
      </c>
      <c r="G293" s="58">
        <v>0</v>
      </c>
      <c r="H293" s="58">
        <v>9000</v>
      </c>
      <c r="I293" s="316">
        <v>3</v>
      </c>
      <c r="J293" s="58">
        <v>21000</v>
      </c>
      <c r="K293" s="58">
        <v>9000</v>
      </c>
      <c r="L293" s="58">
        <v>0</v>
      </c>
      <c r="M293" s="58">
        <v>30000</v>
      </c>
      <c r="N293" s="316">
        <v>10</v>
      </c>
      <c r="O293" s="58">
        <v>6000</v>
      </c>
      <c r="P293" s="58">
        <v>26250</v>
      </c>
      <c r="Q293" s="58">
        <v>32250</v>
      </c>
      <c r="R293" s="316">
        <f t="shared" si="4"/>
        <v>10.75</v>
      </c>
      <c r="S293" s="58">
        <v>33544.377856680461</v>
      </c>
    </row>
    <row r="294" spans="1:19" x14ac:dyDescent="0.35">
      <c r="A294" t="s">
        <v>299</v>
      </c>
      <c r="B294" s="58"/>
      <c r="C294" s="58"/>
      <c r="D294" s="58"/>
      <c r="E294" s="316">
        <v>0</v>
      </c>
      <c r="F294" s="58">
        <v>9000</v>
      </c>
      <c r="G294" s="58">
        <v>0</v>
      </c>
      <c r="H294" s="58">
        <v>9000</v>
      </c>
      <c r="I294" s="316">
        <v>3</v>
      </c>
      <c r="J294" s="58">
        <v>3000</v>
      </c>
      <c r="K294" s="58">
        <v>10000</v>
      </c>
      <c r="L294" s="58">
        <v>3000</v>
      </c>
      <c r="M294" s="58">
        <v>16000</v>
      </c>
      <c r="N294" s="316">
        <v>5.333333333333333</v>
      </c>
      <c r="O294" s="58">
        <v>3000</v>
      </c>
      <c r="P294" s="58">
        <v>10500</v>
      </c>
      <c r="Q294" s="58">
        <v>13500</v>
      </c>
      <c r="R294" s="316">
        <f t="shared" si="4"/>
        <v>4.5</v>
      </c>
      <c r="S294" s="58">
        <v>14041.832591168566</v>
      </c>
    </row>
    <row r="295" spans="1:19" x14ac:dyDescent="0.35">
      <c r="A295" t="s">
        <v>300</v>
      </c>
      <c r="B295" s="58"/>
      <c r="C295" s="58"/>
      <c r="D295" s="58"/>
      <c r="E295" s="316">
        <v>0</v>
      </c>
      <c r="F295" s="58">
        <v>0</v>
      </c>
      <c r="G295" s="58">
        <v>0</v>
      </c>
      <c r="H295" s="58">
        <v>0</v>
      </c>
      <c r="I295" s="316">
        <v>0</v>
      </c>
      <c r="J295" s="58">
        <v>6000</v>
      </c>
      <c r="K295" s="58">
        <v>0</v>
      </c>
      <c r="L295" s="58">
        <v>0</v>
      </c>
      <c r="M295" s="58">
        <v>6000</v>
      </c>
      <c r="N295" s="316">
        <v>2</v>
      </c>
      <c r="O295" s="58">
        <v>6000</v>
      </c>
      <c r="P295" s="58">
        <v>5250</v>
      </c>
      <c r="Q295" s="58">
        <v>11250</v>
      </c>
      <c r="R295" s="316">
        <f t="shared" si="4"/>
        <v>3.75</v>
      </c>
      <c r="S295" s="58">
        <v>11701.527159307139</v>
      </c>
    </row>
    <row r="297" spans="1:19" x14ac:dyDescent="0.35">
      <c r="A297" t="s">
        <v>302</v>
      </c>
      <c r="B297" s="58"/>
      <c r="C297" s="58"/>
      <c r="D297" s="58"/>
      <c r="E297" s="316">
        <v>0</v>
      </c>
      <c r="F297" s="58">
        <v>0</v>
      </c>
      <c r="G297" s="58">
        <v>0</v>
      </c>
      <c r="H297" s="58">
        <v>0</v>
      </c>
      <c r="I297" s="316">
        <v>0</v>
      </c>
      <c r="J297" s="58">
        <v>6000</v>
      </c>
      <c r="K297" s="58">
        <v>0</v>
      </c>
      <c r="L297" s="58">
        <v>0</v>
      </c>
      <c r="M297" s="58">
        <v>6000</v>
      </c>
      <c r="N297" s="316">
        <v>2</v>
      </c>
      <c r="O297" s="58">
        <v>3000</v>
      </c>
      <c r="P297" s="58">
        <v>6000</v>
      </c>
      <c r="Q297" s="58">
        <v>9000</v>
      </c>
      <c r="R297" s="316">
        <f t="shared" si="4"/>
        <v>3</v>
      </c>
      <c r="S297" s="58">
        <v>9361.2217274457107</v>
      </c>
    </row>
    <row r="298" spans="1:19" x14ac:dyDescent="0.35">
      <c r="A298" t="s">
        <v>303</v>
      </c>
      <c r="B298" s="58"/>
      <c r="C298" s="58"/>
      <c r="D298" s="58"/>
      <c r="E298" s="316">
        <v>0</v>
      </c>
      <c r="F298" s="58">
        <v>6000</v>
      </c>
      <c r="G298" s="58">
        <v>0</v>
      </c>
      <c r="H298" s="58">
        <v>6000</v>
      </c>
      <c r="I298" s="316">
        <v>2</v>
      </c>
      <c r="J298" s="58">
        <v>6000</v>
      </c>
      <c r="K298" s="58">
        <v>5750</v>
      </c>
      <c r="L298" s="58">
        <v>0</v>
      </c>
      <c r="M298" s="58">
        <v>11750</v>
      </c>
      <c r="N298" s="316">
        <v>3.9166666666666665</v>
      </c>
      <c r="O298" s="58">
        <v>3000</v>
      </c>
      <c r="P298" s="58">
        <v>12000</v>
      </c>
      <c r="Q298" s="58">
        <v>15000</v>
      </c>
      <c r="R298" s="316">
        <f t="shared" si="4"/>
        <v>5</v>
      </c>
      <c r="S298" s="58">
        <v>15602.036212409517</v>
      </c>
    </row>
    <row r="299" spans="1:19" x14ac:dyDescent="0.35">
      <c r="A299" t="s">
        <v>304</v>
      </c>
      <c r="B299" s="58"/>
      <c r="C299" s="58"/>
      <c r="D299" s="58"/>
      <c r="E299" s="316">
        <v>0</v>
      </c>
      <c r="F299" s="58">
        <v>3000</v>
      </c>
      <c r="G299" s="58">
        <v>0</v>
      </c>
      <c r="H299" s="58">
        <v>3000</v>
      </c>
      <c r="I299" s="316">
        <v>1</v>
      </c>
      <c r="J299" s="58">
        <v>3000</v>
      </c>
      <c r="K299" s="58">
        <v>3000</v>
      </c>
      <c r="L299" s="58">
        <v>0</v>
      </c>
      <c r="M299" s="58">
        <v>6000</v>
      </c>
      <c r="N299" s="316">
        <v>2</v>
      </c>
      <c r="O299" s="58">
        <v>6000</v>
      </c>
      <c r="P299" s="58">
        <v>6000</v>
      </c>
      <c r="Q299" s="58">
        <v>12000</v>
      </c>
      <c r="R299" s="316">
        <f t="shared" si="4"/>
        <v>4</v>
      </c>
      <c r="S299" s="58">
        <v>12481.628969927615</v>
      </c>
    </row>
    <row r="300" spans="1:19" x14ac:dyDescent="0.35">
      <c r="A300" t="s">
        <v>305</v>
      </c>
      <c r="B300" s="58"/>
      <c r="C300" s="58"/>
      <c r="D300" s="58"/>
      <c r="E300" s="316">
        <v>0</v>
      </c>
      <c r="F300" s="58">
        <v>9000</v>
      </c>
      <c r="G300" s="58">
        <v>0</v>
      </c>
      <c r="H300" s="58">
        <v>9000</v>
      </c>
      <c r="I300" s="316">
        <v>3</v>
      </c>
      <c r="J300" s="58">
        <v>21000</v>
      </c>
      <c r="K300" s="58">
        <v>5500</v>
      </c>
      <c r="L300" s="58">
        <v>0</v>
      </c>
      <c r="M300" s="58">
        <v>26500</v>
      </c>
      <c r="N300" s="316">
        <v>8.8333333333333339</v>
      </c>
      <c r="O300" s="58">
        <v>48000</v>
      </c>
      <c r="P300" s="58">
        <v>21750</v>
      </c>
      <c r="Q300" s="58">
        <v>69750</v>
      </c>
      <c r="R300" s="316">
        <f t="shared" si="4"/>
        <v>23.25</v>
      </c>
      <c r="S300" s="58">
        <v>72549.468387704255</v>
      </c>
    </row>
    <row r="301" spans="1:19" x14ac:dyDescent="0.35">
      <c r="A301" t="s">
        <v>306</v>
      </c>
      <c r="B301" s="58"/>
      <c r="C301" s="58"/>
      <c r="D301" s="58"/>
      <c r="E301" s="316">
        <v>0</v>
      </c>
      <c r="F301" s="58">
        <v>0</v>
      </c>
      <c r="G301" s="58">
        <v>0</v>
      </c>
      <c r="H301" s="58">
        <v>0</v>
      </c>
      <c r="I301" s="316">
        <v>0</v>
      </c>
      <c r="J301" s="58">
        <v>6000</v>
      </c>
      <c r="K301" s="58">
        <v>0</v>
      </c>
      <c r="L301" s="58">
        <v>0</v>
      </c>
      <c r="M301" s="58">
        <v>6000</v>
      </c>
      <c r="N301" s="316">
        <v>2</v>
      </c>
      <c r="O301" s="58">
        <v>12000</v>
      </c>
      <c r="P301" s="58">
        <v>3000</v>
      </c>
      <c r="Q301" s="58">
        <v>15000</v>
      </c>
      <c r="R301" s="316">
        <f t="shared" si="4"/>
        <v>5</v>
      </c>
      <c r="S301" s="58">
        <v>15602.036212409517</v>
      </c>
    </row>
    <row r="302" spans="1:19" x14ac:dyDescent="0.35">
      <c r="A302" t="s">
        <v>307</v>
      </c>
      <c r="B302" s="58"/>
      <c r="C302" s="58"/>
      <c r="D302" s="58"/>
      <c r="E302" s="316">
        <v>0</v>
      </c>
      <c r="F302" s="58">
        <v>0</v>
      </c>
      <c r="G302" s="58">
        <v>0</v>
      </c>
      <c r="H302" s="58">
        <v>0</v>
      </c>
      <c r="I302" s="316">
        <v>0</v>
      </c>
      <c r="J302" s="58">
        <v>0</v>
      </c>
      <c r="K302" s="58">
        <v>0</v>
      </c>
      <c r="L302" s="58">
        <v>0</v>
      </c>
      <c r="M302" s="58">
        <v>0</v>
      </c>
      <c r="N302" s="316">
        <v>0</v>
      </c>
      <c r="O302" s="58">
        <v>0</v>
      </c>
      <c r="P302" s="58">
        <v>0</v>
      </c>
      <c r="Q302" s="58">
        <v>0</v>
      </c>
      <c r="R302" s="316">
        <f t="shared" si="4"/>
        <v>0</v>
      </c>
      <c r="S302" s="58">
        <v>0</v>
      </c>
    </row>
    <row r="303" spans="1:19" x14ac:dyDescent="0.35">
      <c r="A303" t="s">
        <v>308</v>
      </c>
      <c r="B303" s="58"/>
      <c r="C303" s="58"/>
      <c r="D303" s="58"/>
      <c r="E303" s="316">
        <v>0</v>
      </c>
      <c r="F303" s="58">
        <v>0</v>
      </c>
      <c r="G303" s="58">
        <v>0</v>
      </c>
      <c r="H303" s="58">
        <v>0</v>
      </c>
      <c r="I303" s="316">
        <v>0</v>
      </c>
      <c r="J303" s="58">
        <v>0</v>
      </c>
      <c r="K303" s="58">
        <v>0</v>
      </c>
      <c r="L303" s="58">
        <v>0</v>
      </c>
      <c r="M303" s="58">
        <v>0</v>
      </c>
      <c r="N303" s="316">
        <v>0</v>
      </c>
      <c r="O303" s="58">
        <v>0</v>
      </c>
      <c r="P303" s="58">
        <v>0</v>
      </c>
      <c r="Q303" s="58">
        <v>0</v>
      </c>
      <c r="R303" s="316">
        <f t="shared" si="4"/>
        <v>0</v>
      </c>
      <c r="S303" s="58">
        <v>0</v>
      </c>
    </row>
    <row r="304" spans="1:19" x14ac:dyDescent="0.35">
      <c r="A304" t="s">
        <v>309</v>
      </c>
      <c r="B304" s="58"/>
      <c r="C304" s="58"/>
      <c r="D304" s="58"/>
      <c r="E304" s="316">
        <v>0</v>
      </c>
      <c r="F304" s="58">
        <v>0</v>
      </c>
      <c r="G304" s="58">
        <v>0</v>
      </c>
      <c r="H304" s="58">
        <v>0</v>
      </c>
      <c r="I304" s="316">
        <v>0</v>
      </c>
      <c r="J304" s="58">
        <v>9000</v>
      </c>
      <c r="K304" s="58">
        <v>0</v>
      </c>
      <c r="L304" s="58">
        <v>0</v>
      </c>
      <c r="M304" s="58">
        <v>9000</v>
      </c>
      <c r="N304" s="316">
        <v>3</v>
      </c>
      <c r="O304" s="58">
        <v>9000</v>
      </c>
      <c r="P304" s="58">
        <v>9000</v>
      </c>
      <c r="Q304" s="58">
        <v>18000</v>
      </c>
      <c r="R304" s="316">
        <f t="shared" si="4"/>
        <v>6</v>
      </c>
      <c r="S304" s="58">
        <v>18722.443454891421</v>
      </c>
    </row>
    <row r="305" spans="1:19" x14ac:dyDescent="0.35">
      <c r="A305" t="s">
        <v>310</v>
      </c>
      <c r="B305" s="58"/>
      <c r="C305" s="58"/>
      <c r="D305" s="58"/>
      <c r="E305" s="316">
        <v>0</v>
      </c>
      <c r="F305" s="58">
        <v>12000</v>
      </c>
      <c r="G305" s="58">
        <v>0</v>
      </c>
      <c r="H305" s="58">
        <v>12000</v>
      </c>
      <c r="I305" s="316">
        <v>4</v>
      </c>
      <c r="J305" s="58">
        <v>48000</v>
      </c>
      <c r="K305" s="58">
        <v>12000</v>
      </c>
      <c r="L305" s="58">
        <v>0</v>
      </c>
      <c r="M305" s="58">
        <v>60000</v>
      </c>
      <c r="N305" s="316">
        <v>20</v>
      </c>
      <c r="O305" s="58">
        <v>15000</v>
      </c>
      <c r="P305" s="58">
        <v>49750</v>
      </c>
      <c r="Q305" s="58">
        <v>64750</v>
      </c>
      <c r="R305" s="316">
        <f t="shared" si="4"/>
        <v>21.583333333333332</v>
      </c>
      <c r="S305" s="58">
        <v>67348.789650234423</v>
      </c>
    </row>
    <row r="306" spans="1:19" x14ac:dyDescent="0.35">
      <c r="A306" t="s">
        <v>311</v>
      </c>
      <c r="B306" s="58">
        <v>9000</v>
      </c>
      <c r="C306" s="58">
        <v>2500</v>
      </c>
      <c r="D306" s="58">
        <v>11500</v>
      </c>
      <c r="E306" s="316">
        <v>3.8333333333333335</v>
      </c>
      <c r="F306" s="58">
        <v>9000</v>
      </c>
      <c r="G306" s="58">
        <v>6000</v>
      </c>
      <c r="H306" s="58">
        <v>15000</v>
      </c>
      <c r="I306" s="316">
        <v>5</v>
      </c>
      <c r="J306" s="58">
        <v>27000</v>
      </c>
      <c r="K306" s="58">
        <v>17000</v>
      </c>
      <c r="L306" s="58">
        <v>3000</v>
      </c>
      <c r="M306" s="58">
        <v>47000</v>
      </c>
      <c r="N306" s="316">
        <v>15.666666666666666</v>
      </c>
      <c r="O306" s="58">
        <v>15000</v>
      </c>
      <c r="P306" s="58">
        <v>38750</v>
      </c>
      <c r="Q306" s="58">
        <v>53750</v>
      </c>
      <c r="R306" s="316">
        <f t="shared" si="4"/>
        <v>17.916666666666668</v>
      </c>
      <c r="S306" s="58">
        <v>55907.296427800771</v>
      </c>
    </row>
    <row r="307" spans="1:19" x14ac:dyDescent="0.35">
      <c r="A307" t="s">
        <v>312</v>
      </c>
      <c r="B307" s="58"/>
      <c r="C307" s="58"/>
      <c r="D307" s="58"/>
      <c r="E307" s="316">
        <v>0</v>
      </c>
      <c r="F307" s="58">
        <v>6000</v>
      </c>
      <c r="G307" s="58">
        <v>0</v>
      </c>
      <c r="H307" s="58">
        <v>6000</v>
      </c>
      <c r="I307" s="316">
        <v>2</v>
      </c>
      <c r="J307" s="58">
        <v>3000</v>
      </c>
      <c r="K307" s="58">
        <v>6000</v>
      </c>
      <c r="L307" s="58">
        <v>0</v>
      </c>
      <c r="M307" s="58">
        <v>9000</v>
      </c>
      <c r="N307" s="316">
        <v>3</v>
      </c>
      <c r="O307" s="58">
        <v>9000</v>
      </c>
      <c r="P307" s="58">
        <v>9000</v>
      </c>
      <c r="Q307" s="58">
        <v>18000</v>
      </c>
      <c r="R307" s="316">
        <f t="shared" si="4"/>
        <v>6</v>
      </c>
      <c r="S307" s="58">
        <v>18722.443454891421</v>
      </c>
    </row>
    <row r="308" spans="1:19" x14ac:dyDescent="0.35">
      <c r="A308" t="s">
        <v>313</v>
      </c>
      <c r="B308" s="58"/>
      <c r="C308" s="58"/>
      <c r="D308" s="58"/>
      <c r="E308" s="316">
        <v>0</v>
      </c>
      <c r="F308" s="58">
        <v>9000</v>
      </c>
      <c r="G308" s="58">
        <v>0</v>
      </c>
      <c r="H308" s="58">
        <v>9000</v>
      </c>
      <c r="I308" s="316">
        <v>3</v>
      </c>
      <c r="J308" s="58">
        <v>12000</v>
      </c>
      <c r="K308" s="58">
        <v>6000</v>
      </c>
      <c r="L308" s="58">
        <v>0</v>
      </c>
      <c r="M308" s="58">
        <v>18000</v>
      </c>
      <c r="N308" s="316">
        <v>6</v>
      </c>
      <c r="O308" s="58">
        <v>12000</v>
      </c>
      <c r="P308" s="58">
        <v>14750</v>
      </c>
      <c r="Q308" s="58">
        <v>26750</v>
      </c>
      <c r="R308" s="316">
        <f t="shared" si="4"/>
        <v>8.9166666666666661</v>
      </c>
      <c r="S308" s="58">
        <v>27823.631245463639</v>
      </c>
    </row>
    <row r="309" spans="1:19" x14ac:dyDescent="0.35">
      <c r="A309" t="s">
        <v>314</v>
      </c>
      <c r="B309" s="58"/>
      <c r="C309" s="58"/>
      <c r="D309" s="58"/>
      <c r="E309" s="316">
        <v>0</v>
      </c>
      <c r="F309" s="58">
        <v>0</v>
      </c>
      <c r="G309" s="58">
        <v>0</v>
      </c>
      <c r="H309" s="58">
        <v>0</v>
      </c>
      <c r="I309" s="316">
        <v>0</v>
      </c>
      <c r="J309" s="58">
        <v>0</v>
      </c>
      <c r="K309" s="58">
        <v>0</v>
      </c>
      <c r="L309" s="58">
        <v>0</v>
      </c>
      <c r="M309" s="58">
        <v>0</v>
      </c>
      <c r="N309" s="316">
        <v>0</v>
      </c>
      <c r="O309" s="58">
        <v>12000</v>
      </c>
      <c r="P309" s="58">
        <v>0</v>
      </c>
      <c r="Q309" s="58">
        <v>12000</v>
      </c>
      <c r="R309" s="316">
        <f t="shared" si="4"/>
        <v>4</v>
      </c>
      <c r="S309" s="58">
        <v>12481.628969927615</v>
      </c>
    </row>
    <row r="310" spans="1:19" x14ac:dyDescent="0.35">
      <c r="A310" t="s">
        <v>315</v>
      </c>
      <c r="B310" s="58"/>
      <c r="C310" s="58"/>
      <c r="D310" s="58"/>
      <c r="E310" s="316">
        <v>0</v>
      </c>
      <c r="F310" s="58">
        <v>9000</v>
      </c>
      <c r="G310" s="58">
        <v>0</v>
      </c>
      <c r="H310" s="58">
        <v>9000</v>
      </c>
      <c r="I310" s="316">
        <v>3</v>
      </c>
      <c r="J310" s="58">
        <v>12000</v>
      </c>
      <c r="K310" s="58">
        <v>4750</v>
      </c>
      <c r="L310" s="58">
        <v>0</v>
      </c>
      <c r="M310" s="58">
        <v>16750</v>
      </c>
      <c r="N310" s="316">
        <v>5.583333333333333</v>
      </c>
      <c r="O310" s="58">
        <v>18000</v>
      </c>
      <c r="P310" s="58">
        <v>10000</v>
      </c>
      <c r="Q310" s="58">
        <v>28000</v>
      </c>
      <c r="R310" s="316">
        <f t="shared" si="4"/>
        <v>9.3333333333333339</v>
      </c>
      <c r="S310" s="58">
        <v>29123.800929831097</v>
      </c>
    </row>
    <row r="311" spans="1:19" x14ac:dyDescent="0.35">
      <c r="A311" t="s">
        <v>316</v>
      </c>
      <c r="B311" s="58">
        <v>9000</v>
      </c>
      <c r="C311" s="58">
        <v>6000</v>
      </c>
      <c r="D311" s="58">
        <v>15000</v>
      </c>
      <c r="E311" s="316">
        <v>5</v>
      </c>
      <c r="F311" s="58">
        <v>21000</v>
      </c>
      <c r="G311" s="58">
        <v>9000</v>
      </c>
      <c r="H311" s="58">
        <v>30000</v>
      </c>
      <c r="I311" s="316">
        <v>10</v>
      </c>
      <c r="J311" s="58">
        <v>15000</v>
      </c>
      <c r="K311" s="58">
        <v>22750</v>
      </c>
      <c r="L311" s="58">
        <v>0</v>
      </c>
      <c r="M311" s="58">
        <v>37750</v>
      </c>
      <c r="N311" s="316">
        <v>12.583333333333334</v>
      </c>
      <c r="O311" s="58">
        <v>18000</v>
      </c>
      <c r="P311" s="58">
        <v>34500</v>
      </c>
      <c r="Q311" s="58">
        <v>52500</v>
      </c>
      <c r="R311" s="316">
        <f t="shared" si="4"/>
        <v>17.5</v>
      </c>
      <c r="S311" s="58">
        <v>54607.12674343332</v>
      </c>
    </row>
    <row r="312" spans="1:19" x14ac:dyDescent="0.35">
      <c r="A312" t="s">
        <v>317</v>
      </c>
      <c r="B312" s="58"/>
      <c r="C312" s="58"/>
      <c r="D312" s="58"/>
      <c r="E312" s="316">
        <v>0</v>
      </c>
      <c r="F312" s="58">
        <v>0</v>
      </c>
      <c r="G312" s="58">
        <v>0</v>
      </c>
      <c r="H312" s="58">
        <v>0</v>
      </c>
      <c r="I312" s="316">
        <v>0</v>
      </c>
      <c r="J312" s="58">
        <v>15000</v>
      </c>
      <c r="K312" s="58">
        <v>0</v>
      </c>
      <c r="L312" s="58">
        <v>0</v>
      </c>
      <c r="M312" s="58">
        <v>15000</v>
      </c>
      <c r="N312" s="316">
        <v>5</v>
      </c>
      <c r="O312" s="58">
        <v>18000</v>
      </c>
      <c r="P312" s="58">
        <v>12000</v>
      </c>
      <c r="Q312" s="58">
        <v>30000</v>
      </c>
      <c r="R312" s="316">
        <f t="shared" si="4"/>
        <v>10</v>
      </c>
      <c r="S312" s="58">
        <v>31204.072424819034</v>
      </c>
    </row>
    <row r="313" spans="1:19" x14ac:dyDescent="0.35">
      <c r="A313" t="s">
        <v>318</v>
      </c>
      <c r="B313" s="58"/>
      <c r="C313" s="58"/>
      <c r="D313" s="58"/>
      <c r="E313" s="316">
        <v>0</v>
      </c>
      <c r="F313" s="58">
        <v>12000</v>
      </c>
      <c r="G313" s="58">
        <v>0</v>
      </c>
      <c r="H313" s="58">
        <v>12000</v>
      </c>
      <c r="I313" s="316">
        <v>4</v>
      </c>
      <c r="J313" s="58">
        <v>15000</v>
      </c>
      <c r="K313" s="58">
        <v>12000</v>
      </c>
      <c r="L313" s="58">
        <v>0</v>
      </c>
      <c r="M313" s="58">
        <v>27000</v>
      </c>
      <c r="N313" s="316">
        <v>9</v>
      </c>
      <c r="O313" s="58">
        <v>21000</v>
      </c>
      <c r="P313" s="58">
        <v>27000</v>
      </c>
      <c r="Q313" s="58">
        <v>48000</v>
      </c>
      <c r="R313" s="316">
        <f t="shared" si="4"/>
        <v>16</v>
      </c>
      <c r="S313" s="58">
        <v>49926.51587971046</v>
      </c>
    </row>
    <row r="314" spans="1:19" x14ac:dyDescent="0.35">
      <c r="A314" t="s">
        <v>319</v>
      </c>
      <c r="B314" s="58"/>
      <c r="C314" s="58"/>
      <c r="D314" s="58"/>
      <c r="E314" s="316">
        <v>0</v>
      </c>
      <c r="F314" s="58">
        <v>0</v>
      </c>
      <c r="G314" s="58">
        <v>0</v>
      </c>
      <c r="H314" s="58">
        <v>0</v>
      </c>
      <c r="I314" s="316">
        <v>0</v>
      </c>
      <c r="J314" s="58">
        <v>0</v>
      </c>
      <c r="K314" s="58">
        <v>0</v>
      </c>
      <c r="L314" s="58">
        <v>0</v>
      </c>
      <c r="M314" s="58">
        <v>0</v>
      </c>
      <c r="N314" s="316">
        <v>0</v>
      </c>
      <c r="O314" s="58">
        <v>0</v>
      </c>
      <c r="P314" s="58">
        <v>0</v>
      </c>
      <c r="Q314" s="58">
        <v>0</v>
      </c>
      <c r="R314" s="316">
        <f t="shared" si="4"/>
        <v>0</v>
      </c>
      <c r="S314" s="58">
        <v>0</v>
      </c>
    </row>
    <row r="315" spans="1:19" x14ac:dyDescent="0.35">
      <c r="A315" t="s">
        <v>320</v>
      </c>
      <c r="B315" s="58">
        <v>6000</v>
      </c>
      <c r="C315" s="58">
        <v>0</v>
      </c>
      <c r="D315" s="58">
        <v>6000</v>
      </c>
      <c r="E315" s="316">
        <v>2</v>
      </c>
      <c r="F315" s="58">
        <v>9000</v>
      </c>
      <c r="G315" s="58">
        <v>6000</v>
      </c>
      <c r="H315" s="58">
        <v>15000</v>
      </c>
      <c r="I315" s="316">
        <v>5</v>
      </c>
      <c r="J315" s="58">
        <v>30000</v>
      </c>
      <c r="K315" s="58">
        <v>12750</v>
      </c>
      <c r="L315" s="58">
        <v>0</v>
      </c>
      <c r="M315" s="58">
        <v>42750</v>
      </c>
      <c r="N315" s="316">
        <v>14.25</v>
      </c>
      <c r="O315" s="58">
        <v>21000</v>
      </c>
      <c r="P315" s="58">
        <v>33500</v>
      </c>
      <c r="Q315" s="58">
        <v>54500</v>
      </c>
      <c r="R315" s="316">
        <f t="shared" si="4"/>
        <v>18.166666666666668</v>
      </c>
      <c r="S315" s="58">
        <v>56687.39823842125</v>
      </c>
    </row>
    <row r="316" spans="1:19" x14ac:dyDescent="0.35">
      <c r="A316" t="s">
        <v>321</v>
      </c>
      <c r="B316" s="58"/>
      <c r="C316" s="58"/>
      <c r="D316" s="58"/>
      <c r="E316" s="316">
        <v>0</v>
      </c>
      <c r="F316" s="58">
        <v>0</v>
      </c>
      <c r="G316" s="58">
        <v>0</v>
      </c>
      <c r="H316" s="58">
        <v>0</v>
      </c>
      <c r="I316" s="316">
        <v>0</v>
      </c>
      <c r="J316" s="58">
        <v>0</v>
      </c>
      <c r="K316" s="58">
        <v>0</v>
      </c>
      <c r="L316" s="58">
        <v>0</v>
      </c>
      <c r="M316" s="58">
        <v>0</v>
      </c>
      <c r="N316" s="316">
        <v>0</v>
      </c>
      <c r="O316" s="58">
        <v>0</v>
      </c>
      <c r="P316" s="58">
        <v>0</v>
      </c>
      <c r="Q316" s="58">
        <v>0</v>
      </c>
      <c r="R316" s="316">
        <f t="shared" si="4"/>
        <v>0</v>
      </c>
      <c r="S316" s="58">
        <v>0</v>
      </c>
    </row>
    <row r="317" spans="1:19" x14ac:dyDescent="0.35">
      <c r="A317" t="s">
        <v>322</v>
      </c>
      <c r="B317" s="58"/>
      <c r="C317" s="58"/>
      <c r="D317" s="58"/>
      <c r="E317" s="316">
        <v>0</v>
      </c>
      <c r="F317" s="58">
        <v>0</v>
      </c>
      <c r="G317" s="58">
        <v>0</v>
      </c>
      <c r="H317" s="58">
        <v>0</v>
      </c>
      <c r="I317" s="316">
        <v>0</v>
      </c>
      <c r="J317" s="58">
        <v>0</v>
      </c>
      <c r="K317" s="58">
        <v>0</v>
      </c>
      <c r="L317" s="58">
        <v>0</v>
      </c>
      <c r="M317" s="58">
        <v>0</v>
      </c>
      <c r="N317" s="316">
        <v>0</v>
      </c>
      <c r="O317" s="58">
        <v>0</v>
      </c>
      <c r="P317" s="58">
        <v>0</v>
      </c>
      <c r="Q317" s="58">
        <v>0</v>
      </c>
      <c r="R317" s="316">
        <f t="shared" si="4"/>
        <v>0</v>
      </c>
      <c r="S317" s="58">
        <v>0</v>
      </c>
    </row>
    <row r="318" spans="1:19" x14ac:dyDescent="0.35">
      <c r="A318" t="s">
        <v>323</v>
      </c>
      <c r="B318" s="58">
        <v>3000</v>
      </c>
      <c r="C318" s="58">
        <v>0</v>
      </c>
      <c r="D318" s="58">
        <v>3000</v>
      </c>
      <c r="E318" s="316">
        <v>1</v>
      </c>
      <c r="F318" s="58">
        <v>0</v>
      </c>
      <c r="G318" s="58">
        <v>3000</v>
      </c>
      <c r="H318" s="58">
        <v>3000</v>
      </c>
      <c r="I318" s="316">
        <v>1</v>
      </c>
      <c r="J318" s="58">
        <v>3000</v>
      </c>
      <c r="K318" s="58">
        <v>500</v>
      </c>
      <c r="L318" s="58">
        <v>0</v>
      </c>
      <c r="M318" s="58">
        <v>3500</v>
      </c>
      <c r="N318" s="316">
        <v>1.1666666666666667</v>
      </c>
      <c r="O318" s="58">
        <v>3000</v>
      </c>
      <c r="P318" s="58">
        <v>3000</v>
      </c>
      <c r="Q318" s="58">
        <v>6000</v>
      </c>
      <c r="R318" s="316">
        <f t="shared" si="4"/>
        <v>2</v>
      </c>
      <c r="S318" s="58">
        <v>6240.8144849638074</v>
      </c>
    </row>
    <row r="319" spans="1:19" x14ac:dyDescent="0.35">
      <c r="A319" t="s">
        <v>324</v>
      </c>
      <c r="B319" s="58"/>
      <c r="C319" s="58"/>
      <c r="D319" s="58"/>
      <c r="E319" s="316">
        <v>0</v>
      </c>
      <c r="F319" s="58">
        <v>9000</v>
      </c>
      <c r="G319" s="58">
        <v>0</v>
      </c>
      <c r="H319" s="58">
        <v>9000</v>
      </c>
      <c r="I319" s="316">
        <v>3</v>
      </c>
      <c r="J319" s="58">
        <v>21000</v>
      </c>
      <c r="K319" s="58">
        <v>9000</v>
      </c>
      <c r="L319" s="58">
        <v>0</v>
      </c>
      <c r="M319" s="58">
        <v>30000</v>
      </c>
      <c r="N319" s="316">
        <v>10</v>
      </c>
      <c r="O319" s="58">
        <v>6000</v>
      </c>
      <c r="P319" s="58">
        <v>25000</v>
      </c>
      <c r="Q319" s="58">
        <v>31000</v>
      </c>
      <c r="R319" s="316">
        <f t="shared" si="4"/>
        <v>10.333333333333334</v>
      </c>
      <c r="S319" s="58">
        <v>32244.208172313007</v>
      </c>
    </row>
    <row r="320" spans="1:19" x14ac:dyDescent="0.35">
      <c r="A320" t="s">
        <v>325</v>
      </c>
      <c r="B320" s="58"/>
      <c r="C320" s="58"/>
      <c r="D320" s="58"/>
      <c r="E320" s="316">
        <v>0</v>
      </c>
      <c r="F320" s="58">
        <v>9000</v>
      </c>
      <c r="G320" s="58">
        <v>0</v>
      </c>
      <c r="H320" s="58">
        <v>9000</v>
      </c>
      <c r="I320" s="316">
        <v>3</v>
      </c>
      <c r="J320" s="58">
        <v>12000</v>
      </c>
      <c r="K320" s="58">
        <v>9000</v>
      </c>
      <c r="L320" s="58">
        <v>0</v>
      </c>
      <c r="M320" s="58">
        <v>21000</v>
      </c>
      <c r="N320" s="316">
        <v>7</v>
      </c>
      <c r="O320" s="58">
        <v>21000</v>
      </c>
      <c r="P320" s="58">
        <v>18250</v>
      </c>
      <c r="Q320" s="58">
        <v>39250</v>
      </c>
      <c r="R320" s="316">
        <f t="shared" si="4"/>
        <v>13.083333333333334</v>
      </c>
      <c r="S320" s="58">
        <v>40825.328089138238</v>
      </c>
    </row>
    <row r="321" spans="1:19" x14ac:dyDescent="0.35">
      <c r="A321" t="s">
        <v>326</v>
      </c>
      <c r="B321" s="58"/>
      <c r="C321" s="58"/>
      <c r="D321" s="58"/>
      <c r="E321" s="316">
        <v>0</v>
      </c>
      <c r="F321" s="58">
        <v>0</v>
      </c>
      <c r="G321" s="58">
        <v>0</v>
      </c>
      <c r="H321" s="58">
        <v>0</v>
      </c>
      <c r="I321" s="316">
        <v>0</v>
      </c>
      <c r="J321" s="58">
        <v>6000</v>
      </c>
      <c r="K321" s="58">
        <v>0</v>
      </c>
      <c r="L321" s="58">
        <v>0</v>
      </c>
      <c r="M321" s="58">
        <v>6000</v>
      </c>
      <c r="N321" s="316">
        <v>2</v>
      </c>
      <c r="O321" s="58">
        <v>0</v>
      </c>
      <c r="P321" s="58">
        <v>6000</v>
      </c>
      <c r="Q321" s="58">
        <v>6000</v>
      </c>
      <c r="R321" s="316">
        <f t="shared" si="4"/>
        <v>2</v>
      </c>
      <c r="S321" s="58">
        <v>6240.8144849638074</v>
      </c>
    </row>
    <row r="322" spans="1:19" x14ac:dyDescent="0.35">
      <c r="A322" t="s">
        <v>327</v>
      </c>
      <c r="B322" s="58"/>
      <c r="C322" s="58"/>
      <c r="D322" s="58"/>
      <c r="E322" s="316">
        <v>0</v>
      </c>
      <c r="F322" s="58">
        <v>9000</v>
      </c>
      <c r="G322" s="58">
        <v>0</v>
      </c>
      <c r="H322" s="58">
        <v>9000</v>
      </c>
      <c r="I322" s="316">
        <v>3</v>
      </c>
      <c r="J322" s="58">
        <v>21000</v>
      </c>
      <c r="K322" s="58">
        <v>9000</v>
      </c>
      <c r="L322" s="58">
        <v>0</v>
      </c>
      <c r="M322" s="58">
        <v>30000</v>
      </c>
      <c r="N322" s="316">
        <v>10</v>
      </c>
      <c r="O322" s="58">
        <v>9000</v>
      </c>
      <c r="P322" s="58">
        <v>25500</v>
      </c>
      <c r="Q322" s="58">
        <v>34500</v>
      </c>
      <c r="R322" s="316">
        <f t="shared" si="4"/>
        <v>11.5</v>
      </c>
      <c r="S322" s="58">
        <v>35884.683288541892</v>
      </c>
    </row>
    <row r="323" spans="1:19" x14ac:dyDescent="0.35">
      <c r="A323" t="s">
        <v>328</v>
      </c>
      <c r="B323" s="58"/>
      <c r="C323" s="58"/>
      <c r="D323" s="58"/>
      <c r="E323" s="316">
        <v>0</v>
      </c>
      <c r="F323" s="58">
        <v>6000</v>
      </c>
      <c r="G323" s="58">
        <v>0</v>
      </c>
      <c r="H323" s="58">
        <v>6000</v>
      </c>
      <c r="I323" s="316">
        <v>2</v>
      </c>
      <c r="J323" s="58">
        <v>15000</v>
      </c>
      <c r="K323" s="58">
        <v>6000</v>
      </c>
      <c r="L323" s="58">
        <v>0</v>
      </c>
      <c r="M323" s="58">
        <v>21000</v>
      </c>
      <c r="N323" s="316">
        <v>7</v>
      </c>
      <c r="O323" s="58">
        <v>15000</v>
      </c>
      <c r="P323" s="58">
        <v>15000</v>
      </c>
      <c r="Q323" s="58">
        <v>30000</v>
      </c>
      <c r="R323" s="316">
        <f t="shared" si="4"/>
        <v>10</v>
      </c>
      <c r="S323" s="58">
        <v>31204.072424819034</v>
      </c>
    </row>
    <row r="324" spans="1:19" x14ac:dyDescent="0.35">
      <c r="A324" t="s">
        <v>329</v>
      </c>
      <c r="B324" s="58">
        <v>3000</v>
      </c>
      <c r="C324" s="58">
        <v>0</v>
      </c>
      <c r="D324" s="58">
        <v>3000</v>
      </c>
      <c r="E324" s="316">
        <v>1</v>
      </c>
      <c r="F324" s="58">
        <v>6000</v>
      </c>
      <c r="G324" s="58">
        <v>1750</v>
      </c>
      <c r="H324" s="58">
        <v>7750</v>
      </c>
      <c r="I324" s="316">
        <v>2.5833333333333335</v>
      </c>
      <c r="J324" s="58">
        <v>6000</v>
      </c>
      <c r="K324" s="58">
        <v>7500</v>
      </c>
      <c r="L324" s="58">
        <v>1750</v>
      </c>
      <c r="M324" s="58">
        <v>15250</v>
      </c>
      <c r="N324" s="316">
        <v>5.083333333333333</v>
      </c>
      <c r="O324" s="58">
        <v>3000</v>
      </c>
      <c r="P324" s="58">
        <v>15000</v>
      </c>
      <c r="Q324" s="58">
        <v>18000</v>
      </c>
      <c r="R324" s="316">
        <f t="shared" si="4"/>
        <v>6</v>
      </c>
      <c r="S324" s="58">
        <v>18722.443454891421</v>
      </c>
    </row>
    <row r="325" spans="1:19" x14ac:dyDescent="0.35">
      <c r="A325" t="s">
        <v>330</v>
      </c>
      <c r="B325" s="58"/>
      <c r="C325" s="58"/>
      <c r="D325" s="58"/>
      <c r="E325" s="316">
        <v>0</v>
      </c>
      <c r="F325" s="58">
        <v>3000</v>
      </c>
      <c r="G325" s="58">
        <v>0</v>
      </c>
      <c r="H325" s="58">
        <v>3000</v>
      </c>
      <c r="I325" s="316">
        <v>1</v>
      </c>
      <c r="J325" s="58">
        <v>0</v>
      </c>
      <c r="K325" s="58">
        <v>2500</v>
      </c>
      <c r="L325" s="58">
        <v>0</v>
      </c>
      <c r="M325" s="58">
        <v>2500</v>
      </c>
      <c r="N325" s="316">
        <v>0.83333333333333337</v>
      </c>
      <c r="O325" s="58">
        <v>9000</v>
      </c>
      <c r="P325" s="58">
        <v>3000</v>
      </c>
      <c r="Q325" s="58">
        <v>12000</v>
      </c>
      <c r="R325" s="316">
        <f t="shared" si="4"/>
        <v>4</v>
      </c>
      <c r="S325" s="58">
        <v>12481.628969927615</v>
      </c>
    </row>
    <row r="326" spans="1:19" x14ac:dyDescent="0.35">
      <c r="A326" t="s">
        <v>331</v>
      </c>
      <c r="B326" s="58"/>
      <c r="C326" s="58"/>
      <c r="D326" s="58"/>
      <c r="E326" s="316">
        <v>0</v>
      </c>
      <c r="F326" s="58">
        <v>0</v>
      </c>
      <c r="G326" s="58">
        <v>0</v>
      </c>
      <c r="H326" s="58">
        <v>0</v>
      </c>
      <c r="I326" s="316">
        <v>0</v>
      </c>
      <c r="J326" s="58">
        <v>0</v>
      </c>
      <c r="K326" s="58">
        <v>0</v>
      </c>
      <c r="L326" s="58">
        <v>0</v>
      </c>
      <c r="M326" s="58">
        <v>0</v>
      </c>
      <c r="N326" s="316">
        <v>0</v>
      </c>
      <c r="O326" s="316">
        <v>0</v>
      </c>
      <c r="P326" s="316">
        <v>0</v>
      </c>
      <c r="Q326" s="316">
        <v>0</v>
      </c>
      <c r="R326" s="316">
        <f t="shared" si="4"/>
        <v>0</v>
      </c>
      <c r="S326" s="58">
        <v>0</v>
      </c>
    </row>
    <row r="327" spans="1:19" x14ac:dyDescent="0.35">
      <c r="A327" t="s">
        <v>332</v>
      </c>
      <c r="B327" s="58"/>
      <c r="C327" s="58"/>
      <c r="D327" s="58"/>
      <c r="E327" s="316">
        <v>0</v>
      </c>
      <c r="F327" s="58">
        <v>3000</v>
      </c>
      <c r="G327" s="58">
        <v>0</v>
      </c>
      <c r="H327" s="58">
        <v>3000</v>
      </c>
      <c r="I327" s="316">
        <v>1</v>
      </c>
      <c r="J327" s="58">
        <v>21000</v>
      </c>
      <c r="K327" s="58">
        <v>2750</v>
      </c>
      <c r="L327" s="58">
        <v>0</v>
      </c>
      <c r="M327" s="58">
        <v>23750</v>
      </c>
      <c r="N327" s="316">
        <v>7.916666666666667</v>
      </c>
      <c r="O327" s="316">
        <v>18000</v>
      </c>
      <c r="P327" s="316">
        <v>24000</v>
      </c>
      <c r="Q327" s="316">
        <v>42000</v>
      </c>
      <c r="R327" s="316">
        <f t="shared" ref="R327:R360" si="5">+Q327/3000</f>
        <v>14</v>
      </c>
      <c r="S327" s="58">
        <v>43685.701394746655</v>
      </c>
    </row>
    <row r="329" spans="1:19" x14ac:dyDescent="0.35">
      <c r="A329" t="s">
        <v>334</v>
      </c>
      <c r="B329" s="58">
        <v>3000</v>
      </c>
      <c r="C329" s="58">
        <v>1250</v>
      </c>
      <c r="D329" s="58">
        <v>4250</v>
      </c>
      <c r="E329" s="316">
        <v>1.4166666666666667</v>
      </c>
      <c r="F329" s="58">
        <v>21000</v>
      </c>
      <c r="G329" s="58">
        <v>0</v>
      </c>
      <c r="H329" s="58">
        <v>21000</v>
      </c>
      <c r="I329" s="316">
        <v>7</v>
      </c>
      <c r="J329" s="58">
        <v>0</v>
      </c>
      <c r="K329" s="58">
        <v>8250</v>
      </c>
      <c r="L329" s="58">
        <v>0</v>
      </c>
      <c r="M329" s="58">
        <v>8250</v>
      </c>
      <c r="N329" s="316">
        <v>2.75</v>
      </c>
      <c r="O329" s="316">
        <v>3000</v>
      </c>
      <c r="P329" s="316">
        <v>6500</v>
      </c>
      <c r="Q329" s="316">
        <v>9500</v>
      </c>
      <c r="R329" s="316">
        <f t="shared" si="5"/>
        <v>3.1666666666666665</v>
      </c>
      <c r="S329" s="58">
        <v>9881.289601192695</v>
      </c>
    </row>
    <row r="330" spans="1:19" x14ac:dyDescent="0.35">
      <c r="A330" t="s">
        <v>335</v>
      </c>
      <c r="B330" s="58"/>
      <c r="C330" s="58"/>
      <c r="D330" s="58"/>
      <c r="E330" s="316">
        <v>0</v>
      </c>
      <c r="F330" s="58">
        <v>12000</v>
      </c>
      <c r="G330" s="58">
        <v>0</v>
      </c>
      <c r="H330" s="58">
        <v>12000</v>
      </c>
      <c r="I330" s="316">
        <v>4</v>
      </c>
      <c r="J330" s="58">
        <v>12000</v>
      </c>
      <c r="K330" s="58">
        <v>18750</v>
      </c>
      <c r="L330" s="58">
        <v>0</v>
      </c>
      <c r="M330" s="58">
        <v>30750</v>
      </c>
      <c r="N330" s="316">
        <v>10.25</v>
      </c>
      <c r="O330" s="316">
        <v>15000</v>
      </c>
      <c r="P330" s="316">
        <v>29750</v>
      </c>
      <c r="Q330" s="316">
        <v>44750</v>
      </c>
      <c r="R330" s="316">
        <f t="shared" si="5"/>
        <v>14.916666666666666</v>
      </c>
      <c r="S330" s="58">
        <v>46546.074700355064</v>
      </c>
    </row>
    <row r="331" spans="1:19" x14ac:dyDescent="0.35">
      <c r="A331" t="s">
        <v>336</v>
      </c>
      <c r="B331" s="58">
        <v>3000</v>
      </c>
      <c r="C331" s="58">
        <v>0</v>
      </c>
      <c r="D331" s="58">
        <v>3000</v>
      </c>
      <c r="E331" s="316">
        <v>1</v>
      </c>
      <c r="F331" s="58">
        <v>15000</v>
      </c>
      <c r="G331" s="58">
        <v>3000</v>
      </c>
      <c r="H331" s="58">
        <v>18000</v>
      </c>
      <c r="I331" s="316">
        <v>6</v>
      </c>
      <c r="J331" s="58">
        <v>12000</v>
      </c>
      <c r="K331" s="58">
        <v>18000</v>
      </c>
      <c r="L331" s="58">
        <v>0</v>
      </c>
      <c r="M331" s="58">
        <v>30000</v>
      </c>
      <c r="N331" s="316">
        <v>10</v>
      </c>
      <c r="O331" s="316">
        <v>15000</v>
      </c>
      <c r="P331" s="316">
        <v>30000</v>
      </c>
      <c r="Q331" s="316">
        <v>45000</v>
      </c>
      <c r="R331" s="316">
        <f t="shared" si="5"/>
        <v>15</v>
      </c>
      <c r="S331" s="58">
        <v>46806.108637228557</v>
      </c>
    </row>
    <row r="332" spans="1:19" x14ac:dyDescent="0.35">
      <c r="A332" t="s">
        <v>337</v>
      </c>
      <c r="B332" s="58"/>
      <c r="C332" s="58"/>
      <c r="D332" s="58"/>
      <c r="E332" s="316">
        <v>0</v>
      </c>
      <c r="F332" s="58">
        <v>0</v>
      </c>
      <c r="G332" s="58">
        <v>0</v>
      </c>
      <c r="H332" s="58">
        <v>0</v>
      </c>
      <c r="I332" s="316">
        <v>0</v>
      </c>
      <c r="J332" s="58">
        <v>0</v>
      </c>
      <c r="K332" s="58">
        <v>0</v>
      </c>
      <c r="L332" s="58">
        <v>0</v>
      </c>
      <c r="M332" s="58">
        <v>0</v>
      </c>
      <c r="N332" s="316">
        <v>0</v>
      </c>
      <c r="O332" s="316">
        <v>3000</v>
      </c>
      <c r="P332" s="316">
        <v>0</v>
      </c>
      <c r="Q332" s="316">
        <v>3000</v>
      </c>
      <c r="R332" s="316">
        <f t="shared" si="5"/>
        <v>1</v>
      </c>
      <c r="S332" s="58">
        <v>3120.4072424819037</v>
      </c>
    </row>
    <row r="333" spans="1:19" x14ac:dyDescent="0.35">
      <c r="A333" t="s">
        <v>338</v>
      </c>
      <c r="B333" s="58"/>
      <c r="C333" s="58"/>
      <c r="D333" s="58"/>
      <c r="E333" s="316">
        <v>0</v>
      </c>
      <c r="F333" s="58">
        <v>0</v>
      </c>
      <c r="G333" s="58">
        <v>0</v>
      </c>
      <c r="H333" s="58">
        <v>0</v>
      </c>
      <c r="I333" s="316">
        <v>0</v>
      </c>
      <c r="J333" s="58">
        <v>3000</v>
      </c>
      <c r="K333" s="58">
        <v>0</v>
      </c>
      <c r="L333" s="58">
        <v>0</v>
      </c>
      <c r="M333" s="58">
        <v>3000</v>
      </c>
      <c r="N333" s="316">
        <v>1</v>
      </c>
      <c r="O333" s="316">
        <v>3000</v>
      </c>
      <c r="P333" s="316">
        <v>500</v>
      </c>
      <c r="Q333" s="316">
        <v>3500</v>
      </c>
      <c r="R333" s="316">
        <f t="shared" si="5"/>
        <v>1.1666666666666667</v>
      </c>
      <c r="S333" s="58">
        <v>3640.4751162288871</v>
      </c>
    </row>
    <row r="334" spans="1:19" x14ac:dyDescent="0.35">
      <c r="A334" t="s">
        <v>339</v>
      </c>
      <c r="B334" s="58"/>
      <c r="C334" s="58"/>
      <c r="D334" s="58"/>
      <c r="E334" s="316">
        <v>0</v>
      </c>
      <c r="F334" s="58">
        <v>9000</v>
      </c>
      <c r="G334" s="58">
        <v>0</v>
      </c>
      <c r="H334" s="58">
        <v>9000</v>
      </c>
      <c r="I334" s="316">
        <v>3</v>
      </c>
      <c r="J334" s="58">
        <v>0</v>
      </c>
      <c r="K334" s="58">
        <v>8250</v>
      </c>
      <c r="L334" s="58">
        <v>0</v>
      </c>
      <c r="M334" s="58">
        <v>8250</v>
      </c>
      <c r="N334" s="316">
        <v>2.75</v>
      </c>
      <c r="O334" s="316">
        <v>27000</v>
      </c>
      <c r="P334" s="316">
        <v>9000</v>
      </c>
      <c r="Q334" s="316">
        <v>36000</v>
      </c>
      <c r="R334" s="316">
        <f t="shared" si="5"/>
        <v>12</v>
      </c>
      <c r="S334" s="58">
        <v>37444.886909782843</v>
      </c>
    </row>
    <row r="335" spans="1:19" x14ac:dyDescent="0.35">
      <c r="A335" t="s">
        <v>340</v>
      </c>
      <c r="B335" s="58">
        <v>6000</v>
      </c>
      <c r="C335" s="58">
        <v>0</v>
      </c>
      <c r="D335" s="58">
        <v>6000</v>
      </c>
      <c r="E335" s="316">
        <v>2</v>
      </c>
      <c r="F335" s="58">
        <v>18000</v>
      </c>
      <c r="G335" s="58">
        <v>3750</v>
      </c>
      <c r="H335" s="58">
        <v>21750</v>
      </c>
      <c r="I335" s="316">
        <v>7.25</v>
      </c>
      <c r="J335" s="58">
        <v>30000</v>
      </c>
      <c r="K335" s="58">
        <v>19250</v>
      </c>
      <c r="L335" s="58">
        <v>0</v>
      </c>
      <c r="M335" s="58">
        <v>49250</v>
      </c>
      <c r="N335" s="316">
        <v>16.416666666666668</v>
      </c>
      <c r="O335" s="316">
        <v>30000</v>
      </c>
      <c r="P335" s="316">
        <v>46750</v>
      </c>
      <c r="Q335" s="316">
        <v>76750</v>
      </c>
      <c r="R335" s="316">
        <f t="shared" si="5"/>
        <v>25.583333333333332</v>
      </c>
      <c r="S335" s="58">
        <v>79830.418620162032</v>
      </c>
    </row>
    <row r="336" spans="1:19" x14ac:dyDescent="0.35">
      <c r="A336" t="s">
        <v>341</v>
      </c>
      <c r="B336" s="58"/>
      <c r="C336" s="58"/>
      <c r="D336" s="58"/>
      <c r="E336" s="316">
        <v>0</v>
      </c>
      <c r="F336" s="58">
        <v>0</v>
      </c>
      <c r="G336" s="58">
        <v>0</v>
      </c>
      <c r="H336" s="58">
        <v>0</v>
      </c>
      <c r="I336" s="316">
        <v>0</v>
      </c>
      <c r="J336" s="58">
        <v>3000</v>
      </c>
      <c r="K336" s="58">
        <v>0</v>
      </c>
      <c r="L336" s="58">
        <v>0</v>
      </c>
      <c r="M336" s="58">
        <v>3000</v>
      </c>
      <c r="N336" s="316">
        <v>1</v>
      </c>
      <c r="O336" s="316">
        <v>15000</v>
      </c>
      <c r="P336" s="316">
        <v>3000</v>
      </c>
      <c r="Q336" s="316">
        <v>18000</v>
      </c>
      <c r="R336" s="316">
        <f t="shared" si="5"/>
        <v>6</v>
      </c>
      <c r="S336" s="58">
        <v>18722.443454891421</v>
      </c>
    </row>
    <row r="337" spans="1:19" x14ac:dyDescent="0.35">
      <c r="A337" t="s">
        <v>342</v>
      </c>
      <c r="B337" s="58"/>
      <c r="C337" s="58"/>
      <c r="D337" s="58"/>
      <c r="E337" s="316">
        <v>0</v>
      </c>
      <c r="F337" s="58">
        <v>0</v>
      </c>
      <c r="G337" s="58">
        <v>0</v>
      </c>
      <c r="H337" s="58">
        <v>0</v>
      </c>
      <c r="I337" s="316">
        <v>0</v>
      </c>
      <c r="J337" s="58">
        <v>0</v>
      </c>
      <c r="K337" s="58">
        <v>0</v>
      </c>
      <c r="L337" s="58">
        <v>0</v>
      </c>
      <c r="M337" s="58">
        <v>0</v>
      </c>
      <c r="N337" s="316">
        <v>0</v>
      </c>
      <c r="O337" s="316">
        <v>0</v>
      </c>
      <c r="P337" s="316">
        <v>0</v>
      </c>
      <c r="Q337" s="316">
        <v>0</v>
      </c>
      <c r="R337" s="316">
        <f t="shared" si="5"/>
        <v>0</v>
      </c>
      <c r="S337" s="58">
        <v>0</v>
      </c>
    </row>
    <row r="338" spans="1:19" x14ac:dyDescent="0.35">
      <c r="A338" t="s">
        <v>343</v>
      </c>
      <c r="B338" s="58"/>
      <c r="C338" s="58"/>
      <c r="D338" s="58"/>
      <c r="E338" s="316">
        <v>0</v>
      </c>
      <c r="F338" s="58">
        <v>3000</v>
      </c>
      <c r="G338" s="58">
        <v>0</v>
      </c>
      <c r="H338" s="58">
        <v>3000</v>
      </c>
      <c r="I338" s="316">
        <v>1</v>
      </c>
      <c r="J338" s="58">
        <v>3000</v>
      </c>
      <c r="K338" s="58">
        <v>3000</v>
      </c>
      <c r="L338" s="58">
        <v>0</v>
      </c>
      <c r="M338" s="58">
        <v>6000</v>
      </c>
      <c r="N338" s="316">
        <v>2</v>
      </c>
      <c r="O338" s="316">
        <v>0</v>
      </c>
      <c r="P338" s="316">
        <v>6000</v>
      </c>
      <c r="Q338" s="316">
        <v>6000</v>
      </c>
      <c r="R338" s="316">
        <f t="shared" si="5"/>
        <v>2</v>
      </c>
      <c r="S338" s="58">
        <v>6240.8144849638074</v>
      </c>
    </row>
    <row r="339" spans="1:19" x14ac:dyDescent="0.35">
      <c r="A339" t="s">
        <v>344</v>
      </c>
      <c r="B339" s="58"/>
      <c r="C339" s="58"/>
      <c r="D339" s="58"/>
      <c r="E339" s="316">
        <v>0</v>
      </c>
      <c r="F339" s="58">
        <v>0</v>
      </c>
      <c r="G339" s="58">
        <v>0</v>
      </c>
      <c r="H339" s="58">
        <v>0</v>
      </c>
      <c r="I339" s="316">
        <v>0</v>
      </c>
      <c r="J339" s="58">
        <v>3000</v>
      </c>
      <c r="K339" s="58">
        <v>0</v>
      </c>
      <c r="L339" s="58">
        <v>0</v>
      </c>
      <c r="M339" s="58">
        <v>3000</v>
      </c>
      <c r="N339" s="316">
        <v>1</v>
      </c>
      <c r="O339" s="316">
        <v>6000</v>
      </c>
      <c r="P339" s="316">
        <v>0</v>
      </c>
      <c r="Q339" s="316">
        <v>6000</v>
      </c>
      <c r="R339" s="316">
        <f t="shared" si="5"/>
        <v>2</v>
      </c>
      <c r="S339" s="58">
        <v>6240.8144849638074</v>
      </c>
    </row>
    <row r="340" spans="1:19" x14ac:dyDescent="0.35">
      <c r="A340" t="s">
        <v>345</v>
      </c>
      <c r="B340" s="58"/>
      <c r="C340" s="58"/>
      <c r="D340" s="58"/>
      <c r="E340" s="316">
        <v>0</v>
      </c>
      <c r="F340" s="58">
        <v>3000</v>
      </c>
      <c r="G340" s="58">
        <v>0</v>
      </c>
      <c r="H340" s="58">
        <v>3000</v>
      </c>
      <c r="I340" s="316">
        <v>1</v>
      </c>
      <c r="J340" s="58">
        <v>3000</v>
      </c>
      <c r="K340" s="58">
        <v>2750</v>
      </c>
      <c r="L340" s="58">
        <v>0</v>
      </c>
      <c r="M340" s="58">
        <v>5750</v>
      </c>
      <c r="N340" s="316">
        <v>1.9166666666666667</v>
      </c>
      <c r="O340" s="316">
        <v>0</v>
      </c>
      <c r="P340" s="316">
        <v>6000</v>
      </c>
      <c r="Q340" s="316">
        <v>6000</v>
      </c>
      <c r="R340" s="316">
        <f t="shared" si="5"/>
        <v>2</v>
      </c>
      <c r="S340" s="58">
        <v>6240.8144849638074</v>
      </c>
    </row>
    <row r="341" spans="1:19" x14ac:dyDescent="0.35">
      <c r="A341" t="s">
        <v>346</v>
      </c>
      <c r="B341" s="58"/>
      <c r="C341" s="58"/>
      <c r="D341" s="58"/>
      <c r="E341" s="316">
        <v>0</v>
      </c>
      <c r="F341" s="58">
        <v>0</v>
      </c>
      <c r="G341" s="58">
        <v>0</v>
      </c>
      <c r="H341" s="58">
        <v>0</v>
      </c>
      <c r="I341" s="316">
        <v>0</v>
      </c>
      <c r="J341" s="58">
        <v>0</v>
      </c>
      <c r="K341" s="58">
        <v>0</v>
      </c>
      <c r="L341" s="58">
        <v>0</v>
      </c>
      <c r="M341" s="58">
        <v>0</v>
      </c>
      <c r="N341" s="316">
        <v>0</v>
      </c>
      <c r="O341" s="316">
        <v>12000</v>
      </c>
      <c r="P341" s="316">
        <v>0</v>
      </c>
      <c r="Q341" s="316">
        <v>12000</v>
      </c>
      <c r="R341" s="316">
        <f t="shared" si="5"/>
        <v>4</v>
      </c>
      <c r="S341" s="58">
        <v>12481.628969927615</v>
      </c>
    </row>
    <row r="342" spans="1:19" x14ac:dyDescent="0.35">
      <c r="A342" t="s">
        <v>347</v>
      </c>
      <c r="B342" s="58"/>
      <c r="C342" s="58"/>
      <c r="D342" s="58"/>
      <c r="E342" s="316">
        <v>0</v>
      </c>
      <c r="F342" s="58">
        <v>6000</v>
      </c>
      <c r="G342" s="58">
        <v>0</v>
      </c>
      <c r="H342" s="58">
        <v>6000</v>
      </c>
      <c r="I342" s="316">
        <v>2</v>
      </c>
      <c r="J342" s="58">
        <v>0</v>
      </c>
      <c r="K342" s="58">
        <v>6000</v>
      </c>
      <c r="L342" s="58">
        <v>0</v>
      </c>
      <c r="M342" s="58">
        <v>6000</v>
      </c>
      <c r="N342" s="316">
        <v>2</v>
      </c>
      <c r="O342" s="316">
        <v>12000</v>
      </c>
      <c r="P342" s="316">
        <v>6000</v>
      </c>
      <c r="Q342" s="316">
        <v>18000</v>
      </c>
      <c r="R342" s="316">
        <f t="shared" si="5"/>
        <v>6</v>
      </c>
      <c r="S342" s="58">
        <v>18722.443454891421</v>
      </c>
    </row>
    <row r="343" spans="1:19" x14ac:dyDescent="0.35">
      <c r="A343" t="s">
        <v>348</v>
      </c>
      <c r="B343" s="58"/>
      <c r="C343" s="58"/>
      <c r="D343" s="58"/>
      <c r="E343" s="316">
        <v>0</v>
      </c>
      <c r="F343" s="58">
        <v>9000</v>
      </c>
      <c r="G343" s="58">
        <v>0</v>
      </c>
      <c r="H343" s="58">
        <v>9000</v>
      </c>
      <c r="I343" s="316">
        <v>3</v>
      </c>
      <c r="J343" s="58">
        <v>15000</v>
      </c>
      <c r="K343" s="58">
        <v>7500</v>
      </c>
      <c r="L343" s="58">
        <v>0</v>
      </c>
      <c r="M343" s="58">
        <v>22500</v>
      </c>
      <c r="N343" s="316">
        <v>7.5</v>
      </c>
      <c r="O343" s="316">
        <v>3000</v>
      </c>
      <c r="P343" s="316">
        <v>21750</v>
      </c>
      <c r="Q343" s="316">
        <v>24750</v>
      </c>
      <c r="R343" s="316">
        <f t="shared" si="5"/>
        <v>8.25</v>
      </c>
      <c r="S343" s="58">
        <v>25743.359750475705</v>
      </c>
    </row>
    <row r="344" spans="1:19" x14ac:dyDescent="0.35">
      <c r="A344" t="s">
        <v>349</v>
      </c>
      <c r="B344" s="58"/>
      <c r="C344" s="58"/>
      <c r="D344" s="58"/>
      <c r="E344" s="316">
        <v>0</v>
      </c>
      <c r="F344" s="58">
        <v>6000</v>
      </c>
      <c r="G344" s="58">
        <v>0</v>
      </c>
      <c r="H344" s="58">
        <v>6000</v>
      </c>
      <c r="I344" s="316">
        <v>2</v>
      </c>
      <c r="J344" s="58">
        <v>3000</v>
      </c>
      <c r="K344" s="58">
        <v>3750</v>
      </c>
      <c r="L344" s="58">
        <v>0</v>
      </c>
      <c r="M344" s="58">
        <v>6750</v>
      </c>
      <c r="N344" s="316">
        <v>2.25</v>
      </c>
      <c r="O344" s="316">
        <v>21000</v>
      </c>
      <c r="P344" s="316">
        <v>9000</v>
      </c>
      <c r="Q344" s="316">
        <v>30000</v>
      </c>
      <c r="R344" s="316">
        <f t="shared" si="5"/>
        <v>10</v>
      </c>
      <c r="S344" s="58">
        <v>31204.072424819034</v>
      </c>
    </row>
    <row r="345" spans="1:19" x14ac:dyDescent="0.35">
      <c r="A345" t="s">
        <v>350</v>
      </c>
      <c r="B345" s="58"/>
      <c r="C345" s="58"/>
      <c r="D345" s="58"/>
      <c r="E345" s="316">
        <v>0</v>
      </c>
      <c r="F345" s="58">
        <v>0</v>
      </c>
      <c r="G345" s="58">
        <v>0</v>
      </c>
      <c r="H345" s="58">
        <v>0</v>
      </c>
      <c r="I345" s="316">
        <v>0</v>
      </c>
      <c r="J345" s="58">
        <v>6000</v>
      </c>
      <c r="K345" s="58">
        <v>0</v>
      </c>
      <c r="L345" s="58">
        <v>0</v>
      </c>
      <c r="M345" s="58">
        <v>6000</v>
      </c>
      <c r="N345" s="316">
        <v>2</v>
      </c>
      <c r="O345" s="316">
        <v>0</v>
      </c>
      <c r="P345" s="316">
        <v>5500</v>
      </c>
      <c r="Q345" s="316">
        <v>5500</v>
      </c>
      <c r="R345" s="316">
        <f t="shared" si="5"/>
        <v>1.8333333333333333</v>
      </c>
      <c r="S345" s="58">
        <v>5720.7466112168231</v>
      </c>
    </row>
    <row r="346" spans="1:19" x14ac:dyDescent="0.35">
      <c r="A346" t="s">
        <v>351</v>
      </c>
      <c r="B346" s="58"/>
      <c r="C346" s="58"/>
      <c r="D346" s="58"/>
      <c r="E346" s="316">
        <v>0</v>
      </c>
      <c r="F346" s="58">
        <v>0</v>
      </c>
      <c r="G346" s="58">
        <v>0</v>
      </c>
      <c r="H346" s="58">
        <v>0</v>
      </c>
      <c r="I346" s="316">
        <v>0</v>
      </c>
      <c r="J346" s="58">
        <v>6000</v>
      </c>
      <c r="K346" s="58">
        <v>0</v>
      </c>
      <c r="L346" s="58">
        <v>0</v>
      </c>
      <c r="M346" s="58">
        <v>6000</v>
      </c>
      <c r="N346" s="316">
        <v>2</v>
      </c>
      <c r="O346" s="316">
        <v>0</v>
      </c>
      <c r="P346" s="316">
        <v>6000</v>
      </c>
      <c r="Q346" s="316">
        <v>6000</v>
      </c>
      <c r="R346" s="316">
        <f t="shared" si="5"/>
        <v>2</v>
      </c>
      <c r="S346" s="58">
        <v>6240.8144849638074</v>
      </c>
    </row>
    <row r="347" spans="1:19" x14ac:dyDescent="0.35">
      <c r="A347" t="s">
        <v>352</v>
      </c>
      <c r="B347" s="58"/>
      <c r="C347" s="58"/>
      <c r="D347" s="58"/>
      <c r="E347" s="316">
        <v>0</v>
      </c>
      <c r="F347" s="58">
        <v>6000</v>
      </c>
      <c r="G347" s="58">
        <v>0</v>
      </c>
      <c r="H347" s="58">
        <v>6000</v>
      </c>
      <c r="I347" s="316">
        <v>2</v>
      </c>
      <c r="J347" s="58">
        <v>27000</v>
      </c>
      <c r="K347" s="58">
        <v>3750</v>
      </c>
      <c r="L347" s="58">
        <v>0</v>
      </c>
      <c r="M347" s="58">
        <v>30750</v>
      </c>
      <c r="N347" s="316">
        <v>10.25</v>
      </c>
      <c r="O347" s="316">
        <v>15000</v>
      </c>
      <c r="P347" s="316">
        <v>22250</v>
      </c>
      <c r="Q347" s="316">
        <v>37250</v>
      </c>
      <c r="R347" s="316">
        <f t="shared" si="5"/>
        <v>12.416666666666666</v>
      </c>
      <c r="S347" s="58">
        <v>38745.056594150308</v>
      </c>
    </row>
    <row r="348" spans="1:19" x14ac:dyDescent="0.35">
      <c r="A348" t="s">
        <v>353</v>
      </c>
      <c r="B348" s="58">
        <v>3000</v>
      </c>
      <c r="C348" s="58">
        <v>3000</v>
      </c>
      <c r="D348" s="58">
        <v>6000</v>
      </c>
      <c r="E348" s="316">
        <v>2</v>
      </c>
      <c r="F348" s="58">
        <v>3000</v>
      </c>
      <c r="G348" s="58">
        <v>3000</v>
      </c>
      <c r="H348" s="58">
        <v>6000</v>
      </c>
      <c r="I348" s="316">
        <v>2</v>
      </c>
      <c r="J348" s="58">
        <v>6000</v>
      </c>
      <c r="K348" s="58">
        <v>6000</v>
      </c>
      <c r="L348" s="58">
        <v>0</v>
      </c>
      <c r="M348" s="58">
        <v>12000</v>
      </c>
      <c r="N348" s="316">
        <v>4</v>
      </c>
      <c r="O348" s="316">
        <v>6000</v>
      </c>
      <c r="P348" s="316">
        <v>9000</v>
      </c>
      <c r="Q348" s="316">
        <v>15000</v>
      </c>
      <c r="R348" s="316">
        <f t="shared" si="5"/>
        <v>5</v>
      </c>
      <c r="S348" s="58">
        <v>15602.036212409517</v>
      </c>
    </row>
    <row r="349" spans="1:19" x14ac:dyDescent="0.35">
      <c r="A349" t="s">
        <v>354</v>
      </c>
      <c r="B349" s="58"/>
      <c r="C349" s="58"/>
      <c r="D349" s="58"/>
      <c r="E349" s="316">
        <v>0</v>
      </c>
      <c r="F349" s="58">
        <v>3000</v>
      </c>
      <c r="G349" s="58">
        <v>0</v>
      </c>
      <c r="H349" s="58">
        <v>3000</v>
      </c>
      <c r="I349" s="316">
        <v>1</v>
      </c>
      <c r="J349" s="58">
        <v>0</v>
      </c>
      <c r="K349" s="58">
        <v>3000</v>
      </c>
      <c r="L349" s="58">
        <v>0</v>
      </c>
      <c r="M349" s="58">
        <v>3000</v>
      </c>
      <c r="N349" s="316">
        <v>1</v>
      </c>
      <c r="O349" s="316">
        <v>0</v>
      </c>
      <c r="P349" s="316">
        <v>3000</v>
      </c>
      <c r="Q349" s="316">
        <v>3000</v>
      </c>
      <c r="R349" s="316">
        <f t="shared" si="5"/>
        <v>1</v>
      </c>
      <c r="S349" s="58">
        <v>3120.4072424819037</v>
      </c>
    </row>
    <row r="350" spans="1:19" x14ac:dyDescent="0.35">
      <c r="A350" t="s">
        <v>355</v>
      </c>
      <c r="B350" s="58"/>
      <c r="C350" s="58"/>
      <c r="D350" s="58"/>
      <c r="E350" s="316">
        <v>0</v>
      </c>
      <c r="F350" s="58">
        <v>3000</v>
      </c>
      <c r="G350" s="58">
        <v>0</v>
      </c>
      <c r="H350" s="58">
        <v>3000</v>
      </c>
      <c r="I350" s="316">
        <v>1</v>
      </c>
      <c r="J350" s="58">
        <v>0</v>
      </c>
      <c r="K350" s="58">
        <v>3000</v>
      </c>
      <c r="L350" s="58">
        <v>0</v>
      </c>
      <c r="M350" s="58">
        <v>3000</v>
      </c>
      <c r="N350" s="316">
        <v>1</v>
      </c>
      <c r="O350" s="316">
        <v>0</v>
      </c>
      <c r="P350" s="316">
        <v>3000</v>
      </c>
      <c r="Q350" s="316">
        <v>3000</v>
      </c>
      <c r="R350" s="316">
        <f t="shared" si="5"/>
        <v>1</v>
      </c>
      <c r="S350" s="58">
        <v>3120.4072424819037</v>
      </c>
    </row>
    <row r="351" spans="1:19" x14ac:dyDescent="0.35">
      <c r="A351" t="s">
        <v>356</v>
      </c>
      <c r="B351" s="58"/>
      <c r="C351" s="58"/>
      <c r="D351" s="58"/>
      <c r="E351" s="316">
        <v>0</v>
      </c>
      <c r="F351" s="58">
        <v>12000</v>
      </c>
      <c r="G351" s="58">
        <v>0</v>
      </c>
      <c r="H351" s="58">
        <v>12000</v>
      </c>
      <c r="I351" s="316">
        <v>4</v>
      </c>
      <c r="J351" s="58">
        <v>9000</v>
      </c>
      <c r="K351" s="58">
        <v>11750</v>
      </c>
      <c r="L351" s="58">
        <v>0</v>
      </c>
      <c r="M351" s="58">
        <v>20750</v>
      </c>
      <c r="N351" s="316">
        <v>6.916666666666667</v>
      </c>
      <c r="O351" s="316">
        <v>24000</v>
      </c>
      <c r="P351" s="316">
        <v>18000</v>
      </c>
      <c r="Q351" s="316">
        <v>42000</v>
      </c>
      <c r="R351" s="316">
        <f t="shared" si="5"/>
        <v>14</v>
      </c>
      <c r="S351" s="58">
        <v>43685.701394746655</v>
      </c>
    </row>
    <row r="352" spans="1:19" x14ac:dyDescent="0.35">
      <c r="A352" t="s">
        <v>357</v>
      </c>
      <c r="B352" s="58"/>
      <c r="C352" s="58"/>
      <c r="D352" s="58"/>
      <c r="E352" s="316">
        <v>0</v>
      </c>
      <c r="F352" s="58">
        <v>0</v>
      </c>
      <c r="G352" s="58">
        <v>0</v>
      </c>
      <c r="H352" s="58">
        <v>0</v>
      </c>
      <c r="I352" s="316">
        <v>0</v>
      </c>
      <c r="J352" s="58">
        <v>0</v>
      </c>
      <c r="K352" s="58">
        <v>0</v>
      </c>
      <c r="L352" s="58">
        <v>0</v>
      </c>
      <c r="M352" s="58">
        <v>0</v>
      </c>
      <c r="N352" s="316">
        <v>0</v>
      </c>
      <c r="O352" s="316">
        <v>0</v>
      </c>
      <c r="P352" s="316">
        <v>0</v>
      </c>
      <c r="Q352" s="316">
        <v>0</v>
      </c>
      <c r="R352" s="316">
        <f t="shared" si="5"/>
        <v>0</v>
      </c>
      <c r="S352" s="58">
        <v>0</v>
      </c>
    </row>
    <row r="353" spans="1:19" x14ac:dyDescent="0.35">
      <c r="A353" t="s">
        <v>358</v>
      </c>
      <c r="B353" s="58">
        <v>18000</v>
      </c>
      <c r="C353" s="58">
        <v>4250</v>
      </c>
      <c r="D353" s="58">
        <v>22250</v>
      </c>
      <c r="E353" s="316">
        <v>7.416666666666667</v>
      </c>
      <c r="F353" s="58">
        <v>30000</v>
      </c>
      <c r="G353" s="58">
        <v>14500</v>
      </c>
      <c r="H353" s="58">
        <v>44500</v>
      </c>
      <c r="I353" s="316">
        <v>14.833333333333334</v>
      </c>
      <c r="J353" s="58">
        <v>39000</v>
      </c>
      <c r="K353" s="58">
        <v>45000</v>
      </c>
      <c r="L353" s="58">
        <v>0</v>
      </c>
      <c r="M353" s="58">
        <v>84000</v>
      </c>
      <c r="N353" s="316">
        <v>28</v>
      </c>
      <c r="O353" s="316">
        <v>60000</v>
      </c>
      <c r="P353" s="316">
        <v>73500</v>
      </c>
      <c r="Q353" s="316">
        <v>133500</v>
      </c>
      <c r="R353" s="316">
        <f t="shared" si="5"/>
        <v>44.5</v>
      </c>
      <c r="S353" s="58">
        <v>138858.12229044471</v>
      </c>
    </row>
    <row r="354" spans="1:19" x14ac:dyDescent="0.35">
      <c r="A354" t="s">
        <v>359</v>
      </c>
      <c r="B354" s="58"/>
      <c r="C354" s="58"/>
      <c r="D354" s="58"/>
      <c r="E354" s="316">
        <v>0</v>
      </c>
      <c r="F354" s="58">
        <v>3000</v>
      </c>
      <c r="G354" s="58">
        <v>0</v>
      </c>
      <c r="H354" s="58">
        <v>3000</v>
      </c>
      <c r="I354" s="316">
        <v>1</v>
      </c>
      <c r="J354" s="58">
        <v>3000</v>
      </c>
      <c r="K354" s="58">
        <v>3000</v>
      </c>
      <c r="L354" s="58">
        <v>0</v>
      </c>
      <c r="M354" s="58">
        <v>6000</v>
      </c>
      <c r="N354" s="316">
        <v>2</v>
      </c>
      <c r="O354" s="316">
        <v>0</v>
      </c>
      <c r="P354" s="316">
        <v>5750</v>
      </c>
      <c r="Q354" s="316">
        <v>5750</v>
      </c>
      <c r="R354" s="316">
        <f t="shared" si="5"/>
        <v>1.9166666666666667</v>
      </c>
      <c r="S354" s="58">
        <v>5980.7805480903153</v>
      </c>
    </row>
    <row r="355" spans="1:19" x14ac:dyDescent="0.35">
      <c r="A355" t="s">
        <v>360</v>
      </c>
      <c r="B355" s="58"/>
      <c r="C355" s="58"/>
      <c r="D355" s="58"/>
      <c r="E355" s="316">
        <v>0</v>
      </c>
      <c r="F355" s="58">
        <v>12000</v>
      </c>
      <c r="G355" s="58">
        <v>0</v>
      </c>
      <c r="H355" s="58">
        <v>12000</v>
      </c>
      <c r="I355" s="316">
        <v>4</v>
      </c>
      <c r="J355" s="58">
        <v>9000</v>
      </c>
      <c r="K355" s="58">
        <v>10500</v>
      </c>
      <c r="L355" s="58">
        <v>0</v>
      </c>
      <c r="M355" s="58">
        <v>19500</v>
      </c>
      <c r="N355" s="316">
        <v>6.5</v>
      </c>
      <c r="O355" s="316">
        <v>9000</v>
      </c>
      <c r="P355" s="316">
        <v>20500</v>
      </c>
      <c r="Q355" s="316">
        <v>29500</v>
      </c>
      <c r="R355" s="316">
        <f t="shared" si="5"/>
        <v>9.8333333333333339</v>
      </c>
      <c r="S355" s="58">
        <v>30684.004551072056</v>
      </c>
    </row>
    <row r="356" spans="1:19" x14ac:dyDescent="0.35">
      <c r="A356" t="s">
        <v>361</v>
      </c>
      <c r="B356" s="58"/>
      <c r="C356" s="58"/>
      <c r="D356" s="58"/>
      <c r="E356" s="316">
        <v>0</v>
      </c>
      <c r="F356" s="58">
        <v>9000</v>
      </c>
      <c r="G356" s="58">
        <v>0</v>
      </c>
      <c r="H356" s="58">
        <v>9000</v>
      </c>
      <c r="I356" s="316">
        <v>3</v>
      </c>
      <c r="J356" s="58">
        <v>6000</v>
      </c>
      <c r="K356" s="58">
        <v>9000</v>
      </c>
      <c r="L356" s="58">
        <v>0</v>
      </c>
      <c r="M356" s="58">
        <v>15000</v>
      </c>
      <c r="N356" s="316">
        <v>5</v>
      </c>
      <c r="O356" s="316">
        <v>6000</v>
      </c>
      <c r="P356" s="316">
        <v>11000</v>
      </c>
      <c r="Q356" s="316">
        <v>17000</v>
      </c>
      <c r="R356" s="316">
        <f t="shared" si="5"/>
        <v>5.666666666666667</v>
      </c>
      <c r="S356" s="58">
        <v>17682.307707397453</v>
      </c>
    </row>
    <row r="357" spans="1:19" x14ac:dyDescent="0.35">
      <c r="A357" t="s">
        <v>362</v>
      </c>
      <c r="B357" s="58"/>
      <c r="C357" s="58"/>
      <c r="D357" s="58"/>
      <c r="E357" s="316">
        <v>0</v>
      </c>
      <c r="F357" s="58">
        <v>3000</v>
      </c>
      <c r="G357" s="58">
        <v>0</v>
      </c>
      <c r="H357" s="58">
        <v>3000</v>
      </c>
      <c r="I357" s="316">
        <v>1</v>
      </c>
      <c r="J357" s="58">
        <v>12000</v>
      </c>
      <c r="K357" s="58">
        <v>6000</v>
      </c>
      <c r="L357" s="58">
        <v>6000</v>
      </c>
      <c r="M357" s="58">
        <v>24000</v>
      </c>
      <c r="N357" s="316">
        <v>8</v>
      </c>
      <c r="O357" s="316">
        <v>6000</v>
      </c>
      <c r="P357" s="316">
        <v>16750</v>
      </c>
      <c r="Q357" s="316">
        <v>22750</v>
      </c>
      <c r="R357" s="316">
        <f t="shared" si="5"/>
        <v>7.583333333333333</v>
      </c>
      <c r="S357" s="58">
        <v>23663.088255487772</v>
      </c>
    </row>
    <row r="358" spans="1:19" x14ac:dyDescent="0.35">
      <c r="A358" t="s">
        <v>363</v>
      </c>
      <c r="B358" s="58"/>
      <c r="C358" s="58"/>
      <c r="D358" s="58"/>
      <c r="E358" s="316">
        <v>0</v>
      </c>
      <c r="F358" s="58">
        <v>0</v>
      </c>
      <c r="G358" s="58">
        <v>0</v>
      </c>
      <c r="H358" s="58">
        <v>0</v>
      </c>
      <c r="I358" s="316">
        <v>0</v>
      </c>
      <c r="J358" s="58">
        <v>3000</v>
      </c>
      <c r="K358" s="58">
        <v>0</v>
      </c>
      <c r="L358" s="58">
        <v>0</v>
      </c>
      <c r="M358" s="58">
        <v>3000</v>
      </c>
      <c r="N358" s="316">
        <v>1</v>
      </c>
      <c r="O358" s="316">
        <v>6000</v>
      </c>
      <c r="P358" s="316">
        <v>3000</v>
      </c>
      <c r="Q358" s="316">
        <v>9000</v>
      </c>
      <c r="R358" s="316">
        <f t="shared" si="5"/>
        <v>3</v>
      </c>
      <c r="S358" s="58">
        <v>9361.2217274457107</v>
      </c>
    </row>
    <row r="359" spans="1:19" x14ac:dyDescent="0.35">
      <c r="A359" t="s">
        <v>364</v>
      </c>
      <c r="B359" s="58"/>
      <c r="C359" s="58"/>
      <c r="D359" s="58"/>
      <c r="E359" s="316">
        <v>0</v>
      </c>
      <c r="F359" s="58">
        <v>3000</v>
      </c>
      <c r="G359" s="58">
        <v>0</v>
      </c>
      <c r="H359" s="58">
        <v>3000</v>
      </c>
      <c r="I359" s="316">
        <v>1</v>
      </c>
      <c r="J359" s="58">
        <v>12000</v>
      </c>
      <c r="K359" s="58">
        <v>2750</v>
      </c>
      <c r="L359" s="58">
        <v>0</v>
      </c>
      <c r="M359" s="58">
        <v>14750</v>
      </c>
      <c r="N359" s="316">
        <v>4.916666666666667</v>
      </c>
      <c r="O359" s="316">
        <v>6000</v>
      </c>
      <c r="P359" s="316">
        <v>14000</v>
      </c>
      <c r="Q359" s="316">
        <v>20000</v>
      </c>
      <c r="R359" s="316">
        <f t="shared" si="5"/>
        <v>6.666666666666667</v>
      </c>
      <c r="S359" s="58">
        <v>20802.714949879359</v>
      </c>
    </row>
    <row r="360" spans="1:19" x14ac:dyDescent="0.35">
      <c r="A360" t="s">
        <v>365</v>
      </c>
      <c r="B360" s="58"/>
      <c r="C360" s="58"/>
      <c r="D360" s="58"/>
      <c r="E360" s="316">
        <v>0</v>
      </c>
      <c r="F360" s="58">
        <v>12000</v>
      </c>
      <c r="G360" s="58">
        <v>0</v>
      </c>
      <c r="H360" s="58">
        <v>12000</v>
      </c>
      <c r="I360" s="316">
        <v>4</v>
      </c>
      <c r="J360" s="58">
        <v>21000</v>
      </c>
      <c r="K360" s="58">
        <v>12000</v>
      </c>
      <c r="L360" s="58">
        <v>0</v>
      </c>
      <c r="M360" s="58">
        <v>33000</v>
      </c>
      <c r="N360" s="316">
        <v>11</v>
      </c>
      <c r="O360" s="316">
        <v>30000</v>
      </c>
      <c r="P360" s="316">
        <v>28500</v>
      </c>
      <c r="Q360" s="316">
        <v>58500</v>
      </c>
      <c r="R360" s="316">
        <f t="shared" si="5"/>
        <v>19.5</v>
      </c>
      <c r="S360" s="58">
        <v>60847.941228397125</v>
      </c>
    </row>
    <row r="361" spans="1:19" x14ac:dyDescent="0.35">
      <c r="A361" t="s">
        <v>379</v>
      </c>
      <c r="B361" s="58">
        <v>1011000</v>
      </c>
      <c r="C361" s="58">
        <v>145250</v>
      </c>
      <c r="D361" s="58">
        <v>1156250</v>
      </c>
      <c r="E361" s="316">
        <v>385.41666666666669</v>
      </c>
      <c r="F361" s="58">
        <v>3033000</v>
      </c>
      <c r="G361" s="58">
        <v>814250</v>
      </c>
      <c r="H361" s="58">
        <v>3847250</v>
      </c>
      <c r="I361" s="316">
        <v>1282.4166666666665</v>
      </c>
      <c r="J361" s="58">
        <v>4707000</v>
      </c>
      <c r="K361" s="58">
        <v>3469250</v>
      </c>
      <c r="L361" s="58">
        <v>152750</v>
      </c>
      <c r="M361" s="58">
        <v>8329000</v>
      </c>
      <c r="N361" s="316">
        <v>2776.333333333333</v>
      </c>
      <c r="O361" s="316"/>
      <c r="P361" s="316"/>
      <c r="Q361" s="316">
        <f>SUM(Q6:Q360)+Q368+Q372+Q379+Q383+Q387+Q391</f>
        <v>12744250</v>
      </c>
      <c r="R361" s="316"/>
      <c r="S361" s="316">
        <f>SUM(S6:S360)+S368+S372+S379+S383+S387+S391</f>
        <v>13255750.000000011</v>
      </c>
    </row>
    <row r="362" spans="1:19" x14ac:dyDescent="0.35">
      <c r="A362" t="s">
        <v>1209</v>
      </c>
      <c r="B362" s="58"/>
      <c r="C362" s="58"/>
      <c r="D362" s="58">
        <v>11000000</v>
      </c>
      <c r="F362" s="58"/>
      <c r="G362" s="58"/>
      <c r="H362" s="58">
        <v>16000000</v>
      </c>
      <c r="J362" s="58"/>
      <c r="K362" s="58"/>
      <c r="L362" s="58"/>
      <c r="M362" s="58">
        <v>21000000</v>
      </c>
      <c r="Q362" s="59">
        <f>74000000-M362-H362-D362</f>
        <v>26000000</v>
      </c>
    </row>
    <row r="363" spans="1:19" x14ac:dyDescent="0.35">
      <c r="A363" t="s">
        <v>1080</v>
      </c>
      <c r="B363" s="58"/>
      <c r="C363" s="58"/>
      <c r="D363" s="58">
        <v>9843750</v>
      </c>
      <c r="F363" s="58"/>
      <c r="G363" s="58"/>
      <c r="H363" s="58">
        <v>12152750</v>
      </c>
      <c r="J363" s="58"/>
      <c r="K363" s="58"/>
      <c r="L363" s="58"/>
      <c r="M363" s="58">
        <v>12671000</v>
      </c>
      <c r="Q363" s="412">
        <f>+Q362-Q361</f>
        <v>13255750</v>
      </c>
    </row>
    <row r="365" spans="1:19" x14ac:dyDescent="0.35">
      <c r="A365" t="s">
        <v>28</v>
      </c>
      <c r="B365" s="58"/>
      <c r="C365" s="58"/>
      <c r="D365" s="58"/>
      <c r="E365" s="316">
        <v>0</v>
      </c>
      <c r="F365" s="58">
        <v>6000</v>
      </c>
      <c r="G365" s="58">
        <v>0</v>
      </c>
      <c r="H365" s="58">
        <v>6000</v>
      </c>
      <c r="I365" s="316">
        <v>2</v>
      </c>
      <c r="J365" s="58">
        <v>15000</v>
      </c>
      <c r="K365" s="58">
        <v>6000</v>
      </c>
      <c r="L365" s="58">
        <v>0</v>
      </c>
      <c r="M365" s="58">
        <v>21000</v>
      </c>
      <c r="N365" s="316">
        <v>7</v>
      </c>
      <c r="O365" s="58">
        <v>6000</v>
      </c>
      <c r="P365" s="58">
        <v>15000</v>
      </c>
      <c r="Q365" s="58">
        <v>21000</v>
      </c>
      <c r="R365" s="316">
        <f>+Q365/3000</f>
        <v>7</v>
      </c>
      <c r="S365" s="58">
        <v>21842.850697373327</v>
      </c>
    </row>
    <row r="366" spans="1:19" x14ac:dyDescent="0.35">
      <c r="A366" t="s">
        <v>81</v>
      </c>
      <c r="B366" s="58"/>
      <c r="C366" s="58"/>
      <c r="D366" s="58"/>
      <c r="E366" s="316">
        <v>0</v>
      </c>
      <c r="F366" s="58">
        <v>3000</v>
      </c>
      <c r="G366" s="58">
        <v>0</v>
      </c>
      <c r="H366" s="58">
        <v>3000</v>
      </c>
      <c r="I366" s="316">
        <v>1</v>
      </c>
      <c r="J366" s="58">
        <v>27000</v>
      </c>
      <c r="K366" s="58">
        <v>3000</v>
      </c>
      <c r="L366" s="58">
        <v>0</v>
      </c>
      <c r="M366" s="58">
        <v>30000</v>
      </c>
      <c r="N366" s="316">
        <v>10</v>
      </c>
      <c r="O366" s="58">
        <v>24000</v>
      </c>
      <c r="P366" s="58">
        <v>28250</v>
      </c>
      <c r="Q366" s="58">
        <v>52250</v>
      </c>
      <c r="R366" s="316">
        <f>+Q366/3000</f>
        <v>17.416666666666668</v>
      </c>
      <c r="S366" s="58">
        <v>54347.092806559827</v>
      </c>
    </row>
    <row r="367" spans="1:19" x14ac:dyDescent="0.35">
      <c r="A367" t="s">
        <v>190</v>
      </c>
      <c r="B367" s="58"/>
      <c r="C367" s="58"/>
      <c r="D367" s="58"/>
      <c r="E367" s="316">
        <v>0</v>
      </c>
      <c r="F367" s="58">
        <v>3000</v>
      </c>
      <c r="G367" s="58">
        <v>0</v>
      </c>
      <c r="H367" s="58">
        <v>3000</v>
      </c>
      <c r="I367" s="316">
        <v>1</v>
      </c>
      <c r="J367" s="58">
        <v>15000</v>
      </c>
      <c r="K367" s="58">
        <v>3000</v>
      </c>
      <c r="L367" s="58">
        <v>0</v>
      </c>
      <c r="M367" s="58">
        <v>18000</v>
      </c>
      <c r="N367" s="316">
        <v>6</v>
      </c>
      <c r="O367" s="58">
        <v>3000</v>
      </c>
      <c r="P367" s="58">
        <v>14000</v>
      </c>
      <c r="Q367" s="58">
        <v>17000</v>
      </c>
      <c r="R367" s="316">
        <f>+Q367/3000</f>
        <v>5.666666666666667</v>
      </c>
      <c r="S367" s="58">
        <v>17682.307707397453</v>
      </c>
    </row>
    <row r="368" spans="1:19" x14ac:dyDescent="0.35">
      <c r="A368" t="s">
        <v>1285</v>
      </c>
      <c r="B368" s="58">
        <f>SUM(B365:B367)</f>
        <v>0</v>
      </c>
      <c r="C368" s="58">
        <f t="shared" ref="C368:S368" si="6">SUM(C365:C367)</f>
        <v>0</v>
      </c>
      <c r="D368" s="58">
        <f t="shared" si="6"/>
        <v>0</v>
      </c>
      <c r="E368" s="58">
        <f t="shared" si="6"/>
        <v>0</v>
      </c>
      <c r="F368" s="58">
        <f t="shared" si="6"/>
        <v>12000</v>
      </c>
      <c r="G368" s="58">
        <f t="shared" si="6"/>
        <v>0</v>
      </c>
      <c r="H368" s="58">
        <f t="shared" si="6"/>
        <v>12000</v>
      </c>
      <c r="I368" s="58">
        <f t="shared" si="6"/>
        <v>4</v>
      </c>
      <c r="J368" s="58">
        <f t="shared" si="6"/>
        <v>57000</v>
      </c>
      <c r="K368" s="58">
        <f t="shared" si="6"/>
        <v>12000</v>
      </c>
      <c r="L368" s="58">
        <f t="shared" si="6"/>
        <v>0</v>
      </c>
      <c r="M368" s="58">
        <f t="shared" si="6"/>
        <v>69000</v>
      </c>
      <c r="N368" s="58">
        <f t="shared" si="6"/>
        <v>23</v>
      </c>
      <c r="O368" s="58">
        <f t="shared" si="6"/>
        <v>33000</v>
      </c>
      <c r="P368" s="58">
        <f t="shared" si="6"/>
        <v>57250</v>
      </c>
      <c r="Q368" s="58">
        <f t="shared" si="6"/>
        <v>90250</v>
      </c>
      <c r="R368" s="58">
        <f t="shared" si="6"/>
        <v>30.083333333333336</v>
      </c>
      <c r="S368" s="58">
        <f t="shared" si="6"/>
        <v>93872.251211330615</v>
      </c>
    </row>
    <row r="370" spans="1:19" x14ac:dyDescent="0.35">
      <c r="A370" t="s">
        <v>172</v>
      </c>
      <c r="B370" s="58"/>
      <c r="C370" s="58"/>
      <c r="D370" s="58"/>
      <c r="E370" s="316">
        <v>0</v>
      </c>
      <c r="F370" s="58">
        <v>0</v>
      </c>
      <c r="G370" s="58">
        <v>0</v>
      </c>
      <c r="H370" s="58">
        <v>0</v>
      </c>
      <c r="I370" s="316">
        <v>0</v>
      </c>
      <c r="J370" s="58">
        <v>3000</v>
      </c>
      <c r="K370" s="58">
        <v>0</v>
      </c>
      <c r="L370" s="58">
        <v>0</v>
      </c>
      <c r="M370" s="58">
        <v>3000</v>
      </c>
      <c r="N370" s="316">
        <v>1</v>
      </c>
      <c r="O370" s="58">
        <v>3000</v>
      </c>
      <c r="P370" s="58">
        <v>3000</v>
      </c>
      <c r="Q370" s="58">
        <v>6000</v>
      </c>
      <c r="R370" s="316">
        <f>+Q370/3000</f>
        <v>2</v>
      </c>
      <c r="S370" s="58">
        <v>6240.8144849638074</v>
      </c>
    </row>
    <row r="371" spans="1:19" x14ac:dyDescent="0.35">
      <c r="A371" t="s">
        <v>301</v>
      </c>
      <c r="B371" s="58"/>
      <c r="C371" s="58"/>
      <c r="D371" s="58"/>
      <c r="E371" s="316">
        <v>0</v>
      </c>
      <c r="F371" s="58">
        <v>3000</v>
      </c>
      <c r="G371" s="58">
        <v>0</v>
      </c>
      <c r="H371" s="58">
        <v>3000</v>
      </c>
      <c r="I371" s="316">
        <v>1</v>
      </c>
      <c r="J371" s="58">
        <v>15000</v>
      </c>
      <c r="K371" s="58">
        <v>3000</v>
      </c>
      <c r="L371" s="58">
        <v>0</v>
      </c>
      <c r="M371" s="58">
        <v>18000</v>
      </c>
      <c r="N371" s="316">
        <v>6</v>
      </c>
      <c r="O371" s="58">
        <v>15000</v>
      </c>
      <c r="P371" s="58">
        <v>13500</v>
      </c>
      <c r="Q371" s="58">
        <v>28500</v>
      </c>
      <c r="R371" s="316">
        <f>+Q371/3000</f>
        <v>9.5</v>
      </c>
      <c r="S371" s="58">
        <v>29643.868803578083</v>
      </c>
    </row>
    <row r="372" spans="1:19" x14ac:dyDescent="0.35">
      <c r="A372" t="s">
        <v>1301</v>
      </c>
      <c r="B372" s="58">
        <f>SUM(B370:B371)</f>
        <v>0</v>
      </c>
      <c r="C372" s="58">
        <f t="shared" ref="C372:S372" si="7">SUM(C370:C371)</f>
        <v>0</v>
      </c>
      <c r="D372" s="58">
        <f t="shared" si="7"/>
        <v>0</v>
      </c>
      <c r="E372" s="58">
        <f t="shared" si="7"/>
        <v>0</v>
      </c>
      <c r="F372" s="58">
        <f t="shared" si="7"/>
        <v>3000</v>
      </c>
      <c r="G372" s="58">
        <f t="shared" si="7"/>
        <v>0</v>
      </c>
      <c r="H372" s="58">
        <f t="shared" si="7"/>
        <v>3000</v>
      </c>
      <c r="I372" s="58">
        <f t="shared" si="7"/>
        <v>1</v>
      </c>
      <c r="J372" s="58">
        <f t="shared" si="7"/>
        <v>18000</v>
      </c>
      <c r="K372" s="58">
        <f t="shared" si="7"/>
        <v>3000</v>
      </c>
      <c r="L372" s="58">
        <f t="shared" si="7"/>
        <v>0</v>
      </c>
      <c r="M372" s="58">
        <f t="shared" si="7"/>
        <v>21000</v>
      </c>
      <c r="N372" s="58">
        <f t="shared" si="7"/>
        <v>7</v>
      </c>
      <c r="O372" s="58">
        <f t="shared" si="7"/>
        <v>18000</v>
      </c>
      <c r="P372" s="58">
        <f t="shared" si="7"/>
        <v>16500</v>
      </c>
      <c r="Q372" s="58">
        <f t="shared" si="7"/>
        <v>34500</v>
      </c>
      <c r="R372" s="58">
        <f t="shared" si="7"/>
        <v>11.5</v>
      </c>
      <c r="S372" s="58">
        <f t="shared" si="7"/>
        <v>35884.683288541892</v>
      </c>
    </row>
    <row r="374" spans="1:19" x14ac:dyDescent="0.35">
      <c r="A374" t="s">
        <v>58</v>
      </c>
      <c r="B374" s="58"/>
      <c r="C374" s="58"/>
      <c r="D374" s="58"/>
      <c r="E374" s="316">
        <v>0</v>
      </c>
      <c r="F374" s="58">
        <v>9000</v>
      </c>
      <c r="G374" s="58">
        <v>0</v>
      </c>
      <c r="H374" s="58">
        <v>9000</v>
      </c>
      <c r="I374" s="316">
        <v>3</v>
      </c>
      <c r="J374" s="58">
        <v>0</v>
      </c>
      <c r="K374" s="58">
        <v>12000</v>
      </c>
      <c r="L374" s="58">
        <v>3000</v>
      </c>
      <c r="M374" s="58">
        <v>15000</v>
      </c>
      <c r="N374" s="316">
        <v>5</v>
      </c>
      <c r="O374" s="58">
        <v>15000</v>
      </c>
      <c r="P374" s="58">
        <v>9250</v>
      </c>
      <c r="Q374" s="58">
        <v>24250</v>
      </c>
      <c r="R374" s="316">
        <f>+Q374/3000</f>
        <v>8.0833333333333339</v>
      </c>
      <c r="S374" s="58">
        <v>25223.291876728723</v>
      </c>
    </row>
    <row r="375" spans="1:19" x14ac:dyDescent="0.35">
      <c r="A375" t="s">
        <v>72</v>
      </c>
      <c r="B375" s="58"/>
      <c r="C375" s="58"/>
      <c r="D375" s="58"/>
      <c r="E375" s="316">
        <v>0</v>
      </c>
      <c r="F375" s="58">
        <v>9000</v>
      </c>
      <c r="G375" s="58">
        <v>0</v>
      </c>
      <c r="H375" s="58">
        <v>9000</v>
      </c>
      <c r="I375" s="316">
        <v>3</v>
      </c>
      <c r="J375" s="58">
        <v>3000</v>
      </c>
      <c r="K375" s="58">
        <v>9000</v>
      </c>
      <c r="L375" s="58">
        <v>0</v>
      </c>
      <c r="M375" s="58">
        <v>12000</v>
      </c>
      <c r="N375" s="316">
        <v>4</v>
      </c>
      <c r="O375" s="58">
        <v>3000</v>
      </c>
      <c r="P375" s="58">
        <v>12000</v>
      </c>
      <c r="Q375" s="58">
        <v>15000</v>
      </c>
      <c r="R375" s="316">
        <f>+Q375/3000</f>
        <v>5</v>
      </c>
      <c r="S375" s="58">
        <v>15602.036212409517</v>
      </c>
    </row>
    <row r="376" spans="1:19" x14ac:dyDescent="0.35">
      <c r="A376" t="s">
        <v>121</v>
      </c>
      <c r="B376" s="58"/>
      <c r="C376" s="58"/>
      <c r="D376" s="58"/>
      <c r="E376" s="316">
        <v>0</v>
      </c>
      <c r="F376" s="58">
        <v>0</v>
      </c>
      <c r="G376" s="58">
        <v>0</v>
      </c>
      <c r="H376" s="58">
        <v>0</v>
      </c>
      <c r="I376" s="316">
        <v>0</v>
      </c>
      <c r="J376" s="58">
        <v>3000</v>
      </c>
      <c r="K376" s="58">
        <v>0</v>
      </c>
      <c r="L376" s="58">
        <v>0</v>
      </c>
      <c r="M376" s="58">
        <v>3000</v>
      </c>
      <c r="N376" s="316">
        <v>1</v>
      </c>
      <c r="O376" s="58">
        <v>0</v>
      </c>
      <c r="P376" s="58">
        <v>3000</v>
      </c>
      <c r="Q376" s="58">
        <v>3000</v>
      </c>
      <c r="R376" s="316">
        <f>+Q376/3000</f>
        <v>1</v>
      </c>
      <c r="S376" s="58">
        <v>3120.4072424819037</v>
      </c>
    </row>
    <row r="377" spans="1:19" x14ac:dyDescent="0.35">
      <c r="A377" t="s">
        <v>204</v>
      </c>
      <c r="B377" s="58">
        <v>3000</v>
      </c>
      <c r="C377" s="58">
        <v>0</v>
      </c>
      <c r="D377" s="58">
        <v>3000</v>
      </c>
      <c r="E377" s="316">
        <v>1</v>
      </c>
      <c r="F377" s="58">
        <v>3000</v>
      </c>
      <c r="G377" s="58">
        <v>3000</v>
      </c>
      <c r="H377" s="58">
        <v>6000</v>
      </c>
      <c r="I377" s="316">
        <v>2</v>
      </c>
      <c r="J377" s="58">
        <v>0</v>
      </c>
      <c r="K377" s="58">
        <v>5750</v>
      </c>
      <c r="L377" s="58">
        <v>0</v>
      </c>
      <c r="M377" s="58">
        <v>5750</v>
      </c>
      <c r="N377" s="316">
        <v>1.9166666666666667</v>
      </c>
      <c r="O377" s="58">
        <v>0</v>
      </c>
      <c r="P377" s="58">
        <v>6000</v>
      </c>
      <c r="Q377" s="58">
        <v>6000</v>
      </c>
      <c r="R377" s="316">
        <f>+Q377/3000</f>
        <v>2</v>
      </c>
      <c r="S377" s="58">
        <v>6240.8144849638074</v>
      </c>
    </row>
    <row r="378" spans="1:19" x14ac:dyDescent="0.35">
      <c r="A378" t="s">
        <v>273</v>
      </c>
      <c r="B378" s="58"/>
      <c r="C378" s="58"/>
      <c r="D378" s="58"/>
      <c r="E378" s="316">
        <v>0</v>
      </c>
      <c r="F378" s="58">
        <v>3000</v>
      </c>
      <c r="G378" s="58">
        <v>0</v>
      </c>
      <c r="H378" s="58">
        <v>3000</v>
      </c>
      <c r="I378" s="316">
        <v>1</v>
      </c>
      <c r="J378" s="58">
        <v>0</v>
      </c>
      <c r="K378" s="58">
        <v>3000</v>
      </c>
      <c r="L378" s="58">
        <v>0</v>
      </c>
      <c r="M378" s="58">
        <v>3000</v>
      </c>
      <c r="N378" s="316">
        <v>1</v>
      </c>
      <c r="O378" s="58">
        <v>0</v>
      </c>
      <c r="P378" s="58">
        <v>3000</v>
      </c>
      <c r="Q378" s="58">
        <v>3000</v>
      </c>
      <c r="R378" s="316">
        <f>+Q378/3000</f>
        <v>1</v>
      </c>
      <c r="S378" s="58">
        <v>3120.4072424819037</v>
      </c>
    </row>
    <row r="379" spans="1:19" x14ac:dyDescent="0.35">
      <c r="A379" t="s">
        <v>1302</v>
      </c>
      <c r="B379" s="58">
        <f>SUM(B374:B378)</f>
        <v>3000</v>
      </c>
      <c r="C379" s="58">
        <f t="shared" ref="C379:S379" si="8">SUM(C374:C378)</f>
        <v>0</v>
      </c>
      <c r="D379" s="58">
        <f t="shared" si="8"/>
        <v>3000</v>
      </c>
      <c r="E379" s="58">
        <f t="shared" si="8"/>
        <v>1</v>
      </c>
      <c r="F379" s="58">
        <f t="shared" si="8"/>
        <v>24000</v>
      </c>
      <c r="G379" s="58">
        <f t="shared" si="8"/>
        <v>3000</v>
      </c>
      <c r="H379" s="58">
        <f t="shared" si="8"/>
        <v>27000</v>
      </c>
      <c r="I379" s="58">
        <f t="shared" si="8"/>
        <v>9</v>
      </c>
      <c r="J379" s="58">
        <f t="shared" si="8"/>
        <v>6000</v>
      </c>
      <c r="K379" s="58">
        <f t="shared" si="8"/>
        <v>29750</v>
      </c>
      <c r="L379" s="58">
        <f t="shared" si="8"/>
        <v>3000</v>
      </c>
      <c r="M379" s="58">
        <f t="shared" si="8"/>
        <v>38750</v>
      </c>
      <c r="N379" s="58">
        <f t="shared" si="8"/>
        <v>12.916666666666666</v>
      </c>
      <c r="O379" s="58">
        <f t="shared" si="8"/>
        <v>18000</v>
      </c>
      <c r="P379" s="58">
        <f t="shared" si="8"/>
        <v>33250</v>
      </c>
      <c r="Q379" s="58">
        <f t="shared" si="8"/>
        <v>51250</v>
      </c>
      <c r="R379" s="58">
        <f t="shared" si="8"/>
        <v>17.083333333333336</v>
      </c>
      <c r="S379" s="58">
        <f t="shared" si="8"/>
        <v>53306.957059065848</v>
      </c>
    </row>
    <row r="381" spans="1:19" x14ac:dyDescent="0.35">
      <c r="A381" t="s">
        <v>138</v>
      </c>
      <c r="B381" s="58">
        <v>3000</v>
      </c>
      <c r="C381" s="58">
        <v>0</v>
      </c>
      <c r="D381" s="58">
        <v>3000</v>
      </c>
      <c r="E381" s="316">
        <v>1</v>
      </c>
      <c r="F381" s="58">
        <v>21000</v>
      </c>
      <c r="G381" s="58">
        <v>3000</v>
      </c>
      <c r="H381" s="58">
        <v>24000</v>
      </c>
      <c r="I381" s="316">
        <v>8</v>
      </c>
      <c r="J381" s="58">
        <v>21000</v>
      </c>
      <c r="K381" s="58">
        <v>17750</v>
      </c>
      <c r="L381" s="58">
        <v>0</v>
      </c>
      <c r="M381" s="58">
        <v>38750</v>
      </c>
      <c r="N381" s="316">
        <v>12.916666666666666</v>
      </c>
      <c r="O381" s="58">
        <v>57000</v>
      </c>
      <c r="P381" s="58">
        <v>33000</v>
      </c>
      <c r="Q381" s="58">
        <v>90000</v>
      </c>
      <c r="R381" s="316">
        <f>+Q381/3000</f>
        <v>30</v>
      </c>
      <c r="S381" s="58">
        <v>93612.217274457114</v>
      </c>
    </row>
    <row r="382" spans="1:19" x14ac:dyDescent="0.35">
      <c r="A382" t="s">
        <v>175</v>
      </c>
      <c r="B382" s="58"/>
      <c r="C382" s="58"/>
      <c r="D382" s="58"/>
      <c r="E382" s="316">
        <v>0</v>
      </c>
      <c r="F382" s="58">
        <v>6000</v>
      </c>
      <c r="G382" s="58">
        <v>0</v>
      </c>
      <c r="H382" s="58">
        <v>6000</v>
      </c>
      <c r="I382" s="316">
        <v>2</v>
      </c>
      <c r="J382" s="58">
        <v>15000</v>
      </c>
      <c r="K382" s="58">
        <v>6000</v>
      </c>
      <c r="L382" s="58">
        <v>0</v>
      </c>
      <c r="M382" s="58">
        <v>21000</v>
      </c>
      <c r="N382" s="316">
        <v>7</v>
      </c>
      <c r="O382" s="58">
        <v>9000</v>
      </c>
      <c r="P382" s="58">
        <v>18000</v>
      </c>
      <c r="Q382" s="58">
        <v>27000</v>
      </c>
      <c r="R382" s="316">
        <f>+Q382/3000</f>
        <v>9</v>
      </c>
      <c r="S382" s="58">
        <v>28083.665182337132</v>
      </c>
    </row>
    <row r="383" spans="1:19" x14ac:dyDescent="0.35">
      <c r="A383" t="s">
        <v>1303</v>
      </c>
      <c r="B383" s="58">
        <f>SUM(B381:B382)</f>
        <v>3000</v>
      </c>
      <c r="C383" s="58">
        <f t="shared" ref="C383:S383" si="9">SUM(C381:C382)</f>
        <v>0</v>
      </c>
      <c r="D383" s="58">
        <f t="shared" si="9"/>
        <v>3000</v>
      </c>
      <c r="E383" s="58">
        <f t="shared" si="9"/>
        <v>1</v>
      </c>
      <c r="F383" s="58">
        <f t="shared" si="9"/>
        <v>27000</v>
      </c>
      <c r="G383" s="58">
        <f t="shared" si="9"/>
        <v>3000</v>
      </c>
      <c r="H383" s="58">
        <f t="shared" si="9"/>
        <v>30000</v>
      </c>
      <c r="I383" s="58">
        <f t="shared" si="9"/>
        <v>10</v>
      </c>
      <c r="J383" s="58">
        <f t="shared" si="9"/>
        <v>36000</v>
      </c>
      <c r="K383" s="58">
        <f t="shared" si="9"/>
        <v>23750</v>
      </c>
      <c r="L383" s="58">
        <f t="shared" si="9"/>
        <v>0</v>
      </c>
      <c r="M383" s="58">
        <f t="shared" si="9"/>
        <v>59750</v>
      </c>
      <c r="N383" s="58">
        <f t="shared" si="9"/>
        <v>19.916666666666664</v>
      </c>
      <c r="O383" s="58">
        <f t="shared" si="9"/>
        <v>66000</v>
      </c>
      <c r="P383" s="58">
        <f t="shared" si="9"/>
        <v>51000</v>
      </c>
      <c r="Q383" s="58">
        <f t="shared" si="9"/>
        <v>117000</v>
      </c>
      <c r="R383" s="58">
        <f t="shared" si="9"/>
        <v>39</v>
      </c>
      <c r="S383" s="58">
        <f t="shared" si="9"/>
        <v>121695.88245679425</v>
      </c>
    </row>
    <row r="385" spans="1:19" x14ac:dyDescent="0.35">
      <c r="A385" t="s">
        <v>38</v>
      </c>
      <c r="B385" s="58"/>
      <c r="C385" s="58"/>
      <c r="D385" s="58"/>
      <c r="E385" s="316">
        <v>0</v>
      </c>
      <c r="F385" s="58">
        <v>0</v>
      </c>
      <c r="G385" s="58">
        <v>0</v>
      </c>
      <c r="H385" s="58">
        <v>0</v>
      </c>
      <c r="I385" s="316">
        <v>0</v>
      </c>
      <c r="J385" s="58">
        <v>0</v>
      </c>
      <c r="K385" s="58">
        <v>0</v>
      </c>
      <c r="L385" s="58">
        <v>0</v>
      </c>
      <c r="M385" s="58">
        <v>0</v>
      </c>
      <c r="N385" s="316">
        <v>0</v>
      </c>
      <c r="O385" s="58">
        <v>0</v>
      </c>
      <c r="P385" s="58">
        <v>0</v>
      </c>
      <c r="Q385" s="58">
        <v>0</v>
      </c>
      <c r="R385" s="316">
        <f>+Q385/3000</f>
        <v>0</v>
      </c>
      <c r="S385" s="58">
        <v>0</v>
      </c>
    </row>
    <row r="386" spans="1:19" x14ac:dyDescent="0.35">
      <c r="A386" t="s">
        <v>1322</v>
      </c>
      <c r="B386" s="58"/>
      <c r="C386" s="58"/>
      <c r="D386" s="58"/>
      <c r="E386" s="316">
        <v>0</v>
      </c>
      <c r="F386" s="58">
        <v>0</v>
      </c>
      <c r="G386" s="58">
        <v>0</v>
      </c>
      <c r="H386" s="58">
        <v>0</v>
      </c>
      <c r="I386" s="316">
        <v>0</v>
      </c>
      <c r="J386" s="58">
        <v>12000</v>
      </c>
      <c r="K386" s="58">
        <v>0</v>
      </c>
      <c r="L386" s="58">
        <v>0</v>
      </c>
      <c r="M386" s="58">
        <v>12000</v>
      </c>
      <c r="N386" s="316">
        <v>4</v>
      </c>
      <c r="O386" s="58">
        <v>18000</v>
      </c>
      <c r="P386" s="58">
        <v>12000</v>
      </c>
      <c r="Q386" s="58">
        <v>30000</v>
      </c>
      <c r="R386" s="316">
        <f>+Q386/3000</f>
        <v>10</v>
      </c>
      <c r="S386" s="58">
        <v>31204.072424819034</v>
      </c>
    </row>
    <row r="387" spans="1:19" x14ac:dyDescent="0.35">
      <c r="A387" t="s">
        <v>247</v>
      </c>
      <c r="B387" s="58">
        <f>SUM(B385:B386)</f>
        <v>0</v>
      </c>
      <c r="C387" s="58">
        <f t="shared" ref="C387:S387" si="10">SUM(C385:C386)</f>
        <v>0</v>
      </c>
      <c r="D387" s="58">
        <f t="shared" si="10"/>
        <v>0</v>
      </c>
      <c r="E387" s="58">
        <f t="shared" si="10"/>
        <v>0</v>
      </c>
      <c r="F387" s="58">
        <f t="shared" si="10"/>
        <v>0</v>
      </c>
      <c r="G387" s="58">
        <f t="shared" si="10"/>
        <v>0</v>
      </c>
      <c r="H387" s="58">
        <f t="shared" si="10"/>
        <v>0</v>
      </c>
      <c r="I387" s="58">
        <f t="shared" si="10"/>
        <v>0</v>
      </c>
      <c r="J387" s="58">
        <f t="shared" si="10"/>
        <v>12000</v>
      </c>
      <c r="K387" s="58">
        <f t="shared" si="10"/>
        <v>0</v>
      </c>
      <c r="L387" s="58">
        <f t="shared" si="10"/>
        <v>0</v>
      </c>
      <c r="M387" s="58">
        <f t="shared" si="10"/>
        <v>12000</v>
      </c>
      <c r="N387" s="58">
        <f t="shared" si="10"/>
        <v>4</v>
      </c>
      <c r="O387" s="58">
        <f t="shared" si="10"/>
        <v>18000</v>
      </c>
      <c r="P387" s="58">
        <f t="shared" si="10"/>
        <v>12000</v>
      </c>
      <c r="Q387" s="58">
        <f t="shared" si="10"/>
        <v>30000</v>
      </c>
      <c r="R387" s="58">
        <f t="shared" si="10"/>
        <v>10</v>
      </c>
      <c r="S387" s="58">
        <f t="shared" si="10"/>
        <v>31204.072424819034</v>
      </c>
    </row>
    <row r="389" spans="1:19" x14ac:dyDescent="0.35">
      <c r="A389" t="s">
        <v>1323</v>
      </c>
      <c r="B389" s="58">
        <v>39000</v>
      </c>
      <c r="C389" s="58">
        <v>6000</v>
      </c>
      <c r="D389" s="58">
        <v>45000</v>
      </c>
      <c r="E389" s="316">
        <v>15</v>
      </c>
      <c r="F389" s="58">
        <v>189000</v>
      </c>
      <c r="G389" s="58">
        <v>30000</v>
      </c>
      <c r="H389" s="58">
        <v>219000</v>
      </c>
      <c r="I389" s="316">
        <v>73</v>
      </c>
      <c r="J389" s="58">
        <v>198000</v>
      </c>
      <c r="K389" s="58">
        <v>211250</v>
      </c>
      <c r="L389" s="58">
        <v>20500</v>
      </c>
      <c r="M389" s="58">
        <v>429750</v>
      </c>
      <c r="N389" s="316">
        <v>143.25</v>
      </c>
      <c r="O389" s="58">
        <v>276000</v>
      </c>
      <c r="P389" s="58">
        <v>354000</v>
      </c>
      <c r="Q389" s="58">
        <v>630000</v>
      </c>
      <c r="R389" s="316">
        <f>+Q389/3000</f>
        <v>210</v>
      </c>
      <c r="S389" s="58">
        <v>655285.5209211997</v>
      </c>
    </row>
    <row r="390" spans="1:19" x14ac:dyDescent="0.35">
      <c r="A390" t="s">
        <v>333</v>
      </c>
      <c r="B390" s="58"/>
      <c r="C390" s="58"/>
      <c r="D390" s="58"/>
      <c r="E390" s="316">
        <v>0</v>
      </c>
      <c r="F390" s="58">
        <v>3000</v>
      </c>
      <c r="G390" s="58">
        <v>0</v>
      </c>
      <c r="H390" s="58">
        <v>3000</v>
      </c>
      <c r="I390" s="316">
        <v>1</v>
      </c>
      <c r="J390" s="58">
        <v>0</v>
      </c>
      <c r="K390" s="58">
        <v>3000</v>
      </c>
      <c r="L390" s="58">
        <v>0</v>
      </c>
      <c r="M390" s="58">
        <v>3000</v>
      </c>
      <c r="N390" s="316">
        <v>1</v>
      </c>
      <c r="O390" s="316">
        <v>0</v>
      </c>
      <c r="P390" s="316">
        <v>3000</v>
      </c>
      <c r="Q390" s="316">
        <v>3000</v>
      </c>
      <c r="R390" s="316">
        <f>+Q390/3000</f>
        <v>1</v>
      </c>
      <c r="S390" s="58">
        <v>3120.4072424819037</v>
      </c>
    </row>
    <row r="391" spans="1:19" x14ac:dyDescent="0.35">
      <c r="A391" t="s">
        <v>26</v>
      </c>
      <c r="B391" s="59">
        <f>SUM(B389:B390)</f>
        <v>39000</v>
      </c>
      <c r="C391" s="59">
        <f t="shared" ref="C391:S391" si="11">SUM(C389:C390)</f>
        <v>6000</v>
      </c>
      <c r="D391" s="59">
        <f t="shared" si="11"/>
        <v>45000</v>
      </c>
      <c r="E391" s="59">
        <f t="shared" si="11"/>
        <v>15</v>
      </c>
      <c r="F391" s="59">
        <f t="shared" si="11"/>
        <v>192000</v>
      </c>
      <c r="G391" s="59">
        <f t="shared" si="11"/>
        <v>30000</v>
      </c>
      <c r="H391" s="59">
        <f t="shared" si="11"/>
        <v>222000</v>
      </c>
      <c r="I391" s="59">
        <f t="shared" si="11"/>
        <v>74</v>
      </c>
      <c r="J391" s="59">
        <f t="shared" si="11"/>
        <v>198000</v>
      </c>
      <c r="K391" s="59">
        <f t="shared" si="11"/>
        <v>214250</v>
      </c>
      <c r="L391" s="59">
        <f t="shared" si="11"/>
        <v>20500</v>
      </c>
      <c r="M391" s="59">
        <f t="shared" si="11"/>
        <v>432750</v>
      </c>
      <c r="N391" s="59">
        <f t="shared" si="11"/>
        <v>144.25</v>
      </c>
      <c r="O391" s="59">
        <f t="shared" si="11"/>
        <v>276000</v>
      </c>
      <c r="P391" s="59">
        <f t="shared" si="11"/>
        <v>357000</v>
      </c>
      <c r="Q391" s="59">
        <f t="shared" si="11"/>
        <v>633000</v>
      </c>
      <c r="R391" s="59">
        <f t="shared" si="11"/>
        <v>211</v>
      </c>
      <c r="S391" s="59">
        <f t="shared" si="11"/>
        <v>658405.92816368164</v>
      </c>
    </row>
  </sheetData>
  <mergeCells count="4">
    <mergeCell ref="B4:E4"/>
    <mergeCell ref="F4:I4"/>
    <mergeCell ref="J4:N4"/>
    <mergeCell ref="O4:R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9104-2324-4F05-ACF4-865446B200CD}">
  <sheetPr codeName="Blad6">
    <tabColor rgb="FF002060"/>
  </sheetPr>
  <dimension ref="A1:P735"/>
  <sheetViews>
    <sheetView topLeftCell="E1" zoomScaleNormal="100" workbookViewId="0">
      <selection activeCell="O5" sqref="O5"/>
    </sheetView>
  </sheetViews>
  <sheetFormatPr defaultRowHeight="14.5" x14ac:dyDescent="0.35"/>
  <cols>
    <col min="1" max="1" width="21.36328125" bestFit="1" customWidth="1"/>
    <col min="2" max="2" width="21.36328125" customWidth="1"/>
    <col min="3" max="3" width="21.36328125" bestFit="1" customWidth="1"/>
    <col min="4" max="4" width="22.54296875" bestFit="1" customWidth="1"/>
    <col min="5" max="5" width="22.54296875" customWidth="1"/>
    <col min="6" max="7" width="14.6328125" style="120" customWidth="1"/>
    <col min="8" max="11" width="14.6328125" style="124" customWidth="1"/>
    <col min="12" max="14" width="15.6328125" customWidth="1"/>
    <col min="15" max="15" width="16" customWidth="1"/>
    <col min="16" max="16" width="10.26953125" bestFit="1" customWidth="1"/>
  </cols>
  <sheetData>
    <row r="1" spans="1:16" ht="36" customHeight="1" x14ac:dyDescent="0.35">
      <c r="A1" s="267" t="s">
        <v>1013</v>
      </c>
      <c r="B1" s="580" t="s">
        <v>1292</v>
      </c>
      <c r="C1" s="580"/>
      <c r="D1" s="580"/>
      <c r="E1" s="580"/>
      <c r="F1" s="580"/>
      <c r="G1" s="580"/>
      <c r="H1" s="580"/>
      <c r="I1" s="580"/>
      <c r="J1" s="580"/>
      <c r="K1" s="580"/>
    </row>
    <row r="2" spans="1:16" x14ac:dyDescent="0.35">
      <c r="A2" s="1" t="s">
        <v>1296</v>
      </c>
    </row>
    <row r="3" spans="1:16" ht="58" x14ac:dyDescent="0.35">
      <c r="A3" s="122" t="s">
        <v>828</v>
      </c>
      <c r="B3" s="122" t="s">
        <v>829</v>
      </c>
      <c r="C3" s="122" t="s">
        <v>830</v>
      </c>
      <c r="D3" s="122" t="s">
        <v>831</v>
      </c>
      <c r="E3" s="122"/>
      <c r="F3" s="127"/>
      <c r="G3" s="127"/>
      <c r="H3" s="128" t="s">
        <v>790</v>
      </c>
      <c r="I3" s="128" t="s">
        <v>791</v>
      </c>
      <c r="J3" s="128" t="s">
        <v>832</v>
      </c>
      <c r="K3" s="128" t="s">
        <v>833</v>
      </c>
      <c r="L3" s="128" t="s">
        <v>1210</v>
      </c>
      <c r="M3" s="128" t="s">
        <v>1283</v>
      </c>
      <c r="N3" s="128" t="s">
        <v>1298</v>
      </c>
    </row>
    <row r="4" spans="1:16" x14ac:dyDescent="0.35">
      <c r="A4" s="446">
        <v>1</v>
      </c>
      <c r="B4" s="446">
        <v>2</v>
      </c>
      <c r="C4" s="446">
        <v>3</v>
      </c>
      <c r="D4" s="446">
        <v>4</v>
      </c>
      <c r="E4" s="446">
        <v>5</v>
      </c>
      <c r="F4" s="446">
        <v>6</v>
      </c>
      <c r="G4" s="446">
        <v>7</v>
      </c>
      <c r="H4" s="447">
        <v>8</v>
      </c>
      <c r="I4" s="447">
        <v>9</v>
      </c>
      <c r="J4" s="447">
        <v>10</v>
      </c>
      <c r="K4" s="447">
        <v>11</v>
      </c>
      <c r="L4" s="447">
        <v>12</v>
      </c>
      <c r="M4" s="447">
        <v>13</v>
      </c>
      <c r="N4" s="447">
        <v>14</v>
      </c>
    </row>
    <row r="5" spans="1:16" x14ac:dyDescent="0.35">
      <c r="A5" s="72">
        <v>1979</v>
      </c>
      <c r="B5" s="72">
        <v>1</v>
      </c>
      <c r="D5" s="72" t="s">
        <v>1285</v>
      </c>
      <c r="G5" s="124"/>
      <c r="H5" s="415">
        <f>+F354+F357+F363</f>
        <v>4.7966753122374204</v>
      </c>
      <c r="I5" s="415">
        <f>+G354+G357+G363</f>
        <v>5.0027014530391636</v>
      </c>
      <c r="J5" s="415">
        <f>+H354+H357+H363</f>
        <v>4.983887906047193</v>
      </c>
      <c r="K5" s="415">
        <f>+I354+I357+I363</f>
        <v>4.9059999999999997</v>
      </c>
      <c r="L5" s="415">
        <f>+J354+J357+J363</f>
        <v>5.0220000000000002</v>
      </c>
      <c r="M5" s="121">
        <f>+VLOOKUP(A5,'Grondslagen AU 2021'!A$6:DA$357,77,FALSE)</f>
        <v>4.7990000000000004</v>
      </c>
      <c r="N5" s="121">
        <v>4.4020000000000001</v>
      </c>
      <c r="O5" s="416">
        <f>+M5-N5</f>
        <v>0.39700000000000024</v>
      </c>
      <c r="P5" s="121"/>
    </row>
    <row r="6" spans="1:16" x14ac:dyDescent="0.35">
      <c r="A6" s="72">
        <v>14</v>
      </c>
      <c r="B6" s="72">
        <v>1</v>
      </c>
      <c r="D6" s="72" t="s">
        <v>122</v>
      </c>
      <c r="H6" s="415">
        <f>+F359+F361+F369</f>
        <v>31.199593859493831</v>
      </c>
      <c r="I6" s="415">
        <f>+G359+G361+G369</f>
        <v>31.295552793747831</v>
      </c>
      <c r="J6" s="415">
        <f>+H359+H361+H369</f>
        <v>31.013660765345051</v>
      </c>
      <c r="K6" s="415">
        <f>VLOOKUP(A6,'Grondslagen AU 2019'!A$1:DA$361,92,FALSE)</f>
        <v>31.22</v>
      </c>
      <c r="L6" s="121">
        <f>+VLOOKUP(A6,'Grondslagen AU 2020'!A$5:DA$360,77,FALSE)</f>
        <v>31.748999999999999</v>
      </c>
      <c r="M6" s="121">
        <f>+VLOOKUP(A6,'Grondslagen AU 2021'!A$6:DA$357,77,FALSE)</f>
        <v>30.812999999999999</v>
      </c>
      <c r="N6" s="121">
        <v>29.279</v>
      </c>
      <c r="O6" s="416">
        <f t="shared" ref="O6:O69" si="0">+M6-N6</f>
        <v>1.5339999999999989</v>
      </c>
      <c r="P6" s="121"/>
    </row>
    <row r="7" spans="1:16" x14ac:dyDescent="0.35">
      <c r="A7" s="72">
        <v>1966</v>
      </c>
      <c r="B7" s="72">
        <v>1</v>
      </c>
      <c r="D7" s="72" t="s">
        <v>147</v>
      </c>
      <c r="H7" s="415">
        <f>+F355+F356+F358+F372</f>
        <v>2.83818525330891</v>
      </c>
      <c r="I7" s="415">
        <f>+G355+G356+G358+G372</f>
        <v>2.9539527352894739</v>
      </c>
      <c r="J7" s="415">
        <f>+H355+H356+H358+H372</f>
        <v>3.0547258734517349</v>
      </c>
      <c r="K7" s="415">
        <f>VLOOKUP(A7,'Grondslagen AU 2019'!A$1:DA$361,92,FALSE)</f>
        <v>2.92</v>
      </c>
      <c r="L7" s="121">
        <f>+VLOOKUP(A7,'Grondslagen AU 2020'!A$5:DA$360,77,FALSE)</f>
        <v>2.948</v>
      </c>
      <c r="M7" s="121">
        <f>+VLOOKUP(A7,'Grondslagen AU 2021'!A$6:DA$357,77,FALSE)</f>
        <v>2.8079999999999998</v>
      </c>
      <c r="N7" s="121">
        <v>2.6840000000000002</v>
      </c>
      <c r="O7" s="416">
        <f t="shared" si="0"/>
        <v>0.12399999999999967</v>
      </c>
      <c r="P7" s="121"/>
    </row>
    <row r="8" spans="1:16" x14ac:dyDescent="0.35">
      <c r="A8" s="72">
        <v>1952</v>
      </c>
      <c r="B8" s="72">
        <v>1</v>
      </c>
      <c r="D8" s="72" t="s">
        <v>203</v>
      </c>
      <c r="H8" s="415">
        <f>VLOOKUP(A8,A$353:F$734,6,FALSE)</f>
        <v>5.3222176933816066</v>
      </c>
      <c r="I8" s="415">
        <f>VLOOKUP(A8,A$353:G$734,7,FALSE)</f>
        <v>5.3849853665194711</v>
      </c>
      <c r="J8" s="415">
        <f>VLOOKUP(A8,'Grondslagen AU 2018'!A4:DA389,92,FALSE)</f>
        <v>5.4355193221921301</v>
      </c>
      <c r="K8" s="415">
        <f>VLOOKUP(A8,'Grondslagen AU 2019'!A$1:DA$361,92,FALSE)</f>
        <v>5.5990000000000002</v>
      </c>
      <c r="L8" s="121">
        <f>+VLOOKUP(A8,'Grondslagen AU 2020'!A$5:DA$360,77,FALSE)</f>
        <v>5.556</v>
      </c>
      <c r="M8" s="121">
        <f>+VLOOKUP(A8,'Grondslagen AU 2021'!A$6:DA$357,77,FALSE)</f>
        <v>5.5049999999999999</v>
      </c>
      <c r="N8" s="121">
        <v>5.1849999999999996</v>
      </c>
      <c r="O8" s="416">
        <f t="shared" si="0"/>
        <v>0.32000000000000028</v>
      </c>
      <c r="P8" s="121"/>
    </row>
    <row r="9" spans="1:16" x14ac:dyDescent="0.35">
      <c r="A9" s="72">
        <v>1895</v>
      </c>
      <c r="B9" s="72">
        <v>1</v>
      </c>
      <c r="D9" s="72" t="s">
        <v>227</v>
      </c>
      <c r="H9" s="415">
        <f>VLOOKUP(A9,A$353:F$734,6,FALSE)</f>
        <v>4.4288451596956415</v>
      </c>
      <c r="I9" s="415">
        <f>VLOOKUP(A9,A$353:G$734,7,FALSE)</f>
        <v>4.6030620340723161</v>
      </c>
      <c r="J9" s="415">
        <f>VLOOKUP(A9,'Grondslagen AU 2018'!A5:DA390,92,FALSE)</f>
        <v>4.6008291778664701</v>
      </c>
      <c r="K9" s="415">
        <f>VLOOKUP(A9,'Grondslagen AU 2019'!A$1:DA$361,92,FALSE)</f>
        <v>4.6479999999999997</v>
      </c>
      <c r="L9" s="121">
        <f>+VLOOKUP(A9,'Grondslagen AU 2020'!A$5:DA$360,77,FALSE)</f>
        <v>4.6740000000000004</v>
      </c>
      <c r="M9" s="121">
        <f>+VLOOKUP(A9,'Grondslagen AU 2021'!A$6:DA$357,77,FALSE)</f>
        <v>4.4080000000000004</v>
      </c>
      <c r="N9" s="121">
        <v>4.0720000000000001</v>
      </c>
      <c r="O9" s="416">
        <f t="shared" si="0"/>
        <v>0.3360000000000003</v>
      </c>
      <c r="P9" s="121"/>
    </row>
    <row r="10" spans="1:16" x14ac:dyDescent="0.35">
      <c r="A10" s="72">
        <v>765</v>
      </c>
      <c r="B10" s="72">
        <v>1</v>
      </c>
      <c r="D10" s="72" t="s">
        <v>245</v>
      </c>
      <c r="H10" s="415">
        <f>VLOOKUP(A10,A$353:F$734,6,FALSE)</f>
        <v>1.5186152075886938</v>
      </c>
      <c r="I10" s="415">
        <f>VLOOKUP(A10,A$353:G$734,7,FALSE)</f>
        <v>1.571742199149234</v>
      </c>
      <c r="J10" s="415">
        <f>VLOOKUP(A10,'Grondslagen AU 2018'!A6:DA391,92,FALSE)</f>
        <v>1.48878992020321</v>
      </c>
      <c r="K10" s="415">
        <f>VLOOKUP(A10,'Grondslagen AU 2019'!A$1:DA$361,92,FALSE)</f>
        <v>1.663</v>
      </c>
      <c r="L10" s="121">
        <f>+VLOOKUP(A10,'Grondslagen AU 2020'!A$5:DA$360,77,FALSE)</f>
        <v>1.6539999999999999</v>
      </c>
      <c r="M10" s="121">
        <f>+VLOOKUP(A10,'Grondslagen AU 2021'!A$6:DA$357,77,FALSE)</f>
        <v>1.514</v>
      </c>
      <c r="N10" s="121">
        <v>1.302</v>
      </c>
      <c r="O10" s="416">
        <f t="shared" si="0"/>
        <v>0.21199999999999997</v>
      </c>
      <c r="P10" s="121"/>
    </row>
    <row r="11" spans="1:16" x14ac:dyDescent="0.35">
      <c r="A11" s="72">
        <v>37</v>
      </c>
      <c r="B11" s="72">
        <v>1</v>
      </c>
      <c r="D11" s="72" t="s">
        <v>282</v>
      </c>
      <c r="H11" s="415">
        <f>VLOOKUP(A11,A$353:F$734,6,FALSE)</f>
        <v>3.014167901160318</v>
      </c>
      <c r="I11" s="415">
        <f>VLOOKUP(A11,A$353:G$734,7,FALSE)</f>
        <v>3.126177624143132</v>
      </c>
      <c r="J11" s="415">
        <f>VLOOKUP(A11,'Grondslagen AU 2018'!A7:DA392,92,FALSE)</f>
        <v>3.1174559644858002</v>
      </c>
      <c r="K11" s="415">
        <f>VLOOKUP(A11,'Grondslagen AU 2019'!A$1:DA$361,92,FALSE)</f>
        <v>3.0369999999999999</v>
      </c>
      <c r="L11" s="121">
        <f>+VLOOKUP(A11,'Grondslagen AU 2020'!A$5:DA$360,77,FALSE)</f>
        <v>3.0379999999999998</v>
      </c>
      <c r="M11" s="121">
        <f>+VLOOKUP(A11,'Grondslagen AU 2021'!A$6:DA$357,77,FALSE)</f>
        <v>2.9550000000000001</v>
      </c>
      <c r="N11" s="121">
        <v>2.8879999999999999</v>
      </c>
      <c r="O11" s="416">
        <f t="shared" si="0"/>
        <v>6.7000000000000171E-2</v>
      </c>
      <c r="P11" s="121"/>
    </row>
    <row r="12" spans="1:16" x14ac:dyDescent="0.35">
      <c r="A12" s="72">
        <v>47</v>
      </c>
      <c r="B12" s="72">
        <v>1</v>
      </c>
      <c r="D12" s="72" t="s">
        <v>310</v>
      </c>
      <c r="H12" s="415">
        <f>VLOOKUP(A12,A$353:F$734,6,FALSE)</f>
        <v>2.8210585137683832</v>
      </c>
      <c r="I12" s="415">
        <f>VLOOKUP(A12,A$353:G$734,7,FALSE)</f>
        <v>2.7511940306743186</v>
      </c>
      <c r="J12" s="415">
        <f>VLOOKUP(A12,'Grondslagen AU 2018'!A8:DA393,92,FALSE)</f>
        <v>2.9198891377499501</v>
      </c>
      <c r="K12" s="415">
        <f>VLOOKUP(A12,'Grondslagen AU 2019'!A$1:DA$361,92,FALSE)</f>
        <v>3.0489999999999999</v>
      </c>
      <c r="L12" s="121">
        <f>+VLOOKUP(A12,'Grondslagen AU 2020'!A$5:DA$360,77,FALSE)</f>
        <v>3.02</v>
      </c>
      <c r="M12" s="121">
        <f>+VLOOKUP(A12,'Grondslagen AU 2021'!A$6:DA$357,77,FALSE)</f>
        <v>2.8690000000000002</v>
      </c>
      <c r="N12" s="121">
        <v>2.63</v>
      </c>
      <c r="O12" s="416">
        <f t="shared" si="0"/>
        <v>0.23900000000000032</v>
      </c>
      <c r="P12" s="121"/>
    </row>
    <row r="13" spans="1:16" x14ac:dyDescent="0.35">
      <c r="A13" s="72">
        <v>1969</v>
      </c>
      <c r="B13" s="72">
        <v>1</v>
      </c>
      <c r="D13" s="72" t="s">
        <v>336</v>
      </c>
      <c r="H13" s="415">
        <f>+F360+F362+F364+F373</f>
        <v>2.1214868916962852</v>
      </c>
      <c r="I13" s="415">
        <f>+G360+G362+G364+G373</f>
        <v>2.0609806651260119</v>
      </c>
      <c r="J13" s="415">
        <f>+H360+H362+H364+H373</f>
        <v>2.0320777415196556</v>
      </c>
      <c r="K13" s="415">
        <f>VLOOKUP(A13,'Grondslagen AU 2019'!A$1:DA$361,92,FALSE)</f>
        <v>2.218</v>
      </c>
      <c r="L13" s="121">
        <f>+VLOOKUP(A13,'Grondslagen AU 2020'!A$5:DA$360,77,FALSE)</f>
        <v>2.2559999999999998</v>
      </c>
      <c r="M13" s="121">
        <f>+VLOOKUP(A13,'Grondslagen AU 2021'!A$6:DA$357,77,FALSE)</f>
        <v>2.0640000000000001</v>
      </c>
      <c r="N13" s="121">
        <v>2.0089999999999999</v>
      </c>
      <c r="O13" s="416">
        <f t="shared" si="0"/>
        <v>5.500000000000016E-2</v>
      </c>
      <c r="P13" s="121"/>
    </row>
    <row r="14" spans="1:16" x14ac:dyDescent="0.35">
      <c r="A14" s="72">
        <v>1950</v>
      </c>
      <c r="B14" s="72">
        <v>1</v>
      </c>
      <c r="D14" s="72" t="s">
        <v>339</v>
      </c>
      <c r="H14" s="415">
        <f t="shared" ref="H14:H21" si="1">VLOOKUP(A14,A$353:F$734,6,FALSE)</f>
        <v>1.4195418863307447</v>
      </c>
      <c r="I14" s="415">
        <f t="shared" ref="I14:I21" si="2">VLOOKUP(A14,A$353:G$734,7,FALSE)</f>
        <v>1.5275327741512279</v>
      </c>
      <c r="J14" s="415">
        <f>VLOOKUP(A14,'Grondslagen AU 2018'!A10:DA395,92,FALSE)</f>
        <v>1.5890369747561</v>
      </c>
      <c r="K14" s="415">
        <f>VLOOKUP(A14,'Grondslagen AU 2019'!A$1:DA$361,92,FALSE)</f>
        <v>1.6160000000000001</v>
      </c>
      <c r="L14" s="121">
        <f>+VLOOKUP(A14,'Grondslagen AU 2020'!A$5:DA$360,77,FALSE)</f>
        <v>1.524</v>
      </c>
      <c r="M14" s="121">
        <f>+VLOOKUP(A14,'Grondslagen AU 2021'!A$6:DA$357,77,FALSE)</f>
        <v>1.544</v>
      </c>
      <c r="N14" s="121">
        <v>1.5429999999999999</v>
      </c>
      <c r="O14" s="416">
        <f t="shared" si="0"/>
        <v>1.0000000000001119E-3</v>
      </c>
      <c r="P14" s="121"/>
    </row>
    <row r="15" spans="1:16" x14ac:dyDescent="0.35">
      <c r="A15" s="72">
        <v>59</v>
      </c>
      <c r="B15" s="72">
        <v>2</v>
      </c>
      <c r="D15" s="72" t="s">
        <v>14</v>
      </c>
      <c r="H15" s="415">
        <f t="shared" si="1"/>
        <v>2.100405648643187</v>
      </c>
      <c r="I15" s="415">
        <f t="shared" si="2"/>
        <v>2.1872632649793697</v>
      </c>
      <c r="J15" s="415">
        <f>VLOOKUP(A15,'Grondslagen AU 2018'!A11:DA396,92,FALSE)</f>
        <v>2.13450440113375</v>
      </c>
      <c r="K15" s="415">
        <f>VLOOKUP(A15,'Grondslagen AU 2019'!A$1:DA$361,92,FALSE)</f>
        <v>1.9850000000000001</v>
      </c>
      <c r="L15" s="121">
        <f>+VLOOKUP(A15,'Grondslagen AU 2020'!A$5:DA$360,77,FALSE)</f>
        <v>1.921</v>
      </c>
      <c r="M15" s="121">
        <f>+VLOOKUP(A15,'Grondslagen AU 2021'!A$6:DA$357,77,FALSE)</f>
        <v>1.837</v>
      </c>
      <c r="N15" s="121">
        <v>1.734</v>
      </c>
      <c r="O15" s="416">
        <f t="shared" si="0"/>
        <v>0.10299999999999998</v>
      </c>
      <c r="P15" s="121"/>
    </row>
    <row r="16" spans="1:16" x14ac:dyDescent="0.35">
      <c r="A16" s="72">
        <v>60</v>
      </c>
      <c r="B16" s="72">
        <v>2</v>
      </c>
      <c r="D16" s="72" t="s">
        <v>23</v>
      </c>
      <c r="H16" s="415">
        <f t="shared" si="1"/>
        <v>1.7734587409189762E-2</v>
      </c>
      <c r="I16" s="415">
        <f t="shared" si="2"/>
        <v>1.6823941688002244E-2</v>
      </c>
      <c r="J16" s="415">
        <f>VLOOKUP(A16,'Grondslagen AU 2018'!A12:DA397,92,FALSE)</f>
        <v>1.66225633910865E-2</v>
      </c>
      <c r="K16" s="415">
        <f>VLOOKUP(A16,'Grondslagen AU 2019'!A$1:DA$361,92,FALSE)</f>
        <v>1.7999999999999999E-2</v>
      </c>
      <c r="L16" s="121">
        <f>+VLOOKUP(A16,'Grondslagen AU 2020'!A$5:DA$360,77,FALSE)</f>
        <v>1.7999999999999999E-2</v>
      </c>
      <c r="M16" s="121">
        <f>+VLOOKUP(A16,'Grondslagen AU 2021'!A$6:DA$357,77,FALSE)</f>
        <v>1.7999999999999999E-2</v>
      </c>
      <c r="N16" s="121">
        <v>1.7999999999999999E-2</v>
      </c>
      <c r="O16" s="416">
        <f t="shared" si="0"/>
        <v>0</v>
      </c>
      <c r="P16" s="121"/>
    </row>
    <row r="17" spans="1:16" x14ac:dyDescent="0.35">
      <c r="A17" s="72">
        <v>1891</v>
      </c>
      <c r="B17" s="72">
        <v>2</v>
      </c>
      <c r="D17" s="72" t="s">
        <v>75</v>
      </c>
      <c r="H17" s="415">
        <f t="shared" si="1"/>
        <v>1.5069898615966395</v>
      </c>
      <c r="I17" s="415">
        <f t="shared" si="2"/>
        <v>1.548460084623386</v>
      </c>
      <c r="J17" s="415">
        <f>VLOOKUP(A17,'Grondslagen AU 2018'!A13:DA398,92,FALSE)</f>
        <v>1.5382827694499099</v>
      </c>
      <c r="K17" s="415">
        <f>VLOOKUP(A17,'Grondslagen AU 2019'!A$1:DA$361,92,FALSE)</f>
        <v>1.5009999999999999</v>
      </c>
      <c r="L17" s="121">
        <f>+VLOOKUP(A17,'Grondslagen AU 2020'!A$5:DA$360,77,FALSE)</f>
        <v>1.4159999999999999</v>
      </c>
      <c r="M17" s="121">
        <f>+VLOOKUP(A17,'Grondslagen AU 2021'!A$6:DA$357,77,FALSE)</f>
        <v>1.353</v>
      </c>
      <c r="N17" s="121">
        <v>1.302</v>
      </c>
      <c r="O17" s="416">
        <f t="shared" si="0"/>
        <v>5.0999999999999934E-2</v>
      </c>
      <c r="P17" s="121"/>
    </row>
    <row r="18" spans="1:16" x14ac:dyDescent="0.35">
      <c r="A18" s="72">
        <v>1940</v>
      </c>
      <c r="B18" s="72">
        <v>2</v>
      </c>
      <c r="D18" s="72" t="s">
        <v>77</v>
      </c>
      <c r="H18" s="415">
        <f t="shared" si="1"/>
        <v>1.9575057210787414</v>
      </c>
      <c r="I18" s="415">
        <f t="shared" si="2"/>
        <v>2.0304350656933123</v>
      </c>
      <c r="J18" s="415">
        <f>VLOOKUP(A18,'Grondslagen AU 2018'!A14:DA399,92,FALSE)</f>
        <v>2.0358609404502102</v>
      </c>
      <c r="K18" s="415">
        <f>VLOOKUP(A18,'Grondslagen AU 2019'!A$1:DA$361,92,FALSE)</f>
        <v>1.8009999999999999</v>
      </c>
      <c r="L18" s="121">
        <f>+VLOOKUP(A18,'Grondslagen AU 2020'!A$5:DA$360,77,FALSE)</f>
        <v>1.7649999999999999</v>
      </c>
      <c r="M18" s="121">
        <f>+VLOOKUP(A18,'Grondslagen AU 2021'!A$6:DA$357,77,FALSE)</f>
        <v>1.502</v>
      </c>
      <c r="N18" s="121">
        <v>1.5029999999999999</v>
      </c>
      <c r="O18" s="416">
        <f t="shared" si="0"/>
        <v>-9.9999999999988987E-4</v>
      </c>
      <c r="P18" s="121"/>
    </row>
    <row r="19" spans="1:16" x14ac:dyDescent="0.35">
      <c r="A19" s="72">
        <v>72</v>
      </c>
      <c r="B19" s="72">
        <v>2</v>
      </c>
      <c r="D19" s="72" t="s">
        <v>132</v>
      </c>
      <c r="H19" s="415">
        <f t="shared" si="1"/>
        <v>1.4756893698530611</v>
      </c>
      <c r="I19" s="415">
        <f t="shared" si="2"/>
        <v>1.5954880273830223</v>
      </c>
      <c r="J19" s="415">
        <f>VLOOKUP(A19,'Grondslagen AU 2018'!A15:DA400,92,FALSE)</f>
        <v>1.64191644089689</v>
      </c>
      <c r="K19" s="415">
        <f>VLOOKUP(A19,'Grondslagen AU 2019'!A$1:DA$361,92,FALSE)</f>
        <v>1.5509999999999999</v>
      </c>
      <c r="L19" s="121">
        <f>+VLOOKUP(A19,'Grondslagen AU 2020'!A$5:DA$360,77,FALSE)</f>
        <v>1.6</v>
      </c>
      <c r="M19" s="121">
        <f>+VLOOKUP(A19,'Grondslagen AU 2021'!A$6:DA$357,77,FALSE)</f>
        <v>1.538</v>
      </c>
      <c r="N19" s="121">
        <v>1.5069999999999999</v>
      </c>
      <c r="O19" s="416">
        <f t="shared" si="0"/>
        <v>3.1000000000000139E-2</v>
      </c>
      <c r="P19" s="121"/>
    </row>
    <row r="20" spans="1:16" x14ac:dyDescent="0.35">
      <c r="A20" s="72">
        <v>74</v>
      </c>
      <c r="B20" s="72">
        <v>2</v>
      </c>
      <c r="D20" s="72" t="s">
        <v>137</v>
      </c>
      <c r="H20" s="415">
        <f t="shared" si="1"/>
        <v>3.6904530913654501</v>
      </c>
      <c r="I20" s="415">
        <f t="shared" si="2"/>
        <v>3.8075398301537122</v>
      </c>
      <c r="J20" s="415">
        <f>VLOOKUP(A20,'Grondslagen AU 2018'!A16:DA401,92,FALSE)</f>
        <v>3.8526012679747899</v>
      </c>
      <c r="K20" s="415">
        <f>VLOOKUP(A20,'Grondslagen AU 2019'!A$1:DA$361,92,FALSE)</f>
        <v>3.633</v>
      </c>
      <c r="L20" s="121">
        <f>+VLOOKUP(A20,'Grondslagen AU 2020'!A$5:DA$360,77,FALSE)</f>
        <v>3.7210000000000001</v>
      </c>
      <c r="M20" s="121">
        <f>+VLOOKUP(A20,'Grondslagen AU 2021'!A$6:DA$357,77,FALSE)</f>
        <v>3.8239999999999998</v>
      </c>
      <c r="N20" s="121">
        <v>3.7829999999999999</v>
      </c>
      <c r="O20" s="416">
        <f t="shared" si="0"/>
        <v>4.0999999999999925E-2</v>
      </c>
      <c r="P20" s="121"/>
    </row>
    <row r="21" spans="1:16" x14ac:dyDescent="0.35">
      <c r="A21" s="72">
        <v>80</v>
      </c>
      <c r="B21" s="72">
        <v>2</v>
      </c>
      <c r="D21" s="72" t="s">
        <v>178</v>
      </c>
      <c r="H21" s="415">
        <f t="shared" si="1"/>
        <v>16.357079947407975</v>
      </c>
      <c r="I21" s="415">
        <f t="shared" si="2"/>
        <v>17.510454633829774</v>
      </c>
      <c r="J21" s="415">
        <f>VLOOKUP(A21,'Grondslagen AU 2018'!A17:DA402,92,FALSE)</f>
        <v>18.4109414193688</v>
      </c>
      <c r="K21" s="415">
        <f>VLOOKUP(A21,'Grondslagen AU 2019'!A$1:DA$361,92,FALSE)</f>
        <v>18.434999999999999</v>
      </c>
      <c r="L21" s="121">
        <f>+VLOOKUP(A21,'Grondslagen AU 2020'!A$5:DA$360,77,FALSE)</f>
        <v>18.018999999999998</v>
      </c>
      <c r="M21" s="121">
        <f>+VLOOKUP(A21,'Grondslagen AU 2021'!A$6:DA$357,77,FALSE)</f>
        <v>17.690000000000001</v>
      </c>
      <c r="N21" s="121">
        <v>17.081</v>
      </c>
      <c r="O21" s="416">
        <f t="shared" si="0"/>
        <v>0.60900000000000176</v>
      </c>
      <c r="P21" s="121"/>
    </row>
    <row r="22" spans="1:16" x14ac:dyDescent="0.35">
      <c r="A22" s="72">
        <v>1970</v>
      </c>
      <c r="B22" s="72">
        <v>2</v>
      </c>
      <c r="D22" s="72" t="s">
        <v>217</v>
      </c>
      <c r="H22" s="415">
        <f>+F378+F379+F382</f>
        <v>3.1660554923999982</v>
      </c>
      <c r="I22" s="415">
        <f>+G378+G379+G382</f>
        <v>3.1136156142107687</v>
      </c>
      <c r="J22" s="415">
        <f>+H378+H379+H382</f>
        <v>3.2172980430947042</v>
      </c>
      <c r="K22" s="415">
        <f>VLOOKUP(A22,'Grondslagen AU 2019'!A$1:DA$361,92,FALSE)</f>
        <v>2.9780000000000002</v>
      </c>
      <c r="L22" s="121">
        <f>+VLOOKUP(A22,'Grondslagen AU 2020'!A$5:DA$360,77,FALSE)</f>
        <v>2.8039999999999998</v>
      </c>
      <c r="M22" s="121">
        <f>+VLOOKUP(A22,'Grondslagen AU 2021'!A$6:DA$357,77,FALSE)</f>
        <v>2.7090000000000001</v>
      </c>
      <c r="N22" s="121">
        <v>2.669</v>
      </c>
      <c r="O22" s="416">
        <f t="shared" si="0"/>
        <v>4.0000000000000036E-2</v>
      </c>
      <c r="P22" s="121"/>
    </row>
    <row r="23" spans="1:16" x14ac:dyDescent="0.35">
      <c r="A23" s="72">
        <v>85</v>
      </c>
      <c r="B23" s="72">
        <v>2</v>
      </c>
      <c r="D23" s="72" t="s">
        <v>234</v>
      </c>
      <c r="H23" s="415">
        <f t="shared" ref="H23:H54" si="3">VLOOKUP(A23,A$353:F$734,6,FALSE)</f>
        <v>1.5145673298029225</v>
      </c>
      <c r="I23" s="415">
        <f t="shared" ref="I23:I54" si="4">VLOOKUP(A23,A$353:G$734,7,FALSE)</f>
        <v>1.6114136017033778</v>
      </c>
      <c r="J23" s="415">
        <f>VLOOKUP(A23,'Grondslagen AU 2018'!A19:DA404,92,FALSE)</f>
        <v>1.58252885832211</v>
      </c>
      <c r="K23" s="415">
        <f>VLOOKUP(A23,'Grondslagen AU 2019'!A$1:DA$361,92,FALSE)</f>
        <v>1.405</v>
      </c>
      <c r="L23" s="121">
        <f>+VLOOKUP(A23,'Grondslagen AU 2020'!A$5:DA$360,77,FALSE)</f>
        <v>1.494</v>
      </c>
      <c r="M23" s="121">
        <f>+VLOOKUP(A23,'Grondslagen AU 2021'!A$6:DA$357,77,FALSE)</f>
        <v>1.5029999999999999</v>
      </c>
      <c r="N23" s="121">
        <v>1.4690000000000001</v>
      </c>
      <c r="O23" s="416">
        <f t="shared" si="0"/>
        <v>3.3999999999999808E-2</v>
      </c>
      <c r="P23" s="121"/>
    </row>
    <row r="24" spans="1:16" x14ac:dyDescent="0.35">
      <c r="A24" s="72">
        <v>86</v>
      </c>
      <c r="B24" s="72">
        <v>2</v>
      </c>
      <c r="D24" s="72" t="s">
        <v>237</v>
      </c>
      <c r="H24" s="415">
        <f t="shared" si="3"/>
        <v>1.5100630132422885</v>
      </c>
      <c r="I24" s="415">
        <f t="shared" si="4"/>
        <v>1.6227148545403975</v>
      </c>
      <c r="J24" s="415">
        <f>VLOOKUP(A24,'Grondslagen AU 2018'!A20:DA405,92,FALSE)</f>
        <v>1.4968251424908501</v>
      </c>
      <c r="K24" s="415">
        <f>VLOOKUP(A24,'Grondslagen AU 2019'!A$1:DA$361,92,FALSE)</f>
        <v>1.369</v>
      </c>
      <c r="L24" s="121">
        <f>+VLOOKUP(A24,'Grondslagen AU 2020'!A$5:DA$360,77,FALSE)</f>
        <v>1.4490000000000001</v>
      </c>
      <c r="M24" s="121">
        <f>+VLOOKUP(A24,'Grondslagen AU 2021'!A$6:DA$357,77,FALSE)</f>
        <v>1.284</v>
      </c>
      <c r="N24" s="121">
        <v>1.2410000000000001</v>
      </c>
      <c r="O24" s="416">
        <f t="shared" si="0"/>
        <v>4.2999999999999927E-2</v>
      </c>
      <c r="P24" s="121"/>
    </row>
    <row r="25" spans="1:16" x14ac:dyDescent="0.35">
      <c r="A25" s="72">
        <v>88</v>
      </c>
      <c r="B25" s="72">
        <v>2</v>
      </c>
      <c r="D25" s="72" t="s">
        <v>268</v>
      </c>
      <c r="H25" s="415">
        <f t="shared" si="3"/>
        <v>9.0347015013937972E-3</v>
      </c>
      <c r="I25" s="415">
        <f t="shared" si="4"/>
        <v>1.0731628547735494E-2</v>
      </c>
      <c r="J25" s="415">
        <f>VLOOKUP(A25,'Grondslagen AU 2018'!A21:DA406,92,FALSE)</f>
        <v>1.1802278288783601E-2</v>
      </c>
      <c r="K25" s="415">
        <f>VLOOKUP(A25,'Grondslagen AU 2019'!A$1:DA$361,92,FALSE)</f>
        <v>8.0000000000000002E-3</v>
      </c>
      <c r="L25" s="121">
        <f>+VLOOKUP(A25,'Grondslagen AU 2020'!A$5:DA$360,77,FALSE)</f>
        <v>1.4E-2</v>
      </c>
      <c r="M25" s="121">
        <f>+VLOOKUP(A25,'Grondslagen AU 2021'!A$6:DA$357,77,FALSE)</f>
        <v>7.0000000000000001E-3</v>
      </c>
      <c r="N25" s="121">
        <v>5.0000000000000001E-3</v>
      </c>
      <c r="O25" s="416">
        <f t="shared" si="0"/>
        <v>2E-3</v>
      </c>
      <c r="P25" s="121"/>
    </row>
    <row r="26" spans="1:16" x14ac:dyDescent="0.35">
      <c r="A26" s="72">
        <v>90</v>
      </c>
      <c r="B26" s="72">
        <v>2</v>
      </c>
      <c r="D26" s="72" t="s">
        <v>278</v>
      </c>
      <c r="H26" s="415">
        <f t="shared" si="3"/>
        <v>5.3047747931118678</v>
      </c>
      <c r="I26" s="415">
        <f t="shared" si="4"/>
        <v>5.4234200125865719</v>
      </c>
      <c r="J26" s="415">
        <f>VLOOKUP(A26,'Grondslagen AU 2018'!A22:DA407,92,FALSE)</f>
        <v>5.7139909344635598</v>
      </c>
      <c r="K26" s="415">
        <f>VLOOKUP(A26,'Grondslagen AU 2019'!A$1:DA$361,92,FALSE)</f>
        <v>5.49</v>
      </c>
      <c r="L26" s="121">
        <f>+VLOOKUP(A26,'Grondslagen AU 2020'!A$5:DA$360,77,FALSE)</f>
        <v>5.4260000000000002</v>
      </c>
      <c r="M26" s="121">
        <f>+VLOOKUP(A26,'Grondslagen AU 2021'!A$6:DA$357,77,FALSE)</f>
        <v>5.2519999999999998</v>
      </c>
      <c r="N26" s="121">
        <v>4.9950000000000001</v>
      </c>
      <c r="O26" s="416">
        <f t="shared" si="0"/>
        <v>0.25699999999999967</v>
      </c>
      <c r="P26" s="121"/>
    </row>
    <row r="27" spans="1:16" x14ac:dyDescent="0.35">
      <c r="A27" s="72">
        <v>1900</v>
      </c>
      <c r="B27" s="72">
        <v>2</v>
      </c>
      <c r="D27" s="72" t="s">
        <v>289</v>
      </c>
      <c r="H27" s="415">
        <f t="shared" si="3"/>
        <v>5.9698848432855529</v>
      </c>
      <c r="I27" s="415">
        <f t="shared" si="4"/>
        <v>6.6951199096113196</v>
      </c>
      <c r="J27" s="415">
        <f>VLOOKUP(A27,'Grondslagen AU 2018'!A23:DA408,92,FALSE)</f>
        <v>6.7301296175434597</v>
      </c>
      <c r="K27" s="415">
        <f>VLOOKUP(A27,'Grondslagen AU 2019'!A$1:DA$361,92,FALSE)</f>
        <v>6.5549999999999997</v>
      </c>
      <c r="L27" s="121">
        <f>+VLOOKUP(A27,'Grondslagen AU 2020'!A$5:DA$360,77,FALSE)</f>
        <v>6.4119999999999999</v>
      </c>
      <c r="M27" s="121">
        <f>+VLOOKUP(A27,'Grondslagen AU 2021'!A$6:DA$357,77,FALSE)</f>
        <v>6.2930000000000001</v>
      </c>
      <c r="N27" s="121">
        <v>6.1769999999999996</v>
      </c>
      <c r="O27" s="416">
        <f t="shared" si="0"/>
        <v>0.11600000000000055</v>
      </c>
      <c r="P27" s="121"/>
    </row>
    <row r="28" spans="1:16" x14ac:dyDescent="0.35">
      <c r="A28" s="72">
        <v>93</v>
      </c>
      <c r="B28" s="72">
        <v>2</v>
      </c>
      <c r="D28" s="72" t="s">
        <v>291</v>
      </c>
      <c r="H28" s="415">
        <f t="shared" si="3"/>
        <v>3.1725318807896169E-2</v>
      </c>
      <c r="I28" s="415">
        <f t="shared" si="4"/>
        <v>2.4413459720970886E-2</v>
      </c>
      <c r="J28" s="415">
        <f>VLOOKUP(A28,'Grondslagen AU 2018'!A24:DA409,92,FALSE)</f>
        <v>2.4099318392074999E-2</v>
      </c>
      <c r="K28" s="415">
        <f>VLOOKUP(A28,'Grondslagen AU 2019'!A$1:DA$361,92,FALSE)</f>
        <v>2.5000000000000001E-2</v>
      </c>
      <c r="L28" s="121">
        <f>+VLOOKUP(A28,'Grondslagen AU 2020'!A$5:DA$360,77,FALSE)</f>
        <v>2.5000000000000001E-2</v>
      </c>
      <c r="M28" s="121">
        <f>+VLOOKUP(A28,'Grondslagen AU 2021'!A$6:DA$357,77,FALSE)</f>
        <v>2.5000000000000001E-2</v>
      </c>
      <c r="N28" s="121">
        <v>2.5000000000000001E-2</v>
      </c>
      <c r="O28" s="416">
        <f t="shared" si="0"/>
        <v>0</v>
      </c>
      <c r="P28" s="121"/>
    </row>
    <row r="29" spans="1:16" x14ac:dyDescent="0.35">
      <c r="A29" s="72">
        <v>737</v>
      </c>
      <c r="B29" s="72">
        <v>2</v>
      </c>
      <c r="D29" s="72" t="s">
        <v>300</v>
      </c>
      <c r="H29" s="415">
        <f t="shared" si="3"/>
        <v>1.3679005325129627</v>
      </c>
      <c r="I29" s="415">
        <f t="shared" si="4"/>
        <v>1.4034706583841861</v>
      </c>
      <c r="J29" s="415">
        <f>VLOOKUP(A29,'Grondslagen AU 2018'!A25:DA410,92,FALSE)</f>
        <v>1.3914378632883899</v>
      </c>
      <c r="K29" s="415">
        <f>VLOOKUP(A29,'Grondslagen AU 2019'!A$1:DA$361,92,FALSE)</f>
        <v>1.589</v>
      </c>
      <c r="L29" s="121">
        <f>+VLOOKUP(A29,'Grondslagen AU 2020'!A$5:DA$360,77,FALSE)</f>
        <v>1.573</v>
      </c>
      <c r="M29" s="121">
        <f>+VLOOKUP(A29,'Grondslagen AU 2021'!A$6:DA$357,77,FALSE)</f>
        <v>1.3939999999999999</v>
      </c>
      <c r="N29" s="121">
        <v>1.2949999999999999</v>
      </c>
      <c r="O29" s="416">
        <f t="shared" si="0"/>
        <v>9.8999999999999977E-2</v>
      </c>
      <c r="P29" s="121"/>
    </row>
    <row r="30" spans="1:16" x14ac:dyDescent="0.35">
      <c r="A30" s="72">
        <v>96</v>
      </c>
      <c r="B30" s="72">
        <v>2</v>
      </c>
      <c r="D30" s="72" t="s">
        <v>319</v>
      </c>
      <c r="H30" s="415">
        <f t="shared" si="3"/>
        <v>6.5305017113931564E-3</v>
      </c>
      <c r="I30" s="415">
        <f t="shared" si="4"/>
        <v>5.6003298388438531E-3</v>
      </c>
      <c r="J30" s="415">
        <f>VLOOKUP(A30,'Grondslagen AU 2018'!A26:DA411,92,FALSE)</f>
        <v>5.6113423896307496E-3</v>
      </c>
      <c r="K30" s="415">
        <f>VLOOKUP(A30,'Grondslagen AU 2019'!A$1:DA$361,92,FALSE)</f>
        <v>6.0000000000000001E-3</v>
      </c>
      <c r="L30" s="121">
        <f>+VLOOKUP(A30,'Grondslagen AU 2020'!A$5:DA$360,77,FALSE)</f>
        <v>7.0000000000000001E-3</v>
      </c>
      <c r="M30" s="121">
        <f>+VLOOKUP(A30,'Grondslagen AU 2021'!A$6:DA$357,77,FALSE)</f>
        <v>7.0000000000000001E-3</v>
      </c>
      <c r="N30" s="121">
        <v>7.0000000000000001E-3</v>
      </c>
      <c r="O30" s="416">
        <f t="shared" si="0"/>
        <v>0</v>
      </c>
      <c r="P30" s="121"/>
    </row>
    <row r="31" spans="1:16" x14ac:dyDescent="0.35">
      <c r="A31" s="72">
        <v>1949</v>
      </c>
      <c r="B31" s="72">
        <v>2</v>
      </c>
      <c r="D31" s="72" t="s">
        <v>325</v>
      </c>
      <c r="H31" s="415">
        <f t="shared" si="3"/>
        <v>2.8116315727214842</v>
      </c>
      <c r="I31" s="415">
        <f t="shared" si="4"/>
        <v>2.7488551494873708</v>
      </c>
      <c r="J31" s="415">
        <f>VLOOKUP(A31,'Grondslagen AU 2018'!A27:DA412,92,FALSE)</f>
        <v>2.7500141634134501</v>
      </c>
      <c r="K31" s="415">
        <f>VLOOKUP(A31,'Grondslagen AU 2019'!A$1:DA$361,92,FALSE)</f>
        <v>2.9630000000000001</v>
      </c>
      <c r="L31" s="121">
        <f>+VLOOKUP(A31,'Grondslagen AU 2020'!A$5:DA$360,77,FALSE)</f>
        <v>2.8969999999999998</v>
      </c>
      <c r="M31" s="121">
        <f>+VLOOKUP(A31,'Grondslagen AU 2021'!A$6:DA$357,77,FALSE)</f>
        <v>2.8839999999999999</v>
      </c>
      <c r="N31" s="121">
        <v>2.7429999999999999</v>
      </c>
      <c r="O31" s="416">
        <f t="shared" si="0"/>
        <v>0.14100000000000001</v>
      </c>
      <c r="P31" s="121"/>
    </row>
    <row r="32" spans="1:16" x14ac:dyDescent="0.35">
      <c r="A32" s="72">
        <v>98</v>
      </c>
      <c r="B32" s="72">
        <v>2</v>
      </c>
      <c r="D32" s="72" t="s">
        <v>341</v>
      </c>
      <c r="H32" s="415">
        <f t="shared" si="3"/>
        <v>1.2067523504652162</v>
      </c>
      <c r="I32" s="415">
        <f t="shared" si="4"/>
        <v>1.1517297990691306</v>
      </c>
      <c r="J32" s="415">
        <f>VLOOKUP(A32,'Grondslagen AU 2018'!A28:DA413,92,FALSE)</f>
        <v>1.24155945144877</v>
      </c>
      <c r="K32" s="415">
        <f>VLOOKUP(A32,'Grondslagen AU 2019'!A$1:DA$361,92,FALSE)</f>
        <v>1.1679999999999999</v>
      </c>
      <c r="L32" s="121">
        <f>+VLOOKUP(A32,'Grondslagen AU 2020'!A$5:DA$360,77,FALSE)</f>
        <v>1.2190000000000001</v>
      </c>
      <c r="M32" s="121">
        <f>+VLOOKUP(A32,'Grondslagen AU 2021'!A$6:DA$357,77,FALSE)</f>
        <v>1.107</v>
      </c>
      <c r="N32" s="121">
        <v>1.1240000000000001</v>
      </c>
      <c r="O32" s="416">
        <f t="shared" si="0"/>
        <v>-1.7000000000000126E-2</v>
      </c>
      <c r="P32" s="121"/>
    </row>
    <row r="33" spans="1:16" x14ac:dyDescent="0.35">
      <c r="A33" s="72">
        <v>1680</v>
      </c>
      <c r="B33" s="72">
        <v>3</v>
      </c>
      <c r="D33" s="72" t="s">
        <v>0</v>
      </c>
      <c r="H33" s="415">
        <f t="shared" si="3"/>
        <v>0.76071634924730414</v>
      </c>
      <c r="I33" s="415">
        <f t="shared" si="4"/>
        <v>0.71097182025255001</v>
      </c>
      <c r="J33" s="415">
        <f>VLOOKUP(A33,'Grondslagen AU 2018'!A29:DA414,92,FALSE)</f>
        <v>0.76241211620479399</v>
      </c>
      <c r="K33" s="415">
        <f>VLOOKUP(A33,'Grondslagen AU 2019'!A$1:DA$361,92,FALSE)</f>
        <v>0.83899999999999997</v>
      </c>
      <c r="L33" s="121">
        <f>+VLOOKUP(A33,'Grondslagen AU 2020'!A$5:DA$360,77,FALSE)</f>
        <v>0.87</v>
      </c>
      <c r="M33" s="121">
        <f>+VLOOKUP(A33,'Grondslagen AU 2021'!A$6:DA$357,77,FALSE)</f>
        <v>0.74299999999999999</v>
      </c>
      <c r="N33" s="121">
        <v>0.73799999999999999</v>
      </c>
      <c r="O33" s="416">
        <f t="shared" si="0"/>
        <v>5.0000000000000044E-3</v>
      </c>
      <c r="P33" s="121"/>
    </row>
    <row r="34" spans="1:16" x14ac:dyDescent="0.35">
      <c r="A34" s="72">
        <v>106</v>
      </c>
      <c r="B34" s="72">
        <v>3</v>
      </c>
      <c r="D34" s="72" t="s">
        <v>30</v>
      </c>
      <c r="H34" s="415">
        <f t="shared" si="3"/>
        <v>5.9540257934822556</v>
      </c>
      <c r="I34" s="415">
        <f t="shared" si="4"/>
        <v>5.7974527124155584</v>
      </c>
      <c r="J34" s="415">
        <f>VLOOKUP(A34,'Grondslagen AU 2018'!A30:DA415,92,FALSE)</f>
        <v>5.7723828822611498</v>
      </c>
      <c r="K34" s="415">
        <f>VLOOKUP(A34,'Grondslagen AU 2019'!A$1:DA$361,92,FALSE)</f>
        <v>6.0350000000000001</v>
      </c>
      <c r="L34" s="121">
        <f>+VLOOKUP(A34,'Grondslagen AU 2020'!A$5:DA$360,77,FALSE)</f>
        <v>6.016</v>
      </c>
      <c r="M34" s="121">
        <f>+VLOOKUP(A34,'Grondslagen AU 2021'!A$6:DA$357,77,FALSE)</f>
        <v>5.859</v>
      </c>
      <c r="N34" s="121">
        <v>5.6379999999999999</v>
      </c>
      <c r="O34" s="416">
        <f t="shared" si="0"/>
        <v>0.22100000000000009</v>
      </c>
      <c r="P34" s="121"/>
    </row>
    <row r="35" spans="1:16" x14ac:dyDescent="0.35">
      <c r="A35" s="72">
        <v>1681</v>
      </c>
      <c r="B35" s="72">
        <v>3</v>
      </c>
      <c r="D35" s="72" t="s">
        <v>55</v>
      </c>
      <c r="H35" s="415">
        <f t="shared" si="3"/>
        <v>1.3420062367764292</v>
      </c>
      <c r="I35" s="415">
        <f t="shared" si="4"/>
        <v>1.3614638060822559</v>
      </c>
      <c r="J35" s="415">
        <f>VLOOKUP(A35,'Grondslagen AU 2018'!A31:DA416,92,FALSE)</f>
        <v>1.3795505101953001</v>
      </c>
      <c r="K35" s="415">
        <f>VLOOKUP(A35,'Grondslagen AU 2019'!A$1:DA$361,92,FALSE)</f>
        <v>1.3959999999999999</v>
      </c>
      <c r="L35" s="121">
        <f>+VLOOKUP(A35,'Grondslagen AU 2020'!A$5:DA$360,77,FALSE)</f>
        <v>1.429</v>
      </c>
      <c r="M35" s="121">
        <f>+VLOOKUP(A35,'Grondslagen AU 2021'!A$6:DA$357,77,FALSE)</f>
        <v>1.343</v>
      </c>
      <c r="N35" s="121">
        <v>1.1120000000000001</v>
      </c>
      <c r="O35" s="416">
        <f t="shared" si="0"/>
        <v>0.23099999999999987</v>
      </c>
      <c r="P35" s="121"/>
    </row>
    <row r="36" spans="1:16" x14ac:dyDescent="0.35">
      <c r="A36" s="72">
        <v>109</v>
      </c>
      <c r="B36" s="72">
        <v>3</v>
      </c>
      <c r="D36" s="72" t="s">
        <v>70</v>
      </c>
      <c r="H36" s="415">
        <f t="shared" si="3"/>
        <v>2.4871551774350227</v>
      </c>
      <c r="I36" s="415">
        <f t="shared" si="4"/>
        <v>2.5235893962003693</v>
      </c>
      <c r="J36" s="415">
        <f>VLOOKUP(A36,'Grondslagen AU 2018'!A32:DA417,92,FALSE)</f>
        <v>2.3955040129221401</v>
      </c>
      <c r="K36" s="415">
        <f>VLOOKUP(A36,'Grondslagen AU 2019'!A$1:DA$361,92,FALSE)</f>
        <v>2.2669999999999999</v>
      </c>
      <c r="L36" s="121">
        <f>+VLOOKUP(A36,'Grondslagen AU 2020'!A$5:DA$360,77,FALSE)</f>
        <v>2.2210000000000001</v>
      </c>
      <c r="M36" s="121">
        <f>+VLOOKUP(A36,'Grondslagen AU 2021'!A$6:DA$357,77,FALSE)</f>
        <v>2.1749999999999998</v>
      </c>
      <c r="N36" s="121">
        <v>2.1059999999999999</v>
      </c>
      <c r="O36" s="416">
        <f t="shared" si="0"/>
        <v>6.899999999999995E-2</v>
      </c>
      <c r="P36" s="121"/>
    </row>
    <row r="37" spans="1:16" x14ac:dyDescent="0.35">
      <c r="A37" s="72">
        <v>1690</v>
      </c>
      <c r="B37" s="72">
        <v>3</v>
      </c>
      <c r="D37" s="72" t="s">
        <v>79</v>
      </c>
      <c r="H37" s="415">
        <f t="shared" si="3"/>
        <v>0.26997518605073312</v>
      </c>
      <c r="I37" s="415">
        <f t="shared" si="4"/>
        <v>0.23382522498918376</v>
      </c>
      <c r="J37" s="415">
        <f>VLOOKUP(A37,'Grondslagen AU 2018'!A33:DA418,92,FALSE)</f>
        <v>0.168766400293932</v>
      </c>
      <c r="K37" s="415">
        <f>VLOOKUP(A37,'Grondslagen AU 2019'!A$1:DA$361,92,FALSE)</f>
        <v>0.313</v>
      </c>
      <c r="L37" s="121">
        <f>+VLOOKUP(A37,'Grondslagen AU 2020'!A$5:DA$360,77,FALSE)</f>
        <v>0.33200000000000002</v>
      </c>
      <c r="M37" s="121">
        <f>+VLOOKUP(A37,'Grondslagen AU 2021'!A$6:DA$357,77,FALSE)</f>
        <v>0.33200000000000002</v>
      </c>
      <c r="N37" s="121">
        <v>0.32500000000000001</v>
      </c>
      <c r="O37" s="416">
        <f t="shared" si="0"/>
        <v>7.0000000000000062E-3</v>
      </c>
      <c r="P37" s="121"/>
    </row>
    <row r="38" spans="1:16" x14ac:dyDescent="0.35">
      <c r="A38" s="72">
        <v>114</v>
      </c>
      <c r="B38" s="72">
        <v>3</v>
      </c>
      <c r="D38" s="72" t="s">
        <v>104</v>
      </c>
      <c r="H38" s="415">
        <f t="shared" si="3"/>
        <v>11.4887585602337</v>
      </c>
      <c r="I38" s="415">
        <f t="shared" si="4"/>
        <v>11.654054284815095</v>
      </c>
      <c r="J38" s="415">
        <f>VLOOKUP(A38,'Grondslagen AU 2018'!A34:DA419,92,FALSE)</f>
        <v>11.459029159736399</v>
      </c>
      <c r="K38" s="415">
        <f>VLOOKUP(A38,'Grondslagen AU 2019'!A$1:DA$361,92,FALSE)</f>
        <v>11.06</v>
      </c>
      <c r="L38" s="121">
        <f>+VLOOKUP(A38,'Grondslagen AU 2020'!A$5:DA$360,77,FALSE)</f>
        <v>11.266</v>
      </c>
      <c r="M38" s="121">
        <f>+VLOOKUP(A38,'Grondslagen AU 2021'!A$6:DA$357,77,FALSE)</f>
        <v>10.96</v>
      </c>
      <c r="N38" s="121">
        <v>10.368</v>
      </c>
      <c r="O38" s="416">
        <f t="shared" si="0"/>
        <v>0.59200000000000053</v>
      </c>
      <c r="P38" s="121"/>
    </row>
    <row r="39" spans="1:16" x14ac:dyDescent="0.35">
      <c r="A39" s="72">
        <v>118</v>
      </c>
      <c r="B39" s="72">
        <v>3</v>
      </c>
      <c r="D39" s="72" t="s">
        <v>156</v>
      </c>
      <c r="H39" s="415">
        <f t="shared" si="3"/>
        <v>3.7912813040011661</v>
      </c>
      <c r="I39" s="415">
        <f t="shared" si="4"/>
        <v>3.5543360970364253</v>
      </c>
      <c r="J39" s="415">
        <f>VLOOKUP(A39,'Grondslagen AU 2018'!A35:DA420,92,FALSE)</f>
        <v>3.4082637145894301</v>
      </c>
      <c r="K39" s="415">
        <f>VLOOKUP(A39,'Grondslagen AU 2019'!A$1:DA$361,92,FALSE)</f>
        <v>3.6030000000000002</v>
      </c>
      <c r="L39" s="121">
        <f>+VLOOKUP(A39,'Grondslagen AU 2020'!A$5:DA$360,77,FALSE)</f>
        <v>3.54</v>
      </c>
      <c r="M39" s="121">
        <f>+VLOOKUP(A39,'Grondslagen AU 2021'!A$6:DA$357,77,FALSE)</f>
        <v>3.5590000000000002</v>
      </c>
      <c r="N39" s="121">
        <v>3.3210000000000002</v>
      </c>
      <c r="O39" s="416">
        <f t="shared" si="0"/>
        <v>0.23799999999999999</v>
      </c>
      <c r="P39" s="121"/>
    </row>
    <row r="40" spans="1:16" x14ac:dyDescent="0.35">
      <c r="A40" s="72">
        <v>119</v>
      </c>
      <c r="B40" s="72">
        <v>3</v>
      </c>
      <c r="D40" s="72" t="s">
        <v>199</v>
      </c>
      <c r="H40" s="415">
        <f t="shared" si="3"/>
        <v>1.5890199465843211</v>
      </c>
      <c r="I40" s="415">
        <f t="shared" si="4"/>
        <v>1.5130062578779875</v>
      </c>
      <c r="J40" s="415">
        <f>VLOOKUP(A40,'Grondslagen AU 2018'!A36:DA421,92,FALSE)</f>
        <v>1.5915849117779901</v>
      </c>
      <c r="K40" s="415">
        <f>VLOOKUP(A40,'Grondslagen AU 2019'!A$1:DA$361,92,FALSE)</f>
        <v>1.649</v>
      </c>
      <c r="L40" s="121">
        <f>+VLOOKUP(A40,'Grondslagen AU 2020'!A$5:DA$360,77,FALSE)</f>
        <v>1.7230000000000001</v>
      </c>
      <c r="M40" s="121">
        <f>+VLOOKUP(A40,'Grondslagen AU 2021'!A$6:DA$357,77,FALSE)</f>
        <v>1.651</v>
      </c>
      <c r="N40" s="121">
        <v>1.6319999999999999</v>
      </c>
      <c r="O40" s="416">
        <f t="shared" si="0"/>
        <v>1.9000000000000128E-2</v>
      </c>
      <c r="P40" s="121"/>
    </row>
    <row r="41" spans="1:16" x14ac:dyDescent="0.35">
      <c r="A41" s="72">
        <v>1731</v>
      </c>
      <c r="B41" s="72">
        <v>3</v>
      </c>
      <c r="D41" s="72" t="s">
        <v>201</v>
      </c>
      <c r="H41" s="415">
        <f t="shared" si="3"/>
        <v>1.0663676947344616</v>
      </c>
      <c r="I41" s="415">
        <f t="shared" si="4"/>
        <v>1.1608948307554676</v>
      </c>
      <c r="J41" s="415">
        <f>VLOOKUP(A41,'Grondslagen AU 2018'!A37:DA422,92,FALSE)</f>
        <v>1.0539585695512099</v>
      </c>
      <c r="K41" s="415">
        <f>VLOOKUP(A41,'Grondslagen AU 2019'!A$1:DA$361,92,FALSE)</f>
        <v>1.077</v>
      </c>
      <c r="L41" s="121">
        <f>+VLOOKUP(A41,'Grondslagen AU 2020'!A$5:DA$360,77,FALSE)</f>
        <v>1.046</v>
      </c>
      <c r="M41" s="121">
        <f>+VLOOKUP(A41,'Grondslagen AU 2021'!A$6:DA$357,77,FALSE)</f>
        <v>0.95299999999999996</v>
      </c>
      <c r="N41" s="121">
        <v>1.046</v>
      </c>
      <c r="O41" s="416">
        <f t="shared" si="0"/>
        <v>-9.3000000000000083E-2</v>
      </c>
      <c r="P41" s="121"/>
    </row>
    <row r="42" spans="1:16" x14ac:dyDescent="0.35">
      <c r="A42" s="72">
        <v>1699</v>
      </c>
      <c r="B42" s="72">
        <v>3</v>
      </c>
      <c r="D42" s="72" t="s">
        <v>219</v>
      </c>
      <c r="H42" s="415">
        <f t="shared" si="3"/>
        <v>1.3226741618842406</v>
      </c>
      <c r="I42" s="415">
        <f t="shared" si="4"/>
        <v>1.2568806890057524</v>
      </c>
      <c r="J42" s="415">
        <f>VLOOKUP(A42,'Grondslagen AU 2018'!A38:DA423,92,FALSE)</f>
        <v>1.3906195903634899</v>
      </c>
      <c r="K42" s="415">
        <f>VLOOKUP(A42,'Grondslagen AU 2019'!A$1:DA$361,92,FALSE)</f>
        <v>1.3520000000000001</v>
      </c>
      <c r="L42" s="121">
        <f>+VLOOKUP(A42,'Grondslagen AU 2020'!A$5:DA$360,77,FALSE)</f>
        <v>1.3120000000000001</v>
      </c>
      <c r="M42" s="121">
        <f>+VLOOKUP(A42,'Grondslagen AU 2021'!A$6:DA$357,77,FALSE)</f>
        <v>1.036</v>
      </c>
      <c r="N42" s="121">
        <v>1.1679999999999999</v>
      </c>
      <c r="O42" s="416">
        <f t="shared" si="0"/>
        <v>-0.1319999999999999</v>
      </c>
      <c r="P42" s="121"/>
    </row>
    <row r="43" spans="1:16" x14ac:dyDescent="0.35">
      <c r="A43" s="72">
        <v>1730</v>
      </c>
      <c r="B43" s="72">
        <v>3</v>
      </c>
      <c r="D43" s="72" t="s">
        <v>299</v>
      </c>
      <c r="H43" s="415">
        <f t="shared" si="3"/>
        <v>0.89659142661993652</v>
      </c>
      <c r="I43" s="415">
        <f t="shared" si="4"/>
        <v>0.96775929470263566</v>
      </c>
      <c r="J43" s="415">
        <f>VLOOKUP(A43,'Grondslagen AU 2018'!A39:DA424,92,FALSE)</f>
        <v>1.0088566583032399</v>
      </c>
      <c r="K43" s="415">
        <f>VLOOKUP(A43,'Grondslagen AU 2019'!A$1:DA$361,92,FALSE)</f>
        <v>1.113</v>
      </c>
      <c r="L43" s="121">
        <f>+VLOOKUP(A43,'Grondslagen AU 2020'!A$5:DA$360,77,FALSE)</f>
        <v>1.0640000000000001</v>
      </c>
      <c r="M43" s="121">
        <f>+VLOOKUP(A43,'Grondslagen AU 2021'!A$6:DA$357,77,FALSE)</f>
        <v>0.99</v>
      </c>
      <c r="N43" s="121">
        <v>0.94199999999999995</v>
      </c>
      <c r="O43" s="416">
        <f t="shared" si="0"/>
        <v>4.8000000000000043E-2</v>
      </c>
      <c r="P43" s="121"/>
    </row>
    <row r="44" spans="1:16" x14ac:dyDescent="0.35">
      <c r="A44" s="72">
        <v>1701</v>
      </c>
      <c r="B44" s="72">
        <v>3</v>
      </c>
      <c r="D44" s="72" t="s">
        <v>337</v>
      </c>
      <c r="H44" s="415">
        <f t="shared" si="3"/>
        <v>0.61558290162531926</v>
      </c>
      <c r="I44" s="415">
        <f t="shared" si="4"/>
        <v>0.57235225423858516</v>
      </c>
      <c r="J44" s="415">
        <f>VLOOKUP(A44,'Grondslagen AU 2018'!A40:DA425,92,FALSE)</f>
        <v>0.409745798743333</v>
      </c>
      <c r="K44" s="415">
        <f>VLOOKUP(A44,'Grondslagen AU 2019'!A$1:DA$361,92,FALSE)</f>
        <v>0.45300000000000001</v>
      </c>
      <c r="L44" s="121">
        <f>+VLOOKUP(A44,'Grondslagen AU 2020'!A$5:DA$360,77,FALSE)</f>
        <v>0.46899999999999997</v>
      </c>
      <c r="M44" s="121">
        <f>+VLOOKUP(A44,'Grondslagen AU 2021'!A$6:DA$357,77,FALSE)</f>
        <v>0.47799999999999998</v>
      </c>
      <c r="N44" s="121">
        <v>0.495</v>
      </c>
      <c r="O44" s="416">
        <f t="shared" si="0"/>
        <v>-1.7000000000000015E-2</v>
      </c>
      <c r="P44" s="121"/>
    </row>
    <row r="45" spans="1:16" x14ac:dyDescent="0.35">
      <c r="A45" s="72">
        <v>141</v>
      </c>
      <c r="B45" s="72">
        <v>4</v>
      </c>
      <c r="D45" s="72" t="s">
        <v>18</v>
      </c>
      <c r="H45" s="415">
        <f t="shared" si="3"/>
        <v>8.2159530047094211</v>
      </c>
      <c r="I45" s="415">
        <f t="shared" si="4"/>
        <v>8.6982580631307655</v>
      </c>
      <c r="J45" s="415">
        <f>VLOOKUP(A45,'Grondslagen AU 2018'!A41:DA426,92,FALSE)</f>
        <v>8.6989657746948907</v>
      </c>
      <c r="K45" s="415">
        <f>VLOOKUP(A45,'Grondslagen AU 2019'!A$1:DA$361,92,FALSE)</f>
        <v>8.7270000000000003</v>
      </c>
      <c r="L45" s="121">
        <f>+VLOOKUP(A45,'Grondslagen AU 2020'!A$5:DA$360,77,FALSE)</f>
        <v>8.5169999999999995</v>
      </c>
      <c r="M45" s="121">
        <f>+VLOOKUP(A45,'Grondslagen AU 2021'!A$6:DA$357,77,FALSE)</f>
        <v>8.4260000000000002</v>
      </c>
      <c r="N45" s="121">
        <v>8.17</v>
      </c>
      <c r="O45" s="416">
        <f t="shared" si="0"/>
        <v>0.25600000000000023</v>
      </c>
      <c r="P45" s="121"/>
    </row>
    <row r="46" spans="1:16" x14ac:dyDescent="0.35">
      <c r="A46" s="72">
        <v>147</v>
      </c>
      <c r="B46" s="72">
        <v>4</v>
      </c>
      <c r="D46" s="72" t="s">
        <v>56</v>
      </c>
      <c r="H46" s="415">
        <f t="shared" si="3"/>
        <v>0.51238912683169102</v>
      </c>
      <c r="I46" s="415">
        <f t="shared" si="4"/>
        <v>0.49408232431774762</v>
      </c>
      <c r="J46" s="415">
        <f>VLOOKUP(A46,'Grondslagen AU 2018'!A42:DA427,92,FALSE)</f>
        <v>0.53138863666687297</v>
      </c>
      <c r="K46" s="415">
        <f>VLOOKUP(A46,'Grondslagen AU 2019'!A$1:DA$361,92,FALSE)</f>
        <v>0.56899999999999995</v>
      </c>
      <c r="L46" s="121">
        <f>+VLOOKUP(A46,'Grondslagen AU 2020'!A$5:DA$360,77,FALSE)</f>
        <v>0.57099999999999995</v>
      </c>
      <c r="M46" s="121">
        <f>+VLOOKUP(A46,'Grondslagen AU 2021'!A$6:DA$357,77,FALSE)</f>
        <v>0.46600000000000003</v>
      </c>
      <c r="N46" s="121">
        <v>0.51400000000000001</v>
      </c>
      <c r="O46" s="416">
        <f t="shared" si="0"/>
        <v>-4.7999999999999987E-2</v>
      </c>
      <c r="P46" s="121"/>
    </row>
    <row r="47" spans="1:16" x14ac:dyDescent="0.35">
      <c r="A47" s="72">
        <v>148</v>
      </c>
      <c r="B47" s="72">
        <v>4</v>
      </c>
      <c r="D47" s="72" t="s">
        <v>74</v>
      </c>
      <c r="H47" s="415">
        <f t="shared" si="3"/>
        <v>0.15829985580968742</v>
      </c>
      <c r="I47" s="415">
        <f t="shared" si="4"/>
        <v>0.13324500611107185</v>
      </c>
      <c r="J47" s="415">
        <f>VLOOKUP(A47,'Grondslagen AU 2018'!A43:DA428,92,FALSE)</f>
        <v>0.132021367850788</v>
      </c>
      <c r="K47" s="415">
        <f>VLOOKUP(A47,'Grondslagen AU 2019'!A$1:DA$361,92,FALSE)</f>
        <v>0.14000000000000001</v>
      </c>
      <c r="L47" s="121">
        <f>+VLOOKUP(A47,'Grondslagen AU 2020'!A$5:DA$360,77,FALSE)</f>
        <v>0.27200000000000002</v>
      </c>
      <c r="M47" s="121">
        <f>+VLOOKUP(A47,'Grondslagen AU 2021'!A$6:DA$357,77,FALSE)</f>
        <v>0.15</v>
      </c>
      <c r="N47" s="121">
        <v>0.15</v>
      </c>
      <c r="O47" s="416">
        <f t="shared" si="0"/>
        <v>0</v>
      </c>
      <c r="P47" s="121"/>
    </row>
    <row r="48" spans="1:16" x14ac:dyDescent="0.35">
      <c r="A48" s="72">
        <v>150</v>
      </c>
      <c r="B48" s="72">
        <v>4</v>
      </c>
      <c r="D48" s="72" t="s">
        <v>84</v>
      </c>
      <c r="H48" s="415">
        <f t="shared" si="3"/>
        <v>6.6571958861489522</v>
      </c>
      <c r="I48" s="415">
        <f t="shared" si="4"/>
        <v>7.072776870926365</v>
      </c>
      <c r="J48" s="415">
        <f>VLOOKUP(A48,'Grondslagen AU 2018'!A44:DA429,92,FALSE)</f>
        <v>7.4641243003184901</v>
      </c>
      <c r="K48" s="415">
        <f>VLOOKUP(A48,'Grondslagen AU 2019'!A$1:DA$361,92,FALSE)</f>
        <v>7.3230000000000004</v>
      </c>
      <c r="L48" s="121">
        <f>+VLOOKUP(A48,'Grondslagen AU 2020'!A$5:DA$360,77,FALSE)</f>
        <v>7.3579999999999997</v>
      </c>
      <c r="M48" s="121">
        <f>+VLOOKUP(A48,'Grondslagen AU 2021'!A$6:DA$357,77,FALSE)</f>
        <v>7.3049999999999997</v>
      </c>
      <c r="N48" s="121">
        <v>7.07</v>
      </c>
      <c r="O48" s="416">
        <f t="shared" si="0"/>
        <v>0.23499999999999943</v>
      </c>
      <c r="P48" s="121"/>
    </row>
    <row r="49" spans="1:16" x14ac:dyDescent="0.35">
      <c r="A49" s="72">
        <v>1774</v>
      </c>
      <c r="B49" s="72">
        <v>4</v>
      </c>
      <c r="D49" s="72" t="s">
        <v>86</v>
      </c>
      <c r="H49" s="415">
        <f t="shared" si="3"/>
        <v>0.15523654085402075</v>
      </c>
      <c r="I49" s="415">
        <f t="shared" si="4"/>
        <v>0.12577789965927996</v>
      </c>
      <c r="J49" s="415">
        <f>VLOOKUP(A49,'Grondslagen AU 2018'!A45:DA430,92,FALSE)</f>
        <v>0.12511858596098599</v>
      </c>
      <c r="K49" s="415">
        <f>VLOOKUP(A49,'Grondslagen AU 2019'!A$1:DA$361,92,FALSE)</f>
        <v>0.13100000000000001</v>
      </c>
      <c r="L49" s="121">
        <f>+VLOOKUP(A49,'Grondslagen AU 2020'!A$5:DA$360,77,FALSE)</f>
        <v>0.13400000000000001</v>
      </c>
      <c r="M49" s="121">
        <f>+VLOOKUP(A49,'Grondslagen AU 2021'!A$6:DA$357,77,FALSE)</f>
        <v>0.13100000000000001</v>
      </c>
      <c r="N49" s="121">
        <v>0.13200000000000001</v>
      </c>
      <c r="O49" s="416">
        <f t="shared" si="0"/>
        <v>-1.0000000000000009E-3</v>
      </c>
      <c r="P49" s="121"/>
    </row>
    <row r="50" spans="1:16" x14ac:dyDescent="0.35">
      <c r="A50" s="72">
        <v>153</v>
      </c>
      <c r="B50" s="72">
        <v>4</v>
      </c>
      <c r="D50" s="72" t="s">
        <v>106</v>
      </c>
      <c r="H50" s="415">
        <f t="shared" si="3"/>
        <v>20.822805636460174</v>
      </c>
      <c r="I50" s="415">
        <f t="shared" si="4"/>
        <v>21.377540455187201</v>
      </c>
      <c r="J50" s="415">
        <f>VLOOKUP(A50,'Grondslagen AU 2018'!A46:DA431,92,FALSE)</f>
        <v>21.115621656576099</v>
      </c>
      <c r="K50" s="415">
        <f>VLOOKUP(A50,'Grondslagen AU 2019'!A$1:DA$361,92,FALSE)</f>
        <v>20.206</v>
      </c>
      <c r="L50" s="121">
        <f>+VLOOKUP(A50,'Grondslagen AU 2020'!A$5:DA$360,77,FALSE)</f>
        <v>20.106999999999999</v>
      </c>
      <c r="M50" s="121">
        <f>+VLOOKUP(A50,'Grondslagen AU 2021'!A$6:DA$357,77,FALSE)</f>
        <v>19.631</v>
      </c>
      <c r="N50" s="121">
        <v>19.298999999999999</v>
      </c>
      <c r="O50" s="416">
        <f t="shared" si="0"/>
        <v>0.33200000000000074</v>
      </c>
      <c r="P50" s="121"/>
    </row>
    <row r="51" spans="1:16" x14ac:dyDescent="0.35">
      <c r="A51" s="72">
        <v>158</v>
      </c>
      <c r="B51" s="72">
        <v>4</v>
      </c>
      <c r="D51" s="72" t="s">
        <v>124</v>
      </c>
      <c r="H51" s="415">
        <f t="shared" si="3"/>
        <v>0.72121162835140384</v>
      </c>
      <c r="I51" s="415">
        <f t="shared" si="4"/>
        <v>0.72540275226829476</v>
      </c>
      <c r="J51" s="415">
        <f>VLOOKUP(A51,'Grondslagen AU 2018'!A47:DA432,92,FALSE)</f>
        <v>0.65407521363818899</v>
      </c>
      <c r="K51" s="415">
        <f>VLOOKUP(A51,'Grondslagen AU 2019'!A$1:DA$361,92,FALSE)</f>
        <v>0.64400000000000002</v>
      </c>
      <c r="L51" s="121">
        <f>+VLOOKUP(A51,'Grondslagen AU 2020'!A$5:DA$360,77,FALSE)</f>
        <v>0.629</v>
      </c>
      <c r="M51" s="121">
        <f>+VLOOKUP(A51,'Grondslagen AU 2021'!A$6:DA$357,77,FALSE)</f>
        <v>0.54600000000000004</v>
      </c>
      <c r="N51" s="121">
        <v>0.49099999999999999</v>
      </c>
      <c r="O51" s="416">
        <f t="shared" si="0"/>
        <v>5.5000000000000049E-2</v>
      </c>
      <c r="P51" s="121"/>
    </row>
    <row r="52" spans="1:16" x14ac:dyDescent="0.35">
      <c r="A52" s="72">
        <v>160</v>
      </c>
      <c r="B52" s="72">
        <v>4</v>
      </c>
      <c r="D52" s="72" t="s">
        <v>129</v>
      </c>
      <c r="H52" s="415">
        <f t="shared" si="3"/>
        <v>1.8416147112653063</v>
      </c>
      <c r="I52" s="415">
        <f t="shared" si="4"/>
        <v>1.8181289430664187</v>
      </c>
      <c r="J52" s="415">
        <f>VLOOKUP(A52,'Grondslagen AU 2018'!A48:DA433,92,FALSE)</f>
        <v>1.7984402092182299</v>
      </c>
      <c r="K52" s="415">
        <f>VLOOKUP(A52,'Grondslagen AU 2019'!A$1:DA$361,92,FALSE)</f>
        <v>1.804</v>
      </c>
      <c r="L52" s="121">
        <f>+VLOOKUP(A52,'Grondslagen AU 2020'!A$5:DA$360,77,FALSE)</f>
        <v>1.9019999999999999</v>
      </c>
      <c r="M52" s="121">
        <f>+VLOOKUP(A52,'Grondslagen AU 2021'!A$6:DA$357,77,FALSE)</f>
        <v>1.825</v>
      </c>
      <c r="N52" s="121">
        <v>1.833</v>
      </c>
      <c r="O52" s="416">
        <f t="shared" si="0"/>
        <v>-8.0000000000000071E-3</v>
      </c>
      <c r="P52" s="121"/>
    </row>
    <row r="53" spans="1:16" x14ac:dyDescent="0.35">
      <c r="A53" s="72">
        <v>163</v>
      </c>
      <c r="B53" s="72">
        <v>4</v>
      </c>
      <c r="D53" s="72" t="s">
        <v>142</v>
      </c>
      <c r="H53" s="415">
        <f t="shared" si="3"/>
        <v>0.75862727557824561</v>
      </c>
      <c r="I53" s="415">
        <f t="shared" si="4"/>
        <v>0.73712275971341801</v>
      </c>
      <c r="J53" s="415">
        <f>VLOOKUP(A53,'Grondslagen AU 2018'!A49:DA434,92,FALSE)</f>
        <v>0.71795046470834001</v>
      </c>
      <c r="K53" s="415">
        <f>VLOOKUP(A53,'Grondslagen AU 2019'!A$1:DA$361,92,FALSE)</f>
        <v>0.74199999999999999</v>
      </c>
      <c r="L53" s="121">
        <f>+VLOOKUP(A53,'Grondslagen AU 2020'!A$5:DA$360,77,FALSE)</f>
        <v>0.70899999999999996</v>
      </c>
      <c r="M53" s="121">
        <f>+VLOOKUP(A53,'Grondslagen AU 2021'!A$6:DA$357,77,FALSE)</f>
        <v>0.69099999999999995</v>
      </c>
      <c r="N53" s="121">
        <v>0.58899999999999997</v>
      </c>
      <c r="O53" s="416">
        <f t="shared" si="0"/>
        <v>0.10199999999999998</v>
      </c>
      <c r="P53" s="121"/>
    </row>
    <row r="54" spans="1:16" x14ac:dyDescent="0.35">
      <c r="A54" s="72">
        <v>164</v>
      </c>
      <c r="B54" s="72">
        <v>4</v>
      </c>
      <c r="D54" s="72" t="s">
        <v>146</v>
      </c>
      <c r="H54" s="415">
        <f t="shared" si="3"/>
        <v>6.1421623925718354</v>
      </c>
      <c r="I54" s="415">
        <f t="shared" si="4"/>
        <v>6.0485822709645358</v>
      </c>
      <c r="J54" s="415">
        <f>VLOOKUP(A54,'Grondslagen AU 2018'!A50:DA435,92,FALSE)</f>
        <v>6.2204877369536504</v>
      </c>
      <c r="K54" s="415">
        <f>VLOOKUP(A54,'Grondslagen AU 2019'!A$1:DA$361,92,FALSE)</f>
        <v>6.2549999999999999</v>
      </c>
      <c r="L54" s="121">
        <f>+VLOOKUP(A54,'Grondslagen AU 2020'!A$5:DA$360,77,FALSE)</f>
        <v>6.375</v>
      </c>
      <c r="M54" s="121">
        <f>+VLOOKUP(A54,'Grondslagen AU 2021'!A$6:DA$357,77,FALSE)</f>
        <v>6.2249999999999996</v>
      </c>
      <c r="N54" s="121">
        <v>6.1950000000000003</v>
      </c>
      <c r="O54" s="416">
        <f t="shared" si="0"/>
        <v>2.9999999999999361E-2</v>
      </c>
      <c r="P54" s="121"/>
    </row>
    <row r="55" spans="1:16" x14ac:dyDescent="0.35">
      <c r="A55" s="72">
        <v>1735</v>
      </c>
      <c r="B55" s="72">
        <v>4</v>
      </c>
      <c r="D55" s="72" t="s">
        <v>154</v>
      </c>
      <c r="H55" s="415">
        <f t="shared" ref="H55:H86" si="5">VLOOKUP(A55,A$353:F$734,6,FALSE)</f>
        <v>0.53241226365070515</v>
      </c>
      <c r="I55" s="415">
        <f t="shared" ref="I55:I86" si="6">VLOOKUP(A55,A$353:G$734,7,FALSE)</f>
        <v>0.59410154567144746</v>
      </c>
      <c r="J55" s="415">
        <f>VLOOKUP(A55,'Grondslagen AU 2018'!A51:DA436,92,FALSE)</f>
        <v>0.57154720647883395</v>
      </c>
      <c r="K55" s="415">
        <f>VLOOKUP(A55,'Grondslagen AU 2019'!A$1:DA$361,92,FALSE)</f>
        <v>0.72</v>
      </c>
      <c r="L55" s="121">
        <f>+VLOOKUP(A55,'Grondslagen AU 2020'!A$5:DA$360,77,FALSE)</f>
        <v>0.72199999999999998</v>
      </c>
      <c r="M55" s="121">
        <f>+VLOOKUP(A55,'Grondslagen AU 2021'!A$6:DA$357,77,FALSE)</f>
        <v>0.60299999999999998</v>
      </c>
      <c r="N55" s="121">
        <v>0.71499999999999997</v>
      </c>
      <c r="O55" s="416">
        <f t="shared" si="0"/>
        <v>-0.11199999999999999</v>
      </c>
      <c r="P55" s="121"/>
    </row>
    <row r="56" spans="1:16" x14ac:dyDescent="0.35">
      <c r="A56" s="72">
        <v>166</v>
      </c>
      <c r="B56" s="72">
        <v>4</v>
      </c>
      <c r="D56" s="72" t="s">
        <v>164</v>
      </c>
      <c r="H56" s="415">
        <f t="shared" si="5"/>
        <v>1.2833863759763688</v>
      </c>
      <c r="I56" s="415">
        <f t="shared" si="6"/>
        <v>1.3462654776121046</v>
      </c>
      <c r="J56" s="415">
        <f>VLOOKUP(A56,'Grondslagen AU 2018'!A52:DA437,92,FALSE)</f>
        <v>1.4369128838422101</v>
      </c>
      <c r="K56" s="415">
        <f>VLOOKUP(A56,'Grondslagen AU 2019'!A$1:DA$361,92,FALSE)</f>
        <v>1.661</v>
      </c>
      <c r="L56" s="121">
        <f>+VLOOKUP(A56,'Grondslagen AU 2020'!A$5:DA$360,77,FALSE)</f>
        <v>1.7529999999999999</v>
      </c>
      <c r="M56" s="121">
        <f>+VLOOKUP(A56,'Grondslagen AU 2021'!A$6:DA$357,77,FALSE)</f>
        <v>1.7649999999999999</v>
      </c>
      <c r="N56" s="121">
        <v>1.5760000000000001</v>
      </c>
      <c r="O56" s="416">
        <f t="shared" si="0"/>
        <v>0.18899999999999983</v>
      </c>
      <c r="P56" s="121"/>
    </row>
    <row r="57" spans="1:16" x14ac:dyDescent="0.35">
      <c r="A57" s="72">
        <v>168</v>
      </c>
      <c r="B57" s="72">
        <v>4</v>
      </c>
      <c r="D57" s="72" t="s">
        <v>191</v>
      </c>
      <c r="H57" s="415">
        <f t="shared" si="5"/>
        <v>0.77677701148016665</v>
      </c>
      <c r="I57" s="415">
        <f t="shared" si="6"/>
        <v>0.9142947892249057</v>
      </c>
      <c r="J57" s="415">
        <f>VLOOKUP(A57,'Grondslagen AU 2018'!A53:DA438,92,FALSE)</f>
        <v>0.79005989102000096</v>
      </c>
      <c r="K57" s="415">
        <f>VLOOKUP(A57,'Grondslagen AU 2019'!A$1:DA$361,92,FALSE)</f>
        <v>0.65100000000000002</v>
      </c>
      <c r="L57" s="121">
        <f>+VLOOKUP(A57,'Grondslagen AU 2020'!A$5:DA$360,77,FALSE)</f>
        <v>0.58199999999999996</v>
      </c>
      <c r="M57" s="121">
        <f>+VLOOKUP(A57,'Grondslagen AU 2021'!A$6:DA$357,77,FALSE)</f>
        <v>0.44900000000000001</v>
      </c>
      <c r="N57" s="121">
        <v>0.49399999999999999</v>
      </c>
      <c r="O57" s="416">
        <f t="shared" si="0"/>
        <v>-4.4999999999999984E-2</v>
      </c>
      <c r="P57" s="121"/>
    </row>
    <row r="58" spans="1:16" x14ac:dyDescent="0.35">
      <c r="A58" s="72">
        <v>173</v>
      </c>
      <c r="B58" s="72">
        <v>4</v>
      </c>
      <c r="D58" s="72" t="s">
        <v>229</v>
      </c>
      <c r="H58" s="415">
        <f t="shared" si="5"/>
        <v>1.228574877762953</v>
      </c>
      <c r="I58" s="415">
        <f t="shared" si="6"/>
        <v>1.2550169232328161</v>
      </c>
      <c r="J58" s="415">
        <f>VLOOKUP(A58,'Grondslagen AU 2018'!A54:DA439,92,FALSE)</f>
        <v>1.18505815351025</v>
      </c>
      <c r="K58" s="415">
        <f>VLOOKUP(A58,'Grondslagen AU 2019'!A$1:DA$361,92,FALSE)</f>
        <v>1.2330000000000001</v>
      </c>
      <c r="L58" s="121">
        <f>+VLOOKUP(A58,'Grondslagen AU 2020'!A$5:DA$360,77,FALSE)</f>
        <v>1.228</v>
      </c>
      <c r="M58" s="121">
        <f>+VLOOKUP(A58,'Grondslagen AU 2021'!A$6:DA$357,77,FALSE)</f>
        <v>1.119</v>
      </c>
      <c r="N58" s="121">
        <v>0.99199999999999999</v>
      </c>
      <c r="O58" s="416">
        <f t="shared" si="0"/>
        <v>0.127</v>
      </c>
      <c r="P58" s="121"/>
    </row>
    <row r="59" spans="1:16" x14ac:dyDescent="0.35">
      <c r="A59" s="72">
        <v>1773</v>
      </c>
      <c r="B59" s="72">
        <v>4</v>
      </c>
      <c r="D59" s="72" t="s">
        <v>230</v>
      </c>
      <c r="H59" s="415">
        <f t="shared" si="5"/>
        <v>0.15235037695122225</v>
      </c>
      <c r="I59" s="415">
        <f t="shared" si="6"/>
        <v>8.89218085931444E-2</v>
      </c>
      <c r="J59" s="415">
        <f>VLOOKUP(A59,'Grondslagen AU 2018'!A55:DA440,92,FALSE)</f>
        <v>0.118889265154971</v>
      </c>
      <c r="K59" s="415">
        <f>VLOOKUP(A59,'Grondslagen AU 2019'!A$1:DA$361,92,FALSE)</f>
        <v>0.183</v>
      </c>
      <c r="L59" s="121">
        <f>+VLOOKUP(A59,'Grondslagen AU 2020'!A$5:DA$360,77,FALSE)</f>
        <v>0.23</v>
      </c>
      <c r="M59" s="121">
        <f>+VLOOKUP(A59,'Grondslagen AU 2021'!A$6:DA$357,77,FALSE)</f>
        <v>0.22</v>
      </c>
      <c r="N59" s="121">
        <v>0.25900000000000001</v>
      </c>
      <c r="O59" s="416">
        <f t="shared" si="0"/>
        <v>-3.9000000000000007E-2</v>
      </c>
      <c r="P59" s="121"/>
    </row>
    <row r="60" spans="1:16" x14ac:dyDescent="0.35">
      <c r="A60" s="72">
        <v>175</v>
      </c>
      <c r="B60" s="72">
        <v>4</v>
      </c>
      <c r="D60" s="72" t="s">
        <v>231</v>
      </c>
      <c r="H60" s="415">
        <f t="shared" si="5"/>
        <v>0.31153276295063553</v>
      </c>
      <c r="I60" s="415">
        <f t="shared" si="6"/>
        <v>0.28261349513759731</v>
      </c>
      <c r="J60" s="415">
        <f>VLOOKUP(A60,'Grondslagen AU 2018'!A56:DA441,92,FALSE)</f>
        <v>0.30657003941093303</v>
      </c>
      <c r="K60" s="415">
        <f>VLOOKUP(A60,'Grondslagen AU 2019'!A$1:DA$361,92,FALSE)</f>
        <v>0.38900000000000001</v>
      </c>
      <c r="L60" s="121">
        <f>+VLOOKUP(A60,'Grondslagen AU 2020'!A$5:DA$360,77,FALSE)</f>
        <v>0.36799999999999999</v>
      </c>
      <c r="M60" s="121">
        <f>+VLOOKUP(A60,'Grondslagen AU 2021'!A$6:DA$357,77,FALSE)</f>
        <v>0.41199999999999998</v>
      </c>
      <c r="N60" s="121">
        <v>0.42899999999999999</v>
      </c>
      <c r="O60" s="416">
        <f t="shared" si="0"/>
        <v>-1.7000000000000015E-2</v>
      </c>
      <c r="P60" s="121"/>
    </row>
    <row r="61" spans="1:16" x14ac:dyDescent="0.35">
      <c r="A61" s="72">
        <v>177</v>
      </c>
      <c r="B61" s="72">
        <v>4</v>
      </c>
      <c r="D61" s="72" t="s">
        <v>249</v>
      </c>
      <c r="H61" s="415">
        <f t="shared" si="5"/>
        <v>0.40338974636141067</v>
      </c>
      <c r="I61" s="415">
        <f t="shared" si="6"/>
        <v>0.25907924923207404</v>
      </c>
      <c r="J61" s="415">
        <f>VLOOKUP(A61,'Grondslagen AU 2018'!A57:DA442,92,FALSE)</f>
        <v>0.27154395034293799</v>
      </c>
      <c r="K61" s="415">
        <f>VLOOKUP(A61,'Grondslagen AU 2019'!A$1:DA$361,92,FALSE)</f>
        <v>0.41199999999999998</v>
      </c>
      <c r="L61" s="121">
        <f>+VLOOKUP(A61,'Grondslagen AU 2020'!A$5:DA$360,77,FALSE)</f>
        <v>0.43</v>
      </c>
      <c r="M61" s="121">
        <f>+VLOOKUP(A61,'Grondslagen AU 2021'!A$6:DA$357,77,FALSE)</f>
        <v>0.45400000000000001</v>
      </c>
      <c r="N61" s="121">
        <v>0.49099999999999999</v>
      </c>
      <c r="O61" s="416">
        <f t="shared" si="0"/>
        <v>-3.6999999999999977E-2</v>
      </c>
      <c r="P61" s="121"/>
    </row>
    <row r="62" spans="1:16" x14ac:dyDescent="0.35">
      <c r="A62" s="72">
        <v>1742</v>
      </c>
      <c r="B62" s="72">
        <v>4</v>
      </c>
      <c r="D62" s="72" t="s">
        <v>257</v>
      </c>
      <c r="H62" s="415">
        <f t="shared" si="5"/>
        <v>0.41390128512923913</v>
      </c>
      <c r="I62" s="415">
        <f t="shared" si="6"/>
        <v>0.32782676930752758</v>
      </c>
      <c r="J62" s="415">
        <f>VLOOKUP(A62,'Grondslagen AU 2018'!A58:DA443,92,FALSE)</f>
        <v>0.40336918990340898</v>
      </c>
      <c r="K62" s="415">
        <f>VLOOKUP(A62,'Grondslagen AU 2019'!A$1:DA$361,92,FALSE)</f>
        <v>0.55700000000000005</v>
      </c>
      <c r="L62" s="121">
        <f>+VLOOKUP(A62,'Grondslagen AU 2020'!A$5:DA$360,77,FALSE)</f>
        <v>0.59</v>
      </c>
      <c r="M62" s="121">
        <f>+VLOOKUP(A62,'Grondslagen AU 2021'!A$6:DA$357,77,FALSE)</f>
        <v>0.55600000000000005</v>
      </c>
      <c r="N62" s="121">
        <v>0.46899999999999997</v>
      </c>
      <c r="O62" s="416">
        <f t="shared" si="0"/>
        <v>8.7000000000000077E-2</v>
      </c>
      <c r="P62" s="121"/>
    </row>
    <row r="63" spans="1:16" x14ac:dyDescent="0.35">
      <c r="A63" s="72">
        <v>180</v>
      </c>
      <c r="B63" s="72">
        <v>4</v>
      </c>
      <c r="D63" s="72" t="s">
        <v>283</v>
      </c>
      <c r="H63" s="415">
        <f t="shared" si="5"/>
        <v>9.3369707221851367E-2</v>
      </c>
      <c r="I63" s="415">
        <f t="shared" si="6"/>
        <v>0.11315593534669573</v>
      </c>
      <c r="J63" s="415">
        <f>VLOOKUP(A63,'Grondslagen AU 2018'!A59:DA444,92,FALSE)</f>
        <v>9.43867000582395E-2</v>
      </c>
      <c r="K63" s="415">
        <f>VLOOKUP(A63,'Grondslagen AU 2019'!A$1:DA$361,92,FALSE)</f>
        <v>8.4000000000000005E-2</v>
      </c>
      <c r="L63" s="121">
        <f>+VLOOKUP(A63,'Grondslagen AU 2020'!A$5:DA$360,77,FALSE)</f>
        <v>8.5000000000000006E-2</v>
      </c>
      <c r="M63" s="121">
        <f>+VLOOKUP(A63,'Grondslagen AU 2021'!A$6:DA$357,77,FALSE)</f>
        <v>8.4000000000000005E-2</v>
      </c>
      <c r="N63" s="121">
        <v>8.5000000000000006E-2</v>
      </c>
      <c r="O63" s="416">
        <f t="shared" si="0"/>
        <v>-1.0000000000000009E-3</v>
      </c>
      <c r="P63" s="121"/>
    </row>
    <row r="64" spans="1:16" x14ac:dyDescent="0.35">
      <c r="A64" s="72">
        <v>1708</v>
      </c>
      <c r="B64" s="72">
        <v>4</v>
      </c>
      <c r="D64" s="72" t="s">
        <v>286</v>
      </c>
      <c r="H64" s="415">
        <f t="shared" si="5"/>
        <v>2.2377033888113091</v>
      </c>
      <c r="I64" s="415">
        <f t="shared" si="6"/>
        <v>2.0966415994922052</v>
      </c>
      <c r="J64" s="415">
        <f>VLOOKUP(A64,'Grondslagen AU 2018'!A60:DA445,92,FALSE)</f>
        <v>1.7418784002101799</v>
      </c>
      <c r="K64" s="415">
        <f>VLOOKUP(A64,'Grondslagen AU 2019'!A$1:DA$361,92,FALSE)</f>
        <v>1.6339999999999999</v>
      </c>
      <c r="L64" s="121">
        <f>+VLOOKUP(A64,'Grondslagen AU 2020'!A$5:DA$360,77,FALSE)</f>
        <v>1.754</v>
      </c>
      <c r="M64" s="121">
        <f>+VLOOKUP(A64,'Grondslagen AU 2021'!A$6:DA$357,77,FALSE)</f>
        <v>1.6990000000000001</v>
      </c>
      <c r="N64" s="121">
        <v>1.6160000000000001</v>
      </c>
      <c r="O64" s="416">
        <f t="shared" si="0"/>
        <v>8.2999999999999963E-2</v>
      </c>
      <c r="P64" s="121"/>
    </row>
    <row r="65" spans="1:16" x14ac:dyDescent="0.35">
      <c r="A65" s="72">
        <v>183</v>
      </c>
      <c r="B65" s="72">
        <v>4</v>
      </c>
      <c r="D65" s="72" t="s">
        <v>297</v>
      </c>
      <c r="H65" s="415">
        <f t="shared" si="5"/>
        <v>0.13478945953836285</v>
      </c>
      <c r="I65" s="415">
        <f t="shared" si="6"/>
        <v>0.10453183960126175</v>
      </c>
      <c r="J65" s="415">
        <f>VLOOKUP(A65,'Grondslagen AU 2018'!A61:DA446,92,FALSE)</f>
        <v>0.103420891902562</v>
      </c>
      <c r="K65" s="415">
        <f>VLOOKUP(A65,'Grondslagen AU 2019'!A$1:DA$361,92,FALSE)</f>
        <v>0.109</v>
      </c>
      <c r="L65" s="121">
        <f>+VLOOKUP(A65,'Grondslagen AU 2020'!A$5:DA$360,77,FALSE)</f>
        <v>0.111</v>
      </c>
      <c r="M65" s="121">
        <f>+VLOOKUP(A65,'Grondslagen AU 2021'!A$6:DA$357,77,FALSE)</f>
        <v>0.108</v>
      </c>
      <c r="N65" s="121">
        <v>0.108</v>
      </c>
      <c r="O65" s="416">
        <f t="shared" si="0"/>
        <v>0</v>
      </c>
      <c r="P65" s="121"/>
    </row>
    <row r="66" spans="1:16" x14ac:dyDescent="0.35">
      <c r="A66" s="72">
        <v>1700</v>
      </c>
      <c r="B66" s="72">
        <v>4</v>
      </c>
      <c r="D66" s="72" t="s">
        <v>298</v>
      </c>
      <c r="H66" s="415">
        <f t="shared" si="5"/>
        <v>0.93471191704214718</v>
      </c>
      <c r="I66" s="415">
        <f t="shared" si="6"/>
        <v>1.0496046045688441</v>
      </c>
      <c r="J66" s="415">
        <f>VLOOKUP(A66,'Grondslagen AU 2018'!A62:DA447,92,FALSE)</f>
        <v>1.0963328225112901</v>
      </c>
      <c r="K66" s="415">
        <f>VLOOKUP(A66,'Grondslagen AU 2019'!A$1:DA$361,92,FALSE)</f>
        <v>1.0780000000000001</v>
      </c>
      <c r="L66" s="121">
        <f>+VLOOKUP(A66,'Grondslagen AU 2020'!A$5:DA$360,77,FALSE)</f>
        <v>1.1020000000000001</v>
      </c>
      <c r="M66" s="121">
        <f>+VLOOKUP(A66,'Grondslagen AU 2021'!A$6:DA$357,77,FALSE)</f>
        <v>1.02</v>
      </c>
      <c r="N66" s="121">
        <v>0.98099999999999998</v>
      </c>
      <c r="O66" s="416">
        <f t="shared" si="0"/>
        <v>3.9000000000000035E-2</v>
      </c>
      <c r="P66" s="121"/>
    </row>
    <row r="67" spans="1:16" x14ac:dyDescent="0.35">
      <c r="A67" s="72">
        <v>189</v>
      </c>
      <c r="B67" s="72">
        <v>4</v>
      </c>
      <c r="D67" s="72" t="s">
        <v>343</v>
      </c>
      <c r="H67" s="415">
        <f t="shared" si="5"/>
        <v>0.23008756444556852</v>
      </c>
      <c r="I67" s="415">
        <f t="shared" si="6"/>
        <v>0.11405699076159044</v>
      </c>
      <c r="J67" s="415">
        <f>VLOOKUP(A67,'Grondslagen AU 2018'!A63:DA448,92,FALSE)</f>
        <v>0.11358625779279501</v>
      </c>
      <c r="K67" s="415">
        <f>VLOOKUP(A67,'Grondslagen AU 2019'!A$1:DA$361,92,FALSE)</f>
        <v>0.11899999999999999</v>
      </c>
      <c r="L67" s="121">
        <f>+VLOOKUP(A67,'Grondslagen AU 2020'!A$5:DA$360,77,FALSE)</f>
        <v>0.16900000000000001</v>
      </c>
      <c r="M67" s="121">
        <f>+VLOOKUP(A67,'Grondslagen AU 2021'!A$6:DA$357,77,FALSE)</f>
        <v>0.159</v>
      </c>
      <c r="N67" s="121">
        <v>0.13500000000000001</v>
      </c>
      <c r="O67" s="416">
        <f t="shared" si="0"/>
        <v>2.3999999999999994E-2</v>
      </c>
      <c r="P67" s="121"/>
    </row>
    <row r="68" spans="1:16" x14ac:dyDescent="0.35">
      <c r="A68" s="72">
        <v>1896</v>
      </c>
      <c r="B68" s="72">
        <v>4</v>
      </c>
      <c r="D68" s="72" t="s">
        <v>363</v>
      </c>
      <c r="H68" s="415">
        <f t="shared" si="5"/>
        <v>0.16574731824355057</v>
      </c>
      <c r="I68" s="415">
        <f t="shared" si="6"/>
        <v>0.14164443525596146</v>
      </c>
      <c r="J68" s="415">
        <f>VLOOKUP(A68,'Grondslagen AU 2018'!A64:DA449,92,FALSE)</f>
        <v>0.12226556776936399</v>
      </c>
      <c r="K68" s="415">
        <f>VLOOKUP(A68,'Grondslagen AU 2019'!A$1:DA$361,92,FALSE)</f>
        <v>0.23699999999999999</v>
      </c>
      <c r="L68" s="121">
        <f>+VLOOKUP(A68,'Grondslagen AU 2020'!A$5:DA$360,77,FALSE)</f>
        <v>0.30199999999999999</v>
      </c>
      <c r="M68" s="121">
        <f>+VLOOKUP(A68,'Grondslagen AU 2021'!A$6:DA$357,77,FALSE)</f>
        <v>0.188</v>
      </c>
      <c r="N68" s="121">
        <v>0.13300000000000001</v>
      </c>
      <c r="O68" s="416">
        <f t="shared" si="0"/>
        <v>5.4999999999999993E-2</v>
      </c>
      <c r="P68" s="121"/>
    </row>
    <row r="69" spans="1:16" x14ac:dyDescent="0.35">
      <c r="A69" s="72">
        <v>193</v>
      </c>
      <c r="B69" s="72">
        <v>4</v>
      </c>
      <c r="D69" s="72" t="s">
        <v>365</v>
      </c>
      <c r="H69" s="415">
        <f t="shared" si="5"/>
        <v>7.8547564963928771</v>
      </c>
      <c r="I69" s="415">
        <f t="shared" si="6"/>
        <v>8.0238230250556111</v>
      </c>
      <c r="J69" s="415">
        <f>VLOOKUP(A69,'Grondslagen AU 2018'!A65:DA450,92,FALSE)</f>
        <v>8.3835743378797005</v>
      </c>
      <c r="K69" s="415">
        <f>VLOOKUP(A69,'Grondslagen AU 2019'!A$1:DA$361,92,FALSE)</f>
        <v>8.7769999999999992</v>
      </c>
      <c r="L69" s="121">
        <f>+VLOOKUP(A69,'Grondslagen AU 2020'!A$5:DA$360,77,FALSE)</f>
        <v>9.1170000000000009</v>
      </c>
      <c r="M69" s="121">
        <f>+VLOOKUP(A69,'Grondslagen AU 2021'!A$6:DA$357,77,FALSE)</f>
        <v>9.1929999999999996</v>
      </c>
      <c r="N69" s="121">
        <v>9.0630000000000006</v>
      </c>
      <c r="O69" s="416">
        <f t="shared" si="0"/>
        <v>0.12999999999999901</v>
      </c>
      <c r="P69" s="121"/>
    </row>
    <row r="70" spans="1:16" x14ac:dyDescent="0.35">
      <c r="A70" s="72">
        <v>197</v>
      </c>
      <c r="B70" s="72">
        <v>5</v>
      </c>
      <c r="D70" s="72" t="s">
        <v>13</v>
      </c>
      <c r="H70" s="415">
        <f t="shared" si="5"/>
        <v>0.50280190818649451</v>
      </c>
      <c r="I70" s="415">
        <f t="shared" si="6"/>
        <v>0.42995482030460708</v>
      </c>
      <c r="J70" s="415">
        <f>VLOOKUP(A70,'Grondslagen AU 2018'!A66:DA451,92,FALSE)</f>
        <v>0.39797496807261401</v>
      </c>
      <c r="K70" s="415">
        <f>VLOOKUP(A70,'Grondslagen AU 2019'!A$1:DA$361,92,FALSE)</f>
        <v>0.41599999999999998</v>
      </c>
      <c r="L70" s="121">
        <f>+VLOOKUP(A70,'Grondslagen AU 2020'!A$5:DA$360,77,FALSE)</f>
        <v>0.37</v>
      </c>
      <c r="M70" s="121">
        <f>+VLOOKUP(A70,'Grondslagen AU 2021'!A$6:DA$357,77,FALSE)</f>
        <v>0.34499999999999997</v>
      </c>
      <c r="N70" s="121">
        <v>0.39</v>
      </c>
      <c r="O70" s="416">
        <f t="shared" ref="O70:O133" si="7">+M70-N70</f>
        <v>-4.500000000000004E-2</v>
      </c>
      <c r="P70" s="121"/>
    </row>
    <row r="71" spans="1:16" x14ac:dyDescent="0.35">
      <c r="A71" s="72">
        <v>200</v>
      </c>
      <c r="B71" s="72">
        <v>5</v>
      </c>
      <c r="D71" s="72" t="s">
        <v>27</v>
      </c>
      <c r="H71" s="415">
        <f t="shared" si="5"/>
        <v>7.9024503788936391</v>
      </c>
      <c r="I71" s="415">
        <f t="shared" si="6"/>
        <v>7.7822834931018336</v>
      </c>
      <c r="J71" s="415">
        <f>VLOOKUP(A71,'Grondslagen AU 2018'!A67:DA452,92,FALSE)</f>
        <v>8.0303055752511892</v>
      </c>
      <c r="K71" s="415">
        <f>VLOOKUP(A71,'Grondslagen AU 2019'!A$1:DA$361,92,FALSE)</f>
        <v>8.4019999999999992</v>
      </c>
      <c r="L71" s="121">
        <f>+VLOOKUP(A71,'Grondslagen AU 2020'!A$5:DA$360,77,FALSE)</f>
        <v>8.3439999999999994</v>
      </c>
      <c r="M71" s="121">
        <f>+VLOOKUP(A71,'Grondslagen AU 2021'!A$6:DA$357,77,FALSE)</f>
        <v>8.3360000000000003</v>
      </c>
      <c r="N71" s="121">
        <v>8.375</v>
      </c>
      <c r="O71" s="416">
        <f t="shared" si="7"/>
        <v>-3.8999999999999702E-2</v>
      </c>
      <c r="P71" s="121"/>
    </row>
    <row r="72" spans="1:16" x14ac:dyDescent="0.35">
      <c r="A72" s="72">
        <v>202</v>
      </c>
      <c r="B72" s="72">
        <v>5</v>
      </c>
      <c r="D72" s="72" t="s">
        <v>29</v>
      </c>
      <c r="H72" s="415">
        <f t="shared" si="5"/>
        <v>20.159573842762839</v>
      </c>
      <c r="I72" s="415">
        <f t="shared" si="6"/>
        <v>21.520182851717603</v>
      </c>
      <c r="J72" s="415">
        <f>VLOOKUP(A72,'Grondslagen AU 2018'!A68:DA453,92,FALSE)</f>
        <v>22.70710179212</v>
      </c>
      <c r="K72" s="415">
        <f>VLOOKUP(A72,'Grondslagen AU 2019'!A$1:DA$361,92,FALSE)</f>
        <v>23.518999999999998</v>
      </c>
      <c r="L72" s="121">
        <f>+VLOOKUP(A72,'Grondslagen AU 2020'!A$5:DA$360,77,FALSE)</f>
        <v>23.286000000000001</v>
      </c>
      <c r="M72" s="121">
        <f>+VLOOKUP(A72,'Grondslagen AU 2021'!A$6:DA$357,77,FALSE)</f>
        <v>22.898</v>
      </c>
      <c r="N72" s="121">
        <v>22.059000000000001</v>
      </c>
      <c r="O72" s="416">
        <f t="shared" si="7"/>
        <v>0.83899999999999864</v>
      </c>
      <c r="P72" s="121"/>
    </row>
    <row r="73" spans="1:16" x14ac:dyDescent="0.35">
      <c r="A73" s="72">
        <v>203</v>
      </c>
      <c r="B73" s="72">
        <v>5</v>
      </c>
      <c r="D73" s="72" t="s">
        <v>35</v>
      </c>
      <c r="H73" s="415">
        <f t="shared" si="5"/>
        <v>0.44956192347548019</v>
      </c>
      <c r="I73" s="415">
        <f t="shared" si="6"/>
        <v>0.26518938917213836</v>
      </c>
      <c r="J73" s="415">
        <f>VLOOKUP(A73,'Grondslagen AU 2018'!A69:DA454,92,FALSE)</f>
        <v>0.266104507535181</v>
      </c>
      <c r="K73" s="415">
        <f>VLOOKUP(A73,'Grondslagen AU 2019'!A$1:DA$361,92,FALSE)</f>
        <v>0.28499999999999998</v>
      </c>
      <c r="L73" s="121">
        <f>+VLOOKUP(A73,'Grondslagen AU 2020'!A$5:DA$360,77,FALSE)</f>
        <v>0.34100000000000003</v>
      </c>
      <c r="M73" s="121">
        <f>+VLOOKUP(A73,'Grondslagen AU 2021'!A$6:DA$357,77,FALSE)</f>
        <v>0.36899999999999999</v>
      </c>
      <c r="N73" s="121">
        <v>0.52300000000000002</v>
      </c>
      <c r="O73" s="416">
        <f t="shared" si="7"/>
        <v>-0.15400000000000003</v>
      </c>
      <c r="P73" s="121"/>
    </row>
    <row r="74" spans="1:16" x14ac:dyDescent="0.35">
      <c r="A74" s="72">
        <v>1945</v>
      </c>
      <c r="B74" s="72">
        <v>5</v>
      </c>
      <c r="D74" s="72" t="s">
        <v>40</v>
      </c>
      <c r="H74" s="415">
        <f t="shared" si="5"/>
        <v>1.4924272962710028</v>
      </c>
      <c r="I74" s="415">
        <f t="shared" si="6"/>
        <v>1.7369441996874442</v>
      </c>
      <c r="J74" s="415">
        <f>VLOOKUP(A74,'Grondslagen AU 2018'!A70:DA455,92,FALSE)</f>
        <v>1.9251044903290999</v>
      </c>
      <c r="K74" s="415">
        <f>VLOOKUP(A74,'Grondslagen AU 2019'!A$1:DA$361,92,FALSE)</f>
        <v>1.8420000000000001</v>
      </c>
      <c r="L74" s="121">
        <f>+VLOOKUP(A74,'Grondslagen AU 2020'!A$5:DA$360,77,FALSE)</f>
        <v>2.0129999999999999</v>
      </c>
      <c r="M74" s="121">
        <f>+VLOOKUP(A74,'Grondslagen AU 2021'!A$6:DA$357,77,FALSE)</f>
        <v>1.98</v>
      </c>
      <c r="N74" s="121">
        <v>1.913</v>
      </c>
      <c r="O74" s="416">
        <f t="shared" si="7"/>
        <v>6.6999999999999948E-2</v>
      </c>
      <c r="P74" s="121"/>
    </row>
    <row r="75" spans="1:16" x14ac:dyDescent="0.35">
      <c r="A75" s="72">
        <v>1859</v>
      </c>
      <c r="B75" s="72">
        <v>5</v>
      </c>
      <c r="D75" s="72" t="s">
        <v>45</v>
      </c>
      <c r="H75" s="415">
        <f t="shared" si="5"/>
        <v>1.0260638708347325</v>
      </c>
      <c r="I75" s="415">
        <f t="shared" si="6"/>
        <v>0.82954273533569878</v>
      </c>
      <c r="J75" s="415">
        <f>VLOOKUP(A75,'Grondslagen AU 2018'!A71:DA456,92,FALSE)</f>
        <v>0.99516083413427403</v>
      </c>
      <c r="K75" s="415">
        <f>VLOOKUP(A75,'Grondslagen AU 2019'!A$1:DA$361,92,FALSE)</f>
        <v>1.0580000000000001</v>
      </c>
      <c r="L75" s="121">
        <f>+VLOOKUP(A75,'Grondslagen AU 2020'!A$5:DA$360,77,FALSE)</f>
        <v>1.0669999999999999</v>
      </c>
      <c r="M75" s="121">
        <f>+VLOOKUP(A75,'Grondslagen AU 2021'!A$6:DA$357,77,FALSE)</f>
        <v>1.105</v>
      </c>
      <c r="N75" s="121">
        <v>1.0169999999999999</v>
      </c>
      <c r="O75" s="416">
        <f t="shared" si="7"/>
        <v>8.8000000000000078E-2</v>
      </c>
      <c r="P75" s="121"/>
    </row>
    <row r="76" spans="1:16" x14ac:dyDescent="0.35">
      <c r="A76" s="72">
        <v>209</v>
      </c>
      <c r="B76" s="72">
        <v>5</v>
      </c>
      <c r="D76" s="72" t="s">
        <v>48</v>
      </c>
      <c r="H76" s="415">
        <f t="shared" si="5"/>
        <v>0.69797327562131273</v>
      </c>
      <c r="I76" s="415">
        <f t="shared" si="6"/>
        <v>0.60784115052338161</v>
      </c>
      <c r="J76" s="415">
        <f>VLOOKUP(A76,'Grondslagen AU 2018'!A72:DA457,92,FALSE)</f>
        <v>0.63943579945133</v>
      </c>
      <c r="K76" s="415">
        <f>VLOOKUP(A76,'Grondslagen AU 2019'!A$1:DA$361,92,FALSE)</f>
        <v>0.56499999999999995</v>
      </c>
      <c r="L76" s="121">
        <f>+VLOOKUP(A76,'Grondslagen AU 2020'!A$5:DA$360,77,FALSE)</f>
        <v>0.64400000000000002</v>
      </c>
      <c r="M76" s="121">
        <f>+VLOOKUP(A76,'Grondslagen AU 2021'!A$6:DA$357,77,FALSE)</f>
        <v>0.61899999999999999</v>
      </c>
      <c r="N76" s="121">
        <v>0.65900000000000003</v>
      </c>
      <c r="O76" s="416">
        <f t="shared" si="7"/>
        <v>-4.0000000000000036E-2</v>
      </c>
      <c r="P76" s="121"/>
    </row>
    <row r="77" spans="1:16" x14ac:dyDescent="0.35">
      <c r="A77" s="72">
        <v>1876</v>
      </c>
      <c r="B77" s="72">
        <v>5</v>
      </c>
      <c r="D77" s="72" t="s">
        <v>62</v>
      </c>
      <c r="H77" s="415">
        <f t="shared" si="5"/>
        <v>0.30893461615112494</v>
      </c>
      <c r="I77" s="415">
        <f t="shared" si="6"/>
        <v>0.30135550095714458</v>
      </c>
      <c r="J77" s="415">
        <f>VLOOKUP(A77,'Grondslagen AU 2018'!A73:DA458,92,FALSE)</f>
        <v>0.22298204041644301</v>
      </c>
      <c r="K77" s="415">
        <f>VLOOKUP(A77,'Grondslagen AU 2019'!A$1:DA$361,92,FALSE)</f>
        <v>0.25</v>
      </c>
      <c r="L77" s="121">
        <f>+VLOOKUP(A77,'Grondslagen AU 2020'!A$5:DA$360,77,FALSE)</f>
        <v>0.20399999999999999</v>
      </c>
      <c r="M77" s="121">
        <f>+VLOOKUP(A77,'Grondslagen AU 2021'!A$6:DA$357,77,FALSE)</f>
        <v>0.224</v>
      </c>
      <c r="N77" s="121">
        <v>0.24399999999999999</v>
      </c>
      <c r="O77" s="416">
        <f t="shared" si="7"/>
        <v>-1.999999999999999E-2</v>
      </c>
      <c r="P77" s="121"/>
    </row>
    <row r="78" spans="1:16" x14ac:dyDescent="0.35">
      <c r="A78" s="72">
        <v>213</v>
      </c>
      <c r="B78" s="72">
        <v>5</v>
      </c>
      <c r="D78" s="72" t="s">
        <v>63</v>
      </c>
      <c r="H78" s="415">
        <f t="shared" si="5"/>
        <v>0.56024500814271005</v>
      </c>
      <c r="I78" s="415">
        <f t="shared" si="6"/>
        <v>0.56059328084866844</v>
      </c>
      <c r="J78" s="415">
        <f>VLOOKUP(A78,'Grondslagen AU 2018'!A74:DA459,92,FALSE)</f>
        <v>0.52538621598148505</v>
      </c>
      <c r="K78" s="415">
        <f>VLOOKUP(A78,'Grondslagen AU 2019'!A$1:DA$361,92,FALSE)</f>
        <v>0.73499999999999999</v>
      </c>
      <c r="L78" s="121">
        <f>+VLOOKUP(A78,'Grondslagen AU 2020'!A$5:DA$360,77,FALSE)</f>
        <v>0.625</v>
      </c>
      <c r="M78" s="121">
        <f>+VLOOKUP(A78,'Grondslagen AU 2021'!A$6:DA$357,77,FALSE)</f>
        <v>0.52800000000000002</v>
      </c>
      <c r="N78" s="121">
        <v>0.39</v>
      </c>
      <c r="O78" s="416">
        <f t="shared" si="7"/>
        <v>0.13800000000000001</v>
      </c>
      <c r="P78" s="121"/>
    </row>
    <row r="79" spans="1:16" x14ac:dyDescent="0.35">
      <c r="A79" s="72">
        <v>214</v>
      </c>
      <c r="B79" s="72">
        <v>5</v>
      </c>
      <c r="D79" s="72" t="s">
        <v>67</v>
      </c>
      <c r="H79" s="415">
        <f t="shared" si="5"/>
        <v>0.18138937897191881</v>
      </c>
      <c r="I79" s="415">
        <f t="shared" si="6"/>
        <v>0.13015411368635474</v>
      </c>
      <c r="J79" s="415">
        <f>VLOOKUP(A79,'Grondslagen AU 2018'!A75:DA460,92,FALSE)</f>
        <v>0.12878144068369299</v>
      </c>
      <c r="K79" s="415">
        <f>VLOOKUP(A79,'Grondslagen AU 2019'!A$1:DA$361,92,FALSE)</f>
        <v>0.13500000000000001</v>
      </c>
      <c r="L79" s="121">
        <f>+VLOOKUP(A79,'Grondslagen AU 2020'!A$5:DA$360,77,FALSE)</f>
        <v>0.13700000000000001</v>
      </c>
      <c r="M79" s="121">
        <f>+VLOOKUP(A79,'Grondslagen AU 2021'!A$6:DA$357,77,FALSE)</f>
        <v>0.13500000000000001</v>
      </c>
      <c r="N79" s="121">
        <v>0.13700000000000001</v>
      </c>
      <c r="O79" s="416">
        <f t="shared" si="7"/>
        <v>-2.0000000000000018E-3</v>
      </c>
      <c r="P79" s="121"/>
    </row>
    <row r="80" spans="1:16" x14ac:dyDescent="0.35">
      <c r="A80" s="72">
        <v>216</v>
      </c>
      <c r="B80" s="72">
        <v>5</v>
      </c>
      <c r="D80" s="72" t="s">
        <v>73</v>
      </c>
      <c r="H80" s="415">
        <f t="shared" si="5"/>
        <v>1.2710696400472372</v>
      </c>
      <c r="I80" s="415">
        <f t="shared" si="6"/>
        <v>1.2838203636092314</v>
      </c>
      <c r="J80" s="415">
        <f>VLOOKUP(A80,'Grondslagen AU 2018'!A76:DA461,92,FALSE)</f>
        <v>1.2248324526760099</v>
      </c>
      <c r="K80" s="415">
        <f>VLOOKUP(A80,'Grondslagen AU 2019'!A$1:DA$361,92,FALSE)</f>
        <v>1.089</v>
      </c>
      <c r="L80" s="121">
        <f>+VLOOKUP(A80,'Grondslagen AU 2020'!A$5:DA$360,77,FALSE)</f>
        <v>1.165</v>
      </c>
      <c r="M80" s="121">
        <f>+VLOOKUP(A80,'Grondslagen AU 2021'!A$6:DA$357,77,FALSE)</f>
        <v>1.024</v>
      </c>
      <c r="N80" s="121">
        <v>0.88100000000000001</v>
      </c>
      <c r="O80" s="416">
        <f t="shared" si="7"/>
        <v>0.14300000000000002</v>
      </c>
      <c r="P80" s="121"/>
    </row>
    <row r="81" spans="1:16" x14ac:dyDescent="0.35">
      <c r="A81" s="72">
        <v>221</v>
      </c>
      <c r="B81" s="72">
        <v>5</v>
      </c>
      <c r="D81" s="72" t="s">
        <v>87</v>
      </c>
      <c r="H81" s="415">
        <f t="shared" si="5"/>
        <v>0.89535080274201617</v>
      </c>
      <c r="I81" s="415">
        <f t="shared" si="6"/>
        <v>0.89080427255764294</v>
      </c>
      <c r="J81" s="415">
        <f>VLOOKUP(A81,'Grondslagen AU 2018'!A77:DA462,92,FALSE)</f>
        <v>0.84863498895754497</v>
      </c>
      <c r="K81" s="415">
        <f>VLOOKUP(A81,'Grondslagen AU 2019'!A$1:DA$361,92,FALSE)</f>
        <v>0.72799999999999998</v>
      </c>
      <c r="L81" s="121">
        <f>+VLOOKUP(A81,'Grondslagen AU 2020'!A$5:DA$360,77,FALSE)</f>
        <v>0.76400000000000001</v>
      </c>
      <c r="M81" s="121">
        <f>+VLOOKUP(A81,'Grondslagen AU 2021'!A$6:DA$357,77,FALSE)</f>
        <v>0.72599999999999998</v>
      </c>
      <c r="N81" s="121">
        <v>0.67700000000000005</v>
      </c>
      <c r="O81" s="416">
        <f t="shared" si="7"/>
        <v>4.8999999999999932E-2</v>
      </c>
      <c r="P81" s="121"/>
    </row>
    <row r="82" spans="1:16" x14ac:dyDescent="0.35">
      <c r="A82" s="72">
        <v>222</v>
      </c>
      <c r="B82" s="72">
        <v>5</v>
      </c>
      <c r="D82" s="72" t="s">
        <v>88</v>
      </c>
      <c r="H82" s="415">
        <f t="shared" si="5"/>
        <v>2.7305147464452704</v>
      </c>
      <c r="I82" s="415">
        <f t="shared" si="6"/>
        <v>2.6838157205533686</v>
      </c>
      <c r="J82" s="415">
        <f>VLOOKUP(A82,'Grondslagen AU 2018'!A78:DA463,92,FALSE)</f>
        <v>2.8775260123579698</v>
      </c>
      <c r="K82" s="415">
        <f>VLOOKUP(A82,'Grondslagen AU 2019'!A$1:DA$361,92,FALSE)</f>
        <v>2.8359999999999999</v>
      </c>
      <c r="L82" s="121">
        <f>+VLOOKUP(A82,'Grondslagen AU 2020'!A$5:DA$360,77,FALSE)</f>
        <v>3.1419999999999999</v>
      </c>
      <c r="M82" s="121">
        <f>+VLOOKUP(A82,'Grondslagen AU 2021'!A$6:DA$357,77,FALSE)</f>
        <v>3.0209999999999999</v>
      </c>
      <c r="N82" s="121">
        <v>2.9870000000000001</v>
      </c>
      <c r="O82" s="416">
        <f t="shared" si="7"/>
        <v>3.3999999999999808E-2</v>
      </c>
      <c r="P82" s="121"/>
    </row>
    <row r="83" spans="1:16" x14ac:dyDescent="0.35">
      <c r="A83" s="72">
        <v>225</v>
      </c>
      <c r="B83" s="72">
        <v>5</v>
      </c>
      <c r="D83" s="72" t="s">
        <v>94</v>
      </c>
      <c r="H83" s="415">
        <f t="shared" si="5"/>
        <v>0.4520894282875032</v>
      </c>
      <c r="I83" s="415">
        <f t="shared" si="6"/>
        <v>0.44688549305082942</v>
      </c>
      <c r="J83" s="415">
        <f>VLOOKUP(A83,'Grondslagen AU 2018'!A79:DA464,92,FALSE)</f>
        <v>0.41831187282305199</v>
      </c>
      <c r="K83" s="415">
        <f>VLOOKUP(A83,'Grondslagen AU 2019'!A$1:DA$361,92,FALSE)</f>
        <v>0.505</v>
      </c>
      <c r="L83" s="121">
        <f>+VLOOKUP(A83,'Grondslagen AU 2020'!A$5:DA$360,77,FALSE)</f>
        <v>0.48899999999999999</v>
      </c>
      <c r="M83" s="121">
        <f>+VLOOKUP(A83,'Grondslagen AU 2021'!A$6:DA$357,77,FALSE)</f>
        <v>0.53300000000000003</v>
      </c>
      <c r="N83" s="121">
        <v>0.502</v>
      </c>
      <c r="O83" s="416">
        <f t="shared" si="7"/>
        <v>3.1000000000000028E-2</v>
      </c>
      <c r="P83" s="121"/>
    </row>
    <row r="84" spans="1:16" x14ac:dyDescent="0.35">
      <c r="A84" s="72">
        <v>226</v>
      </c>
      <c r="B84" s="72">
        <v>5</v>
      </c>
      <c r="D84" s="72" t="s">
        <v>95</v>
      </c>
      <c r="H84" s="415">
        <f t="shared" si="5"/>
        <v>0.74195543441664835</v>
      </c>
      <c r="I84" s="415">
        <f t="shared" si="6"/>
        <v>0.73330020658887773</v>
      </c>
      <c r="J84" s="415">
        <f>VLOOKUP(A84,'Grondslagen AU 2018'!A80:DA465,92,FALSE)</f>
        <v>0.75812932026486102</v>
      </c>
      <c r="K84" s="415">
        <f>VLOOKUP(A84,'Grondslagen AU 2019'!A$1:DA$361,92,FALSE)</f>
        <v>0.79900000000000004</v>
      </c>
      <c r="L84" s="121">
        <f>+VLOOKUP(A84,'Grondslagen AU 2020'!A$5:DA$360,77,FALSE)</f>
        <v>0.86799999999999999</v>
      </c>
      <c r="M84" s="121">
        <f>+VLOOKUP(A84,'Grondslagen AU 2021'!A$6:DA$357,77,FALSE)</f>
        <v>0.84899999999999998</v>
      </c>
      <c r="N84" s="121">
        <v>0.83499999999999996</v>
      </c>
      <c r="O84" s="416">
        <f t="shared" si="7"/>
        <v>1.4000000000000012E-2</v>
      </c>
      <c r="P84" s="121"/>
    </row>
    <row r="85" spans="1:16" x14ac:dyDescent="0.35">
      <c r="A85" s="72">
        <v>228</v>
      </c>
      <c r="B85" s="72">
        <v>5</v>
      </c>
      <c r="D85" s="72" t="s">
        <v>98</v>
      </c>
      <c r="H85" s="415">
        <f t="shared" si="5"/>
        <v>2.8897724724367837</v>
      </c>
      <c r="I85" s="415">
        <f t="shared" si="6"/>
        <v>2.8498801041899235</v>
      </c>
      <c r="J85" s="415">
        <f>VLOOKUP(A85,'Grondslagen AU 2018'!A81:DA466,92,FALSE)</f>
        <v>3.0899895259468599</v>
      </c>
      <c r="K85" s="415">
        <f>VLOOKUP(A85,'Grondslagen AU 2019'!A$1:DA$361,92,FALSE)</f>
        <v>2.9550000000000001</v>
      </c>
      <c r="L85" s="121">
        <f>+VLOOKUP(A85,'Grondslagen AU 2020'!A$5:DA$360,77,FALSE)</f>
        <v>3.0830000000000002</v>
      </c>
      <c r="M85" s="121">
        <f>+VLOOKUP(A85,'Grondslagen AU 2021'!A$6:DA$357,77,FALSE)</f>
        <v>3.3690000000000002</v>
      </c>
      <c r="N85" s="121">
        <v>3.169</v>
      </c>
      <c r="O85" s="416">
        <f t="shared" si="7"/>
        <v>0.20000000000000018</v>
      </c>
      <c r="P85" s="121"/>
    </row>
    <row r="86" spans="1:16" x14ac:dyDescent="0.35">
      <c r="A86" s="72">
        <v>230</v>
      </c>
      <c r="B86" s="72">
        <v>5</v>
      </c>
      <c r="D86" s="72" t="s">
        <v>103</v>
      </c>
      <c r="H86" s="415">
        <f t="shared" si="5"/>
        <v>0.22671910521015892</v>
      </c>
      <c r="I86" s="415">
        <f t="shared" si="6"/>
        <v>0.17847683686697599</v>
      </c>
      <c r="J86" s="415">
        <f>VLOOKUP(A86,'Grondslagen AU 2018'!A82:DA467,92,FALSE)</f>
        <v>0.242576863581</v>
      </c>
      <c r="K86" s="415">
        <f>VLOOKUP(A86,'Grondslagen AU 2019'!A$1:DA$361,92,FALSE)</f>
        <v>0.27200000000000002</v>
      </c>
      <c r="L86" s="121">
        <f>+VLOOKUP(A86,'Grondslagen AU 2020'!A$5:DA$360,77,FALSE)</f>
        <v>0.245</v>
      </c>
      <c r="M86" s="121">
        <f>+VLOOKUP(A86,'Grondslagen AU 2021'!A$6:DA$357,77,FALSE)</f>
        <v>0.27700000000000002</v>
      </c>
      <c r="N86" s="121">
        <v>0.33500000000000002</v>
      </c>
      <c r="O86" s="416">
        <f t="shared" si="7"/>
        <v>-5.7999999999999996E-2</v>
      </c>
      <c r="P86" s="121"/>
    </row>
    <row r="87" spans="1:16" x14ac:dyDescent="0.35">
      <c r="A87" s="72">
        <v>232</v>
      </c>
      <c r="B87" s="72">
        <v>5</v>
      </c>
      <c r="D87" s="72" t="s">
        <v>107</v>
      </c>
      <c r="H87" s="415">
        <f t="shared" ref="H87:H112" si="8">VLOOKUP(A87,A$353:F$734,6,FALSE)</f>
        <v>0.82989603570290915</v>
      </c>
      <c r="I87" s="415">
        <f t="shared" ref="I87:I112" si="9">VLOOKUP(A87,A$353:G$734,7,FALSE)</f>
        <v>0.74610915160833502</v>
      </c>
      <c r="J87" s="415">
        <f>VLOOKUP(A87,'Grondslagen AU 2018'!A83:DA468,92,FALSE)</f>
        <v>0.65196477565373501</v>
      </c>
      <c r="K87" s="415">
        <f>VLOOKUP(A87,'Grondslagen AU 2019'!A$1:DA$361,92,FALSE)</f>
        <v>0.80600000000000005</v>
      </c>
      <c r="L87" s="121">
        <f>+VLOOKUP(A87,'Grondslagen AU 2020'!A$5:DA$360,77,FALSE)</f>
        <v>0.83899999999999997</v>
      </c>
      <c r="M87" s="121">
        <f>+VLOOKUP(A87,'Grondslagen AU 2021'!A$6:DA$357,77,FALSE)</f>
        <v>0.69899999999999995</v>
      </c>
      <c r="N87" s="121">
        <v>0.61499999999999999</v>
      </c>
      <c r="O87" s="416">
        <f t="shared" si="7"/>
        <v>8.3999999999999964E-2</v>
      </c>
      <c r="P87" s="121"/>
    </row>
    <row r="88" spans="1:16" x14ac:dyDescent="0.35">
      <c r="A88" s="72">
        <v>233</v>
      </c>
      <c r="B88" s="72">
        <v>5</v>
      </c>
      <c r="D88" s="72" t="s">
        <v>108</v>
      </c>
      <c r="H88" s="415">
        <f t="shared" si="8"/>
        <v>0.37391644801666157</v>
      </c>
      <c r="I88" s="415">
        <f t="shared" si="9"/>
        <v>0.39748306932682126</v>
      </c>
      <c r="J88" s="415">
        <f>VLOOKUP(A88,'Grondslagen AU 2018'!A84:DA469,92,FALSE)</f>
        <v>0.36078011557055201</v>
      </c>
      <c r="K88" s="415">
        <f>VLOOKUP(A88,'Grondslagen AU 2019'!A$1:DA$361,92,FALSE)</f>
        <v>0.52200000000000002</v>
      </c>
      <c r="L88" s="121">
        <f>+VLOOKUP(A88,'Grondslagen AU 2020'!A$5:DA$360,77,FALSE)</f>
        <v>0.62</v>
      </c>
      <c r="M88" s="121">
        <f>+VLOOKUP(A88,'Grondslagen AU 2021'!A$6:DA$357,77,FALSE)</f>
        <v>0.61199999999999999</v>
      </c>
      <c r="N88" s="121">
        <v>0.52500000000000002</v>
      </c>
      <c r="O88" s="416">
        <f t="shared" si="7"/>
        <v>8.6999999999999966E-2</v>
      </c>
      <c r="P88" s="121"/>
    </row>
    <row r="89" spans="1:16" x14ac:dyDescent="0.35">
      <c r="A89" s="72">
        <v>243</v>
      </c>
      <c r="B89" s="72">
        <v>5</v>
      </c>
      <c r="D89" s="72" t="s">
        <v>130</v>
      </c>
      <c r="H89" s="415">
        <f t="shared" si="8"/>
        <v>1.5729548182390047</v>
      </c>
      <c r="I89" s="415">
        <f t="shared" si="9"/>
        <v>1.5484556351326957</v>
      </c>
      <c r="J89" s="415">
        <f>VLOOKUP(A89,'Grondslagen AU 2018'!A85:DA470,92,FALSE)</f>
        <v>1.58318452941944</v>
      </c>
      <c r="K89" s="415">
        <f>VLOOKUP(A89,'Grondslagen AU 2019'!A$1:DA$361,92,FALSE)</f>
        <v>1.7390000000000001</v>
      </c>
      <c r="L89" s="121">
        <f>+VLOOKUP(A89,'Grondslagen AU 2020'!A$5:DA$360,77,FALSE)</f>
        <v>1.744</v>
      </c>
      <c r="M89" s="121">
        <f>+VLOOKUP(A89,'Grondslagen AU 2021'!A$6:DA$357,77,FALSE)</f>
        <v>1.821</v>
      </c>
      <c r="N89" s="121">
        <v>1.708</v>
      </c>
      <c r="O89" s="416">
        <f t="shared" si="7"/>
        <v>0.11299999999999999</v>
      </c>
      <c r="P89" s="121"/>
    </row>
    <row r="90" spans="1:16" x14ac:dyDescent="0.35">
      <c r="A90" s="72">
        <v>244</v>
      </c>
      <c r="B90" s="72">
        <v>5</v>
      </c>
      <c r="D90" s="72" t="s">
        <v>133</v>
      </c>
      <c r="H90" s="415">
        <f t="shared" si="8"/>
        <v>0.14959695614019144</v>
      </c>
      <c r="I90" s="415">
        <f t="shared" si="9"/>
        <v>9.3150038703749077E-2</v>
      </c>
      <c r="J90" s="415">
        <f>VLOOKUP(A90,'Grondslagen AU 2018'!A86:DA471,92,FALSE)</f>
        <v>0.13109291310326901</v>
      </c>
      <c r="K90" s="415">
        <f>VLOOKUP(A90,'Grondslagen AU 2019'!A$1:DA$361,92,FALSE)</f>
        <v>8.2000000000000003E-2</v>
      </c>
      <c r="L90" s="121">
        <f>+VLOOKUP(A90,'Grondslagen AU 2020'!A$5:DA$360,77,FALSE)</f>
        <v>9.6000000000000002E-2</v>
      </c>
      <c r="M90" s="121">
        <f>+VLOOKUP(A90,'Grondslagen AU 2021'!A$6:DA$357,77,FALSE)</f>
        <v>7.0000000000000007E-2</v>
      </c>
      <c r="N90" s="121">
        <v>5.8000000000000003E-2</v>
      </c>
      <c r="O90" s="416">
        <f t="shared" si="7"/>
        <v>1.2000000000000004E-2</v>
      </c>
      <c r="P90" s="121"/>
    </row>
    <row r="91" spans="1:16" x14ac:dyDescent="0.35">
      <c r="A91" s="72">
        <v>246</v>
      </c>
      <c r="B91" s="72">
        <v>5</v>
      </c>
      <c r="D91" s="72" t="s">
        <v>136</v>
      </c>
      <c r="H91" s="415">
        <f t="shared" si="8"/>
        <v>0.13043484107487696</v>
      </c>
      <c r="I91" s="415">
        <f t="shared" si="9"/>
        <v>8.7095840007374969E-2</v>
      </c>
      <c r="J91" s="415">
        <f>VLOOKUP(A91,'Grondslagen AU 2018'!A87:DA472,92,FALSE)</f>
        <v>0.13999022616653101</v>
      </c>
      <c r="K91" s="415">
        <f>VLOOKUP(A91,'Grondslagen AU 2019'!A$1:DA$361,92,FALSE)</f>
        <v>0.16</v>
      </c>
      <c r="L91" s="121">
        <f>+VLOOKUP(A91,'Grondslagen AU 2020'!A$5:DA$360,77,FALSE)</f>
        <v>0.14099999999999999</v>
      </c>
      <c r="M91" s="121">
        <f>+VLOOKUP(A91,'Grondslagen AU 2021'!A$6:DA$357,77,FALSE)</f>
        <v>0.17100000000000001</v>
      </c>
      <c r="N91" s="121">
        <v>0.17399999999999999</v>
      </c>
      <c r="O91" s="416">
        <f t="shared" si="7"/>
        <v>-2.9999999999999749E-3</v>
      </c>
      <c r="P91" s="121"/>
    </row>
    <row r="92" spans="1:16" x14ac:dyDescent="0.35">
      <c r="A92" s="72">
        <v>252</v>
      </c>
      <c r="B92" s="72">
        <v>5</v>
      </c>
      <c r="D92" s="72" t="s">
        <v>148</v>
      </c>
      <c r="H92" s="415">
        <f t="shared" si="8"/>
        <v>0.33630516677956868</v>
      </c>
      <c r="I92" s="415">
        <f t="shared" si="9"/>
        <v>0.25249785865687002</v>
      </c>
      <c r="J92" s="415">
        <f>VLOOKUP(A92,'Grondslagen AU 2018'!A88:DA473,92,FALSE)</f>
        <v>0.43628314318120898</v>
      </c>
      <c r="K92" s="415">
        <f>VLOOKUP(A92,'Grondslagen AU 2019'!A$1:DA$361,92,FALSE)</f>
        <v>0.38900000000000001</v>
      </c>
      <c r="L92" s="121">
        <f>+VLOOKUP(A92,'Grondslagen AU 2020'!A$5:DA$360,77,FALSE)</f>
        <v>0.42899999999999999</v>
      </c>
      <c r="M92" s="121">
        <f>+VLOOKUP(A92,'Grondslagen AU 2021'!A$6:DA$357,77,FALSE)</f>
        <v>0.41199999999999998</v>
      </c>
      <c r="N92" s="121">
        <v>0.441</v>
      </c>
      <c r="O92" s="416">
        <f t="shared" si="7"/>
        <v>-2.9000000000000026E-2</v>
      </c>
      <c r="P92" s="121"/>
    </row>
    <row r="93" spans="1:16" x14ac:dyDescent="0.35">
      <c r="A93" s="72">
        <v>1705</v>
      </c>
      <c r="B93" s="72">
        <v>5</v>
      </c>
      <c r="D93" s="72" t="s">
        <v>185</v>
      </c>
      <c r="H93" s="415">
        <f t="shared" si="8"/>
        <v>0.52254660973160427</v>
      </c>
      <c r="I93" s="415">
        <f t="shared" si="9"/>
        <v>0.22381427473434148</v>
      </c>
      <c r="J93" s="415">
        <f>VLOOKUP(A93,'Grondslagen AU 2018'!A89:DA474,92,FALSE)</f>
        <v>0.34479124198307898</v>
      </c>
      <c r="K93" s="415">
        <f>VLOOKUP(A93,'Grondslagen AU 2019'!A$1:DA$361,92,FALSE)</f>
        <v>0.57399999999999995</v>
      </c>
      <c r="L93" s="121">
        <f>+VLOOKUP(A93,'Grondslagen AU 2020'!A$5:DA$360,77,FALSE)</f>
        <v>0.70399999999999996</v>
      </c>
      <c r="M93" s="121">
        <f>+VLOOKUP(A93,'Grondslagen AU 2021'!A$6:DA$357,77,FALSE)</f>
        <v>0.67900000000000005</v>
      </c>
      <c r="N93" s="121">
        <v>0.66600000000000004</v>
      </c>
      <c r="O93" s="416">
        <f t="shared" si="7"/>
        <v>1.3000000000000012E-2</v>
      </c>
      <c r="P93" s="121"/>
    </row>
    <row r="94" spans="1:16" x14ac:dyDescent="0.35">
      <c r="A94" s="72">
        <v>262</v>
      </c>
      <c r="B94" s="72">
        <v>5</v>
      </c>
      <c r="D94" s="72" t="s">
        <v>187</v>
      </c>
      <c r="H94" s="415">
        <f t="shared" si="8"/>
        <v>0.65626696396556172</v>
      </c>
      <c r="I94" s="415">
        <f t="shared" si="9"/>
        <v>0.73998619560400247</v>
      </c>
      <c r="J94" s="415">
        <f>VLOOKUP(A94,'Grondslagen AU 2018'!A90:DA475,92,FALSE)</f>
        <v>0.79199466509648297</v>
      </c>
      <c r="K94" s="415">
        <f>VLOOKUP(A94,'Grondslagen AU 2019'!A$1:DA$361,92,FALSE)</f>
        <v>0.85</v>
      </c>
      <c r="L94" s="121">
        <f>+VLOOKUP(A94,'Grondslagen AU 2020'!A$5:DA$360,77,FALSE)</f>
        <v>0.82599999999999996</v>
      </c>
      <c r="M94" s="121">
        <f>+VLOOKUP(A94,'Grondslagen AU 2021'!A$6:DA$357,77,FALSE)</f>
        <v>0.73099999999999998</v>
      </c>
      <c r="N94" s="121">
        <v>0.77400000000000002</v>
      </c>
      <c r="O94" s="416">
        <f t="shared" si="7"/>
        <v>-4.3000000000000038E-2</v>
      </c>
      <c r="P94" s="121"/>
    </row>
    <row r="95" spans="1:16" x14ac:dyDescent="0.35">
      <c r="A95" s="72">
        <v>263</v>
      </c>
      <c r="B95" s="72">
        <v>5</v>
      </c>
      <c r="D95" s="72" t="s">
        <v>192</v>
      </c>
      <c r="H95" s="415">
        <f t="shared" si="8"/>
        <v>0.17592794848830656</v>
      </c>
      <c r="I95" s="415">
        <f t="shared" si="9"/>
        <v>0.12029233067778962</v>
      </c>
      <c r="J95" s="415">
        <f>VLOOKUP(A95,'Grondslagen AU 2018'!A91:DA476,92,FALSE)</f>
        <v>0.119220257015762</v>
      </c>
      <c r="K95" s="415">
        <f>VLOOKUP(A95,'Grondslagen AU 2019'!A$1:DA$361,92,FALSE)</f>
        <v>0.127</v>
      </c>
      <c r="L95" s="121">
        <f>+VLOOKUP(A95,'Grondslagen AU 2020'!A$5:DA$360,77,FALSE)</f>
        <v>0.13200000000000001</v>
      </c>
      <c r="M95" s="121">
        <f>+VLOOKUP(A95,'Grondslagen AU 2021'!A$6:DA$357,77,FALSE)</f>
        <v>0.13100000000000001</v>
      </c>
      <c r="N95" s="121">
        <v>0.13200000000000001</v>
      </c>
      <c r="O95" s="416">
        <f t="shared" si="7"/>
        <v>-1.0000000000000009E-3</v>
      </c>
      <c r="P95" s="121"/>
    </row>
    <row r="96" spans="1:16" x14ac:dyDescent="0.35">
      <c r="A96" s="72">
        <v>1955</v>
      </c>
      <c r="B96" s="72">
        <v>5</v>
      </c>
      <c r="D96" s="72" t="s">
        <v>207</v>
      </c>
      <c r="H96" s="415">
        <f t="shared" si="8"/>
        <v>1.2645374131989477</v>
      </c>
      <c r="I96" s="415">
        <f t="shared" si="9"/>
        <v>1.0621154528748746</v>
      </c>
      <c r="J96" s="415">
        <f>VLOOKUP(A96,'Grondslagen AU 2018'!A92:DA477,92,FALSE)</f>
        <v>0.67931958980367302</v>
      </c>
      <c r="K96" s="415">
        <f>VLOOKUP(A96,'Grondslagen AU 2019'!A$1:DA$361,92,FALSE)</f>
        <v>0.46600000000000003</v>
      </c>
      <c r="L96" s="121">
        <f>+VLOOKUP(A96,'Grondslagen AU 2020'!A$5:DA$360,77,FALSE)</f>
        <v>0.48499999999999999</v>
      </c>
      <c r="M96" s="121">
        <f>+VLOOKUP(A96,'Grondslagen AU 2021'!A$6:DA$357,77,FALSE)</f>
        <v>0.46700000000000003</v>
      </c>
      <c r="N96" s="121">
        <v>0.53700000000000003</v>
      </c>
      <c r="O96" s="416">
        <f t="shared" si="7"/>
        <v>-7.0000000000000007E-2</v>
      </c>
      <c r="P96" s="121"/>
    </row>
    <row r="97" spans="1:16" x14ac:dyDescent="0.35">
      <c r="A97" s="72">
        <v>1740</v>
      </c>
      <c r="B97" s="72">
        <v>5</v>
      </c>
      <c r="D97" s="72" t="s">
        <v>210</v>
      </c>
      <c r="H97" s="415">
        <f t="shared" si="8"/>
        <v>0.35306242823074002</v>
      </c>
      <c r="I97" s="415">
        <f t="shared" si="9"/>
        <v>0.35233644547271215</v>
      </c>
      <c r="J97" s="415">
        <f>VLOOKUP(A97,'Grondslagen AU 2018'!A93:DA478,92,FALSE)</f>
        <v>0.32675972997313202</v>
      </c>
      <c r="K97" s="415">
        <f>VLOOKUP(A97,'Grondslagen AU 2019'!A$1:DA$361,92,FALSE)</f>
        <v>0.35199999999999998</v>
      </c>
      <c r="L97" s="121">
        <f>+VLOOKUP(A97,'Grondslagen AU 2020'!A$5:DA$360,77,FALSE)</f>
        <v>0.372</v>
      </c>
      <c r="M97" s="121">
        <f>+VLOOKUP(A97,'Grondslagen AU 2021'!A$6:DA$357,77,FALSE)</f>
        <v>0.29799999999999999</v>
      </c>
      <c r="N97" s="121">
        <v>0.20599999999999999</v>
      </c>
      <c r="O97" s="416">
        <f t="shared" si="7"/>
        <v>9.1999999999999998E-2</v>
      </c>
      <c r="P97" s="121"/>
    </row>
    <row r="98" spans="1:16" x14ac:dyDescent="0.35">
      <c r="A98" s="72">
        <v>267</v>
      </c>
      <c r="B98" s="72">
        <v>5</v>
      </c>
      <c r="D98" s="72" t="s">
        <v>214</v>
      </c>
      <c r="H98" s="415">
        <f t="shared" si="8"/>
        <v>0.26531811354992868</v>
      </c>
      <c r="I98" s="415">
        <f t="shared" si="9"/>
        <v>0.19830676150660231</v>
      </c>
      <c r="J98" s="415">
        <f>VLOOKUP(A98,'Grondslagen AU 2018'!A94:DA479,92,FALSE)</f>
        <v>0.19850406913735499</v>
      </c>
      <c r="K98" s="415">
        <f>VLOOKUP(A98,'Grondslagen AU 2019'!A$1:DA$361,92,FALSE)</f>
        <v>0.31</v>
      </c>
      <c r="L98" s="121">
        <f>+VLOOKUP(A98,'Grondslagen AU 2020'!A$5:DA$360,77,FALSE)</f>
        <v>0.41899999999999998</v>
      </c>
      <c r="M98" s="121">
        <f>+VLOOKUP(A98,'Grondslagen AU 2021'!A$6:DA$357,77,FALSE)</f>
        <v>0.46899999999999997</v>
      </c>
      <c r="N98" s="121">
        <v>0.36899999999999999</v>
      </c>
      <c r="O98" s="416">
        <f t="shared" si="7"/>
        <v>9.9999999999999978E-2</v>
      </c>
      <c r="P98" s="121"/>
    </row>
    <row r="99" spans="1:16" x14ac:dyDescent="0.35">
      <c r="A99" s="72">
        <v>268</v>
      </c>
      <c r="B99" s="72">
        <v>5</v>
      </c>
      <c r="D99" s="72" t="s">
        <v>215</v>
      </c>
      <c r="H99" s="415">
        <f t="shared" si="8"/>
        <v>19.137242224815239</v>
      </c>
      <c r="I99" s="415">
        <f t="shared" si="9"/>
        <v>19.883414176799761</v>
      </c>
      <c r="J99" s="415">
        <f>VLOOKUP(A99,'Grondslagen AU 2018'!A95:DA480,92,FALSE)</f>
        <v>20.724584328321999</v>
      </c>
      <c r="K99" s="415">
        <f>VLOOKUP(A99,'Grondslagen AU 2019'!A$1:DA$361,92,FALSE)</f>
        <v>20.443999999999999</v>
      </c>
      <c r="L99" s="121">
        <f>+VLOOKUP(A99,'Grondslagen AU 2020'!A$5:DA$360,77,FALSE)</f>
        <v>20.817</v>
      </c>
      <c r="M99" s="121">
        <f>+VLOOKUP(A99,'Grondslagen AU 2021'!A$6:DA$357,77,FALSE)</f>
        <v>20.658000000000001</v>
      </c>
      <c r="N99" s="121">
        <v>19.882999999999999</v>
      </c>
      <c r="O99" s="416">
        <f t="shared" si="7"/>
        <v>0.77500000000000213</v>
      </c>
      <c r="P99" s="121"/>
    </row>
    <row r="100" spans="1:16" x14ac:dyDescent="0.35">
      <c r="A100" s="72">
        <v>302</v>
      </c>
      <c r="B100" s="72">
        <v>5</v>
      </c>
      <c r="D100" s="72" t="s">
        <v>223</v>
      </c>
      <c r="H100" s="415">
        <f t="shared" si="8"/>
        <v>0.33737961480923645</v>
      </c>
      <c r="I100" s="415">
        <f t="shared" si="9"/>
        <v>0.27781755155306259</v>
      </c>
      <c r="J100" s="415">
        <f>VLOOKUP(A100,'Grondslagen AU 2018'!A96:DA481,92,FALSE)</f>
        <v>0.233071058021984</v>
      </c>
      <c r="K100" s="415">
        <f>VLOOKUP(A100,'Grondslagen AU 2019'!A$1:DA$361,92,FALSE)</f>
        <v>0.24299999999999999</v>
      </c>
      <c r="L100" s="121">
        <f>+VLOOKUP(A100,'Grondslagen AU 2020'!A$5:DA$360,77,FALSE)</f>
        <v>0.31900000000000001</v>
      </c>
      <c r="M100" s="121">
        <f>+VLOOKUP(A100,'Grondslagen AU 2021'!A$6:DA$357,77,FALSE)</f>
        <v>0.39400000000000002</v>
      </c>
      <c r="N100" s="121">
        <v>0.47899999999999998</v>
      </c>
      <c r="O100" s="416">
        <f t="shared" si="7"/>
        <v>-8.4999999999999964E-2</v>
      </c>
      <c r="P100" s="121"/>
    </row>
    <row r="101" spans="1:16" x14ac:dyDescent="0.35">
      <c r="A101" s="72">
        <v>269</v>
      </c>
      <c r="B101" s="72">
        <v>5</v>
      </c>
      <c r="D101" s="72" t="s">
        <v>228</v>
      </c>
      <c r="H101" s="415">
        <f t="shared" si="8"/>
        <v>0.26780370703852113</v>
      </c>
      <c r="I101" s="415">
        <f t="shared" si="9"/>
        <v>0.2455532115735036</v>
      </c>
      <c r="J101" s="415">
        <f>VLOOKUP(A101,'Grondslagen AU 2018'!A97:DA482,92,FALSE)</f>
        <v>0.41222607764889302</v>
      </c>
      <c r="K101" s="415">
        <f>VLOOKUP(A101,'Grondslagen AU 2019'!A$1:DA$361,92,FALSE)</f>
        <v>0.504</v>
      </c>
      <c r="L101" s="121">
        <f>+VLOOKUP(A101,'Grondslagen AU 2020'!A$5:DA$360,77,FALSE)</f>
        <v>0.46200000000000002</v>
      </c>
      <c r="M101" s="121">
        <f>+VLOOKUP(A101,'Grondslagen AU 2021'!A$6:DA$357,77,FALSE)</f>
        <v>0.41599999999999998</v>
      </c>
      <c r="N101" s="121">
        <v>0.42199999999999999</v>
      </c>
      <c r="O101" s="416">
        <f t="shared" si="7"/>
        <v>-6.0000000000000053E-3</v>
      </c>
      <c r="P101" s="121"/>
    </row>
    <row r="102" spans="1:16" x14ac:dyDescent="0.35">
      <c r="A102" s="72">
        <v>1586</v>
      </c>
      <c r="B102" s="72">
        <v>5</v>
      </c>
      <c r="D102" s="72" t="s">
        <v>232</v>
      </c>
      <c r="H102" s="415">
        <f t="shared" si="8"/>
        <v>0.40486277626316236</v>
      </c>
      <c r="I102" s="415">
        <f t="shared" si="9"/>
        <v>0.32102063625682237</v>
      </c>
      <c r="J102" s="415">
        <f>VLOOKUP(A102,'Grondslagen AU 2018'!A98:DA483,92,FALSE)</f>
        <v>0.37582705259379101</v>
      </c>
      <c r="K102" s="415">
        <f>VLOOKUP(A102,'Grondslagen AU 2019'!A$1:DA$361,92,FALSE)</f>
        <v>0.34399999999999997</v>
      </c>
      <c r="L102" s="121">
        <f>+VLOOKUP(A102,'Grondslagen AU 2020'!A$5:DA$360,77,FALSE)</f>
        <v>0.38300000000000001</v>
      </c>
      <c r="M102" s="121">
        <f>+VLOOKUP(A102,'Grondslagen AU 2021'!A$6:DA$357,77,FALSE)</f>
        <v>0.33100000000000002</v>
      </c>
      <c r="N102" s="121">
        <v>0.38400000000000001</v>
      </c>
      <c r="O102" s="416">
        <f t="shared" si="7"/>
        <v>-5.2999999999999992E-2</v>
      </c>
      <c r="P102" s="121"/>
    </row>
    <row r="103" spans="1:16" x14ac:dyDescent="0.35">
      <c r="A103" s="72">
        <v>1509</v>
      </c>
      <c r="B103" s="72">
        <v>5</v>
      </c>
      <c r="D103" s="72" t="s">
        <v>239</v>
      </c>
      <c r="H103" s="415">
        <f t="shared" si="8"/>
        <v>1.3350162774408989</v>
      </c>
      <c r="I103" s="415">
        <f t="shared" si="9"/>
        <v>1.4081201686341305</v>
      </c>
      <c r="J103" s="415">
        <f>VLOOKUP(A103,'Grondslagen AU 2018'!A99:DA484,92,FALSE)</f>
        <v>1.4183885491858701</v>
      </c>
      <c r="K103" s="415">
        <f>VLOOKUP(A103,'Grondslagen AU 2019'!A$1:DA$361,92,FALSE)</f>
        <v>1.4279999999999999</v>
      </c>
      <c r="L103" s="121">
        <f>+VLOOKUP(A103,'Grondslagen AU 2020'!A$5:DA$360,77,FALSE)</f>
        <v>1.3819999999999999</v>
      </c>
      <c r="M103" s="121">
        <f>+VLOOKUP(A103,'Grondslagen AU 2021'!A$6:DA$357,77,FALSE)</f>
        <v>1.2629999999999999</v>
      </c>
      <c r="N103" s="121">
        <v>1.391</v>
      </c>
      <c r="O103" s="416">
        <f t="shared" si="7"/>
        <v>-0.12800000000000011</v>
      </c>
      <c r="P103" s="121"/>
    </row>
    <row r="104" spans="1:16" x14ac:dyDescent="0.35">
      <c r="A104" s="72">
        <v>1734</v>
      </c>
      <c r="B104" s="72">
        <v>5</v>
      </c>
      <c r="D104" s="72" t="s">
        <v>242</v>
      </c>
      <c r="H104" s="415">
        <f t="shared" si="8"/>
        <v>0.7507040006116501</v>
      </c>
      <c r="I104" s="415">
        <f t="shared" si="9"/>
        <v>0.51954194209951965</v>
      </c>
      <c r="J104" s="415">
        <f>VLOOKUP(A104,'Grondslagen AU 2018'!A100:DA485,92,FALSE)</f>
        <v>0.51602846570949501</v>
      </c>
      <c r="K104" s="415">
        <f>VLOOKUP(A104,'Grondslagen AU 2019'!A$1:DA$361,92,FALSE)</f>
        <v>0.76600000000000001</v>
      </c>
      <c r="L104" s="121">
        <f>+VLOOKUP(A104,'Grondslagen AU 2020'!A$5:DA$360,77,FALSE)</f>
        <v>0.91400000000000003</v>
      </c>
      <c r="M104" s="121">
        <f>+VLOOKUP(A104,'Grondslagen AU 2021'!A$6:DA$357,77,FALSE)</f>
        <v>0.81899999999999995</v>
      </c>
      <c r="N104" s="121">
        <v>0.85899999999999999</v>
      </c>
      <c r="O104" s="416">
        <f t="shared" si="7"/>
        <v>-4.0000000000000036E-2</v>
      </c>
      <c r="P104" s="121"/>
    </row>
    <row r="105" spans="1:16" x14ac:dyDescent="0.35">
      <c r="A105" s="72">
        <v>273</v>
      </c>
      <c r="B105" s="72">
        <v>5</v>
      </c>
      <c r="D105" s="72" t="s">
        <v>248</v>
      </c>
      <c r="H105" s="415">
        <f t="shared" si="8"/>
        <v>0.18361059472915903</v>
      </c>
      <c r="I105" s="415">
        <f t="shared" si="9"/>
        <v>0.11793590774013382</v>
      </c>
      <c r="J105" s="415">
        <f>VLOOKUP(A105,'Grondslagen AU 2018'!A101:DA486,92,FALSE)</f>
        <v>0.115595163681949</v>
      </c>
      <c r="K105" s="415">
        <f>VLOOKUP(A105,'Grondslagen AU 2019'!A$1:DA$361,92,FALSE)</f>
        <v>0.11899999999999999</v>
      </c>
      <c r="L105" s="121">
        <f>+VLOOKUP(A105,'Grondslagen AU 2020'!A$5:DA$360,77,FALSE)</f>
        <v>0.12</v>
      </c>
      <c r="M105" s="121">
        <f>+VLOOKUP(A105,'Grondslagen AU 2021'!A$6:DA$357,77,FALSE)</f>
        <v>0.11700000000000001</v>
      </c>
      <c r="N105" s="121">
        <v>0.12</v>
      </c>
      <c r="O105" s="416">
        <f t="shared" si="7"/>
        <v>-2.9999999999999888E-3</v>
      </c>
      <c r="P105" s="121"/>
    </row>
    <row r="106" spans="1:16" x14ac:dyDescent="0.35">
      <c r="A106" s="72">
        <v>274</v>
      </c>
      <c r="B106" s="72">
        <v>5</v>
      </c>
      <c r="D106" s="72" t="s">
        <v>251</v>
      </c>
      <c r="H106" s="415">
        <f t="shared" si="8"/>
        <v>1.3790186176937083</v>
      </c>
      <c r="I106" s="415">
        <f t="shared" si="9"/>
        <v>1.538927864645893</v>
      </c>
      <c r="J106" s="415">
        <f>VLOOKUP(A106,'Grondslagen AU 2018'!A102:DA487,92,FALSE)</f>
        <v>1.45853722542584</v>
      </c>
      <c r="K106" s="415">
        <f>VLOOKUP(A106,'Grondslagen AU 2019'!A$1:DA$361,92,FALSE)</f>
        <v>1.5820000000000001</v>
      </c>
      <c r="L106" s="121">
        <f>+VLOOKUP(A106,'Grondslagen AU 2020'!A$5:DA$360,77,FALSE)</f>
        <v>1.4970000000000001</v>
      </c>
      <c r="M106" s="121">
        <f>+VLOOKUP(A106,'Grondslagen AU 2021'!A$6:DA$357,77,FALSE)</f>
        <v>1.4750000000000001</v>
      </c>
      <c r="N106" s="121">
        <v>1.3540000000000001</v>
      </c>
      <c r="O106" s="416">
        <f t="shared" si="7"/>
        <v>0.121</v>
      </c>
      <c r="P106" s="121"/>
    </row>
    <row r="107" spans="1:16" x14ac:dyDescent="0.35">
      <c r="A107" s="72">
        <v>275</v>
      </c>
      <c r="B107" s="72">
        <v>5</v>
      </c>
      <c r="D107" s="72" t="s">
        <v>254</v>
      </c>
      <c r="H107" s="415">
        <f t="shared" si="8"/>
        <v>2.3535344934396654</v>
      </c>
      <c r="I107" s="415">
        <f t="shared" si="9"/>
        <v>2.2545428665564087</v>
      </c>
      <c r="J107" s="415">
        <f>VLOOKUP(A107,'Grondslagen AU 2018'!A103:DA488,92,FALSE)</f>
        <v>2.4169039243468902</v>
      </c>
      <c r="K107" s="415">
        <f>VLOOKUP(A107,'Grondslagen AU 2019'!A$1:DA$361,92,FALSE)</f>
        <v>2.4350000000000001</v>
      </c>
      <c r="L107" s="121">
        <f>+VLOOKUP(A107,'Grondslagen AU 2020'!A$5:DA$360,77,FALSE)</f>
        <v>2.4820000000000002</v>
      </c>
      <c r="M107" s="121">
        <f>+VLOOKUP(A107,'Grondslagen AU 2021'!A$6:DA$357,77,FALSE)</f>
        <v>2.4900000000000002</v>
      </c>
      <c r="N107" s="121">
        <v>2.4089999999999998</v>
      </c>
      <c r="O107" s="416">
        <f t="shared" si="7"/>
        <v>8.1000000000000405E-2</v>
      </c>
      <c r="P107" s="121"/>
    </row>
    <row r="108" spans="1:16" x14ac:dyDescent="0.35">
      <c r="A108" s="72">
        <v>277</v>
      </c>
      <c r="B108" s="72">
        <v>5</v>
      </c>
      <c r="D108" s="72" t="s">
        <v>263</v>
      </c>
      <c r="H108" s="415">
        <f t="shared" si="8"/>
        <v>7.8580302322624248E-3</v>
      </c>
      <c r="I108" s="415">
        <f t="shared" si="9"/>
        <v>6.3501007735524599E-3</v>
      </c>
      <c r="J108" s="415">
        <f>VLOOKUP(A108,'Grondslagen AU 2018'!A104:DA489,92,FALSE)</f>
        <v>6.3363610563932698E-3</v>
      </c>
      <c r="K108" s="415">
        <f>VLOOKUP(A108,'Grondslagen AU 2019'!A$1:DA$361,92,FALSE)</f>
        <v>7.0000000000000001E-3</v>
      </c>
      <c r="L108" s="121">
        <f>+VLOOKUP(A108,'Grondslagen AU 2020'!A$5:DA$360,77,FALSE)</f>
        <v>8.0000000000000002E-3</v>
      </c>
      <c r="M108" s="121">
        <f>+VLOOKUP(A108,'Grondslagen AU 2021'!A$6:DA$357,77,FALSE)</f>
        <v>8.0000000000000002E-3</v>
      </c>
      <c r="N108" s="121">
        <v>8.0000000000000002E-3</v>
      </c>
      <c r="O108" s="416">
        <f t="shared" si="7"/>
        <v>0</v>
      </c>
      <c r="P108" s="121"/>
    </row>
    <row r="109" spans="1:16" x14ac:dyDescent="0.35">
      <c r="A109" s="72">
        <v>279</v>
      </c>
      <c r="B109" s="72">
        <v>5</v>
      </c>
      <c r="D109" s="72" t="s">
        <v>266</v>
      </c>
      <c r="H109" s="415">
        <f t="shared" si="8"/>
        <v>4.8650348393780608E-2</v>
      </c>
      <c r="I109" s="415">
        <f t="shared" si="9"/>
        <v>4.5177524178105048E-2</v>
      </c>
      <c r="J109" s="415">
        <f>VLOOKUP(A109,'Grondslagen AU 2018'!A105:DA490,92,FALSE)</f>
        <v>4.53665326171089E-2</v>
      </c>
      <c r="K109" s="415">
        <f>VLOOKUP(A109,'Grondslagen AU 2019'!A$1:DA$361,92,FALSE)</f>
        <v>4.8000000000000001E-2</v>
      </c>
      <c r="L109" s="121">
        <f>+VLOOKUP(A109,'Grondslagen AU 2020'!A$5:DA$360,77,FALSE)</f>
        <v>4.9000000000000002E-2</v>
      </c>
      <c r="M109" s="121">
        <f>+VLOOKUP(A109,'Grondslagen AU 2021'!A$6:DA$357,77,FALSE)</f>
        <v>4.9000000000000002E-2</v>
      </c>
      <c r="N109" s="121">
        <v>0.05</v>
      </c>
      <c r="O109" s="416">
        <f t="shared" si="7"/>
        <v>-1.0000000000000009E-3</v>
      </c>
      <c r="P109" s="121"/>
    </row>
    <row r="110" spans="1:16" x14ac:dyDescent="0.35">
      <c r="A110" s="72">
        <v>281</v>
      </c>
      <c r="B110" s="72">
        <v>5</v>
      </c>
      <c r="D110" s="72" t="s">
        <v>295</v>
      </c>
      <c r="H110" s="415">
        <f t="shared" si="8"/>
        <v>3.4449077903490068</v>
      </c>
      <c r="I110" s="415">
        <f t="shared" si="9"/>
        <v>3.6637941102501839</v>
      </c>
      <c r="J110" s="415">
        <f>VLOOKUP(A110,'Grondslagen AU 2018'!A106:DA491,92,FALSE)</f>
        <v>3.5357176753629398</v>
      </c>
      <c r="K110" s="415">
        <f>VLOOKUP(A110,'Grondslagen AU 2019'!A$1:DA$361,92,FALSE)</f>
        <v>3.081</v>
      </c>
      <c r="L110" s="121">
        <f>+VLOOKUP(A110,'Grondslagen AU 2020'!A$5:DA$360,77,FALSE)</f>
        <v>3.1040000000000001</v>
      </c>
      <c r="M110" s="121">
        <f>+VLOOKUP(A110,'Grondslagen AU 2021'!A$6:DA$357,77,FALSE)</f>
        <v>2.9329999999999998</v>
      </c>
      <c r="N110" s="121">
        <v>2.8039999999999998</v>
      </c>
      <c r="O110" s="416">
        <f t="shared" si="7"/>
        <v>0.129</v>
      </c>
      <c r="P110" s="121"/>
    </row>
    <row r="111" spans="1:16" x14ac:dyDescent="0.35">
      <c r="A111" s="72">
        <v>285</v>
      </c>
      <c r="B111" s="72">
        <v>5</v>
      </c>
      <c r="D111" s="72" t="s">
        <v>323</v>
      </c>
      <c r="H111" s="415">
        <f t="shared" si="8"/>
        <v>0.3513474799304378</v>
      </c>
      <c r="I111" s="415">
        <f t="shared" si="9"/>
        <v>0.25561007960184823</v>
      </c>
      <c r="J111" s="415">
        <f>VLOOKUP(A111,'Grondslagen AU 2018'!A107:DA492,92,FALSE)</f>
        <v>0.27628272422244499</v>
      </c>
      <c r="K111" s="415">
        <f>VLOOKUP(A111,'Grondslagen AU 2019'!A$1:DA$361,92,FALSE)</f>
        <v>0.27500000000000002</v>
      </c>
      <c r="L111" s="121">
        <f>+VLOOKUP(A111,'Grondslagen AU 2020'!A$5:DA$360,77,FALSE)</f>
        <v>0.29699999999999999</v>
      </c>
      <c r="M111" s="121">
        <f>+VLOOKUP(A111,'Grondslagen AU 2021'!A$6:DA$357,77,FALSE)</f>
        <v>0.35499999999999998</v>
      </c>
      <c r="N111" s="121">
        <v>0.34200000000000003</v>
      </c>
      <c r="O111" s="416">
        <f t="shared" si="7"/>
        <v>1.2999999999999956E-2</v>
      </c>
      <c r="P111" s="121"/>
    </row>
    <row r="112" spans="1:16" x14ac:dyDescent="0.35">
      <c r="A112" s="72">
        <v>289</v>
      </c>
      <c r="B112" s="72">
        <v>5</v>
      </c>
      <c r="D112" s="72" t="s">
        <v>329</v>
      </c>
      <c r="H112" s="415">
        <f t="shared" si="8"/>
        <v>1.0465585137278051</v>
      </c>
      <c r="I112" s="415">
        <f t="shared" si="9"/>
        <v>0.81141363823044677</v>
      </c>
      <c r="J112" s="415">
        <f>VLOOKUP(A112,'Grondslagen AU 2018'!A108:DA493,92,FALSE)</f>
        <v>1.00492595054426</v>
      </c>
      <c r="K112" s="415">
        <f>VLOOKUP(A112,'Grondslagen AU 2019'!A$1:DA$361,92,FALSE)</f>
        <v>1.1619999999999999</v>
      </c>
      <c r="L112" s="121">
        <f>+VLOOKUP(A112,'Grondslagen AU 2020'!A$5:DA$360,77,FALSE)</f>
        <v>1.0389999999999999</v>
      </c>
      <c r="M112" s="121">
        <f>+VLOOKUP(A112,'Grondslagen AU 2021'!A$6:DA$357,77,FALSE)</f>
        <v>0.96199999999999997</v>
      </c>
      <c r="N112" s="121">
        <v>0.84399999999999997</v>
      </c>
      <c r="O112" s="416">
        <f t="shared" si="7"/>
        <v>0.11799999999999999</v>
      </c>
      <c r="P112" s="121"/>
    </row>
    <row r="113" spans="1:16" x14ac:dyDescent="0.35">
      <c r="A113" s="72">
        <v>1960</v>
      </c>
      <c r="B113" s="72">
        <v>5</v>
      </c>
      <c r="D113" s="72" t="s">
        <v>334</v>
      </c>
      <c r="H113" s="415">
        <f>+F450+F455+F461</f>
        <v>0.35910361780487327</v>
      </c>
      <c r="I113" s="415">
        <f>+G450+G455+G461</f>
        <v>0.26953373263514024</v>
      </c>
      <c r="J113" s="415">
        <f>+H450+H455+H461</f>
        <v>0.24134527802532862</v>
      </c>
      <c r="K113" s="415">
        <f>VLOOKUP(A113,'Grondslagen AU 2019'!A$1:DA$361,92,FALSE)</f>
        <v>0.255</v>
      </c>
      <c r="L113" s="121">
        <f>+VLOOKUP(A113,'Grondslagen AU 2020'!A$5:DA$360,77,FALSE)</f>
        <v>0.26100000000000001</v>
      </c>
      <c r="M113" s="121">
        <f>+VLOOKUP(A113,'Grondslagen AU 2021'!A$6:DA$357,77,FALSE)</f>
        <v>0.25600000000000001</v>
      </c>
      <c r="N113" s="121">
        <v>0.26100000000000001</v>
      </c>
      <c r="O113" s="416">
        <f t="shared" si="7"/>
        <v>-5.0000000000000044E-3</v>
      </c>
      <c r="P113" s="121"/>
    </row>
    <row r="114" spans="1:16" x14ac:dyDescent="0.35">
      <c r="A114" s="72">
        <v>668</v>
      </c>
      <c r="B114" s="72">
        <v>5</v>
      </c>
      <c r="D114" s="72" t="s">
        <v>335</v>
      </c>
      <c r="H114" s="415">
        <f t="shared" ref="H114:H141" si="10">VLOOKUP(A114,A$353:F$734,6,FALSE)</f>
        <v>0.29489242423127188</v>
      </c>
      <c r="I114" s="415">
        <f t="shared" ref="I114:I141" si="11">VLOOKUP(A114,A$353:G$734,7,FALSE)</f>
        <v>0.37876827538064517</v>
      </c>
      <c r="J114" s="415">
        <f>VLOOKUP(A114,'Grondslagen AU 2018'!A110:DA495,92,FALSE)</f>
        <v>0.30639019510440801</v>
      </c>
      <c r="K114" s="415">
        <f>VLOOKUP(A114,'Grondslagen AU 2019'!A$1:DA$361,92,FALSE)</f>
        <v>0.23599999999999999</v>
      </c>
      <c r="L114" s="121">
        <f>+VLOOKUP(A114,'Grondslagen AU 2020'!A$5:DA$360,77,FALSE)</f>
        <v>0.25700000000000001</v>
      </c>
      <c r="M114" s="121">
        <f>+VLOOKUP(A114,'Grondslagen AU 2021'!A$6:DA$357,77,FALSE)</f>
        <v>0.23</v>
      </c>
      <c r="N114" s="121">
        <v>0.193</v>
      </c>
      <c r="O114" s="416">
        <f t="shared" si="7"/>
        <v>3.7000000000000005E-2</v>
      </c>
      <c r="P114" s="121"/>
    </row>
    <row r="115" spans="1:16" x14ac:dyDescent="0.35">
      <c r="A115" s="72">
        <v>293</v>
      </c>
      <c r="B115" s="72">
        <v>5</v>
      </c>
      <c r="D115" s="72" t="s">
        <v>338</v>
      </c>
      <c r="H115" s="415">
        <f t="shared" si="10"/>
        <v>0.94599785562384242</v>
      </c>
      <c r="I115" s="415">
        <f t="shared" si="11"/>
        <v>1.0685871507924114</v>
      </c>
      <c r="J115" s="415">
        <f>VLOOKUP(A115,'Grondslagen AU 2018'!A111:DA496,92,FALSE)</f>
        <v>0.99240565052880303</v>
      </c>
      <c r="K115" s="415">
        <f>VLOOKUP(A115,'Grondslagen AU 2019'!A$1:DA$361,92,FALSE)</f>
        <v>0.91700000000000004</v>
      </c>
      <c r="L115" s="121">
        <f>+VLOOKUP(A115,'Grondslagen AU 2020'!A$5:DA$360,77,FALSE)</f>
        <v>0.92100000000000004</v>
      </c>
      <c r="M115" s="121">
        <f>+VLOOKUP(A115,'Grondslagen AU 2021'!A$6:DA$357,77,FALSE)</f>
        <v>0.92200000000000004</v>
      </c>
      <c r="N115" s="121">
        <v>0.873</v>
      </c>
      <c r="O115" s="416">
        <f t="shared" si="7"/>
        <v>4.9000000000000044E-2</v>
      </c>
      <c r="P115" s="121"/>
    </row>
    <row r="116" spans="1:16" x14ac:dyDescent="0.35">
      <c r="A116" s="72">
        <v>296</v>
      </c>
      <c r="B116" s="72">
        <v>5</v>
      </c>
      <c r="D116" s="72" t="s">
        <v>344</v>
      </c>
      <c r="H116" s="415">
        <f t="shared" si="10"/>
        <v>1.2893176642418029</v>
      </c>
      <c r="I116" s="415">
        <f t="shared" si="11"/>
        <v>1.2718021013721958</v>
      </c>
      <c r="J116" s="415">
        <f>VLOOKUP(A116,'Grondslagen AU 2018'!A112:DA497,92,FALSE)</f>
        <v>1.29302129419203</v>
      </c>
      <c r="K116" s="415">
        <f>VLOOKUP(A116,'Grondslagen AU 2019'!A$1:DA$361,92,FALSE)</f>
        <v>1.411</v>
      </c>
      <c r="L116" s="121">
        <f>+VLOOKUP(A116,'Grondslagen AU 2020'!A$5:DA$360,77,FALSE)</f>
        <v>1.4279999999999999</v>
      </c>
      <c r="M116" s="121">
        <f>+VLOOKUP(A116,'Grondslagen AU 2021'!A$6:DA$357,77,FALSE)</f>
        <v>1.3759999999999999</v>
      </c>
      <c r="N116" s="121">
        <v>1.3939999999999999</v>
      </c>
      <c r="O116" s="416">
        <f t="shared" si="7"/>
        <v>-1.8000000000000016E-2</v>
      </c>
      <c r="P116" s="121"/>
    </row>
    <row r="117" spans="1:16" x14ac:dyDescent="0.35">
      <c r="A117" s="72">
        <v>294</v>
      </c>
      <c r="B117" s="72">
        <v>5</v>
      </c>
      <c r="D117" s="72" t="s">
        <v>347</v>
      </c>
      <c r="H117" s="415">
        <f t="shared" si="10"/>
        <v>1.5252144292203167</v>
      </c>
      <c r="I117" s="415">
        <f t="shared" si="11"/>
        <v>1.5476973815761077</v>
      </c>
      <c r="J117" s="415">
        <f>VLOOKUP(A117,'Grondslagen AU 2018'!A113:DA498,92,FALSE)</f>
        <v>1.4879798403832201</v>
      </c>
      <c r="K117" s="415">
        <f>VLOOKUP(A117,'Grondslagen AU 2019'!A$1:DA$361,92,FALSE)</f>
        <v>1.4810000000000001</v>
      </c>
      <c r="L117" s="121">
        <f>+VLOOKUP(A117,'Grondslagen AU 2020'!A$5:DA$360,77,FALSE)</f>
        <v>1.5289999999999999</v>
      </c>
      <c r="M117" s="121">
        <f>+VLOOKUP(A117,'Grondslagen AU 2021'!A$6:DA$357,77,FALSE)</f>
        <v>1.516</v>
      </c>
      <c r="N117" s="121">
        <v>1.5529999999999999</v>
      </c>
      <c r="O117" s="416">
        <f t="shared" si="7"/>
        <v>-3.6999999999999922E-2</v>
      </c>
      <c r="P117" s="121"/>
    </row>
    <row r="118" spans="1:16" x14ac:dyDescent="0.35">
      <c r="A118" s="72">
        <v>297</v>
      </c>
      <c r="B118" s="72">
        <v>5</v>
      </c>
      <c r="D118" s="72" t="s">
        <v>353</v>
      </c>
      <c r="H118" s="415">
        <f t="shared" si="10"/>
        <v>0.31033036626441768</v>
      </c>
      <c r="I118" s="415">
        <f t="shared" si="11"/>
        <v>0.2655919459461254</v>
      </c>
      <c r="J118" s="415">
        <f>VLOOKUP(A118,'Grondslagen AU 2018'!A114:DA499,92,FALSE)</f>
        <v>0.32247184763235098</v>
      </c>
      <c r="K118" s="415">
        <f>VLOOKUP(A118,'Grondslagen AU 2019'!A$1:DA$361,92,FALSE)</f>
        <v>0.24</v>
      </c>
      <c r="L118" s="121">
        <f>+VLOOKUP(A118,'Grondslagen AU 2020'!A$5:DA$360,77,FALSE)</f>
        <v>0.23699999999999999</v>
      </c>
      <c r="M118" s="121">
        <f>+VLOOKUP(A118,'Grondslagen AU 2021'!A$6:DA$357,77,FALSE)</f>
        <v>0.27200000000000002</v>
      </c>
      <c r="N118" s="121">
        <v>0.22</v>
      </c>
      <c r="O118" s="416">
        <f t="shared" si="7"/>
        <v>5.2000000000000018E-2</v>
      </c>
      <c r="P118" s="121"/>
    </row>
    <row r="119" spans="1:16" x14ac:dyDescent="0.35">
      <c r="A119" s="72">
        <v>299</v>
      </c>
      <c r="B119" s="72">
        <v>5</v>
      </c>
      <c r="D119" s="72" t="s">
        <v>357</v>
      </c>
      <c r="H119" s="415">
        <f t="shared" si="10"/>
        <v>1.89042245572054</v>
      </c>
      <c r="I119" s="415">
        <f t="shared" si="11"/>
        <v>1.9730222640643651</v>
      </c>
      <c r="J119" s="415">
        <f>VLOOKUP(A119,'Grondslagen AU 2018'!A115:DA500,92,FALSE)</f>
        <v>1.99211732754358</v>
      </c>
      <c r="K119" s="415">
        <f>VLOOKUP(A119,'Grondslagen AU 2019'!A$1:DA$361,92,FALSE)</f>
        <v>1.9530000000000001</v>
      </c>
      <c r="L119" s="121">
        <f>+VLOOKUP(A119,'Grondslagen AU 2020'!A$5:DA$360,77,FALSE)</f>
        <v>1.9510000000000001</v>
      </c>
      <c r="M119" s="121">
        <f>+VLOOKUP(A119,'Grondslagen AU 2021'!A$6:DA$357,77,FALSE)</f>
        <v>1.855</v>
      </c>
      <c r="N119" s="121">
        <v>1.7549999999999999</v>
      </c>
      <c r="O119" s="416">
        <f t="shared" si="7"/>
        <v>0.10000000000000009</v>
      </c>
      <c r="P119" s="121"/>
    </row>
    <row r="120" spans="1:16" x14ac:dyDescent="0.35">
      <c r="A120" s="72">
        <v>301</v>
      </c>
      <c r="B120" s="72">
        <v>5</v>
      </c>
      <c r="D120" s="72" t="s">
        <v>362</v>
      </c>
      <c r="H120" s="415">
        <f t="shared" si="10"/>
        <v>3.8349517912399054</v>
      </c>
      <c r="I120" s="415">
        <f t="shared" si="11"/>
        <v>4.2448351637530983</v>
      </c>
      <c r="J120" s="415">
        <f>VLOOKUP(A120,'Grondslagen AU 2018'!A116:DA501,92,FALSE)</f>
        <v>4.3749832270564699</v>
      </c>
      <c r="K120" s="415">
        <f>VLOOKUP(A120,'Grondslagen AU 2019'!A$1:DA$361,92,FALSE)</f>
        <v>4.4169999999999998</v>
      </c>
      <c r="L120" s="121">
        <f>+VLOOKUP(A120,'Grondslagen AU 2020'!A$5:DA$360,77,FALSE)</f>
        <v>4.3</v>
      </c>
      <c r="M120" s="121">
        <f>+VLOOKUP(A120,'Grondslagen AU 2021'!A$6:DA$357,77,FALSE)</f>
        <v>4.0650000000000004</v>
      </c>
      <c r="N120" s="121">
        <v>4.0149999999999997</v>
      </c>
      <c r="O120" s="416">
        <f t="shared" si="7"/>
        <v>5.0000000000000711E-2</v>
      </c>
      <c r="P120" s="121"/>
    </row>
    <row r="121" spans="1:16" x14ac:dyDescent="0.35">
      <c r="A121" s="72">
        <v>307</v>
      </c>
      <c r="B121" s="72">
        <v>6</v>
      </c>
      <c r="D121" s="72" t="s">
        <v>24</v>
      </c>
      <c r="H121" s="415">
        <f t="shared" si="10"/>
        <v>6.4557332512258716</v>
      </c>
      <c r="I121" s="415">
        <f t="shared" si="11"/>
        <v>6.3837413556918827</v>
      </c>
      <c r="J121" s="415">
        <f>VLOOKUP(A121,'Grondslagen AU 2018'!A117:DA502,92,FALSE)</f>
        <v>6.3197853826254997</v>
      </c>
      <c r="K121" s="415">
        <f>VLOOKUP(A121,'Grondslagen AU 2019'!A$1:DA$361,92,FALSE)</f>
        <v>6.9530000000000003</v>
      </c>
      <c r="L121" s="121">
        <f>+VLOOKUP(A121,'Grondslagen AU 2020'!A$5:DA$360,77,FALSE)</f>
        <v>7.0090000000000003</v>
      </c>
      <c r="M121" s="121">
        <f>+VLOOKUP(A121,'Grondslagen AU 2021'!A$6:DA$357,77,FALSE)</f>
        <v>7.2060000000000004</v>
      </c>
      <c r="N121" s="121">
        <v>7.2119999999999997</v>
      </c>
      <c r="O121" s="416">
        <f t="shared" si="7"/>
        <v>-5.9999999999993392E-3</v>
      </c>
      <c r="P121" s="121"/>
    </row>
    <row r="122" spans="1:16" x14ac:dyDescent="0.35">
      <c r="A122" s="72">
        <v>308</v>
      </c>
      <c r="B122" s="72">
        <v>6</v>
      </c>
      <c r="D122" s="72" t="s">
        <v>33</v>
      </c>
      <c r="H122" s="415">
        <f t="shared" si="10"/>
        <v>0.48365486206085362</v>
      </c>
      <c r="I122" s="415">
        <f t="shared" si="11"/>
        <v>0.45382769065273287</v>
      </c>
      <c r="J122" s="415">
        <f>VLOOKUP(A122,'Grondslagen AU 2018'!A118:DA503,92,FALSE)</f>
        <v>0.465457911598402</v>
      </c>
      <c r="K122" s="415">
        <f>VLOOKUP(A122,'Grondslagen AU 2019'!A$1:DA$361,92,FALSE)</f>
        <v>0.60799999999999998</v>
      </c>
      <c r="L122" s="121">
        <f>+VLOOKUP(A122,'Grondslagen AU 2020'!A$5:DA$360,77,FALSE)</f>
        <v>0.61699999999999999</v>
      </c>
      <c r="M122" s="121">
        <f>+VLOOKUP(A122,'Grondslagen AU 2021'!A$6:DA$357,77,FALSE)</f>
        <v>0.56399999999999995</v>
      </c>
      <c r="N122" s="121">
        <v>0.59199999999999997</v>
      </c>
      <c r="O122" s="416">
        <f t="shared" si="7"/>
        <v>-2.8000000000000025E-2</v>
      </c>
      <c r="P122" s="121"/>
    </row>
    <row r="123" spans="1:16" x14ac:dyDescent="0.35">
      <c r="A123" s="72">
        <v>312</v>
      </c>
      <c r="B123" s="72">
        <v>6</v>
      </c>
      <c r="D123" s="72" t="s">
        <v>65</v>
      </c>
      <c r="H123" s="415">
        <f t="shared" si="10"/>
        <v>8.835657299124848E-2</v>
      </c>
      <c r="I123" s="415">
        <f t="shared" si="11"/>
        <v>6.8298011572895001E-2</v>
      </c>
      <c r="J123" s="415">
        <f>VLOOKUP(A123,'Grondslagen AU 2018'!A119:DA504,92,FALSE)</f>
        <v>6.9065580286908804E-2</v>
      </c>
      <c r="K123" s="415">
        <f>VLOOKUP(A123,'Grondslagen AU 2019'!A$1:DA$361,92,FALSE)</f>
        <v>7.1999999999999995E-2</v>
      </c>
      <c r="L123" s="121">
        <f>+VLOOKUP(A123,'Grondslagen AU 2020'!A$5:DA$360,77,FALSE)</f>
        <v>7.2999999999999995E-2</v>
      </c>
      <c r="M123" s="121">
        <f>+VLOOKUP(A123,'Grondslagen AU 2021'!A$6:DA$357,77,FALSE)</f>
        <v>7.1999999999999995E-2</v>
      </c>
      <c r="N123" s="121">
        <v>7.2999999999999995E-2</v>
      </c>
      <c r="O123" s="416">
        <f t="shared" si="7"/>
        <v>-1.0000000000000009E-3</v>
      </c>
      <c r="P123" s="121"/>
    </row>
    <row r="124" spans="1:16" x14ac:dyDescent="0.35">
      <c r="A124" s="72">
        <v>313</v>
      </c>
      <c r="B124" s="72">
        <v>6</v>
      </c>
      <c r="D124" s="72" t="s">
        <v>66</v>
      </c>
      <c r="H124" s="415">
        <f t="shared" si="10"/>
        <v>0.12672937255921721</v>
      </c>
      <c r="I124" s="415">
        <f t="shared" si="11"/>
        <v>0.10299404411272683</v>
      </c>
      <c r="J124" s="415">
        <f>VLOOKUP(A124,'Grondslagen AU 2018'!A120:DA505,92,FALSE)</f>
        <v>0.10256748451356</v>
      </c>
      <c r="K124" s="415">
        <f>VLOOKUP(A124,'Grondslagen AU 2019'!A$1:DA$361,92,FALSE)</f>
        <v>0.11</v>
      </c>
      <c r="L124" s="121">
        <f>+VLOOKUP(A124,'Grondslagen AU 2020'!A$5:DA$360,77,FALSE)</f>
        <v>0.113</v>
      </c>
      <c r="M124" s="121">
        <f>+VLOOKUP(A124,'Grondslagen AU 2021'!A$6:DA$357,77,FALSE)</f>
        <v>0.111</v>
      </c>
      <c r="N124" s="121">
        <v>0.113</v>
      </c>
      <c r="O124" s="416">
        <f t="shared" si="7"/>
        <v>-2.0000000000000018E-3</v>
      </c>
      <c r="P124" s="121"/>
    </row>
    <row r="125" spans="1:16" x14ac:dyDescent="0.35">
      <c r="A125" s="72">
        <v>310</v>
      </c>
      <c r="B125" s="72">
        <v>6</v>
      </c>
      <c r="D125" s="72" t="s">
        <v>76</v>
      </c>
      <c r="H125" s="415">
        <f t="shared" si="10"/>
        <v>0.60683955927409994</v>
      </c>
      <c r="I125" s="415">
        <f t="shared" si="11"/>
        <v>0.70782722537917453</v>
      </c>
      <c r="J125" s="415">
        <f>VLOOKUP(A125,'Grondslagen AU 2018'!A121:DA506,92,FALSE)</f>
        <v>0.78859851123286895</v>
      </c>
      <c r="K125" s="415">
        <f>VLOOKUP(A125,'Grondslagen AU 2019'!A$1:DA$361,92,FALSE)</f>
        <v>0.80700000000000005</v>
      </c>
      <c r="L125" s="121">
        <f>+VLOOKUP(A125,'Grondslagen AU 2020'!A$5:DA$360,77,FALSE)</f>
        <v>0.71099999999999997</v>
      </c>
      <c r="M125" s="121">
        <f>+VLOOKUP(A125,'Grondslagen AU 2021'!A$6:DA$357,77,FALSE)</f>
        <v>0.72799999999999998</v>
      </c>
      <c r="N125" s="121">
        <v>0.871</v>
      </c>
      <c r="O125" s="416">
        <f t="shared" si="7"/>
        <v>-0.14300000000000002</v>
      </c>
      <c r="P125" s="121"/>
    </row>
    <row r="126" spans="1:16" x14ac:dyDescent="0.35">
      <c r="A126" s="72">
        <v>736</v>
      </c>
      <c r="B126" s="72">
        <v>6</v>
      </c>
      <c r="D126" s="72" t="s">
        <v>78</v>
      </c>
      <c r="H126" s="415">
        <f t="shared" si="10"/>
        <v>0.30850192321008907</v>
      </c>
      <c r="I126" s="415">
        <f t="shared" si="11"/>
        <v>0.20844397057281538</v>
      </c>
      <c r="J126" s="415">
        <f>VLOOKUP(A126,'Grondslagen AU 2018'!A122:DA507,92,FALSE)</f>
        <v>0.20663032002731799</v>
      </c>
      <c r="K126" s="415">
        <f>VLOOKUP(A126,'Grondslagen AU 2019'!A$1:DA$361,92,FALSE)</f>
        <v>0.223</v>
      </c>
      <c r="L126" s="121">
        <f>+VLOOKUP(A126,'Grondslagen AU 2020'!A$5:DA$360,77,FALSE)</f>
        <v>0.22800000000000001</v>
      </c>
      <c r="M126" s="121">
        <f>+VLOOKUP(A126,'Grondslagen AU 2021'!A$6:DA$357,77,FALSE)</f>
        <v>0.222</v>
      </c>
      <c r="N126" s="121">
        <v>0.223</v>
      </c>
      <c r="O126" s="416">
        <f t="shared" si="7"/>
        <v>-1.0000000000000009E-3</v>
      </c>
      <c r="P126" s="121"/>
    </row>
    <row r="127" spans="1:16" x14ac:dyDescent="0.35">
      <c r="A127" s="72">
        <v>317</v>
      </c>
      <c r="B127" s="72">
        <v>6</v>
      </c>
      <c r="D127" s="72" t="s">
        <v>99</v>
      </c>
      <c r="H127" s="415">
        <f t="shared" si="10"/>
        <v>5.8230604562387996E-2</v>
      </c>
      <c r="I127" s="415">
        <f t="shared" si="11"/>
        <v>4.2951163545449984E-2</v>
      </c>
      <c r="J127" s="415">
        <f>VLOOKUP(A127,'Grondslagen AU 2018'!A123:DA508,92,FALSE)</f>
        <v>4.3146162950148698E-2</v>
      </c>
      <c r="K127" s="415">
        <f>VLOOKUP(A127,'Grondslagen AU 2019'!A$1:DA$361,92,FALSE)</f>
        <v>4.5999999999999999E-2</v>
      </c>
      <c r="L127" s="121">
        <f>+VLOOKUP(A127,'Grondslagen AU 2020'!A$5:DA$360,77,FALSE)</f>
        <v>4.7E-2</v>
      </c>
      <c r="M127" s="121">
        <f>+VLOOKUP(A127,'Grondslagen AU 2021'!A$6:DA$357,77,FALSE)</f>
        <v>4.5999999999999999E-2</v>
      </c>
      <c r="N127" s="121">
        <v>4.7E-2</v>
      </c>
      <c r="O127" s="416">
        <f t="shared" si="7"/>
        <v>-1.0000000000000009E-3</v>
      </c>
      <c r="P127" s="121"/>
    </row>
    <row r="128" spans="1:16" x14ac:dyDescent="0.35">
      <c r="A128" s="72">
        <v>321</v>
      </c>
      <c r="B128" s="72">
        <v>6</v>
      </c>
      <c r="D128" s="72" t="s">
        <v>159</v>
      </c>
      <c r="H128" s="415">
        <f t="shared" si="10"/>
        <v>0.29885345542769226</v>
      </c>
      <c r="I128" s="415">
        <f t="shared" si="11"/>
        <v>0.24896220394237442</v>
      </c>
      <c r="J128" s="415">
        <f>VLOOKUP(A128,'Grondslagen AU 2018'!A124:DA509,92,FALSE)</f>
        <v>0.248137638699472</v>
      </c>
      <c r="K128" s="415">
        <f>VLOOKUP(A128,'Grondslagen AU 2019'!A$1:DA$361,92,FALSE)</f>
        <v>0.26100000000000001</v>
      </c>
      <c r="L128" s="121">
        <f>+VLOOKUP(A128,'Grondslagen AU 2020'!A$5:DA$360,77,FALSE)</f>
        <v>0.26600000000000001</v>
      </c>
      <c r="M128" s="121">
        <f>+VLOOKUP(A128,'Grondslagen AU 2021'!A$6:DA$357,77,FALSE)</f>
        <v>0.25800000000000001</v>
      </c>
      <c r="N128" s="121">
        <v>0.25900000000000001</v>
      </c>
      <c r="O128" s="416">
        <f t="shared" si="7"/>
        <v>-1.0000000000000009E-3</v>
      </c>
      <c r="P128" s="121"/>
    </row>
    <row r="129" spans="1:16" x14ac:dyDescent="0.35">
      <c r="A129" s="72">
        <v>353</v>
      </c>
      <c r="B129" s="72">
        <v>6</v>
      </c>
      <c r="D129" s="72" t="s">
        <v>162</v>
      </c>
      <c r="H129" s="415">
        <f t="shared" si="10"/>
        <v>0.5198533095947222</v>
      </c>
      <c r="I129" s="415">
        <f t="shared" si="11"/>
        <v>0.61323446204202015</v>
      </c>
      <c r="J129" s="415">
        <f>VLOOKUP(A129,'Grondslagen AU 2018'!A125:DA510,92,FALSE)</f>
        <v>0.63709619070499701</v>
      </c>
      <c r="K129" s="415">
        <f>VLOOKUP(A129,'Grondslagen AU 2019'!A$1:DA$361,92,FALSE)</f>
        <v>0.68300000000000005</v>
      </c>
      <c r="L129" s="121">
        <f>+VLOOKUP(A129,'Grondslagen AU 2020'!A$5:DA$360,77,FALSE)</f>
        <v>0.73599999999999999</v>
      </c>
      <c r="M129" s="121">
        <f>+VLOOKUP(A129,'Grondslagen AU 2021'!A$6:DA$357,77,FALSE)</f>
        <v>0.67500000000000004</v>
      </c>
      <c r="N129" s="121">
        <v>0.67800000000000005</v>
      </c>
      <c r="O129" s="416">
        <f t="shared" si="7"/>
        <v>-3.0000000000000027E-3</v>
      </c>
      <c r="P129" s="121"/>
    </row>
    <row r="130" spans="1:16" x14ac:dyDescent="0.35">
      <c r="A130" s="72">
        <v>327</v>
      </c>
      <c r="B130" s="72">
        <v>6</v>
      </c>
      <c r="D130" s="72" t="s">
        <v>184</v>
      </c>
      <c r="H130" s="415">
        <f t="shared" si="10"/>
        <v>0.18155423439896842</v>
      </c>
      <c r="I130" s="415">
        <f t="shared" si="11"/>
        <v>0.1409951893443353</v>
      </c>
      <c r="J130" s="415">
        <f>VLOOKUP(A130,'Grondslagen AU 2018'!A126:DA511,92,FALSE)</f>
        <v>0.140736696407495</v>
      </c>
      <c r="K130" s="415">
        <f>VLOOKUP(A130,'Grondslagen AU 2019'!A$1:DA$361,92,FALSE)</f>
        <v>0.14699999999999999</v>
      </c>
      <c r="L130" s="121">
        <f>+VLOOKUP(A130,'Grondslagen AU 2020'!A$5:DA$360,77,FALSE)</f>
        <v>0.16300000000000001</v>
      </c>
      <c r="M130" s="121">
        <f>+VLOOKUP(A130,'Grondslagen AU 2021'!A$6:DA$357,77,FALSE)</f>
        <v>0.14899999999999999</v>
      </c>
      <c r="N130" s="121">
        <v>0.14799999999999999</v>
      </c>
      <c r="O130" s="416">
        <f t="shared" si="7"/>
        <v>1.0000000000000009E-3</v>
      </c>
      <c r="P130" s="121"/>
    </row>
    <row r="131" spans="1:16" x14ac:dyDescent="0.35">
      <c r="A131" s="72">
        <v>331</v>
      </c>
      <c r="B131" s="72">
        <v>6</v>
      </c>
      <c r="D131" s="72" t="s">
        <v>189</v>
      </c>
      <c r="H131" s="415">
        <f t="shared" si="10"/>
        <v>8.3628487426661055E-2</v>
      </c>
      <c r="I131" s="415">
        <f t="shared" si="11"/>
        <v>7.1388903997612094E-2</v>
      </c>
      <c r="J131" s="415">
        <f>VLOOKUP(A131,'Grondslagen AU 2018'!A127:DA512,92,FALSE)</f>
        <v>7.0885679231593807E-2</v>
      </c>
      <c r="K131" s="415">
        <f>VLOOKUP(A131,'Grondslagen AU 2019'!A$1:DA$361,92,FALSE)</f>
        <v>7.4999999999999997E-2</v>
      </c>
      <c r="L131" s="121">
        <f>+VLOOKUP(A131,'Grondslagen AU 2020'!A$5:DA$360,77,FALSE)</f>
        <v>0.107</v>
      </c>
      <c r="M131" s="121">
        <f>+VLOOKUP(A131,'Grondslagen AU 2021'!A$6:DA$357,77,FALSE)</f>
        <v>0.11899999999999999</v>
      </c>
      <c r="N131" s="121">
        <v>0.125</v>
      </c>
      <c r="O131" s="416">
        <f t="shared" si="7"/>
        <v>-6.0000000000000053E-3</v>
      </c>
      <c r="P131" s="121"/>
    </row>
    <row r="132" spans="1:16" x14ac:dyDescent="0.35">
      <c r="A132" s="72">
        <v>335</v>
      </c>
      <c r="B132" s="72">
        <v>6</v>
      </c>
      <c r="D132" s="72" t="s">
        <v>208</v>
      </c>
      <c r="H132" s="415">
        <f t="shared" si="10"/>
        <v>8.4125838472805553E-2</v>
      </c>
      <c r="I132" s="415">
        <f t="shared" si="11"/>
        <v>6.6178761073769521E-2</v>
      </c>
      <c r="J132" s="415">
        <f>VLOOKUP(A132,'Grondslagen AU 2018'!A128:DA513,92,FALSE)</f>
        <v>6.58029962864774E-2</v>
      </c>
      <c r="K132" s="415">
        <f>VLOOKUP(A132,'Grondslagen AU 2019'!A$1:DA$361,92,FALSE)</f>
        <v>7.0000000000000007E-2</v>
      </c>
      <c r="L132" s="121">
        <f>+VLOOKUP(A132,'Grondslagen AU 2020'!A$5:DA$360,77,FALSE)</f>
        <v>7.0000000000000007E-2</v>
      </c>
      <c r="M132" s="121">
        <f>+VLOOKUP(A132,'Grondslagen AU 2021'!A$6:DA$357,77,FALSE)</f>
        <v>6.9000000000000006E-2</v>
      </c>
      <c r="N132" s="121">
        <v>6.9000000000000006E-2</v>
      </c>
      <c r="O132" s="416">
        <f t="shared" si="7"/>
        <v>0</v>
      </c>
      <c r="P132" s="121"/>
    </row>
    <row r="133" spans="1:16" x14ac:dyDescent="0.35">
      <c r="A133" s="72">
        <v>356</v>
      </c>
      <c r="B133" s="72">
        <v>6</v>
      </c>
      <c r="D133" s="72" t="s">
        <v>212</v>
      </c>
      <c r="H133" s="415">
        <f t="shared" si="10"/>
        <v>2.175450291478767</v>
      </c>
      <c r="I133" s="415">
        <f t="shared" si="11"/>
        <v>2.3206783592055125</v>
      </c>
      <c r="J133" s="415">
        <f>VLOOKUP(A133,'Grondslagen AU 2018'!A129:DA514,92,FALSE)</f>
        <v>2.3867036376444202</v>
      </c>
      <c r="K133" s="415">
        <f>VLOOKUP(A133,'Grondslagen AU 2019'!A$1:DA$361,92,FALSE)</f>
        <v>2.3570000000000002</v>
      </c>
      <c r="L133" s="121">
        <f>+VLOOKUP(A133,'Grondslagen AU 2020'!A$5:DA$360,77,FALSE)</f>
        <v>2.504</v>
      </c>
      <c r="M133" s="121">
        <f>+VLOOKUP(A133,'Grondslagen AU 2021'!A$6:DA$357,77,FALSE)</f>
        <v>2.581</v>
      </c>
      <c r="N133" s="121">
        <v>2.8420000000000001</v>
      </c>
      <c r="O133" s="416">
        <f t="shared" si="7"/>
        <v>-0.26100000000000012</v>
      </c>
      <c r="P133" s="121"/>
    </row>
    <row r="134" spans="1:16" x14ac:dyDescent="0.35">
      <c r="A134" s="72">
        <v>589</v>
      </c>
      <c r="B134" s="72">
        <v>6</v>
      </c>
      <c r="D134" s="72" t="s">
        <v>241</v>
      </c>
      <c r="H134" s="415">
        <f t="shared" si="10"/>
        <v>6.0195238913148527E-2</v>
      </c>
      <c r="I134" s="415">
        <f t="shared" si="11"/>
        <v>4.8237813707527916E-2</v>
      </c>
      <c r="J134" s="415">
        <f>VLOOKUP(A134,'Grondslagen AU 2018'!A130:DA515,92,FALSE)</f>
        <v>4.8085352617468401E-2</v>
      </c>
      <c r="K134" s="415">
        <f>VLOOKUP(A134,'Grondslagen AU 2019'!A$1:DA$361,92,FALSE)</f>
        <v>5.0999999999999997E-2</v>
      </c>
      <c r="L134" s="121">
        <f>+VLOOKUP(A134,'Grondslagen AU 2020'!A$5:DA$360,77,FALSE)</f>
        <v>5.0999999999999997E-2</v>
      </c>
      <c r="M134" s="121">
        <f>+VLOOKUP(A134,'Grondslagen AU 2021'!A$6:DA$357,77,FALSE)</f>
        <v>4.9000000000000002E-2</v>
      </c>
      <c r="N134" s="121">
        <v>0.05</v>
      </c>
      <c r="O134" s="416">
        <f t="shared" ref="O134:O197" si="12">+M134-N134</f>
        <v>-1.0000000000000009E-3</v>
      </c>
      <c r="P134" s="121"/>
    </row>
    <row r="135" spans="1:16" x14ac:dyDescent="0.35">
      <c r="A135" s="72">
        <v>339</v>
      </c>
      <c r="B135" s="72">
        <v>6</v>
      </c>
      <c r="D135" s="72" t="s">
        <v>252</v>
      </c>
      <c r="H135" s="415">
        <f t="shared" si="10"/>
        <v>2.7405397481664283E-2</v>
      </c>
      <c r="I135" s="415">
        <f t="shared" si="11"/>
        <v>2.4252794520676323E-2</v>
      </c>
      <c r="J135" s="415">
        <f>VLOOKUP(A135,'Grondslagen AU 2018'!A131:DA516,92,FALSE)</f>
        <v>2.4295677614323202E-2</v>
      </c>
      <c r="K135" s="415">
        <f>VLOOKUP(A135,'Grondslagen AU 2019'!A$1:DA$361,92,FALSE)</f>
        <v>2.5999999999999999E-2</v>
      </c>
      <c r="L135" s="121">
        <f>+VLOOKUP(A135,'Grondslagen AU 2020'!A$5:DA$360,77,FALSE)</f>
        <v>2.8000000000000001E-2</v>
      </c>
      <c r="M135" s="121">
        <f>+VLOOKUP(A135,'Grondslagen AU 2021'!A$6:DA$357,77,FALSE)</f>
        <v>2.8000000000000001E-2</v>
      </c>
      <c r="N135" s="121">
        <v>2.9000000000000001E-2</v>
      </c>
      <c r="O135" s="416">
        <f t="shared" si="12"/>
        <v>-1.0000000000000009E-3</v>
      </c>
      <c r="P135" s="121"/>
    </row>
    <row r="136" spans="1:16" x14ac:dyDescent="0.35">
      <c r="A136" s="72">
        <v>340</v>
      </c>
      <c r="B136" s="72">
        <v>6</v>
      </c>
      <c r="D136" s="72" t="s">
        <v>255</v>
      </c>
      <c r="H136" s="415">
        <f t="shared" si="10"/>
        <v>0.46328764128332561</v>
      </c>
      <c r="I136" s="415">
        <f t="shared" si="11"/>
        <v>0.53275412063500627</v>
      </c>
      <c r="J136" s="415">
        <f>VLOOKUP(A136,'Grondslagen AU 2018'!A132:DA517,92,FALSE)</f>
        <v>0.44371150972109702</v>
      </c>
      <c r="K136" s="415">
        <f>VLOOKUP(A136,'Grondslagen AU 2019'!A$1:DA$361,92,FALSE)</f>
        <v>0.34399999999999997</v>
      </c>
      <c r="L136" s="121">
        <f>+VLOOKUP(A136,'Grondslagen AU 2020'!A$5:DA$360,77,FALSE)</f>
        <v>0.317</v>
      </c>
      <c r="M136" s="121">
        <f>+VLOOKUP(A136,'Grondslagen AU 2021'!A$6:DA$357,77,FALSE)</f>
        <v>0.309</v>
      </c>
      <c r="N136" s="121">
        <v>0.34799999999999998</v>
      </c>
      <c r="O136" s="416">
        <f t="shared" si="12"/>
        <v>-3.8999999999999979E-2</v>
      </c>
      <c r="P136" s="121"/>
    </row>
    <row r="137" spans="1:16" x14ac:dyDescent="0.35">
      <c r="A137" s="72">
        <v>342</v>
      </c>
      <c r="B137" s="72">
        <v>6</v>
      </c>
      <c r="D137" s="72" t="s">
        <v>279</v>
      </c>
      <c r="H137" s="415">
        <f t="shared" si="10"/>
        <v>1.1426873521955023</v>
      </c>
      <c r="I137" s="415">
        <f t="shared" si="11"/>
        <v>1.2047602409115885</v>
      </c>
      <c r="J137" s="415">
        <f>VLOOKUP(A137,'Grondslagen AU 2018'!A133:DA518,92,FALSE)</f>
        <v>1.11688126583564</v>
      </c>
      <c r="K137" s="415">
        <f>VLOOKUP(A137,'Grondslagen AU 2019'!A$1:DA$361,92,FALSE)</f>
        <v>1.0009999999999999</v>
      </c>
      <c r="L137" s="121">
        <f>+VLOOKUP(A137,'Grondslagen AU 2020'!A$5:DA$360,77,FALSE)</f>
        <v>1.0389999999999999</v>
      </c>
      <c r="M137" s="121">
        <f>+VLOOKUP(A137,'Grondslagen AU 2021'!A$6:DA$357,77,FALSE)</f>
        <v>0.99399999999999999</v>
      </c>
      <c r="N137" s="121">
        <v>0.876</v>
      </c>
      <c r="O137" s="416">
        <f t="shared" si="12"/>
        <v>0.11799999999999999</v>
      </c>
      <c r="P137" s="121"/>
    </row>
    <row r="138" spans="1:16" x14ac:dyDescent="0.35">
      <c r="A138" s="72">
        <v>1904</v>
      </c>
      <c r="B138" s="72">
        <v>6</v>
      </c>
      <c r="D138" s="72" t="s">
        <v>288</v>
      </c>
      <c r="H138" s="415">
        <f t="shared" si="10"/>
        <v>0.63351011018993764</v>
      </c>
      <c r="I138" s="415">
        <f t="shared" si="11"/>
        <v>0.50161196573497135</v>
      </c>
      <c r="J138" s="415">
        <f>VLOOKUP(A138,'Grondslagen AU 2018'!A134:DA519,92,FALSE)</f>
        <v>0.55915858140297403</v>
      </c>
      <c r="K138" s="415">
        <f>VLOOKUP(A138,'Grondslagen AU 2019'!A$1:DA$361,92,FALSE)</f>
        <v>0.76500000000000001</v>
      </c>
      <c r="L138" s="121">
        <f>+VLOOKUP(A138,'Grondslagen AU 2020'!A$5:DA$360,77,FALSE)</f>
        <v>0.73499999999999999</v>
      </c>
      <c r="M138" s="121">
        <f>+VLOOKUP(A138,'Grondslagen AU 2021'!A$6:DA$357,77,FALSE)</f>
        <v>0.71299999999999997</v>
      </c>
      <c r="N138" s="121">
        <v>0.79700000000000004</v>
      </c>
      <c r="O138" s="416">
        <f t="shared" si="12"/>
        <v>-8.4000000000000075E-2</v>
      </c>
      <c r="P138" s="121"/>
    </row>
    <row r="139" spans="1:16" x14ac:dyDescent="0.35">
      <c r="A139" s="72">
        <v>344</v>
      </c>
      <c r="B139" s="72">
        <v>6</v>
      </c>
      <c r="D139" s="72" t="s">
        <v>305</v>
      </c>
      <c r="H139" s="415">
        <f t="shared" si="10"/>
        <v>21.803931104212381</v>
      </c>
      <c r="I139" s="415">
        <f t="shared" si="11"/>
        <v>22.522541581088714</v>
      </c>
      <c r="J139" s="415">
        <f>VLOOKUP(A139,'Grondslagen AU 2018'!A135:DA520,92,FALSE)</f>
        <v>22.394279203364398</v>
      </c>
      <c r="K139" s="415">
        <f>VLOOKUP(A139,'Grondslagen AU 2019'!A$1:DA$361,92,FALSE)</f>
        <v>22.698</v>
      </c>
      <c r="L139" s="121">
        <f>+VLOOKUP(A139,'Grondslagen AU 2020'!A$5:DA$360,77,FALSE)</f>
        <v>22.928000000000001</v>
      </c>
      <c r="M139" s="121">
        <f>+VLOOKUP(A139,'Grondslagen AU 2021'!A$6:DA$357,77,FALSE)</f>
        <v>23.021000000000001</v>
      </c>
      <c r="N139" s="121">
        <v>23.68</v>
      </c>
      <c r="O139" s="416">
        <f t="shared" si="12"/>
        <v>-0.65899999999999892</v>
      </c>
      <c r="P139" s="121"/>
    </row>
    <row r="140" spans="1:16" x14ac:dyDescent="0.35">
      <c r="A140" s="72">
        <v>1581</v>
      </c>
      <c r="B140" s="72">
        <v>6</v>
      </c>
      <c r="D140" s="72" t="s">
        <v>306</v>
      </c>
      <c r="H140" s="415">
        <f t="shared" si="10"/>
        <v>0.68768518432128534</v>
      </c>
      <c r="I140" s="415">
        <f t="shared" si="11"/>
        <v>0.56101483423528309</v>
      </c>
      <c r="J140" s="415">
        <f>VLOOKUP(A140,'Grondslagen AU 2018'!A136:DA521,92,FALSE)</f>
        <v>0.61178288707019901</v>
      </c>
      <c r="K140" s="415">
        <f>VLOOKUP(A140,'Grondslagen AU 2019'!A$1:DA$361,92,FALSE)</f>
        <v>1.0069999999999999</v>
      </c>
      <c r="L140" s="121">
        <f>+VLOOKUP(A140,'Grondslagen AU 2020'!A$5:DA$360,77,FALSE)</f>
        <v>0.997</v>
      </c>
      <c r="M140" s="121">
        <f>+VLOOKUP(A140,'Grondslagen AU 2021'!A$6:DA$357,77,FALSE)</f>
        <v>0.92800000000000005</v>
      </c>
      <c r="N140" s="121">
        <v>0.93400000000000005</v>
      </c>
      <c r="O140" s="416">
        <f t="shared" si="12"/>
        <v>-6.0000000000000053E-3</v>
      </c>
      <c r="P140" s="121"/>
    </row>
    <row r="141" spans="1:16" x14ac:dyDescent="0.35">
      <c r="A141" s="72">
        <v>345</v>
      </c>
      <c r="B141" s="72">
        <v>6</v>
      </c>
      <c r="D141" s="72" t="s">
        <v>311</v>
      </c>
      <c r="H141" s="415">
        <f t="shared" si="10"/>
        <v>2.9937750678607307</v>
      </c>
      <c r="I141" s="415">
        <f t="shared" si="11"/>
        <v>2.9255282233166211</v>
      </c>
      <c r="J141" s="415">
        <f>VLOOKUP(A141,'Grondslagen AU 2018'!A137:DA522,92,FALSE)</f>
        <v>2.7631334761186399</v>
      </c>
      <c r="K141" s="415">
        <f>VLOOKUP(A141,'Grondslagen AU 2019'!A$1:DA$361,92,FALSE)</f>
        <v>2.1429999999999998</v>
      </c>
      <c r="L141" s="121">
        <f>+VLOOKUP(A141,'Grondslagen AU 2020'!A$5:DA$360,77,FALSE)</f>
        <v>2.2450000000000001</v>
      </c>
      <c r="M141" s="121">
        <f>+VLOOKUP(A141,'Grondslagen AU 2021'!A$6:DA$357,77,FALSE)</f>
        <v>2.367</v>
      </c>
      <c r="N141" s="121">
        <v>2.3149999999999999</v>
      </c>
      <c r="O141" s="416">
        <f t="shared" si="12"/>
        <v>5.2000000000000046E-2</v>
      </c>
      <c r="P141" s="121"/>
    </row>
    <row r="142" spans="1:16" x14ac:dyDescent="0.35">
      <c r="A142" s="72">
        <v>1961</v>
      </c>
      <c r="B142" s="72">
        <v>6</v>
      </c>
      <c r="D142" s="72" t="s">
        <v>317</v>
      </c>
      <c r="H142" s="415">
        <f>+F505+F583+F613</f>
        <v>1.0599421867827699</v>
      </c>
      <c r="I142" s="415">
        <f>+G505+G583+G613</f>
        <v>1.0310699719164924</v>
      </c>
      <c r="J142" s="415">
        <f>+H505+H583+H613</f>
        <v>1.0841180468653981</v>
      </c>
      <c r="K142" s="415">
        <f>VLOOKUP(A142,'Grondslagen AU 2019'!A$1:DA$361,92,FALSE)</f>
        <v>0.95399999999999996</v>
      </c>
      <c r="L142" s="121">
        <f>+VLOOKUP(A142,'Grondslagen AU 2020'!A$5:DA$360,77,FALSE)</f>
        <v>1.081</v>
      </c>
      <c r="M142" s="121">
        <f>+VLOOKUP(A142,'Grondslagen AU 2021'!A$6:DA$357,77,FALSE)</f>
        <v>1.087</v>
      </c>
      <c r="N142" s="121">
        <v>1.212</v>
      </c>
      <c r="O142" s="416">
        <f t="shared" si="12"/>
        <v>-0.125</v>
      </c>
      <c r="P142" s="121"/>
    </row>
    <row r="143" spans="1:16" x14ac:dyDescent="0.35">
      <c r="A143" s="72">
        <v>352</v>
      </c>
      <c r="B143" s="72">
        <v>6</v>
      </c>
      <c r="D143" s="72" t="s">
        <v>346</v>
      </c>
      <c r="H143" s="415">
        <f t="shared" ref="H143:H149" si="13">VLOOKUP(A143,A$353:F$734,6,FALSE)</f>
        <v>0.18409847870883353</v>
      </c>
      <c r="I143" s="415">
        <f t="shared" ref="I143:I149" si="14">VLOOKUP(A143,A$353:G$734,7,FALSE)</f>
        <v>0.13581803457281053</v>
      </c>
      <c r="J143" s="415">
        <f>VLOOKUP(A143,'Grondslagen AU 2018'!A139:DA524,92,FALSE)</f>
        <v>0.116312630070933</v>
      </c>
      <c r="K143" s="415">
        <f>VLOOKUP(A143,'Grondslagen AU 2019'!A$1:DA$361,92,FALSE)</f>
        <v>0.23899999999999999</v>
      </c>
      <c r="L143" s="121">
        <f>+VLOOKUP(A143,'Grondslagen AU 2020'!A$5:DA$360,77,FALSE)</f>
        <v>0.193</v>
      </c>
      <c r="M143" s="121">
        <f>+VLOOKUP(A143,'Grondslagen AU 2021'!A$6:DA$357,77,FALSE)</f>
        <v>0.18099999999999999</v>
      </c>
      <c r="N143" s="121">
        <v>0.186</v>
      </c>
      <c r="O143" s="416">
        <f t="shared" si="12"/>
        <v>-5.0000000000000044E-3</v>
      </c>
      <c r="P143" s="121"/>
    </row>
    <row r="144" spans="1:16" x14ac:dyDescent="0.35">
      <c r="A144" s="72">
        <v>632</v>
      </c>
      <c r="B144" s="72">
        <v>6</v>
      </c>
      <c r="D144" s="72" t="s">
        <v>349</v>
      </c>
      <c r="H144" s="415">
        <f t="shared" si="13"/>
        <v>0.40597001247830261</v>
      </c>
      <c r="I144" s="415">
        <f t="shared" si="14"/>
        <v>0.25004095600149501</v>
      </c>
      <c r="J144" s="415">
        <f>VLOOKUP(A144,'Grondslagen AU 2018'!A140:DA525,92,FALSE)</f>
        <v>0.248175400088366</v>
      </c>
      <c r="K144" s="415">
        <f>VLOOKUP(A144,'Grondslagen AU 2019'!A$1:DA$361,92,FALSE)</f>
        <v>0.39200000000000002</v>
      </c>
      <c r="L144" s="121">
        <f>+VLOOKUP(A144,'Grondslagen AU 2020'!A$5:DA$360,77,FALSE)</f>
        <v>0.39200000000000002</v>
      </c>
      <c r="M144" s="121">
        <f>+VLOOKUP(A144,'Grondslagen AU 2021'!A$6:DA$357,77,FALSE)</f>
        <v>0.51400000000000001</v>
      </c>
      <c r="N144" s="121">
        <v>0.75800000000000001</v>
      </c>
      <c r="O144" s="416">
        <f t="shared" si="12"/>
        <v>-0.24399999999999999</v>
      </c>
      <c r="P144" s="121"/>
    </row>
    <row r="145" spans="1:16" x14ac:dyDescent="0.35">
      <c r="A145" s="72">
        <v>351</v>
      </c>
      <c r="B145" s="72">
        <v>6</v>
      </c>
      <c r="D145" s="72" t="s">
        <v>351</v>
      </c>
      <c r="H145" s="415">
        <f t="shared" si="13"/>
        <v>6.8188073356968096E-2</v>
      </c>
      <c r="I145" s="415">
        <f t="shared" si="14"/>
        <v>5.8665750279036526E-2</v>
      </c>
      <c r="J145" s="415">
        <f>VLOOKUP(A145,'Grondslagen AU 2018'!A141:DA526,92,FALSE)</f>
        <v>5.87642733966579E-2</v>
      </c>
      <c r="K145" s="415">
        <f>VLOOKUP(A145,'Grondslagen AU 2019'!A$1:DA$361,92,FALSE)</f>
        <v>6.4000000000000001E-2</v>
      </c>
      <c r="L145" s="121">
        <f>+VLOOKUP(A145,'Grondslagen AU 2020'!A$5:DA$360,77,FALSE)</f>
        <v>6.6000000000000003E-2</v>
      </c>
      <c r="M145" s="121">
        <f>+VLOOKUP(A145,'Grondslagen AU 2021'!A$6:DA$357,77,FALSE)</f>
        <v>6.6000000000000003E-2</v>
      </c>
      <c r="N145" s="121">
        <v>6.8000000000000005E-2</v>
      </c>
      <c r="O145" s="416">
        <f t="shared" si="12"/>
        <v>-2.0000000000000018E-3</v>
      </c>
      <c r="P145" s="121"/>
    </row>
    <row r="146" spans="1:16" x14ac:dyDescent="0.35">
      <c r="A146" s="72">
        <v>355</v>
      </c>
      <c r="B146" s="72">
        <v>6</v>
      </c>
      <c r="D146" s="72" t="s">
        <v>356</v>
      </c>
      <c r="H146" s="415">
        <f t="shared" si="13"/>
        <v>2.6411145721655691</v>
      </c>
      <c r="I146" s="415">
        <f t="shared" si="14"/>
        <v>2.9827820161941347</v>
      </c>
      <c r="J146" s="415">
        <f>VLOOKUP(A146,'Grondslagen AU 2018'!A142:DA527,92,FALSE)</f>
        <v>2.88770399013187</v>
      </c>
      <c r="K146" s="415">
        <f>VLOOKUP(A146,'Grondslagen AU 2019'!A$1:DA$361,92,FALSE)</f>
        <v>2.8980000000000001</v>
      </c>
      <c r="L146" s="121">
        <f>+VLOOKUP(A146,'Grondslagen AU 2020'!A$5:DA$360,77,FALSE)</f>
        <v>2.54</v>
      </c>
      <c r="M146" s="121">
        <f>+VLOOKUP(A146,'Grondslagen AU 2021'!A$6:DA$357,77,FALSE)</f>
        <v>2.5670000000000002</v>
      </c>
      <c r="N146" s="121">
        <v>2.6789999999999998</v>
      </c>
      <c r="O146" s="416">
        <f t="shared" si="12"/>
        <v>-0.11199999999999966</v>
      </c>
      <c r="P146" s="121"/>
    </row>
    <row r="147" spans="1:16" x14ac:dyDescent="0.35">
      <c r="A147" s="72">
        <v>358</v>
      </c>
      <c r="B147" s="72">
        <v>7</v>
      </c>
      <c r="D147" s="72" t="s">
        <v>12</v>
      </c>
      <c r="H147" s="415">
        <f t="shared" si="13"/>
        <v>0.17185686139252113</v>
      </c>
      <c r="I147" s="415">
        <f t="shared" si="14"/>
        <v>0.15035967530436925</v>
      </c>
      <c r="J147" s="415">
        <f>VLOOKUP(A147,'Grondslagen AU 2018'!A143:DA528,92,FALSE)</f>
        <v>0.14948978635309701</v>
      </c>
      <c r="K147" s="415">
        <f>VLOOKUP(A147,'Grondslagen AU 2019'!A$1:DA$361,92,FALSE)</f>
        <v>0.159</v>
      </c>
      <c r="L147" s="121">
        <f>+VLOOKUP(A147,'Grondslagen AU 2020'!A$5:DA$360,77,FALSE)</f>
        <v>0.16400000000000001</v>
      </c>
      <c r="M147" s="121">
        <f>+VLOOKUP(A147,'Grondslagen AU 2021'!A$6:DA$357,77,FALSE)</f>
        <v>0.161</v>
      </c>
      <c r="N147" s="121">
        <v>0.16500000000000001</v>
      </c>
      <c r="O147" s="416">
        <f t="shared" si="12"/>
        <v>-4.0000000000000036E-3</v>
      </c>
      <c r="P147" s="121"/>
    </row>
    <row r="148" spans="1:16" x14ac:dyDescent="0.35">
      <c r="A148" s="72">
        <v>361</v>
      </c>
      <c r="B148" s="72">
        <v>7</v>
      </c>
      <c r="D148" s="72" t="s">
        <v>17</v>
      </c>
      <c r="H148" s="415">
        <f t="shared" si="13"/>
        <v>4.9878544365265851</v>
      </c>
      <c r="I148" s="415">
        <f t="shared" si="14"/>
        <v>5.1011112745556471</v>
      </c>
      <c r="J148" s="415">
        <f>VLOOKUP(A148,'Grondslagen AU 2018'!A144:DA529,92,FALSE)</f>
        <v>5.16328637438885</v>
      </c>
      <c r="K148" s="415">
        <f>VLOOKUP(A148,'Grondslagen AU 2019'!A$1:DA$361,92,FALSE)</f>
        <v>5.3209999999999997</v>
      </c>
      <c r="L148" s="121">
        <f>+VLOOKUP(A148,'Grondslagen AU 2020'!A$5:DA$360,77,FALSE)</f>
        <v>5.54</v>
      </c>
      <c r="M148" s="121">
        <f>+VLOOKUP(A148,'Grondslagen AU 2021'!A$6:DA$357,77,FALSE)</f>
        <v>5.41</v>
      </c>
      <c r="N148" s="121">
        <v>5.43</v>
      </c>
      <c r="O148" s="416">
        <f t="shared" si="12"/>
        <v>-1.9999999999999574E-2</v>
      </c>
      <c r="P148" s="121"/>
    </row>
    <row r="149" spans="1:16" x14ac:dyDescent="0.35">
      <c r="A149" s="72">
        <v>362</v>
      </c>
      <c r="B149" s="72">
        <v>7</v>
      </c>
      <c r="D149" s="72" t="s">
        <v>25</v>
      </c>
      <c r="H149" s="415">
        <f t="shared" si="13"/>
        <v>0.81004186346204154</v>
      </c>
      <c r="I149" s="415">
        <f t="shared" si="14"/>
        <v>0.43243421195509857</v>
      </c>
      <c r="J149" s="415">
        <f>VLOOKUP(A149,'Grondslagen AU 2018'!A145:DA530,92,FALSE)</f>
        <v>0.42850113661220701</v>
      </c>
      <c r="K149" s="415">
        <f>VLOOKUP(A149,'Grondslagen AU 2019'!A$1:DA$361,92,FALSE)</f>
        <v>0.6</v>
      </c>
      <c r="L149" s="121">
        <f>+VLOOKUP(A149,'Grondslagen AU 2020'!A$5:DA$360,77,FALSE)</f>
        <v>0.78200000000000003</v>
      </c>
      <c r="M149" s="121">
        <f>+VLOOKUP(A149,'Grondslagen AU 2021'!A$6:DA$357,77,FALSE)</f>
        <v>1.008</v>
      </c>
      <c r="N149" s="121">
        <v>1.077</v>
      </c>
      <c r="O149" s="416">
        <f t="shared" si="12"/>
        <v>-6.899999999999995E-2</v>
      </c>
      <c r="P149" s="121"/>
    </row>
    <row r="150" spans="1:16" x14ac:dyDescent="0.35">
      <c r="A150" s="72">
        <v>363</v>
      </c>
      <c r="B150" s="72">
        <v>7</v>
      </c>
      <c r="D150" s="72" t="s">
        <v>26</v>
      </c>
      <c r="H150" s="415">
        <f>VLOOKUP(A150,A$353:F$734,6,FALSE)+F553</f>
        <v>114.16750510694224</v>
      </c>
      <c r="I150" s="415">
        <f>VLOOKUP(A150,A$353:G$734,7,FALSE)+G553</f>
        <v>110.36187014736913</v>
      </c>
      <c r="J150" s="415">
        <f>VLOOKUP(A150,'Grondslagen AU 2018'!A146:DA531,92,FALSE)+H553</f>
        <v>109.14758691757493</v>
      </c>
      <c r="K150" s="415">
        <f>VLOOKUP(A150,'Grondslagen AU 2019'!A$1:DA$361,92,FALSE)+I553</f>
        <v>112.54900000000001</v>
      </c>
      <c r="L150" s="121">
        <f>+VLOOKUP(A150,'Grondslagen AU 2020'!A$5:DA$360,77,FALSE)+J553</f>
        <v>111.964</v>
      </c>
      <c r="M150" s="121">
        <f>+VLOOKUP(A150,'Grondslagen AU 2021'!A$6:DA$357,77,FALSE)+K553</f>
        <v>115.34400000000001</v>
      </c>
      <c r="N150" s="121">
        <v>127.77800000000001</v>
      </c>
      <c r="O150" s="416">
        <f t="shared" si="12"/>
        <v>-12.433999999999997</v>
      </c>
      <c r="P150" s="121"/>
    </row>
    <row r="151" spans="1:16" x14ac:dyDescent="0.35">
      <c r="A151" s="72">
        <v>373</v>
      </c>
      <c r="B151" s="72">
        <v>7</v>
      </c>
      <c r="D151" s="72" t="s">
        <v>43</v>
      </c>
      <c r="H151" s="415">
        <f t="shared" ref="H151:H157" si="15">VLOOKUP(A151,A$353:F$734,6,FALSE)</f>
        <v>0.26101883568298817</v>
      </c>
      <c r="I151" s="415">
        <f t="shared" ref="I151:I157" si="16">VLOOKUP(A151,A$353:G$734,7,FALSE)</f>
        <v>0.15963420695642397</v>
      </c>
      <c r="J151" s="415">
        <f>VLOOKUP(A151,'Grondslagen AU 2018'!A148:DA533,92,FALSE)</f>
        <v>0.16274365938618199</v>
      </c>
      <c r="K151" s="415">
        <f>VLOOKUP(A151,'Grondslagen AU 2019'!A$1:DA$361,92,FALSE)</f>
        <v>0.32100000000000001</v>
      </c>
      <c r="L151" s="121">
        <f>+VLOOKUP(A151,'Grondslagen AU 2020'!A$5:DA$360,77,FALSE)</f>
        <v>0.31</v>
      </c>
      <c r="M151" s="121">
        <f>+VLOOKUP(A151,'Grondslagen AU 2021'!A$6:DA$357,77,FALSE)</f>
        <v>0.29699999999999999</v>
      </c>
      <c r="N151" s="121">
        <v>0.36399999999999999</v>
      </c>
      <c r="O151" s="416">
        <f t="shared" si="12"/>
        <v>-6.7000000000000004E-2</v>
      </c>
      <c r="P151" s="121"/>
    </row>
    <row r="152" spans="1:16" x14ac:dyDescent="0.35">
      <c r="A152" s="72">
        <v>375</v>
      </c>
      <c r="B152" s="72">
        <v>7</v>
      </c>
      <c r="D152" s="72" t="s">
        <v>49</v>
      </c>
      <c r="H152" s="415">
        <f t="shared" si="15"/>
        <v>1.9930240789126759</v>
      </c>
      <c r="I152" s="415">
        <f t="shared" si="16"/>
        <v>2.0718543859169269</v>
      </c>
      <c r="J152" s="415">
        <f>VLOOKUP(A152,'Grondslagen AU 2018'!A149:DA534,92,FALSE)</f>
        <v>2.04721999466808</v>
      </c>
      <c r="K152" s="415">
        <f>VLOOKUP(A152,'Grondslagen AU 2019'!A$1:DA$361,92,FALSE)</f>
        <v>1.9430000000000001</v>
      </c>
      <c r="L152" s="121">
        <f>+VLOOKUP(A152,'Grondslagen AU 2020'!A$5:DA$360,77,FALSE)</f>
        <v>2.0449999999999999</v>
      </c>
      <c r="M152" s="121">
        <f>+VLOOKUP(A152,'Grondslagen AU 2021'!A$6:DA$357,77,FALSE)</f>
        <v>2.1259999999999999</v>
      </c>
      <c r="N152" s="121">
        <v>2.2469999999999999</v>
      </c>
      <c r="O152" s="416">
        <f t="shared" si="12"/>
        <v>-0.121</v>
      </c>
      <c r="P152" s="121"/>
    </row>
    <row r="153" spans="1:16" x14ac:dyDescent="0.35">
      <c r="A153" s="72">
        <v>376</v>
      </c>
      <c r="B153" s="72">
        <v>7</v>
      </c>
      <c r="D153" s="72" t="s">
        <v>51</v>
      </c>
      <c r="H153" s="415">
        <f t="shared" si="15"/>
        <v>0.11010637776365881</v>
      </c>
      <c r="I153" s="415">
        <f t="shared" si="16"/>
        <v>8.1835464587539042E-2</v>
      </c>
      <c r="J153" s="415">
        <f>VLOOKUP(A153,'Grondslagen AU 2018'!A150:DA535,92,FALSE)</f>
        <v>5.8321642678290597E-2</v>
      </c>
      <c r="K153" s="415">
        <f>VLOOKUP(A153,'Grondslagen AU 2019'!A$1:DA$361,92,FALSE)</f>
        <v>6.0999999999999999E-2</v>
      </c>
      <c r="L153" s="121">
        <f>+VLOOKUP(A153,'Grondslagen AU 2020'!A$5:DA$360,77,FALSE)</f>
        <v>5.2999999999999999E-2</v>
      </c>
      <c r="M153" s="121">
        <f>+VLOOKUP(A153,'Grondslagen AU 2021'!A$6:DA$357,77,FALSE)</f>
        <v>6.0999999999999999E-2</v>
      </c>
      <c r="N153" s="121">
        <v>0.11700000000000001</v>
      </c>
      <c r="O153" s="416">
        <f t="shared" si="12"/>
        <v>-5.6000000000000008E-2</v>
      </c>
      <c r="P153" s="121"/>
    </row>
    <row r="154" spans="1:16" x14ac:dyDescent="0.35">
      <c r="A154" s="72">
        <v>377</v>
      </c>
      <c r="B154" s="72">
        <v>7</v>
      </c>
      <c r="D154" s="72" t="s">
        <v>52</v>
      </c>
      <c r="H154" s="415">
        <f t="shared" si="15"/>
        <v>0.16056298829329732</v>
      </c>
      <c r="I154" s="415">
        <f t="shared" si="16"/>
        <v>9.573350720417087E-2</v>
      </c>
      <c r="J154" s="415">
        <f>VLOOKUP(A154,'Grondslagen AU 2018'!A151:DA536,92,FALSE)</f>
        <v>9.6789992012796297E-2</v>
      </c>
      <c r="K154" s="415">
        <f>VLOOKUP(A154,'Grondslagen AU 2019'!A$1:DA$361,92,FALSE)</f>
        <v>0.10299999999999999</v>
      </c>
      <c r="L154" s="121">
        <f>+VLOOKUP(A154,'Grondslagen AU 2020'!A$5:DA$360,77,FALSE)</f>
        <v>0.105</v>
      </c>
      <c r="M154" s="121">
        <f>+VLOOKUP(A154,'Grondslagen AU 2021'!A$6:DA$357,77,FALSE)</f>
        <v>0.10199999999999999</v>
      </c>
      <c r="N154" s="121">
        <v>0.112</v>
      </c>
      <c r="O154" s="416">
        <f t="shared" si="12"/>
        <v>-1.0000000000000009E-2</v>
      </c>
      <c r="P154" s="121"/>
    </row>
    <row r="155" spans="1:16" x14ac:dyDescent="0.35">
      <c r="A155" s="72">
        <v>383</v>
      </c>
      <c r="B155" s="72">
        <v>7</v>
      </c>
      <c r="D155" s="72" t="s">
        <v>69</v>
      </c>
      <c r="H155" s="415">
        <f t="shared" si="15"/>
        <v>0.18381181708158645</v>
      </c>
      <c r="I155" s="415">
        <f t="shared" si="16"/>
        <v>0.1621188378211767</v>
      </c>
      <c r="J155" s="415">
        <f>VLOOKUP(A155,'Grondslagen AU 2018'!A152:DA537,92,FALSE)</f>
        <v>0.16249480868815</v>
      </c>
      <c r="K155" s="415">
        <f>VLOOKUP(A155,'Grondslagen AU 2019'!A$1:DA$361,92,FALSE)</f>
        <v>0.17199999999999999</v>
      </c>
      <c r="L155" s="121">
        <f>+VLOOKUP(A155,'Grondslagen AU 2020'!A$5:DA$360,77,FALSE)</f>
        <v>0.216</v>
      </c>
      <c r="M155" s="121">
        <f>+VLOOKUP(A155,'Grondslagen AU 2021'!A$6:DA$357,77,FALSE)</f>
        <v>0.20899999999999999</v>
      </c>
      <c r="N155" s="121">
        <v>0.29799999999999999</v>
      </c>
      <c r="O155" s="416">
        <f t="shared" si="12"/>
        <v>-8.8999999999999996E-2</v>
      </c>
      <c r="P155" s="121"/>
    </row>
    <row r="156" spans="1:16" x14ac:dyDescent="0.35">
      <c r="A156" s="72">
        <v>400</v>
      </c>
      <c r="B156" s="72">
        <v>7</v>
      </c>
      <c r="D156" s="72" t="s">
        <v>82</v>
      </c>
      <c r="H156" s="415">
        <f t="shared" si="15"/>
        <v>4.7435563640980618</v>
      </c>
      <c r="I156" s="415">
        <f t="shared" si="16"/>
        <v>4.5109120465431936</v>
      </c>
      <c r="J156" s="415">
        <f>VLOOKUP(A156,'Grondslagen AU 2018'!A153:DA538,92,FALSE)</f>
        <v>4.5307388232147803</v>
      </c>
      <c r="K156" s="415">
        <f>VLOOKUP(A156,'Grondslagen AU 2019'!A$1:DA$361,92,FALSE)</f>
        <v>4.3209999999999997</v>
      </c>
      <c r="L156" s="121">
        <f>+VLOOKUP(A156,'Grondslagen AU 2020'!A$5:DA$360,77,FALSE)</f>
        <v>4.431</v>
      </c>
      <c r="M156" s="121">
        <f>+VLOOKUP(A156,'Grondslagen AU 2021'!A$6:DA$357,77,FALSE)</f>
        <v>4.5179999999999998</v>
      </c>
      <c r="N156" s="121">
        <v>4.298</v>
      </c>
      <c r="O156" s="416">
        <f t="shared" si="12"/>
        <v>0.21999999999999975</v>
      </c>
      <c r="P156" s="121"/>
    </row>
    <row r="157" spans="1:16" x14ac:dyDescent="0.35">
      <c r="A157" s="72">
        <v>384</v>
      </c>
      <c r="B157" s="72">
        <v>7</v>
      </c>
      <c r="D157" s="72" t="s">
        <v>85</v>
      </c>
      <c r="H157" s="415">
        <f t="shared" si="15"/>
        <v>0.95146307724229795</v>
      </c>
      <c r="I157" s="415">
        <f t="shared" si="16"/>
        <v>0.85425208581817369</v>
      </c>
      <c r="J157" s="415">
        <f>VLOOKUP(A157,'Grondslagen AU 2018'!A154:DA539,92,FALSE)</f>
        <v>0.66479405660610902</v>
      </c>
      <c r="K157" s="415">
        <f>VLOOKUP(A157,'Grondslagen AU 2019'!A$1:DA$361,92,FALSE)</f>
        <v>0.59</v>
      </c>
      <c r="L157" s="121">
        <f>+VLOOKUP(A157,'Grondslagen AU 2020'!A$5:DA$360,77,FALSE)</f>
        <v>0.45700000000000002</v>
      </c>
      <c r="M157" s="121">
        <f>+VLOOKUP(A157,'Grondslagen AU 2021'!A$6:DA$357,77,FALSE)</f>
        <v>0.52400000000000002</v>
      </c>
      <c r="N157" s="121">
        <v>0.64600000000000002</v>
      </c>
      <c r="O157" s="416">
        <f t="shared" si="12"/>
        <v>-0.122</v>
      </c>
      <c r="P157" s="121"/>
    </row>
    <row r="158" spans="1:16" x14ac:dyDescent="0.35">
      <c r="A158" s="72">
        <v>1980</v>
      </c>
      <c r="B158" s="72">
        <v>7</v>
      </c>
      <c r="D158" s="72" t="s">
        <v>1303</v>
      </c>
      <c r="H158" s="415">
        <f t="shared" ref="H158:M158" si="17">+F531+F539</f>
        <v>1.4408941557180455</v>
      </c>
      <c r="I158" s="415">
        <f t="shared" si="17"/>
        <v>1.2701984350796227</v>
      </c>
      <c r="J158" s="415">
        <f t="shared" si="17"/>
        <v>1.363866505886687</v>
      </c>
      <c r="K158" s="415">
        <f t="shared" si="17"/>
        <v>1.4929999999999999</v>
      </c>
      <c r="L158" s="415">
        <f t="shared" si="17"/>
        <v>1.518</v>
      </c>
      <c r="M158" s="415">
        <f t="shared" si="17"/>
        <v>1.5389999999999999</v>
      </c>
      <c r="N158" s="121">
        <v>1.587</v>
      </c>
      <c r="O158" s="416">
        <f t="shared" si="12"/>
        <v>-4.8000000000000043E-2</v>
      </c>
      <c r="P158" s="415"/>
    </row>
    <row r="159" spans="1:16" x14ac:dyDescent="0.35">
      <c r="A159" s="72">
        <v>498</v>
      </c>
      <c r="B159" s="72">
        <v>7</v>
      </c>
      <c r="D159" s="72" t="s">
        <v>91</v>
      </c>
      <c r="H159" s="415">
        <f>VLOOKUP(A159,A$353:F$734,6,FALSE)</f>
        <v>0.12151761273262876</v>
      </c>
      <c r="I159" s="415">
        <f>VLOOKUP(A159,A$353:G$734,7,FALSE)</f>
        <v>9.4134505925047546E-2</v>
      </c>
      <c r="J159" s="415">
        <f>VLOOKUP(A159,'Grondslagen AU 2018'!A155:DA540,92,FALSE)</f>
        <v>9.2590925567796703E-2</v>
      </c>
      <c r="K159" s="415">
        <f>VLOOKUP(A159,'Grondslagen AU 2019'!A$1:DA$361,92,FALSE)</f>
        <v>9.7000000000000003E-2</v>
      </c>
      <c r="L159" s="121">
        <f>+VLOOKUP(A159,'Grondslagen AU 2020'!A$5:DA$360,77,FALSE)</f>
        <v>0.151</v>
      </c>
      <c r="M159" s="121">
        <f>+VLOOKUP(A159,'Grondslagen AU 2021'!A$6:DA$357,77,FALSE)</f>
        <v>0.13900000000000001</v>
      </c>
      <c r="N159" s="121">
        <v>0.159</v>
      </c>
      <c r="O159" s="416">
        <f t="shared" si="12"/>
        <v>-1.999999999999999E-2</v>
      </c>
      <c r="P159" s="121"/>
    </row>
    <row r="160" spans="1:16" x14ac:dyDescent="0.35">
      <c r="A160" s="72">
        <v>385</v>
      </c>
      <c r="B160" s="72">
        <v>7</v>
      </c>
      <c r="D160" s="72" t="s">
        <v>97</v>
      </c>
      <c r="H160" s="415">
        <f>VLOOKUP(A160,A$353:F$734,6,FALSE)</f>
        <v>0.24475805148707591</v>
      </c>
      <c r="I160" s="415">
        <f>VLOOKUP(A160,A$353:G$734,7,FALSE)</f>
        <v>0.17309762650798105</v>
      </c>
      <c r="J160" s="415">
        <f>VLOOKUP(A160,'Grondslagen AU 2018'!A156:DA541,92,FALSE)</f>
        <v>0.17170103530047801</v>
      </c>
      <c r="K160" s="415">
        <f>VLOOKUP(A160,'Grondslagen AU 2019'!A$1:DA$361,92,FALSE)</f>
        <v>0.18</v>
      </c>
      <c r="L160" s="121">
        <f>+VLOOKUP(A160,'Grondslagen AU 2020'!A$5:DA$360,77,FALSE)</f>
        <v>0.184</v>
      </c>
      <c r="M160" s="121">
        <f>+VLOOKUP(A160,'Grondslagen AU 2021'!A$6:DA$357,77,FALSE)</f>
        <v>0.18</v>
      </c>
      <c r="N160" s="121">
        <v>0.182</v>
      </c>
      <c r="O160" s="416">
        <f t="shared" si="12"/>
        <v>-2.0000000000000018E-3</v>
      </c>
      <c r="P160" s="121"/>
    </row>
    <row r="161" spans="1:16" x14ac:dyDescent="0.35">
      <c r="A161" s="72">
        <v>388</v>
      </c>
      <c r="B161" s="72">
        <v>7</v>
      </c>
      <c r="D161" s="72" t="s">
        <v>105</v>
      </c>
      <c r="H161" s="415">
        <f>VLOOKUP(A161,A$353:F$734,6,FALSE)</f>
        <v>0.70149778279456432</v>
      </c>
      <c r="I161" s="415">
        <f>VLOOKUP(A161,A$353:G$734,7,FALSE)</f>
        <v>0.71272646508867965</v>
      </c>
      <c r="J161" s="415">
        <f>VLOOKUP(A161,'Grondslagen AU 2018'!A157:DA542,92,FALSE)</f>
        <v>0.66885229945745905</v>
      </c>
      <c r="K161" s="415">
        <f>VLOOKUP(A161,'Grondslagen AU 2019'!A$1:DA$361,92,FALSE)</f>
        <v>0.67900000000000005</v>
      </c>
      <c r="L161" s="121">
        <f>+VLOOKUP(A161,'Grondslagen AU 2020'!A$5:DA$360,77,FALSE)</f>
        <v>0.76300000000000001</v>
      </c>
      <c r="M161" s="121">
        <f>+VLOOKUP(A161,'Grondslagen AU 2021'!A$6:DA$357,77,FALSE)</f>
        <v>0.65400000000000003</v>
      </c>
      <c r="N161" s="121">
        <v>0.60899999999999999</v>
      </c>
      <c r="O161" s="416">
        <f t="shared" si="12"/>
        <v>4.500000000000004E-2</v>
      </c>
      <c r="P161" s="121"/>
    </row>
    <row r="162" spans="1:16" x14ac:dyDescent="0.35">
      <c r="A162" s="72">
        <v>1942</v>
      </c>
      <c r="B162" s="72">
        <v>7</v>
      </c>
      <c r="D162" s="72" t="s">
        <v>118</v>
      </c>
      <c r="H162" s="415">
        <f>VLOOKUP(A162,A$353:F$734,6,FALSE)</f>
        <v>1.1591821903540485</v>
      </c>
      <c r="I162" s="415">
        <f>VLOOKUP(A162,A$353:G$734,7,FALSE)</f>
        <v>1.0503746190827596</v>
      </c>
      <c r="J162" s="415">
        <f>VLOOKUP(A162,'Grondslagen AU 2018'!A158:DA543,92,FALSE)</f>
        <v>1.0037756463234</v>
      </c>
      <c r="K162" s="415">
        <f>VLOOKUP(A162,'Grondslagen AU 2019'!A$1:DA$361,92,FALSE)</f>
        <v>1.147</v>
      </c>
      <c r="L162" s="121">
        <f>+VLOOKUP(A162,'Grondslagen AU 2020'!A$5:DA$360,77,FALSE)</f>
        <v>1.268</v>
      </c>
      <c r="M162" s="121">
        <f>+VLOOKUP(A162,'Grondslagen AU 2021'!A$6:DA$357,77,FALSE)</f>
        <v>1.3220000000000001</v>
      </c>
      <c r="N162" s="121">
        <v>1.1539999999999999</v>
      </c>
      <c r="O162" s="416">
        <f t="shared" si="12"/>
        <v>0.16800000000000015</v>
      </c>
      <c r="P162" s="121"/>
    </row>
    <row r="163" spans="1:16" x14ac:dyDescent="0.35">
      <c r="A163" s="72">
        <v>392</v>
      </c>
      <c r="B163" s="72">
        <v>7</v>
      </c>
      <c r="D163" s="72" t="s">
        <v>126</v>
      </c>
      <c r="H163" s="415">
        <f>VLOOKUP(A163,A$353:F$734,6,FALSE)</f>
        <v>7.0973756536754875</v>
      </c>
      <c r="I163" s="415">
        <f>VLOOKUP(A163,A$353:G$734,7,FALSE)</f>
        <v>6.8594375859006336</v>
      </c>
      <c r="J163" s="415">
        <f>VLOOKUP(A163,'Grondslagen AU 2018'!A159:DA544,92,FALSE)</f>
        <v>6.8844222473288701</v>
      </c>
      <c r="K163" s="415">
        <f>VLOOKUP(A163,'Grondslagen AU 2019'!A$1:DA$361,92,FALSE)</f>
        <v>7.4009999999999998</v>
      </c>
      <c r="L163" s="121">
        <f>+VLOOKUP(A163,'Grondslagen AU 2020'!A$5:DA$360,77,FALSE)</f>
        <v>7.6760000000000002</v>
      </c>
      <c r="M163" s="121">
        <f>+VLOOKUP(A163,'Grondslagen AU 2021'!A$6:DA$357,77,FALSE)</f>
        <v>7.42</v>
      </c>
      <c r="N163" s="121">
        <v>7.7560000000000002</v>
      </c>
      <c r="O163" s="416">
        <f t="shared" si="12"/>
        <v>-0.3360000000000003</v>
      </c>
      <c r="P163" s="121"/>
    </row>
    <row r="164" spans="1:16" x14ac:dyDescent="0.35">
      <c r="A164" s="72">
        <v>394</v>
      </c>
      <c r="B164" s="72">
        <v>7</v>
      </c>
      <c r="D164" s="72" t="s">
        <v>127</v>
      </c>
      <c r="H164" s="415">
        <f>+F527+F528</f>
        <v>1.7065836588814178</v>
      </c>
      <c r="I164" s="415">
        <f>+G527+G528</f>
        <v>0.79533306602320542</v>
      </c>
      <c r="J164" s="415">
        <f>+H527+H528</f>
        <v>1.3201989950082895</v>
      </c>
      <c r="K164" s="415">
        <f>VLOOKUP(A164,'Grondslagen AU 2019'!A$1:DA$361,92,FALSE)</f>
        <v>1.75</v>
      </c>
      <c r="L164" s="121">
        <f>+VLOOKUP(A164,'Grondslagen AU 2020'!A$5:DA$360,77,FALSE)</f>
        <v>1.8160000000000001</v>
      </c>
      <c r="M164" s="121">
        <f>+VLOOKUP(A164,'Grondslagen AU 2021'!A$6:DA$357,77,FALSE)</f>
        <v>2.1890000000000001</v>
      </c>
      <c r="N164" s="121">
        <v>2.7930000000000001</v>
      </c>
      <c r="O164" s="416">
        <f t="shared" si="12"/>
        <v>-0.60400000000000009</v>
      </c>
      <c r="P164" s="121"/>
    </row>
    <row r="165" spans="1:16" x14ac:dyDescent="0.35">
      <c r="A165" s="72">
        <v>396</v>
      </c>
      <c r="B165" s="72">
        <v>7</v>
      </c>
      <c r="D165" s="72" t="s">
        <v>134</v>
      </c>
      <c r="H165" s="415">
        <f t="shared" ref="H165:H178" si="18">VLOOKUP(A165,A$353:F$734,6,FALSE)</f>
        <v>1.7903695881030939</v>
      </c>
      <c r="I165" s="415">
        <f t="shared" ref="I165:I178" si="19">VLOOKUP(A165,A$353:G$734,7,FALSE)</f>
        <v>1.8133801325152492</v>
      </c>
      <c r="J165" s="415">
        <f>VLOOKUP(A165,'Grondslagen AU 2018'!A161:DA546,92,FALSE)</f>
        <v>1.7136830976459201</v>
      </c>
      <c r="K165" s="415">
        <f>VLOOKUP(A165,'Grondslagen AU 2019'!A$1:DA$361,92,FALSE)</f>
        <v>1.827</v>
      </c>
      <c r="L165" s="121">
        <f>+VLOOKUP(A165,'Grondslagen AU 2020'!A$5:DA$360,77,FALSE)</f>
        <v>1.718</v>
      </c>
      <c r="M165" s="121">
        <f>+VLOOKUP(A165,'Grondslagen AU 2021'!A$6:DA$357,77,FALSE)</f>
        <v>1.829</v>
      </c>
      <c r="N165" s="121">
        <v>1.861</v>
      </c>
      <c r="O165" s="416">
        <f t="shared" si="12"/>
        <v>-3.2000000000000028E-2</v>
      </c>
      <c r="P165" s="121"/>
    </row>
    <row r="166" spans="1:16" x14ac:dyDescent="0.35">
      <c r="A166" s="72">
        <v>397</v>
      </c>
      <c r="B166" s="72">
        <v>7</v>
      </c>
      <c r="D166" s="72" t="s">
        <v>135</v>
      </c>
      <c r="H166" s="415">
        <f t="shared" si="18"/>
        <v>0.22052213272250856</v>
      </c>
      <c r="I166" s="415">
        <f t="shared" si="19"/>
        <v>0.11463079504835717</v>
      </c>
      <c r="J166" s="415">
        <f>VLOOKUP(A166,'Grondslagen AU 2018'!A162:DA547,92,FALSE)</f>
        <v>0.113691989681698</v>
      </c>
      <c r="K166" s="415">
        <f>VLOOKUP(A166,'Grondslagen AU 2019'!A$1:DA$361,92,FALSE)</f>
        <v>0.12</v>
      </c>
      <c r="L166" s="121">
        <f>+VLOOKUP(A166,'Grondslagen AU 2020'!A$5:DA$360,77,FALSE)</f>
        <v>0.121</v>
      </c>
      <c r="M166" s="121">
        <f>+VLOOKUP(A166,'Grondslagen AU 2021'!A$6:DA$357,77,FALSE)</f>
        <v>0.17799999999999999</v>
      </c>
      <c r="N166" s="121">
        <v>0.17299999999999999</v>
      </c>
      <c r="O166" s="416">
        <f t="shared" si="12"/>
        <v>5.0000000000000044E-3</v>
      </c>
      <c r="P166" s="121"/>
    </row>
    <row r="167" spans="1:16" x14ac:dyDescent="0.35">
      <c r="A167" s="72">
        <v>399</v>
      </c>
      <c r="B167" s="72">
        <v>7</v>
      </c>
      <c r="D167" s="72" t="s">
        <v>141</v>
      </c>
      <c r="H167" s="415">
        <f t="shared" si="18"/>
        <v>0.22463424393202519</v>
      </c>
      <c r="I167" s="415">
        <f t="shared" si="19"/>
        <v>0.25691562011584079</v>
      </c>
      <c r="J167" s="415">
        <f>VLOOKUP(A167,'Grondslagen AU 2018'!A164:DA549,92,FALSE)</f>
        <v>0.29530973239872499</v>
      </c>
      <c r="K167" s="415">
        <f>VLOOKUP(A167,'Grondslagen AU 2019'!A$1:DA$361,92,FALSE)</f>
        <v>0.23200000000000001</v>
      </c>
      <c r="L167" s="121">
        <f>+VLOOKUP(A167,'Grondslagen AU 2020'!A$5:DA$360,77,FALSE)</f>
        <v>0.24399999999999999</v>
      </c>
      <c r="M167" s="121">
        <f>+VLOOKUP(A167,'Grondslagen AU 2021'!A$6:DA$357,77,FALSE)</f>
        <v>0.20799999999999999</v>
      </c>
      <c r="N167" s="121">
        <v>0.28000000000000003</v>
      </c>
      <c r="O167" s="416">
        <f t="shared" si="12"/>
        <v>-7.2000000000000036E-2</v>
      </c>
      <c r="P167" s="121"/>
    </row>
    <row r="168" spans="1:16" x14ac:dyDescent="0.35">
      <c r="A168" s="72">
        <v>402</v>
      </c>
      <c r="B168" s="72">
        <v>7</v>
      </c>
      <c r="D168" s="72" t="s">
        <v>152</v>
      </c>
      <c r="H168" s="415">
        <f t="shared" si="18"/>
        <v>4.0479180324880781</v>
      </c>
      <c r="I168" s="415">
        <f t="shared" si="19"/>
        <v>4.0087739202567354</v>
      </c>
      <c r="J168" s="415">
        <f>VLOOKUP(A168,'Grondslagen AU 2018'!A165:DA550,92,FALSE)</f>
        <v>4.1398346843662397</v>
      </c>
      <c r="K168" s="415">
        <f>VLOOKUP(A168,'Grondslagen AU 2019'!A$1:DA$361,92,FALSE)</f>
        <v>4.6529999999999996</v>
      </c>
      <c r="L168" s="121">
        <f>+VLOOKUP(A168,'Grondslagen AU 2020'!A$5:DA$360,77,FALSE)</f>
        <v>4.6130000000000004</v>
      </c>
      <c r="M168" s="121">
        <f>+VLOOKUP(A168,'Grondslagen AU 2021'!A$6:DA$357,77,FALSE)</f>
        <v>4.7030000000000003</v>
      </c>
      <c r="N168" s="121">
        <v>4.7469999999999999</v>
      </c>
      <c r="O168" s="416">
        <f t="shared" si="12"/>
        <v>-4.3999999999999595E-2</v>
      </c>
      <c r="P168" s="121"/>
    </row>
    <row r="169" spans="1:16" x14ac:dyDescent="0.35">
      <c r="A169" s="72">
        <v>1911</v>
      </c>
      <c r="B169" s="72">
        <v>7</v>
      </c>
      <c r="D169" s="72" t="s">
        <v>155</v>
      </c>
      <c r="H169" s="415">
        <f t="shared" si="18"/>
        <v>0.74498914507501934</v>
      </c>
      <c r="I169" s="415">
        <f t="shared" si="19"/>
        <v>0.64730815664953922</v>
      </c>
      <c r="J169" s="415">
        <f>VLOOKUP(A169,'Grondslagen AU 2018'!A166:DA551,92,FALSE)</f>
        <v>0.56016964884639198</v>
      </c>
      <c r="K169" s="415">
        <f>VLOOKUP(A169,'Grondslagen AU 2019'!A$1:DA$361,92,FALSE)</f>
        <v>0.6</v>
      </c>
      <c r="L169" s="121">
        <f>+VLOOKUP(A169,'Grondslagen AU 2020'!A$5:DA$360,77,FALSE)</f>
        <v>0.623</v>
      </c>
      <c r="M169" s="121">
        <f>+VLOOKUP(A169,'Grondslagen AU 2021'!A$6:DA$357,77,FALSE)</f>
        <v>0.64200000000000002</v>
      </c>
      <c r="N169" s="121">
        <v>0.68500000000000005</v>
      </c>
      <c r="O169" s="416">
        <f t="shared" si="12"/>
        <v>-4.3000000000000038E-2</v>
      </c>
      <c r="P169" s="121"/>
    </row>
    <row r="170" spans="1:16" x14ac:dyDescent="0.35">
      <c r="A170" s="72">
        <v>405</v>
      </c>
      <c r="B170" s="72">
        <v>7</v>
      </c>
      <c r="D170" s="72" t="s">
        <v>157</v>
      </c>
      <c r="H170" s="415">
        <f t="shared" si="18"/>
        <v>3.3514803341439978</v>
      </c>
      <c r="I170" s="415">
        <f t="shared" si="19"/>
        <v>3.5990750385630901</v>
      </c>
      <c r="J170" s="415">
        <f>VLOOKUP(A170,'Grondslagen AU 2018'!A167:DA552,92,FALSE)</f>
        <v>3.6032888167167498</v>
      </c>
      <c r="K170" s="415">
        <f>VLOOKUP(A170,'Grondslagen AU 2019'!A$1:DA$361,92,FALSE)</f>
        <v>3.4460000000000002</v>
      </c>
      <c r="L170" s="121">
        <f>+VLOOKUP(A170,'Grondslagen AU 2020'!A$5:DA$360,77,FALSE)</f>
        <v>3.4430000000000001</v>
      </c>
      <c r="M170" s="121">
        <f>+VLOOKUP(A170,'Grondslagen AU 2021'!A$6:DA$357,77,FALSE)</f>
        <v>3.661</v>
      </c>
      <c r="N170" s="121">
        <v>3.46</v>
      </c>
      <c r="O170" s="416">
        <f t="shared" si="12"/>
        <v>0.20100000000000007</v>
      </c>
      <c r="P170" s="121"/>
    </row>
    <row r="171" spans="1:16" x14ac:dyDescent="0.35">
      <c r="A171" s="72">
        <v>406</v>
      </c>
      <c r="B171" s="72">
        <v>7</v>
      </c>
      <c r="D171" s="72" t="s">
        <v>160</v>
      </c>
      <c r="H171" s="415">
        <f t="shared" si="18"/>
        <v>1.2867324284799464</v>
      </c>
      <c r="I171" s="415">
        <f t="shared" si="19"/>
        <v>1.3476688861401815</v>
      </c>
      <c r="J171" s="415">
        <f>VLOOKUP(A171,'Grondslagen AU 2018'!A168:DA553,92,FALSE)</f>
        <v>1.4816779043309201</v>
      </c>
      <c r="K171" s="415">
        <f>VLOOKUP(A171,'Grondslagen AU 2019'!A$1:DA$361,92,FALSE)</f>
        <v>1.4710000000000001</v>
      </c>
      <c r="L171" s="121">
        <f>+VLOOKUP(A171,'Grondslagen AU 2020'!A$5:DA$360,77,FALSE)</f>
        <v>1.502</v>
      </c>
      <c r="M171" s="121">
        <f>+VLOOKUP(A171,'Grondslagen AU 2021'!A$6:DA$357,77,FALSE)</f>
        <v>1.3759999999999999</v>
      </c>
      <c r="N171" s="121">
        <v>1.329</v>
      </c>
      <c r="O171" s="416">
        <f t="shared" si="12"/>
        <v>4.6999999999999931E-2</v>
      </c>
      <c r="P171" s="121"/>
    </row>
    <row r="172" spans="1:16" x14ac:dyDescent="0.35">
      <c r="A172" s="72">
        <v>1598</v>
      </c>
      <c r="B172" s="72">
        <v>7</v>
      </c>
      <c r="D172" s="72" t="s">
        <v>168</v>
      </c>
      <c r="H172" s="415">
        <f t="shared" si="18"/>
        <v>0.13202626946259743</v>
      </c>
      <c r="I172" s="415">
        <f t="shared" si="19"/>
        <v>0.10985674338245754</v>
      </c>
      <c r="J172" s="415">
        <f>VLOOKUP(A172,'Grondslagen AU 2018'!A169:DA554,92,FALSE)</f>
        <v>0.108511127125457</v>
      </c>
      <c r="K172" s="415">
        <f>VLOOKUP(A172,'Grondslagen AU 2019'!A$1:DA$361,92,FALSE)</f>
        <v>0.114</v>
      </c>
      <c r="L172" s="121">
        <f>+VLOOKUP(A172,'Grondslagen AU 2020'!A$5:DA$360,77,FALSE)</f>
        <v>0.11600000000000001</v>
      </c>
      <c r="M172" s="121">
        <f>+VLOOKUP(A172,'Grondslagen AU 2021'!A$6:DA$357,77,FALSE)</f>
        <v>0.114</v>
      </c>
      <c r="N172" s="121">
        <v>0.115</v>
      </c>
      <c r="O172" s="416">
        <f t="shared" si="12"/>
        <v>-1.0000000000000009E-3</v>
      </c>
      <c r="P172" s="121"/>
    </row>
    <row r="173" spans="1:16" x14ac:dyDescent="0.35">
      <c r="A173" s="72">
        <v>415</v>
      </c>
      <c r="B173" s="72">
        <v>7</v>
      </c>
      <c r="D173" s="72" t="s">
        <v>174</v>
      </c>
      <c r="H173" s="415">
        <f t="shared" si="18"/>
        <v>8.0245278681522272E-2</v>
      </c>
      <c r="I173" s="415">
        <f t="shared" si="19"/>
        <v>5.2866501620780104E-2</v>
      </c>
      <c r="J173" s="415">
        <f>VLOOKUP(A173,'Grondslagen AU 2018'!A170:DA555,92,FALSE)</f>
        <v>5.3636276784868903E-2</v>
      </c>
      <c r="K173" s="415">
        <f>VLOOKUP(A173,'Grondslagen AU 2019'!A$1:DA$361,92,FALSE)</f>
        <v>6.6000000000000003E-2</v>
      </c>
      <c r="L173" s="121">
        <f>+VLOOKUP(A173,'Grondslagen AU 2020'!A$5:DA$360,77,FALSE)</f>
        <v>8.3000000000000004E-2</v>
      </c>
      <c r="M173" s="121">
        <f>+VLOOKUP(A173,'Grondslagen AU 2021'!A$6:DA$357,77,FALSE)</f>
        <v>8.4000000000000005E-2</v>
      </c>
      <c r="N173" s="121">
        <v>0.10100000000000001</v>
      </c>
      <c r="O173" s="416">
        <f t="shared" si="12"/>
        <v>-1.7000000000000001E-2</v>
      </c>
      <c r="P173" s="121"/>
    </row>
    <row r="174" spans="1:16" x14ac:dyDescent="0.35">
      <c r="A174" s="72">
        <v>417</v>
      </c>
      <c r="B174" s="72">
        <v>7</v>
      </c>
      <c r="D174" s="72" t="s">
        <v>177</v>
      </c>
      <c r="H174" s="415">
        <f t="shared" si="18"/>
        <v>6.8265875891322728E-2</v>
      </c>
      <c r="I174" s="415">
        <f t="shared" si="19"/>
        <v>4.4603719891338309E-2</v>
      </c>
      <c r="J174" s="415">
        <f>VLOOKUP(A174,'Grondslagen AU 2018'!A172:DA557,92,FALSE)</f>
        <v>4.4603752561452499E-2</v>
      </c>
      <c r="K174" s="415">
        <f>VLOOKUP(A174,'Grondslagen AU 2019'!A$1:DA$361,92,FALSE)</f>
        <v>9.6000000000000002E-2</v>
      </c>
      <c r="L174" s="121">
        <f>+VLOOKUP(A174,'Grondslagen AU 2020'!A$5:DA$360,77,FALSE)</f>
        <v>8.3000000000000004E-2</v>
      </c>
      <c r="M174" s="121">
        <f>+VLOOKUP(A174,'Grondslagen AU 2021'!A$6:DA$357,77,FALSE)</f>
        <v>7.1999999999999995E-2</v>
      </c>
      <c r="N174" s="121">
        <v>6.0999999999999999E-2</v>
      </c>
      <c r="O174" s="416">
        <f t="shared" si="12"/>
        <v>1.0999999999999996E-2</v>
      </c>
      <c r="P174" s="121"/>
    </row>
    <row r="175" spans="1:16" x14ac:dyDescent="0.35">
      <c r="A175" s="72">
        <v>420</v>
      </c>
      <c r="B175" s="72">
        <v>7</v>
      </c>
      <c r="D175" s="72" t="s">
        <v>196</v>
      </c>
      <c r="H175" s="415">
        <f t="shared" si="18"/>
        <v>0.6000507492422793</v>
      </c>
      <c r="I175" s="415">
        <f t="shared" si="19"/>
        <v>0.47870008981625706</v>
      </c>
      <c r="J175" s="415">
        <f>VLOOKUP(A175,'Grondslagen AU 2018'!A173:DA558,92,FALSE)</f>
        <v>0.55004266060197005</v>
      </c>
      <c r="K175" s="415">
        <f>VLOOKUP(A175,'Grondslagen AU 2019'!A$1:DA$361,92,FALSE)</f>
        <v>0.66800000000000004</v>
      </c>
      <c r="L175" s="121">
        <f>+VLOOKUP(A175,'Grondslagen AU 2020'!A$5:DA$360,77,FALSE)</f>
        <v>0.61199999999999999</v>
      </c>
      <c r="M175" s="121">
        <f>+VLOOKUP(A175,'Grondslagen AU 2021'!A$6:DA$357,77,FALSE)</f>
        <v>0.65600000000000003</v>
      </c>
      <c r="N175" s="121">
        <v>0.624</v>
      </c>
      <c r="O175" s="416">
        <f t="shared" si="12"/>
        <v>3.2000000000000028E-2</v>
      </c>
      <c r="P175" s="121"/>
    </row>
    <row r="176" spans="1:16" x14ac:dyDescent="0.35">
      <c r="A176" s="72">
        <v>431</v>
      </c>
      <c r="B176" s="72">
        <v>7</v>
      </c>
      <c r="D176" s="72" t="s">
        <v>235</v>
      </c>
      <c r="H176" s="415">
        <f t="shared" si="18"/>
        <v>6.2258587907817034E-2</v>
      </c>
      <c r="I176" s="415">
        <f t="shared" si="19"/>
        <v>4.6638812428404584E-2</v>
      </c>
      <c r="J176" s="415">
        <f>VLOOKUP(A176,'Grondslagen AU 2018'!A174:DA559,92,FALSE)</f>
        <v>4.6725942617288602E-2</v>
      </c>
      <c r="K176" s="415">
        <f>VLOOKUP(A176,'Grondslagen AU 2019'!A$1:DA$361,92,FALSE)</f>
        <v>5.8999999999999997E-2</v>
      </c>
      <c r="L176" s="121">
        <f>+VLOOKUP(A176,'Grondslagen AU 2020'!A$5:DA$360,77,FALSE)</f>
        <v>5.8000000000000003E-2</v>
      </c>
      <c r="M176" s="121">
        <f>+VLOOKUP(A176,'Grondslagen AU 2021'!A$6:DA$357,77,FALSE)</f>
        <v>0.15</v>
      </c>
      <c r="N176" s="121">
        <v>0.12</v>
      </c>
      <c r="O176" s="416">
        <f t="shared" si="12"/>
        <v>0.03</v>
      </c>
      <c r="P176" s="121"/>
    </row>
    <row r="177" spans="1:16" x14ac:dyDescent="0.35">
      <c r="A177" s="72">
        <v>432</v>
      </c>
      <c r="B177" s="72">
        <v>7</v>
      </c>
      <c r="D177" s="72" t="s">
        <v>236</v>
      </c>
      <c r="H177" s="415">
        <f t="shared" si="18"/>
        <v>7.5926698091936792E-2</v>
      </c>
      <c r="I177" s="415">
        <f t="shared" si="19"/>
        <v>0.10462306390881154</v>
      </c>
      <c r="J177" s="415">
        <f>VLOOKUP(A177,'Grondslagen AU 2018'!A175:DA560,92,FALSE)</f>
        <v>7.35331544978685E-2</v>
      </c>
      <c r="K177" s="415">
        <f>VLOOKUP(A177,'Grondslagen AU 2019'!A$1:DA$361,92,FALSE)</f>
        <v>5.8999999999999997E-2</v>
      </c>
      <c r="L177" s="121">
        <f>+VLOOKUP(A177,'Grondslagen AU 2020'!A$5:DA$360,77,FALSE)</f>
        <v>6.0999999999999999E-2</v>
      </c>
      <c r="M177" s="121">
        <f>+VLOOKUP(A177,'Grondslagen AU 2021'!A$6:DA$357,77,FALSE)</f>
        <v>0.06</v>
      </c>
      <c r="N177" s="121">
        <v>0.06</v>
      </c>
      <c r="O177" s="416">
        <f t="shared" si="12"/>
        <v>0</v>
      </c>
      <c r="P177" s="121"/>
    </row>
    <row r="178" spans="1:16" x14ac:dyDescent="0.35">
      <c r="A178" s="72">
        <v>437</v>
      </c>
      <c r="B178" s="72">
        <v>7</v>
      </c>
      <c r="D178" s="72" t="s">
        <v>240</v>
      </c>
      <c r="H178" s="415">
        <f t="shared" si="18"/>
        <v>0.10490175674322851</v>
      </c>
      <c r="I178" s="415">
        <f t="shared" si="19"/>
        <v>9.4194616036402487E-2</v>
      </c>
      <c r="J178" s="415">
        <f>VLOOKUP(A178,'Grondslagen AU 2018'!A176:DA561,92,FALSE)</f>
        <v>7.49263105339604E-2</v>
      </c>
      <c r="K178" s="415">
        <f>VLOOKUP(A178,'Grondslagen AU 2019'!A$1:DA$361,92,FALSE)</f>
        <v>0.122</v>
      </c>
      <c r="L178" s="121">
        <f>+VLOOKUP(A178,'Grondslagen AU 2020'!A$5:DA$360,77,FALSE)</f>
        <v>0.16200000000000001</v>
      </c>
      <c r="M178" s="121">
        <f>+VLOOKUP(A178,'Grondslagen AU 2021'!A$6:DA$357,77,FALSE)</f>
        <v>0.20499999999999999</v>
      </c>
      <c r="N178" s="121">
        <v>0.251</v>
      </c>
      <c r="O178" s="416">
        <f t="shared" si="12"/>
        <v>-4.6000000000000013E-2</v>
      </c>
      <c r="P178" s="121"/>
    </row>
    <row r="179" spans="1:16" x14ac:dyDescent="0.35">
      <c r="A179" s="72">
        <v>439</v>
      </c>
      <c r="B179" s="72">
        <v>7</v>
      </c>
      <c r="D179" s="72" t="s">
        <v>247</v>
      </c>
      <c r="H179" s="415">
        <f>VLOOKUP(A179,A$353:F$734,6,FALSE)+F514</f>
        <v>3.2376302423060439</v>
      </c>
      <c r="I179" s="415">
        <f>VLOOKUP(A179,A$353:G$734,7,FALSE)+G515</f>
        <v>3.4265168884635737</v>
      </c>
      <c r="J179" s="415">
        <f>VLOOKUP(A179,'Grondslagen AU 2018'!A177:DA562,92,FALSE)+H514</f>
        <v>3.3261646603391131</v>
      </c>
      <c r="K179" s="415">
        <f>VLOOKUP(A179,'Grondslagen AU 2019'!A$1:DA$361,92,FALSE)+I514</f>
        <v>3.2290000000000001</v>
      </c>
      <c r="L179" s="121">
        <f>+VLOOKUP(A179,'Grondslagen AU 2020'!A$5:DA$360,77,FALSE)+J514</f>
        <v>3.1759999999999997</v>
      </c>
      <c r="M179" s="121">
        <f>+VLOOKUP(A179,'Grondslagen AU 2021'!A$6:DA$357,77,FALSE)+K514</f>
        <v>3.2989999999999999</v>
      </c>
      <c r="N179" s="121">
        <v>3.0289999999999999</v>
      </c>
      <c r="O179" s="416">
        <f t="shared" si="12"/>
        <v>0.27</v>
      </c>
      <c r="P179" s="121"/>
    </row>
    <row r="180" spans="1:16" x14ac:dyDescent="0.35">
      <c r="A180" s="72">
        <v>441</v>
      </c>
      <c r="B180" s="72">
        <v>7</v>
      </c>
      <c r="D180" s="72" t="s">
        <v>265</v>
      </c>
      <c r="H180" s="415">
        <f t="shared" ref="H180:H206" si="20">VLOOKUP(A180,A$353:F$734,6,FALSE)</f>
        <v>0.8407197839277305</v>
      </c>
      <c r="I180" s="415">
        <f t="shared" ref="I180:I206" si="21">VLOOKUP(A180,A$353:G$734,7,FALSE)</f>
        <v>0.67602422153642971</v>
      </c>
      <c r="J180" s="415">
        <f>VLOOKUP(A180,'Grondslagen AU 2018'!A178:DA563,92,FALSE)</f>
        <v>0.52384665085096305</v>
      </c>
      <c r="K180" s="415">
        <f>VLOOKUP(A180,'Grondslagen AU 2019'!A$1:DA$361,92,FALSE)</f>
        <v>0.70099999999999996</v>
      </c>
      <c r="L180" s="121">
        <f>+VLOOKUP(A180,'Grondslagen AU 2020'!A$5:DA$360,77,FALSE)</f>
        <v>0.80100000000000005</v>
      </c>
      <c r="M180" s="121">
        <f>+VLOOKUP(A180,'Grondslagen AU 2021'!A$6:DA$357,77,FALSE)</f>
        <v>0.80700000000000005</v>
      </c>
      <c r="N180" s="121">
        <v>0.79500000000000004</v>
      </c>
      <c r="O180" s="416">
        <f t="shared" si="12"/>
        <v>1.2000000000000011E-2</v>
      </c>
      <c r="P180" s="121"/>
    </row>
    <row r="181" spans="1:16" x14ac:dyDescent="0.35">
      <c r="A181" s="72">
        <v>532</v>
      </c>
      <c r="B181" s="72">
        <v>7</v>
      </c>
      <c r="D181" s="72" t="s">
        <v>284</v>
      </c>
      <c r="H181" s="415">
        <f t="shared" si="20"/>
        <v>0.3578783656529656</v>
      </c>
      <c r="I181" s="415">
        <f t="shared" si="21"/>
        <v>0.48931211519184892</v>
      </c>
      <c r="J181" s="415">
        <f>VLOOKUP(A181,'Grondslagen AU 2018'!A179:DA564,92,FALSE)</f>
        <v>0.47577986353759499</v>
      </c>
      <c r="K181" s="415">
        <f>VLOOKUP(A181,'Grondslagen AU 2019'!A$1:DA$361,92,FALSE)</f>
        <v>0.48499999999999999</v>
      </c>
      <c r="L181" s="121">
        <f>+VLOOKUP(A181,'Grondslagen AU 2020'!A$5:DA$360,77,FALSE)</f>
        <v>0.47399999999999998</v>
      </c>
      <c r="M181" s="121">
        <f>+VLOOKUP(A181,'Grondslagen AU 2021'!A$6:DA$357,77,FALSE)</f>
        <v>0.42799999999999999</v>
      </c>
      <c r="N181" s="121">
        <v>0.32200000000000001</v>
      </c>
      <c r="O181" s="416">
        <f t="shared" si="12"/>
        <v>0.10599999999999998</v>
      </c>
      <c r="P181" s="121"/>
    </row>
    <row r="182" spans="1:16" x14ac:dyDescent="0.35">
      <c r="A182" s="72">
        <v>448</v>
      </c>
      <c r="B182" s="72">
        <v>7</v>
      </c>
      <c r="D182" s="72" t="s">
        <v>292</v>
      </c>
      <c r="H182" s="415">
        <f t="shared" si="20"/>
        <v>0.17065132730073435</v>
      </c>
      <c r="I182" s="415">
        <f t="shared" si="21"/>
        <v>0.11289730088663391</v>
      </c>
      <c r="J182" s="415">
        <f>VLOOKUP(A182,'Grondslagen AU 2018'!A180:DA565,92,FALSE)</f>
        <v>9.4951597646269398E-2</v>
      </c>
      <c r="K182" s="415">
        <f>VLOOKUP(A182,'Grondslagen AU 2019'!A$1:DA$361,92,FALSE)</f>
        <v>0.09</v>
      </c>
      <c r="L182" s="121">
        <f>+VLOOKUP(A182,'Grondslagen AU 2020'!A$5:DA$360,77,FALSE)</f>
        <v>0.13200000000000001</v>
      </c>
      <c r="M182" s="121">
        <f>+VLOOKUP(A182,'Grondslagen AU 2021'!A$6:DA$357,77,FALSE)</f>
        <v>0.193</v>
      </c>
      <c r="N182" s="121">
        <v>0.20499999999999999</v>
      </c>
      <c r="O182" s="416">
        <f t="shared" si="12"/>
        <v>-1.1999999999999983E-2</v>
      </c>
      <c r="P182" s="121"/>
    </row>
    <row r="183" spans="1:16" x14ac:dyDescent="0.35">
      <c r="A183" s="72">
        <v>450</v>
      </c>
      <c r="B183" s="72">
        <v>7</v>
      </c>
      <c r="D183" s="72" t="s">
        <v>302</v>
      </c>
      <c r="H183" s="415">
        <f t="shared" si="20"/>
        <v>0.10194129522165567</v>
      </c>
      <c r="I183" s="415">
        <f t="shared" si="21"/>
        <v>6.7203958066126307E-2</v>
      </c>
      <c r="J183" s="415">
        <f>VLOOKUP(A183,'Grondslagen AU 2018'!A181:DA566,92,FALSE)</f>
        <v>6.6595985453248893E-2</v>
      </c>
      <c r="K183" s="415">
        <f>VLOOKUP(A183,'Grondslagen AU 2019'!A$1:DA$361,92,FALSE)</f>
        <v>0.13100000000000001</v>
      </c>
      <c r="L183" s="121">
        <f>+VLOOKUP(A183,'Grondslagen AU 2020'!A$5:DA$360,77,FALSE)</f>
        <v>0.17299999999999999</v>
      </c>
      <c r="M183" s="121">
        <f>+VLOOKUP(A183,'Grondslagen AU 2021'!A$6:DA$357,77,FALSE)</f>
        <v>0.14099999999999999</v>
      </c>
      <c r="N183" s="121">
        <v>0.14599999999999999</v>
      </c>
      <c r="O183" s="416">
        <f t="shared" si="12"/>
        <v>-5.0000000000000044E-3</v>
      </c>
      <c r="P183" s="121"/>
    </row>
    <row r="184" spans="1:16" x14ac:dyDescent="0.35">
      <c r="A184" s="72">
        <v>451</v>
      </c>
      <c r="B184" s="72">
        <v>7</v>
      </c>
      <c r="D184" s="72" t="s">
        <v>303</v>
      </c>
      <c r="H184" s="415">
        <f t="shared" si="20"/>
        <v>0.26308785705448962</v>
      </c>
      <c r="I184" s="415">
        <f t="shared" si="21"/>
        <v>0.14486645559905525</v>
      </c>
      <c r="J184" s="415">
        <f>VLOOKUP(A184,'Grondslagen AU 2018'!A182:DA567,92,FALSE)</f>
        <v>0.14278336368554401</v>
      </c>
      <c r="K184" s="415">
        <f>VLOOKUP(A184,'Grondslagen AU 2019'!A$1:DA$361,92,FALSE)</f>
        <v>0.151</v>
      </c>
      <c r="L184" s="121">
        <f>+VLOOKUP(A184,'Grondslagen AU 2020'!A$5:DA$360,77,FALSE)</f>
        <v>0.154</v>
      </c>
      <c r="M184" s="121">
        <f>+VLOOKUP(A184,'Grondslagen AU 2021'!A$6:DA$357,77,FALSE)</f>
        <v>0.20499999999999999</v>
      </c>
      <c r="N184" s="121">
        <v>0.373</v>
      </c>
      <c r="O184" s="416">
        <f t="shared" si="12"/>
        <v>-0.16800000000000001</v>
      </c>
      <c r="P184" s="121"/>
    </row>
    <row r="185" spans="1:16" x14ac:dyDescent="0.35">
      <c r="A185" s="72">
        <v>453</v>
      </c>
      <c r="B185" s="72">
        <v>7</v>
      </c>
      <c r="D185" s="72" t="s">
        <v>314</v>
      </c>
      <c r="H185" s="415">
        <f t="shared" si="20"/>
        <v>2.6910959271001418</v>
      </c>
      <c r="I185" s="415">
        <f t="shared" si="21"/>
        <v>2.4934389237071155</v>
      </c>
      <c r="J185" s="415">
        <f>VLOOKUP(A185,'Grondslagen AU 2018'!A183:DA568,92,FALSE)</f>
        <v>2.45178463098281</v>
      </c>
      <c r="K185" s="415">
        <f>VLOOKUP(A185,'Grondslagen AU 2019'!A$1:DA$361,92,FALSE)</f>
        <v>2.8380000000000001</v>
      </c>
      <c r="L185" s="121">
        <f>+VLOOKUP(A185,'Grondslagen AU 2020'!A$5:DA$360,77,FALSE)</f>
        <v>2.8330000000000002</v>
      </c>
      <c r="M185" s="121">
        <f>+VLOOKUP(A185,'Grondslagen AU 2021'!A$6:DA$357,77,FALSE)</f>
        <v>2.9750000000000001</v>
      </c>
      <c r="N185" s="121">
        <v>3.077</v>
      </c>
      <c r="O185" s="416">
        <f t="shared" si="12"/>
        <v>-0.10199999999999987</v>
      </c>
      <c r="P185" s="121"/>
    </row>
    <row r="186" spans="1:16" x14ac:dyDescent="0.35">
      <c r="A186" s="72">
        <v>852</v>
      </c>
      <c r="B186" s="72">
        <v>7</v>
      </c>
      <c r="D186" s="72" t="s">
        <v>331</v>
      </c>
      <c r="H186" s="415">
        <f t="shared" si="20"/>
        <v>0.11574346503951891</v>
      </c>
      <c r="I186" s="415">
        <f t="shared" si="21"/>
        <v>8.0998213119999801E-2</v>
      </c>
      <c r="J186" s="415">
        <f>VLOOKUP(A186,'Grondslagen AU 2018'!A184:DA569,92,FALSE)</f>
        <v>7.9178080232690101E-2</v>
      </c>
      <c r="K186" s="415">
        <f>VLOOKUP(A186,'Grondslagen AU 2019'!A$1:DA$361,92,FALSE)</f>
        <v>8.2000000000000003E-2</v>
      </c>
      <c r="L186" s="121">
        <f>+VLOOKUP(A186,'Grondslagen AU 2020'!A$5:DA$360,77,FALSE)</f>
        <v>0.113</v>
      </c>
      <c r="M186" s="121">
        <f>+VLOOKUP(A186,'Grondslagen AU 2021'!A$6:DA$357,77,FALSE)</f>
        <v>0.154</v>
      </c>
      <c r="N186" s="121">
        <v>0.158</v>
      </c>
      <c r="O186" s="416">
        <f t="shared" si="12"/>
        <v>-4.0000000000000036E-3</v>
      </c>
      <c r="P186" s="121"/>
    </row>
    <row r="187" spans="1:16" x14ac:dyDescent="0.35">
      <c r="A187" s="72">
        <v>1696</v>
      </c>
      <c r="B187" s="72">
        <v>7</v>
      </c>
      <c r="D187" s="72" t="s">
        <v>345</v>
      </c>
      <c r="H187" s="415">
        <f t="shared" si="20"/>
        <v>0.16270116675645035</v>
      </c>
      <c r="I187" s="415">
        <f t="shared" si="21"/>
        <v>0.10794406242656814</v>
      </c>
      <c r="J187" s="415">
        <f>VLOOKUP(A187,'Grondslagen AU 2018'!A186:DA571,92,FALSE)</f>
        <v>0.107265001291959</v>
      </c>
      <c r="K187" s="415">
        <f>VLOOKUP(A187,'Grondslagen AU 2019'!A$1:DA$361,92,FALSE)</f>
        <v>0.115</v>
      </c>
      <c r="L187" s="121">
        <f>+VLOOKUP(A187,'Grondslagen AU 2020'!A$5:DA$360,77,FALSE)</f>
        <v>0.11899999999999999</v>
      </c>
      <c r="M187" s="121">
        <f>+VLOOKUP(A187,'Grondslagen AU 2021'!A$6:DA$357,77,FALSE)</f>
        <v>0.11600000000000001</v>
      </c>
      <c r="N187" s="121">
        <v>0.11700000000000001</v>
      </c>
      <c r="O187" s="416">
        <f t="shared" si="12"/>
        <v>-1.0000000000000009E-3</v>
      </c>
      <c r="P187" s="121"/>
    </row>
    <row r="188" spans="1:16" x14ac:dyDescent="0.35">
      <c r="A188" s="72">
        <v>880</v>
      </c>
      <c r="B188" s="72">
        <v>7</v>
      </c>
      <c r="D188" s="72" t="s">
        <v>350</v>
      </c>
      <c r="H188" s="415">
        <f t="shared" si="20"/>
        <v>0.36321516656710279</v>
      </c>
      <c r="I188" s="415">
        <f t="shared" si="21"/>
        <v>0.19749684498308812</v>
      </c>
      <c r="J188" s="415">
        <f>VLOOKUP(A188,'Grondslagen AU 2018'!A187:DA572,92,FALSE)</f>
        <v>0.20036505948606501</v>
      </c>
      <c r="K188" s="415">
        <f>VLOOKUP(A188,'Grondslagen AU 2019'!A$1:DA$361,92,FALSE)</f>
        <v>0.248</v>
      </c>
      <c r="L188" s="121">
        <f>+VLOOKUP(A188,'Grondslagen AU 2020'!A$5:DA$360,77,FALSE)</f>
        <v>0.27</v>
      </c>
      <c r="M188" s="121">
        <f>+VLOOKUP(A188,'Grondslagen AU 2021'!A$6:DA$357,77,FALSE)</f>
        <v>0.314</v>
      </c>
      <c r="N188" s="121">
        <v>0.30499999999999999</v>
      </c>
      <c r="O188" s="416">
        <f t="shared" si="12"/>
        <v>9.000000000000008E-3</v>
      </c>
      <c r="P188" s="121"/>
    </row>
    <row r="189" spans="1:16" x14ac:dyDescent="0.35">
      <c r="A189" s="72">
        <v>479</v>
      </c>
      <c r="B189" s="72">
        <v>7</v>
      </c>
      <c r="D189" s="72" t="s">
        <v>352</v>
      </c>
      <c r="H189" s="415">
        <f t="shared" si="20"/>
        <v>8.726788092601641</v>
      </c>
      <c r="I189" s="415">
        <f t="shared" si="21"/>
        <v>9.3302609572809008</v>
      </c>
      <c r="J189" s="415">
        <f>VLOOKUP(A189,'Grondslagen AU 2018'!A188:DA573,92,FALSE)</f>
        <v>9.13339142537939</v>
      </c>
      <c r="K189" s="415">
        <f>VLOOKUP(A189,'Grondslagen AU 2019'!A$1:DA$361,92,FALSE)</f>
        <v>8.8330000000000002</v>
      </c>
      <c r="L189" s="121">
        <f>+VLOOKUP(A189,'Grondslagen AU 2020'!A$5:DA$360,77,FALSE)</f>
        <v>8.51</v>
      </c>
      <c r="M189" s="121">
        <f>+VLOOKUP(A189,'Grondslagen AU 2021'!A$6:DA$357,77,FALSE)</f>
        <v>8.5990000000000002</v>
      </c>
      <c r="N189" s="121">
        <v>8.5280000000000005</v>
      </c>
      <c r="O189" s="416">
        <f t="shared" si="12"/>
        <v>7.099999999999973E-2</v>
      </c>
      <c r="P189" s="121"/>
    </row>
    <row r="190" spans="1:16" x14ac:dyDescent="0.35">
      <c r="A190" s="72">
        <v>473</v>
      </c>
      <c r="B190" s="72">
        <v>7</v>
      </c>
      <c r="D190" s="72" t="s">
        <v>354</v>
      </c>
      <c r="H190" s="415">
        <f t="shared" si="20"/>
        <v>0.8976326953534669</v>
      </c>
      <c r="I190" s="415">
        <f t="shared" si="21"/>
        <v>0.8428537030146066</v>
      </c>
      <c r="J190" s="415">
        <f>VLOOKUP(A190,'Grondslagen AU 2018'!A189:DA574,92,FALSE)</f>
        <v>0.91014330775352603</v>
      </c>
      <c r="K190" s="415">
        <f>VLOOKUP(A190,'Grondslagen AU 2019'!A$1:DA$361,92,FALSE)</f>
        <v>0.96599999999999997</v>
      </c>
      <c r="L190" s="121">
        <f>+VLOOKUP(A190,'Grondslagen AU 2020'!A$5:DA$360,77,FALSE)</f>
        <v>0.96499999999999997</v>
      </c>
      <c r="M190" s="121">
        <f>+VLOOKUP(A190,'Grondslagen AU 2021'!A$6:DA$357,77,FALSE)</f>
        <v>1.0049999999999999</v>
      </c>
      <c r="N190" s="121">
        <v>1.042</v>
      </c>
      <c r="O190" s="416">
        <f t="shared" si="12"/>
        <v>-3.7000000000000144E-2</v>
      </c>
      <c r="P190" s="121"/>
    </row>
    <row r="191" spans="1:16" x14ac:dyDescent="0.35">
      <c r="A191" s="72">
        <v>482</v>
      </c>
      <c r="B191" s="72">
        <v>8</v>
      </c>
      <c r="D191" s="72" t="s">
        <v>15</v>
      </c>
      <c r="H191" s="415">
        <f t="shared" si="20"/>
        <v>0.47587051281036297</v>
      </c>
      <c r="I191" s="415">
        <f t="shared" si="21"/>
        <v>0.48755908992879909</v>
      </c>
      <c r="J191" s="415">
        <f>VLOOKUP(A191,'Grondslagen AU 2018'!A190:DA575,92,FALSE)</f>
        <v>0.56550237455141805</v>
      </c>
      <c r="K191" s="415">
        <f>VLOOKUP(A191,'Grondslagen AU 2019'!A$1:DA$361,92,FALSE)</f>
        <v>0.66900000000000004</v>
      </c>
      <c r="L191" s="121">
        <f>+VLOOKUP(A191,'Grondslagen AU 2020'!A$5:DA$360,77,FALSE)</f>
        <v>0.748</v>
      </c>
      <c r="M191" s="121">
        <f>+VLOOKUP(A191,'Grondslagen AU 2021'!A$6:DA$357,77,FALSE)</f>
        <v>0.75600000000000001</v>
      </c>
      <c r="N191" s="121">
        <v>0.77600000000000002</v>
      </c>
      <c r="O191" s="416">
        <f t="shared" si="12"/>
        <v>-2.0000000000000018E-2</v>
      </c>
      <c r="P191" s="121"/>
    </row>
    <row r="192" spans="1:16" x14ac:dyDescent="0.35">
      <c r="A192" s="72">
        <v>613</v>
      </c>
      <c r="B192" s="72">
        <v>8</v>
      </c>
      <c r="D192" s="72" t="s">
        <v>16</v>
      </c>
      <c r="H192" s="415">
        <f t="shared" si="20"/>
        <v>0.43464800058040493</v>
      </c>
      <c r="I192" s="415">
        <f t="shared" si="21"/>
        <v>0.31713856010037839</v>
      </c>
      <c r="J192" s="415">
        <f>VLOOKUP(A192,'Grondslagen AU 2018'!A191:DA576,92,FALSE)</f>
        <v>0.31395449208846099</v>
      </c>
      <c r="K192" s="415">
        <f>VLOOKUP(A192,'Grondslagen AU 2019'!A$1:DA$361,92,FALSE)</f>
        <v>0.39</v>
      </c>
      <c r="L192" s="121">
        <f>+VLOOKUP(A192,'Grondslagen AU 2020'!A$5:DA$360,77,FALSE)</f>
        <v>0.47799999999999998</v>
      </c>
      <c r="M192" s="121">
        <f>+VLOOKUP(A192,'Grondslagen AU 2021'!A$6:DA$357,77,FALSE)</f>
        <v>0.66300000000000003</v>
      </c>
      <c r="N192" s="121">
        <v>0.66300000000000003</v>
      </c>
      <c r="O192" s="416">
        <f t="shared" si="12"/>
        <v>0</v>
      </c>
      <c r="P192" s="121"/>
    </row>
    <row r="193" spans="1:16" x14ac:dyDescent="0.35">
      <c r="A193" s="72">
        <v>484</v>
      </c>
      <c r="B193" s="72">
        <v>8</v>
      </c>
      <c r="D193" s="72" t="s">
        <v>20</v>
      </c>
      <c r="H193" s="415">
        <f t="shared" si="20"/>
        <v>1.9997972041626348</v>
      </c>
      <c r="I193" s="415">
        <f t="shared" si="21"/>
        <v>1.9761480563220353</v>
      </c>
      <c r="J193" s="415">
        <f>VLOOKUP(A193,'Grondslagen AU 2018'!A192:DA577,92,FALSE)</f>
        <v>2.2748551596813602</v>
      </c>
      <c r="K193" s="415">
        <f>VLOOKUP(A193,'Grondslagen AU 2019'!A$1:DA$361,92,FALSE)</f>
        <v>2.3210000000000002</v>
      </c>
      <c r="L193" s="121">
        <f>+VLOOKUP(A193,'Grondslagen AU 2020'!A$5:DA$360,77,FALSE)</f>
        <v>2.3780000000000001</v>
      </c>
      <c r="M193" s="121">
        <f>+VLOOKUP(A193,'Grondslagen AU 2021'!A$6:DA$357,77,FALSE)</f>
        <v>2.5489999999999999</v>
      </c>
      <c r="N193" s="121">
        <v>2.415</v>
      </c>
      <c r="O193" s="416">
        <f t="shared" si="12"/>
        <v>0.1339999999999999</v>
      </c>
      <c r="P193" s="121"/>
    </row>
    <row r="194" spans="1:16" x14ac:dyDescent="0.35">
      <c r="A194" s="72">
        <v>489</v>
      </c>
      <c r="B194" s="72">
        <v>8</v>
      </c>
      <c r="D194" s="72" t="s">
        <v>34</v>
      </c>
      <c r="H194" s="415">
        <f t="shared" si="20"/>
        <v>0.32970716979030451</v>
      </c>
      <c r="I194" s="415">
        <f t="shared" si="21"/>
        <v>0.23601717923291546</v>
      </c>
      <c r="J194" s="415">
        <f>VLOOKUP(A194,'Grondslagen AU 2018'!A193:DA578,92,FALSE)</f>
        <v>0.23525345280887999</v>
      </c>
      <c r="K194" s="415">
        <f>VLOOKUP(A194,'Grondslagen AU 2019'!A$1:DA$361,92,FALSE)</f>
        <v>0.46600000000000003</v>
      </c>
      <c r="L194" s="121">
        <f>+VLOOKUP(A194,'Grondslagen AU 2020'!A$5:DA$360,77,FALSE)</f>
        <v>0.54800000000000004</v>
      </c>
      <c r="M194" s="121">
        <f>+VLOOKUP(A194,'Grondslagen AU 2021'!A$6:DA$357,77,FALSE)</f>
        <v>0.47299999999999998</v>
      </c>
      <c r="N194" s="121">
        <v>0.47899999999999998</v>
      </c>
      <c r="O194" s="416">
        <f t="shared" si="12"/>
        <v>-6.0000000000000053E-3</v>
      </c>
      <c r="P194" s="121"/>
    </row>
    <row r="195" spans="1:16" x14ac:dyDescent="0.35">
      <c r="A195" s="72">
        <v>1901</v>
      </c>
      <c r="B195" s="72">
        <v>8</v>
      </c>
      <c r="D195" s="72" t="s">
        <v>53</v>
      </c>
      <c r="H195" s="415">
        <f t="shared" si="20"/>
        <v>0.20482854252061777</v>
      </c>
      <c r="I195" s="415">
        <f t="shared" si="21"/>
        <v>0.1600837452841104</v>
      </c>
      <c r="J195" s="415">
        <f>VLOOKUP(A195,'Grondslagen AU 2018'!A194:DA579,92,FALSE)</f>
        <v>0.15908117913214301</v>
      </c>
      <c r="K195" s="415">
        <f>VLOOKUP(A195,'Grondslagen AU 2019'!A$1:DA$361,92,FALSE)</f>
        <v>0.17</v>
      </c>
      <c r="L195" s="121">
        <f>+VLOOKUP(A195,'Grondslagen AU 2020'!A$5:DA$360,77,FALSE)</f>
        <v>0.17399999999999999</v>
      </c>
      <c r="M195" s="121">
        <f>+VLOOKUP(A195,'Grondslagen AU 2021'!A$6:DA$357,77,FALSE)</f>
        <v>0.17199999999999999</v>
      </c>
      <c r="N195" s="121">
        <v>0.17499999999999999</v>
      </c>
      <c r="O195" s="416">
        <f t="shared" si="12"/>
        <v>-3.0000000000000027E-3</v>
      </c>
      <c r="P195" s="121"/>
    </row>
    <row r="196" spans="1:16" x14ac:dyDescent="0.35">
      <c r="A196" s="72">
        <v>501</v>
      </c>
      <c r="B196" s="72">
        <v>8</v>
      </c>
      <c r="D196" s="72" t="s">
        <v>61</v>
      </c>
      <c r="H196" s="415">
        <f t="shared" si="20"/>
        <v>0.31423180497753533</v>
      </c>
      <c r="I196" s="415">
        <f t="shared" si="21"/>
        <v>0.30160072441093172</v>
      </c>
      <c r="J196" s="415">
        <f>VLOOKUP(A196,'Grondslagen AU 2018'!A195:DA580,92,FALSE)</f>
        <v>0.265617799711314</v>
      </c>
      <c r="K196" s="415">
        <f>VLOOKUP(A196,'Grondslagen AU 2019'!A$1:DA$361,92,FALSE)</f>
        <v>0.27100000000000002</v>
      </c>
      <c r="L196" s="121">
        <f>+VLOOKUP(A196,'Grondslagen AU 2020'!A$5:DA$360,77,FALSE)</f>
        <v>0.311</v>
      </c>
      <c r="M196" s="121">
        <f>+VLOOKUP(A196,'Grondslagen AU 2021'!A$6:DA$357,77,FALSE)</f>
        <v>0.26700000000000002</v>
      </c>
      <c r="N196" s="121">
        <v>0.26700000000000002</v>
      </c>
      <c r="O196" s="416">
        <f t="shared" si="12"/>
        <v>0</v>
      </c>
      <c r="P196" s="121"/>
    </row>
    <row r="197" spans="1:16" x14ac:dyDescent="0.35">
      <c r="A197" s="72">
        <v>502</v>
      </c>
      <c r="B197" s="72">
        <v>8</v>
      </c>
      <c r="D197" s="72" t="s">
        <v>68</v>
      </c>
      <c r="H197" s="415">
        <f t="shared" si="20"/>
        <v>5.6105636645817603</v>
      </c>
      <c r="I197" s="415">
        <f t="shared" si="21"/>
        <v>5.6991103324254668</v>
      </c>
      <c r="J197" s="415">
        <f>VLOOKUP(A197,'Grondslagen AU 2018'!A196:DA581,92,FALSE)</f>
        <v>5.6243959660524396</v>
      </c>
      <c r="K197" s="415">
        <f>VLOOKUP(A197,'Grondslagen AU 2019'!A$1:DA$361,92,FALSE)</f>
        <v>5.2930000000000001</v>
      </c>
      <c r="L197" s="121">
        <f>+VLOOKUP(A197,'Grondslagen AU 2020'!A$5:DA$360,77,FALSE)</f>
        <v>4.7919999999999998</v>
      </c>
      <c r="M197" s="121">
        <f>+VLOOKUP(A197,'Grondslagen AU 2021'!A$6:DA$357,77,FALSE)</f>
        <v>4.8040000000000003</v>
      </c>
      <c r="N197" s="121">
        <v>4.8029999999999999</v>
      </c>
      <c r="O197" s="416">
        <f t="shared" si="12"/>
        <v>1.000000000000334E-3</v>
      </c>
      <c r="P197" s="121"/>
    </row>
    <row r="198" spans="1:16" x14ac:dyDescent="0.35">
      <c r="A198" s="72">
        <v>503</v>
      </c>
      <c r="B198" s="72">
        <v>8</v>
      </c>
      <c r="D198" s="72" t="s">
        <v>80</v>
      </c>
      <c r="H198" s="415">
        <f t="shared" si="20"/>
        <v>7.4943272096415523</v>
      </c>
      <c r="I198" s="415">
        <f t="shared" si="21"/>
        <v>7.1454287027336738</v>
      </c>
      <c r="J198" s="415">
        <f>VLOOKUP(A198,'Grondslagen AU 2018'!A197:DA582,92,FALSE)</f>
        <v>7.1686170597113499</v>
      </c>
      <c r="K198" s="415">
        <f>VLOOKUP(A198,'Grondslagen AU 2019'!A$1:DA$361,92,FALSE)</f>
        <v>7.2939999999999996</v>
      </c>
      <c r="L198" s="121">
        <f>+VLOOKUP(A198,'Grondslagen AU 2020'!A$5:DA$360,77,FALSE)</f>
        <v>7.24</v>
      </c>
      <c r="M198" s="121">
        <f>+VLOOKUP(A198,'Grondslagen AU 2021'!A$6:DA$357,77,FALSE)</f>
        <v>7.1059999999999999</v>
      </c>
      <c r="N198" s="121">
        <v>7.048</v>
      </c>
      <c r="O198" s="416">
        <f t="shared" ref="O198:O261" si="22">+M198-N198</f>
        <v>5.7999999999999829E-2</v>
      </c>
      <c r="P198" s="121"/>
    </row>
    <row r="199" spans="1:16" x14ac:dyDescent="0.35">
      <c r="A199" s="72">
        <v>505</v>
      </c>
      <c r="B199" s="72">
        <v>8</v>
      </c>
      <c r="D199" s="72" t="s">
        <v>90</v>
      </c>
      <c r="H199" s="415">
        <f t="shared" si="20"/>
        <v>10.937497652658966</v>
      </c>
      <c r="I199" s="415">
        <f t="shared" si="21"/>
        <v>10.828507457490074</v>
      </c>
      <c r="J199" s="415">
        <f>VLOOKUP(A199,'Grondslagen AU 2018'!A198:DA583,92,FALSE)</f>
        <v>10.868223430800301</v>
      </c>
      <c r="K199" s="415">
        <f>VLOOKUP(A199,'Grondslagen AU 2019'!A$1:DA$361,92,FALSE)</f>
        <v>10.744999999999999</v>
      </c>
      <c r="L199" s="121">
        <f>+VLOOKUP(A199,'Grondslagen AU 2020'!A$5:DA$360,77,FALSE)</f>
        <v>10.675000000000001</v>
      </c>
      <c r="M199" s="121">
        <f>+VLOOKUP(A199,'Grondslagen AU 2021'!A$6:DA$357,77,FALSE)</f>
        <v>10.443</v>
      </c>
      <c r="N199" s="121">
        <v>10.548</v>
      </c>
      <c r="O199" s="416">
        <f t="shared" si="22"/>
        <v>-0.10500000000000043</v>
      </c>
      <c r="P199" s="121"/>
    </row>
    <row r="200" spans="1:16" x14ac:dyDescent="0.35">
      <c r="A200" s="72">
        <v>1924</v>
      </c>
      <c r="B200" s="72">
        <v>8</v>
      </c>
      <c r="D200" s="72" t="s">
        <v>115</v>
      </c>
      <c r="H200" s="415">
        <f t="shared" si="20"/>
        <v>0.36322839550851238</v>
      </c>
      <c r="I200" s="415">
        <f t="shared" si="21"/>
        <v>0.24357385315683966</v>
      </c>
      <c r="J200" s="415">
        <f>VLOOKUP(A200,'Grondslagen AU 2018'!A199:DA584,92,FALSE)</f>
        <v>0.28325205777789503</v>
      </c>
      <c r="K200" s="415">
        <f>VLOOKUP(A200,'Grondslagen AU 2019'!A$1:DA$361,92,FALSE)</f>
        <v>0.60899999999999999</v>
      </c>
      <c r="L200" s="121">
        <f>+VLOOKUP(A200,'Grondslagen AU 2020'!A$5:DA$360,77,FALSE)</f>
        <v>0.65500000000000003</v>
      </c>
      <c r="M200" s="121">
        <f>+VLOOKUP(A200,'Grondslagen AU 2021'!A$6:DA$357,77,FALSE)</f>
        <v>0.69099999999999995</v>
      </c>
      <c r="N200" s="121">
        <v>0.68600000000000005</v>
      </c>
      <c r="O200" s="416">
        <f t="shared" si="22"/>
        <v>4.9999999999998934E-3</v>
      </c>
      <c r="P200" s="121"/>
    </row>
    <row r="201" spans="1:16" x14ac:dyDescent="0.35">
      <c r="A201" s="72">
        <v>512</v>
      </c>
      <c r="B201" s="72">
        <v>8</v>
      </c>
      <c r="D201" s="72" t="s">
        <v>119</v>
      </c>
      <c r="H201" s="415">
        <f t="shared" si="20"/>
        <v>1.6577537853630326</v>
      </c>
      <c r="I201" s="415">
        <f t="shared" si="21"/>
        <v>1.5799577607456359</v>
      </c>
      <c r="J201" s="415">
        <f>VLOOKUP(A201,'Grondslagen AU 2018'!A200:DA585,92,FALSE)</f>
        <v>1.6741437370516701</v>
      </c>
      <c r="K201" s="415">
        <f>VLOOKUP(A201,'Grondslagen AU 2019'!A$1:DA$361,92,FALSE)</f>
        <v>1.9650000000000001</v>
      </c>
      <c r="L201" s="121">
        <f>+VLOOKUP(A201,'Grondslagen AU 2020'!A$5:DA$360,77,FALSE)</f>
        <v>1.9410000000000001</v>
      </c>
      <c r="M201" s="121">
        <f>+VLOOKUP(A201,'Grondslagen AU 2021'!A$6:DA$357,77,FALSE)</f>
        <v>2.1120000000000001</v>
      </c>
      <c r="N201" s="121">
        <v>2.1829999999999998</v>
      </c>
      <c r="O201" s="416">
        <f t="shared" si="22"/>
        <v>-7.099999999999973E-2</v>
      </c>
      <c r="P201" s="121"/>
    </row>
    <row r="202" spans="1:16" x14ac:dyDescent="0.35">
      <c r="A202" s="72">
        <v>513</v>
      </c>
      <c r="B202" s="72">
        <v>8</v>
      </c>
      <c r="D202" s="72" t="s">
        <v>120</v>
      </c>
      <c r="H202" s="415">
        <f t="shared" si="20"/>
        <v>3.9281505067009461</v>
      </c>
      <c r="I202" s="415">
        <f t="shared" si="21"/>
        <v>4.0591325292309257</v>
      </c>
      <c r="J202" s="415">
        <f>VLOOKUP(A202,'Grondslagen AU 2018'!A201:DA586,92,FALSE)</f>
        <v>4.1247875378766903</v>
      </c>
      <c r="K202" s="415">
        <f>VLOOKUP(A202,'Grondslagen AU 2019'!A$1:DA$361,92,FALSE)</f>
        <v>4.0250000000000004</v>
      </c>
      <c r="L202" s="121">
        <f>+VLOOKUP(A202,'Grondslagen AU 2020'!A$5:DA$360,77,FALSE)</f>
        <v>3.927</v>
      </c>
      <c r="M202" s="121">
        <f>+VLOOKUP(A202,'Grondslagen AU 2021'!A$6:DA$357,77,FALSE)</f>
        <v>4.2409999999999997</v>
      </c>
      <c r="N202" s="121">
        <v>4.3550000000000004</v>
      </c>
      <c r="O202" s="416">
        <f t="shared" si="22"/>
        <v>-0.11400000000000077</v>
      </c>
      <c r="P202" s="121"/>
    </row>
    <row r="203" spans="1:16" x14ac:dyDescent="0.35">
      <c r="A203" s="72">
        <v>523</v>
      </c>
      <c r="B203" s="72">
        <v>8</v>
      </c>
      <c r="D203" s="72" t="s">
        <v>131</v>
      </c>
      <c r="H203" s="415">
        <f t="shared" si="20"/>
        <v>0.12177420601976451</v>
      </c>
      <c r="I203" s="415">
        <f t="shared" si="21"/>
        <v>8.4754718517366504E-2</v>
      </c>
      <c r="J203" s="415">
        <f>VLOOKUP(A203,'Grondslagen AU 2018'!A202:DA587,92,FALSE)</f>
        <v>8.3996433455549399E-2</v>
      </c>
      <c r="K203" s="415">
        <f>VLOOKUP(A203,'Grondslagen AU 2019'!A$1:DA$361,92,FALSE)</f>
        <v>8.8999999999999996E-2</v>
      </c>
      <c r="L203" s="121">
        <f>+VLOOKUP(A203,'Grondslagen AU 2020'!A$5:DA$360,77,FALSE)</f>
        <v>9.0999999999999998E-2</v>
      </c>
      <c r="M203" s="121">
        <f>+VLOOKUP(A203,'Grondslagen AU 2021'!A$6:DA$357,77,FALSE)</f>
        <v>8.8999999999999996E-2</v>
      </c>
      <c r="N203" s="121">
        <v>0.156</v>
      </c>
      <c r="O203" s="416">
        <f t="shared" si="22"/>
        <v>-6.7000000000000004E-2</v>
      </c>
      <c r="P203" s="121"/>
    </row>
    <row r="204" spans="1:16" x14ac:dyDescent="0.35">
      <c r="A204" s="72">
        <v>530</v>
      </c>
      <c r="B204" s="72">
        <v>8</v>
      </c>
      <c r="D204" s="72" t="s">
        <v>143</v>
      </c>
      <c r="H204" s="415">
        <f t="shared" si="20"/>
        <v>1.9219889717214198</v>
      </c>
      <c r="I204" s="415">
        <f t="shared" si="21"/>
        <v>1.882250100161605</v>
      </c>
      <c r="J204" s="415">
        <f>VLOOKUP(A204,'Grondslagen AU 2018'!A203:DA588,92,FALSE)</f>
        <v>1.84633781253225</v>
      </c>
      <c r="K204" s="415">
        <f>VLOOKUP(A204,'Grondslagen AU 2019'!A$1:DA$361,92,FALSE)</f>
        <v>1.837</v>
      </c>
      <c r="L204" s="121">
        <f>+VLOOKUP(A204,'Grondslagen AU 2020'!A$5:DA$360,77,FALSE)</f>
        <v>1.8069999999999999</v>
      </c>
      <c r="M204" s="121">
        <f>+VLOOKUP(A204,'Grondslagen AU 2021'!A$6:DA$357,77,FALSE)</f>
        <v>1.823</v>
      </c>
      <c r="N204" s="121">
        <v>1.7949999999999999</v>
      </c>
      <c r="O204" s="416">
        <f t="shared" si="22"/>
        <v>2.8000000000000025E-2</v>
      </c>
      <c r="P204" s="121"/>
    </row>
    <row r="205" spans="1:16" x14ac:dyDescent="0.35">
      <c r="A205" s="72">
        <v>531</v>
      </c>
      <c r="B205" s="72">
        <v>8</v>
      </c>
      <c r="D205" s="72" t="s">
        <v>145</v>
      </c>
      <c r="H205" s="415">
        <f t="shared" si="20"/>
        <v>0.21634727422618172</v>
      </c>
      <c r="I205" s="415">
        <f t="shared" si="21"/>
        <v>0.14233406601345777</v>
      </c>
      <c r="J205" s="415">
        <f>VLOOKUP(A205,'Grondslagen AU 2018'!A204:DA589,92,FALSE)</f>
        <v>0.18874521755704901</v>
      </c>
      <c r="K205" s="415">
        <f>VLOOKUP(A205,'Grondslagen AU 2019'!A$1:DA$361,92,FALSE)</f>
        <v>0.33600000000000002</v>
      </c>
      <c r="L205" s="121">
        <f>+VLOOKUP(A205,'Grondslagen AU 2020'!A$5:DA$360,77,FALSE)</f>
        <v>0.36699999999999999</v>
      </c>
      <c r="M205" s="121">
        <f>+VLOOKUP(A205,'Grondslagen AU 2021'!A$6:DA$357,77,FALSE)</f>
        <v>0.41299999999999998</v>
      </c>
      <c r="N205" s="121">
        <v>0.51300000000000001</v>
      </c>
      <c r="O205" s="416">
        <f t="shared" si="22"/>
        <v>-0.10000000000000003</v>
      </c>
      <c r="P205" s="121"/>
    </row>
    <row r="206" spans="1:16" x14ac:dyDescent="0.35">
      <c r="A206" s="72">
        <v>534</v>
      </c>
      <c r="B206" s="72">
        <v>8</v>
      </c>
      <c r="D206" s="72" t="s">
        <v>150</v>
      </c>
      <c r="H206" s="415">
        <f t="shared" si="20"/>
        <v>0.18650395650154994</v>
      </c>
      <c r="I206" s="415">
        <f t="shared" si="21"/>
        <v>0.14227311125444322</v>
      </c>
      <c r="J206" s="415">
        <f>VLOOKUP(A206,'Grondslagen AU 2018'!A205:DA590,92,FALSE)</f>
        <v>0.108252371916274</v>
      </c>
      <c r="K206" s="415">
        <f>VLOOKUP(A206,'Grondslagen AU 2019'!A$1:DA$361,92,FALSE)</f>
        <v>0.20899999999999999</v>
      </c>
      <c r="L206" s="121">
        <f>+VLOOKUP(A206,'Grondslagen AU 2020'!A$5:DA$360,77,FALSE)</f>
        <v>0.218</v>
      </c>
      <c r="M206" s="121">
        <f>+VLOOKUP(A206,'Grondslagen AU 2021'!A$6:DA$357,77,FALSE)</f>
        <v>0.25700000000000001</v>
      </c>
      <c r="N206" s="121">
        <v>0.248</v>
      </c>
      <c r="O206" s="416">
        <f t="shared" si="22"/>
        <v>9.000000000000008E-3</v>
      </c>
      <c r="P206" s="121"/>
    </row>
    <row r="207" spans="1:16" x14ac:dyDescent="0.35">
      <c r="A207" s="72">
        <v>1963</v>
      </c>
      <c r="B207" s="72">
        <v>8</v>
      </c>
      <c r="D207" s="72" t="s">
        <v>153</v>
      </c>
      <c r="H207" s="415">
        <f>+F562+F566+F579+F596+F605</f>
        <v>0.66280262486804264</v>
      </c>
      <c r="I207" s="415">
        <f>+G562+G566+G579+G596+G605</f>
        <v>0.48634990193781286</v>
      </c>
      <c r="J207" s="415">
        <f>+H562+H566+H579+H596+H605</f>
        <v>0.50561525970324328</v>
      </c>
      <c r="K207" s="415">
        <f>VLOOKUP(A207,'Grondslagen AU 2019'!A$1:DA$361,92,FALSE)</f>
        <v>0.60099999999999998</v>
      </c>
      <c r="L207" s="121">
        <f>+VLOOKUP(A207,'Grondslagen AU 2020'!A$5:DA$360,77,FALSE)</f>
        <v>0.78900000000000003</v>
      </c>
      <c r="M207" s="121">
        <f>+VLOOKUP(A207,'Grondslagen AU 2021'!A$6:DA$357,77,FALSE)</f>
        <v>0.71699999999999997</v>
      </c>
      <c r="N207" s="121">
        <v>0.92700000000000005</v>
      </c>
      <c r="O207" s="416">
        <f t="shared" si="22"/>
        <v>-0.21000000000000008</v>
      </c>
      <c r="P207" s="121"/>
    </row>
    <row r="208" spans="1:16" x14ac:dyDescent="0.35">
      <c r="A208" s="72">
        <v>1884</v>
      </c>
      <c r="B208" s="72">
        <v>8</v>
      </c>
      <c r="D208" s="72" t="s">
        <v>163</v>
      </c>
      <c r="H208" s="415">
        <f t="shared" ref="H208:H218" si="23">VLOOKUP(A208,A$353:F$734,6,FALSE)</f>
        <v>0.16107707751516157</v>
      </c>
      <c r="I208" s="415">
        <f t="shared" ref="I208:I218" si="24">VLOOKUP(A208,A$353:G$734,7,FALSE)</f>
        <v>0.12845565299752509</v>
      </c>
      <c r="J208" s="415">
        <f>VLOOKUP(A208,'Grondslagen AU 2018'!A207:DA592,92,FALSE)</f>
        <v>0.127867615072461</v>
      </c>
      <c r="K208" s="415">
        <f>VLOOKUP(A208,'Grondslagen AU 2019'!A$1:DA$361,92,FALSE)</f>
        <v>0.13600000000000001</v>
      </c>
      <c r="L208" s="121">
        <f>+VLOOKUP(A208,'Grondslagen AU 2020'!A$5:DA$360,77,FALSE)</f>
        <v>0.14000000000000001</v>
      </c>
      <c r="M208" s="121">
        <f>+VLOOKUP(A208,'Grondslagen AU 2021'!A$6:DA$357,77,FALSE)</f>
        <v>0.19500000000000001</v>
      </c>
      <c r="N208" s="121">
        <v>0.21199999999999999</v>
      </c>
      <c r="O208" s="416">
        <f t="shared" si="22"/>
        <v>-1.6999999999999987E-2</v>
      </c>
      <c r="P208" s="121"/>
    </row>
    <row r="209" spans="1:16" x14ac:dyDescent="0.35">
      <c r="A209" s="72">
        <v>537</v>
      </c>
      <c r="B209" s="72">
        <v>8</v>
      </c>
      <c r="D209" s="72" t="s">
        <v>166</v>
      </c>
      <c r="H209" s="415">
        <f t="shared" si="23"/>
        <v>1.1191919749854982</v>
      </c>
      <c r="I209" s="415">
        <f t="shared" si="24"/>
        <v>1.130795030861818</v>
      </c>
      <c r="J209" s="415">
        <f>VLOOKUP(A209,'Grondslagen AU 2018'!A208:DA593,92,FALSE)</f>
        <v>1.0040306925304501</v>
      </c>
      <c r="K209" s="415">
        <f>VLOOKUP(A209,'Grondslagen AU 2019'!A$1:DA$361,92,FALSE)</f>
        <v>1.206</v>
      </c>
      <c r="L209" s="121">
        <f>+VLOOKUP(A209,'Grondslagen AU 2020'!A$5:DA$360,77,FALSE)</f>
        <v>1.2509999999999999</v>
      </c>
      <c r="M209" s="121">
        <f>+VLOOKUP(A209,'Grondslagen AU 2021'!A$6:DA$357,77,FALSE)</f>
        <v>1.2789999999999999</v>
      </c>
      <c r="N209" s="121">
        <v>1.3460000000000001</v>
      </c>
      <c r="O209" s="416">
        <f t="shared" si="22"/>
        <v>-6.7000000000000171E-2</v>
      </c>
      <c r="P209" s="121"/>
    </row>
    <row r="210" spans="1:16" x14ac:dyDescent="0.35">
      <c r="A210" s="72">
        <v>542</v>
      </c>
      <c r="B210" s="72">
        <v>8</v>
      </c>
      <c r="D210" s="72" t="s">
        <v>169</v>
      </c>
      <c r="H210" s="415">
        <f t="shared" si="23"/>
        <v>0.73568923923799012</v>
      </c>
      <c r="I210" s="415">
        <f t="shared" si="24"/>
        <v>0.76554743092265831</v>
      </c>
      <c r="J210" s="415">
        <f>VLOOKUP(A210,'Grondslagen AU 2018'!A209:DA594,92,FALSE)</f>
        <v>0.89426017061186402</v>
      </c>
      <c r="K210" s="415">
        <f>VLOOKUP(A210,'Grondslagen AU 2019'!A$1:DA$361,92,FALSE)</f>
        <v>1.042</v>
      </c>
      <c r="L210" s="121">
        <f>+VLOOKUP(A210,'Grondslagen AU 2020'!A$5:DA$360,77,FALSE)</f>
        <v>1.0069999999999999</v>
      </c>
      <c r="M210" s="121">
        <f>+VLOOKUP(A210,'Grondslagen AU 2021'!A$6:DA$357,77,FALSE)</f>
        <v>1.054</v>
      </c>
      <c r="N210" s="121">
        <v>1.1479999999999999</v>
      </c>
      <c r="O210" s="416">
        <f t="shared" si="22"/>
        <v>-9.3999999999999861E-2</v>
      </c>
      <c r="P210" s="121"/>
    </row>
    <row r="211" spans="1:16" x14ac:dyDescent="0.35">
      <c r="A211" s="72">
        <v>1931</v>
      </c>
      <c r="B211" s="72">
        <v>8</v>
      </c>
      <c r="D211" s="72" t="s">
        <v>170</v>
      </c>
      <c r="H211" s="415">
        <f t="shared" si="23"/>
        <v>0.78842021739451607</v>
      </c>
      <c r="I211" s="415">
        <f t="shared" si="24"/>
        <v>0.58667213075816549</v>
      </c>
      <c r="J211" s="415">
        <f>VLOOKUP(A211,'Grondslagen AU 2018'!A210:DA595,92,FALSE)</f>
        <v>0.59727569474894804</v>
      </c>
      <c r="K211" s="415">
        <f>VLOOKUP(A211,'Grondslagen AU 2019'!A$1:DA$361,92,FALSE)</f>
        <v>0.81899999999999995</v>
      </c>
      <c r="L211" s="121">
        <f>+VLOOKUP(A211,'Grondslagen AU 2020'!A$5:DA$360,77,FALSE)</f>
        <v>0.87</v>
      </c>
      <c r="M211" s="121">
        <f>+VLOOKUP(A211,'Grondslagen AU 2021'!A$6:DA$357,77,FALSE)</f>
        <v>0.91300000000000003</v>
      </c>
      <c r="N211" s="121">
        <v>0.96799999999999997</v>
      </c>
      <c r="O211" s="416">
        <f t="shared" si="22"/>
        <v>-5.4999999999999938E-2</v>
      </c>
      <c r="P211" s="121"/>
    </row>
    <row r="212" spans="1:16" x14ac:dyDescent="0.35">
      <c r="A212" s="72">
        <v>1621</v>
      </c>
      <c r="B212" s="72">
        <v>8</v>
      </c>
      <c r="D212" s="72" t="s">
        <v>176</v>
      </c>
      <c r="H212" s="415">
        <f t="shared" si="23"/>
        <v>0.35718166113926675</v>
      </c>
      <c r="I212" s="415">
        <f t="shared" si="24"/>
        <v>0.28839403452898804</v>
      </c>
      <c r="J212" s="415">
        <f>VLOOKUP(A212,'Grondslagen AU 2018'!A211:DA596,92,FALSE)</f>
        <v>0.28914650703822697</v>
      </c>
      <c r="K212" s="415">
        <f>VLOOKUP(A212,'Grondslagen AU 2019'!A$1:DA$361,92,FALSE)</f>
        <v>0.309</v>
      </c>
      <c r="L212" s="121">
        <f>+VLOOKUP(A212,'Grondslagen AU 2020'!A$5:DA$360,77,FALSE)</f>
        <v>0.38400000000000001</v>
      </c>
      <c r="M212" s="121">
        <f>+VLOOKUP(A212,'Grondslagen AU 2021'!A$6:DA$357,77,FALSE)</f>
        <v>0.40200000000000002</v>
      </c>
      <c r="N212" s="121">
        <v>0.49299999999999999</v>
      </c>
      <c r="O212" s="416">
        <f t="shared" si="22"/>
        <v>-9.099999999999997E-2</v>
      </c>
      <c r="P212" s="121"/>
    </row>
    <row r="213" spans="1:16" x14ac:dyDescent="0.35">
      <c r="A213" s="72">
        <v>546</v>
      </c>
      <c r="B213" s="72">
        <v>8</v>
      </c>
      <c r="D213" s="72" t="s">
        <v>179</v>
      </c>
      <c r="H213" s="415">
        <f t="shared" si="23"/>
        <v>7.7840909807191592</v>
      </c>
      <c r="I213" s="415">
        <f t="shared" si="24"/>
        <v>7.4764840934568655</v>
      </c>
      <c r="J213" s="415">
        <f>VLOOKUP(A213,'Grondslagen AU 2018'!A212:DA597,92,FALSE)</f>
        <v>7.6428598126406602</v>
      </c>
      <c r="K213" s="415">
        <f>VLOOKUP(A213,'Grondslagen AU 2019'!A$1:DA$361,92,FALSE)</f>
        <v>7.7080000000000002</v>
      </c>
      <c r="L213" s="121">
        <f>+VLOOKUP(A213,'Grondslagen AU 2020'!A$5:DA$360,77,FALSE)</f>
        <v>7.3360000000000003</v>
      </c>
      <c r="M213" s="121">
        <f>+VLOOKUP(A213,'Grondslagen AU 2021'!A$6:DA$357,77,FALSE)</f>
        <v>7.1660000000000004</v>
      </c>
      <c r="N213" s="121">
        <v>7.4020000000000001</v>
      </c>
      <c r="O213" s="416">
        <f t="shared" si="22"/>
        <v>-0.23599999999999977</v>
      </c>
      <c r="P213" s="121"/>
    </row>
    <row r="214" spans="1:16" x14ac:dyDescent="0.35">
      <c r="A214" s="72">
        <v>547</v>
      </c>
      <c r="B214" s="72">
        <v>8</v>
      </c>
      <c r="D214" s="72" t="s">
        <v>180</v>
      </c>
      <c r="H214" s="415">
        <f t="shared" si="23"/>
        <v>0.49318323259107388</v>
      </c>
      <c r="I214" s="415">
        <f t="shared" si="24"/>
        <v>0.44169257544258278</v>
      </c>
      <c r="J214" s="415">
        <f>VLOOKUP(A214,'Grondslagen AU 2018'!A213:DA598,92,FALSE)</f>
        <v>0.46386979703060299</v>
      </c>
      <c r="K214" s="415">
        <f>VLOOKUP(A214,'Grondslagen AU 2019'!A$1:DA$361,92,FALSE)</f>
        <v>0.53700000000000003</v>
      </c>
      <c r="L214" s="121">
        <f>+VLOOKUP(A214,'Grondslagen AU 2020'!A$5:DA$360,77,FALSE)</f>
        <v>0.505</v>
      </c>
      <c r="M214" s="121">
        <f>+VLOOKUP(A214,'Grondslagen AU 2021'!A$6:DA$357,77,FALSE)</f>
        <v>0.46600000000000003</v>
      </c>
      <c r="N214" s="121">
        <v>0.56100000000000005</v>
      </c>
      <c r="O214" s="416">
        <f t="shared" si="22"/>
        <v>-9.5000000000000029E-2</v>
      </c>
      <c r="P214" s="121"/>
    </row>
    <row r="215" spans="1:16" x14ac:dyDescent="0.35">
      <c r="A215" s="72">
        <v>1916</v>
      </c>
      <c r="B215" s="72">
        <v>8</v>
      </c>
      <c r="D215" s="72" t="s">
        <v>181</v>
      </c>
      <c r="H215" s="415">
        <f t="shared" si="23"/>
        <v>4.0271011425921817</v>
      </c>
      <c r="I215" s="415">
        <f t="shared" si="24"/>
        <v>4.0288692165157842</v>
      </c>
      <c r="J215" s="415">
        <f>VLOOKUP(A215,'Grondslagen AU 2018'!A214:DA599,92,FALSE)</f>
        <v>4.1735159717181398</v>
      </c>
      <c r="K215" s="415">
        <f>VLOOKUP(A215,'Grondslagen AU 2019'!A$1:DA$361,92,FALSE)</f>
        <v>4.4089999999999998</v>
      </c>
      <c r="L215" s="121">
        <f>+VLOOKUP(A215,'Grondslagen AU 2020'!A$5:DA$360,77,FALSE)</f>
        <v>4.4660000000000002</v>
      </c>
      <c r="M215" s="121">
        <f>+VLOOKUP(A215,'Grondslagen AU 2021'!A$6:DA$357,77,FALSE)</f>
        <v>4.5140000000000002</v>
      </c>
      <c r="N215" s="121">
        <v>4.399</v>
      </c>
      <c r="O215" s="416">
        <f t="shared" si="22"/>
        <v>0.11500000000000021</v>
      </c>
      <c r="P215" s="121"/>
    </row>
    <row r="216" spans="1:16" x14ac:dyDescent="0.35">
      <c r="A216" s="72">
        <v>553</v>
      </c>
      <c r="B216" s="72">
        <v>8</v>
      </c>
      <c r="D216" s="72" t="s">
        <v>186</v>
      </c>
      <c r="H216" s="415">
        <f t="shared" si="23"/>
        <v>0.15591128388828815</v>
      </c>
      <c r="I216" s="415">
        <f t="shared" si="24"/>
        <v>0.10888510145686574</v>
      </c>
      <c r="J216" s="415">
        <f>VLOOKUP(A216,'Grondslagen AU 2018'!A215:DA600,92,FALSE)</f>
        <v>0.111204903778385</v>
      </c>
      <c r="K216" s="415">
        <f>VLOOKUP(A216,'Grondslagen AU 2019'!A$1:DA$361,92,FALSE)</f>
        <v>0.13</v>
      </c>
      <c r="L216" s="121">
        <f>+VLOOKUP(A216,'Grondslagen AU 2020'!A$5:DA$360,77,FALSE)</f>
        <v>0.13800000000000001</v>
      </c>
      <c r="M216" s="121">
        <f>+VLOOKUP(A216,'Grondslagen AU 2021'!A$6:DA$357,77,FALSE)</f>
        <v>0.13500000000000001</v>
      </c>
      <c r="N216" s="121">
        <v>0.182</v>
      </c>
      <c r="O216" s="416">
        <f t="shared" si="22"/>
        <v>-4.6999999999999986E-2</v>
      </c>
      <c r="P216" s="121"/>
    </row>
    <row r="217" spans="1:16" x14ac:dyDescent="0.35">
      <c r="A217" s="72">
        <v>556</v>
      </c>
      <c r="B217" s="72">
        <v>8</v>
      </c>
      <c r="D217" s="72" t="s">
        <v>194</v>
      </c>
      <c r="H217" s="415">
        <f t="shared" si="23"/>
        <v>2.2836947835681882</v>
      </c>
      <c r="I217" s="415">
        <f t="shared" si="24"/>
        <v>2.3031149478335577</v>
      </c>
      <c r="J217" s="415">
        <f>VLOOKUP(A217,'Grondslagen AU 2018'!A216:DA601,92,FALSE)</f>
        <v>2.3449517816317398</v>
      </c>
      <c r="K217" s="415">
        <f>VLOOKUP(A217,'Grondslagen AU 2019'!A$1:DA$361,92,FALSE)</f>
        <v>2.2869999999999999</v>
      </c>
      <c r="L217" s="121">
        <f>+VLOOKUP(A217,'Grondslagen AU 2020'!A$5:DA$360,77,FALSE)</f>
        <v>2.3140000000000001</v>
      </c>
      <c r="M217" s="121">
        <f>+VLOOKUP(A217,'Grondslagen AU 2021'!A$6:DA$357,77,FALSE)</f>
        <v>2.1360000000000001</v>
      </c>
      <c r="N217" s="121">
        <v>2.169</v>
      </c>
      <c r="O217" s="416">
        <f t="shared" si="22"/>
        <v>-3.2999999999999918E-2</v>
      </c>
      <c r="P217" s="121"/>
    </row>
    <row r="218" spans="1:16" x14ac:dyDescent="0.35">
      <c r="A218" s="72">
        <v>1842</v>
      </c>
      <c r="B218" s="72">
        <v>8</v>
      </c>
      <c r="D218" s="72" t="s">
        <v>202</v>
      </c>
      <c r="H218" s="415">
        <f t="shared" si="23"/>
        <v>0.13004787975746451</v>
      </c>
      <c r="I218" s="415">
        <f t="shared" si="24"/>
        <v>9.4096252305929662E-2</v>
      </c>
      <c r="J218" s="415">
        <f>VLOOKUP(A218,'Grondslagen AU 2018'!A217:DA602,92,FALSE)</f>
        <v>9.3270630567886606E-2</v>
      </c>
      <c r="K218" s="415">
        <f>VLOOKUP(A218,'Grondslagen AU 2019'!A$1:DA$361,92,FALSE)</f>
        <v>9.8000000000000004E-2</v>
      </c>
      <c r="L218" s="121">
        <f>+VLOOKUP(A218,'Grondslagen AU 2020'!A$5:DA$360,77,FALSE)</f>
        <v>0.1</v>
      </c>
      <c r="M218" s="121">
        <f>+VLOOKUP(A218,'Grondslagen AU 2021'!A$6:DA$357,77,FALSE)</f>
        <v>9.7000000000000003E-2</v>
      </c>
      <c r="N218" s="121">
        <v>9.7000000000000003E-2</v>
      </c>
      <c r="O218" s="416">
        <f t="shared" si="22"/>
        <v>0</v>
      </c>
      <c r="P218" s="121"/>
    </row>
    <row r="219" spans="1:16" x14ac:dyDescent="0.35">
      <c r="A219" s="72">
        <v>1978</v>
      </c>
      <c r="B219" s="72">
        <v>8</v>
      </c>
      <c r="D219" s="72" t="s">
        <v>206</v>
      </c>
      <c r="H219" s="415">
        <f>+F569+F590</f>
        <v>0.28105696225839016</v>
      </c>
      <c r="I219" s="415">
        <f>+G569+G590</f>
        <v>0.2100812254710564</v>
      </c>
      <c r="J219" s="415">
        <f>+H569+H590</f>
        <v>0.20740065236075361</v>
      </c>
      <c r="K219" s="415">
        <f>VLOOKUP(A219,'Grondslagen AU 2019'!A$1:DA$361,92,FALSE)</f>
        <v>0.217</v>
      </c>
      <c r="L219" s="121">
        <f>+VLOOKUP(A219,'Grondslagen AU 2020'!A$5:DA$360,77,FALSE)</f>
        <v>0.222</v>
      </c>
      <c r="M219" s="121">
        <f>+VLOOKUP(A219,'Grondslagen AU 2021'!A$6:DA$357,77,FALSE)</f>
        <v>0.216</v>
      </c>
      <c r="N219" s="121">
        <v>0.221</v>
      </c>
      <c r="O219" s="416">
        <f t="shared" si="22"/>
        <v>-5.0000000000000044E-3</v>
      </c>
      <c r="P219" s="121"/>
    </row>
    <row r="220" spans="1:16" x14ac:dyDescent="0.35">
      <c r="A220" s="72">
        <v>569</v>
      </c>
      <c r="B220" s="72">
        <v>8</v>
      </c>
      <c r="D220" s="72" t="s">
        <v>213</v>
      </c>
      <c r="H220" s="415">
        <f>VLOOKUP(A220,A$353:F$734,6,FALSE)</f>
        <v>0.1723984159085693</v>
      </c>
      <c r="I220" s="415">
        <f>VLOOKUP(A220,A$353:G$734,7,FALSE)</f>
        <v>0.13586155365872851</v>
      </c>
      <c r="J220" s="415">
        <f>VLOOKUP(A220,'Grondslagen AU 2018'!A219:DA604,92,FALSE)</f>
        <v>0.13619777746245099</v>
      </c>
      <c r="K220" s="415">
        <f>VLOOKUP(A220,'Grondslagen AU 2019'!A$1:DA$361,92,FALSE)</f>
        <v>0.14499999999999999</v>
      </c>
      <c r="L220" s="121">
        <f>+VLOOKUP(A220,'Grondslagen AU 2020'!A$5:DA$360,77,FALSE)</f>
        <v>0.14699999999999999</v>
      </c>
      <c r="M220" s="121">
        <f>+VLOOKUP(A220,'Grondslagen AU 2021'!A$6:DA$357,77,FALSE)</f>
        <v>0.14499999999999999</v>
      </c>
      <c r="N220" s="121">
        <v>0.14599999999999999</v>
      </c>
      <c r="O220" s="416">
        <f t="shared" si="22"/>
        <v>-1.0000000000000009E-3</v>
      </c>
      <c r="P220" s="121"/>
    </row>
    <row r="221" spans="1:16" x14ac:dyDescent="0.35">
      <c r="A221" s="72">
        <v>1930</v>
      </c>
      <c r="B221" s="72">
        <v>8</v>
      </c>
      <c r="D221" s="72" t="s">
        <v>216</v>
      </c>
      <c r="H221" s="415">
        <f>VLOOKUP(A221,A$353:F$734,6,FALSE)</f>
        <v>5.1237175323231856</v>
      </c>
      <c r="I221" s="415">
        <f>VLOOKUP(A221,A$353:G$734,7,FALSE)</f>
        <v>5.414067554400475</v>
      </c>
      <c r="J221" s="415">
        <f>VLOOKUP(A221,'Grondslagen AU 2018'!A220:DA605,92,FALSE)</f>
        <v>5.5135967563156099</v>
      </c>
      <c r="K221" s="415">
        <f>VLOOKUP(A221,'Grondslagen AU 2019'!A$1:DA$361,92,FALSE)</f>
        <v>6.1660000000000004</v>
      </c>
      <c r="L221" s="121">
        <f>+VLOOKUP(A221,'Grondslagen AU 2020'!A$5:DA$360,77,FALSE)</f>
        <v>6.3639999999999999</v>
      </c>
      <c r="M221" s="121">
        <f>+VLOOKUP(A221,'Grondslagen AU 2021'!A$6:DA$357,77,FALSE)</f>
        <v>6.0490000000000004</v>
      </c>
      <c r="N221" s="121">
        <v>5.9619999999999997</v>
      </c>
      <c r="O221" s="416">
        <f t="shared" si="22"/>
        <v>8.7000000000000632E-2</v>
      </c>
      <c r="P221" s="121"/>
    </row>
    <row r="222" spans="1:16" x14ac:dyDescent="0.35">
      <c r="A222" s="72">
        <v>575</v>
      </c>
      <c r="B222" s="72">
        <v>8</v>
      </c>
      <c r="D222" s="72" t="s">
        <v>221</v>
      </c>
      <c r="H222" s="415">
        <f>+F593+F594</f>
        <v>0.34444898143042746</v>
      </c>
      <c r="I222" s="415">
        <f>+G593+G594</f>
        <v>0.20561320275809938</v>
      </c>
      <c r="J222" s="415">
        <f>+H593+H594</f>
        <v>0.20410030697142781</v>
      </c>
      <c r="K222" s="415">
        <f>VLOOKUP(A222,'Grondslagen AU 2019'!A$1:DA$361,92,FALSE)</f>
        <v>0.35499999999999998</v>
      </c>
      <c r="L222" s="121">
        <f>+VLOOKUP(A222,'Grondslagen AU 2020'!A$5:DA$360,77,FALSE)</f>
        <v>0.379</v>
      </c>
      <c r="M222" s="121">
        <f>+VLOOKUP(A222,'Grondslagen AU 2021'!A$6:DA$357,77,FALSE)</f>
        <v>0.434</v>
      </c>
      <c r="N222" s="121">
        <v>0.57899999999999996</v>
      </c>
      <c r="O222" s="416">
        <f t="shared" si="22"/>
        <v>-0.14499999999999996</v>
      </c>
      <c r="P222" s="121"/>
    </row>
    <row r="223" spans="1:16" x14ac:dyDescent="0.35">
      <c r="A223" s="72">
        <v>579</v>
      </c>
      <c r="B223" s="72">
        <v>8</v>
      </c>
      <c r="D223" s="72" t="s">
        <v>224</v>
      </c>
      <c r="H223" s="415">
        <f t="shared" ref="H223:H256" si="25">VLOOKUP(A223,A$353:F$734,6,FALSE)</f>
        <v>0.18123649867221425</v>
      </c>
      <c r="I223" s="415">
        <f t="shared" ref="I223:I256" si="26">VLOOKUP(A223,A$353:G$734,7,FALSE)</f>
        <v>0.17662651949452335</v>
      </c>
      <c r="J223" s="415">
        <f>VLOOKUP(A223,'Grondslagen AU 2018'!A222:DA607,92,FALSE)</f>
        <v>0.25258999059119602</v>
      </c>
      <c r="K223" s="415">
        <f>VLOOKUP(A223,'Grondslagen AU 2019'!A$1:DA$361,92,FALSE)</f>
        <v>0.32300000000000001</v>
      </c>
      <c r="L223" s="121">
        <f>+VLOOKUP(A223,'Grondslagen AU 2020'!A$5:DA$360,77,FALSE)</f>
        <v>0.40400000000000003</v>
      </c>
      <c r="M223" s="121">
        <f>+VLOOKUP(A223,'Grondslagen AU 2021'!A$6:DA$357,77,FALSE)</f>
        <v>0.41099999999999998</v>
      </c>
      <c r="N223" s="121">
        <v>0.48499999999999999</v>
      </c>
      <c r="O223" s="416">
        <f t="shared" si="22"/>
        <v>-7.400000000000001E-2</v>
      </c>
      <c r="P223" s="121"/>
    </row>
    <row r="224" spans="1:16" x14ac:dyDescent="0.35">
      <c r="A224" s="72">
        <v>590</v>
      </c>
      <c r="B224" s="72">
        <v>8</v>
      </c>
      <c r="D224" s="72" t="s">
        <v>243</v>
      </c>
      <c r="H224" s="415">
        <f t="shared" si="25"/>
        <v>0.82893094975808956</v>
      </c>
      <c r="I224" s="415">
        <f t="shared" si="26"/>
        <v>0.85723901876011377</v>
      </c>
      <c r="J224" s="415">
        <f>VLOOKUP(A224,'Grondslagen AU 2018'!A223:DA608,92,FALSE)</f>
        <v>0.92813173059291398</v>
      </c>
      <c r="K224" s="415">
        <f>VLOOKUP(A224,'Grondslagen AU 2019'!A$1:DA$361,92,FALSE)</f>
        <v>0.877</v>
      </c>
      <c r="L224" s="121">
        <f>+VLOOKUP(A224,'Grondslagen AU 2020'!A$5:DA$360,77,FALSE)</f>
        <v>0.92100000000000004</v>
      </c>
      <c r="M224" s="121">
        <f>+VLOOKUP(A224,'Grondslagen AU 2021'!A$6:DA$357,77,FALSE)</f>
        <v>0.93100000000000005</v>
      </c>
      <c r="N224" s="121">
        <v>1.0529999999999999</v>
      </c>
      <c r="O224" s="416">
        <f t="shared" si="22"/>
        <v>-0.12199999999999989</v>
      </c>
      <c r="P224" s="121"/>
    </row>
    <row r="225" spans="1:16" x14ac:dyDescent="0.35">
      <c r="A225" s="72">
        <v>1926</v>
      </c>
      <c r="B225" s="72">
        <v>8</v>
      </c>
      <c r="D225" s="72" t="s">
        <v>246</v>
      </c>
      <c r="H225" s="415">
        <f t="shared" si="25"/>
        <v>0.38810085406482664</v>
      </c>
      <c r="I225" s="415">
        <f t="shared" si="26"/>
        <v>0.25661292776593159</v>
      </c>
      <c r="J225" s="415">
        <f>VLOOKUP(A225,'Grondslagen AU 2018'!A224:DA609,92,FALSE)</f>
        <v>0.25831810914526299</v>
      </c>
      <c r="K225" s="415">
        <f>VLOOKUP(A225,'Grondslagen AU 2019'!A$1:DA$361,92,FALSE)</f>
        <v>0.28000000000000003</v>
      </c>
      <c r="L225" s="121">
        <f>+VLOOKUP(A225,'Grondslagen AU 2020'!A$5:DA$360,77,FALSE)</f>
        <v>0.29099999999999998</v>
      </c>
      <c r="M225" s="121">
        <f>+VLOOKUP(A225,'Grondslagen AU 2021'!A$6:DA$357,77,FALSE)</f>
        <v>0.28599999999999998</v>
      </c>
      <c r="N225" s="121">
        <v>0.29399999999999998</v>
      </c>
      <c r="O225" s="416">
        <f t="shared" si="22"/>
        <v>-8.0000000000000071E-3</v>
      </c>
      <c r="P225" s="121"/>
    </row>
    <row r="226" spans="1:16" x14ac:dyDescent="0.35">
      <c r="A226" s="72">
        <v>597</v>
      </c>
      <c r="B226" s="72">
        <v>8</v>
      </c>
      <c r="D226" s="72" t="s">
        <v>256</v>
      </c>
      <c r="H226" s="415">
        <f t="shared" si="25"/>
        <v>1.4224286093661247</v>
      </c>
      <c r="I226" s="415">
        <f t="shared" si="26"/>
        <v>1.4755507674529145</v>
      </c>
      <c r="J226" s="415">
        <f>VLOOKUP(A226,'Grondslagen AU 2018'!A225:DA610,92,FALSE)</f>
        <v>1.65410887902306</v>
      </c>
      <c r="K226" s="415">
        <f>VLOOKUP(A226,'Grondslagen AU 2019'!A$1:DA$361,92,FALSE)</f>
        <v>1.982</v>
      </c>
      <c r="L226" s="121">
        <f>+VLOOKUP(A226,'Grondslagen AU 2020'!A$5:DA$360,77,FALSE)</f>
        <v>2.1640000000000001</v>
      </c>
      <c r="M226" s="121">
        <f>+VLOOKUP(A226,'Grondslagen AU 2021'!A$6:DA$357,77,FALSE)</f>
        <v>2.3370000000000002</v>
      </c>
      <c r="N226" s="121">
        <v>2.3780000000000001</v>
      </c>
      <c r="O226" s="416">
        <f t="shared" si="22"/>
        <v>-4.0999999999999925E-2</v>
      </c>
      <c r="P226" s="121"/>
    </row>
    <row r="227" spans="1:16" x14ac:dyDescent="0.35">
      <c r="A227" s="72">
        <v>603</v>
      </c>
      <c r="B227" s="72">
        <v>8</v>
      </c>
      <c r="D227" s="72" t="s">
        <v>258</v>
      </c>
      <c r="H227" s="415">
        <f t="shared" si="25"/>
        <v>3.1975345938136392</v>
      </c>
      <c r="I227" s="415">
        <f t="shared" si="26"/>
        <v>3.246552161100996</v>
      </c>
      <c r="J227" s="415">
        <f>VLOOKUP(A227,'Grondslagen AU 2018'!A226:DA611,92,FALSE)</f>
        <v>3.2523473287465601</v>
      </c>
      <c r="K227" s="415">
        <f>VLOOKUP(A227,'Grondslagen AU 2019'!A$1:DA$361,92,FALSE)</f>
        <v>3.2970000000000002</v>
      </c>
      <c r="L227" s="121">
        <f>+VLOOKUP(A227,'Grondslagen AU 2020'!A$5:DA$360,77,FALSE)</f>
        <v>3.4460000000000002</v>
      </c>
      <c r="M227" s="121">
        <f>+VLOOKUP(A227,'Grondslagen AU 2021'!A$6:DA$357,77,FALSE)</f>
        <v>3.6659999999999999</v>
      </c>
      <c r="N227" s="121">
        <v>3.58</v>
      </c>
      <c r="O227" s="416">
        <f t="shared" si="22"/>
        <v>8.5999999999999854E-2</v>
      </c>
      <c r="P227" s="121"/>
    </row>
    <row r="228" spans="1:16" x14ac:dyDescent="0.35">
      <c r="A228" s="72">
        <v>599</v>
      </c>
      <c r="B228" s="72">
        <v>8</v>
      </c>
      <c r="D228" s="72" t="s">
        <v>262</v>
      </c>
      <c r="H228" s="415">
        <f t="shared" si="25"/>
        <v>118.12115429662423</v>
      </c>
      <c r="I228" s="415">
        <f t="shared" si="26"/>
        <v>117.69894578098476</v>
      </c>
      <c r="J228" s="415">
        <f>VLOOKUP(A228,'Grondslagen AU 2018'!A227:DA612,92,FALSE)</f>
        <v>115.236560658562</v>
      </c>
      <c r="K228" s="415">
        <f>VLOOKUP(A228,'Grondslagen AU 2019'!A$1:DA$361,92,FALSE)</f>
        <v>109.461</v>
      </c>
      <c r="L228" s="121">
        <f>+VLOOKUP(A228,'Grondslagen AU 2020'!A$5:DA$360,77,FALSE)</f>
        <v>107.292</v>
      </c>
      <c r="M228" s="121">
        <f>+VLOOKUP(A228,'Grondslagen AU 2021'!A$6:DA$357,77,FALSE)</f>
        <v>111.827</v>
      </c>
      <c r="N228" s="121">
        <v>110.86</v>
      </c>
      <c r="O228" s="416">
        <f t="shared" si="22"/>
        <v>0.96699999999999875</v>
      </c>
      <c r="P228" s="121"/>
    </row>
    <row r="229" spans="1:16" x14ac:dyDescent="0.35">
      <c r="A229" s="72">
        <v>606</v>
      </c>
      <c r="B229" s="72">
        <v>8</v>
      </c>
      <c r="D229" s="72" t="s">
        <v>267</v>
      </c>
      <c r="H229" s="415">
        <f t="shared" si="25"/>
        <v>7.2147748174322217</v>
      </c>
      <c r="I229" s="415">
        <f t="shared" si="26"/>
        <v>7.3153863469867391</v>
      </c>
      <c r="J229" s="415">
        <f>VLOOKUP(A229,'Grondslagen AU 2018'!A228:DA613,92,FALSE)</f>
        <v>7.2711868272911699</v>
      </c>
      <c r="K229" s="415">
        <f>VLOOKUP(A229,'Grondslagen AU 2019'!A$1:DA$361,92,FALSE)</f>
        <v>6.7869999999999999</v>
      </c>
      <c r="L229" s="121">
        <f>+VLOOKUP(A229,'Grondslagen AU 2020'!A$5:DA$360,77,FALSE)</f>
        <v>6.3940000000000001</v>
      </c>
      <c r="M229" s="121">
        <f>+VLOOKUP(A229,'Grondslagen AU 2021'!A$6:DA$357,77,FALSE)</f>
        <v>6.3570000000000002</v>
      </c>
      <c r="N229" s="121">
        <v>6.1020000000000003</v>
      </c>
      <c r="O229" s="416">
        <f t="shared" si="22"/>
        <v>0.25499999999999989</v>
      </c>
      <c r="P229" s="121"/>
    </row>
    <row r="230" spans="1:16" x14ac:dyDescent="0.35">
      <c r="A230" s="72">
        <v>518</v>
      </c>
      <c r="B230" s="72">
        <v>8</v>
      </c>
      <c r="D230" s="72" t="s">
        <v>270</v>
      </c>
      <c r="H230" s="415">
        <f t="shared" si="25"/>
        <v>70.437780647424475</v>
      </c>
      <c r="I230" s="415">
        <f t="shared" si="26"/>
        <v>75.646678688876662</v>
      </c>
      <c r="J230" s="415">
        <f>VLOOKUP(A230,'Grondslagen AU 2018'!A229:DA614,92,FALSE)</f>
        <v>75.191336274322197</v>
      </c>
      <c r="K230" s="415">
        <f>VLOOKUP(A230,'Grondslagen AU 2019'!A$1:DA$361,92,FALSE)</f>
        <v>73.123000000000005</v>
      </c>
      <c r="L230" s="121">
        <f>+VLOOKUP(A230,'Grondslagen AU 2020'!A$5:DA$360,77,FALSE)</f>
        <v>72.683000000000007</v>
      </c>
      <c r="M230" s="121">
        <f>+VLOOKUP(A230,'Grondslagen AU 2021'!A$6:DA$357,77,FALSE)</f>
        <v>72.549000000000007</v>
      </c>
      <c r="N230" s="121">
        <v>68.908000000000001</v>
      </c>
      <c r="O230" s="416">
        <f t="shared" si="22"/>
        <v>3.6410000000000053</v>
      </c>
      <c r="P230" s="121"/>
    </row>
    <row r="231" spans="1:16" x14ac:dyDescent="0.35">
      <c r="A231" s="72">
        <v>610</v>
      </c>
      <c r="B231" s="72">
        <v>8</v>
      </c>
      <c r="D231" s="72" t="s">
        <v>276</v>
      </c>
      <c r="H231" s="415">
        <f t="shared" si="25"/>
        <v>0.71760369929131107</v>
      </c>
      <c r="I231" s="415">
        <f t="shared" si="26"/>
        <v>0.91386045576641783</v>
      </c>
      <c r="J231" s="415">
        <f>VLOOKUP(A231,'Grondslagen AU 2018'!A230:DA615,92,FALSE)</f>
        <v>1.09724887690824</v>
      </c>
      <c r="K231" s="415">
        <f>VLOOKUP(A231,'Grondslagen AU 2019'!A$1:DA$361,92,FALSE)</f>
        <v>1.042</v>
      </c>
      <c r="L231" s="121">
        <f>+VLOOKUP(A231,'Grondslagen AU 2020'!A$5:DA$360,77,FALSE)</f>
        <v>1.0649999999999999</v>
      </c>
      <c r="M231" s="121">
        <f>+VLOOKUP(A231,'Grondslagen AU 2021'!A$6:DA$357,77,FALSE)</f>
        <v>1.089</v>
      </c>
      <c r="N231" s="121">
        <v>1.17</v>
      </c>
      <c r="O231" s="416">
        <f t="shared" si="22"/>
        <v>-8.0999999999999961E-2</v>
      </c>
      <c r="P231" s="121"/>
    </row>
    <row r="232" spans="1:16" x14ac:dyDescent="0.35">
      <c r="A232" s="72">
        <v>1525</v>
      </c>
      <c r="B232" s="72">
        <v>8</v>
      </c>
      <c r="D232" s="72" t="s">
        <v>293</v>
      </c>
      <c r="H232" s="415">
        <f t="shared" si="25"/>
        <v>0.20072785855657846</v>
      </c>
      <c r="I232" s="415">
        <f t="shared" si="26"/>
        <v>0.17703009855328961</v>
      </c>
      <c r="J232" s="415">
        <f>VLOOKUP(A232,'Grondslagen AU 2018'!A231:DA616,92,FALSE)</f>
        <v>0.175620667467663</v>
      </c>
      <c r="K232" s="415">
        <f>VLOOKUP(A232,'Grondslagen AU 2019'!A$1:DA$361,92,FALSE)</f>
        <v>0.189</v>
      </c>
      <c r="L232" s="121">
        <f>+VLOOKUP(A232,'Grondslagen AU 2020'!A$5:DA$360,77,FALSE)</f>
        <v>0.19400000000000001</v>
      </c>
      <c r="M232" s="121">
        <f>+VLOOKUP(A232,'Grondslagen AU 2021'!A$6:DA$357,77,FALSE)</f>
        <v>0.19</v>
      </c>
      <c r="N232" s="121">
        <v>0.192</v>
      </c>
      <c r="O232" s="416">
        <f t="shared" si="22"/>
        <v>-2.0000000000000018E-3</v>
      </c>
      <c r="P232" s="121"/>
    </row>
    <row r="233" spans="1:16" x14ac:dyDescent="0.35">
      <c r="A233" s="72">
        <v>622</v>
      </c>
      <c r="B233" s="72">
        <v>8</v>
      </c>
      <c r="D233" s="72" t="s">
        <v>318</v>
      </c>
      <c r="H233" s="415">
        <f t="shared" si="25"/>
        <v>6.123474741871533</v>
      </c>
      <c r="I233" s="415">
        <f t="shared" si="26"/>
        <v>6.6097312546079907</v>
      </c>
      <c r="J233" s="415">
        <f>VLOOKUP(A233,'Grondslagen AU 2018'!A232:DA617,92,FALSE)</f>
        <v>6.9531104734228899</v>
      </c>
      <c r="K233" s="415">
        <f>VLOOKUP(A233,'Grondslagen AU 2019'!A$1:DA$361,92,FALSE)</f>
        <v>6.819</v>
      </c>
      <c r="L233" s="121">
        <f>+VLOOKUP(A233,'Grondslagen AU 2020'!A$5:DA$360,77,FALSE)</f>
        <v>6.7530000000000001</v>
      </c>
      <c r="M233" s="121">
        <f>+VLOOKUP(A233,'Grondslagen AU 2021'!A$6:DA$357,77,FALSE)</f>
        <v>6.585</v>
      </c>
      <c r="N233" s="121">
        <v>6.7</v>
      </c>
      <c r="O233" s="416">
        <f t="shared" si="22"/>
        <v>-0.11500000000000021</v>
      </c>
      <c r="P233" s="121"/>
    </row>
    <row r="234" spans="1:16" x14ac:dyDescent="0.35">
      <c r="A234" s="72">
        <v>626</v>
      </c>
      <c r="B234" s="72">
        <v>8</v>
      </c>
      <c r="D234" s="72" t="s">
        <v>322</v>
      </c>
      <c r="H234" s="415">
        <f t="shared" si="25"/>
        <v>0.39983006161504442</v>
      </c>
      <c r="I234" s="415">
        <f t="shared" si="26"/>
        <v>0.34545238032790487</v>
      </c>
      <c r="J234" s="415">
        <f>VLOOKUP(A234,'Grondslagen AU 2018'!A233:DA618,92,FALSE)</f>
        <v>0.259369590705542</v>
      </c>
      <c r="K234" s="415">
        <f>VLOOKUP(A234,'Grondslagen AU 2019'!A$1:DA$361,92,FALSE)</f>
        <v>0.318</v>
      </c>
      <c r="L234" s="121">
        <f>+VLOOKUP(A234,'Grondslagen AU 2020'!A$5:DA$360,77,FALSE)</f>
        <v>0.34799999999999998</v>
      </c>
      <c r="M234" s="121">
        <f>+VLOOKUP(A234,'Grondslagen AU 2021'!A$6:DA$357,77,FALSE)</f>
        <v>0.32400000000000001</v>
      </c>
      <c r="N234" s="121">
        <v>0.41499999999999998</v>
      </c>
      <c r="O234" s="416">
        <f t="shared" si="22"/>
        <v>-9.099999999999997E-2</v>
      </c>
      <c r="P234" s="121"/>
    </row>
    <row r="235" spans="1:16" x14ac:dyDescent="0.35">
      <c r="A235" s="72">
        <v>627</v>
      </c>
      <c r="B235" s="72">
        <v>8</v>
      </c>
      <c r="D235" s="72" t="s">
        <v>328</v>
      </c>
      <c r="H235" s="415">
        <f t="shared" si="25"/>
        <v>0.27218926978785374</v>
      </c>
      <c r="I235" s="415">
        <f t="shared" si="26"/>
        <v>0.30208895893550836</v>
      </c>
      <c r="J235" s="415">
        <f>VLOOKUP(A235,'Grondslagen AU 2018'!A234:DA619,92,FALSE)</f>
        <v>0.31647051830066403</v>
      </c>
      <c r="K235" s="415">
        <f>VLOOKUP(A235,'Grondslagen AU 2019'!A$1:DA$361,92,FALSE)</f>
        <v>0.314</v>
      </c>
      <c r="L235" s="121">
        <f>+VLOOKUP(A235,'Grondslagen AU 2020'!A$5:DA$360,77,FALSE)</f>
        <v>0.214</v>
      </c>
      <c r="M235" s="121">
        <f>+VLOOKUP(A235,'Grondslagen AU 2021'!A$6:DA$357,77,FALSE)</f>
        <v>0.27600000000000002</v>
      </c>
      <c r="N235" s="121">
        <v>0.35399999999999998</v>
      </c>
      <c r="O235" s="416">
        <f t="shared" si="22"/>
        <v>-7.7999999999999958E-2</v>
      </c>
      <c r="P235" s="121"/>
    </row>
    <row r="236" spans="1:16" x14ac:dyDescent="0.35">
      <c r="A236" s="72">
        <v>629</v>
      </c>
      <c r="B236" s="72">
        <v>8</v>
      </c>
      <c r="D236" s="72" t="s">
        <v>330</v>
      </c>
      <c r="H236" s="415">
        <f t="shared" si="25"/>
        <v>0.63414081049443149</v>
      </c>
      <c r="I236" s="415">
        <f t="shared" si="26"/>
        <v>0.60959844333630631</v>
      </c>
      <c r="J236" s="415">
        <f>VLOOKUP(A236,'Grondslagen AU 2018'!A235:DA620,92,FALSE)</f>
        <v>0.62156319226066303</v>
      </c>
      <c r="K236" s="415">
        <f>VLOOKUP(A236,'Grondslagen AU 2019'!A$1:DA$361,92,FALSE)</f>
        <v>0.66500000000000004</v>
      </c>
      <c r="L236" s="121">
        <f>+VLOOKUP(A236,'Grondslagen AU 2020'!A$5:DA$360,77,FALSE)</f>
        <v>0.58499999999999996</v>
      </c>
      <c r="M236" s="121">
        <f>+VLOOKUP(A236,'Grondslagen AU 2021'!A$6:DA$357,77,FALSE)</f>
        <v>0.498</v>
      </c>
      <c r="N236" s="121">
        <v>0.56000000000000005</v>
      </c>
      <c r="O236" s="416">
        <f t="shared" si="22"/>
        <v>-6.2000000000000055E-2</v>
      </c>
      <c r="P236" s="121"/>
    </row>
    <row r="237" spans="1:16" x14ac:dyDescent="0.35">
      <c r="A237" s="72">
        <v>1783</v>
      </c>
      <c r="B237" s="72">
        <v>8</v>
      </c>
      <c r="D237" s="72" t="s">
        <v>340</v>
      </c>
      <c r="H237" s="415">
        <f t="shared" si="25"/>
        <v>1.0400783486035099</v>
      </c>
      <c r="I237" s="415">
        <f t="shared" si="26"/>
        <v>0.88328407707731293</v>
      </c>
      <c r="J237" s="415">
        <f>VLOOKUP(A237,'Grondslagen AU 2018'!A236:DA621,92,FALSE)</f>
        <v>0.85360444248118506</v>
      </c>
      <c r="K237" s="415">
        <f>VLOOKUP(A237,'Grondslagen AU 2019'!A$1:DA$361,92,FALSE)</f>
        <v>1.0920000000000001</v>
      </c>
      <c r="L237" s="121">
        <f>+VLOOKUP(A237,'Grondslagen AU 2020'!A$5:DA$360,77,FALSE)</f>
        <v>1.337</v>
      </c>
      <c r="M237" s="121">
        <f>+VLOOKUP(A237,'Grondslagen AU 2021'!A$6:DA$357,77,FALSE)</f>
        <v>1.194</v>
      </c>
      <c r="N237" s="121">
        <v>1.3149999999999999</v>
      </c>
      <c r="O237" s="416">
        <f t="shared" si="22"/>
        <v>-0.121</v>
      </c>
      <c r="P237" s="121"/>
    </row>
    <row r="238" spans="1:16" x14ac:dyDescent="0.35">
      <c r="A238" s="72">
        <v>614</v>
      </c>
      <c r="B238" s="72">
        <v>8</v>
      </c>
      <c r="D238" s="72" t="s">
        <v>342</v>
      </c>
      <c r="H238" s="415">
        <f t="shared" si="25"/>
        <v>9.4904056059155653E-2</v>
      </c>
      <c r="I238" s="415">
        <f t="shared" si="26"/>
        <v>6.5903335016121528E-2</v>
      </c>
      <c r="J238" s="415">
        <f>VLOOKUP(A238,'Grondslagen AU 2018'!A237:DA622,92,FALSE)</f>
        <v>6.5259232286405497E-2</v>
      </c>
      <c r="K238" s="415">
        <f>VLOOKUP(A238,'Grondslagen AU 2019'!A$1:DA$361,92,FALSE)</f>
        <v>7.0000000000000007E-2</v>
      </c>
      <c r="L238" s="121">
        <f>+VLOOKUP(A238,'Grondslagen AU 2020'!A$5:DA$360,77,FALSE)</f>
        <v>7.0999999999999994E-2</v>
      </c>
      <c r="M238" s="121">
        <f>+VLOOKUP(A238,'Grondslagen AU 2021'!A$6:DA$357,77,FALSE)</f>
        <v>7.0000000000000007E-2</v>
      </c>
      <c r="N238" s="121">
        <v>7.0000000000000007E-2</v>
      </c>
      <c r="O238" s="416">
        <f t="shared" si="22"/>
        <v>0</v>
      </c>
      <c r="P238" s="121"/>
    </row>
    <row r="239" spans="1:16" x14ac:dyDescent="0.35">
      <c r="A239" s="72">
        <v>637</v>
      </c>
      <c r="B239" s="72">
        <v>8</v>
      </c>
      <c r="D239" s="72" t="s">
        <v>358</v>
      </c>
      <c r="H239" s="415">
        <f t="shared" si="25"/>
        <v>6.9321152873126231</v>
      </c>
      <c r="I239" s="415">
        <f t="shared" si="26"/>
        <v>6.5641654321968979</v>
      </c>
      <c r="J239" s="415">
        <f>VLOOKUP(A239,'Grondslagen AU 2018'!A238:DA623,92,FALSE)</f>
        <v>6.9872391255454298</v>
      </c>
      <c r="K239" s="415">
        <f>VLOOKUP(A239,'Grondslagen AU 2019'!A$1:DA$361,92,FALSE)</f>
        <v>6.88</v>
      </c>
      <c r="L239" s="121">
        <f>+VLOOKUP(A239,'Grondslagen AU 2020'!A$5:DA$360,77,FALSE)</f>
        <v>6.7450000000000001</v>
      </c>
      <c r="M239" s="121">
        <f>+VLOOKUP(A239,'Grondslagen AU 2021'!A$6:DA$357,77,FALSE)</f>
        <v>6.7569999999999997</v>
      </c>
      <c r="N239" s="121">
        <v>6.9</v>
      </c>
      <c r="O239" s="416">
        <f t="shared" si="22"/>
        <v>-0.14300000000000068</v>
      </c>
      <c r="P239" s="121"/>
    </row>
    <row r="240" spans="1:16" x14ac:dyDescent="0.35">
      <c r="A240" s="72">
        <v>638</v>
      </c>
      <c r="B240" s="72">
        <v>8</v>
      </c>
      <c r="D240" s="72" t="s">
        <v>359</v>
      </c>
      <c r="H240" s="415">
        <f t="shared" si="25"/>
        <v>5.2300232840029895E-2</v>
      </c>
      <c r="I240" s="415">
        <f t="shared" si="26"/>
        <v>4.0426424683676181E-2</v>
      </c>
      <c r="J240" s="415">
        <f>VLOOKUP(A240,'Grondslagen AU 2018'!A239:DA624,92,FALSE)</f>
        <v>4.0782300005391701E-2</v>
      </c>
      <c r="K240" s="415">
        <f>VLOOKUP(A240,'Grondslagen AU 2019'!A$1:DA$361,92,FALSE)</f>
        <v>4.2999999999999997E-2</v>
      </c>
      <c r="L240" s="121">
        <f>+VLOOKUP(A240,'Grondslagen AU 2020'!A$5:DA$360,77,FALSE)</f>
        <v>4.3999999999999997E-2</v>
      </c>
      <c r="M240" s="121">
        <f>+VLOOKUP(A240,'Grondslagen AU 2021'!A$6:DA$357,77,FALSE)</f>
        <v>4.3999999999999997E-2</v>
      </c>
      <c r="N240" s="121">
        <v>4.7E-2</v>
      </c>
      <c r="O240" s="416">
        <f t="shared" si="22"/>
        <v>-3.0000000000000027E-3</v>
      </c>
      <c r="P240" s="121"/>
    </row>
    <row r="241" spans="1:16" x14ac:dyDescent="0.35">
      <c r="A241" s="72">
        <v>1892</v>
      </c>
      <c r="B241" s="72">
        <v>8</v>
      </c>
      <c r="D241" s="72" t="s">
        <v>360</v>
      </c>
      <c r="H241" s="415">
        <f t="shared" si="25"/>
        <v>0.66621355076764421</v>
      </c>
      <c r="I241" s="415">
        <f t="shared" si="26"/>
        <v>0.45416113627584836</v>
      </c>
      <c r="J241" s="415">
        <f>VLOOKUP(A241,'Grondslagen AU 2018'!A240:DA625,92,FALSE)</f>
        <v>0.49349708962497202</v>
      </c>
      <c r="K241" s="415">
        <f>VLOOKUP(A241,'Grondslagen AU 2019'!A$1:DA$361,92,FALSE)</f>
        <v>0.61699999999999999</v>
      </c>
      <c r="L241" s="121">
        <f>+VLOOKUP(A241,'Grondslagen AU 2020'!A$5:DA$360,77,FALSE)</f>
        <v>0.48799999999999999</v>
      </c>
      <c r="M241" s="121">
        <f>+VLOOKUP(A241,'Grondslagen AU 2021'!A$6:DA$357,77,FALSE)</f>
        <v>0.53200000000000003</v>
      </c>
      <c r="N241" s="121">
        <v>0.61</v>
      </c>
      <c r="O241" s="416">
        <f t="shared" si="22"/>
        <v>-7.7999999999999958E-2</v>
      </c>
      <c r="P241" s="121"/>
    </row>
    <row r="242" spans="1:16" x14ac:dyDescent="0.35">
      <c r="A242" s="72">
        <v>642</v>
      </c>
      <c r="B242" s="72">
        <v>8</v>
      </c>
      <c r="D242" s="72" t="s">
        <v>364</v>
      </c>
      <c r="H242" s="415">
        <f t="shared" si="25"/>
        <v>2.3227784005305585</v>
      </c>
      <c r="I242" s="415">
        <f t="shared" si="26"/>
        <v>2.4186406631095272</v>
      </c>
      <c r="J242" s="415">
        <f>VLOOKUP(A242,'Grondslagen AU 2018'!A241:DA626,92,FALSE)</f>
        <v>2.4551528856246998</v>
      </c>
      <c r="K242" s="415">
        <f>VLOOKUP(A242,'Grondslagen AU 2019'!A$1:DA$361,92,FALSE)</f>
        <v>2.883</v>
      </c>
      <c r="L242" s="121">
        <f>+VLOOKUP(A242,'Grondslagen AU 2020'!A$5:DA$360,77,FALSE)</f>
        <v>2.84</v>
      </c>
      <c r="M242" s="121">
        <f>+VLOOKUP(A242,'Grondslagen AU 2021'!A$6:DA$357,77,FALSE)</f>
        <v>2.968</v>
      </c>
      <c r="N242" s="121">
        <v>3.1720000000000002</v>
      </c>
      <c r="O242" s="416">
        <f t="shared" si="22"/>
        <v>-0.20400000000000018</v>
      </c>
      <c r="P242" s="121"/>
    </row>
    <row r="243" spans="1:16" x14ac:dyDescent="0.35">
      <c r="A243" s="72">
        <v>654</v>
      </c>
      <c r="B243" s="72">
        <v>9</v>
      </c>
      <c r="D243" s="72" t="s">
        <v>57</v>
      </c>
      <c r="H243" s="415">
        <f t="shared" si="25"/>
        <v>0.25252826665266909</v>
      </c>
      <c r="I243" s="415">
        <f t="shared" si="26"/>
        <v>0.19570332295781387</v>
      </c>
      <c r="J243" s="415">
        <f>VLOOKUP(A243,'Grondslagen AU 2018'!A242:DA627,92,FALSE)</f>
        <v>0.168930167682211</v>
      </c>
      <c r="K243" s="415">
        <f>VLOOKUP(A243,'Grondslagen AU 2019'!A$1:DA$361,92,FALSE)</f>
        <v>0.16</v>
      </c>
      <c r="L243" s="121">
        <f>+VLOOKUP(A243,'Grondslagen AU 2020'!A$5:DA$360,77,FALSE)</f>
        <v>0.218</v>
      </c>
      <c r="M243" s="121">
        <f>+VLOOKUP(A243,'Grondslagen AU 2021'!A$6:DA$357,77,FALSE)</f>
        <v>0.14799999999999999</v>
      </c>
      <c r="N243" s="121">
        <v>0.22500000000000001</v>
      </c>
      <c r="O243" s="416">
        <f t="shared" si="22"/>
        <v>-7.7000000000000013E-2</v>
      </c>
      <c r="P243" s="121"/>
    </row>
    <row r="244" spans="1:16" x14ac:dyDescent="0.35">
      <c r="A244" s="72">
        <v>664</v>
      </c>
      <c r="B244" s="72">
        <v>9</v>
      </c>
      <c r="D244" s="72" t="s">
        <v>116</v>
      </c>
      <c r="H244" s="415">
        <f t="shared" si="25"/>
        <v>1.5680162846018799</v>
      </c>
      <c r="I244" s="415">
        <f t="shared" si="26"/>
        <v>1.6925018603958646</v>
      </c>
      <c r="J244" s="415">
        <f>VLOOKUP(A244,'Grondslagen AU 2018'!A243:DA628,92,FALSE)</f>
        <v>1.6068049681158001</v>
      </c>
      <c r="K244" s="415">
        <f>VLOOKUP(A244,'Grondslagen AU 2019'!A$1:DA$361,92,FALSE)</f>
        <v>1.623</v>
      </c>
      <c r="L244" s="121">
        <f>+VLOOKUP(A244,'Grondslagen AU 2020'!A$5:DA$360,77,FALSE)</f>
        <v>1.7949999999999999</v>
      </c>
      <c r="M244" s="121">
        <f>+VLOOKUP(A244,'Grondslagen AU 2021'!A$6:DA$357,77,FALSE)</f>
        <v>1.8129999999999999</v>
      </c>
      <c r="N244" s="121">
        <v>1.8859999999999999</v>
      </c>
      <c r="O244" s="416">
        <f t="shared" si="22"/>
        <v>-7.2999999999999954E-2</v>
      </c>
      <c r="P244" s="121"/>
    </row>
    <row r="245" spans="1:16" x14ac:dyDescent="0.35">
      <c r="A245" s="72">
        <v>677</v>
      </c>
      <c r="B245" s="72">
        <v>9</v>
      </c>
      <c r="D245" s="72" t="s">
        <v>161</v>
      </c>
      <c r="H245" s="415">
        <f t="shared" si="25"/>
        <v>0.55424146708995092</v>
      </c>
      <c r="I245" s="415">
        <f t="shared" si="26"/>
        <v>0.42436782070621792</v>
      </c>
      <c r="J245" s="415">
        <f>VLOOKUP(A245,'Grondslagen AU 2018'!A244:DA629,92,FALSE)</f>
        <v>0.329029314796141</v>
      </c>
      <c r="K245" s="415">
        <f>VLOOKUP(A245,'Grondslagen AU 2019'!A$1:DA$361,92,FALSE)</f>
        <v>0.443</v>
      </c>
      <c r="L245" s="121">
        <f>+VLOOKUP(A245,'Grondslagen AU 2020'!A$5:DA$360,77,FALSE)</f>
        <v>0.45700000000000002</v>
      </c>
      <c r="M245" s="121">
        <f>+VLOOKUP(A245,'Grondslagen AU 2021'!A$6:DA$357,77,FALSE)</f>
        <v>0.42799999999999999</v>
      </c>
      <c r="N245" s="121">
        <v>0.437</v>
      </c>
      <c r="O245" s="416">
        <f t="shared" si="22"/>
        <v>-9.000000000000008E-3</v>
      </c>
      <c r="P245" s="121"/>
    </row>
    <row r="246" spans="1:16" x14ac:dyDescent="0.35">
      <c r="A246" s="72">
        <v>678</v>
      </c>
      <c r="B246" s="72">
        <v>9</v>
      </c>
      <c r="D246" s="72" t="s">
        <v>165</v>
      </c>
      <c r="H246" s="415">
        <f t="shared" si="25"/>
        <v>7.2142365842169542E-2</v>
      </c>
      <c r="I246" s="415">
        <f t="shared" si="26"/>
        <v>6.0180593596100854E-2</v>
      </c>
      <c r="J246" s="415">
        <f>VLOOKUP(A246,'Grondslagen AU 2018'!A245:DA630,92,FALSE)</f>
        <v>5.9119230452260398E-2</v>
      </c>
      <c r="K246" s="415">
        <f>VLOOKUP(A246,'Grondslagen AU 2019'!A$1:DA$361,92,FALSE)</f>
        <v>6.2E-2</v>
      </c>
      <c r="L246" s="121">
        <f>+VLOOKUP(A246,'Grondslagen AU 2020'!A$5:DA$360,77,FALSE)</f>
        <v>6.3E-2</v>
      </c>
      <c r="M246" s="121">
        <f>+VLOOKUP(A246,'Grondslagen AU 2021'!A$6:DA$357,77,FALSE)</f>
        <v>6.2E-2</v>
      </c>
      <c r="N246" s="121">
        <v>6.3E-2</v>
      </c>
      <c r="O246" s="416">
        <f t="shared" si="22"/>
        <v>-1.0000000000000009E-3</v>
      </c>
      <c r="P246" s="121"/>
    </row>
    <row r="247" spans="1:16" x14ac:dyDescent="0.35">
      <c r="A247" s="72">
        <v>687</v>
      </c>
      <c r="B247" s="72">
        <v>9</v>
      </c>
      <c r="D247" s="72" t="s">
        <v>200</v>
      </c>
      <c r="H247" s="415">
        <f t="shared" si="25"/>
        <v>3.2272466295136986</v>
      </c>
      <c r="I247" s="415">
        <f t="shared" si="26"/>
        <v>3.5435899052408311</v>
      </c>
      <c r="J247" s="415">
        <f>VLOOKUP(A247,'Grondslagen AU 2018'!A246:DA631,92,FALSE)</f>
        <v>3.59393513193353</v>
      </c>
      <c r="K247" s="415">
        <f>VLOOKUP(A247,'Grondslagen AU 2019'!A$1:DA$361,92,FALSE)</f>
        <v>3.625</v>
      </c>
      <c r="L247" s="121">
        <f>+VLOOKUP(A247,'Grondslagen AU 2020'!A$5:DA$360,77,FALSE)</f>
        <v>3.431</v>
      </c>
      <c r="M247" s="121">
        <f>+VLOOKUP(A247,'Grondslagen AU 2021'!A$6:DA$357,77,FALSE)</f>
        <v>3.4119999999999999</v>
      </c>
      <c r="N247" s="121">
        <v>3.5409999999999999</v>
      </c>
      <c r="O247" s="416">
        <f t="shared" si="22"/>
        <v>-0.129</v>
      </c>
      <c r="P247" s="121"/>
    </row>
    <row r="248" spans="1:16" x14ac:dyDescent="0.35">
      <c r="A248" s="72">
        <v>1695</v>
      </c>
      <c r="B248" s="72">
        <v>9</v>
      </c>
      <c r="D248" s="72" t="s">
        <v>218</v>
      </c>
      <c r="H248" s="415">
        <f t="shared" si="25"/>
        <v>0.20407925506778579</v>
      </c>
      <c r="I248" s="415">
        <f t="shared" si="26"/>
        <v>0.18370186975088509</v>
      </c>
      <c r="J248" s="415">
        <f>VLOOKUP(A248,'Grondslagen AU 2018'!A247:DA632,92,FALSE)</f>
        <v>0.19898453691760501</v>
      </c>
      <c r="K248" s="415">
        <f>VLOOKUP(A248,'Grondslagen AU 2019'!A$1:DA$361,92,FALSE)</f>
        <v>0.18099999999999999</v>
      </c>
      <c r="L248" s="121">
        <f>+VLOOKUP(A248,'Grondslagen AU 2020'!A$5:DA$360,77,FALSE)</f>
        <v>0.19500000000000001</v>
      </c>
      <c r="M248" s="121">
        <f>+VLOOKUP(A248,'Grondslagen AU 2021'!A$6:DA$357,77,FALSE)</f>
        <v>0.217</v>
      </c>
      <c r="N248" s="121">
        <v>0.22900000000000001</v>
      </c>
      <c r="O248" s="416">
        <f t="shared" si="22"/>
        <v>-1.2000000000000011E-2</v>
      </c>
      <c r="P248" s="121"/>
    </row>
    <row r="249" spans="1:16" x14ac:dyDescent="0.35">
      <c r="A249" s="72">
        <v>703</v>
      </c>
      <c r="B249" s="72">
        <v>9</v>
      </c>
      <c r="D249" s="72" t="s">
        <v>250</v>
      </c>
      <c r="H249" s="415">
        <f t="shared" si="25"/>
        <v>0.23376065230008231</v>
      </c>
      <c r="I249" s="415">
        <f t="shared" si="26"/>
        <v>0.18964383827156886</v>
      </c>
      <c r="J249" s="415">
        <f>VLOOKUP(A249,'Grondslagen AU 2018'!A248:DA633,92,FALSE)</f>
        <v>0.24851042369405801</v>
      </c>
      <c r="K249" s="415">
        <f>VLOOKUP(A249,'Grondslagen AU 2019'!A$1:DA$361,92,FALSE)</f>
        <v>0.35299999999999998</v>
      </c>
      <c r="L249" s="121">
        <f>+VLOOKUP(A249,'Grondslagen AU 2020'!A$5:DA$360,77,FALSE)</f>
        <v>0.34699999999999998</v>
      </c>
      <c r="M249" s="121">
        <f>+VLOOKUP(A249,'Grondslagen AU 2021'!A$6:DA$357,77,FALSE)</f>
        <v>0.251</v>
      </c>
      <c r="N249" s="121">
        <v>0.27300000000000002</v>
      </c>
      <c r="O249" s="416">
        <f t="shared" si="22"/>
        <v>-2.200000000000002E-2</v>
      </c>
      <c r="P249" s="121"/>
    </row>
    <row r="250" spans="1:16" x14ac:dyDescent="0.35">
      <c r="A250" s="72">
        <v>1676</v>
      </c>
      <c r="B250" s="72">
        <v>9</v>
      </c>
      <c r="D250" s="72" t="s">
        <v>269</v>
      </c>
      <c r="H250" s="415">
        <f t="shared" si="25"/>
        <v>0.72931579692321791</v>
      </c>
      <c r="I250" s="415">
        <f t="shared" si="26"/>
        <v>0.70138814278089423</v>
      </c>
      <c r="J250" s="415">
        <f>VLOOKUP(A250,'Grondslagen AU 2018'!A249:DA634,92,FALSE)</f>
        <v>0.76053078314425304</v>
      </c>
      <c r="K250" s="415">
        <f>VLOOKUP(A250,'Grondslagen AU 2019'!A$1:DA$361,92,FALSE)</f>
        <v>0.79800000000000004</v>
      </c>
      <c r="L250" s="121">
        <f>+VLOOKUP(A250,'Grondslagen AU 2020'!A$5:DA$360,77,FALSE)</f>
        <v>0.875</v>
      </c>
      <c r="M250" s="121">
        <f>+VLOOKUP(A250,'Grondslagen AU 2021'!A$6:DA$357,77,FALSE)</f>
        <v>0.84199999999999997</v>
      </c>
      <c r="N250" s="121">
        <v>0.82399999999999995</v>
      </c>
      <c r="O250" s="416">
        <f t="shared" si="22"/>
        <v>1.8000000000000016E-2</v>
      </c>
      <c r="P250" s="121"/>
    </row>
    <row r="251" spans="1:16" x14ac:dyDescent="0.35">
      <c r="A251" s="72">
        <v>1714</v>
      </c>
      <c r="B251" s="72">
        <v>9</v>
      </c>
      <c r="D251" s="72" t="s">
        <v>277</v>
      </c>
      <c r="H251" s="415">
        <f t="shared" si="25"/>
        <v>0.60490353160862176</v>
      </c>
      <c r="I251" s="415">
        <f t="shared" si="26"/>
        <v>0.53690478301194011</v>
      </c>
      <c r="J251" s="415">
        <f>VLOOKUP(A251,'Grondslagen AU 2018'!A250:DA635,92,FALSE)</f>
        <v>0.56915931459406</v>
      </c>
      <c r="K251" s="415">
        <f>VLOOKUP(A251,'Grondslagen AU 2019'!A$1:DA$361,92,FALSE)</f>
        <v>0.45700000000000002</v>
      </c>
      <c r="L251" s="121">
        <f>+VLOOKUP(A251,'Grondslagen AU 2020'!A$5:DA$360,77,FALSE)</f>
        <v>0.48</v>
      </c>
      <c r="M251" s="121">
        <f>+VLOOKUP(A251,'Grondslagen AU 2021'!A$6:DA$357,77,FALSE)</f>
        <v>0.56399999999999995</v>
      </c>
      <c r="N251" s="121">
        <v>0.65500000000000003</v>
      </c>
      <c r="O251" s="416">
        <f t="shared" si="22"/>
        <v>-9.1000000000000081E-2</v>
      </c>
      <c r="P251" s="121"/>
    </row>
    <row r="252" spans="1:16" x14ac:dyDescent="0.35">
      <c r="A252" s="72">
        <v>715</v>
      </c>
      <c r="B252" s="72">
        <v>9</v>
      </c>
      <c r="D252" s="72" t="s">
        <v>290</v>
      </c>
      <c r="H252" s="415">
        <f t="shared" si="25"/>
        <v>2.5707107234719486</v>
      </c>
      <c r="I252" s="415">
        <f t="shared" si="26"/>
        <v>2.5117995920275753</v>
      </c>
      <c r="J252" s="415">
        <f>VLOOKUP(A252,'Grondslagen AU 2018'!A251:DA636,92,FALSE)</f>
        <v>2.4438408833159202</v>
      </c>
      <c r="K252" s="415">
        <f>VLOOKUP(A252,'Grondslagen AU 2019'!A$1:DA$361,92,FALSE)</f>
        <v>2.4260000000000002</v>
      </c>
      <c r="L252" s="121">
        <f>+VLOOKUP(A252,'Grondslagen AU 2020'!A$5:DA$360,77,FALSE)</f>
        <v>2.4500000000000002</v>
      </c>
      <c r="M252" s="121">
        <f>+VLOOKUP(A252,'Grondslagen AU 2021'!A$6:DA$357,77,FALSE)</f>
        <v>2.552</v>
      </c>
      <c r="N252" s="121">
        <v>2.2370000000000001</v>
      </c>
      <c r="O252" s="416">
        <f t="shared" si="22"/>
        <v>0.31499999999999995</v>
      </c>
      <c r="P252" s="121"/>
    </row>
    <row r="253" spans="1:16" x14ac:dyDescent="0.35">
      <c r="A253" s="72">
        <v>716</v>
      </c>
      <c r="B253" s="72">
        <v>9</v>
      </c>
      <c r="D253" s="72" t="s">
        <v>294</v>
      </c>
      <c r="H253" s="415">
        <f t="shared" si="25"/>
        <v>0.50729041114738571</v>
      </c>
      <c r="I253" s="415">
        <f t="shared" si="26"/>
        <v>0.59837156605455821</v>
      </c>
      <c r="J253" s="415">
        <f>VLOOKUP(A253,'Grondslagen AU 2018'!A252:DA637,92,FALSE)</f>
        <v>0.52445161265178397</v>
      </c>
      <c r="K253" s="415">
        <f>VLOOKUP(A253,'Grondslagen AU 2019'!A$1:DA$361,92,FALSE)</f>
        <v>0.51200000000000001</v>
      </c>
      <c r="L253" s="121">
        <f>+VLOOKUP(A253,'Grondslagen AU 2020'!A$5:DA$360,77,FALSE)</f>
        <v>0.505</v>
      </c>
      <c r="M253" s="121">
        <f>+VLOOKUP(A253,'Grondslagen AU 2021'!A$6:DA$357,77,FALSE)</f>
        <v>0.52900000000000003</v>
      </c>
      <c r="N253" s="121">
        <v>0.46100000000000002</v>
      </c>
      <c r="O253" s="416">
        <f t="shared" si="22"/>
        <v>6.8000000000000005E-2</v>
      </c>
      <c r="P253" s="121"/>
    </row>
    <row r="254" spans="1:16" x14ac:dyDescent="0.35">
      <c r="A254" s="72">
        <v>717</v>
      </c>
      <c r="B254" s="72">
        <v>9</v>
      </c>
      <c r="D254" s="72" t="s">
        <v>312</v>
      </c>
      <c r="H254" s="415">
        <f t="shared" si="25"/>
        <v>0.18517319954659911</v>
      </c>
      <c r="I254" s="415">
        <f t="shared" si="26"/>
        <v>0.19054523943961793</v>
      </c>
      <c r="J254" s="415">
        <f>VLOOKUP(A254,'Grondslagen AU 2018'!A253:DA638,92,FALSE)</f>
        <v>0.22688866597384399</v>
      </c>
      <c r="K254" s="415">
        <f>VLOOKUP(A254,'Grondslagen AU 2019'!A$1:DA$361,92,FALSE)</f>
        <v>0.10100000000000001</v>
      </c>
      <c r="L254" s="121">
        <f>+VLOOKUP(A254,'Grondslagen AU 2020'!A$5:DA$360,77,FALSE)</f>
        <v>0.10199999999999999</v>
      </c>
      <c r="M254" s="121">
        <f>+VLOOKUP(A254,'Grondslagen AU 2021'!A$6:DA$357,77,FALSE)</f>
        <v>0.11700000000000001</v>
      </c>
      <c r="N254" s="121">
        <v>0.19700000000000001</v>
      </c>
      <c r="O254" s="416">
        <f t="shared" si="22"/>
        <v>-0.08</v>
      </c>
      <c r="P254" s="121"/>
    </row>
    <row r="255" spans="1:16" x14ac:dyDescent="0.35">
      <c r="A255" s="72">
        <v>718</v>
      </c>
      <c r="B255" s="72">
        <v>9</v>
      </c>
      <c r="D255" s="72" t="s">
        <v>320</v>
      </c>
      <c r="H255" s="415">
        <f t="shared" si="25"/>
        <v>5.0408727402628699</v>
      </c>
      <c r="I255" s="415">
        <f t="shared" si="26"/>
        <v>5.5162453141341601</v>
      </c>
      <c r="J255" s="415">
        <f>VLOOKUP(A255,'Grondslagen AU 2018'!A254:DA639,92,FALSE)</f>
        <v>5.67590754751508</v>
      </c>
      <c r="K255" s="415">
        <f>VLOOKUP(A255,'Grondslagen AU 2019'!A$1:DA$361,92,FALSE)</f>
        <v>5.1890000000000001</v>
      </c>
      <c r="L255" s="121">
        <f>+VLOOKUP(A255,'Grondslagen AU 2020'!A$5:DA$360,77,FALSE)</f>
        <v>5.0030000000000001</v>
      </c>
      <c r="M255" s="121">
        <f>+VLOOKUP(A255,'Grondslagen AU 2021'!A$6:DA$357,77,FALSE)</f>
        <v>5.0529999999999999</v>
      </c>
      <c r="N255" s="121">
        <v>4.9930000000000003</v>
      </c>
      <c r="O255" s="416">
        <f t="shared" si="22"/>
        <v>5.9999999999999609E-2</v>
      </c>
      <c r="P255" s="121"/>
    </row>
    <row r="256" spans="1:16" x14ac:dyDescent="0.35">
      <c r="A256" s="72">
        <v>1723</v>
      </c>
      <c r="B256" s="72">
        <v>10</v>
      </c>
      <c r="D256" s="72" t="s">
        <v>21</v>
      </c>
      <c r="H256" s="415">
        <f t="shared" si="25"/>
        <v>5.6219423687369943E-2</v>
      </c>
      <c r="I256" s="415">
        <f t="shared" si="26"/>
        <v>4.8390828183999215E-2</v>
      </c>
      <c r="J256" s="415">
        <f>VLOOKUP(A256,'Grondslagen AU 2018'!A255:DA640,92,FALSE)</f>
        <v>4.8040038950795699E-2</v>
      </c>
      <c r="K256" s="415">
        <f>VLOOKUP(A256,'Grondslagen AU 2019'!A$1:DA$361,92,FALSE)</f>
        <v>0.05</v>
      </c>
      <c r="L256" s="121">
        <f>+VLOOKUP(A256,'Grondslagen AU 2020'!A$5:DA$360,77,FALSE)</f>
        <v>5.0999999999999997E-2</v>
      </c>
      <c r="M256" s="121">
        <f>+VLOOKUP(A256,'Grondslagen AU 2021'!A$6:DA$357,77,FALSE)</f>
        <v>0.05</v>
      </c>
      <c r="N256" s="121">
        <v>0.05</v>
      </c>
      <c r="O256" s="416">
        <f t="shared" si="22"/>
        <v>0</v>
      </c>
      <c r="P256" s="121"/>
    </row>
    <row r="257" spans="1:16" x14ac:dyDescent="0.35">
      <c r="A257" s="72">
        <v>1959</v>
      </c>
      <c r="B257" s="72">
        <v>10</v>
      </c>
      <c r="D257" s="72" t="s">
        <v>22</v>
      </c>
      <c r="H257" s="415">
        <f>+F631+F691+F693</f>
        <v>0.34480418013475095</v>
      </c>
      <c r="I257" s="415">
        <f>+G631+G691+G693</f>
        <v>0.30322774043428852</v>
      </c>
      <c r="J257" s="415">
        <f>+H631+H691+H693</f>
        <v>0.28238111364976481</v>
      </c>
      <c r="K257" s="415">
        <f>VLOOKUP(A257,'Grondslagen AU 2019'!A$1:DA$361,92,FALSE)</f>
        <v>0.27500000000000002</v>
      </c>
      <c r="L257" s="121">
        <f>+VLOOKUP(A257,'Grondslagen AU 2020'!A$5:DA$360,77,FALSE)</f>
        <v>0.32500000000000001</v>
      </c>
      <c r="M257" s="121">
        <f>+VLOOKUP(A257,'Grondslagen AU 2021'!A$6:DA$357,77,FALSE)</f>
        <v>0.38200000000000001</v>
      </c>
      <c r="N257" s="121">
        <v>0.28299999999999997</v>
      </c>
      <c r="O257" s="416">
        <f t="shared" si="22"/>
        <v>9.9000000000000032E-2</v>
      </c>
      <c r="P257" s="121"/>
    </row>
    <row r="258" spans="1:16" x14ac:dyDescent="0.35">
      <c r="A258" s="72">
        <v>743</v>
      </c>
      <c r="B258" s="72">
        <v>10</v>
      </c>
      <c r="D258" s="72" t="s">
        <v>31</v>
      </c>
      <c r="H258" s="415">
        <f t="shared" ref="H258:H285" si="27">VLOOKUP(A258,A$353:F$734,6,FALSE)</f>
        <v>0.20798860316107812</v>
      </c>
      <c r="I258" s="415">
        <f t="shared" ref="I258:I285" si="28">VLOOKUP(A258,A$353:G$734,7,FALSE)</f>
        <v>0.17794132439826454</v>
      </c>
      <c r="J258" s="415">
        <f>VLOOKUP(A258,'Grondslagen AU 2018'!A257:DA642,92,FALSE)</f>
        <v>0.16307502244168701</v>
      </c>
      <c r="K258" s="415">
        <f>VLOOKUP(A258,'Grondslagen AU 2019'!A$1:DA$361,92,FALSE)</f>
        <v>0.27600000000000002</v>
      </c>
      <c r="L258" s="121">
        <f>+VLOOKUP(A258,'Grondslagen AU 2020'!A$5:DA$360,77,FALSE)</f>
        <v>0.26700000000000002</v>
      </c>
      <c r="M258" s="121">
        <f>+VLOOKUP(A258,'Grondslagen AU 2021'!A$6:DA$357,77,FALSE)</f>
        <v>0.20399999999999999</v>
      </c>
      <c r="N258" s="121">
        <v>0.222</v>
      </c>
      <c r="O258" s="416">
        <f t="shared" si="22"/>
        <v>-1.8000000000000016E-2</v>
      </c>
      <c r="P258" s="121"/>
    </row>
    <row r="259" spans="1:16" x14ac:dyDescent="0.35">
      <c r="A259" s="72">
        <v>744</v>
      </c>
      <c r="B259" s="72">
        <v>10</v>
      </c>
      <c r="D259" s="72" t="s">
        <v>32</v>
      </c>
      <c r="H259" s="415">
        <f t="shared" si="27"/>
        <v>0.13242212187406693</v>
      </c>
      <c r="I259" s="415">
        <f t="shared" si="28"/>
        <v>0.12728687723062129</v>
      </c>
      <c r="J259" s="415">
        <f>VLOOKUP(A259,'Grondslagen AU 2018'!A258:DA643,92,FALSE)</f>
        <v>0.14552864961748199</v>
      </c>
      <c r="K259" s="415">
        <f>VLOOKUP(A259,'Grondslagen AU 2019'!A$1:DA$361,92,FALSE)</f>
        <v>0.14499999999999999</v>
      </c>
      <c r="L259" s="121">
        <f>+VLOOKUP(A259,'Grondslagen AU 2020'!A$5:DA$360,77,FALSE)</f>
        <v>0.14899999999999999</v>
      </c>
      <c r="M259" s="121">
        <f>+VLOOKUP(A259,'Grondslagen AU 2021'!A$6:DA$357,77,FALSE)</f>
        <v>0.159</v>
      </c>
      <c r="N259" s="121">
        <v>0.158</v>
      </c>
      <c r="O259" s="416">
        <f t="shared" si="22"/>
        <v>1.0000000000000009E-3</v>
      </c>
      <c r="P259" s="121"/>
    </row>
    <row r="260" spans="1:16" x14ac:dyDescent="0.35">
      <c r="A260" s="72">
        <v>1724</v>
      </c>
      <c r="B260" s="72">
        <v>10</v>
      </c>
      <c r="D260" s="72" t="s">
        <v>41</v>
      </c>
      <c r="H260" s="415">
        <f t="shared" si="27"/>
        <v>0.12936471899251856</v>
      </c>
      <c r="I260" s="415">
        <f t="shared" si="28"/>
        <v>8.8756047077086758E-2</v>
      </c>
      <c r="J260" s="415">
        <f>VLOOKUP(A260,'Grondslagen AU 2018'!A259:DA644,92,FALSE)</f>
        <v>8.8036902067194694E-2</v>
      </c>
      <c r="K260" s="415">
        <f>VLOOKUP(A260,'Grondslagen AU 2019'!A$1:DA$361,92,FALSE)</f>
        <v>9.2999999999999999E-2</v>
      </c>
      <c r="L260" s="121">
        <f>+VLOOKUP(A260,'Grondslagen AU 2020'!A$5:DA$360,77,FALSE)</f>
        <v>9.5000000000000001E-2</v>
      </c>
      <c r="M260" s="121">
        <f>+VLOOKUP(A260,'Grondslagen AU 2021'!A$6:DA$357,77,FALSE)</f>
        <v>9.1999999999999998E-2</v>
      </c>
      <c r="N260" s="121">
        <v>9.4E-2</v>
      </c>
      <c r="O260" s="416">
        <f t="shared" si="22"/>
        <v>-2.0000000000000018E-3</v>
      </c>
      <c r="P260" s="121"/>
    </row>
    <row r="261" spans="1:16" x14ac:dyDescent="0.35">
      <c r="A261" s="72">
        <v>748</v>
      </c>
      <c r="B261" s="72">
        <v>10</v>
      </c>
      <c r="D261" s="72" t="s">
        <v>44</v>
      </c>
      <c r="H261" s="415">
        <f t="shared" si="27"/>
        <v>4.6196474055522536</v>
      </c>
      <c r="I261" s="415">
        <f t="shared" si="28"/>
        <v>4.7318033620739497</v>
      </c>
      <c r="J261" s="415">
        <f>VLOOKUP(A261,'Grondslagen AU 2018'!A260:DA645,92,FALSE)</f>
        <v>4.6091804955747397</v>
      </c>
      <c r="K261" s="415">
        <f>VLOOKUP(A261,'Grondslagen AU 2019'!A$1:DA$361,92,FALSE)</f>
        <v>5.0209999999999999</v>
      </c>
      <c r="L261" s="121">
        <f>+VLOOKUP(A261,'Grondslagen AU 2020'!A$5:DA$360,77,FALSE)</f>
        <v>5.3330000000000002</v>
      </c>
      <c r="M261" s="121">
        <f>+VLOOKUP(A261,'Grondslagen AU 2021'!A$6:DA$357,77,FALSE)</f>
        <v>5.524</v>
      </c>
      <c r="N261" s="121">
        <v>5.2519999999999998</v>
      </c>
      <c r="O261" s="416">
        <f t="shared" si="22"/>
        <v>0.27200000000000024</v>
      </c>
      <c r="P261" s="121"/>
    </row>
    <row r="262" spans="1:16" x14ac:dyDescent="0.35">
      <c r="A262" s="72">
        <v>1721</v>
      </c>
      <c r="B262" s="72">
        <v>10</v>
      </c>
      <c r="D262" s="72" t="s">
        <v>46</v>
      </c>
      <c r="H262" s="415">
        <f t="shared" si="27"/>
        <v>0.18660849639536403</v>
      </c>
      <c r="I262" s="415">
        <f t="shared" si="28"/>
        <v>0.14501181935170271</v>
      </c>
      <c r="J262" s="415">
        <f>VLOOKUP(A262,'Grondslagen AU 2018'!A261:DA646,92,FALSE)</f>
        <v>0.14538889951922099</v>
      </c>
      <c r="K262" s="415">
        <f>VLOOKUP(A262,'Grondslagen AU 2019'!A$1:DA$361,92,FALSE)</f>
        <v>0.155</v>
      </c>
      <c r="L262" s="121">
        <f>+VLOOKUP(A262,'Grondslagen AU 2020'!A$5:DA$360,77,FALSE)</f>
        <v>0.17199999999999999</v>
      </c>
      <c r="M262" s="121">
        <f>+VLOOKUP(A262,'Grondslagen AU 2021'!A$6:DA$357,77,FALSE)</f>
        <v>0.155</v>
      </c>
      <c r="N262" s="121">
        <v>0.21</v>
      </c>
      <c r="O262" s="416">
        <f t="shared" ref="O262:O325" si="29">+M262-N262</f>
        <v>-5.4999999999999993E-2</v>
      </c>
      <c r="P262" s="121"/>
    </row>
    <row r="263" spans="1:16" x14ac:dyDescent="0.35">
      <c r="A263" s="72">
        <v>753</v>
      </c>
      <c r="B263" s="72">
        <v>10</v>
      </c>
      <c r="D263" s="72" t="s">
        <v>47</v>
      </c>
      <c r="H263" s="415">
        <f t="shared" si="27"/>
        <v>0.54482333711420194</v>
      </c>
      <c r="I263" s="415">
        <f t="shared" si="28"/>
        <v>0.5524031394155271</v>
      </c>
      <c r="J263" s="415">
        <f>VLOOKUP(A263,'Grondslagen AU 2018'!A262:DA647,92,FALSE)</f>
        <v>0.44211062827872399</v>
      </c>
      <c r="K263" s="415">
        <f>VLOOKUP(A263,'Grondslagen AU 2019'!A$1:DA$361,92,FALSE)</f>
        <v>0.42899999999999999</v>
      </c>
      <c r="L263" s="121">
        <f>+VLOOKUP(A263,'Grondslagen AU 2020'!A$5:DA$360,77,FALSE)</f>
        <v>0.58399999999999996</v>
      </c>
      <c r="M263" s="121">
        <f>+VLOOKUP(A263,'Grondslagen AU 2021'!A$6:DA$357,77,FALSE)</f>
        <v>0.54100000000000004</v>
      </c>
      <c r="N263" s="121">
        <v>0.438</v>
      </c>
      <c r="O263" s="416">
        <f t="shared" si="29"/>
        <v>0.10300000000000004</v>
      </c>
      <c r="P263" s="121"/>
    </row>
    <row r="264" spans="1:16" x14ac:dyDescent="0.35">
      <c r="A264" s="72">
        <v>1728</v>
      </c>
      <c r="B264" s="72">
        <v>10</v>
      </c>
      <c r="D264" s="72" t="s">
        <v>50</v>
      </c>
      <c r="H264" s="415">
        <f t="shared" si="27"/>
        <v>0.12629094673173541</v>
      </c>
      <c r="I264" s="415">
        <f t="shared" si="28"/>
        <v>9.7577331645648177E-2</v>
      </c>
      <c r="J264" s="415">
        <f>VLOOKUP(A264,'Grondslagen AU 2018'!A263:DA648,92,FALSE)</f>
        <v>9.6351959901627302E-2</v>
      </c>
      <c r="K264" s="415">
        <f>VLOOKUP(A264,'Grondslagen AU 2019'!A$1:DA$361,92,FALSE)</f>
        <v>0.10100000000000001</v>
      </c>
      <c r="L264" s="121">
        <f>+VLOOKUP(A264,'Grondslagen AU 2020'!A$5:DA$360,77,FALSE)</f>
        <v>0.104</v>
      </c>
      <c r="M264" s="121">
        <f>+VLOOKUP(A264,'Grondslagen AU 2021'!A$6:DA$357,77,FALSE)</f>
        <v>0.10199999999999999</v>
      </c>
      <c r="N264" s="121">
        <v>0.10299999999999999</v>
      </c>
      <c r="O264" s="416">
        <f t="shared" si="29"/>
        <v>-1.0000000000000009E-3</v>
      </c>
      <c r="P264" s="121"/>
    </row>
    <row r="265" spans="1:16" x14ac:dyDescent="0.35">
      <c r="A265" s="72">
        <v>755</v>
      </c>
      <c r="B265" s="72">
        <v>10</v>
      </c>
      <c r="D265" s="72" t="s">
        <v>54</v>
      </c>
      <c r="H265" s="415">
        <f t="shared" si="27"/>
        <v>0.10797554213293729</v>
      </c>
      <c r="I265" s="415">
        <f t="shared" si="28"/>
        <v>5.0854361255184589E-2</v>
      </c>
      <c r="J265" s="415">
        <f>VLOOKUP(A265,'Grondslagen AU 2018'!A264:DA649,92,FALSE)</f>
        <v>5.5198894595212801E-2</v>
      </c>
      <c r="K265" s="415">
        <f>VLOOKUP(A265,'Grondslagen AU 2019'!A$1:DA$361,92,FALSE)</f>
        <v>6.8000000000000005E-2</v>
      </c>
      <c r="L265" s="121">
        <f>+VLOOKUP(A265,'Grondslagen AU 2020'!A$5:DA$360,77,FALSE)</f>
        <v>5.6000000000000001E-2</v>
      </c>
      <c r="M265" s="121">
        <f>+VLOOKUP(A265,'Grondslagen AU 2021'!A$6:DA$357,77,FALSE)</f>
        <v>5.6000000000000001E-2</v>
      </c>
      <c r="N265" s="121">
        <v>5.6000000000000001E-2</v>
      </c>
      <c r="O265" s="416">
        <f t="shared" si="29"/>
        <v>0</v>
      </c>
      <c r="P265" s="121"/>
    </row>
    <row r="266" spans="1:16" x14ac:dyDescent="0.35">
      <c r="A266" s="72">
        <v>757</v>
      </c>
      <c r="B266" s="72">
        <v>10</v>
      </c>
      <c r="D266" s="72" t="s">
        <v>59</v>
      </c>
      <c r="H266" s="415">
        <f t="shared" si="27"/>
        <v>0.603216920206472</v>
      </c>
      <c r="I266" s="415">
        <f t="shared" si="28"/>
        <v>0.47762058591096956</v>
      </c>
      <c r="J266" s="415">
        <f>VLOOKUP(A266,'Grondslagen AU 2018'!A266:DA651,92,FALSE)</f>
        <v>0.40405063618654502</v>
      </c>
      <c r="K266" s="415">
        <f>VLOOKUP(A266,'Grondslagen AU 2019'!A$1:DA$361,92,FALSE)</f>
        <v>0.56699999999999995</v>
      </c>
      <c r="L266" s="121">
        <f>+VLOOKUP(A266,'Grondslagen AU 2020'!A$5:DA$360,77,FALSE)</f>
        <v>0.69</v>
      </c>
      <c r="M266" s="121">
        <f>+VLOOKUP(A266,'Grondslagen AU 2021'!A$6:DA$357,77,FALSE)</f>
        <v>0.59699999999999998</v>
      </c>
      <c r="N266" s="121">
        <v>0.56000000000000005</v>
      </c>
      <c r="O266" s="416">
        <f t="shared" si="29"/>
        <v>3.6999999999999922E-2</v>
      </c>
      <c r="P266" s="121"/>
    </row>
    <row r="267" spans="1:16" x14ac:dyDescent="0.35">
      <c r="A267" s="72">
        <v>758</v>
      </c>
      <c r="B267" s="72">
        <v>10</v>
      </c>
      <c r="D267" s="72" t="s">
        <v>60</v>
      </c>
      <c r="H267" s="415">
        <f t="shared" si="27"/>
        <v>10.390034475120354</v>
      </c>
      <c r="I267" s="415">
        <f t="shared" si="28"/>
        <v>10.598094150752901</v>
      </c>
      <c r="J267" s="415">
        <f>VLOOKUP(A267,'Grondslagen AU 2018'!A267:DA652,92,FALSE)</f>
        <v>10.9633073581731</v>
      </c>
      <c r="K267" s="415">
        <f>VLOOKUP(A267,'Grondslagen AU 2019'!A$1:DA$361,92,FALSE)</f>
        <v>11.081</v>
      </c>
      <c r="L267" s="121">
        <f>+VLOOKUP(A267,'Grondslagen AU 2020'!A$5:DA$360,77,FALSE)</f>
        <v>10.393000000000001</v>
      </c>
      <c r="M267" s="121">
        <f>+VLOOKUP(A267,'Grondslagen AU 2021'!A$6:DA$357,77,FALSE)</f>
        <v>10.586</v>
      </c>
      <c r="N267" s="121">
        <v>10.537000000000001</v>
      </c>
      <c r="O267" s="416">
        <f t="shared" si="29"/>
        <v>4.8999999999999488E-2</v>
      </c>
      <c r="P267" s="121"/>
    </row>
    <row r="268" spans="1:16" x14ac:dyDescent="0.35">
      <c r="A268" s="72">
        <v>1706</v>
      </c>
      <c r="B268" s="72">
        <v>10</v>
      </c>
      <c r="D268" s="72" t="s">
        <v>71</v>
      </c>
      <c r="H268" s="415">
        <f t="shared" si="27"/>
        <v>0.34729171605732156</v>
      </c>
      <c r="I268" s="415">
        <f t="shared" si="28"/>
        <v>0.23348523270594548</v>
      </c>
      <c r="J268" s="415">
        <f>VLOOKUP(A268,'Grondslagen AU 2018'!A268:DA653,92,FALSE)</f>
        <v>0.27913990070005901</v>
      </c>
      <c r="K268" s="415">
        <f>VLOOKUP(A268,'Grondslagen AU 2019'!A$1:DA$361,92,FALSE)</f>
        <v>0.42299999999999999</v>
      </c>
      <c r="L268" s="121">
        <f>+VLOOKUP(A268,'Grondslagen AU 2020'!A$5:DA$360,77,FALSE)</f>
        <v>0.38600000000000001</v>
      </c>
      <c r="M268" s="121">
        <f>+VLOOKUP(A268,'Grondslagen AU 2021'!A$6:DA$357,77,FALSE)</f>
        <v>0.27100000000000002</v>
      </c>
      <c r="N268" s="121">
        <v>0.32400000000000001</v>
      </c>
      <c r="O268" s="416">
        <f t="shared" si="29"/>
        <v>-5.2999999999999992E-2</v>
      </c>
      <c r="P268" s="121"/>
    </row>
    <row r="269" spans="1:16" x14ac:dyDescent="0.35">
      <c r="A269" s="72">
        <v>762</v>
      </c>
      <c r="B269" s="72">
        <v>10</v>
      </c>
      <c r="D269" s="72" t="s">
        <v>83</v>
      </c>
      <c r="H269" s="415">
        <f t="shared" si="27"/>
        <v>0.56501291325011782</v>
      </c>
      <c r="I269" s="415">
        <f t="shared" si="28"/>
        <v>0.45852605587565226</v>
      </c>
      <c r="J269" s="415">
        <f>VLOOKUP(A269,'Grondslagen AU 2018'!A270:DA655,92,FALSE)</f>
        <v>0.55516315607738398</v>
      </c>
      <c r="K269" s="415">
        <f>VLOOKUP(A269,'Grondslagen AU 2019'!A$1:DA$361,92,FALSE)</f>
        <v>0.58399999999999996</v>
      </c>
      <c r="L269" s="121">
        <f>+VLOOKUP(A269,'Grondslagen AU 2020'!A$5:DA$360,77,FALSE)</f>
        <v>0.50600000000000001</v>
      </c>
      <c r="M269" s="121">
        <f>+VLOOKUP(A269,'Grondslagen AU 2021'!A$6:DA$357,77,FALSE)</f>
        <v>0.46100000000000002</v>
      </c>
      <c r="N269" s="121">
        <v>0.438</v>
      </c>
      <c r="O269" s="416">
        <f t="shared" si="29"/>
        <v>2.300000000000002E-2</v>
      </c>
      <c r="P269" s="121"/>
    </row>
    <row r="270" spans="1:16" x14ac:dyDescent="0.35">
      <c r="A270" s="72">
        <v>766</v>
      </c>
      <c r="B270" s="72">
        <v>10</v>
      </c>
      <c r="D270" s="72" t="s">
        <v>89</v>
      </c>
      <c r="H270" s="415">
        <f t="shared" si="27"/>
        <v>0.33658912421563514</v>
      </c>
      <c r="I270" s="415">
        <f t="shared" si="28"/>
        <v>0.31215744138365892</v>
      </c>
      <c r="J270" s="415">
        <f>VLOOKUP(A270,'Grondslagen AU 2018'!A271:DA656,92,FALSE)</f>
        <v>0.28232399331320701</v>
      </c>
      <c r="K270" s="415">
        <f>VLOOKUP(A270,'Grondslagen AU 2019'!A$1:DA$361,92,FALSE)</f>
        <v>0.36199999999999999</v>
      </c>
      <c r="L270" s="121">
        <f>+VLOOKUP(A270,'Grondslagen AU 2020'!A$5:DA$360,77,FALSE)</f>
        <v>0.44</v>
      </c>
      <c r="M270" s="121">
        <f>+VLOOKUP(A270,'Grondslagen AU 2021'!A$6:DA$357,77,FALSE)</f>
        <v>0.47399999999999998</v>
      </c>
      <c r="N270" s="121">
        <v>0.42699999999999999</v>
      </c>
      <c r="O270" s="416">
        <f t="shared" si="29"/>
        <v>4.6999999999999986E-2</v>
      </c>
      <c r="P270" s="121"/>
    </row>
    <row r="271" spans="1:16" x14ac:dyDescent="0.35">
      <c r="A271" s="72">
        <v>1719</v>
      </c>
      <c r="B271" s="72">
        <v>10</v>
      </c>
      <c r="D271" s="72" t="s">
        <v>92</v>
      </c>
      <c r="H271" s="415">
        <f t="shared" si="27"/>
        <v>0.19333737371145185</v>
      </c>
      <c r="I271" s="415">
        <f t="shared" si="28"/>
        <v>0.13232691925224502</v>
      </c>
      <c r="J271" s="415">
        <f>VLOOKUP(A271,'Grondslagen AU 2018'!A272:DA657,92,FALSE)</f>
        <v>0.130186164350545</v>
      </c>
      <c r="K271" s="415">
        <f>VLOOKUP(A271,'Grondslagen AU 2019'!A$1:DA$361,92,FALSE)</f>
        <v>0.13600000000000001</v>
      </c>
      <c r="L271" s="121">
        <f>+VLOOKUP(A271,'Grondslagen AU 2020'!A$5:DA$360,77,FALSE)</f>
        <v>0.13900000000000001</v>
      </c>
      <c r="M271" s="121">
        <f>+VLOOKUP(A271,'Grondslagen AU 2021'!A$6:DA$357,77,FALSE)</f>
        <v>0.13400000000000001</v>
      </c>
      <c r="N271" s="121">
        <v>0.13600000000000001</v>
      </c>
      <c r="O271" s="416">
        <f t="shared" si="29"/>
        <v>-2.0000000000000018E-3</v>
      </c>
      <c r="P271" s="121"/>
    </row>
    <row r="272" spans="1:16" x14ac:dyDescent="0.35">
      <c r="A272" s="72">
        <v>770</v>
      </c>
      <c r="B272" s="72">
        <v>10</v>
      </c>
      <c r="D272" s="72" t="s">
        <v>100</v>
      </c>
      <c r="H272" s="415">
        <f t="shared" si="27"/>
        <v>0.11755423257099952</v>
      </c>
      <c r="I272" s="415">
        <f t="shared" si="28"/>
        <v>9.0454507765916611E-2</v>
      </c>
      <c r="J272" s="415">
        <f>VLOOKUP(A272,'Grondslagen AU 2018'!A273:DA658,92,FALSE)</f>
        <v>8.9071564122886998E-2</v>
      </c>
      <c r="K272" s="415">
        <f>VLOOKUP(A272,'Grondslagen AU 2019'!A$1:DA$361,92,FALSE)</f>
        <v>9.5000000000000001E-2</v>
      </c>
      <c r="L272" s="121">
        <f>+VLOOKUP(A272,'Grondslagen AU 2020'!A$5:DA$360,77,FALSE)</f>
        <v>9.7000000000000003E-2</v>
      </c>
      <c r="M272" s="121">
        <f>+VLOOKUP(A272,'Grondslagen AU 2021'!A$6:DA$357,77,FALSE)</f>
        <v>9.6000000000000002E-2</v>
      </c>
      <c r="N272" s="121">
        <v>9.8000000000000004E-2</v>
      </c>
      <c r="O272" s="416">
        <f t="shared" si="29"/>
        <v>-2.0000000000000018E-3</v>
      </c>
      <c r="P272" s="121"/>
    </row>
    <row r="273" spans="1:16" x14ac:dyDescent="0.35">
      <c r="A273" s="72">
        <v>772</v>
      </c>
      <c r="B273" s="72">
        <v>10</v>
      </c>
      <c r="D273" s="72" t="s">
        <v>102</v>
      </c>
      <c r="H273" s="415">
        <f t="shared" si="27"/>
        <v>16.343384765695141</v>
      </c>
      <c r="I273" s="415">
        <f t="shared" si="28"/>
        <v>16.213966714309048</v>
      </c>
      <c r="J273" s="415">
        <f>VLOOKUP(A273,'Grondslagen AU 2018'!A274:DA659,92,FALSE)</f>
        <v>17.013347051207599</v>
      </c>
      <c r="K273" s="415">
        <f>VLOOKUP(A273,'Grondslagen AU 2019'!A$1:DA$361,92,FALSE)</f>
        <v>16.221</v>
      </c>
      <c r="L273" s="121">
        <f>+VLOOKUP(A273,'Grondslagen AU 2020'!A$5:DA$360,77,FALSE)</f>
        <v>16.401</v>
      </c>
      <c r="M273" s="121">
        <f>+VLOOKUP(A273,'Grondslagen AU 2021'!A$6:DA$357,77,FALSE)</f>
        <v>16.306999999999999</v>
      </c>
      <c r="N273" s="121">
        <v>16.038</v>
      </c>
      <c r="O273" s="416">
        <f t="shared" si="29"/>
        <v>0.26899999999999835</v>
      </c>
      <c r="P273" s="121"/>
    </row>
    <row r="274" spans="1:16" x14ac:dyDescent="0.35">
      <c r="A274" s="72">
        <v>777</v>
      </c>
      <c r="B274" s="72">
        <v>10</v>
      </c>
      <c r="D274" s="72" t="s">
        <v>109</v>
      </c>
      <c r="H274" s="415">
        <f t="shared" si="27"/>
        <v>1.2529469880845983</v>
      </c>
      <c r="I274" s="415">
        <f t="shared" si="28"/>
        <v>1.1918610325816552</v>
      </c>
      <c r="J274" s="415">
        <f>VLOOKUP(A274,'Grondslagen AU 2018'!A275:DA660,92,FALSE)</f>
        <v>1.1627639032339601</v>
      </c>
      <c r="K274" s="415">
        <f>VLOOKUP(A274,'Grondslagen AU 2019'!A$1:DA$361,92,FALSE)</f>
        <v>1.3420000000000001</v>
      </c>
      <c r="L274" s="121">
        <f>+VLOOKUP(A274,'Grondslagen AU 2020'!A$5:DA$360,77,FALSE)</f>
        <v>1.464</v>
      </c>
      <c r="M274" s="121">
        <f>+VLOOKUP(A274,'Grondslagen AU 2021'!A$6:DA$357,77,FALSE)</f>
        <v>1.5169999999999999</v>
      </c>
      <c r="N274" s="121">
        <v>1.532</v>
      </c>
      <c r="O274" s="416">
        <f t="shared" si="29"/>
        <v>-1.5000000000000124E-2</v>
      </c>
      <c r="P274" s="121"/>
    </row>
    <row r="275" spans="1:16" x14ac:dyDescent="0.35">
      <c r="A275" s="72">
        <v>779</v>
      </c>
      <c r="B275" s="72">
        <v>10</v>
      </c>
      <c r="D275" s="72" t="s">
        <v>110</v>
      </c>
      <c r="H275" s="415">
        <f t="shared" si="27"/>
        <v>0.56373426324109233</v>
      </c>
      <c r="I275" s="415">
        <f t="shared" si="28"/>
        <v>0.48874926542126029</v>
      </c>
      <c r="J275" s="415">
        <f>VLOOKUP(A275,'Grondslagen AU 2018'!A276:DA661,92,FALSE)</f>
        <v>0.49797552093671199</v>
      </c>
      <c r="K275" s="415">
        <f>VLOOKUP(A275,'Grondslagen AU 2019'!A$1:DA$361,92,FALSE)</f>
        <v>0.53600000000000003</v>
      </c>
      <c r="L275" s="121">
        <f>+VLOOKUP(A275,'Grondslagen AU 2020'!A$5:DA$360,77,FALSE)</f>
        <v>0.499</v>
      </c>
      <c r="M275" s="121">
        <f>+VLOOKUP(A275,'Grondslagen AU 2021'!A$6:DA$357,77,FALSE)</f>
        <v>0.48699999999999999</v>
      </c>
      <c r="N275" s="121">
        <v>0.439</v>
      </c>
      <c r="O275" s="416">
        <f t="shared" si="29"/>
        <v>4.7999999999999987E-2</v>
      </c>
      <c r="P275" s="121"/>
    </row>
    <row r="276" spans="1:16" x14ac:dyDescent="0.35">
      <c r="A276" s="72">
        <v>1771</v>
      </c>
      <c r="B276" s="72">
        <v>10</v>
      </c>
      <c r="D276" s="72" t="s">
        <v>111</v>
      </c>
      <c r="H276" s="415">
        <f t="shared" si="27"/>
        <v>1.2820131348746973</v>
      </c>
      <c r="I276" s="415">
        <f t="shared" si="28"/>
        <v>1.2231815035089759</v>
      </c>
      <c r="J276" s="415">
        <f>VLOOKUP(A276,'Grondslagen AU 2018'!A277:DA662,92,FALSE)</f>
        <v>1.31640072058677</v>
      </c>
      <c r="K276" s="415">
        <f>VLOOKUP(A276,'Grondslagen AU 2019'!A$1:DA$361,92,FALSE)</f>
        <v>1.4019999999999999</v>
      </c>
      <c r="L276" s="121">
        <f>+VLOOKUP(A276,'Grondslagen AU 2020'!A$5:DA$360,77,FALSE)</f>
        <v>1.3740000000000001</v>
      </c>
      <c r="M276" s="121">
        <f>+VLOOKUP(A276,'Grondslagen AU 2021'!A$6:DA$357,77,FALSE)</f>
        <v>1.2190000000000001</v>
      </c>
      <c r="N276" s="121">
        <v>1.1859999999999999</v>
      </c>
      <c r="O276" s="416">
        <f t="shared" si="29"/>
        <v>3.300000000000014E-2</v>
      </c>
      <c r="P276" s="121"/>
    </row>
    <row r="277" spans="1:16" x14ac:dyDescent="0.35">
      <c r="A277" s="72">
        <v>1652</v>
      </c>
      <c r="B277" s="72">
        <v>10</v>
      </c>
      <c r="D277" s="72" t="s">
        <v>112</v>
      </c>
      <c r="H277" s="415">
        <f t="shared" si="27"/>
        <v>0.5003428659241913</v>
      </c>
      <c r="I277" s="415">
        <f t="shared" si="28"/>
        <v>0.43014542867287142</v>
      </c>
      <c r="J277" s="415">
        <f>VLOOKUP(A277,'Grondslagen AU 2018'!A278:DA663,92,FALSE)</f>
        <v>0.43485213111517401</v>
      </c>
      <c r="K277" s="415">
        <f>VLOOKUP(A277,'Grondslagen AU 2019'!A$1:DA$361,92,FALSE)</f>
        <v>0.504</v>
      </c>
      <c r="L277" s="121">
        <f>+VLOOKUP(A277,'Grondslagen AU 2020'!A$5:DA$360,77,FALSE)</f>
        <v>0.60699999999999998</v>
      </c>
      <c r="M277" s="121">
        <f>+VLOOKUP(A277,'Grondslagen AU 2021'!A$6:DA$357,77,FALSE)</f>
        <v>0.58799999999999997</v>
      </c>
      <c r="N277" s="121">
        <v>0.57499999999999996</v>
      </c>
      <c r="O277" s="416">
        <f t="shared" si="29"/>
        <v>1.3000000000000012E-2</v>
      </c>
      <c r="P277" s="121"/>
    </row>
    <row r="278" spans="1:16" x14ac:dyDescent="0.35">
      <c r="A278" s="72">
        <v>784</v>
      </c>
      <c r="B278" s="72">
        <v>10</v>
      </c>
      <c r="D278" s="72" t="s">
        <v>114</v>
      </c>
      <c r="H278" s="415">
        <f t="shared" si="27"/>
        <v>0.63109848728411511</v>
      </c>
      <c r="I278" s="415">
        <f t="shared" si="28"/>
        <v>0.75774863455359986</v>
      </c>
      <c r="J278" s="415">
        <f>VLOOKUP(A278,'Grondslagen AU 2018'!A279:DA664,92,FALSE)</f>
        <v>0.83180218498093705</v>
      </c>
      <c r="K278" s="415">
        <f>VLOOKUP(A278,'Grondslagen AU 2019'!A$1:DA$361,92,FALSE)</f>
        <v>0.83399999999999996</v>
      </c>
      <c r="L278" s="121">
        <f>+VLOOKUP(A278,'Grondslagen AU 2020'!A$5:DA$360,77,FALSE)</f>
        <v>0.85099999999999998</v>
      </c>
      <c r="M278" s="121">
        <f>+VLOOKUP(A278,'Grondslagen AU 2021'!A$6:DA$357,77,FALSE)</f>
        <v>0.63900000000000001</v>
      </c>
      <c r="N278" s="121">
        <v>0.67600000000000005</v>
      </c>
      <c r="O278" s="416">
        <f t="shared" si="29"/>
        <v>-3.7000000000000033E-2</v>
      </c>
      <c r="P278" s="121"/>
    </row>
    <row r="279" spans="1:16" x14ac:dyDescent="0.35">
      <c r="A279" s="72">
        <v>785</v>
      </c>
      <c r="B279" s="72">
        <v>10</v>
      </c>
      <c r="D279" s="72" t="s">
        <v>117</v>
      </c>
      <c r="H279" s="415">
        <f t="shared" si="27"/>
        <v>0.43206360234199465</v>
      </c>
      <c r="I279" s="415">
        <f t="shared" si="28"/>
        <v>0.4561167592481003</v>
      </c>
      <c r="J279" s="415">
        <f>VLOOKUP(A279,'Grondslagen AU 2018'!A280:DA665,92,FALSE)</f>
        <v>0.32695331285160001</v>
      </c>
      <c r="K279" s="415">
        <f>VLOOKUP(A279,'Grondslagen AU 2019'!A$1:DA$361,92,FALSE)</f>
        <v>0.28000000000000003</v>
      </c>
      <c r="L279" s="121">
        <f>+VLOOKUP(A279,'Grondslagen AU 2020'!A$5:DA$360,77,FALSE)</f>
        <v>0.28399999999999997</v>
      </c>
      <c r="M279" s="121">
        <f>+VLOOKUP(A279,'Grondslagen AU 2021'!A$6:DA$357,77,FALSE)</f>
        <v>0.32700000000000001</v>
      </c>
      <c r="N279" s="121">
        <v>0.36599999999999999</v>
      </c>
      <c r="O279" s="416">
        <f t="shared" si="29"/>
        <v>-3.8999999999999979E-2</v>
      </c>
      <c r="P279" s="121"/>
    </row>
    <row r="280" spans="1:16" x14ac:dyDescent="0.35">
      <c r="A280" s="72">
        <v>1655</v>
      </c>
      <c r="B280" s="72">
        <v>10</v>
      </c>
      <c r="D280" s="72" t="s">
        <v>128</v>
      </c>
      <c r="H280" s="415">
        <f t="shared" si="27"/>
        <v>0.76457143365812041</v>
      </c>
      <c r="I280" s="415">
        <f t="shared" si="28"/>
        <v>0.75726946628934033</v>
      </c>
      <c r="J280" s="415">
        <f>VLOOKUP(A280,'Grondslagen AU 2018'!A282:DA667,92,FALSE)</f>
        <v>0.72594819423047097</v>
      </c>
      <c r="K280" s="415">
        <f>VLOOKUP(A280,'Grondslagen AU 2019'!A$1:DA$361,92,FALSE)</f>
        <v>0.72299999999999998</v>
      </c>
      <c r="L280" s="121">
        <f>+VLOOKUP(A280,'Grondslagen AU 2020'!A$5:DA$360,77,FALSE)</f>
        <v>0.80900000000000005</v>
      </c>
      <c r="M280" s="121">
        <f>+VLOOKUP(A280,'Grondslagen AU 2021'!A$6:DA$357,77,FALSE)</f>
        <v>0.88300000000000001</v>
      </c>
      <c r="N280" s="121">
        <v>0.97699999999999998</v>
      </c>
      <c r="O280" s="416">
        <f t="shared" si="29"/>
        <v>-9.3999999999999972E-2</v>
      </c>
      <c r="P280" s="121"/>
    </row>
    <row r="281" spans="1:16" x14ac:dyDescent="0.35">
      <c r="A281" s="72">
        <v>1658</v>
      </c>
      <c r="B281" s="72">
        <v>10</v>
      </c>
      <c r="D281" s="72" t="s">
        <v>140</v>
      </c>
      <c r="H281" s="415">
        <f t="shared" si="27"/>
        <v>0.10091952102936262</v>
      </c>
      <c r="I281" s="415">
        <f t="shared" si="28"/>
        <v>7.4563954384388204E-2</v>
      </c>
      <c r="J281" s="415">
        <f>VLOOKUP(A281,'Grondslagen AU 2018'!A283:DA668,92,FALSE)</f>
        <v>7.3951904009776998E-2</v>
      </c>
      <c r="K281" s="415">
        <f>VLOOKUP(A281,'Grondslagen AU 2019'!A$1:DA$361,92,FALSE)</f>
        <v>7.8E-2</v>
      </c>
      <c r="L281" s="121">
        <f>+VLOOKUP(A281,'Grondslagen AU 2020'!A$5:DA$360,77,FALSE)</f>
        <v>0.08</v>
      </c>
      <c r="M281" s="121">
        <f>+VLOOKUP(A281,'Grondslagen AU 2021'!A$6:DA$357,77,FALSE)</f>
        <v>7.8E-2</v>
      </c>
      <c r="N281" s="121">
        <v>7.9000000000000001E-2</v>
      </c>
      <c r="O281" s="416">
        <f t="shared" si="29"/>
        <v>-1.0000000000000009E-3</v>
      </c>
      <c r="P281" s="121"/>
    </row>
    <row r="282" spans="1:16" x14ac:dyDescent="0.35">
      <c r="A282" s="72">
        <v>794</v>
      </c>
      <c r="B282" s="72">
        <v>10</v>
      </c>
      <c r="D282" s="72" t="s">
        <v>144</v>
      </c>
      <c r="H282" s="415">
        <f t="shared" si="27"/>
        <v>7.1562501781067072</v>
      </c>
      <c r="I282" s="415">
        <f t="shared" si="28"/>
        <v>7.0437715798479719</v>
      </c>
      <c r="J282" s="415">
        <f>VLOOKUP(A282,'Grondslagen AU 2018'!A284:DA669,92,FALSE)</f>
        <v>6.8330413074026302</v>
      </c>
      <c r="K282" s="415">
        <f>VLOOKUP(A282,'Grondslagen AU 2019'!A$1:DA$361,92,FALSE)</f>
        <v>6.8890000000000002</v>
      </c>
      <c r="L282" s="121">
        <f>+VLOOKUP(A282,'Grondslagen AU 2020'!A$5:DA$360,77,FALSE)</f>
        <v>6.7889999999999997</v>
      </c>
      <c r="M282" s="121">
        <f>+VLOOKUP(A282,'Grondslagen AU 2021'!A$6:DA$357,77,FALSE)</f>
        <v>6.4290000000000003</v>
      </c>
      <c r="N282" s="121">
        <v>6.2619999999999996</v>
      </c>
      <c r="O282" s="416">
        <f t="shared" si="29"/>
        <v>0.1670000000000007</v>
      </c>
      <c r="P282" s="121"/>
    </row>
    <row r="283" spans="1:16" x14ac:dyDescent="0.35">
      <c r="A283" s="72">
        <v>797</v>
      </c>
      <c r="B283" s="72">
        <v>10</v>
      </c>
      <c r="D283" s="72" t="s">
        <v>149</v>
      </c>
      <c r="H283" s="415">
        <f t="shared" si="27"/>
        <v>0.86124108406944022</v>
      </c>
      <c r="I283" s="415">
        <f t="shared" si="28"/>
        <v>0.72872833834190598</v>
      </c>
      <c r="J283" s="415">
        <f>VLOOKUP(A283,'Grondslagen AU 2018'!A285:DA670,92,FALSE)</f>
        <v>0.65313929766658396</v>
      </c>
      <c r="K283" s="415">
        <f>VLOOKUP(A283,'Grondslagen AU 2019'!A$1:DA$361,92,FALSE)</f>
        <v>0.51400000000000001</v>
      </c>
      <c r="L283" s="121">
        <f>+VLOOKUP(A283,'Grondslagen AU 2020'!A$5:DA$360,77,FALSE)</f>
        <v>0.55000000000000004</v>
      </c>
      <c r="M283" s="121">
        <f>+VLOOKUP(A283,'Grondslagen AU 2021'!A$6:DA$357,77,FALSE)</f>
        <v>0.44900000000000001</v>
      </c>
      <c r="N283" s="121">
        <v>0.55200000000000005</v>
      </c>
      <c r="O283" s="416">
        <f t="shared" si="29"/>
        <v>-0.10300000000000004</v>
      </c>
      <c r="P283" s="121"/>
    </row>
    <row r="284" spans="1:16" x14ac:dyDescent="0.35">
      <c r="A284" s="72">
        <v>798</v>
      </c>
      <c r="B284" s="72">
        <v>10</v>
      </c>
      <c r="D284" s="72" t="s">
        <v>151</v>
      </c>
      <c r="H284" s="415">
        <f t="shared" si="27"/>
        <v>8.8519142715348567E-2</v>
      </c>
      <c r="I284" s="415">
        <f t="shared" si="28"/>
        <v>7.3638216801737919E-2</v>
      </c>
      <c r="J284" s="415">
        <f>VLOOKUP(A284,'Grondslagen AU 2018'!A286:DA671,92,FALSE)</f>
        <v>7.2932346509642199E-2</v>
      </c>
      <c r="K284" s="415">
        <f>VLOOKUP(A284,'Grondslagen AU 2019'!A$1:DA$361,92,FALSE)</f>
        <v>7.5999999999999998E-2</v>
      </c>
      <c r="L284" s="121">
        <f>+VLOOKUP(A284,'Grondslagen AU 2020'!A$5:DA$360,77,FALSE)</f>
        <v>7.8E-2</v>
      </c>
      <c r="M284" s="121">
        <f>+VLOOKUP(A284,'Grondslagen AU 2021'!A$6:DA$357,77,FALSE)</f>
        <v>7.6999999999999999E-2</v>
      </c>
      <c r="N284" s="121">
        <v>7.8E-2</v>
      </c>
      <c r="O284" s="416">
        <f t="shared" si="29"/>
        <v>-1.0000000000000009E-3</v>
      </c>
      <c r="P284" s="121"/>
    </row>
    <row r="285" spans="1:16" x14ac:dyDescent="0.35">
      <c r="A285" s="72">
        <v>1659</v>
      </c>
      <c r="B285" s="72">
        <v>10</v>
      </c>
      <c r="D285" s="72" t="s">
        <v>171</v>
      </c>
      <c r="H285" s="415">
        <f t="shared" si="27"/>
        <v>0.16909036933574464</v>
      </c>
      <c r="I285" s="415">
        <f t="shared" si="28"/>
        <v>0.10637566404273903</v>
      </c>
      <c r="J285" s="415">
        <f>VLOOKUP(A285,'Grondslagen AU 2018'!A287:DA672,92,FALSE)</f>
        <v>0.104251642458227</v>
      </c>
      <c r="K285" s="415">
        <f>VLOOKUP(A285,'Grondslagen AU 2019'!A$1:DA$361,92,FALSE)</f>
        <v>0.223</v>
      </c>
      <c r="L285" s="121">
        <f>+VLOOKUP(A285,'Grondslagen AU 2020'!A$5:DA$360,77,FALSE)</f>
        <v>0.123</v>
      </c>
      <c r="M285" s="121">
        <f>+VLOOKUP(A285,'Grondslagen AU 2021'!A$6:DA$357,77,FALSE)</f>
        <v>0.114</v>
      </c>
      <c r="N285" s="121">
        <v>0.155</v>
      </c>
      <c r="O285" s="416">
        <f t="shared" si="29"/>
        <v>-4.0999999999999995E-2</v>
      </c>
      <c r="P285" s="121"/>
    </row>
    <row r="286" spans="1:16" x14ac:dyDescent="0.35">
      <c r="A286" s="72">
        <v>1982</v>
      </c>
      <c r="B286" s="72">
        <v>10</v>
      </c>
      <c r="D286" s="72" t="s">
        <v>1302</v>
      </c>
      <c r="H286" s="415">
        <f t="shared" ref="H286:M286" si="30">+F641+F645+F657+F668+F679</f>
        <v>1.3855022074236925</v>
      </c>
      <c r="I286" s="415">
        <f t="shared" si="30"/>
        <v>1.2735692099010587</v>
      </c>
      <c r="J286" s="415">
        <f t="shared" si="30"/>
        <v>1.3205720893418835</v>
      </c>
      <c r="K286" s="415">
        <f t="shared" si="30"/>
        <v>1.4609999999999999</v>
      </c>
      <c r="L286" s="415">
        <f t="shared" si="30"/>
        <v>1.3540000000000001</v>
      </c>
      <c r="M286" s="415">
        <f t="shared" si="30"/>
        <v>1.268</v>
      </c>
      <c r="N286" s="121">
        <v>1.165</v>
      </c>
      <c r="O286" s="416">
        <f t="shared" si="29"/>
        <v>0.10299999999999998</v>
      </c>
      <c r="P286" s="415"/>
    </row>
    <row r="287" spans="1:16" x14ac:dyDescent="0.35">
      <c r="A287" s="72">
        <v>809</v>
      </c>
      <c r="B287" s="72">
        <v>10</v>
      </c>
      <c r="D287" s="72" t="s">
        <v>188</v>
      </c>
      <c r="H287" s="415">
        <f>VLOOKUP(A287,A$353:F$734,6,FALSE)</f>
        <v>0.2411832942025563</v>
      </c>
      <c r="I287" s="415">
        <f>VLOOKUP(A287,A$353:G$734,7,FALSE)</f>
        <v>0.16587577579305923</v>
      </c>
      <c r="J287" s="415">
        <f>VLOOKUP(A287,'Grondslagen AU 2018'!A289:DA674,92,FALSE)</f>
        <v>0.205388889348533</v>
      </c>
      <c r="K287" s="415">
        <f>VLOOKUP(A287,'Grondslagen AU 2019'!A$1:DA$361,92,FALSE)</f>
        <v>0.11600000000000001</v>
      </c>
      <c r="L287" s="121">
        <f>+VLOOKUP(A287,'Grondslagen AU 2020'!A$5:DA$360,77,FALSE)</f>
        <v>0.14799999999999999</v>
      </c>
      <c r="M287" s="121">
        <f>+VLOOKUP(A287,'Grondslagen AU 2021'!A$6:DA$357,77,FALSE)</f>
        <v>0.11899999999999999</v>
      </c>
      <c r="N287" s="121">
        <v>0.13100000000000001</v>
      </c>
      <c r="O287" s="416">
        <f t="shared" si="29"/>
        <v>-1.2000000000000011E-2</v>
      </c>
      <c r="P287" s="121"/>
    </row>
    <row r="288" spans="1:16" x14ac:dyDescent="0.35">
      <c r="A288" s="72">
        <v>1991</v>
      </c>
      <c r="B288" s="72">
        <v>10</v>
      </c>
      <c r="D288" s="72" t="s">
        <v>1301</v>
      </c>
      <c r="H288" s="415">
        <f t="shared" ref="H288:M288" si="31">+F665+F685</f>
        <v>1.2501251193986818</v>
      </c>
      <c r="I288" s="415">
        <f t="shared" si="31"/>
        <v>1.1835597614345599</v>
      </c>
      <c r="J288" s="415">
        <f t="shared" si="31"/>
        <v>1.1643281183479477</v>
      </c>
      <c r="K288" s="415">
        <f t="shared" si="31"/>
        <v>1.2110000000000001</v>
      </c>
      <c r="L288" s="415">
        <f t="shared" si="31"/>
        <v>1.3170000000000002</v>
      </c>
      <c r="M288" s="415">
        <f t="shared" si="31"/>
        <v>1.2649999999999999</v>
      </c>
      <c r="N288" s="121">
        <v>1.085</v>
      </c>
      <c r="O288" s="416">
        <f t="shared" si="29"/>
        <v>0.17999999999999994</v>
      </c>
      <c r="P288" s="415"/>
    </row>
    <row r="289" spans="1:16" x14ac:dyDescent="0.35">
      <c r="A289" s="72">
        <v>1948</v>
      </c>
      <c r="B289" s="72">
        <v>10</v>
      </c>
      <c r="D289" s="72" t="s">
        <v>198</v>
      </c>
      <c r="H289" s="415">
        <f t="shared" ref="H289:H303" si="32">VLOOKUP(A289,A$353:F$734,6,FALSE)</f>
        <v>0.72114044734158667</v>
      </c>
      <c r="I289" s="415">
        <f t="shared" ref="I289:I303" si="33">VLOOKUP(A289,A$353:G$734,7,FALSE)</f>
        <v>0.39780341971320315</v>
      </c>
      <c r="J289" s="415">
        <f>VLOOKUP(A289,'Grondslagen AU 2018'!A290:DA675,92,FALSE)</f>
        <v>0.38870063271805599</v>
      </c>
      <c r="K289" s="415">
        <f>VLOOKUP(A289,'Grondslagen AU 2019'!A$1:DA$361,92,FALSE)</f>
        <v>0.66800000000000004</v>
      </c>
      <c r="L289" s="121">
        <f>+VLOOKUP(A289,'Grondslagen AU 2020'!A$5:DA$360,77,FALSE)</f>
        <v>0.621</v>
      </c>
      <c r="M289" s="121">
        <f>+VLOOKUP(A289,'Grondslagen AU 2021'!A$6:DA$357,77,FALSE)</f>
        <v>0.59899999999999998</v>
      </c>
      <c r="N289" s="121">
        <v>0.62</v>
      </c>
      <c r="O289" s="416">
        <f t="shared" si="29"/>
        <v>-2.1000000000000019E-2</v>
      </c>
      <c r="P289" s="121"/>
    </row>
    <row r="290" spans="1:16" x14ac:dyDescent="0.35">
      <c r="A290" s="72">
        <v>1709</v>
      </c>
      <c r="B290" s="72">
        <v>10</v>
      </c>
      <c r="D290" s="72" t="s">
        <v>205</v>
      </c>
      <c r="H290" s="415">
        <f t="shared" si="32"/>
        <v>0.4891755144167641</v>
      </c>
      <c r="I290" s="415">
        <f t="shared" si="33"/>
        <v>0.51174863868826781</v>
      </c>
      <c r="J290" s="415">
        <f>VLOOKUP(A290,'Grondslagen AU 2018'!A292:DA677,92,FALSE)</f>
        <v>0.61698405945245804</v>
      </c>
      <c r="K290" s="415">
        <f>VLOOKUP(A290,'Grondslagen AU 2019'!A$1:DA$361,92,FALSE)</f>
        <v>0.68100000000000005</v>
      </c>
      <c r="L290" s="121">
        <f>+VLOOKUP(A290,'Grondslagen AU 2020'!A$5:DA$360,77,FALSE)</f>
        <v>0.72699999999999998</v>
      </c>
      <c r="M290" s="121">
        <f>+VLOOKUP(A290,'Grondslagen AU 2021'!A$6:DA$357,77,FALSE)</f>
        <v>0.78400000000000003</v>
      </c>
      <c r="N290" s="121">
        <v>0.85399999999999998</v>
      </c>
      <c r="O290" s="416">
        <f t="shared" si="29"/>
        <v>-6.9999999999999951E-2</v>
      </c>
      <c r="P290" s="121"/>
    </row>
    <row r="291" spans="1:16" x14ac:dyDescent="0.35">
      <c r="A291" s="72">
        <v>820</v>
      </c>
      <c r="B291" s="72">
        <v>10</v>
      </c>
      <c r="D291" s="72" t="s">
        <v>222</v>
      </c>
      <c r="H291" s="415">
        <f t="shared" si="32"/>
        <v>0.55076961042043626</v>
      </c>
      <c r="I291" s="415">
        <f t="shared" si="33"/>
        <v>0.58224310860480433</v>
      </c>
      <c r="J291" s="415">
        <f>VLOOKUP(A291,'Grondslagen AU 2018'!A293:DA678,92,FALSE)</f>
        <v>0.541739890437542</v>
      </c>
      <c r="K291" s="415">
        <f>VLOOKUP(A291,'Grondslagen AU 2019'!A$1:DA$361,92,FALSE)</f>
        <v>0.60299999999999998</v>
      </c>
      <c r="L291" s="121">
        <f>+VLOOKUP(A291,'Grondslagen AU 2020'!A$5:DA$360,77,FALSE)</f>
        <v>0.50700000000000001</v>
      </c>
      <c r="M291" s="121">
        <f>+VLOOKUP(A291,'Grondslagen AU 2021'!A$6:DA$357,77,FALSE)</f>
        <v>0.45100000000000001</v>
      </c>
      <c r="N291" s="121">
        <v>0.378</v>
      </c>
      <c r="O291" s="416">
        <f t="shared" si="29"/>
        <v>7.3000000000000009E-2</v>
      </c>
      <c r="P291" s="121"/>
    </row>
    <row r="292" spans="1:16" x14ac:dyDescent="0.35">
      <c r="A292" s="72">
        <v>823</v>
      </c>
      <c r="B292" s="72">
        <v>10</v>
      </c>
      <c r="D292" s="72" t="s">
        <v>225</v>
      </c>
      <c r="H292" s="415">
        <f t="shared" si="32"/>
        <v>0.11619765688336063</v>
      </c>
      <c r="I292" s="415">
        <f t="shared" si="33"/>
        <v>9.011022519385653E-2</v>
      </c>
      <c r="J292" s="415">
        <f>VLOOKUP(A292,'Grondslagen AU 2018'!A294:DA679,92,FALSE)</f>
        <v>9.0204405789703498E-2</v>
      </c>
      <c r="K292" s="415">
        <f>VLOOKUP(A292,'Grondslagen AU 2019'!A$1:DA$361,92,FALSE)</f>
        <v>9.5000000000000001E-2</v>
      </c>
      <c r="L292" s="121">
        <f>+VLOOKUP(A292,'Grondslagen AU 2020'!A$5:DA$360,77,FALSE)</f>
        <v>9.6000000000000002E-2</v>
      </c>
      <c r="M292" s="121">
        <f>+VLOOKUP(A292,'Grondslagen AU 2021'!A$6:DA$357,77,FALSE)</f>
        <v>9.4E-2</v>
      </c>
      <c r="N292" s="121">
        <v>9.5000000000000001E-2</v>
      </c>
      <c r="O292" s="416">
        <f t="shared" si="29"/>
        <v>-1.0000000000000009E-3</v>
      </c>
      <c r="P292" s="121"/>
    </row>
    <row r="293" spans="1:16" x14ac:dyDescent="0.35">
      <c r="A293" s="72">
        <v>824</v>
      </c>
      <c r="B293" s="72">
        <v>10</v>
      </c>
      <c r="D293" s="72" t="s">
        <v>226</v>
      </c>
      <c r="H293" s="415">
        <f t="shared" si="32"/>
        <v>0.35873369852125703</v>
      </c>
      <c r="I293" s="415">
        <f t="shared" si="33"/>
        <v>0.18086097479485272</v>
      </c>
      <c r="J293" s="415">
        <f>VLOOKUP(A293,'Grondslagen AU 2018'!A295:DA680,92,FALSE)</f>
        <v>0.120760921682632</v>
      </c>
      <c r="K293" s="415">
        <f>VLOOKUP(A293,'Grondslagen AU 2019'!A$1:DA$361,92,FALSE)</f>
        <v>0.23400000000000001</v>
      </c>
      <c r="L293" s="121">
        <f>+VLOOKUP(A293,'Grondslagen AU 2020'!A$5:DA$360,77,FALSE)</f>
        <v>0.23599999999999999</v>
      </c>
      <c r="M293" s="121">
        <f>+VLOOKUP(A293,'Grondslagen AU 2021'!A$6:DA$357,77,FALSE)</f>
        <v>0.23499999999999999</v>
      </c>
      <c r="N293" s="121">
        <v>0.22800000000000001</v>
      </c>
      <c r="O293" s="416">
        <f t="shared" si="29"/>
        <v>6.9999999999999785E-3</v>
      </c>
      <c r="P293" s="121"/>
    </row>
    <row r="294" spans="1:16" x14ac:dyDescent="0.35">
      <c r="A294" s="72">
        <v>826</v>
      </c>
      <c r="B294" s="72">
        <v>10</v>
      </c>
      <c r="D294" s="72" t="s">
        <v>233</v>
      </c>
      <c r="H294" s="415">
        <f t="shared" si="32"/>
        <v>2.2320035827412523</v>
      </c>
      <c r="I294" s="415">
        <f t="shared" si="33"/>
        <v>2.1036694135191243</v>
      </c>
      <c r="J294" s="415">
        <f>VLOOKUP(A294,'Grondslagen AU 2018'!A296:DA681,92,FALSE)</f>
        <v>1.9072483773896101</v>
      </c>
      <c r="K294" s="415">
        <f>VLOOKUP(A294,'Grondslagen AU 2019'!A$1:DA$361,92,FALSE)</f>
        <v>1.851</v>
      </c>
      <c r="L294" s="121">
        <f>+VLOOKUP(A294,'Grondslagen AU 2020'!A$5:DA$360,77,FALSE)</f>
        <v>1.5509999999999999</v>
      </c>
      <c r="M294" s="121">
        <f>+VLOOKUP(A294,'Grondslagen AU 2021'!A$6:DA$357,77,FALSE)</f>
        <v>1.6839999999999999</v>
      </c>
      <c r="N294" s="121">
        <v>1.601</v>
      </c>
      <c r="O294" s="416">
        <f t="shared" si="29"/>
        <v>8.2999999999999963E-2</v>
      </c>
      <c r="P294" s="121"/>
    </row>
    <row r="295" spans="1:16" x14ac:dyDescent="0.35">
      <c r="A295" s="72">
        <v>828</v>
      </c>
      <c r="B295" s="72">
        <v>10</v>
      </c>
      <c r="D295" s="72" t="s">
        <v>238</v>
      </c>
      <c r="H295" s="415">
        <f t="shared" si="32"/>
        <v>2.9821223835586181</v>
      </c>
      <c r="I295" s="415">
        <f t="shared" si="33"/>
        <v>2.7079500880587672</v>
      </c>
      <c r="J295" s="415">
        <f>VLOOKUP(A295,'Grondslagen AU 2018'!A297:DA682,92,FALSE)</f>
        <v>3.0257199059882001</v>
      </c>
      <c r="K295" s="415">
        <f>VLOOKUP(A295,'Grondslagen AU 2019'!A$1:DA$361,92,FALSE)</f>
        <v>3.173</v>
      </c>
      <c r="L295" s="121">
        <f>+VLOOKUP(A295,'Grondslagen AU 2020'!A$5:DA$360,77,FALSE)</f>
        <v>3.32</v>
      </c>
      <c r="M295" s="121">
        <f>+VLOOKUP(A295,'Grondslagen AU 2021'!A$6:DA$357,77,FALSE)</f>
        <v>3.327</v>
      </c>
      <c r="N295" s="121">
        <v>3.3540000000000001</v>
      </c>
      <c r="O295" s="416">
        <f t="shared" si="29"/>
        <v>-2.7000000000000135E-2</v>
      </c>
      <c r="P295" s="121"/>
    </row>
    <row r="296" spans="1:16" x14ac:dyDescent="0.35">
      <c r="A296" s="72">
        <v>1667</v>
      </c>
      <c r="B296" s="72">
        <v>10</v>
      </c>
      <c r="D296" s="72" t="s">
        <v>253</v>
      </c>
      <c r="H296" s="415">
        <f t="shared" si="32"/>
        <v>8.1589521879389934E-2</v>
      </c>
      <c r="I296" s="415">
        <f t="shared" si="33"/>
        <v>6.4694520651999404E-2</v>
      </c>
      <c r="J296" s="415">
        <f>VLOOKUP(A296,'Grondslagen AU 2018'!A298:DA683,92,FALSE)</f>
        <v>6.3914926841783404E-2</v>
      </c>
      <c r="K296" s="415">
        <f>VLOOKUP(A296,'Grondslagen AU 2019'!A$1:DA$361,92,FALSE)</f>
        <v>6.6000000000000003E-2</v>
      </c>
      <c r="L296" s="121">
        <f>+VLOOKUP(A296,'Grondslagen AU 2020'!A$5:DA$360,77,FALSE)</f>
        <v>6.6000000000000003E-2</v>
      </c>
      <c r="M296" s="121">
        <f>+VLOOKUP(A296,'Grondslagen AU 2021'!A$6:DA$357,77,FALSE)</f>
        <v>6.4000000000000001E-2</v>
      </c>
      <c r="N296" s="121">
        <v>6.5000000000000002E-2</v>
      </c>
      <c r="O296" s="416">
        <f t="shared" si="29"/>
        <v>-1.0000000000000009E-3</v>
      </c>
      <c r="P296" s="121"/>
    </row>
    <row r="297" spans="1:16" x14ac:dyDescent="0.35">
      <c r="A297" s="72">
        <v>1674</v>
      </c>
      <c r="B297" s="72">
        <v>10</v>
      </c>
      <c r="D297" s="72" t="s">
        <v>261</v>
      </c>
      <c r="H297" s="415">
        <f t="shared" si="32"/>
        <v>3.9292160737799691</v>
      </c>
      <c r="I297" s="415">
        <f t="shared" si="33"/>
        <v>4.4003693170984715</v>
      </c>
      <c r="J297" s="415">
        <f>VLOOKUP(A297,'Grondslagen AU 2018'!A299:DA684,92,FALSE)</f>
        <v>4.5606962037522703</v>
      </c>
      <c r="K297" s="415">
        <f>VLOOKUP(A297,'Grondslagen AU 2019'!A$1:DA$361,92,FALSE)</f>
        <v>4.4960000000000004</v>
      </c>
      <c r="L297" s="121">
        <f>+VLOOKUP(A297,'Grondslagen AU 2020'!A$5:DA$360,77,FALSE)</f>
        <v>4.8179999999999996</v>
      </c>
      <c r="M297" s="121">
        <f>+VLOOKUP(A297,'Grondslagen AU 2021'!A$6:DA$357,77,FALSE)</f>
        <v>4.8289999999999997</v>
      </c>
      <c r="N297" s="121">
        <v>4.8520000000000003</v>
      </c>
      <c r="O297" s="416">
        <f t="shared" si="29"/>
        <v>-2.3000000000000576E-2</v>
      </c>
      <c r="P297" s="121"/>
    </row>
    <row r="298" spans="1:16" x14ac:dyDescent="0.35">
      <c r="A298" s="72">
        <v>840</v>
      </c>
      <c r="B298" s="72">
        <v>10</v>
      </c>
      <c r="D298" s="72" t="s">
        <v>264</v>
      </c>
      <c r="H298" s="415">
        <f t="shared" si="32"/>
        <v>0.58535002371901057</v>
      </c>
      <c r="I298" s="415">
        <f t="shared" si="33"/>
        <v>0.55183408994933003</v>
      </c>
      <c r="J298" s="415">
        <f>VLOOKUP(A298,'Grondslagen AU 2018'!A300:DA685,92,FALSE)</f>
        <v>0.58302834522387503</v>
      </c>
      <c r="K298" s="415">
        <f>VLOOKUP(A298,'Grondslagen AU 2019'!A$1:DA$361,92,FALSE)</f>
        <v>0.48899999999999999</v>
      </c>
      <c r="L298" s="121">
        <f>+VLOOKUP(A298,'Grondslagen AU 2020'!A$5:DA$360,77,FALSE)</f>
        <v>0.56599999999999995</v>
      </c>
      <c r="M298" s="121">
        <f>+VLOOKUP(A298,'Grondslagen AU 2021'!A$6:DA$357,77,FALSE)</f>
        <v>0.67400000000000004</v>
      </c>
      <c r="N298" s="121">
        <v>0.65100000000000002</v>
      </c>
      <c r="O298" s="416">
        <f t="shared" si="29"/>
        <v>2.300000000000002E-2</v>
      </c>
      <c r="P298" s="121"/>
    </row>
    <row r="299" spans="1:16" x14ac:dyDescent="0.35">
      <c r="A299" s="72">
        <v>796</v>
      </c>
      <c r="B299" s="72">
        <v>10</v>
      </c>
      <c r="D299" s="72" t="s">
        <v>271</v>
      </c>
      <c r="H299" s="415">
        <f t="shared" si="32"/>
        <v>8.9200242080362528</v>
      </c>
      <c r="I299" s="415">
        <f t="shared" si="33"/>
        <v>8.8162409131066486</v>
      </c>
      <c r="J299" s="415">
        <f>VLOOKUP(A299,'Grondslagen AU 2018'!A301:DA686,92,FALSE)</f>
        <v>8.4329906678232405</v>
      </c>
      <c r="K299" s="415">
        <f>VLOOKUP(A299,'Grondslagen AU 2019'!A$1:DA$361,92,FALSE)</f>
        <v>7.383</v>
      </c>
      <c r="L299" s="121">
        <f>+VLOOKUP(A299,'Grondslagen AU 2020'!A$5:DA$360,77,FALSE)</f>
        <v>7.2530000000000001</v>
      </c>
      <c r="M299" s="121">
        <f>+VLOOKUP(A299,'Grondslagen AU 2021'!A$6:DA$357,77,FALSE)</f>
        <v>7.3159999999999998</v>
      </c>
      <c r="N299" s="121">
        <v>7.13</v>
      </c>
      <c r="O299" s="416">
        <f t="shared" si="29"/>
        <v>0.18599999999999994</v>
      </c>
      <c r="P299" s="121"/>
    </row>
    <row r="300" spans="1:16" x14ac:dyDescent="0.35">
      <c r="A300" s="72">
        <v>845</v>
      </c>
      <c r="B300" s="72">
        <v>10</v>
      </c>
      <c r="D300" s="72" t="s">
        <v>274</v>
      </c>
      <c r="H300" s="415">
        <f t="shared" si="32"/>
        <v>0.17233394889911691</v>
      </c>
      <c r="I300" s="415">
        <f t="shared" si="33"/>
        <v>0.13593041017314042</v>
      </c>
      <c r="J300" s="415">
        <f>VLOOKUP(A300,'Grondslagen AU 2018'!A303:DA688,92,FALSE)</f>
        <v>0.13454382862889899</v>
      </c>
      <c r="K300" s="415">
        <f>VLOOKUP(A300,'Grondslagen AU 2019'!A$1:DA$361,92,FALSE)</f>
        <v>0.14299999999999999</v>
      </c>
      <c r="L300" s="121">
        <f>+VLOOKUP(A300,'Grondslagen AU 2020'!A$5:DA$360,77,FALSE)</f>
        <v>0.14599999999999999</v>
      </c>
      <c r="M300" s="121">
        <f>+VLOOKUP(A300,'Grondslagen AU 2021'!A$6:DA$357,77,FALSE)</f>
        <v>0.14299999999999999</v>
      </c>
      <c r="N300" s="121">
        <v>0.14499999999999999</v>
      </c>
      <c r="O300" s="416">
        <f t="shared" si="29"/>
        <v>-2.0000000000000018E-3</v>
      </c>
      <c r="P300" s="121"/>
    </row>
    <row r="301" spans="1:16" x14ac:dyDescent="0.35">
      <c r="A301" s="72">
        <v>847</v>
      </c>
      <c r="B301" s="72">
        <v>10</v>
      </c>
      <c r="D301" s="72" t="s">
        <v>280</v>
      </c>
      <c r="H301" s="415">
        <f t="shared" si="32"/>
        <v>0.27650605939241379</v>
      </c>
      <c r="I301" s="415">
        <f t="shared" si="33"/>
        <v>0.1832055259639245</v>
      </c>
      <c r="J301" s="415">
        <f>VLOOKUP(A301,'Grondslagen AU 2018'!A304:DA689,92,FALSE)</f>
        <v>0.137116339698347</v>
      </c>
      <c r="K301" s="415">
        <f>VLOOKUP(A301,'Grondslagen AU 2019'!A$1:DA$361,92,FALSE)</f>
        <v>0.14499999999999999</v>
      </c>
      <c r="L301" s="121">
        <f>+VLOOKUP(A301,'Grondslagen AU 2020'!A$5:DA$360,77,FALSE)</f>
        <v>0.128</v>
      </c>
      <c r="M301" s="121">
        <f>+VLOOKUP(A301,'Grondslagen AU 2021'!A$6:DA$357,77,FALSE)</f>
        <v>0.13600000000000001</v>
      </c>
      <c r="N301" s="121">
        <v>0.17699999999999999</v>
      </c>
      <c r="O301" s="416">
        <f t="shared" si="29"/>
        <v>-4.0999999999999981E-2</v>
      </c>
      <c r="P301" s="121"/>
    </row>
    <row r="302" spans="1:16" x14ac:dyDescent="0.35">
      <c r="A302" s="72">
        <v>848</v>
      </c>
      <c r="B302" s="72">
        <v>10</v>
      </c>
      <c r="D302" s="72" t="s">
        <v>281</v>
      </c>
      <c r="H302" s="415">
        <f t="shared" si="32"/>
        <v>0.18152573802698799</v>
      </c>
      <c r="I302" s="415">
        <f t="shared" si="33"/>
        <v>0.20110990035405918</v>
      </c>
      <c r="J302" s="415">
        <f>VLOOKUP(A302,'Grondslagen AU 2018'!A305:DA690,92,FALSE)</f>
        <v>0.18972980714287399</v>
      </c>
      <c r="K302" s="415">
        <f>VLOOKUP(A302,'Grondslagen AU 2019'!A$1:DA$361,92,FALSE)</f>
        <v>0.20100000000000001</v>
      </c>
      <c r="L302" s="121">
        <f>+VLOOKUP(A302,'Grondslagen AU 2020'!A$5:DA$360,77,FALSE)</f>
        <v>0.23799999999999999</v>
      </c>
      <c r="M302" s="121">
        <f>+VLOOKUP(A302,'Grondslagen AU 2021'!A$6:DA$357,77,FALSE)</f>
        <v>0.16700000000000001</v>
      </c>
      <c r="N302" s="121">
        <v>0.12</v>
      </c>
      <c r="O302" s="416">
        <f t="shared" si="29"/>
        <v>4.7000000000000014E-2</v>
      </c>
      <c r="P302" s="121"/>
    </row>
    <row r="303" spans="1:16" x14ac:dyDescent="0.35">
      <c r="A303" s="72">
        <v>851</v>
      </c>
      <c r="B303" s="72">
        <v>10</v>
      </c>
      <c r="D303" s="72" t="s">
        <v>285</v>
      </c>
      <c r="H303" s="415">
        <f t="shared" si="32"/>
        <v>0.62155642578921921</v>
      </c>
      <c r="I303" s="415">
        <f t="shared" si="33"/>
        <v>0.65073205983175297</v>
      </c>
      <c r="J303" s="415">
        <f>VLOOKUP(A303,'Grondslagen AU 2018'!A306:DA691,92,FALSE)</f>
        <v>0.58988538671837998</v>
      </c>
      <c r="K303" s="415">
        <f>VLOOKUP(A303,'Grondslagen AU 2019'!A$1:DA$361,92,FALSE)</f>
        <v>0.51</v>
      </c>
      <c r="L303" s="121">
        <f>+VLOOKUP(A303,'Grondslagen AU 2020'!A$5:DA$360,77,FALSE)</f>
        <v>0.68500000000000005</v>
      </c>
      <c r="M303" s="121">
        <f>+VLOOKUP(A303,'Grondslagen AU 2021'!A$6:DA$357,77,FALSE)</f>
        <v>0.61199999999999999</v>
      </c>
      <c r="N303" s="121">
        <v>0.69399999999999995</v>
      </c>
      <c r="O303" s="416">
        <f t="shared" si="29"/>
        <v>-8.1999999999999962E-2</v>
      </c>
      <c r="P303" s="121"/>
    </row>
    <row r="304" spans="1:16" x14ac:dyDescent="0.35">
      <c r="A304" s="72">
        <v>855</v>
      </c>
      <c r="B304" s="72">
        <v>10</v>
      </c>
      <c r="D304" s="72" t="s">
        <v>296</v>
      </c>
      <c r="H304" s="121">
        <f>+F684+F658</f>
        <v>18.015463793753408</v>
      </c>
      <c r="I304" s="121">
        <f>+G684+G658</f>
        <v>19.413120282535655</v>
      </c>
      <c r="J304" s="121">
        <f>+H684+H658</f>
        <v>18.657221631642898</v>
      </c>
      <c r="K304" s="121">
        <f>+I684+I658</f>
        <v>18.073</v>
      </c>
      <c r="L304" s="121">
        <f>+J684+J658</f>
        <v>18.150000000000002</v>
      </c>
      <c r="M304" s="121">
        <f>+VLOOKUP(A304,'Grondslagen AU 2021'!A$6:DA$357,77,FALSE)</f>
        <v>18.138000000000002</v>
      </c>
      <c r="N304" s="121">
        <v>17.672999999999998</v>
      </c>
      <c r="O304" s="416">
        <f t="shared" si="29"/>
        <v>0.46500000000000341</v>
      </c>
      <c r="P304" s="121"/>
    </row>
    <row r="305" spans="1:16" x14ac:dyDescent="0.35">
      <c r="A305" s="72">
        <v>858</v>
      </c>
      <c r="B305" s="72">
        <v>10</v>
      </c>
      <c r="D305" s="72" t="s">
        <v>309</v>
      </c>
      <c r="H305" s="415">
        <f t="shared" ref="H305:H312" si="34">VLOOKUP(A305,A$353:F$734,6,FALSE)</f>
        <v>1.040533851439325</v>
      </c>
      <c r="I305" s="415">
        <f t="shared" ref="I305:I312" si="35">VLOOKUP(A305,A$353:G$734,7,FALSE)</f>
        <v>0.97258668742884213</v>
      </c>
      <c r="J305" s="415">
        <f>VLOOKUP(A305,'Grondslagen AU 2018'!A309:DA694,92,FALSE)</f>
        <v>0.93639024817382299</v>
      </c>
      <c r="K305" s="415">
        <f>VLOOKUP(A305,'Grondslagen AU 2019'!A$1:DA$361,92,FALSE)</f>
        <v>0.96599999999999997</v>
      </c>
      <c r="L305" s="121">
        <f>+VLOOKUP(A305,'Grondslagen AU 2020'!A$5:DA$360,77,FALSE)</f>
        <v>0.995</v>
      </c>
      <c r="M305" s="121">
        <f>+VLOOKUP(A305,'Grondslagen AU 2021'!A$6:DA$357,77,FALSE)</f>
        <v>0.93400000000000005</v>
      </c>
      <c r="N305" s="121">
        <v>0.89400000000000002</v>
      </c>
      <c r="O305" s="416">
        <f t="shared" si="29"/>
        <v>4.0000000000000036E-2</v>
      </c>
      <c r="P305" s="121"/>
    </row>
    <row r="306" spans="1:16" x14ac:dyDescent="0.35">
      <c r="A306" s="72">
        <v>861</v>
      </c>
      <c r="B306" s="72">
        <v>10</v>
      </c>
      <c r="D306" s="72" t="s">
        <v>313</v>
      </c>
      <c r="H306" s="415">
        <f t="shared" si="34"/>
        <v>0.49800649083406962</v>
      </c>
      <c r="I306" s="415">
        <f t="shared" si="35"/>
        <v>0.35468855869124988</v>
      </c>
      <c r="J306" s="415">
        <f>VLOOKUP(A306,'Grondslagen AU 2018'!A310:DA695,92,FALSE)</f>
        <v>0.42454144803733401</v>
      </c>
      <c r="K306" s="415">
        <f>VLOOKUP(A306,'Grondslagen AU 2019'!A$1:DA$361,92,FALSE)</f>
        <v>0.28499999999999998</v>
      </c>
      <c r="L306" s="121">
        <f>+VLOOKUP(A306,'Grondslagen AU 2020'!A$5:DA$360,77,FALSE)</f>
        <v>0.379</v>
      </c>
      <c r="M306" s="121">
        <f>+VLOOKUP(A306,'Grondslagen AU 2021'!A$6:DA$357,77,FALSE)</f>
        <v>0.46600000000000003</v>
      </c>
      <c r="N306" s="121">
        <v>0.42599999999999999</v>
      </c>
      <c r="O306" s="416">
        <f t="shared" si="29"/>
        <v>4.0000000000000036E-2</v>
      </c>
      <c r="P306" s="121"/>
    </row>
    <row r="307" spans="1:16" x14ac:dyDescent="0.35">
      <c r="A307" s="72">
        <v>865</v>
      </c>
      <c r="B307" s="72">
        <v>10</v>
      </c>
      <c r="D307" s="72" t="s">
        <v>324</v>
      </c>
      <c r="H307" s="415">
        <f t="shared" si="34"/>
        <v>0.29340057179589862</v>
      </c>
      <c r="I307" s="415">
        <f t="shared" si="35"/>
        <v>0.2810769027382099</v>
      </c>
      <c r="J307" s="415">
        <f>VLOOKUP(A307,'Grondslagen AU 2018'!A311:DA696,92,FALSE)</f>
        <v>0.23177243220313801</v>
      </c>
      <c r="K307" s="415">
        <f>VLOOKUP(A307,'Grondslagen AU 2019'!A$1:DA$361,92,FALSE)</f>
        <v>0.129</v>
      </c>
      <c r="L307" s="121">
        <f>+VLOOKUP(A307,'Grondslagen AU 2020'!A$5:DA$360,77,FALSE)</f>
        <v>0.13100000000000001</v>
      </c>
      <c r="M307" s="121">
        <f>+VLOOKUP(A307,'Grondslagen AU 2021'!A$6:DA$357,77,FALSE)</f>
        <v>0.152</v>
      </c>
      <c r="N307" s="121">
        <v>0.152</v>
      </c>
      <c r="O307" s="416">
        <f t="shared" si="29"/>
        <v>0</v>
      </c>
      <c r="P307" s="121"/>
    </row>
    <row r="308" spans="1:16" x14ac:dyDescent="0.35">
      <c r="A308" s="72">
        <v>866</v>
      </c>
      <c r="B308" s="72">
        <v>10</v>
      </c>
      <c r="D308" s="72" t="s">
        <v>326</v>
      </c>
      <c r="H308" s="415">
        <f t="shared" si="34"/>
        <v>0.167707227157988</v>
      </c>
      <c r="I308" s="415">
        <f t="shared" si="35"/>
        <v>0.10623960362592366</v>
      </c>
      <c r="J308" s="415">
        <f>VLOOKUP(A308,'Grondslagen AU 2018'!A312:DA697,92,FALSE)</f>
        <v>8.1984581671398299E-2</v>
      </c>
      <c r="K308" s="415">
        <f>VLOOKUP(A308,'Grondslagen AU 2019'!A$1:DA$361,92,FALSE)</f>
        <v>0.108</v>
      </c>
      <c r="L308" s="121">
        <f>+VLOOKUP(A308,'Grondslagen AU 2020'!A$5:DA$360,77,FALSE)</f>
        <v>0.188</v>
      </c>
      <c r="M308" s="121">
        <f>+VLOOKUP(A308,'Grondslagen AU 2021'!A$6:DA$357,77,FALSE)</f>
        <v>0.26300000000000001</v>
      </c>
      <c r="N308" s="121">
        <v>0.21199999999999999</v>
      </c>
      <c r="O308" s="416">
        <f t="shared" si="29"/>
        <v>5.1000000000000018E-2</v>
      </c>
      <c r="P308" s="121"/>
    </row>
    <row r="309" spans="1:16" x14ac:dyDescent="0.35">
      <c r="A309" s="72">
        <v>867</v>
      </c>
      <c r="B309" s="72">
        <v>10</v>
      </c>
      <c r="D309" s="72" t="s">
        <v>327</v>
      </c>
      <c r="H309" s="415">
        <f t="shared" si="34"/>
        <v>1.3637261148157733</v>
      </c>
      <c r="I309" s="415">
        <f t="shared" si="35"/>
        <v>1.3716247237361134</v>
      </c>
      <c r="J309" s="415">
        <f>VLOOKUP(A309,'Grondslagen AU 2018'!A313:DA698,92,FALSE)</f>
        <v>1.43961852659627</v>
      </c>
      <c r="K309" s="415">
        <f>VLOOKUP(A309,'Grondslagen AU 2019'!A$1:DA$361,92,FALSE)</f>
        <v>1.2649999999999999</v>
      </c>
      <c r="L309" s="121">
        <f>+VLOOKUP(A309,'Grondslagen AU 2020'!A$5:DA$360,77,FALSE)</f>
        <v>1.2470000000000001</v>
      </c>
      <c r="M309" s="121">
        <f>+VLOOKUP(A309,'Grondslagen AU 2021'!A$6:DA$357,77,FALSE)</f>
        <v>1.2569999999999999</v>
      </c>
      <c r="N309" s="121">
        <v>1.173</v>
      </c>
      <c r="O309" s="416">
        <f t="shared" si="29"/>
        <v>8.3999999999999853E-2</v>
      </c>
      <c r="P309" s="121"/>
    </row>
    <row r="310" spans="1:16" x14ac:dyDescent="0.35">
      <c r="A310" s="72">
        <v>873</v>
      </c>
      <c r="B310" s="72">
        <v>10</v>
      </c>
      <c r="D310" s="72" t="s">
        <v>348</v>
      </c>
      <c r="H310" s="415">
        <f t="shared" si="34"/>
        <v>0.4307381992872984</v>
      </c>
      <c r="I310" s="415">
        <f t="shared" si="35"/>
        <v>0.2863992694500414</v>
      </c>
      <c r="J310" s="415">
        <f>VLOOKUP(A310,'Grondslagen AU 2018'!A314:DA699,92,FALSE)</f>
        <v>0.36702624738841699</v>
      </c>
      <c r="K310" s="415">
        <f>VLOOKUP(A310,'Grondslagen AU 2019'!A$1:DA$361,92,FALSE)</f>
        <v>0.44</v>
      </c>
      <c r="L310" s="121">
        <f>+VLOOKUP(A310,'Grondslagen AU 2020'!A$5:DA$360,77,FALSE)</f>
        <v>0.504</v>
      </c>
      <c r="M310" s="121">
        <f>+VLOOKUP(A310,'Grondslagen AU 2021'!A$6:DA$357,77,FALSE)</f>
        <v>0.48099999999999998</v>
      </c>
      <c r="N310" s="121">
        <v>0.45100000000000001</v>
      </c>
      <c r="O310" s="416">
        <f t="shared" si="29"/>
        <v>2.9999999999999971E-2</v>
      </c>
      <c r="P310" s="121"/>
    </row>
    <row r="311" spans="1:16" x14ac:dyDescent="0.35">
      <c r="A311" s="72">
        <v>879</v>
      </c>
      <c r="B311" s="72">
        <v>10</v>
      </c>
      <c r="D311" s="72" t="s">
        <v>361</v>
      </c>
      <c r="H311" s="415">
        <f t="shared" si="34"/>
        <v>0.16088649130556787</v>
      </c>
      <c r="I311" s="415">
        <f t="shared" si="35"/>
        <v>0.11964552484170736</v>
      </c>
      <c r="J311" s="415">
        <f>VLOOKUP(A311,'Grondslagen AU 2018'!A315:DA700,92,FALSE)</f>
        <v>0.107597301514225</v>
      </c>
      <c r="K311" s="415">
        <f>VLOOKUP(A311,'Grondslagen AU 2019'!A$1:DA$361,92,FALSE)</f>
        <v>0.111</v>
      </c>
      <c r="L311" s="121">
        <f>+VLOOKUP(A311,'Grondslagen AU 2020'!A$5:DA$360,77,FALSE)</f>
        <v>0.161</v>
      </c>
      <c r="M311" s="121">
        <f>+VLOOKUP(A311,'Grondslagen AU 2021'!A$6:DA$357,77,FALSE)</f>
        <v>0.189</v>
      </c>
      <c r="N311" s="121">
        <v>0.22500000000000001</v>
      </c>
      <c r="O311" s="416">
        <f t="shared" si="29"/>
        <v>-3.6000000000000004E-2</v>
      </c>
      <c r="P311" s="121"/>
    </row>
    <row r="312" spans="1:16" x14ac:dyDescent="0.35">
      <c r="A312" s="72">
        <v>888</v>
      </c>
      <c r="B312" s="72">
        <v>11</v>
      </c>
      <c r="D312" s="72" t="s">
        <v>36</v>
      </c>
      <c r="H312" s="415">
        <f t="shared" si="34"/>
        <v>0.62871642515734094</v>
      </c>
      <c r="I312" s="415">
        <f t="shared" si="35"/>
        <v>0.59563717196081944</v>
      </c>
      <c r="J312" s="415">
        <f>VLOOKUP(A312,'Grondslagen AU 2018'!A316:DA701,92,FALSE)</f>
        <v>0.53073247521349998</v>
      </c>
      <c r="K312" s="415">
        <f>VLOOKUP(A312,'Grondslagen AU 2019'!A$1:DA$361,92,FALSE)</f>
        <v>0.52400000000000002</v>
      </c>
      <c r="L312" s="121">
        <f>+VLOOKUP(A312,'Grondslagen AU 2020'!A$5:DA$360,77,FALSE)</f>
        <v>0.57199999999999995</v>
      </c>
      <c r="M312" s="121">
        <f>+VLOOKUP(A312,'Grondslagen AU 2021'!A$6:DA$357,77,FALSE)</f>
        <v>0.58699999999999997</v>
      </c>
      <c r="N312" s="121">
        <v>0.59399999999999997</v>
      </c>
      <c r="O312" s="416">
        <f t="shared" si="29"/>
        <v>-7.0000000000000062E-3</v>
      </c>
      <c r="P312" s="121"/>
    </row>
    <row r="313" spans="1:16" x14ac:dyDescent="0.35">
      <c r="A313" s="72">
        <v>1954</v>
      </c>
      <c r="B313" s="72">
        <v>11</v>
      </c>
      <c r="D313" s="72" t="s">
        <v>37</v>
      </c>
      <c r="H313" s="415">
        <f>+F713+F714+F718</f>
        <v>1.2373743843295146</v>
      </c>
      <c r="I313" s="415">
        <f>+G713+G714+G718</f>
        <v>1.1178068963203134</v>
      </c>
      <c r="J313" s="415">
        <f>+H713+H714+H718</f>
        <v>0.97375578083735204</v>
      </c>
      <c r="K313" s="415">
        <f>VLOOKUP(A313,'Grondslagen AU 2019'!A$1:DA$361,92,FALSE)</f>
        <v>0.96</v>
      </c>
      <c r="L313" s="121">
        <f>+VLOOKUP(A313,'Grondslagen AU 2020'!A$5:DA$360,77,FALSE)</f>
        <v>0.875</v>
      </c>
      <c r="M313" s="121">
        <f>+VLOOKUP(A313,'Grondslagen AU 2021'!A$6:DA$357,77,FALSE)</f>
        <v>0.97499999999999998</v>
      </c>
      <c r="N313" s="121">
        <v>1.0129999999999999</v>
      </c>
      <c r="O313" s="416">
        <f t="shared" si="29"/>
        <v>-3.7999999999999923E-2</v>
      </c>
      <c r="P313" s="121"/>
    </row>
    <row r="314" spans="1:16" x14ac:dyDescent="0.35">
      <c r="A314" s="72">
        <v>889</v>
      </c>
      <c r="B314" s="72">
        <v>11</v>
      </c>
      <c r="D314" s="72" t="s">
        <v>39</v>
      </c>
      <c r="H314" s="415">
        <f t="shared" ref="H314:H348" si="36">VLOOKUP(A314,A$353:F$734,6,FALSE)</f>
        <v>0.51802964414738217</v>
      </c>
      <c r="I314" s="415">
        <f t="shared" ref="I314:I348" si="37">VLOOKUP(A314,A$353:G$734,7,FALSE)</f>
        <v>0.46693670230362611</v>
      </c>
      <c r="J314" s="415">
        <f>VLOOKUP(A314,'Grondslagen AU 2018'!A318:DA703,92,FALSE)</f>
        <v>0.41386618314768397</v>
      </c>
      <c r="K314" s="415">
        <f>VLOOKUP(A314,'Grondslagen AU 2019'!A$1:DA$361,92,FALSE)</f>
        <v>0.307</v>
      </c>
      <c r="L314" s="121">
        <f>+VLOOKUP(A314,'Grondslagen AU 2020'!A$5:DA$360,77,FALSE)</f>
        <v>0.42199999999999999</v>
      </c>
      <c r="M314" s="121">
        <f>+VLOOKUP(A314,'Grondslagen AU 2021'!A$6:DA$357,77,FALSE)</f>
        <v>0.41699999999999998</v>
      </c>
      <c r="N314" s="121">
        <v>0.46100000000000002</v>
      </c>
      <c r="O314" s="416">
        <f t="shared" si="29"/>
        <v>-4.4000000000000039E-2</v>
      </c>
      <c r="P314" s="121"/>
    </row>
    <row r="315" spans="1:16" x14ac:dyDescent="0.35">
      <c r="A315" s="72">
        <v>893</v>
      </c>
      <c r="B315" s="72">
        <v>11</v>
      </c>
      <c r="D315" s="72" t="s">
        <v>42</v>
      </c>
      <c r="H315" s="415">
        <f t="shared" si="36"/>
        <v>0.32364231230822194</v>
      </c>
      <c r="I315" s="415">
        <f t="shared" si="37"/>
        <v>0.30050745539043755</v>
      </c>
      <c r="J315" s="415">
        <f>VLOOKUP(A315,'Grondslagen AU 2018'!A319:DA704,92,FALSE)</f>
        <v>0.28150076653508899</v>
      </c>
      <c r="K315" s="415">
        <f>VLOOKUP(A315,'Grondslagen AU 2019'!A$1:DA$361,92,FALSE)</f>
        <v>0.3</v>
      </c>
      <c r="L315" s="121">
        <f>+VLOOKUP(A315,'Grondslagen AU 2020'!A$5:DA$360,77,FALSE)</f>
        <v>0.30599999999999999</v>
      </c>
      <c r="M315" s="121">
        <f>+VLOOKUP(A315,'Grondslagen AU 2021'!A$6:DA$357,77,FALSE)</f>
        <v>0.249</v>
      </c>
      <c r="N315" s="121">
        <v>0.23699999999999999</v>
      </c>
      <c r="O315" s="416">
        <f t="shared" si="29"/>
        <v>1.2000000000000011E-2</v>
      </c>
      <c r="P315" s="121"/>
    </row>
    <row r="316" spans="1:16" x14ac:dyDescent="0.35">
      <c r="A316" s="72">
        <v>899</v>
      </c>
      <c r="B316" s="72">
        <v>11</v>
      </c>
      <c r="D316" s="72" t="s">
        <v>64</v>
      </c>
      <c r="H316" s="415">
        <f t="shared" si="36"/>
        <v>2.7571269512629235</v>
      </c>
      <c r="I316" s="415">
        <f t="shared" si="37"/>
        <v>2.7099952839149042</v>
      </c>
      <c r="J316" s="415">
        <f>VLOOKUP(A316,'Grondslagen AU 2018'!A320:DA705,92,FALSE)</f>
        <v>2.5163399686424901</v>
      </c>
      <c r="K316" s="415">
        <f>VLOOKUP(A316,'Grondslagen AU 2019'!A$1:DA$361,92,FALSE)</f>
        <v>2.3170000000000002</v>
      </c>
      <c r="L316" s="121">
        <f>+VLOOKUP(A316,'Grondslagen AU 2020'!A$5:DA$360,77,FALSE)</f>
        <v>2.3570000000000002</v>
      </c>
      <c r="M316" s="121">
        <f>+VLOOKUP(A316,'Grondslagen AU 2021'!A$6:DA$357,77,FALSE)</f>
        <v>2.2309999999999999</v>
      </c>
      <c r="N316" s="121">
        <v>2.0779999999999998</v>
      </c>
      <c r="O316" s="416">
        <f t="shared" si="29"/>
        <v>0.15300000000000002</v>
      </c>
      <c r="P316" s="121"/>
    </row>
    <row r="317" spans="1:16" x14ac:dyDescent="0.35">
      <c r="A317" s="72">
        <v>1711</v>
      </c>
      <c r="B317" s="72">
        <v>11</v>
      </c>
      <c r="D317" s="72" t="s">
        <v>96</v>
      </c>
      <c r="H317" s="415">
        <f t="shared" si="36"/>
        <v>0.98961131921731782</v>
      </c>
      <c r="I317" s="415">
        <f t="shared" si="37"/>
        <v>0.87249845877368581</v>
      </c>
      <c r="J317" s="415">
        <f>VLOOKUP(A317,'Grondslagen AU 2018'!A321:DA706,92,FALSE)</f>
        <v>0.78456480696590003</v>
      </c>
      <c r="K317" s="415">
        <f>VLOOKUP(A317,'Grondslagen AU 2019'!A$1:DA$361,92,FALSE)</f>
        <v>0.93899999999999995</v>
      </c>
      <c r="L317" s="121">
        <f>+VLOOKUP(A317,'Grondslagen AU 2020'!A$5:DA$360,77,FALSE)</f>
        <v>0.97799999999999998</v>
      </c>
      <c r="M317" s="121">
        <f>+VLOOKUP(A317,'Grondslagen AU 2021'!A$6:DA$357,77,FALSE)</f>
        <v>0.88400000000000001</v>
      </c>
      <c r="N317" s="121">
        <v>0.81699999999999995</v>
      </c>
      <c r="O317" s="416">
        <f t="shared" si="29"/>
        <v>6.700000000000006E-2</v>
      </c>
      <c r="P317" s="121"/>
    </row>
    <row r="318" spans="1:16" x14ac:dyDescent="0.35">
      <c r="A318" s="72">
        <v>1903</v>
      </c>
      <c r="B318" s="72">
        <v>11</v>
      </c>
      <c r="D318" s="72" t="s">
        <v>101</v>
      </c>
      <c r="H318" s="415">
        <f t="shared" si="36"/>
        <v>0.22846933031820416</v>
      </c>
      <c r="I318" s="415">
        <f t="shared" si="37"/>
        <v>0.12156235083249997</v>
      </c>
      <c r="J318" s="415">
        <f>VLOOKUP(A318,'Grondslagen AU 2018'!A322:DA707,92,FALSE)</f>
        <v>0.120171844015888</v>
      </c>
      <c r="K318" s="415">
        <f>VLOOKUP(A318,'Grondslagen AU 2019'!A$1:DA$361,92,FALSE)</f>
        <v>0.17199999999999999</v>
      </c>
      <c r="L318" s="121">
        <f>+VLOOKUP(A318,'Grondslagen AU 2020'!A$5:DA$360,77,FALSE)</f>
        <v>0.24299999999999999</v>
      </c>
      <c r="M318" s="121">
        <f>+VLOOKUP(A318,'Grondslagen AU 2021'!A$6:DA$357,77,FALSE)</f>
        <v>0.27700000000000002</v>
      </c>
      <c r="N318" s="121">
        <v>0.32400000000000001</v>
      </c>
      <c r="O318" s="416">
        <f t="shared" si="29"/>
        <v>-4.6999999999999986E-2</v>
      </c>
      <c r="P318" s="121"/>
    </row>
    <row r="319" spans="1:16" x14ac:dyDescent="0.35">
      <c r="A319" s="72">
        <v>907</v>
      </c>
      <c r="B319" s="72">
        <v>11</v>
      </c>
      <c r="D319" s="72" t="s">
        <v>113</v>
      </c>
      <c r="H319" s="415">
        <f t="shared" si="36"/>
        <v>0.5054457857309872</v>
      </c>
      <c r="I319" s="415">
        <f t="shared" si="37"/>
        <v>0.49764072902037265</v>
      </c>
      <c r="J319" s="415">
        <f>VLOOKUP(A319,'Grondslagen AU 2018'!A323:DA708,92,FALSE)</f>
        <v>0.548328849009043</v>
      </c>
      <c r="K319" s="415">
        <f>VLOOKUP(A319,'Grondslagen AU 2019'!A$1:DA$361,92,FALSE)</f>
        <v>0.47399999999999998</v>
      </c>
      <c r="L319" s="121">
        <f>+VLOOKUP(A319,'Grondslagen AU 2020'!A$5:DA$360,77,FALSE)</f>
        <v>0.47499999999999998</v>
      </c>
      <c r="M319" s="121">
        <f>+VLOOKUP(A319,'Grondslagen AU 2021'!A$6:DA$357,77,FALSE)</f>
        <v>0.46200000000000002</v>
      </c>
      <c r="N319" s="121">
        <v>0.45800000000000002</v>
      </c>
      <c r="O319" s="416">
        <f t="shared" si="29"/>
        <v>4.0000000000000036E-3</v>
      </c>
      <c r="P319" s="121"/>
    </row>
    <row r="320" spans="1:16" x14ac:dyDescent="0.35">
      <c r="A320" s="72">
        <v>1729</v>
      </c>
      <c r="B320" s="72">
        <v>11</v>
      </c>
      <c r="D320" s="72" t="s">
        <v>123</v>
      </c>
      <c r="H320" s="415">
        <f t="shared" si="36"/>
        <v>0.24973986224740696</v>
      </c>
      <c r="I320" s="415">
        <f t="shared" si="37"/>
        <v>0.22401691059231427</v>
      </c>
      <c r="J320" s="415">
        <f>VLOOKUP(A320,'Grondslagen AU 2018'!A324:DA709,92,FALSE)</f>
        <v>0.25821285499434199</v>
      </c>
      <c r="K320" s="415">
        <f>VLOOKUP(A320,'Grondslagen AU 2019'!A$1:DA$361,92,FALSE)</f>
        <v>0.35</v>
      </c>
      <c r="L320" s="121">
        <f>+VLOOKUP(A320,'Grondslagen AU 2020'!A$5:DA$360,77,FALSE)</f>
        <v>0.33300000000000002</v>
      </c>
      <c r="M320" s="121">
        <f>+VLOOKUP(A320,'Grondslagen AU 2021'!A$6:DA$357,77,FALSE)</f>
        <v>0.34100000000000003</v>
      </c>
      <c r="N320" s="121">
        <v>0.36299999999999999</v>
      </c>
      <c r="O320" s="416">
        <f t="shared" si="29"/>
        <v>-2.1999999999999964E-2</v>
      </c>
      <c r="P320" s="121"/>
    </row>
    <row r="321" spans="1:16" x14ac:dyDescent="0.35">
      <c r="A321" s="72">
        <v>917</v>
      </c>
      <c r="B321" s="72">
        <v>11</v>
      </c>
      <c r="D321" s="72" t="s">
        <v>139</v>
      </c>
      <c r="H321" s="415">
        <f t="shared" si="36"/>
        <v>14.404855489421847</v>
      </c>
      <c r="I321" s="415">
        <f t="shared" si="37"/>
        <v>14.270462793534929</v>
      </c>
      <c r="J321" s="415">
        <f>VLOOKUP(A321,'Grondslagen AU 2018'!A325:DA710,92,FALSE)</f>
        <v>13.852092044684101</v>
      </c>
      <c r="K321" s="415">
        <f>VLOOKUP(A321,'Grondslagen AU 2019'!A$1:DA$361,92,FALSE)</f>
        <v>13.054</v>
      </c>
      <c r="L321" s="121">
        <f>+VLOOKUP(A321,'Grondslagen AU 2020'!A$5:DA$360,77,FALSE)</f>
        <v>12.94</v>
      </c>
      <c r="M321" s="121">
        <f>+VLOOKUP(A321,'Grondslagen AU 2021'!A$6:DA$357,77,FALSE)</f>
        <v>12.965</v>
      </c>
      <c r="N321" s="121">
        <v>12.909000000000001</v>
      </c>
      <c r="O321" s="416">
        <f t="shared" si="29"/>
        <v>5.5999999999999162E-2</v>
      </c>
      <c r="P321" s="121"/>
    </row>
    <row r="322" spans="1:16" x14ac:dyDescent="0.35">
      <c r="A322" s="72">
        <v>1507</v>
      </c>
      <c r="B322" s="72">
        <v>11</v>
      </c>
      <c r="D322" s="72" t="s">
        <v>158</v>
      </c>
      <c r="H322" s="415">
        <f t="shared" si="36"/>
        <v>0.35202682703792204</v>
      </c>
      <c r="I322" s="415">
        <f t="shared" si="37"/>
        <v>0.20610284908280771</v>
      </c>
      <c r="J322" s="415">
        <f>VLOOKUP(A322,'Grondslagen AU 2018'!A326:DA711,92,FALSE)</f>
        <v>0.20561831480496201</v>
      </c>
      <c r="K322" s="415">
        <f>VLOOKUP(A322,'Grondslagen AU 2019'!A$1:DA$361,92,FALSE)</f>
        <v>0.215</v>
      </c>
      <c r="L322" s="121">
        <f>+VLOOKUP(A322,'Grondslagen AU 2020'!A$5:DA$360,77,FALSE)</f>
        <v>0.218</v>
      </c>
      <c r="M322" s="121">
        <f>+VLOOKUP(A322,'Grondslagen AU 2021'!A$6:DA$357,77,FALSE)</f>
        <v>0.21299999999999999</v>
      </c>
      <c r="N322" s="121">
        <v>0.216</v>
      </c>
      <c r="O322" s="416">
        <f t="shared" si="29"/>
        <v>-3.0000000000000027E-3</v>
      </c>
      <c r="P322" s="121"/>
    </row>
    <row r="323" spans="1:16" x14ac:dyDescent="0.35">
      <c r="A323" s="72">
        <v>928</v>
      </c>
      <c r="B323" s="72">
        <v>11</v>
      </c>
      <c r="D323" s="72" t="s">
        <v>167</v>
      </c>
      <c r="H323" s="415">
        <f t="shared" si="36"/>
        <v>6.1745673572150883</v>
      </c>
      <c r="I323" s="415">
        <f t="shared" si="37"/>
        <v>5.9815803664784424</v>
      </c>
      <c r="J323" s="415">
        <f>VLOOKUP(A323,'Grondslagen AU 2018'!A327:DA712,92,FALSE)</f>
        <v>5.6149856655926298</v>
      </c>
      <c r="K323" s="415">
        <f>VLOOKUP(A323,'Grondslagen AU 2019'!A$1:DA$361,92,FALSE)</f>
        <v>5.1820000000000004</v>
      </c>
      <c r="L323" s="121">
        <f>+VLOOKUP(A323,'Grondslagen AU 2020'!A$5:DA$360,77,FALSE)</f>
        <v>5.1280000000000001</v>
      </c>
      <c r="M323" s="121">
        <f>+VLOOKUP(A323,'Grondslagen AU 2021'!A$6:DA$357,77,FALSE)</f>
        <v>4.9359999999999999</v>
      </c>
      <c r="N323" s="121">
        <v>4.899</v>
      </c>
      <c r="O323" s="416">
        <f t="shared" si="29"/>
        <v>3.6999999999999922E-2</v>
      </c>
      <c r="P323" s="121"/>
    </row>
    <row r="324" spans="1:16" x14ac:dyDescent="0.35">
      <c r="A324" s="72">
        <v>882</v>
      </c>
      <c r="B324" s="72">
        <v>11</v>
      </c>
      <c r="D324" s="72" t="s">
        <v>173</v>
      </c>
      <c r="H324" s="415">
        <f t="shared" si="36"/>
        <v>3.1294003525896916</v>
      </c>
      <c r="I324" s="415">
        <f t="shared" si="37"/>
        <v>3.0962980579692982</v>
      </c>
      <c r="J324" s="415">
        <f>VLOOKUP(A324,'Grondslagen AU 2018'!A328:DA713,92,FALSE)</f>
        <v>3.0070135203106898</v>
      </c>
      <c r="K324" s="415">
        <f>VLOOKUP(A324,'Grondslagen AU 2019'!A$1:DA$361,92,FALSE)</f>
        <v>3.08</v>
      </c>
      <c r="L324" s="121">
        <f>+VLOOKUP(A324,'Grondslagen AU 2020'!A$5:DA$360,77,FALSE)</f>
        <v>3.15</v>
      </c>
      <c r="M324" s="121">
        <f>+VLOOKUP(A324,'Grondslagen AU 2021'!A$6:DA$357,77,FALSE)</f>
        <v>3.1909999999999998</v>
      </c>
      <c r="N324" s="121">
        <v>3.1040000000000001</v>
      </c>
      <c r="O324" s="416">
        <f t="shared" si="29"/>
        <v>8.6999999999999744E-2</v>
      </c>
      <c r="P324" s="121"/>
    </row>
    <row r="325" spans="1:16" x14ac:dyDescent="0.35">
      <c r="A325" s="72">
        <v>1640</v>
      </c>
      <c r="B325" s="72">
        <v>11</v>
      </c>
      <c r="D325" s="72" t="s">
        <v>183</v>
      </c>
      <c r="H325" s="415">
        <f t="shared" si="36"/>
        <v>0.38639407303889123</v>
      </c>
      <c r="I325" s="415">
        <f t="shared" si="37"/>
        <v>0.38786766281667739</v>
      </c>
      <c r="J325" s="415">
        <f>VLOOKUP(A325,'Grondslagen AU 2018'!A329:DA714,92,FALSE)</f>
        <v>0.34741584017124799</v>
      </c>
      <c r="K325" s="415">
        <f>VLOOKUP(A325,'Grondslagen AU 2019'!A$1:DA$361,92,FALSE)</f>
        <v>0.34399999999999997</v>
      </c>
      <c r="L325" s="121">
        <f>+VLOOKUP(A325,'Grondslagen AU 2020'!A$5:DA$360,77,FALSE)</f>
        <v>0.26200000000000001</v>
      </c>
      <c r="M325" s="121">
        <f>+VLOOKUP(A325,'Grondslagen AU 2021'!A$6:DA$357,77,FALSE)</f>
        <v>0.29099999999999998</v>
      </c>
      <c r="N325" s="121">
        <v>0.378</v>
      </c>
      <c r="O325" s="416">
        <f t="shared" si="29"/>
        <v>-8.7000000000000022E-2</v>
      </c>
      <c r="P325" s="121"/>
    </row>
    <row r="326" spans="1:16" x14ac:dyDescent="0.35">
      <c r="A326" s="72">
        <v>1641</v>
      </c>
      <c r="B326" s="72">
        <v>11</v>
      </c>
      <c r="D326" s="72" t="s">
        <v>193</v>
      </c>
      <c r="H326" s="415">
        <f t="shared" si="36"/>
        <v>0.50740942033912761</v>
      </c>
      <c r="I326" s="415">
        <f t="shared" si="37"/>
        <v>0.44361003853166436</v>
      </c>
      <c r="J326" s="415">
        <f>VLOOKUP(A326,'Grondslagen AU 2018'!A330:DA715,92,FALSE)</f>
        <v>0.40044485144648501</v>
      </c>
      <c r="K326" s="415">
        <f>VLOOKUP(A326,'Grondslagen AU 2019'!A$1:DA$361,92,FALSE)</f>
        <v>0.41399999999999998</v>
      </c>
      <c r="L326" s="121">
        <f>+VLOOKUP(A326,'Grondslagen AU 2020'!A$5:DA$360,77,FALSE)</f>
        <v>0.41799999999999998</v>
      </c>
      <c r="M326" s="121">
        <f>+VLOOKUP(A326,'Grondslagen AU 2021'!A$6:DA$357,77,FALSE)</f>
        <v>0.372</v>
      </c>
      <c r="N326" s="121">
        <v>0.42499999999999999</v>
      </c>
      <c r="O326" s="416">
        <f t="shared" ref="O326:O349" si="38">+M326-N326</f>
        <v>-5.2999999999999992E-2</v>
      </c>
      <c r="P326" s="121"/>
    </row>
    <row r="327" spans="1:16" x14ac:dyDescent="0.35">
      <c r="A327" s="72">
        <v>935</v>
      </c>
      <c r="B327" s="72">
        <v>11</v>
      </c>
      <c r="D327" s="72" t="s">
        <v>195</v>
      </c>
      <c r="H327" s="415">
        <f t="shared" si="36"/>
        <v>10.248182078763579</v>
      </c>
      <c r="I327" s="415">
        <f t="shared" si="37"/>
        <v>10.5687654939015</v>
      </c>
      <c r="J327" s="415">
        <f>VLOOKUP(A327,'Grondslagen AU 2018'!A331:DA716,92,FALSE)</f>
        <v>9.9707208700914602</v>
      </c>
      <c r="K327" s="415">
        <f>VLOOKUP(A327,'Grondslagen AU 2019'!A$1:DA$361,92,FALSE)</f>
        <v>10.129</v>
      </c>
      <c r="L327" s="121">
        <f>+VLOOKUP(A327,'Grondslagen AU 2020'!A$5:DA$360,77,FALSE)</f>
        <v>10.175000000000001</v>
      </c>
      <c r="M327" s="121">
        <f>+VLOOKUP(A327,'Grondslagen AU 2021'!A$6:DA$357,77,FALSE)</f>
        <v>10.361000000000001</v>
      </c>
      <c r="N327" s="121">
        <v>9.9740000000000002</v>
      </c>
      <c r="O327" s="416">
        <f t="shared" si="38"/>
        <v>0.38700000000000045</v>
      </c>
      <c r="P327" s="121"/>
    </row>
    <row r="328" spans="1:16" x14ac:dyDescent="0.35">
      <c r="A328" s="72">
        <v>938</v>
      </c>
      <c r="B328" s="72">
        <v>11</v>
      </c>
      <c r="D328" s="72" t="s">
        <v>197</v>
      </c>
      <c r="H328" s="415">
        <f t="shared" si="36"/>
        <v>0.41781731529911914</v>
      </c>
      <c r="I328" s="415">
        <f t="shared" si="37"/>
        <v>0.27793653164559079</v>
      </c>
      <c r="J328" s="415">
        <f>VLOOKUP(A328,'Grondslagen AU 2018'!A332:DA717,92,FALSE)</f>
        <v>0.28927530880555502</v>
      </c>
      <c r="K328" s="415">
        <f>VLOOKUP(A328,'Grondslagen AU 2019'!A$1:DA$361,92,FALSE)</f>
        <v>0.316</v>
      </c>
      <c r="L328" s="121">
        <f>+VLOOKUP(A328,'Grondslagen AU 2020'!A$5:DA$360,77,FALSE)</f>
        <v>0.38700000000000001</v>
      </c>
      <c r="M328" s="121">
        <f>+VLOOKUP(A328,'Grondslagen AU 2021'!A$6:DA$357,77,FALSE)</f>
        <v>0.34699999999999998</v>
      </c>
      <c r="N328" s="121">
        <v>0.38900000000000001</v>
      </c>
      <c r="O328" s="416">
        <f t="shared" si="38"/>
        <v>-4.2000000000000037E-2</v>
      </c>
      <c r="P328" s="121"/>
    </row>
    <row r="329" spans="1:16" x14ac:dyDescent="0.35">
      <c r="A329" s="72">
        <v>944</v>
      </c>
      <c r="B329" s="72">
        <v>11</v>
      </c>
      <c r="D329" s="72" t="s">
        <v>209</v>
      </c>
      <c r="H329" s="415">
        <f t="shared" si="36"/>
        <v>0.15176321758307121</v>
      </c>
      <c r="I329" s="415">
        <f t="shared" si="37"/>
        <v>0.1353169247742855</v>
      </c>
      <c r="J329" s="415">
        <f>VLOOKUP(A329,'Grondslagen AU 2018'!A333:DA718,92,FALSE)</f>
        <v>0.11777402226849</v>
      </c>
      <c r="K329" s="415">
        <f>VLOOKUP(A329,'Grondslagen AU 2019'!A$1:DA$361,92,FALSE)</f>
        <v>0.11799999999999999</v>
      </c>
      <c r="L329" s="121">
        <f>+VLOOKUP(A329,'Grondslagen AU 2020'!A$5:DA$360,77,FALSE)</f>
        <v>0.127</v>
      </c>
      <c r="M329" s="121">
        <f>+VLOOKUP(A329,'Grondslagen AU 2021'!A$6:DA$357,77,FALSE)</f>
        <v>8.4000000000000005E-2</v>
      </c>
      <c r="N329" s="121">
        <v>0.112</v>
      </c>
      <c r="O329" s="416">
        <f t="shared" si="38"/>
        <v>-2.7999999999999997E-2</v>
      </c>
      <c r="P329" s="121"/>
    </row>
    <row r="330" spans="1:16" x14ac:dyDescent="0.35">
      <c r="A330" s="72">
        <v>946</v>
      </c>
      <c r="B330" s="72">
        <v>11</v>
      </c>
      <c r="D330" s="72" t="s">
        <v>211</v>
      </c>
      <c r="H330" s="415">
        <f t="shared" si="36"/>
        <v>0.12004125923261962</v>
      </c>
      <c r="I330" s="415">
        <f t="shared" si="37"/>
        <v>8.3117463619125295E-2</v>
      </c>
      <c r="J330" s="415">
        <f>VLOOKUP(A330,'Grondslagen AU 2018'!A334:DA719,92,FALSE)</f>
        <v>8.1753406955252794E-2</v>
      </c>
      <c r="K330" s="415">
        <f>VLOOKUP(A330,'Grondslagen AU 2019'!A$1:DA$361,92,FALSE)</f>
        <v>8.5000000000000006E-2</v>
      </c>
      <c r="L330" s="121">
        <f>+VLOOKUP(A330,'Grondslagen AU 2020'!A$5:DA$360,77,FALSE)</f>
        <v>8.5999999999999993E-2</v>
      </c>
      <c r="M330" s="121">
        <f>+VLOOKUP(A330,'Grondslagen AU 2021'!A$6:DA$357,77,FALSE)</f>
        <v>8.4000000000000005E-2</v>
      </c>
      <c r="N330" s="121">
        <v>8.5000000000000006E-2</v>
      </c>
      <c r="O330" s="416">
        <f t="shared" si="38"/>
        <v>-1.0000000000000009E-3</v>
      </c>
      <c r="P330" s="121"/>
    </row>
    <row r="331" spans="1:16" x14ac:dyDescent="0.35">
      <c r="A331" s="72">
        <v>1894</v>
      </c>
      <c r="B331" s="72">
        <v>11</v>
      </c>
      <c r="D331" s="72" t="s">
        <v>244</v>
      </c>
      <c r="H331" s="415">
        <f t="shared" si="36"/>
        <v>0.31045486866891842</v>
      </c>
      <c r="I331" s="415">
        <f t="shared" si="37"/>
        <v>0.21452629601254328</v>
      </c>
      <c r="J331" s="415">
        <f>VLOOKUP(A331,'Grondslagen AU 2018'!A335:DA720,92,FALSE)</f>
        <v>0.21022520425001601</v>
      </c>
      <c r="K331" s="415">
        <f>VLOOKUP(A331,'Grondslagen AU 2019'!A$1:DA$361,92,FALSE)</f>
        <v>0.217</v>
      </c>
      <c r="L331" s="121">
        <f>+VLOOKUP(A331,'Grondslagen AU 2020'!A$5:DA$360,77,FALSE)</f>
        <v>0.221</v>
      </c>
      <c r="M331" s="121">
        <f>+VLOOKUP(A331,'Grondslagen AU 2021'!A$6:DA$357,77,FALSE)</f>
        <v>0.216</v>
      </c>
      <c r="N331" s="121">
        <v>0.22</v>
      </c>
      <c r="O331" s="416">
        <f t="shared" si="38"/>
        <v>-4.0000000000000036E-3</v>
      </c>
      <c r="P331" s="121"/>
    </row>
    <row r="332" spans="1:16" x14ac:dyDescent="0.35">
      <c r="A332" s="72">
        <v>1669</v>
      </c>
      <c r="B332" s="72">
        <v>11</v>
      </c>
      <c r="D332" s="72" t="s">
        <v>259</v>
      </c>
      <c r="H332" s="415">
        <f t="shared" si="36"/>
        <v>0.52183031471711572</v>
      </c>
      <c r="I332" s="415">
        <f t="shared" si="37"/>
        <v>0.49695615922655934</v>
      </c>
      <c r="J332" s="415">
        <f>VLOOKUP(A332,'Grondslagen AU 2018'!A336:DA721,92,FALSE)</f>
        <v>0.47236827632022899</v>
      </c>
      <c r="K332" s="415">
        <f>VLOOKUP(A332,'Grondslagen AU 2019'!A$1:DA$361,92,FALSE)</f>
        <v>0.438</v>
      </c>
      <c r="L332" s="121">
        <f>+VLOOKUP(A332,'Grondslagen AU 2020'!A$5:DA$360,77,FALSE)</f>
        <v>0.442</v>
      </c>
      <c r="M332" s="121">
        <f>+VLOOKUP(A332,'Grondslagen AU 2021'!A$6:DA$357,77,FALSE)</f>
        <v>0.45300000000000001</v>
      </c>
      <c r="N332" s="121">
        <v>0.44600000000000001</v>
      </c>
      <c r="O332" s="416">
        <f t="shared" si="38"/>
        <v>7.0000000000000062E-3</v>
      </c>
      <c r="P332" s="121"/>
    </row>
    <row r="333" spans="1:16" x14ac:dyDescent="0.35">
      <c r="A333" s="72">
        <v>957</v>
      </c>
      <c r="B333" s="72">
        <v>11</v>
      </c>
      <c r="D333" s="72" t="s">
        <v>260</v>
      </c>
      <c r="H333" s="415">
        <f t="shared" si="36"/>
        <v>4.8860156258365448</v>
      </c>
      <c r="I333" s="415">
        <f t="shared" si="37"/>
        <v>4.8716449281228851</v>
      </c>
      <c r="J333" s="415">
        <f>VLOOKUP(A333,'Grondslagen AU 2018'!A337:DA722,92,FALSE)</f>
        <v>4.8738425472350704</v>
      </c>
      <c r="K333" s="415">
        <f>VLOOKUP(A333,'Grondslagen AU 2019'!A$1:DA$361,92,FALSE)</f>
        <v>4.7</v>
      </c>
      <c r="L333" s="121">
        <f>+VLOOKUP(A333,'Grondslagen AU 2020'!A$5:DA$360,77,FALSE)</f>
        <v>4.7649999999999997</v>
      </c>
      <c r="M333" s="121">
        <f>+VLOOKUP(A333,'Grondslagen AU 2021'!A$6:DA$357,77,FALSE)</f>
        <v>4.7350000000000003</v>
      </c>
      <c r="N333" s="121">
        <v>4.71</v>
      </c>
      <c r="O333" s="416">
        <f t="shared" si="38"/>
        <v>2.5000000000000355E-2</v>
      </c>
      <c r="P333" s="121"/>
    </row>
    <row r="334" spans="1:16" x14ac:dyDescent="0.35">
      <c r="A334" s="72">
        <v>965</v>
      </c>
      <c r="B334" s="72">
        <v>11</v>
      </c>
      <c r="D334" s="72" t="s">
        <v>272</v>
      </c>
      <c r="H334" s="415">
        <f t="shared" si="36"/>
        <v>0.34243653862473811</v>
      </c>
      <c r="I334" s="415">
        <f t="shared" si="37"/>
        <v>0.32789877838826248</v>
      </c>
      <c r="J334" s="415">
        <f>VLOOKUP(A334,'Grondslagen AU 2018'!A338:DA723,92,FALSE)</f>
        <v>0.24197687566172699</v>
      </c>
      <c r="K334" s="415">
        <f>VLOOKUP(A334,'Grondslagen AU 2019'!A$1:DA$361,92,FALSE)</f>
        <v>0.191</v>
      </c>
      <c r="L334" s="121">
        <f>+VLOOKUP(A334,'Grondslagen AU 2020'!A$5:DA$360,77,FALSE)</f>
        <v>0.24</v>
      </c>
      <c r="M334" s="121">
        <f>+VLOOKUP(A334,'Grondslagen AU 2021'!A$6:DA$357,77,FALSE)</f>
        <v>0.24099999999999999</v>
      </c>
      <c r="N334" s="121">
        <v>0.25600000000000001</v>
      </c>
      <c r="O334" s="416">
        <f t="shared" si="38"/>
        <v>-1.5000000000000013E-2</v>
      </c>
      <c r="P334" s="121"/>
    </row>
    <row r="335" spans="1:16" x14ac:dyDescent="0.35">
      <c r="A335" s="72">
        <v>1883</v>
      </c>
      <c r="B335" s="72">
        <v>11</v>
      </c>
      <c r="D335" s="72" t="s">
        <v>275</v>
      </c>
      <c r="H335" s="415">
        <f t="shared" si="36"/>
        <v>7.7357887831791903</v>
      </c>
      <c r="I335" s="415">
        <f t="shared" si="37"/>
        <v>7.7786094256069225</v>
      </c>
      <c r="J335" s="415">
        <f>VLOOKUP(A335,'Grondslagen AU 2018'!A339:DA724,92,FALSE)</f>
        <v>7.5632243779084796</v>
      </c>
      <c r="K335" s="415">
        <f>VLOOKUP(A335,'Grondslagen AU 2019'!A$1:DA$361,92,FALSE)</f>
        <v>7.6269999999999998</v>
      </c>
      <c r="L335" s="121">
        <f>+VLOOKUP(A335,'Grondslagen AU 2020'!A$5:DA$360,77,FALSE)</f>
        <v>7.7549999999999999</v>
      </c>
      <c r="M335" s="121">
        <f>+VLOOKUP(A335,'Grondslagen AU 2021'!A$6:DA$357,77,FALSE)</f>
        <v>7.32</v>
      </c>
      <c r="N335" s="121">
        <v>7.0970000000000004</v>
      </c>
      <c r="O335" s="416">
        <f t="shared" si="38"/>
        <v>0.22299999999999986</v>
      </c>
      <c r="P335" s="121"/>
    </row>
    <row r="336" spans="1:16" x14ac:dyDescent="0.35">
      <c r="A336" s="72">
        <v>971</v>
      </c>
      <c r="B336" s="72">
        <v>11</v>
      </c>
      <c r="D336" s="72" t="s">
        <v>287</v>
      </c>
      <c r="H336" s="415">
        <f t="shared" si="36"/>
        <v>0.57961139441408971</v>
      </c>
      <c r="I336" s="415">
        <f t="shared" si="37"/>
        <v>0.51978698414791247</v>
      </c>
      <c r="J336" s="415">
        <f>VLOOKUP(A336,'Grondslagen AU 2018'!A340:DA725,92,FALSE)</f>
        <v>0.53116165615867805</v>
      </c>
      <c r="K336" s="415">
        <f>VLOOKUP(A336,'Grondslagen AU 2019'!A$1:DA$361,92,FALSE)</f>
        <v>0.496</v>
      </c>
      <c r="L336" s="121">
        <f>+VLOOKUP(A336,'Grondslagen AU 2020'!A$5:DA$360,77,FALSE)</f>
        <v>0.47799999999999998</v>
      </c>
      <c r="M336" s="121">
        <f>+VLOOKUP(A336,'Grondslagen AU 2021'!A$6:DA$357,77,FALSE)</f>
        <v>0.47</v>
      </c>
      <c r="N336" s="121">
        <v>0.51500000000000001</v>
      </c>
      <c r="O336" s="416">
        <f t="shared" si="38"/>
        <v>-4.500000000000004E-2</v>
      </c>
      <c r="P336" s="121"/>
    </row>
    <row r="337" spans="1:16" x14ac:dyDescent="0.35">
      <c r="A337" s="72">
        <v>981</v>
      </c>
      <c r="B337" s="72">
        <v>11</v>
      </c>
      <c r="D337" s="72" t="s">
        <v>307</v>
      </c>
      <c r="H337" s="415">
        <f t="shared" si="36"/>
        <v>0.81116818800842649</v>
      </c>
      <c r="I337" s="415">
        <f t="shared" si="37"/>
        <v>0.79517261094233394</v>
      </c>
      <c r="J337" s="415">
        <f>VLOOKUP(A337,'Grondslagen AU 2018'!A341:DA726,92,FALSE)</f>
        <v>0.84772011636088596</v>
      </c>
      <c r="K337" s="415">
        <f>VLOOKUP(A337,'Grondslagen AU 2019'!A$1:DA$361,92,FALSE)</f>
        <v>0.874</v>
      </c>
      <c r="L337" s="121">
        <f>+VLOOKUP(A337,'Grondslagen AU 2020'!A$5:DA$360,77,FALSE)</f>
        <v>0.85199999999999998</v>
      </c>
      <c r="M337" s="121">
        <f>+VLOOKUP(A337,'Grondslagen AU 2021'!A$6:DA$357,77,FALSE)</f>
        <v>0.92</v>
      </c>
      <c r="N337" s="121">
        <v>0.93400000000000005</v>
      </c>
      <c r="O337" s="416">
        <f t="shared" si="38"/>
        <v>-1.4000000000000012E-2</v>
      </c>
      <c r="P337" s="121"/>
    </row>
    <row r="338" spans="1:16" x14ac:dyDescent="0.35">
      <c r="A338" s="72">
        <v>994</v>
      </c>
      <c r="B338" s="72">
        <v>11</v>
      </c>
      <c r="D338" s="72" t="s">
        <v>308</v>
      </c>
      <c r="H338" s="415">
        <f t="shared" si="36"/>
        <v>0.77304119942869287</v>
      </c>
      <c r="I338" s="415">
        <f t="shared" si="37"/>
        <v>0.68695058787326679</v>
      </c>
      <c r="J338" s="415">
        <f>VLOOKUP(A338,'Grondslagen AU 2018'!A342:DA727,92,FALSE)</f>
        <v>0.627716758889724</v>
      </c>
      <c r="K338" s="415">
        <f>VLOOKUP(A338,'Grondslagen AU 2019'!A$1:DA$361,92,FALSE)</f>
        <v>0.68899999999999995</v>
      </c>
      <c r="L338" s="121">
        <f>+VLOOKUP(A338,'Grondslagen AU 2020'!A$5:DA$360,77,FALSE)</f>
        <v>0.77900000000000003</v>
      </c>
      <c r="M338" s="121">
        <f>+VLOOKUP(A338,'Grondslagen AU 2021'!A$6:DA$357,77,FALSE)</f>
        <v>0.73299999999999998</v>
      </c>
      <c r="N338" s="121">
        <v>0.753</v>
      </c>
      <c r="O338" s="416">
        <f t="shared" si="38"/>
        <v>-2.0000000000000018E-2</v>
      </c>
      <c r="P338" s="121"/>
    </row>
    <row r="339" spans="1:16" x14ac:dyDescent="0.35">
      <c r="A339" s="72">
        <v>983</v>
      </c>
      <c r="B339" s="72">
        <v>11</v>
      </c>
      <c r="D339" s="72" t="s">
        <v>315</v>
      </c>
      <c r="H339" s="415">
        <f t="shared" si="36"/>
        <v>7.9367692182577541</v>
      </c>
      <c r="I339" s="415">
        <f t="shared" si="37"/>
        <v>8.2752040777882758</v>
      </c>
      <c r="J339" s="415">
        <f>VLOOKUP(A339,'Grondslagen AU 2018'!A343:DA728,92,FALSE)</f>
        <v>8.7681067260516397</v>
      </c>
      <c r="K339" s="415">
        <f>VLOOKUP(A339,'Grondslagen AU 2019'!A$1:DA$361,92,FALSE)</f>
        <v>8.391</v>
      </c>
      <c r="L339" s="121">
        <f>+VLOOKUP(A339,'Grondslagen AU 2020'!A$5:DA$360,77,FALSE)</f>
        <v>8.1980000000000004</v>
      </c>
      <c r="M339" s="121">
        <f>+VLOOKUP(A339,'Grondslagen AU 2021'!A$6:DA$357,77,FALSE)</f>
        <v>7.9370000000000003</v>
      </c>
      <c r="N339" s="121">
        <v>7.6760000000000002</v>
      </c>
      <c r="O339" s="416">
        <f t="shared" si="38"/>
        <v>0.26100000000000012</v>
      </c>
      <c r="P339" s="121"/>
    </row>
    <row r="340" spans="1:16" x14ac:dyDescent="0.35">
      <c r="A340" s="72">
        <v>984</v>
      </c>
      <c r="B340" s="72">
        <v>11</v>
      </c>
      <c r="D340" s="72" t="s">
        <v>316</v>
      </c>
      <c r="H340" s="415">
        <f t="shared" si="36"/>
        <v>1.9213808712353029</v>
      </c>
      <c r="I340" s="415">
        <f t="shared" si="37"/>
        <v>2.0192517572201383</v>
      </c>
      <c r="J340" s="415">
        <f>VLOOKUP(A340,'Grondslagen AU 2018'!A344:DA729,92,FALSE)</f>
        <v>1.8367350339567099</v>
      </c>
      <c r="K340" s="415">
        <f>VLOOKUP(A340,'Grondslagen AU 2019'!A$1:DA$361,92,FALSE)</f>
        <v>1.841</v>
      </c>
      <c r="L340" s="121">
        <f>+VLOOKUP(A340,'Grondslagen AU 2020'!A$5:DA$360,77,FALSE)</f>
        <v>2.0150000000000001</v>
      </c>
      <c r="M340" s="121">
        <f>+VLOOKUP(A340,'Grondslagen AU 2021'!A$6:DA$357,77,FALSE)</f>
        <v>1.944</v>
      </c>
      <c r="N340" s="121">
        <v>2.0249999999999999</v>
      </c>
      <c r="O340" s="416">
        <f t="shared" si="38"/>
        <v>-8.0999999999999961E-2</v>
      </c>
      <c r="P340" s="121"/>
    </row>
    <row r="341" spans="1:16" x14ac:dyDescent="0.35">
      <c r="A341" s="72">
        <v>986</v>
      </c>
      <c r="B341" s="72">
        <v>11</v>
      </c>
      <c r="D341" s="72" t="s">
        <v>321</v>
      </c>
      <c r="H341" s="415">
        <f t="shared" si="36"/>
        <v>0.26897088485107618</v>
      </c>
      <c r="I341" s="415">
        <f t="shared" si="37"/>
        <v>0.14632956326945146</v>
      </c>
      <c r="J341" s="415">
        <f>VLOOKUP(A341,'Grondslagen AU 2018'!A345:DA730,92,FALSE)</f>
        <v>6.8339872089057396E-2</v>
      </c>
      <c r="K341" s="415">
        <f>VLOOKUP(A341,'Grondslagen AU 2019'!A$1:DA$361,92,FALSE)</f>
        <v>0.115</v>
      </c>
      <c r="L341" s="121">
        <f>+VLOOKUP(A341,'Grondslagen AU 2020'!A$5:DA$360,77,FALSE)</f>
        <v>0.111</v>
      </c>
      <c r="M341" s="121">
        <f>+VLOOKUP(A341,'Grondslagen AU 2021'!A$6:DA$357,77,FALSE)</f>
        <v>0.185</v>
      </c>
      <c r="N341" s="121">
        <v>0.159</v>
      </c>
      <c r="O341" s="416">
        <f t="shared" si="38"/>
        <v>2.5999999999999995E-2</v>
      </c>
      <c r="P341" s="121"/>
    </row>
    <row r="342" spans="1:16" x14ac:dyDescent="0.35">
      <c r="A342" s="72">
        <v>988</v>
      </c>
      <c r="B342" s="72">
        <v>11</v>
      </c>
      <c r="D342" s="72" t="s">
        <v>332</v>
      </c>
      <c r="G342" s="124"/>
      <c r="H342" s="415">
        <f t="shared" si="36"/>
        <v>2.2150929939819566</v>
      </c>
      <c r="I342" s="415">
        <f t="shared" si="37"/>
        <v>2.1783533612825896</v>
      </c>
      <c r="J342" s="415">
        <f>VLOOKUP(A342,'Grondslagen AU 2018'!A346:DA731,92,FALSE)</f>
        <v>2.0772276623136801</v>
      </c>
      <c r="K342" s="415">
        <f>VLOOKUP(A342,'Grondslagen AU 2019'!A$1:DA$361,92,FALSE)</f>
        <v>1.9570000000000001</v>
      </c>
      <c r="L342" s="121">
        <f>+VLOOKUP(A342,'Grondslagen AU 2020'!A$5:DA$360,77,FALSE)</f>
        <v>1.887</v>
      </c>
      <c r="M342" s="121">
        <f>+VLOOKUP(A342,'Grondslagen AU 2021'!A$6:DA$357,77,FALSE)</f>
        <v>1.8959999999999999</v>
      </c>
      <c r="N342" s="121">
        <v>1.8169999999999999</v>
      </c>
      <c r="O342" s="416">
        <f t="shared" si="38"/>
        <v>7.8999999999999959E-2</v>
      </c>
      <c r="P342" s="121"/>
    </row>
    <row r="343" spans="1:16" x14ac:dyDescent="0.35">
      <c r="A343" s="72">
        <v>34</v>
      </c>
      <c r="B343" s="72">
        <v>12</v>
      </c>
      <c r="D343" s="72" t="s">
        <v>19</v>
      </c>
      <c r="G343" s="124"/>
      <c r="H343" s="415">
        <f t="shared" si="36"/>
        <v>14.530562911761848</v>
      </c>
      <c r="I343" s="415">
        <f t="shared" si="37"/>
        <v>13.881866371398871</v>
      </c>
      <c r="J343" s="415">
        <f>VLOOKUP(A343,'Grondslagen AU 2018'!A347:DA732,92,FALSE)</f>
        <v>13.8315640373274</v>
      </c>
      <c r="K343" s="415">
        <f>VLOOKUP(A343,'Grondslagen AU 2019'!A$1:DA$361,92,FALSE)</f>
        <v>13.157</v>
      </c>
      <c r="L343" s="121">
        <f>+VLOOKUP(A343,'Grondslagen AU 2020'!A$5:DA$360,77,FALSE)</f>
        <v>12.682</v>
      </c>
      <c r="M343" s="121">
        <f>+VLOOKUP(A343,'Grondslagen AU 2021'!A$6:DA$357,77,FALSE)</f>
        <v>12.776</v>
      </c>
      <c r="N343" s="121">
        <v>13.259</v>
      </c>
      <c r="O343" s="416">
        <f t="shared" si="38"/>
        <v>-0.48300000000000054</v>
      </c>
      <c r="P343" s="121"/>
    </row>
    <row r="344" spans="1:16" x14ac:dyDescent="0.35">
      <c r="A344" s="72">
        <v>303</v>
      </c>
      <c r="B344" s="72">
        <v>12</v>
      </c>
      <c r="D344" s="72" t="s">
        <v>93</v>
      </c>
      <c r="H344" s="415">
        <f t="shared" si="36"/>
        <v>1.3636845116431837</v>
      </c>
      <c r="I344" s="415">
        <f t="shared" si="37"/>
        <v>1.1587737401081719</v>
      </c>
      <c r="J344" s="415">
        <f>VLOOKUP(A344,'Grondslagen AU 2018'!A348:DA733,92,FALSE)</f>
        <v>1.12695475042134</v>
      </c>
      <c r="K344" s="415">
        <f>VLOOKUP(A344,'Grondslagen AU 2019'!A$1:DA$361,92,FALSE)</f>
        <v>1.2929999999999999</v>
      </c>
      <c r="L344" s="121">
        <f>+VLOOKUP(A344,'Grondslagen AU 2020'!A$5:DA$360,77,FALSE)</f>
        <v>1.1459999999999999</v>
      </c>
      <c r="M344" s="121">
        <f>+VLOOKUP(A344,'Grondslagen AU 2021'!A$6:DA$357,77,FALSE)</f>
        <v>1.0389999999999999</v>
      </c>
      <c r="N344" s="121">
        <v>1.014</v>
      </c>
      <c r="O344" s="416">
        <f t="shared" si="38"/>
        <v>2.4999999999999911E-2</v>
      </c>
      <c r="P344" s="121"/>
    </row>
    <row r="345" spans="1:16" x14ac:dyDescent="0.35">
      <c r="A345" s="72">
        <v>995</v>
      </c>
      <c r="B345" s="72">
        <v>12</v>
      </c>
      <c r="D345" s="72" t="s">
        <v>182</v>
      </c>
      <c r="G345" s="126"/>
      <c r="H345" s="415">
        <f t="shared" si="36"/>
        <v>6.4945745081474113</v>
      </c>
      <c r="I345" s="415">
        <f t="shared" si="37"/>
        <v>6.1886557057042264</v>
      </c>
      <c r="J345" s="415">
        <f>VLOOKUP(A345,'Grondslagen AU 2018'!A349:DA734,92,FALSE)</f>
        <v>6.2523220466843403</v>
      </c>
      <c r="K345" s="415">
        <f>VLOOKUP(A345,'Grondslagen AU 2019'!A$1:DA$361,92,FALSE)</f>
        <v>5.843</v>
      </c>
      <c r="L345" s="121">
        <f>+VLOOKUP(A345,'Grondslagen AU 2020'!A$5:DA$360,77,FALSE)</f>
        <v>5.5229999999999997</v>
      </c>
      <c r="M345" s="121">
        <f>+VLOOKUP(A345,'Grondslagen AU 2021'!A$6:DA$357,77,FALSE)</f>
        <v>5.6079999999999997</v>
      </c>
      <c r="N345" s="121">
        <v>5.7539999999999996</v>
      </c>
      <c r="O345" s="416">
        <f t="shared" si="38"/>
        <v>-0.14599999999999991</v>
      </c>
      <c r="P345" s="121"/>
    </row>
    <row r="346" spans="1:16" x14ac:dyDescent="0.35">
      <c r="A346" s="72">
        <v>171</v>
      </c>
      <c r="B346" s="72">
        <v>12</v>
      </c>
      <c r="D346" s="72" t="s">
        <v>220</v>
      </c>
      <c r="H346" s="415">
        <f t="shared" si="36"/>
        <v>1.6921336724378158</v>
      </c>
      <c r="I346" s="415">
        <f t="shared" si="37"/>
        <v>1.9359615526272822</v>
      </c>
      <c r="J346" s="415">
        <f>VLOOKUP(A346,'Grondslagen AU 2018'!A350:DA735,92,FALSE)</f>
        <v>2.0458903653917901</v>
      </c>
      <c r="K346" s="415">
        <f>VLOOKUP(A346,'Grondslagen AU 2019'!A$1:DA$361,92,FALSE)</f>
        <v>2.0150000000000001</v>
      </c>
      <c r="L346" s="121">
        <f>+VLOOKUP(A346,'Grondslagen AU 2020'!A$5:DA$360,77,FALSE)</f>
        <v>2.0379999999999998</v>
      </c>
      <c r="M346" s="121">
        <f>+VLOOKUP(A346,'Grondslagen AU 2021'!A$6:DA$357,77,FALSE)</f>
        <v>1.9470000000000001</v>
      </c>
      <c r="N346" s="121">
        <v>1.7829999999999999</v>
      </c>
      <c r="O346" s="416">
        <f t="shared" si="38"/>
        <v>0.16400000000000015</v>
      </c>
      <c r="P346" s="121"/>
    </row>
    <row r="347" spans="1:16" x14ac:dyDescent="0.35">
      <c r="A347" s="72">
        <v>184</v>
      </c>
      <c r="B347" s="72">
        <v>12</v>
      </c>
      <c r="D347" s="72" t="s">
        <v>304</v>
      </c>
      <c r="H347" s="415">
        <f t="shared" si="36"/>
        <v>0.13789499592975116</v>
      </c>
      <c r="I347" s="415">
        <f t="shared" si="37"/>
        <v>9.5006688440933032E-2</v>
      </c>
      <c r="J347" s="415">
        <f>VLOOKUP(A347,'Grondslagen AU 2018'!A351:DA736,92,FALSE)</f>
        <v>9.4932131679217394E-2</v>
      </c>
      <c r="K347" s="415">
        <f>VLOOKUP(A347,'Grondslagen AU 2019'!A$1:DA$361,92,FALSE)</f>
        <v>0.10199999999999999</v>
      </c>
      <c r="L347" s="121">
        <f>+VLOOKUP(A347,'Grondslagen AU 2020'!A$5:DA$360,77,FALSE)</f>
        <v>0.105</v>
      </c>
      <c r="M347" s="121">
        <f>+VLOOKUP(A347,'Grondslagen AU 2021'!A$6:DA$357,77,FALSE)</f>
        <v>0.104</v>
      </c>
      <c r="N347" s="121">
        <v>0.106</v>
      </c>
      <c r="O347" s="416">
        <f t="shared" si="38"/>
        <v>-2.0000000000000018E-3</v>
      </c>
      <c r="P347" s="121"/>
    </row>
    <row r="348" spans="1:16" x14ac:dyDescent="0.35">
      <c r="A348" s="72">
        <v>50</v>
      </c>
      <c r="B348" s="72">
        <v>12</v>
      </c>
      <c r="D348" s="72" t="s">
        <v>355</v>
      </c>
      <c r="H348" s="415">
        <f t="shared" si="36"/>
        <v>0.30927848253592516</v>
      </c>
      <c r="I348" s="415">
        <f t="shared" si="37"/>
        <v>0.12341933954811456</v>
      </c>
      <c r="J348" s="415">
        <f>VLOOKUP(A348,'Grondslagen AU 2018'!A352:DA737,92,FALSE)</f>
        <v>0.17258369842070201</v>
      </c>
      <c r="K348" s="415">
        <f>VLOOKUP(A348,'Grondslagen AU 2019'!A$1:DA$361,92,FALSE)</f>
        <v>0.245</v>
      </c>
      <c r="L348" s="121">
        <f>+VLOOKUP(A348,'Grondslagen AU 2020'!A$5:DA$360,77,FALSE)</f>
        <v>0.28799999999999998</v>
      </c>
      <c r="M348" s="121">
        <f>+VLOOKUP(A348,'Grondslagen AU 2021'!A$6:DA$357,77,FALSE)</f>
        <v>0.23799999999999999</v>
      </c>
      <c r="N348" s="121">
        <v>0.29699999999999999</v>
      </c>
      <c r="O348" s="416">
        <f t="shared" si="38"/>
        <v>-5.8999999999999997E-2</v>
      </c>
      <c r="P348" s="121"/>
    </row>
    <row r="349" spans="1:16" x14ac:dyDescent="0.35">
      <c r="G349" s="124"/>
      <c r="H349" s="415">
        <f t="shared" ref="H349:N349" si="39">SUM(H5:H348)</f>
        <v>999.99999999999886</v>
      </c>
      <c r="I349" s="415">
        <f t="shared" si="39"/>
        <v>1000.1159868275432</v>
      </c>
      <c r="J349" s="415">
        <f t="shared" si="39"/>
        <v>999.99999999999966</v>
      </c>
      <c r="K349" s="415">
        <f t="shared" si="39"/>
        <v>999.99999999999966</v>
      </c>
      <c r="L349" s="415">
        <f t="shared" si="39"/>
        <v>1000.0020000000007</v>
      </c>
      <c r="M349" s="415">
        <f t="shared" si="39"/>
        <v>1000.0009999999999</v>
      </c>
      <c r="N349" s="415">
        <f t="shared" si="39"/>
        <v>1000.0000000000005</v>
      </c>
      <c r="O349" s="416">
        <f t="shared" si="38"/>
        <v>9.9999999940791895E-4</v>
      </c>
      <c r="P349" s="415"/>
    </row>
    <row r="350" spans="1:16" x14ac:dyDescent="0.35">
      <c r="H350" s="415">
        <v>1000</v>
      </c>
      <c r="I350" s="415">
        <v>1000</v>
      </c>
      <c r="J350" s="415">
        <v>1000</v>
      </c>
      <c r="K350" s="415">
        <v>1000</v>
      </c>
      <c r="L350" s="415">
        <v>1000</v>
      </c>
      <c r="M350" s="415">
        <v>1000</v>
      </c>
      <c r="N350" s="415">
        <v>1000</v>
      </c>
      <c r="O350" s="415"/>
      <c r="P350" s="415"/>
    </row>
    <row r="351" spans="1:16" x14ac:dyDescent="0.35">
      <c r="H351" s="415">
        <f>+H350-H349</f>
        <v>1.1368683772161603E-12</v>
      </c>
      <c r="I351" s="415">
        <f t="shared" ref="I351:N351" si="40">+I350-I349</f>
        <v>-0.11598682754322454</v>
      </c>
      <c r="J351" s="415">
        <f t="shared" si="40"/>
        <v>0</v>
      </c>
      <c r="K351" s="415">
        <f t="shared" si="40"/>
        <v>0</v>
      </c>
      <c r="L351" s="415">
        <f t="shared" si="40"/>
        <v>-2.0000000007485141E-3</v>
      </c>
      <c r="M351" s="415">
        <f t="shared" si="40"/>
        <v>-9.999999998626663E-4</v>
      </c>
      <c r="N351" s="415">
        <f t="shared" si="40"/>
        <v>0</v>
      </c>
      <c r="O351" s="415"/>
      <c r="P351" s="121"/>
    </row>
    <row r="352" spans="1:16" x14ac:dyDescent="0.35">
      <c r="A352" s="1" t="s">
        <v>786</v>
      </c>
    </row>
    <row r="353" spans="1:15" ht="29" x14ac:dyDescent="0.35">
      <c r="A353" s="1" t="s">
        <v>787</v>
      </c>
      <c r="B353" s="1"/>
      <c r="C353" s="1"/>
      <c r="D353" s="1" t="s">
        <v>788</v>
      </c>
      <c r="F353" s="129" t="s">
        <v>790</v>
      </c>
      <c r="G353" s="129" t="s">
        <v>791</v>
      </c>
      <c r="H353" s="125" t="s">
        <v>792</v>
      </c>
      <c r="I353" s="125" t="s">
        <v>793</v>
      </c>
      <c r="J353" s="125" t="s">
        <v>1286</v>
      </c>
      <c r="K353" s="125" t="s">
        <v>1299</v>
      </c>
      <c r="L353" s="125" t="s">
        <v>1304</v>
      </c>
      <c r="M353" s="1" t="s">
        <v>789</v>
      </c>
      <c r="N353" s="125" t="s">
        <v>1287</v>
      </c>
      <c r="O353" s="125" t="s">
        <v>1300</v>
      </c>
    </row>
    <row r="354" spans="1:15" x14ac:dyDescent="0.35">
      <c r="A354" s="72">
        <v>3</v>
      </c>
      <c r="B354" s="72">
        <v>1</v>
      </c>
      <c r="D354" s="72" t="s">
        <v>28</v>
      </c>
      <c r="F354" s="126">
        <f>VLOOKUP(A354,'IUSD Klassiek 2017'!B$11:E$398,4,FALSE)*1000</f>
        <v>1.2381128221865709</v>
      </c>
      <c r="G354" s="126">
        <f>VLOOKUP(A354,'IUSD klassiek 2018'!B$11:E$390,4,FALSE)*1000</f>
        <v>1.3763541941096065</v>
      </c>
      <c r="H354" s="124">
        <f>VLOOKUP(A354,'Grondslagen AU 2018'!A$1:DA$386,92,FALSE)</f>
        <v>1.3764620640217</v>
      </c>
      <c r="I354" s="124">
        <f>VLOOKUP(A354,'Grondslagen AU 2019'!A$1:DA$386,92,FALSE)</f>
        <v>1.4079999999999999</v>
      </c>
      <c r="J354" s="124">
        <f>VLOOKUP(A354,'Grondslagen AU 2020'!A$1:DA$386,77,FALSE)</f>
        <v>1.387</v>
      </c>
      <c r="K354" s="124" t="e">
        <f>VLOOKUP(A354,'Grondslagen AU 2021'!A$1:DA$386,77,FALSE)</f>
        <v>#N/A</v>
      </c>
      <c r="L354" s="124" t="e">
        <f>VLOOKUP(A354,'Grondslagen AU 2022'!A$1:DA$386,77,FALSE)</f>
        <v>#N/A</v>
      </c>
      <c r="M354" s="72"/>
      <c r="N354" s="124" t="s">
        <v>1285</v>
      </c>
    </row>
    <row r="355" spans="1:15" x14ac:dyDescent="0.35">
      <c r="A355" s="72">
        <v>5</v>
      </c>
      <c r="B355" s="72">
        <v>1</v>
      </c>
      <c r="D355" s="72" t="s">
        <v>794</v>
      </c>
      <c r="F355" s="126">
        <f>VLOOKUP(A355,'IUSD Klassiek 2017'!B$11:E$398,4,FALSE)*1000</f>
        <v>0.29668235806629406</v>
      </c>
      <c r="G355" s="126">
        <f>VLOOKUP(A355,'IUSD klassiek 2018'!B$11:E$390,4,FALSE)*1000</f>
        <v>0.33161547346747289</v>
      </c>
      <c r="H355" s="124">
        <f>VLOOKUP(A355,'Grondslagen AU 2018'!A$1:DA$386,92,FALSE)</f>
        <v>0.32899176119763801</v>
      </c>
      <c r="I355" s="124" t="e">
        <f>VLOOKUP(A355,'Grondslagen AU 2019'!A$1:DA$386,92,FALSE)</f>
        <v>#N/A</v>
      </c>
      <c r="J355" s="124" t="e">
        <f>VLOOKUP(A355,'Grondslagen AU 2020'!A$1:DA$386,77,FALSE)</f>
        <v>#N/A</v>
      </c>
      <c r="K355" s="124" t="e">
        <f>VLOOKUP(A355,'Grondslagen AU 2021'!A$1:DA$386,77,FALSE)</f>
        <v>#N/A</v>
      </c>
      <c r="L355" s="124" t="e">
        <f>VLOOKUP(A355,'Grondslagen AU 2022'!A$1:DA$386,77,FALSE)</f>
        <v>#N/A</v>
      </c>
      <c r="M355" s="72" t="s">
        <v>147</v>
      </c>
      <c r="N355" s="124"/>
    </row>
    <row r="356" spans="1:15" x14ac:dyDescent="0.35">
      <c r="A356" s="72">
        <v>1663</v>
      </c>
      <c r="B356" s="72">
        <v>1</v>
      </c>
      <c r="D356" s="72" t="s">
        <v>795</v>
      </c>
      <c r="F356" s="126">
        <f>VLOOKUP(A356,'IUSD Klassiek 2017'!B$11:E$398,4,FALSE)*1000</f>
        <v>0.69573595442645819</v>
      </c>
      <c r="G356" s="126">
        <f>VLOOKUP(A356,'IUSD klassiek 2018'!B$11:E$390,4,FALSE)*1000</f>
        <v>0.73423766423665393</v>
      </c>
      <c r="H356" s="124">
        <f>VLOOKUP(A356,'Grondslagen AU 2018'!A$1:DA$386,92,FALSE)</f>
        <v>0.80269801876659397</v>
      </c>
      <c r="I356" s="124" t="e">
        <f>VLOOKUP(A356,'Grondslagen AU 2019'!A$1:DA$386,92,FALSE)</f>
        <v>#N/A</v>
      </c>
      <c r="J356" s="124" t="e">
        <f>VLOOKUP(A356,'Grondslagen AU 2020'!A$1:DA$386,77,FALSE)</f>
        <v>#N/A</v>
      </c>
      <c r="K356" s="124" t="e">
        <f>VLOOKUP(A356,'Grondslagen AU 2021'!A$1:DA$386,77,FALSE)</f>
        <v>#N/A</v>
      </c>
      <c r="L356" s="124" t="e">
        <f>VLOOKUP(A356,'Grondslagen AU 2022'!A$1:DA$386,77,FALSE)</f>
        <v>#N/A</v>
      </c>
      <c r="M356" s="72" t="s">
        <v>147</v>
      </c>
      <c r="N356" s="124"/>
    </row>
    <row r="357" spans="1:15" x14ac:dyDescent="0.35">
      <c r="A357" s="72">
        <v>10</v>
      </c>
      <c r="B357" s="72">
        <v>1</v>
      </c>
      <c r="D357" s="72" t="s">
        <v>81</v>
      </c>
      <c r="F357" s="126">
        <f>VLOOKUP(A357,'IUSD Klassiek 2017'!B$11:E$398,4,FALSE)*1000</f>
        <v>2.9285701309611438</v>
      </c>
      <c r="G357" s="126">
        <f>VLOOKUP(A357,'IUSD klassiek 2018'!B$11:E$390,4,FALSE)*1000</f>
        <v>2.9749602881596617</v>
      </c>
      <c r="H357" s="124">
        <f>VLOOKUP(A357,'Grondslagen AU 2018'!A$1:DA$386,92,FALSE)</f>
        <v>3.0166060686933198</v>
      </c>
      <c r="I357" s="124">
        <f>VLOOKUP(A357,'Grondslagen AU 2019'!A$1:DA$386,92,FALSE)</f>
        <v>2.9449999999999998</v>
      </c>
      <c r="J357" s="124">
        <f>VLOOKUP(A357,'Grondslagen AU 2020'!A$1:DA$386,77,FALSE)</f>
        <v>3.0310000000000001</v>
      </c>
      <c r="K357" s="124" t="e">
        <f>VLOOKUP(A357,'Grondslagen AU 2021'!A$1:DA$386,77,FALSE)</f>
        <v>#N/A</v>
      </c>
      <c r="L357" s="124" t="e">
        <f>VLOOKUP(A357,'Grondslagen AU 2022'!A$1:DA$386,77,FALSE)</f>
        <v>#N/A</v>
      </c>
      <c r="M357" s="72"/>
      <c r="N357" s="124" t="s">
        <v>1285</v>
      </c>
    </row>
    <row r="358" spans="1:15" x14ac:dyDescent="0.35">
      <c r="A358" s="72">
        <v>1651</v>
      </c>
      <c r="B358" s="72">
        <v>1</v>
      </c>
      <c r="D358" s="72" t="s">
        <v>796</v>
      </c>
      <c r="F358" s="126">
        <f>VLOOKUP(A358,'IUSD Klassiek 2017'!B$11:E$398,4,FALSE)*1000</f>
        <v>1.161356466259988</v>
      </c>
      <c r="G358" s="126">
        <f>VLOOKUP(A358,'IUSD klassiek 2018'!B$11:E$390,4,FALSE)*1000</f>
        <v>1.2169177687501405</v>
      </c>
      <c r="H358" s="124">
        <f>VLOOKUP(A358,'Grondslagen AU 2018'!A$1:DA$386,92,FALSE)</f>
        <v>1.27582665002852</v>
      </c>
      <c r="I358" s="124" t="e">
        <f>VLOOKUP(A358,'Grondslagen AU 2019'!A$1:DA$386,92,FALSE)</f>
        <v>#N/A</v>
      </c>
      <c r="J358" s="124" t="e">
        <f>VLOOKUP(A358,'Grondslagen AU 2020'!A$1:DA$386,77,FALSE)</f>
        <v>#N/A</v>
      </c>
      <c r="K358" s="124" t="e">
        <f>VLOOKUP(A358,'Grondslagen AU 2021'!A$1:DA$386,77,FALSE)</f>
        <v>#N/A</v>
      </c>
      <c r="L358" s="124" t="e">
        <f>VLOOKUP(A358,'Grondslagen AU 2022'!A$1:DA$386,77,FALSE)</f>
        <v>#N/A</v>
      </c>
      <c r="M358" s="72" t="s">
        <v>147</v>
      </c>
      <c r="N358" s="124"/>
    </row>
    <row r="359" spans="1:15" x14ac:dyDescent="0.35">
      <c r="A359" s="72">
        <v>14</v>
      </c>
      <c r="B359" s="72">
        <v>1</v>
      </c>
      <c r="D359" s="72" t="s">
        <v>122</v>
      </c>
      <c r="F359" s="126">
        <f>VLOOKUP(A359,'IUSD Klassiek 2017'!B$11:E$398,4,FALSE)*1000</f>
        <v>30.510779699195194</v>
      </c>
      <c r="G359" s="126">
        <f>VLOOKUP(A359,'IUSD klassiek 2018'!B$11:E$390,4,FALSE)*1000</f>
        <v>30.659612981680969</v>
      </c>
      <c r="H359" s="124">
        <f>VLOOKUP(A359,'Grondslagen AU 2018'!A$1:DA$386,92,FALSE)</f>
        <v>30.3689427609505</v>
      </c>
      <c r="I359" s="124">
        <f>VLOOKUP(A359,'Grondslagen AU 2019'!A$1:DA$386,92,FALSE)</f>
        <v>31.22</v>
      </c>
      <c r="J359" s="124">
        <f>VLOOKUP(A359,'Grondslagen AU 2020'!A$1:DA$386,77,FALSE)</f>
        <v>31.748999999999999</v>
      </c>
      <c r="K359" s="124">
        <f>VLOOKUP(A359,'Grondslagen AU 2021'!A$1:DA$386,77,FALSE)</f>
        <v>30.812999999999999</v>
      </c>
      <c r="L359" s="124">
        <f>VLOOKUP(A359,'Grondslagen AU 2022'!A$1:DA$386,77,FALSE)</f>
        <v>29.279</v>
      </c>
      <c r="M359" s="72" t="s">
        <v>122</v>
      </c>
      <c r="N359" s="124"/>
    </row>
    <row r="360" spans="1:15" x14ac:dyDescent="0.35">
      <c r="A360" s="72">
        <v>15</v>
      </c>
      <c r="B360" s="72">
        <v>1</v>
      </c>
      <c r="D360" s="72" t="s">
        <v>797</v>
      </c>
      <c r="F360" s="126">
        <f>VLOOKUP(A360,'IUSD Klassiek 2017'!B$11:E$398,4,FALSE)*1000</f>
        <v>0.36357434054403692</v>
      </c>
      <c r="G360" s="126">
        <f>VLOOKUP(A360,'IUSD klassiek 2018'!B$11:E$390,4,FALSE)*1000</f>
        <v>0.3619377730231263</v>
      </c>
      <c r="H360" s="124">
        <f>VLOOKUP(A360,'Grondslagen AU 2018'!A$1:DA$386,92,FALSE)</f>
        <v>0.34962423180547197</v>
      </c>
      <c r="I360" s="124" t="e">
        <f>VLOOKUP(A360,'Grondslagen AU 2019'!A$1:DA$386,92,FALSE)</f>
        <v>#N/A</v>
      </c>
      <c r="J360" s="124" t="e">
        <f>VLOOKUP(A360,'Grondslagen AU 2020'!A$1:DA$386,77,FALSE)</f>
        <v>#N/A</v>
      </c>
      <c r="K360" s="124" t="e">
        <f>VLOOKUP(A360,'Grondslagen AU 2021'!A$1:DA$386,77,FALSE)</f>
        <v>#N/A</v>
      </c>
      <c r="L360" s="124" t="e">
        <f>VLOOKUP(A360,'Grondslagen AU 2022'!A$1:DA$386,77,FALSE)</f>
        <v>#N/A</v>
      </c>
      <c r="M360" s="72" t="s">
        <v>336</v>
      </c>
      <c r="N360" s="124"/>
    </row>
    <row r="361" spans="1:15" x14ac:dyDescent="0.35">
      <c r="A361" s="72">
        <v>17</v>
      </c>
      <c r="B361" s="72">
        <v>1</v>
      </c>
      <c r="D361" s="72" t="s">
        <v>798</v>
      </c>
      <c r="F361" s="126">
        <f>VLOOKUP(A361,'IUSD Klassiek 2017'!B$11:E$398,4,FALSE)*1000</f>
        <v>0.47414505766593279</v>
      </c>
      <c r="G361" s="126">
        <f>VLOOKUP(A361,'IUSD klassiek 2018'!B$11:E$390,4,FALSE)*1000</f>
        <v>0.46008737275259243</v>
      </c>
      <c r="H361" s="124">
        <f>VLOOKUP(A361,'Grondslagen AU 2018'!A$1:DA$386,92,FALSE)</f>
        <v>0.48076811612863402</v>
      </c>
      <c r="I361" s="124" t="e">
        <f>VLOOKUP(A361,'Grondslagen AU 2019'!A$1:DA$386,92,FALSE)</f>
        <v>#N/A</v>
      </c>
      <c r="J361" s="124" t="e">
        <f>VLOOKUP(A361,'Grondslagen AU 2020'!A$1:DA$386,77,FALSE)</f>
        <v>#N/A</v>
      </c>
      <c r="K361" s="124" t="e">
        <f>VLOOKUP(A361,'Grondslagen AU 2021'!A$1:DA$386,77,FALSE)</f>
        <v>#N/A</v>
      </c>
      <c r="L361" s="124" t="e">
        <f>VLOOKUP(A361,'Grondslagen AU 2022'!A$1:DA$386,77,FALSE)</f>
        <v>#N/A</v>
      </c>
      <c r="M361" s="72" t="s">
        <v>122</v>
      </c>
      <c r="N361" s="124"/>
    </row>
    <row r="362" spans="1:15" x14ac:dyDescent="0.35">
      <c r="A362" s="72">
        <v>22</v>
      </c>
      <c r="B362" s="72">
        <v>1</v>
      </c>
      <c r="D362" s="72" t="s">
        <v>799</v>
      </c>
      <c r="F362" s="126">
        <f>VLOOKUP(A362,'IUSD Klassiek 2017'!B$11:E$398,4,FALSE)*1000</f>
        <v>0.96886149331957028</v>
      </c>
      <c r="G362" s="126">
        <f>VLOOKUP(A362,'IUSD klassiek 2018'!B$11:E$390,4,FALSE)*1000</f>
        <v>1.0578039883054895</v>
      </c>
      <c r="H362" s="124">
        <f>VLOOKUP(A362,'Grondslagen AU 2018'!A$1:DA$386,92,FALSE)</f>
        <v>1.0081475148429899</v>
      </c>
      <c r="I362" s="124" t="e">
        <f>VLOOKUP(A362,'Grondslagen AU 2019'!A$1:DA$386,92,FALSE)</f>
        <v>#N/A</v>
      </c>
      <c r="J362" s="124" t="e">
        <f>VLOOKUP(A362,'Grondslagen AU 2020'!A$1:DA$386,77,FALSE)</f>
        <v>#N/A</v>
      </c>
      <c r="K362" s="124" t="e">
        <f>VLOOKUP(A362,'Grondslagen AU 2021'!A$1:DA$386,77,FALSE)</f>
        <v>#N/A</v>
      </c>
      <c r="L362" s="124" t="e">
        <f>VLOOKUP(A362,'Grondslagen AU 2022'!A$1:DA$386,77,FALSE)</f>
        <v>#N/A</v>
      </c>
      <c r="M362" s="72" t="s">
        <v>336</v>
      </c>
      <c r="N362" s="124"/>
    </row>
    <row r="363" spans="1:15" x14ac:dyDescent="0.35">
      <c r="A363" s="72">
        <v>24</v>
      </c>
      <c r="B363" s="72">
        <v>1</v>
      </c>
      <c r="D363" s="72" t="s">
        <v>190</v>
      </c>
      <c r="F363" s="126">
        <f>VLOOKUP(A363,'IUSD Klassiek 2017'!B$11:E$398,4,FALSE)*1000</f>
        <v>0.62999235908970519</v>
      </c>
      <c r="G363" s="126">
        <f>VLOOKUP(A363,'IUSD klassiek 2018'!B$11:E$390,4,FALSE)*1000</f>
        <v>0.65138697076989494</v>
      </c>
      <c r="H363" s="124">
        <f>VLOOKUP(A363,'Grondslagen AU 2018'!A$1:DA$386,92,FALSE)</f>
        <v>0.59081977333217295</v>
      </c>
      <c r="I363" s="124">
        <f>VLOOKUP(A363,'Grondslagen AU 2019'!A$1:DA$386,92,FALSE)</f>
        <v>0.55300000000000005</v>
      </c>
      <c r="J363" s="124">
        <f>VLOOKUP(A363,'Grondslagen AU 2020'!A$1:DA$386,77,FALSE)</f>
        <v>0.60399999999999998</v>
      </c>
      <c r="K363" s="124" t="e">
        <f>VLOOKUP(A363,'Grondslagen AU 2021'!A$1:DA$386,77,FALSE)</f>
        <v>#N/A</v>
      </c>
      <c r="L363" s="124" t="e">
        <f>VLOOKUP(A363,'Grondslagen AU 2022'!A$1:DA$386,77,FALSE)</f>
        <v>#N/A</v>
      </c>
      <c r="M363" s="72"/>
      <c r="N363" s="124" t="s">
        <v>1285</v>
      </c>
    </row>
    <row r="364" spans="1:15" x14ac:dyDescent="0.35">
      <c r="A364" s="72">
        <v>25</v>
      </c>
      <c r="B364" s="72">
        <v>1</v>
      </c>
      <c r="D364" s="72" t="s">
        <v>800</v>
      </c>
      <c r="F364" s="126">
        <f>VLOOKUP(A364,'IUSD Klassiek 2017'!B$11:E$398,4,FALSE)*1000</f>
        <v>0.36249879174632982</v>
      </c>
      <c r="G364" s="126">
        <f>VLOOKUP(A364,'IUSD klassiek 2018'!B$11:E$390,4,FALSE)*1000</f>
        <v>0.32260741936992771</v>
      </c>
      <c r="H364" s="124">
        <f>VLOOKUP(A364,'Grondslagen AU 2018'!A$1:DA$386,92,FALSE)</f>
        <v>0.30821024504465799</v>
      </c>
      <c r="I364" s="124" t="e">
        <f>VLOOKUP(A364,'Grondslagen AU 2019'!A$1:DA$386,92,FALSE)</f>
        <v>#N/A</v>
      </c>
      <c r="J364" s="124" t="e">
        <f>VLOOKUP(A364,'Grondslagen AU 2020'!A$1:DA$386,77,FALSE)</f>
        <v>#N/A</v>
      </c>
      <c r="K364" s="124" t="e">
        <f>VLOOKUP(A364,'Grondslagen AU 2021'!A$1:DA$386,77,FALSE)</f>
        <v>#N/A</v>
      </c>
      <c r="L364" s="124" t="e">
        <f>VLOOKUP(A364,'Grondslagen AU 2022'!A$1:DA$386,77,FALSE)</f>
        <v>#N/A</v>
      </c>
      <c r="M364" s="72" t="s">
        <v>336</v>
      </c>
      <c r="N364" s="124"/>
    </row>
    <row r="365" spans="1:15" x14ac:dyDescent="0.35">
      <c r="A365" s="72">
        <v>1952</v>
      </c>
      <c r="B365" s="72">
        <v>1</v>
      </c>
      <c r="D365" s="72" t="s">
        <v>203</v>
      </c>
      <c r="F365" s="126">
        <f>(+'IUSD Klassiek 2017'!E19+'IUSD Klassiek 2017'!E25+'IUSD Klassiek 2017'!E398)*1000</f>
        <v>5.3222176933816066</v>
      </c>
      <c r="G365" s="126">
        <f>VLOOKUP(A365,'IUSD klassiek 2018'!B$11:E$390,4,FALSE)*1000</f>
        <v>5.3849853665194711</v>
      </c>
      <c r="H365" s="124">
        <f>VLOOKUP(A365,'Grondslagen AU 2018'!A$1:DA$386,92,FALSE)</f>
        <v>5.4355193221921301</v>
      </c>
      <c r="I365" s="124">
        <f>VLOOKUP(A365,'Grondslagen AU 2019'!A$1:DA$386,92,FALSE)</f>
        <v>5.5990000000000002</v>
      </c>
      <c r="J365" s="124">
        <f>VLOOKUP(A365,'Grondslagen AU 2020'!A$1:DA$386,77,FALSE)</f>
        <v>5.556</v>
      </c>
      <c r="K365" s="124">
        <f>VLOOKUP(A365,'Grondslagen AU 2021'!A$1:DA$386,77,FALSE)</f>
        <v>5.5049999999999999</v>
      </c>
      <c r="L365" s="124">
        <f>VLOOKUP(A365,'Grondslagen AU 2022'!A$1:DA$386,77,FALSE)</f>
        <v>5.1849999999999996</v>
      </c>
      <c r="M365" s="72"/>
      <c r="N365" s="124"/>
    </row>
    <row r="366" spans="1:15" x14ac:dyDescent="0.35">
      <c r="A366" s="72">
        <v>1895</v>
      </c>
      <c r="B366" s="72">
        <v>1</v>
      </c>
      <c r="D366" s="72" t="s">
        <v>227</v>
      </c>
      <c r="F366" s="126">
        <f>VLOOKUP(A366,'IUSD Klassiek 2017'!B$11:E$398,4,FALSE)*1000</f>
        <v>4.4288451596956415</v>
      </c>
      <c r="G366" s="126">
        <f>VLOOKUP(A366,'IUSD klassiek 2018'!B$11:E$390,4,FALSE)*1000</f>
        <v>4.6030620340723161</v>
      </c>
      <c r="H366" s="124">
        <f>VLOOKUP(A366,'Grondslagen AU 2018'!A$1:DA$386,92,FALSE)</f>
        <v>4.6008291778664701</v>
      </c>
      <c r="I366" s="124">
        <f>VLOOKUP(A366,'Grondslagen AU 2019'!A$1:DA$386,92,FALSE)</f>
        <v>4.6479999999999997</v>
      </c>
      <c r="J366" s="124">
        <f>VLOOKUP(A366,'Grondslagen AU 2020'!A$1:DA$386,77,FALSE)</f>
        <v>4.6740000000000004</v>
      </c>
      <c r="K366" s="124">
        <f>VLOOKUP(A366,'Grondslagen AU 2021'!A$1:DA$386,77,FALSE)</f>
        <v>4.4080000000000004</v>
      </c>
      <c r="L366" s="124">
        <f>VLOOKUP(A366,'Grondslagen AU 2022'!A$1:DA$386,77,FALSE)</f>
        <v>4.0720000000000001</v>
      </c>
      <c r="M366" s="72"/>
      <c r="N366" s="124"/>
    </row>
    <row r="367" spans="1:15" x14ac:dyDescent="0.35">
      <c r="A367" s="72">
        <v>765</v>
      </c>
      <c r="B367" s="72">
        <v>1</v>
      </c>
      <c r="D367" s="72" t="s">
        <v>245</v>
      </c>
      <c r="F367" s="126">
        <f>VLOOKUP(A367,'IUSD Klassiek 2017'!B$11:E$398,4,FALSE)*1000</f>
        <v>1.5186152075886938</v>
      </c>
      <c r="G367" s="126">
        <f>VLOOKUP(A367,'IUSD klassiek 2018'!B$11:E$390,4,FALSE)*1000</f>
        <v>1.571742199149234</v>
      </c>
      <c r="H367" s="124">
        <f>VLOOKUP(A367,'Grondslagen AU 2018'!A$1:DA$386,92,FALSE)</f>
        <v>1.48878992020321</v>
      </c>
      <c r="I367" s="124">
        <f>VLOOKUP(A367,'Grondslagen AU 2019'!A$1:DA$386,92,FALSE)</f>
        <v>1.663</v>
      </c>
      <c r="J367" s="124">
        <f>VLOOKUP(A367,'Grondslagen AU 2020'!A$1:DA$386,77,FALSE)</f>
        <v>1.6539999999999999</v>
      </c>
      <c r="K367" s="124">
        <f>VLOOKUP(A367,'Grondslagen AU 2021'!A$1:DA$386,77,FALSE)</f>
        <v>1.514</v>
      </c>
      <c r="L367" s="124">
        <f>VLOOKUP(A367,'Grondslagen AU 2022'!A$1:DA$386,77,FALSE)</f>
        <v>1.302</v>
      </c>
      <c r="M367" s="72"/>
      <c r="N367" s="124"/>
    </row>
    <row r="368" spans="1:15" x14ac:dyDescent="0.35">
      <c r="A368" s="72">
        <v>37</v>
      </c>
      <c r="B368" s="72">
        <v>1</v>
      </c>
      <c r="D368" s="72" t="s">
        <v>282</v>
      </c>
      <c r="F368" s="126">
        <f>VLOOKUP(A368,'IUSD Klassiek 2017'!B$11:E$398,4,FALSE)*1000</f>
        <v>3.014167901160318</v>
      </c>
      <c r="G368" s="126">
        <f>VLOOKUP(A368,'IUSD klassiek 2018'!B$11:E$390,4,FALSE)*1000</f>
        <v>3.126177624143132</v>
      </c>
      <c r="H368" s="124">
        <f>VLOOKUP(A368,'Grondslagen AU 2018'!A$1:DA$386,92,FALSE)</f>
        <v>3.1174559644858002</v>
      </c>
      <c r="I368" s="124">
        <f>VLOOKUP(A368,'Grondslagen AU 2019'!A$1:DA$386,92,FALSE)</f>
        <v>3.0369999999999999</v>
      </c>
      <c r="J368" s="124">
        <f>VLOOKUP(A368,'Grondslagen AU 2020'!A$1:DA$386,77,FALSE)</f>
        <v>3.0379999999999998</v>
      </c>
      <c r="K368" s="124">
        <f>VLOOKUP(A368,'Grondslagen AU 2021'!A$1:DA$386,77,FALSE)</f>
        <v>2.9550000000000001</v>
      </c>
      <c r="L368" s="124">
        <f>VLOOKUP(A368,'Grondslagen AU 2022'!A$1:DA$386,77,FALSE)</f>
        <v>2.8879999999999999</v>
      </c>
      <c r="M368" s="72"/>
      <c r="N368" s="124"/>
    </row>
    <row r="369" spans="1:14" x14ac:dyDescent="0.35">
      <c r="A369" s="72">
        <v>9</v>
      </c>
      <c r="B369" s="72">
        <v>1</v>
      </c>
      <c r="D369" s="72" t="s">
        <v>801</v>
      </c>
      <c r="F369" s="126">
        <f>VLOOKUP(A369,'IUSD Klassiek 2017'!B$11:E$398,4,FALSE)*1000</f>
        <v>0.21466910263270597</v>
      </c>
      <c r="G369" s="126">
        <f>VLOOKUP(A369,'IUSD klassiek 2018'!B$11:E$390,4,FALSE)*1000</f>
        <v>0.17585243931427086</v>
      </c>
      <c r="H369" s="124">
        <f>VLOOKUP(A369,'Grondslagen AU 2018'!A$1:DA$386,92,FALSE)</f>
        <v>0.163949888265919</v>
      </c>
      <c r="I369" s="124" t="e">
        <f>VLOOKUP(A369,'Grondslagen AU 2019'!A$1:DA$386,92,FALSE)</f>
        <v>#N/A</v>
      </c>
      <c r="J369" s="124" t="e">
        <f>VLOOKUP(A369,'Grondslagen AU 2020'!A$1:DA$386,77,FALSE)</f>
        <v>#N/A</v>
      </c>
      <c r="K369" s="124" t="e">
        <f>VLOOKUP(A369,'Grondslagen AU 2021'!A$1:DA$386,77,FALSE)</f>
        <v>#N/A</v>
      </c>
      <c r="L369" s="124" t="e">
        <f>VLOOKUP(A369,'Grondslagen AU 2022'!A$1:DA$386,77,FALSE)</f>
        <v>#N/A</v>
      </c>
      <c r="M369" s="72" t="s">
        <v>122</v>
      </c>
      <c r="N369" s="124"/>
    </row>
    <row r="370" spans="1:14" x14ac:dyDescent="0.35">
      <c r="A370" s="72">
        <v>47</v>
      </c>
      <c r="B370" s="72">
        <v>1</v>
      </c>
      <c r="D370" s="72" t="s">
        <v>310</v>
      </c>
      <c r="F370" s="126">
        <f>VLOOKUP(A370,'IUSD Klassiek 2017'!B$11:E$398,4,FALSE)*1000</f>
        <v>2.8210585137683832</v>
      </c>
      <c r="G370" s="126">
        <f>VLOOKUP(A370,'IUSD klassiek 2018'!B$11:E$390,4,FALSE)*1000</f>
        <v>2.7511940306743186</v>
      </c>
      <c r="H370" s="124">
        <f>VLOOKUP(A370,'Grondslagen AU 2018'!A$1:DA$386,92,FALSE)</f>
        <v>2.9198891377499501</v>
      </c>
      <c r="I370" s="124">
        <f>VLOOKUP(A370,'Grondslagen AU 2019'!A$1:DA$386,92,FALSE)</f>
        <v>3.0489999999999999</v>
      </c>
      <c r="J370" s="124">
        <f>VLOOKUP(A370,'Grondslagen AU 2020'!A$1:DA$386,77,FALSE)</f>
        <v>3.02</v>
      </c>
      <c r="K370" s="124">
        <f>VLOOKUP(A370,'Grondslagen AU 2021'!A$1:DA$386,77,FALSE)</f>
        <v>2.8690000000000002</v>
      </c>
      <c r="L370" s="124">
        <f>VLOOKUP(A370,'Grondslagen AU 2022'!A$1:DA$386,77,FALSE)</f>
        <v>2.63</v>
      </c>
      <c r="M370" s="72"/>
      <c r="N370" s="124"/>
    </row>
    <row r="371" spans="1:14" x14ac:dyDescent="0.35">
      <c r="A371" s="72">
        <v>1950</v>
      </c>
      <c r="B371" s="72">
        <v>1</v>
      </c>
      <c r="D371" s="72" t="s">
        <v>339</v>
      </c>
      <c r="F371" s="126">
        <f>(+'IUSD Klassiek 2017'!E13+'IUSD Klassiek 2017'!E27)*1000</f>
        <v>1.4195418863307447</v>
      </c>
      <c r="G371" s="126">
        <f>VLOOKUP(A371,'IUSD klassiek 2018'!B$11:E$390,4,FALSE)*1000</f>
        <v>1.5275327741512279</v>
      </c>
      <c r="H371" s="124">
        <f>VLOOKUP(A371,'Grondslagen AU 2018'!A$1:DA$386,92,FALSE)</f>
        <v>1.5890369747561</v>
      </c>
      <c r="I371" s="124">
        <f>VLOOKUP(A371,'Grondslagen AU 2019'!A$1:DA$386,92,FALSE)</f>
        <v>1.6160000000000001</v>
      </c>
      <c r="J371" s="124">
        <f>VLOOKUP(A371,'Grondslagen AU 2020'!A$1:DA$386,77,FALSE)</f>
        <v>1.524</v>
      </c>
      <c r="K371" s="124">
        <f>VLOOKUP(A371,'Grondslagen AU 2021'!A$1:DA$386,77,FALSE)</f>
        <v>1.544</v>
      </c>
      <c r="L371" s="124">
        <f>VLOOKUP(A371,'Grondslagen AU 2022'!A$1:DA$386,77,FALSE)</f>
        <v>1.5429999999999999</v>
      </c>
      <c r="M371" s="72"/>
      <c r="N371" s="124"/>
    </row>
    <row r="372" spans="1:14" x14ac:dyDescent="0.35">
      <c r="A372" s="72">
        <v>53</v>
      </c>
      <c r="B372" s="72">
        <v>1</v>
      </c>
      <c r="D372" s="72" t="s">
        <v>802</v>
      </c>
      <c r="F372" s="126">
        <f>VLOOKUP(A372,'IUSD Klassiek 2017'!B$11:E$398,4,FALSE)*1000</f>
        <v>0.68441047455616977</v>
      </c>
      <c r="G372" s="126">
        <f>VLOOKUP(A372,'IUSD klassiek 2018'!B$11:E$390,4,FALSE)*1000</f>
        <v>0.67118182883520661</v>
      </c>
      <c r="H372" s="124">
        <f>VLOOKUP(A372,'Grondslagen AU 2018'!A$1:DA$386,92,FALSE)</f>
        <v>0.64720944345898301</v>
      </c>
      <c r="I372" s="124" t="e">
        <f>VLOOKUP(A372,'Grondslagen AU 2019'!A$1:DA$386,92,FALSE)</f>
        <v>#N/A</v>
      </c>
      <c r="J372" s="124" t="e">
        <f>VLOOKUP(A372,'Grondslagen AU 2020'!A$1:DA$386,77,FALSE)</f>
        <v>#N/A</v>
      </c>
      <c r="K372" s="124" t="e">
        <f>VLOOKUP(A372,'Grondslagen AU 2021'!A$1:DA$386,77,FALSE)</f>
        <v>#N/A</v>
      </c>
      <c r="L372" s="124" t="e">
        <f>VLOOKUP(A372,'Grondslagen AU 2022'!A$1:DA$386,77,FALSE)</f>
        <v>#N/A</v>
      </c>
      <c r="M372" s="72" t="s">
        <v>147</v>
      </c>
      <c r="N372" s="124"/>
    </row>
    <row r="373" spans="1:14" x14ac:dyDescent="0.35">
      <c r="A373" s="72">
        <v>56</v>
      </c>
      <c r="B373" s="72">
        <v>1</v>
      </c>
      <c r="D373" s="72" t="s">
        <v>803</v>
      </c>
      <c r="F373" s="126">
        <f>VLOOKUP(A373,'IUSD Klassiek 2017'!B$11:E$398,4,FALSE)*1000</f>
        <v>0.42655226608634794</v>
      </c>
      <c r="G373" s="126">
        <f>VLOOKUP(A373,'IUSD klassiek 2018'!B$11:E$390,4,FALSE)*1000</f>
        <v>0.31863148442746803</v>
      </c>
      <c r="H373" s="124">
        <f>VLOOKUP(A373,'Grondslagen AU 2018'!A$1:DA$386,92,FALSE)</f>
        <v>0.36609574982653598</v>
      </c>
      <c r="I373" s="124" t="e">
        <f>VLOOKUP(A373,'Grondslagen AU 2019'!A$1:DA$386,92,FALSE)</f>
        <v>#N/A</v>
      </c>
      <c r="J373" s="124" t="e">
        <f>VLOOKUP(A373,'Grondslagen AU 2020'!A$1:DA$386,77,FALSE)</f>
        <v>#N/A</v>
      </c>
      <c r="K373" s="124" t="e">
        <f>VLOOKUP(A373,'Grondslagen AU 2021'!A$1:DA$386,77,FALSE)</f>
        <v>#N/A</v>
      </c>
      <c r="L373" s="124" t="e">
        <f>VLOOKUP(A373,'Grondslagen AU 2022'!A$1:DA$386,77,FALSE)</f>
        <v>#N/A</v>
      </c>
      <c r="M373" s="72" t="s">
        <v>336</v>
      </c>
      <c r="N373" s="124"/>
    </row>
    <row r="374" spans="1:14" x14ac:dyDescent="0.35">
      <c r="A374" s="72">
        <v>59</v>
      </c>
      <c r="B374" s="72">
        <v>2</v>
      </c>
      <c r="D374" s="72" t="s">
        <v>14</v>
      </c>
      <c r="F374" s="126">
        <f>VLOOKUP(A374,'IUSD Klassiek 2017'!B$11:E$398,4,FALSE)*1000</f>
        <v>2.100405648643187</v>
      </c>
      <c r="G374" s="126">
        <f>VLOOKUP(A374,'IUSD klassiek 2018'!B$11:E$390,4,FALSE)*1000</f>
        <v>2.1872632649793697</v>
      </c>
      <c r="H374" s="124">
        <f>VLOOKUP(A374,'Grondslagen AU 2018'!A$1:DA$386,92,FALSE)</f>
        <v>2.13450440113375</v>
      </c>
      <c r="I374" s="124">
        <f>VLOOKUP(A374,'Grondslagen AU 2019'!A$1:DA$386,92,FALSE)</f>
        <v>1.9850000000000001</v>
      </c>
      <c r="J374" s="124">
        <f>VLOOKUP(A374,'Grondslagen AU 2020'!A$1:DA$386,77,FALSE)</f>
        <v>1.921</v>
      </c>
      <c r="K374" s="124">
        <f>VLOOKUP(A374,'Grondslagen AU 2021'!A$1:DA$386,77,FALSE)</f>
        <v>1.837</v>
      </c>
      <c r="L374" s="124">
        <f>VLOOKUP(A374,'Grondslagen AU 2022'!A$1:DA$386,77,FALSE)</f>
        <v>1.734</v>
      </c>
      <c r="M374" s="72"/>
      <c r="N374" s="124"/>
    </row>
    <row r="375" spans="1:14" x14ac:dyDescent="0.35">
      <c r="A375" s="72">
        <v>60</v>
      </c>
      <c r="B375" s="72">
        <v>2</v>
      </c>
      <c r="D375" s="72" t="s">
        <v>23</v>
      </c>
      <c r="F375" s="126">
        <f>VLOOKUP(A375,'IUSD Klassiek 2017'!B$11:E$398,4,FALSE)*1000</f>
        <v>1.7734587409189762E-2</v>
      </c>
      <c r="G375" s="126">
        <f>VLOOKUP(A375,'IUSD klassiek 2018'!B$11:E$390,4,FALSE)*1000</f>
        <v>1.6823941688002244E-2</v>
      </c>
      <c r="H375" s="124">
        <f>VLOOKUP(A375,'Grondslagen AU 2018'!A$1:DA$386,92,FALSE)</f>
        <v>1.66225633910865E-2</v>
      </c>
      <c r="I375" s="124">
        <f>VLOOKUP(A375,'Grondslagen AU 2019'!A$1:DA$386,92,FALSE)</f>
        <v>1.7999999999999999E-2</v>
      </c>
      <c r="J375" s="124">
        <f>VLOOKUP(A375,'Grondslagen AU 2020'!A$1:DA$386,77,FALSE)</f>
        <v>1.7999999999999999E-2</v>
      </c>
      <c r="K375" s="124">
        <f>VLOOKUP(A375,'Grondslagen AU 2021'!A$1:DA$386,77,FALSE)</f>
        <v>1.7999999999999999E-2</v>
      </c>
      <c r="L375" s="124">
        <f>VLOOKUP(A375,'Grondslagen AU 2022'!A$1:DA$386,77,FALSE)</f>
        <v>1.7999999999999999E-2</v>
      </c>
      <c r="M375" s="72"/>
      <c r="N375" s="124"/>
    </row>
    <row r="376" spans="1:14" x14ac:dyDescent="0.35">
      <c r="A376" s="72">
        <v>1891</v>
      </c>
      <c r="B376" s="72">
        <v>2</v>
      </c>
      <c r="D376" s="72" t="s">
        <v>75</v>
      </c>
      <c r="F376" s="126">
        <f>VLOOKUP(A376,'IUSD Klassiek 2017'!B$11:E$398,4,FALSE)*1000</f>
        <v>1.5069898615966395</v>
      </c>
      <c r="G376" s="126">
        <f>VLOOKUP(A376,'IUSD klassiek 2018'!B$11:E$390,4,FALSE)*1000</f>
        <v>1.548460084623386</v>
      </c>
      <c r="H376" s="124">
        <f>VLOOKUP(A376,'Grondslagen AU 2018'!A$1:DA$386,92,FALSE)</f>
        <v>1.5382827694499099</v>
      </c>
      <c r="I376" s="124">
        <f>VLOOKUP(A376,'Grondslagen AU 2019'!A$1:DA$386,92,FALSE)</f>
        <v>1.5009999999999999</v>
      </c>
      <c r="J376" s="124">
        <f>VLOOKUP(A376,'Grondslagen AU 2020'!A$1:DA$386,77,FALSE)</f>
        <v>1.4159999999999999</v>
      </c>
      <c r="K376" s="124">
        <f>VLOOKUP(A376,'Grondslagen AU 2021'!A$1:DA$386,77,FALSE)</f>
        <v>1.353</v>
      </c>
      <c r="L376" s="124">
        <f>VLOOKUP(A376,'Grondslagen AU 2022'!A$1:DA$386,77,FALSE)</f>
        <v>1.302</v>
      </c>
      <c r="M376" s="72"/>
      <c r="N376" s="124"/>
    </row>
    <row r="377" spans="1:14" x14ac:dyDescent="0.35">
      <c r="A377" s="72">
        <v>1940</v>
      </c>
      <c r="B377" s="72">
        <v>2</v>
      </c>
      <c r="D377" s="72" t="s">
        <v>77</v>
      </c>
      <c r="F377" s="126">
        <f>VLOOKUP(A377,'IUSD Klassiek 2017'!B$11:E$398,4,FALSE)*1000</f>
        <v>1.9575057210787414</v>
      </c>
      <c r="G377" s="126">
        <f>VLOOKUP(A377,'IUSD klassiek 2018'!B$11:E$390,4,FALSE)*1000</f>
        <v>2.0304350656933123</v>
      </c>
      <c r="H377" s="124">
        <f>VLOOKUP(A377,'Grondslagen AU 2018'!A$1:DA$386,92,FALSE)</f>
        <v>2.0358609404502102</v>
      </c>
      <c r="I377" s="124">
        <f>VLOOKUP(A377,'Grondslagen AU 2019'!A$1:DA$386,92,FALSE)</f>
        <v>1.8009999999999999</v>
      </c>
      <c r="J377" s="124">
        <f>VLOOKUP(A377,'Grondslagen AU 2020'!A$1:DA$386,77,FALSE)</f>
        <v>1.7649999999999999</v>
      </c>
      <c r="K377" s="124">
        <f>VLOOKUP(A377,'Grondslagen AU 2021'!A$1:DA$386,77,FALSE)</f>
        <v>1.502</v>
      </c>
      <c r="L377" s="124">
        <f>VLOOKUP(A377,'Grondslagen AU 2022'!A$1:DA$386,77,FALSE)</f>
        <v>1.5029999999999999</v>
      </c>
      <c r="M377" s="72"/>
      <c r="N377" s="124"/>
    </row>
    <row r="378" spans="1:14" x14ac:dyDescent="0.35">
      <c r="A378" s="72">
        <v>58</v>
      </c>
      <c r="B378" s="72">
        <v>2</v>
      </c>
      <c r="D378" s="72" t="s">
        <v>804</v>
      </c>
      <c r="F378" s="126">
        <f>VLOOKUP(A378,'IUSD Klassiek 2017'!B$11:E$398,4,FALSE)*1000</f>
        <v>1.8095114405822317</v>
      </c>
      <c r="G378" s="126">
        <f>VLOOKUP(A378,'IUSD klassiek 2018'!B$11:E$390,4,FALSE)*1000</f>
        <v>1.7511350285025669</v>
      </c>
      <c r="H378" s="124">
        <f>VLOOKUP(A378,'Grondslagen AU 2018'!A$1:DA$386,92,FALSE)</f>
        <v>1.8226112865797199</v>
      </c>
      <c r="I378" s="124" t="e">
        <f>VLOOKUP(A378,'Grondslagen AU 2019'!A$1:DA$386,92,FALSE)</f>
        <v>#N/A</v>
      </c>
      <c r="J378" s="124" t="e">
        <f>VLOOKUP(A378,'Grondslagen AU 2020'!A$1:DA$386,77,FALSE)</f>
        <v>#N/A</v>
      </c>
      <c r="K378" s="124" t="e">
        <f>VLOOKUP(A378,'Grondslagen AU 2021'!A$1:DA$386,77,FALSE)</f>
        <v>#N/A</v>
      </c>
      <c r="L378" s="124" t="e">
        <f>VLOOKUP(A378,'Grondslagen AU 2022'!A$1:DA$386,77,FALSE)</f>
        <v>#N/A</v>
      </c>
      <c r="M378" s="72" t="s">
        <v>217</v>
      </c>
      <c r="N378" s="124"/>
    </row>
    <row r="379" spans="1:14" x14ac:dyDescent="0.35">
      <c r="A379" s="72">
        <v>1722</v>
      </c>
      <c r="B379" s="72">
        <v>2</v>
      </c>
      <c r="D379" s="72" t="s">
        <v>805</v>
      </c>
      <c r="F379" s="126">
        <f>VLOOKUP(A379,'IUSD Klassiek 2017'!B$11:E$398,4,FALSE)*1000</f>
        <v>0.50476873205751649</v>
      </c>
      <c r="G379" s="126">
        <f>VLOOKUP(A379,'IUSD klassiek 2018'!B$11:E$390,4,FALSE)*1000</f>
        <v>0.50302786987550119</v>
      </c>
      <c r="H379" s="124">
        <f>VLOOKUP(A379,'Grondslagen AU 2018'!A$1:DA$386,92,FALSE)</f>
        <v>0.54867076140001603</v>
      </c>
      <c r="I379" s="124" t="e">
        <f>VLOOKUP(A379,'Grondslagen AU 2019'!A$1:DA$386,92,FALSE)</f>
        <v>#N/A</v>
      </c>
      <c r="J379" s="124" t="e">
        <f>VLOOKUP(A379,'Grondslagen AU 2020'!A$1:DA$386,77,FALSE)</f>
        <v>#N/A</v>
      </c>
      <c r="K379" s="124" t="e">
        <f>VLOOKUP(A379,'Grondslagen AU 2021'!A$1:DA$386,77,FALSE)</f>
        <v>#N/A</v>
      </c>
      <c r="L379" s="124" t="e">
        <f>VLOOKUP(A379,'Grondslagen AU 2022'!A$1:DA$386,77,FALSE)</f>
        <v>#N/A</v>
      </c>
      <c r="M379" s="72" t="s">
        <v>217</v>
      </c>
      <c r="N379" s="124"/>
    </row>
    <row r="380" spans="1:14" x14ac:dyDescent="0.35">
      <c r="A380" s="72">
        <v>72</v>
      </c>
      <c r="B380" s="72">
        <v>2</v>
      </c>
      <c r="D380" s="72" t="s">
        <v>132</v>
      </c>
      <c r="F380" s="126">
        <f>VLOOKUP(A380,'IUSD Klassiek 2017'!B$11:E$398,4,FALSE)*1000</f>
        <v>1.4756893698530611</v>
      </c>
      <c r="G380" s="126">
        <f>VLOOKUP(A380,'IUSD klassiek 2018'!B$11:E$390,4,FALSE)*1000</f>
        <v>1.5954880273830223</v>
      </c>
      <c r="H380" s="124">
        <f>VLOOKUP(A380,'Grondslagen AU 2018'!A$1:DA$386,92,FALSE)</f>
        <v>1.64191644089689</v>
      </c>
      <c r="I380" s="124">
        <f>VLOOKUP(A380,'Grondslagen AU 2019'!A$1:DA$386,92,FALSE)</f>
        <v>1.5509999999999999</v>
      </c>
      <c r="J380" s="124">
        <f>VLOOKUP(A380,'Grondslagen AU 2020'!A$1:DA$386,77,FALSE)</f>
        <v>1.6</v>
      </c>
      <c r="K380" s="124">
        <f>VLOOKUP(A380,'Grondslagen AU 2021'!A$1:DA$386,77,FALSE)</f>
        <v>1.538</v>
      </c>
      <c r="L380" s="124">
        <f>VLOOKUP(A380,'Grondslagen AU 2022'!A$1:DA$386,77,FALSE)</f>
        <v>1.5069999999999999</v>
      </c>
      <c r="M380" s="72"/>
      <c r="N380" s="124"/>
    </row>
    <row r="381" spans="1:14" x14ac:dyDescent="0.35">
      <c r="A381" s="72">
        <v>74</v>
      </c>
      <c r="B381" s="72">
        <v>2</v>
      </c>
      <c r="D381" s="72" t="s">
        <v>137</v>
      </c>
      <c r="F381" s="126">
        <f>VLOOKUP(A381,'IUSD Klassiek 2017'!B$11:E$398,4,FALSE)*1000</f>
        <v>3.6904530913654501</v>
      </c>
      <c r="G381" s="126">
        <f>VLOOKUP(A381,'IUSD klassiek 2018'!B$11:E$390,4,FALSE)*1000</f>
        <v>3.8075398301537122</v>
      </c>
      <c r="H381" s="124">
        <f>VLOOKUP(A381,'Grondslagen AU 2018'!A$1:DA$386,92,FALSE)</f>
        <v>3.8526012679747899</v>
      </c>
      <c r="I381" s="124">
        <f>VLOOKUP(A381,'Grondslagen AU 2019'!A$1:DA$386,92,FALSE)</f>
        <v>3.633</v>
      </c>
      <c r="J381" s="124">
        <f>VLOOKUP(A381,'Grondslagen AU 2020'!A$1:DA$386,77,FALSE)</f>
        <v>3.7210000000000001</v>
      </c>
      <c r="K381" s="124">
        <f>VLOOKUP(A381,'Grondslagen AU 2021'!A$1:DA$386,77,FALSE)</f>
        <v>3.8239999999999998</v>
      </c>
      <c r="L381" s="124">
        <f>VLOOKUP(A381,'Grondslagen AU 2022'!A$1:DA$386,77,FALSE)</f>
        <v>3.7829999999999999</v>
      </c>
      <c r="M381" s="72"/>
      <c r="N381" s="124"/>
    </row>
    <row r="382" spans="1:14" x14ac:dyDescent="0.35">
      <c r="A382" s="72">
        <v>79</v>
      </c>
      <c r="B382" s="72">
        <v>2</v>
      </c>
      <c r="D382" s="72" t="s">
        <v>806</v>
      </c>
      <c r="F382" s="126">
        <f>VLOOKUP(A382,'IUSD Klassiek 2017'!B$11:E$398,4,FALSE)*1000</f>
        <v>0.85177531976025012</v>
      </c>
      <c r="G382" s="126">
        <f>VLOOKUP(A382,'IUSD klassiek 2018'!B$11:E$390,4,FALSE)*1000</f>
        <v>0.85945271583270066</v>
      </c>
      <c r="H382" s="124">
        <f>VLOOKUP(A382,'Grondslagen AU 2018'!A$1:DA$386,92,FALSE)</f>
        <v>0.84601599511496794</v>
      </c>
      <c r="I382" s="124" t="e">
        <f>VLOOKUP(A382,'Grondslagen AU 2019'!A$1:DA$386,92,FALSE)</f>
        <v>#N/A</v>
      </c>
      <c r="J382" s="124" t="e">
        <f>VLOOKUP(A382,'Grondslagen AU 2020'!A$1:DA$386,77,FALSE)</f>
        <v>#N/A</v>
      </c>
      <c r="K382" s="124" t="e">
        <f>VLOOKUP(A382,'Grondslagen AU 2021'!A$1:DA$386,77,FALSE)</f>
        <v>#N/A</v>
      </c>
      <c r="L382" s="124" t="e">
        <f>VLOOKUP(A382,'Grondslagen AU 2022'!A$1:DA$386,77,FALSE)</f>
        <v>#N/A</v>
      </c>
      <c r="M382" s="72" t="s">
        <v>217</v>
      </c>
      <c r="N382" s="124"/>
    </row>
    <row r="383" spans="1:14" x14ac:dyDescent="0.35">
      <c r="A383" s="72">
        <v>80</v>
      </c>
      <c r="B383" s="72">
        <v>2</v>
      </c>
      <c r="D383" s="72" t="s">
        <v>178</v>
      </c>
      <c r="F383" s="126">
        <f>(VLOOKUP(A383,'IUSD Klassiek 2017'!B$11:E$398,4,FALSE)+'IUSD Klassiek 2017'!E40)*1000</f>
        <v>16.357079947407975</v>
      </c>
      <c r="G383" s="126">
        <f>VLOOKUP(A383,'IUSD klassiek 2018'!B$11:E$390,4,FALSE)*1000</f>
        <v>17.510454633829774</v>
      </c>
      <c r="H383" s="124">
        <f>VLOOKUP(A383,'Grondslagen AU 2018'!A$1:DA$386,92,FALSE)</f>
        <v>18.4109414193688</v>
      </c>
      <c r="I383" s="124">
        <f>VLOOKUP(A383,'Grondslagen AU 2019'!A$1:DA$386,92,FALSE)</f>
        <v>18.434999999999999</v>
      </c>
      <c r="J383" s="124">
        <f>VLOOKUP(A383,'Grondslagen AU 2020'!A$1:DA$386,77,FALSE)</f>
        <v>18.018999999999998</v>
      </c>
      <c r="K383" s="124">
        <f>VLOOKUP(A383,'Grondslagen AU 2021'!A$1:DA$386,77,FALSE)</f>
        <v>17.690000000000001</v>
      </c>
      <c r="L383" s="124">
        <f>VLOOKUP(A383,'Grondslagen AU 2022'!A$1:DA$386,77,FALSE)</f>
        <v>17.081</v>
      </c>
      <c r="M383" s="72"/>
      <c r="N383" s="124"/>
    </row>
    <row r="384" spans="1:14" x14ac:dyDescent="0.35">
      <c r="A384" s="72">
        <v>85</v>
      </c>
      <c r="B384" s="72">
        <v>2</v>
      </c>
      <c r="D384" s="72" t="s">
        <v>234</v>
      </c>
      <c r="F384" s="126">
        <f>VLOOKUP(A384,'IUSD Klassiek 2017'!B$11:E$398,4,FALSE)*1000</f>
        <v>1.5145673298029225</v>
      </c>
      <c r="G384" s="126">
        <f>VLOOKUP(A384,'IUSD klassiek 2018'!B$11:E$390,4,FALSE)*1000</f>
        <v>1.6114136017033778</v>
      </c>
      <c r="H384" s="124">
        <f>VLOOKUP(A384,'Grondslagen AU 2018'!A$1:DA$386,92,FALSE)</f>
        <v>1.58252885832211</v>
      </c>
      <c r="I384" s="124">
        <f>VLOOKUP(A384,'Grondslagen AU 2019'!A$1:DA$386,92,FALSE)</f>
        <v>1.405</v>
      </c>
      <c r="J384" s="124">
        <f>VLOOKUP(A384,'Grondslagen AU 2020'!A$1:DA$386,77,FALSE)</f>
        <v>1.494</v>
      </c>
      <c r="K384" s="124">
        <f>VLOOKUP(A384,'Grondslagen AU 2021'!A$1:DA$386,77,FALSE)</f>
        <v>1.5029999999999999</v>
      </c>
      <c r="L384" s="124">
        <f>VLOOKUP(A384,'Grondslagen AU 2022'!A$1:DA$386,77,FALSE)</f>
        <v>1.4690000000000001</v>
      </c>
      <c r="M384" s="72"/>
      <c r="N384" s="124"/>
    </row>
    <row r="385" spans="1:14" x14ac:dyDescent="0.35">
      <c r="A385" s="72">
        <v>86</v>
      </c>
      <c r="B385" s="72">
        <v>2</v>
      </c>
      <c r="D385" s="72" t="s">
        <v>237</v>
      </c>
      <c r="F385" s="126">
        <f>VLOOKUP(A385,'IUSD Klassiek 2017'!B$11:E$398,4,FALSE)*1000</f>
        <v>1.5100630132422885</v>
      </c>
      <c r="G385" s="126">
        <f>VLOOKUP(A385,'IUSD klassiek 2018'!B$11:E$390,4,FALSE)*1000</f>
        <v>1.6227148545403975</v>
      </c>
      <c r="H385" s="124">
        <f>VLOOKUP(A385,'Grondslagen AU 2018'!A$1:DA$386,92,FALSE)</f>
        <v>1.4968251424908501</v>
      </c>
      <c r="I385" s="124">
        <f>VLOOKUP(A385,'Grondslagen AU 2019'!A$1:DA$386,92,FALSE)</f>
        <v>1.369</v>
      </c>
      <c r="J385" s="124">
        <f>VLOOKUP(A385,'Grondslagen AU 2020'!A$1:DA$386,77,FALSE)</f>
        <v>1.4490000000000001</v>
      </c>
      <c r="K385" s="124">
        <f>VLOOKUP(A385,'Grondslagen AU 2021'!A$1:DA$386,77,FALSE)</f>
        <v>1.284</v>
      </c>
      <c r="L385" s="124">
        <f>VLOOKUP(A385,'Grondslagen AU 2022'!A$1:DA$386,77,FALSE)</f>
        <v>1.2410000000000001</v>
      </c>
      <c r="M385" s="72"/>
      <c r="N385" s="124"/>
    </row>
    <row r="386" spans="1:14" x14ac:dyDescent="0.35">
      <c r="A386" s="72">
        <v>88</v>
      </c>
      <c r="B386" s="72">
        <v>2</v>
      </c>
      <c r="D386" s="72" t="s">
        <v>268</v>
      </c>
      <c r="F386" s="126">
        <f>VLOOKUP(A386,'IUSD Klassiek 2017'!B$11:E$398,4,FALSE)*1000</f>
        <v>9.0347015013937972E-3</v>
      </c>
      <c r="G386" s="126">
        <f>VLOOKUP(A386,'IUSD klassiek 2018'!B$11:E$390,4,FALSE)*1000</f>
        <v>1.0731628547735494E-2</v>
      </c>
      <c r="H386" s="124">
        <f>VLOOKUP(A386,'Grondslagen AU 2018'!A$1:DA$386,92,FALSE)</f>
        <v>1.1802278288783601E-2</v>
      </c>
      <c r="I386" s="124">
        <f>VLOOKUP(A386,'Grondslagen AU 2019'!A$1:DA$386,92,FALSE)</f>
        <v>8.0000000000000002E-3</v>
      </c>
      <c r="J386" s="124">
        <f>VLOOKUP(A386,'Grondslagen AU 2020'!A$1:DA$386,77,FALSE)</f>
        <v>1.4E-2</v>
      </c>
      <c r="K386" s="124">
        <f>VLOOKUP(A386,'Grondslagen AU 2021'!A$1:DA$386,77,FALSE)</f>
        <v>7.0000000000000001E-3</v>
      </c>
      <c r="L386" s="124">
        <f>VLOOKUP(A386,'Grondslagen AU 2022'!A$1:DA$386,77,FALSE)</f>
        <v>5.0000000000000001E-3</v>
      </c>
      <c r="M386" s="72"/>
      <c r="N386" s="124"/>
    </row>
    <row r="387" spans="1:14" x14ac:dyDescent="0.35">
      <c r="A387" s="72">
        <v>90</v>
      </c>
      <c r="B387" s="72">
        <v>2</v>
      </c>
      <c r="D387" s="72" t="s">
        <v>278</v>
      </c>
      <c r="F387" s="126">
        <f>VLOOKUP(A387,'IUSD Klassiek 2017'!B$11:E$398,4,FALSE)*1000</f>
        <v>5.3047747931118678</v>
      </c>
      <c r="G387" s="126">
        <f>VLOOKUP(A387,'IUSD klassiek 2018'!B$11:E$390,4,FALSE)*1000</f>
        <v>5.4234200125865719</v>
      </c>
      <c r="H387" s="124">
        <f>VLOOKUP(A387,'Grondslagen AU 2018'!A$1:DA$386,92,FALSE)</f>
        <v>5.7139909344635598</v>
      </c>
      <c r="I387" s="124">
        <f>VLOOKUP(A387,'Grondslagen AU 2019'!A$1:DA$386,92,FALSE)</f>
        <v>5.49</v>
      </c>
      <c r="J387" s="124">
        <f>VLOOKUP(A387,'Grondslagen AU 2020'!A$1:DA$386,77,FALSE)</f>
        <v>5.4260000000000002</v>
      </c>
      <c r="K387" s="124">
        <f>VLOOKUP(A387,'Grondslagen AU 2021'!A$1:DA$386,77,FALSE)</f>
        <v>5.2519999999999998</v>
      </c>
      <c r="L387" s="124">
        <f>VLOOKUP(A387,'Grondslagen AU 2022'!A$1:DA$386,77,FALSE)</f>
        <v>4.9950000000000001</v>
      </c>
      <c r="M387" s="72"/>
      <c r="N387" s="124"/>
    </row>
    <row r="388" spans="1:14" x14ac:dyDescent="0.35">
      <c r="A388" s="72">
        <v>1900</v>
      </c>
      <c r="B388" s="72">
        <v>2</v>
      </c>
      <c r="D388" s="72" t="s">
        <v>289</v>
      </c>
      <c r="F388" s="126">
        <f>VLOOKUP(A388,'IUSD Klassiek 2017'!B$11:E$398,4,FALSE)*1000</f>
        <v>5.9698848432855529</v>
      </c>
      <c r="G388" s="126">
        <f>VLOOKUP(A388,'IUSD klassiek 2018'!B$11:E$390,4,FALSE)*1000</f>
        <v>6.6951199096113196</v>
      </c>
      <c r="H388" s="124">
        <f>VLOOKUP(A388,'Grondslagen AU 2018'!A$1:DA$386,92,FALSE)</f>
        <v>6.7301296175434597</v>
      </c>
      <c r="I388" s="124">
        <f>VLOOKUP(A388,'Grondslagen AU 2019'!A$1:DA$386,92,FALSE)</f>
        <v>6.5549999999999997</v>
      </c>
      <c r="J388" s="124">
        <f>VLOOKUP(A388,'Grondslagen AU 2020'!A$1:DA$386,77,FALSE)</f>
        <v>6.4119999999999999</v>
      </c>
      <c r="K388" s="124">
        <f>VLOOKUP(A388,'Grondslagen AU 2021'!A$1:DA$386,77,FALSE)</f>
        <v>6.2930000000000001</v>
      </c>
      <c r="L388" s="124">
        <f>VLOOKUP(A388,'Grondslagen AU 2022'!A$1:DA$386,77,FALSE)</f>
        <v>6.1769999999999996</v>
      </c>
      <c r="M388" s="72"/>
      <c r="N388" s="124"/>
    </row>
    <row r="389" spans="1:14" x14ac:dyDescent="0.35">
      <c r="A389" s="72">
        <v>93</v>
      </c>
      <c r="B389" s="72">
        <v>2</v>
      </c>
      <c r="D389" s="72" t="s">
        <v>291</v>
      </c>
      <c r="F389" s="126">
        <f>VLOOKUP(A389,'IUSD Klassiek 2017'!B$11:E$398,4,FALSE)*1000</f>
        <v>3.1725318807896169E-2</v>
      </c>
      <c r="G389" s="126">
        <f>VLOOKUP(A389,'IUSD klassiek 2018'!B$11:E$390,4,FALSE)*1000</f>
        <v>2.4413459720970886E-2</v>
      </c>
      <c r="H389" s="124">
        <f>VLOOKUP(A389,'Grondslagen AU 2018'!A$1:DA$386,92,FALSE)</f>
        <v>2.4099318392074999E-2</v>
      </c>
      <c r="I389" s="124">
        <f>VLOOKUP(A389,'Grondslagen AU 2019'!A$1:DA$386,92,FALSE)</f>
        <v>2.5000000000000001E-2</v>
      </c>
      <c r="J389" s="124">
        <f>VLOOKUP(A389,'Grondslagen AU 2020'!A$1:DA$386,77,FALSE)</f>
        <v>2.5000000000000001E-2</v>
      </c>
      <c r="K389" s="124">
        <f>VLOOKUP(A389,'Grondslagen AU 2021'!A$1:DA$386,77,FALSE)</f>
        <v>2.5000000000000001E-2</v>
      </c>
      <c r="L389" s="124">
        <f>VLOOKUP(A389,'Grondslagen AU 2022'!A$1:DA$386,77,FALSE)</f>
        <v>2.5000000000000001E-2</v>
      </c>
      <c r="M389" s="72"/>
      <c r="N389" s="124"/>
    </row>
    <row r="390" spans="1:14" x14ac:dyDescent="0.35">
      <c r="A390" s="72">
        <v>737</v>
      </c>
      <c r="B390" s="72">
        <v>2</v>
      </c>
      <c r="D390" s="72" t="s">
        <v>300</v>
      </c>
      <c r="F390" s="126">
        <f>VLOOKUP(A390,'IUSD Klassiek 2017'!B$11:E$398,4,FALSE)*1000</f>
        <v>1.3679005325129627</v>
      </c>
      <c r="G390" s="126">
        <f>VLOOKUP(A390,'IUSD klassiek 2018'!B$11:E$390,4,FALSE)*1000</f>
        <v>1.4034706583841861</v>
      </c>
      <c r="H390" s="124">
        <f>VLOOKUP(A390,'Grondslagen AU 2018'!A$1:DA$386,92,FALSE)</f>
        <v>1.3914378632883899</v>
      </c>
      <c r="I390" s="124">
        <f>VLOOKUP(A390,'Grondslagen AU 2019'!A$1:DA$386,92,FALSE)</f>
        <v>1.589</v>
      </c>
      <c r="J390" s="124">
        <f>VLOOKUP(A390,'Grondslagen AU 2020'!A$1:DA$386,77,FALSE)</f>
        <v>1.573</v>
      </c>
      <c r="K390" s="124">
        <f>VLOOKUP(A390,'Grondslagen AU 2021'!A$1:DA$386,77,FALSE)</f>
        <v>1.3939999999999999</v>
      </c>
      <c r="L390" s="124">
        <f>VLOOKUP(A390,'Grondslagen AU 2022'!A$1:DA$386,77,FALSE)</f>
        <v>1.2949999999999999</v>
      </c>
      <c r="M390" s="72"/>
      <c r="N390" s="124"/>
    </row>
    <row r="391" spans="1:14" x14ac:dyDescent="0.35">
      <c r="A391" s="72">
        <v>96</v>
      </c>
      <c r="B391" s="72">
        <v>2</v>
      </c>
      <c r="D391" s="72" t="s">
        <v>319</v>
      </c>
      <c r="F391" s="126">
        <f>VLOOKUP(A391,'IUSD Klassiek 2017'!B$11:E$398,4,FALSE)*1000</f>
        <v>6.5305017113931564E-3</v>
      </c>
      <c r="G391" s="126">
        <f>VLOOKUP(A391,'IUSD klassiek 2018'!B$11:E$390,4,FALSE)*1000</f>
        <v>5.6003298388438531E-3</v>
      </c>
      <c r="H391" s="124">
        <f>VLOOKUP(A391,'Grondslagen AU 2018'!A$1:DA$386,92,FALSE)</f>
        <v>5.6113423896307496E-3</v>
      </c>
      <c r="I391" s="124">
        <f>VLOOKUP(A391,'Grondslagen AU 2019'!A$1:DA$386,92,FALSE)</f>
        <v>6.0000000000000001E-3</v>
      </c>
      <c r="J391" s="124">
        <f>VLOOKUP(A391,'Grondslagen AU 2020'!A$1:DA$386,77,FALSE)</f>
        <v>7.0000000000000001E-3</v>
      </c>
      <c r="K391" s="124">
        <f>VLOOKUP(A391,'Grondslagen AU 2021'!A$1:DA$386,77,FALSE)</f>
        <v>7.0000000000000001E-3</v>
      </c>
      <c r="L391" s="124">
        <f>VLOOKUP(A391,'Grondslagen AU 2022'!A$1:DA$386,77,FALSE)</f>
        <v>7.0000000000000001E-3</v>
      </c>
      <c r="M391" s="72"/>
      <c r="N391" s="124"/>
    </row>
    <row r="392" spans="1:14" x14ac:dyDescent="0.35">
      <c r="A392" s="72">
        <v>1949</v>
      </c>
      <c r="B392" s="72">
        <v>2</v>
      </c>
      <c r="D392" s="72" t="s">
        <v>325</v>
      </c>
      <c r="F392" s="126">
        <f>(+'IUSD Klassiek 2017'!E34+'IUSD Klassiek 2017'!E35+'IUSD Klassiek 2017'!E385+'IUSD Klassiek 2017'!E53)*1000</f>
        <v>2.8116315727214842</v>
      </c>
      <c r="G392" s="126">
        <f>VLOOKUP(A392,'IUSD klassiek 2018'!B$11:E$390,4,FALSE)*1000</f>
        <v>2.7488551494873708</v>
      </c>
      <c r="H392" s="124">
        <f>VLOOKUP(A392,'Grondslagen AU 2018'!A$1:DA$386,92,FALSE)</f>
        <v>2.7500141634134501</v>
      </c>
      <c r="I392" s="124">
        <f>VLOOKUP(A392,'Grondslagen AU 2019'!A$1:DA$386,92,FALSE)</f>
        <v>2.9630000000000001</v>
      </c>
      <c r="J392" s="124">
        <f>VLOOKUP(A392,'Grondslagen AU 2020'!A$1:DA$386,77,FALSE)</f>
        <v>2.8969999999999998</v>
      </c>
      <c r="K392" s="124">
        <f>VLOOKUP(A392,'Grondslagen AU 2021'!A$1:DA$386,77,FALSE)</f>
        <v>2.8839999999999999</v>
      </c>
      <c r="L392" s="124">
        <f>VLOOKUP(A392,'Grondslagen AU 2022'!A$1:DA$386,77,FALSE)</f>
        <v>2.7429999999999999</v>
      </c>
      <c r="M392" s="72"/>
      <c r="N392" s="124"/>
    </row>
    <row r="393" spans="1:14" x14ac:dyDescent="0.35">
      <c r="A393" s="72">
        <v>98</v>
      </c>
      <c r="B393" s="72">
        <v>2</v>
      </c>
      <c r="D393" s="72" t="s">
        <v>341</v>
      </c>
      <c r="F393" s="126">
        <f>VLOOKUP(A393,'IUSD Klassiek 2017'!B$11:E$398,4,FALSE)*1000</f>
        <v>1.2067523504652162</v>
      </c>
      <c r="G393" s="126">
        <f>VLOOKUP(A393,'IUSD klassiek 2018'!B$11:E$390,4,FALSE)*1000</f>
        <v>1.1517297990691306</v>
      </c>
      <c r="H393" s="124">
        <f>VLOOKUP(A393,'Grondslagen AU 2018'!A$1:DA$386,92,FALSE)</f>
        <v>1.24155945144877</v>
      </c>
      <c r="I393" s="124">
        <f>VLOOKUP(A393,'Grondslagen AU 2019'!A$1:DA$386,92,FALSE)</f>
        <v>1.1679999999999999</v>
      </c>
      <c r="J393" s="124">
        <f>VLOOKUP(A393,'Grondslagen AU 2020'!A$1:DA$386,77,FALSE)</f>
        <v>1.2190000000000001</v>
      </c>
      <c r="K393" s="124">
        <f>VLOOKUP(A393,'Grondslagen AU 2021'!A$1:DA$386,77,FALSE)</f>
        <v>1.107</v>
      </c>
      <c r="L393" s="124">
        <f>VLOOKUP(A393,'Grondslagen AU 2022'!A$1:DA$386,77,FALSE)</f>
        <v>1.1240000000000001</v>
      </c>
      <c r="M393" s="72"/>
      <c r="N393" s="124"/>
    </row>
    <row r="394" spans="1:14" x14ac:dyDescent="0.35">
      <c r="A394" s="72">
        <v>1680</v>
      </c>
      <c r="B394" s="72">
        <v>3</v>
      </c>
      <c r="D394" s="72" t="s">
        <v>0</v>
      </c>
      <c r="F394" s="126">
        <f>VLOOKUP(A394,'IUSD Klassiek 2017'!B$11:E$398,4,FALSE)*1000</f>
        <v>0.76071634924730414</v>
      </c>
      <c r="G394" s="126">
        <f>VLOOKUP(A394,'IUSD klassiek 2018'!B$11:E$390,4,FALSE)*1000</f>
        <v>0.71097182025255001</v>
      </c>
      <c r="H394" s="124">
        <f>VLOOKUP(A394,'Grondslagen AU 2018'!A$1:DA$386,92,FALSE)</f>
        <v>0.76241211620479399</v>
      </c>
      <c r="I394" s="124">
        <f>VLOOKUP(A394,'Grondslagen AU 2019'!A$1:DA$386,92,FALSE)</f>
        <v>0.83899999999999997</v>
      </c>
      <c r="J394" s="124">
        <f>VLOOKUP(A394,'Grondslagen AU 2020'!A$1:DA$386,77,FALSE)</f>
        <v>0.87</v>
      </c>
      <c r="K394" s="124">
        <f>VLOOKUP(A394,'Grondslagen AU 2021'!A$1:DA$386,77,FALSE)</f>
        <v>0.74299999999999999</v>
      </c>
      <c r="L394" s="124">
        <f>VLOOKUP(A394,'Grondslagen AU 2022'!A$1:DA$386,77,FALSE)</f>
        <v>0.73799999999999999</v>
      </c>
      <c r="M394" s="72"/>
      <c r="N394" s="124"/>
    </row>
    <row r="395" spans="1:14" x14ac:dyDescent="0.35">
      <c r="A395" s="72">
        <v>106</v>
      </c>
      <c r="B395" s="72">
        <v>3</v>
      </c>
      <c r="D395" s="72" t="s">
        <v>30</v>
      </c>
      <c r="F395" s="126">
        <f>VLOOKUP(A395,'IUSD Klassiek 2017'!B$11:E$398,4,FALSE)*1000</f>
        <v>5.9540257934822556</v>
      </c>
      <c r="G395" s="126">
        <f>VLOOKUP(A395,'IUSD klassiek 2018'!B$11:E$390,4,FALSE)*1000</f>
        <v>5.7974527124155584</v>
      </c>
      <c r="H395" s="124">
        <f>VLOOKUP(A395,'Grondslagen AU 2018'!A$1:DA$386,92,FALSE)</f>
        <v>5.7723828822611498</v>
      </c>
      <c r="I395" s="124">
        <f>VLOOKUP(A395,'Grondslagen AU 2019'!A$1:DA$386,92,FALSE)</f>
        <v>6.0350000000000001</v>
      </c>
      <c r="J395" s="124">
        <f>VLOOKUP(A395,'Grondslagen AU 2020'!A$1:DA$386,77,FALSE)</f>
        <v>6.016</v>
      </c>
      <c r="K395" s="124">
        <f>VLOOKUP(A395,'Grondslagen AU 2021'!A$1:DA$386,77,FALSE)</f>
        <v>5.859</v>
      </c>
      <c r="L395" s="124">
        <f>VLOOKUP(A395,'Grondslagen AU 2022'!A$1:DA$386,77,FALSE)</f>
        <v>5.6379999999999999</v>
      </c>
      <c r="M395" s="72"/>
      <c r="N395" s="124"/>
    </row>
    <row r="396" spans="1:14" x14ac:dyDescent="0.35">
      <c r="A396" s="72">
        <v>1681</v>
      </c>
      <c r="B396" s="72">
        <v>3</v>
      </c>
      <c r="D396" s="72" t="s">
        <v>55</v>
      </c>
      <c r="F396" s="126">
        <f>VLOOKUP(A396,'IUSD Klassiek 2017'!B$11:E$398,4,FALSE)*1000</f>
        <v>1.3420062367764292</v>
      </c>
      <c r="G396" s="126">
        <f>VLOOKUP(A396,'IUSD klassiek 2018'!B$11:E$390,4,FALSE)*1000</f>
        <v>1.3614638060822559</v>
      </c>
      <c r="H396" s="124">
        <f>VLOOKUP(A396,'Grondslagen AU 2018'!A$1:DA$386,92,FALSE)</f>
        <v>1.3795505101953001</v>
      </c>
      <c r="I396" s="124">
        <f>VLOOKUP(A396,'Grondslagen AU 2019'!A$1:DA$386,92,FALSE)</f>
        <v>1.3959999999999999</v>
      </c>
      <c r="J396" s="124">
        <f>VLOOKUP(A396,'Grondslagen AU 2020'!A$1:DA$386,77,FALSE)</f>
        <v>1.429</v>
      </c>
      <c r="K396" s="124">
        <f>VLOOKUP(A396,'Grondslagen AU 2021'!A$1:DA$386,77,FALSE)</f>
        <v>1.343</v>
      </c>
      <c r="L396" s="124">
        <f>VLOOKUP(A396,'Grondslagen AU 2022'!A$1:DA$386,77,FALSE)</f>
        <v>1.1120000000000001</v>
      </c>
      <c r="M396" s="72"/>
      <c r="N396" s="124"/>
    </row>
    <row r="397" spans="1:14" x14ac:dyDescent="0.35">
      <c r="A397" s="72">
        <v>109</v>
      </c>
      <c r="B397" s="72">
        <v>3</v>
      </c>
      <c r="D397" s="72" t="s">
        <v>70</v>
      </c>
      <c r="F397" s="126">
        <f>VLOOKUP(A397,'IUSD Klassiek 2017'!B$11:E$398,4,FALSE)*1000</f>
        <v>2.4871551774350227</v>
      </c>
      <c r="G397" s="126">
        <f>VLOOKUP(A397,'IUSD klassiek 2018'!B$11:E$390,4,FALSE)*1000</f>
        <v>2.5235893962003693</v>
      </c>
      <c r="H397" s="124">
        <f>VLOOKUP(A397,'Grondslagen AU 2018'!A$1:DA$386,92,FALSE)</f>
        <v>2.3955040129221401</v>
      </c>
      <c r="I397" s="124">
        <f>VLOOKUP(A397,'Grondslagen AU 2019'!A$1:DA$386,92,FALSE)</f>
        <v>2.2669999999999999</v>
      </c>
      <c r="J397" s="124">
        <f>VLOOKUP(A397,'Grondslagen AU 2020'!A$1:DA$386,77,FALSE)</f>
        <v>2.2210000000000001</v>
      </c>
      <c r="K397" s="124">
        <f>VLOOKUP(A397,'Grondslagen AU 2021'!A$1:DA$386,77,FALSE)</f>
        <v>2.1749999999999998</v>
      </c>
      <c r="L397" s="124">
        <f>VLOOKUP(A397,'Grondslagen AU 2022'!A$1:DA$386,77,FALSE)</f>
        <v>2.1059999999999999</v>
      </c>
      <c r="M397" s="72"/>
      <c r="N397" s="124"/>
    </row>
    <row r="398" spans="1:14" x14ac:dyDescent="0.35">
      <c r="A398" s="72">
        <v>1690</v>
      </c>
      <c r="B398" s="72">
        <v>3</v>
      </c>
      <c r="D398" s="72" t="s">
        <v>79</v>
      </c>
      <c r="F398" s="126">
        <f>VLOOKUP(A398,'IUSD Klassiek 2017'!B$11:E$398,4,FALSE)*1000</f>
        <v>0.26997518605073312</v>
      </c>
      <c r="G398" s="126">
        <f>VLOOKUP(A398,'IUSD klassiek 2018'!B$11:E$390,4,FALSE)*1000</f>
        <v>0.23382522498918376</v>
      </c>
      <c r="H398" s="124">
        <f>VLOOKUP(A398,'Grondslagen AU 2018'!A$1:DA$386,92,FALSE)</f>
        <v>0.168766400293932</v>
      </c>
      <c r="I398" s="124">
        <f>VLOOKUP(A398,'Grondslagen AU 2019'!A$1:DA$386,92,FALSE)</f>
        <v>0.313</v>
      </c>
      <c r="J398" s="124">
        <f>VLOOKUP(A398,'Grondslagen AU 2020'!A$1:DA$386,77,FALSE)</f>
        <v>0.33200000000000002</v>
      </c>
      <c r="K398" s="124">
        <f>VLOOKUP(A398,'Grondslagen AU 2021'!A$1:DA$386,77,FALSE)</f>
        <v>0.33200000000000002</v>
      </c>
      <c r="L398" s="124">
        <f>VLOOKUP(A398,'Grondslagen AU 2022'!A$1:DA$386,77,FALSE)</f>
        <v>0.32500000000000001</v>
      </c>
      <c r="M398" s="72"/>
      <c r="N398" s="124"/>
    </row>
    <row r="399" spans="1:14" x14ac:dyDescent="0.35">
      <c r="A399" s="72">
        <v>114</v>
      </c>
      <c r="B399" s="72">
        <v>3</v>
      </c>
      <c r="D399" s="72" t="s">
        <v>104</v>
      </c>
      <c r="F399" s="126">
        <f>VLOOKUP(A399,'IUSD Klassiek 2017'!B$11:E$398,4,FALSE)*1000</f>
        <v>11.4887585602337</v>
      </c>
      <c r="G399" s="126">
        <f>VLOOKUP(A399,'IUSD klassiek 2018'!B$11:E$390,4,FALSE)*1000</f>
        <v>11.654054284815095</v>
      </c>
      <c r="H399" s="124">
        <f>VLOOKUP(A399,'Grondslagen AU 2018'!A$1:DA$386,92,FALSE)</f>
        <v>11.459029159736399</v>
      </c>
      <c r="I399" s="124">
        <f>VLOOKUP(A399,'Grondslagen AU 2019'!A$1:DA$386,92,FALSE)</f>
        <v>11.06</v>
      </c>
      <c r="J399" s="124">
        <f>VLOOKUP(A399,'Grondslagen AU 2020'!A$1:DA$386,77,FALSE)</f>
        <v>11.266</v>
      </c>
      <c r="K399" s="124">
        <f>VLOOKUP(A399,'Grondslagen AU 2021'!A$1:DA$386,77,FALSE)</f>
        <v>10.96</v>
      </c>
      <c r="L399" s="124">
        <f>VLOOKUP(A399,'Grondslagen AU 2022'!A$1:DA$386,77,FALSE)</f>
        <v>10.368</v>
      </c>
      <c r="M399" s="72"/>
      <c r="N399" s="124"/>
    </row>
    <row r="400" spans="1:14" x14ac:dyDescent="0.35">
      <c r="A400" s="72">
        <v>118</v>
      </c>
      <c r="B400" s="72">
        <v>3</v>
      </c>
      <c r="D400" s="72" t="s">
        <v>156</v>
      </c>
      <c r="F400" s="126">
        <f>VLOOKUP(A400,'IUSD Klassiek 2017'!B$11:E$398,4,FALSE)*1000</f>
        <v>3.7912813040011661</v>
      </c>
      <c r="G400" s="126">
        <f>VLOOKUP(A400,'IUSD klassiek 2018'!B$11:E$390,4,FALSE)*1000</f>
        <v>3.5543360970364253</v>
      </c>
      <c r="H400" s="124">
        <f>VLOOKUP(A400,'Grondslagen AU 2018'!A$1:DA$386,92,FALSE)</f>
        <v>3.4082637145894301</v>
      </c>
      <c r="I400" s="124">
        <f>VLOOKUP(A400,'Grondslagen AU 2019'!A$1:DA$386,92,FALSE)</f>
        <v>3.6030000000000002</v>
      </c>
      <c r="J400" s="124">
        <f>VLOOKUP(A400,'Grondslagen AU 2020'!A$1:DA$386,77,FALSE)</f>
        <v>3.54</v>
      </c>
      <c r="K400" s="124">
        <f>VLOOKUP(A400,'Grondslagen AU 2021'!A$1:DA$386,77,FALSE)</f>
        <v>3.5590000000000002</v>
      </c>
      <c r="L400" s="124">
        <f>VLOOKUP(A400,'Grondslagen AU 2022'!A$1:DA$386,77,FALSE)</f>
        <v>3.3210000000000002</v>
      </c>
      <c r="M400" s="72"/>
      <c r="N400" s="124"/>
    </row>
    <row r="401" spans="1:14" x14ac:dyDescent="0.35">
      <c r="A401" s="72">
        <v>119</v>
      </c>
      <c r="B401" s="72">
        <v>3</v>
      </c>
      <c r="D401" s="72" t="s">
        <v>199</v>
      </c>
      <c r="F401" s="126">
        <f>VLOOKUP(A401,'IUSD Klassiek 2017'!B$11:E$398,4,FALSE)*1000</f>
        <v>1.5890199465843211</v>
      </c>
      <c r="G401" s="126">
        <f>VLOOKUP(A401,'IUSD klassiek 2018'!B$11:E$390,4,FALSE)*1000</f>
        <v>1.5130062578779875</v>
      </c>
      <c r="H401" s="124">
        <f>VLOOKUP(A401,'Grondslagen AU 2018'!A$1:DA$386,92,FALSE)</f>
        <v>1.5915849117779901</v>
      </c>
      <c r="I401" s="124">
        <f>VLOOKUP(A401,'Grondslagen AU 2019'!A$1:DA$386,92,FALSE)</f>
        <v>1.649</v>
      </c>
      <c r="J401" s="124">
        <f>VLOOKUP(A401,'Grondslagen AU 2020'!A$1:DA$386,77,FALSE)</f>
        <v>1.7230000000000001</v>
      </c>
      <c r="K401" s="124">
        <f>VLOOKUP(A401,'Grondslagen AU 2021'!A$1:DA$386,77,FALSE)</f>
        <v>1.651</v>
      </c>
      <c r="L401" s="124">
        <f>VLOOKUP(A401,'Grondslagen AU 2022'!A$1:DA$386,77,FALSE)</f>
        <v>1.6319999999999999</v>
      </c>
      <c r="M401" s="72"/>
      <c r="N401" s="124"/>
    </row>
    <row r="402" spans="1:14" x14ac:dyDescent="0.35">
      <c r="A402" s="72">
        <v>1731</v>
      </c>
      <c r="B402" s="72">
        <v>3</v>
      </c>
      <c r="D402" s="72" t="s">
        <v>201</v>
      </c>
      <c r="F402" s="126">
        <f>VLOOKUP(A402,'IUSD Klassiek 2017'!B$11:E$398,4,FALSE)*1000</f>
        <v>1.0663676947344616</v>
      </c>
      <c r="G402" s="126">
        <f>VLOOKUP(A402,'IUSD klassiek 2018'!B$11:E$390,4,FALSE)*1000</f>
        <v>1.1608948307554676</v>
      </c>
      <c r="H402" s="124">
        <f>VLOOKUP(A402,'Grondslagen AU 2018'!A$1:DA$386,92,FALSE)</f>
        <v>1.0539585695512099</v>
      </c>
      <c r="I402" s="124">
        <f>VLOOKUP(A402,'Grondslagen AU 2019'!A$1:DA$386,92,FALSE)</f>
        <v>1.077</v>
      </c>
      <c r="J402" s="124">
        <f>VLOOKUP(A402,'Grondslagen AU 2020'!A$1:DA$386,77,FALSE)</f>
        <v>1.046</v>
      </c>
      <c r="K402" s="124">
        <f>VLOOKUP(A402,'Grondslagen AU 2021'!A$1:DA$386,77,FALSE)</f>
        <v>0.95299999999999996</v>
      </c>
      <c r="L402" s="124">
        <f>VLOOKUP(A402,'Grondslagen AU 2022'!A$1:DA$386,77,FALSE)</f>
        <v>1.046</v>
      </c>
      <c r="M402" s="72"/>
      <c r="N402" s="124"/>
    </row>
    <row r="403" spans="1:14" x14ac:dyDescent="0.35">
      <c r="A403" s="72">
        <v>1699</v>
      </c>
      <c r="B403" s="72">
        <v>3</v>
      </c>
      <c r="D403" s="72" t="s">
        <v>219</v>
      </c>
      <c r="F403" s="126">
        <f>VLOOKUP(A403,'IUSD Klassiek 2017'!B$11:E$398,4,FALSE)*1000</f>
        <v>1.3226741618842406</v>
      </c>
      <c r="G403" s="126">
        <f>VLOOKUP(A403,'IUSD klassiek 2018'!B$11:E$390,4,FALSE)*1000</f>
        <v>1.2568806890057524</v>
      </c>
      <c r="H403" s="124">
        <f>VLOOKUP(A403,'Grondslagen AU 2018'!A$1:DA$386,92,FALSE)</f>
        <v>1.3906195903634899</v>
      </c>
      <c r="I403" s="124">
        <f>VLOOKUP(A403,'Grondslagen AU 2019'!A$1:DA$386,92,FALSE)</f>
        <v>1.3520000000000001</v>
      </c>
      <c r="J403" s="124">
        <f>VLOOKUP(A403,'Grondslagen AU 2020'!A$1:DA$386,77,FALSE)</f>
        <v>1.3120000000000001</v>
      </c>
      <c r="K403" s="124">
        <f>VLOOKUP(A403,'Grondslagen AU 2021'!A$1:DA$386,77,FALSE)</f>
        <v>1.036</v>
      </c>
      <c r="L403" s="124">
        <f>VLOOKUP(A403,'Grondslagen AU 2022'!A$1:DA$386,77,FALSE)</f>
        <v>1.1679999999999999</v>
      </c>
      <c r="M403" s="72"/>
      <c r="N403" s="124"/>
    </row>
    <row r="404" spans="1:14" x14ac:dyDescent="0.35">
      <c r="A404" s="72">
        <v>1730</v>
      </c>
      <c r="B404" s="72">
        <v>3</v>
      </c>
      <c r="D404" s="72" t="s">
        <v>299</v>
      </c>
      <c r="F404" s="126">
        <f>VLOOKUP(A404,'IUSD Klassiek 2017'!B$11:E$398,4,FALSE)*1000</f>
        <v>0.89659142661993652</v>
      </c>
      <c r="G404" s="126">
        <f>VLOOKUP(A404,'IUSD klassiek 2018'!B$11:E$390,4,FALSE)*1000</f>
        <v>0.96775929470263566</v>
      </c>
      <c r="H404" s="124">
        <f>VLOOKUP(A404,'Grondslagen AU 2018'!A$1:DA$386,92,FALSE)</f>
        <v>1.0088566583032399</v>
      </c>
      <c r="I404" s="124">
        <f>VLOOKUP(A404,'Grondslagen AU 2019'!A$1:DA$386,92,FALSE)</f>
        <v>1.113</v>
      </c>
      <c r="J404" s="124">
        <f>VLOOKUP(A404,'Grondslagen AU 2020'!A$1:DA$386,77,FALSE)</f>
        <v>1.0640000000000001</v>
      </c>
      <c r="K404" s="124">
        <f>VLOOKUP(A404,'Grondslagen AU 2021'!A$1:DA$386,77,FALSE)</f>
        <v>0.99</v>
      </c>
      <c r="L404" s="124">
        <f>VLOOKUP(A404,'Grondslagen AU 2022'!A$1:DA$386,77,FALSE)</f>
        <v>0.94199999999999995</v>
      </c>
      <c r="M404" s="72"/>
      <c r="N404" s="124"/>
    </row>
    <row r="405" spans="1:14" x14ac:dyDescent="0.35">
      <c r="A405" s="72">
        <v>1701</v>
      </c>
      <c r="B405" s="72">
        <v>3</v>
      </c>
      <c r="D405" s="72" t="s">
        <v>337</v>
      </c>
      <c r="F405" s="126">
        <f>VLOOKUP(A405,'IUSD Klassiek 2017'!B$11:E$398,4,FALSE)*1000</f>
        <v>0.61558290162531926</v>
      </c>
      <c r="G405" s="126">
        <f>VLOOKUP(A405,'IUSD klassiek 2018'!B$11:E$390,4,FALSE)*1000</f>
        <v>0.57235225423858516</v>
      </c>
      <c r="H405" s="124">
        <f>VLOOKUP(A405,'Grondslagen AU 2018'!A$1:DA$386,92,FALSE)</f>
        <v>0.409745798743333</v>
      </c>
      <c r="I405" s="124">
        <f>VLOOKUP(A405,'Grondslagen AU 2019'!A$1:DA$386,92,FALSE)</f>
        <v>0.45300000000000001</v>
      </c>
      <c r="J405" s="124">
        <f>VLOOKUP(A405,'Grondslagen AU 2020'!A$1:DA$386,77,FALSE)</f>
        <v>0.46899999999999997</v>
      </c>
      <c r="K405" s="124">
        <f>VLOOKUP(A405,'Grondslagen AU 2021'!A$1:DA$386,77,FALSE)</f>
        <v>0.47799999999999998</v>
      </c>
      <c r="L405" s="124">
        <f>VLOOKUP(A405,'Grondslagen AU 2022'!A$1:DA$386,77,FALSE)</f>
        <v>0.495</v>
      </c>
      <c r="M405" s="72"/>
      <c r="N405" s="124"/>
    </row>
    <row r="406" spans="1:14" x14ac:dyDescent="0.35">
      <c r="A406" s="72">
        <v>141</v>
      </c>
      <c r="B406" s="72">
        <v>4</v>
      </c>
      <c r="D406" s="72" t="s">
        <v>18</v>
      </c>
      <c r="F406" s="126">
        <f>VLOOKUP(A406,'IUSD Klassiek 2017'!B$11:E$398,4,FALSE)*1000</f>
        <v>8.2159530047094211</v>
      </c>
      <c r="G406" s="126">
        <f>VLOOKUP(A406,'IUSD klassiek 2018'!B$11:E$390,4,FALSE)*1000</f>
        <v>8.6982580631307655</v>
      </c>
      <c r="H406" s="124">
        <f>VLOOKUP(A406,'Grondslagen AU 2018'!A$1:DA$386,92,FALSE)</f>
        <v>8.6989657746948907</v>
      </c>
      <c r="I406" s="124">
        <f>VLOOKUP(A406,'Grondslagen AU 2019'!A$1:DA$386,92,FALSE)</f>
        <v>8.7270000000000003</v>
      </c>
      <c r="J406" s="124">
        <f>VLOOKUP(A406,'Grondslagen AU 2020'!A$1:DA$386,77,FALSE)</f>
        <v>8.5169999999999995</v>
      </c>
      <c r="K406" s="124">
        <f>VLOOKUP(A406,'Grondslagen AU 2021'!A$1:DA$386,77,FALSE)</f>
        <v>8.4260000000000002</v>
      </c>
      <c r="L406" s="124">
        <f>VLOOKUP(A406,'Grondslagen AU 2022'!A$1:DA$386,77,FALSE)</f>
        <v>8.17</v>
      </c>
      <c r="M406" s="72"/>
      <c r="N406" s="124"/>
    </row>
    <row r="407" spans="1:14" x14ac:dyDescent="0.35">
      <c r="A407" s="72">
        <v>147</v>
      </c>
      <c r="B407" s="72">
        <v>4</v>
      </c>
      <c r="D407" s="72" t="s">
        <v>56</v>
      </c>
      <c r="F407" s="126">
        <f>VLOOKUP(A407,'IUSD Klassiek 2017'!B$11:E$398,4,FALSE)*1000</f>
        <v>0.51238912683169102</v>
      </c>
      <c r="G407" s="126">
        <f>VLOOKUP(A407,'IUSD klassiek 2018'!B$11:E$390,4,FALSE)*1000</f>
        <v>0.49408232431774762</v>
      </c>
      <c r="H407" s="124">
        <f>VLOOKUP(A407,'Grondslagen AU 2018'!A$1:DA$386,92,FALSE)</f>
        <v>0.53138863666687297</v>
      </c>
      <c r="I407" s="124">
        <f>VLOOKUP(A407,'Grondslagen AU 2019'!A$1:DA$386,92,FALSE)</f>
        <v>0.56899999999999995</v>
      </c>
      <c r="J407" s="124">
        <f>VLOOKUP(A407,'Grondslagen AU 2020'!A$1:DA$386,77,FALSE)</f>
        <v>0.57099999999999995</v>
      </c>
      <c r="K407" s="124">
        <f>VLOOKUP(A407,'Grondslagen AU 2021'!A$1:DA$386,77,FALSE)</f>
        <v>0.46600000000000003</v>
      </c>
      <c r="L407" s="124">
        <f>VLOOKUP(A407,'Grondslagen AU 2022'!A$1:DA$386,77,FALSE)</f>
        <v>0.51400000000000001</v>
      </c>
      <c r="M407" s="72"/>
      <c r="N407" s="124"/>
    </row>
    <row r="408" spans="1:14" x14ac:dyDescent="0.35">
      <c r="A408" s="72">
        <v>148</v>
      </c>
      <c r="B408" s="72">
        <v>4</v>
      </c>
      <c r="D408" s="72" t="s">
        <v>74</v>
      </c>
      <c r="F408" s="126">
        <f>VLOOKUP(A408,'IUSD Klassiek 2017'!B$11:E$398,4,FALSE)*1000</f>
        <v>0.15829985580968742</v>
      </c>
      <c r="G408" s="126">
        <f>VLOOKUP(A408,'IUSD klassiek 2018'!B$11:E$390,4,FALSE)*1000</f>
        <v>0.13324500611107185</v>
      </c>
      <c r="H408" s="124">
        <f>VLOOKUP(A408,'Grondslagen AU 2018'!A$1:DA$386,92,FALSE)</f>
        <v>0.132021367850788</v>
      </c>
      <c r="I408" s="124">
        <f>VLOOKUP(A408,'Grondslagen AU 2019'!A$1:DA$386,92,FALSE)</f>
        <v>0.14000000000000001</v>
      </c>
      <c r="J408" s="124">
        <f>VLOOKUP(A408,'Grondslagen AU 2020'!A$1:DA$386,77,FALSE)</f>
        <v>0.27200000000000002</v>
      </c>
      <c r="K408" s="124">
        <f>VLOOKUP(A408,'Grondslagen AU 2021'!A$1:DA$386,77,FALSE)</f>
        <v>0.15</v>
      </c>
      <c r="L408" s="124">
        <f>VLOOKUP(A408,'Grondslagen AU 2022'!A$1:DA$386,77,FALSE)</f>
        <v>0.15</v>
      </c>
      <c r="M408" s="72"/>
      <c r="N408" s="124"/>
    </row>
    <row r="409" spans="1:14" x14ac:dyDescent="0.35">
      <c r="A409" s="72">
        <v>150</v>
      </c>
      <c r="B409" s="72">
        <v>4</v>
      </c>
      <c r="D409" s="72" t="s">
        <v>84</v>
      </c>
      <c r="F409" s="126">
        <f>VLOOKUP(A409,'IUSD Klassiek 2017'!B$11:E$398,4,FALSE)*1000</f>
        <v>6.6571958861489522</v>
      </c>
      <c r="G409" s="126">
        <f>VLOOKUP(A409,'IUSD klassiek 2018'!B$11:E$390,4,FALSE)*1000</f>
        <v>7.072776870926365</v>
      </c>
      <c r="H409" s="124">
        <f>VLOOKUP(A409,'Grondslagen AU 2018'!A$1:DA$386,92,FALSE)</f>
        <v>7.4641243003184901</v>
      </c>
      <c r="I409" s="124">
        <f>VLOOKUP(A409,'Grondslagen AU 2019'!A$1:DA$386,92,FALSE)</f>
        <v>7.3230000000000004</v>
      </c>
      <c r="J409" s="124">
        <f>VLOOKUP(A409,'Grondslagen AU 2020'!A$1:DA$386,77,FALSE)</f>
        <v>7.3579999999999997</v>
      </c>
      <c r="K409" s="124">
        <f>VLOOKUP(A409,'Grondslagen AU 2021'!A$1:DA$386,77,FALSE)</f>
        <v>7.3049999999999997</v>
      </c>
      <c r="L409" s="124">
        <f>VLOOKUP(A409,'Grondslagen AU 2022'!A$1:DA$386,77,FALSE)</f>
        <v>7.07</v>
      </c>
      <c r="M409" s="72"/>
      <c r="N409" s="124"/>
    </row>
    <row r="410" spans="1:14" x14ac:dyDescent="0.35">
      <c r="A410" s="72">
        <v>1774</v>
      </c>
      <c r="B410" s="72">
        <v>4</v>
      </c>
      <c r="D410" s="72" t="s">
        <v>86</v>
      </c>
      <c r="F410" s="126">
        <f>VLOOKUP(A410,'IUSD Klassiek 2017'!B$11:E$398,4,FALSE)*1000</f>
        <v>0.15523654085402075</v>
      </c>
      <c r="G410" s="126">
        <f>VLOOKUP(A410,'IUSD klassiek 2018'!B$11:E$390,4,FALSE)*1000</f>
        <v>0.12577789965927996</v>
      </c>
      <c r="H410" s="124">
        <f>VLOOKUP(A410,'Grondslagen AU 2018'!A$1:DA$386,92,FALSE)</f>
        <v>0.12511858596098599</v>
      </c>
      <c r="I410" s="124">
        <f>VLOOKUP(A410,'Grondslagen AU 2019'!A$1:DA$386,92,FALSE)</f>
        <v>0.13100000000000001</v>
      </c>
      <c r="J410" s="124">
        <f>VLOOKUP(A410,'Grondslagen AU 2020'!A$1:DA$386,77,FALSE)</f>
        <v>0.13400000000000001</v>
      </c>
      <c r="K410" s="124">
        <f>VLOOKUP(A410,'Grondslagen AU 2021'!A$1:DA$386,77,FALSE)</f>
        <v>0.13100000000000001</v>
      </c>
      <c r="L410" s="124">
        <f>VLOOKUP(A410,'Grondslagen AU 2022'!A$1:DA$386,77,FALSE)</f>
        <v>0.13200000000000001</v>
      </c>
      <c r="M410" s="72"/>
      <c r="N410" s="124"/>
    </row>
    <row r="411" spans="1:14" x14ac:dyDescent="0.35">
      <c r="A411" s="72">
        <v>153</v>
      </c>
      <c r="B411" s="72">
        <v>4</v>
      </c>
      <c r="D411" s="72" t="s">
        <v>106</v>
      </c>
      <c r="F411" s="126">
        <f>VLOOKUP(A411,'IUSD Klassiek 2017'!B$11:E$398,4,FALSE)*1000</f>
        <v>20.822805636460174</v>
      </c>
      <c r="G411" s="126">
        <f>VLOOKUP(A411,'IUSD klassiek 2018'!B$11:E$390,4,FALSE)*1000</f>
        <v>21.377540455187201</v>
      </c>
      <c r="H411" s="124">
        <f>VLOOKUP(A411,'Grondslagen AU 2018'!A$1:DA$386,92,FALSE)</f>
        <v>21.115621656576099</v>
      </c>
      <c r="I411" s="124">
        <f>VLOOKUP(A411,'Grondslagen AU 2019'!A$1:DA$386,92,FALSE)</f>
        <v>20.206</v>
      </c>
      <c r="J411" s="124">
        <f>VLOOKUP(A411,'Grondslagen AU 2020'!A$1:DA$386,77,FALSE)</f>
        <v>20.106999999999999</v>
      </c>
      <c r="K411" s="124">
        <f>VLOOKUP(A411,'Grondslagen AU 2021'!A$1:DA$386,77,FALSE)</f>
        <v>19.631</v>
      </c>
      <c r="L411" s="124">
        <f>VLOOKUP(A411,'Grondslagen AU 2022'!A$1:DA$386,77,FALSE)</f>
        <v>19.298999999999999</v>
      </c>
      <c r="M411" s="72"/>
      <c r="N411" s="124"/>
    </row>
    <row r="412" spans="1:14" x14ac:dyDescent="0.35">
      <c r="A412" s="72">
        <v>158</v>
      </c>
      <c r="B412" s="72">
        <v>4</v>
      </c>
      <c r="D412" s="72" t="s">
        <v>124</v>
      </c>
      <c r="F412" s="126">
        <f>VLOOKUP(A412,'IUSD Klassiek 2017'!B$11:E$398,4,FALSE)*1000</f>
        <v>0.72121162835140384</v>
      </c>
      <c r="G412" s="126">
        <f>VLOOKUP(A412,'IUSD klassiek 2018'!B$11:E$390,4,FALSE)*1000</f>
        <v>0.72540275226829476</v>
      </c>
      <c r="H412" s="124">
        <f>VLOOKUP(A412,'Grondslagen AU 2018'!A$1:DA$386,92,FALSE)</f>
        <v>0.65407521363818899</v>
      </c>
      <c r="I412" s="124">
        <f>VLOOKUP(A412,'Grondslagen AU 2019'!A$1:DA$386,92,FALSE)</f>
        <v>0.64400000000000002</v>
      </c>
      <c r="J412" s="124">
        <f>VLOOKUP(A412,'Grondslagen AU 2020'!A$1:DA$386,77,FALSE)</f>
        <v>0.629</v>
      </c>
      <c r="K412" s="124">
        <f>VLOOKUP(A412,'Grondslagen AU 2021'!A$1:DA$386,77,FALSE)</f>
        <v>0.54600000000000004</v>
      </c>
      <c r="L412" s="124">
        <f>VLOOKUP(A412,'Grondslagen AU 2022'!A$1:DA$386,77,FALSE)</f>
        <v>0.49099999999999999</v>
      </c>
      <c r="M412" s="72"/>
      <c r="N412" s="124"/>
    </row>
    <row r="413" spans="1:14" x14ac:dyDescent="0.35">
      <c r="A413" s="72">
        <v>160</v>
      </c>
      <c r="B413" s="72">
        <v>4</v>
      </c>
      <c r="D413" s="72" t="s">
        <v>129</v>
      </c>
      <c r="F413" s="126">
        <f>VLOOKUP(A413,'IUSD Klassiek 2017'!B$11:E$398,4,FALSE)*1000</f>
        <v>1.8416147112653063</v>
      </c>
      <c r="G413" s="126">
        <f>VLOOKUP(A413,'IUSD klassiek 2018'!B$11:E$390,4,FALSE)*1000</f>
        <v>1.8181289430664187</v>
      </c>
      <c r="H413" s="124">
        <f>VLOOKUP(A413,'Grondslagen AU 2018'!A$1:DA$386,92,FALSE)</f>
        <v>1.7984402092182299</v>
      </c>
      <c r="I413" s="124">
        <f>VLOOKUP(A413,'Grondslagen AU 2019'!A$1:DA$386,92,FALSE)</f>
        <v>1.804</v>
      </c>
      <c r="J413" s="124">
        <f>VLOOKUP(A413,'Grondslagen AU 2020'!A$1:DA$386,77,FALSE)</f>
        <v>1.9019999999999999</v>
      </c>
      <c r="K413" s="124">
        <f>VLOOKUP(A413,'Grondslagen AU 2021'!A$1:DA$386,77,FALSE)</f>
        <v>1.825</v>
      </c>
      <c r="L413" s="124">
        <f>VLOOKUP(A413,'Grondslagen AU 2022'!A$1:DA$386,77,FALSE)</f>
        <v>1.833</v>
      </c>
      <c r="M413" s="72"/>
      <c r="N413" s="124"/>
    </row>
    <row r="414" spans="1:14" x14ac:dyDescent="0.35">
      <c r="A414" s="72">
        <v>163</v>
      </c>
      <c r="B414" s="72">
        <v>4</v>
      </c>
      <c r="D414" s="72" t="s">
        <v>142</v>
      </c>
      <c r="F414" s="126">
        <f>VLOOKUP(A414,'IUSD Klassiek 2017'!B$11:E$398,4,FALSE)*1000</f>
        <v>0.75862727557824561</v>
      </c>
      <c r="G414" s="126">
        <f>VLOOKUP(A414,'IUSD klassiek 2018'!B$11:E$390,4,FALSE)*1000</f>
        <v>0.73712275971341801</v>
      </c>
      <c r="H414" s="124">
        <f>VLOOKUP(A414,'Grondslagen AU 2018'!A$1:DA$386,92,FALSE)</f>
        <v>0.71795046470834001</v>
      </c>
      <c r="I414" s="124">
        <f>VLOOKUP(A414,'Grondslagen AU 2019'!A$1:DA$386,92,FALSE)</f>
        <v>0.74199999999999999</v>
      </c>
      <c r="J414" s="124">
        <f>VLOOKUP(A414,'Grondslagen AU 2020'!A$1:DA$386,77,FALSE)</f>
        <v>0.70899999999999996</v>
      </c>
      <c r="K414" s="124">
        <f>VLOOKUP(A414,'Grondslagen AU 2021'!A$1:DA$386,77,FALSE)</f>
        <v>0.69099999999999995</v>
      </c>
      <c r="L414" s="124">
        <f>VLOOKUP(A414,'Grondslagen AU 2022'!A$1:DA$386,77,FALSE)</f>
        <v>0.58899999999999997</v>
      </c>
      <c r="M414" s="72"/>
      <c r="N414" s="124"/>
    </row>
    <row r="415" spans="1:14" x14ac:dyDescent="0.35">
      <c r="A415" s="72">
        <v>164</v>
      </c>
      <c r="B415" s="72">
        <v>4</v>
      </c>
      <c r="D415" s="72" t="s">
        <v>146</v>
      </c>
      <c r="F415" s="126">
        <f>VLOOKUP(A415,'IUSD Klassiek 2017'!B$11:E$398,4,FALSE)*1000</f>
        <v>6.1421623925718354</v>
      </c>
      <c r="G415" s="126">
        <f>VLOOKUP(A415,'IUSD klassiek 2018'!B$11:E$390,4,FALSE)*1000</f>
        <v>6.0485822709645358</v>
      </c>
      <c r="H415" s="124">
        <f>VLOOKUP(A415,'Grondslagen AU 2018'!A$1:DA$386,92,FALSE)</f>
        <v>6.2204877369536504</v>
      </c>
      <c r="I415" s="124">
        <f>VLOOKUP(A415,'Grondslagen AU 2019'!A$1:DA$386,92,FALSE)</f>
        <v>6.2549999999999999</v>
      </c>
      <c r="J415" s="124">
        <f>VLOOKUP(A415,'Grondslagen AU 2020'!A$1:DA$386,77,FALSE)</f>
        <v>6.375</v>
      </c>
      <c r="K415" s="124">
        <f>VLOOKUP(A415,'Grondslagen AU 2021'!A$1:DA$386,77,FALSE)</f>
        <v>6.2249999999999996</v>
      </c>
      <c r="L415" s="124">
        <f>VLOOKUP(A415,'Grondslagen AU 2022'!A$1:DA$386,77,FALSE)</f>
        <v>6.1950000000000003</v>
      </c>
      <c r="M415" s="72"/>
      <c r="N415" s="124"/>
    </row>
    <row r="416" spans="1:14" x14ac:dyDescent="0.35">
      <c r="A416" s="72">
        <v>1735</v>
      </c>
      <c r="B416" s="72">
        <v>4</v>
      </c>
      <c r="D416" s="72" t="s">
        <v>154</v>
      </c>
      <c r="F416" s="126">
        <f>VLOOKUP(A416,'IUSD Klassiek 2017'!B$11:E$398,4,FALSE)*1000</f>
        <v>0.53241226365070515</v>
      </c>
      <c r="G416" s="126">
        <f>VLOOKUP(A416,'IUSD klassiek 2018'!B$11:E$390,4,FALSE)*1000</f>
        <v>0.59410154567144746</v>
      </c>
      <c r="H416" s="124">
        <f>VLOOKUP(A416,'Grondslagen AU 2018'!A$1:DA$386,92,FALSE)</f>
        <v>0.57154720647883395</v>
      </c>
      <c r="I416" s="124">
        <f>VLOOKUP(A416,'Grondslagen AU 2019'!A$1:DA$386,92,FALSE)</f>
        <v>0.72</v>
      </c>
      <c r="J416" s="124">
        <f>VLOOKUP(A416,'Grondslagen AU 2020'!A$1:DA$386,77,FALSE)</f>
        <v>0.72199999999999998</v>
      </c>
      <c r="K416" s="124">
        <f>VLOOKUP(A416,'Grondslagen AU 2021'!A$1:DA$386,77,FALSE)</f>
        <v>0.60299999999999998</v>
      </c>
      <c r="L416" s="124">
        <f>VLOOKUP(A416,'Grondslagen AU 2022'!A$1:DA$386,77,FALSE)</f>
        <v>0.71499999999999997</v>
      </c>
      <c r="M416" s="72"/>
      <c r="N416" s="124"/>
    </row>
    <row r="417" spans="1:14" x14ac:dyDescent="0.35">
      <c r="A417" s="72">
        <v>166</v>
      </c>
      <c r="B417" s="72">
        <v>4</v>
      </c>
      <c r="D417" s="72" t="s">
        <v>164</v>
      </c>
      <c r="F417" s="126">
        <f>VLOOKUP(A417,'IUSD Klassiek 2017'!B$11:E$398,4,FALSE)*1000</f>
        <v>1.2833863759763688</v>
      </c>
      <c r="G417" s="126">
        <f>VLOOKUP(A417,'IUSD klassiek 2018'!B$11:E$390,4,FALSE)*1000</f>
        <v>1.3462654776121046</v>
      </c>
      <c r="H417" s="124">
        <f>VLOOKUP(A417,'Grondslagen AU 2018'!A$1:DA$386,92,FALSE)</f>
        <v>1.4369128838422101</v>
      </c>
      <c r="I417" s="124">
        <f>VLOOKUP(A417,'Grondslagen AU 2019'!A$1:DA$386,92,FALSE)</f>
        <v>1.661</v>
      </c>
      <c r="J417" s="124">
        <f>VLOOKUP(A417,'Grondslagen AU 2020'!A$1:DA$386,77,FALSE)</f>
        <v>1.7529999999999999</v>
      </c>
      <c r="K417" s="124">
        <f>VLOOKUP(A417,'Grondslagen AU 2021'!A$1:DA$386,77,FALSE)</f>
        <v>1.7649999999999999</v>
      </c>
      <c r="L417" s="124">
        <f>VLOOKUP(A417,'Grondslagen AU 2022'!A$1:DA$386,77,FALSE)</f>
        <v>1.5760000000000001</v>
      </c>
      <c r="M417" s="72"/>
      <c r="N417" s="124"/>
    </row>
    <row r="418" spans="1:14" x14ac:dyDescent="0.35">
      <c r="A418" s="72">
        <v>168</v>
      </c>
      <c r="B418" s="72">
        <v>4</v>
      </c>
      <c r="D418" s="72" t="s">
        <v>191</v>
      </c>
      <c r="F418" s="126">
        <f>VLOOKUP(A418,'IUSD Klassiek 2017'!B$11:E$398,4,FALSE)*1000</f>
        <v>0.77677701148016665</v>
      </c>
      <c r="G418" s="126">
        <f>VLOOKUP(A418,'IUSD klassiek 2018'!B$11:E$390,4,FALSE)*1000</f>
        <v>0.9142947892249057</v>
      </c>
      <c r="H418" s="124">
        <f>VLOOKUP(A418,'Grondslagen AU 2018'!A$1:DA$386,92,FALSE)</f>
        <v>0.79005989102000096</v>
      </c>
      <c r="I418" s="124">
        <f>VLOOKUP(A418,'Grondslagen AU 2019'!A$1:DA$386,92,FALSE)</f>
        <v>0.65100000000000002</v>
      </c>
      <c r="J418" s="124">
        <f>VLOOKUP(A418,'Grondslagen AU 2020'!A$1:DA$386,77,FALSE)</f>
        <v>0.58199999999999996</v>
      </c>
      <c r="K418" s="124">
        <f>VLOOKUP(A418,'Grondslagen AU 2021'!A$1:DA$386,77,FALSE)</f>
        <v>0.44900000000000001</v>
      </c>
      <c r="L418" s="124">
        <f>VLOOKUP(A418,'Grondslagen AU 2022'!A$1:DA$386,77,FALSE)</f>
        <v>0.49399999999999999</v>
      </c>
      <c r="M418" s="72"/>
      <c r="N418" s="124"/>
    </row>
    <row r="419" spans="1:14" x14ac:dyDescent="0.35">
      <c r="A419" s="72">
        <v>173</v>
      </c>
      <c r="B419" s="72">
        <v>4</v>
      </c>
      <c r="D419" s="72" t="s">
        <v>229</v>
      </c>
      <c r="F419" s="126">
        <f>VLOOKUP(A419,'IUSD Klassiek 2017'!B$11:E$398,4,FALSE)*1000</f>
        <v>1.228574877762953</v>
      </c>
      <c r="G419" s="126">
        <f>VLOOKUP(A419,'IUSD klassiek 2018'!B$11:E$390,4,FALSE)*1000</f>
        <v>1.2550169232328161</v>
      </c>
      <c r="H419" s="124">
        <f>VLOOKUP(A419,'Grondslagen AU 2018'!A$1:DA$386,92,FALSE)</f>
        <v>1.18505815351025</v>
      </c>
      <c r="I419" s="124">
        <f>VLOOKUP(A419,'Grondslagen AU 2019'!A$1:DA$386,92,FALSE)</f>
        <v>1.2330000000000001</v>
      </c>
      <c r="J419" s="124">
        <f>VLOOKUP(A419,'Grondslagen AU 2020'!A$1:DA$386,77,FALSE)</f>
        <v>1.228</v>
      </c>
      <c r="K419" s="124">
        <f>VLOOKUP(A419,'Grondslagen AU 2021'!A$1:DA$386,77,FALSE)</f>
        <v>1.119</v>
      </c>
      <c r="L419" s="124">
        <f>VLOOKUP(A419,'Grondslagen AU 2022'!A$1:DA$386,77,FALSE)</f>
        <v>0.99199999999999999</v>
      </c>
      <c r="M419" s="72"/>
      <c r="N419" s="124"/>
    </row>
    <row r="420" spans="1:14" x14ac:dyDescent="0.35">
      <c r="A420" s="72">
        <v>1773</v>
      </c>
      <c r="B420" s="72">
        <v>4</v>
      </c>
      <c r="D420" s="72" t="s">
        <v>230</v>
      </c>
      <c r="F420" s="126">
        <f>VLOOKUP(A420,'IUSD Klassiek 2017'!B$11:E$398,4,FALSE)*1000</f>
        <v>0.15235037695122225</v>
      </c>
      <c r="G420" s="126">
        <f>VLOOKUP(A420,'IUSD klassiek 2018'!B$11:E$390,4,FALSE)*1000</f>
        <v>8.89218085931444E-2</v>
      </c>
      <c r="H420" s="124">
        <f>VLOOKUP(A420,'Grondslagen AU 2018'!A$1:DA$386,92,FALSE)</f>
        <v>0.118889265154971</v>
      </c>
      <c r="I420" s="124">
        <f>VLOOKUP(A420,'Grondslagen AU 2019'!A$1:DA$386,92,FALSE)</f>
        <v>0.183</v>
      </c>
      <c r="J420" s="124">
        <f>VLOOKUP(A420,'Grondslagen AU 2020'!A$1:DA$386,77,FALSE)</f>
        <v>0.23</v>
      </c>
      <c r="K420" s="124">
        <f>VLOOKUP(A420,'Grondslagen AU 2021'!A$1:DA$386,77,FALSE)</f>
        <v>0.22</v>
      </c>
      <c r="L420" s="124">
        <f>VLOOKUP(A420,'Grondslagen AU 2022'!A$1:DA$386,77,FALSE)</f>
        <v>0.25900000000000001</v>
      </c>
      <c r="M420" s="72"/>
      <c r="N420" s="124"/>
    </row>
    <row r="421" spans="1:14" x14ac:dyDescent="0.35">
      <c r="A421" s="72">
        <v>175</v>
      </c>
      <c r="B421" s="72">
        <v>4</v>
      </c>
      <c r="D421" s="72" t="s">
        <v>231</v>
      </c>
      <c r="F421" s="126">
        <f>VLOOKUP(A421,'IUSD Klassiek 2017'!B$11:E$398,4,FALSE)*1000</f>
        <v>0.31153276295063553</v>
      </c>
      <c r="G421" s="126">
        <f>VLOOKUP(A421,'IUSD klassiek 2018'!B$11:E$390,4,FALSE)*1000</f>
        <v>0.28261349513759731</v>
      </c>
      <c r="H421" s="124">
        <f>VLOOKUP(A421,'Grondslagen AU 2018'!A$1:DA$386,92,FALSE)</f>
        <v>0.30657003941093303</v>
      </c>
      <c r="I421" s="124">
        <f>VLOOKUP(A421,'Grondslagen AU 2019'!A$1:DA$386,92,FALSE)</f>
        <v>0.38900000000000001</v>
      </c>
      <c r="J421" s="124">
        <f>VLOOKUP(A421,'Grondslagen AU 2020'!A$1:DA$386,77,FALSE)</f>
        <v>0.36799999999999999</v>
      </c>
      <c r="K421" s="124">
        <f>VLOOKUP(A421,'Grondslagen AU 2021'!A$1:DA$386,77,FALSE)</f>
        <v>0.41199999999999998</v>
      </c>
      <c r="L421" s="124">
        <f>VLOOKUP(A421,'Grondslagen AU 2022'!A$1:DA$386,77,FALSE)</f>
        <v>0.42899999999999999</v>
      </c>
      <c r="M421" s="72"/>
      <c r="N421" s="124"/>
    </row>
    <row r="422" spans="1:14" x14ac:dyDescent="0.35">
      <c r="A422" s="72">
        <v>177</v>
      </c>
      <c r="B422" s="72">
        <v>4</v>
      </c>
      <c r="D422" s="72" t="s">
        <v>249</v>
      </c>
      <c r="F422" s="126">
        <f>VLOOKUP(A422,'IUSD Klassiek 2017'!B$11:E$398,4,FALSE)*1000</f>
        <v>0.40338974636141067</v>
      </c>
      <c r="G422" s="126">
        <f>VLOOKUP(A422,'IUSD klassiek 2018'!B$11:E$390,4,FALSE)*1000</f>
        <v>0.25907924923207404</v>
      </c>
      <c r="H422" s="124">
        <f>VLOOKUP(A422,'Grondslagen AU 2018'!A$1:DA$386,92,FALSE)</f>
        <v>0.27154395034293799</v>
      </c>
      <c r="I422" s="124">
        <f>VLOOKUP(A422,'Grondslagen AU 2019'!A$1:DA$386,92,FALSE)</f>
        <v>0.41199999999999998</v>
      </c>
      <c r="J422" s="124">
        <f>VLOOKUP(A422,'Grondslagen AU 2020'!A$1:DA$386,77,FALSE)</f>
        <v>0.43</v>
      </c>
      <c r="K422" s="124">
        <f>VLOOKUP(A422,'Grondslagen AU 2021'!A$1:DA$386,77,FALSE)</f>
        <v>0.45400000000000001</v>
      </c>
      <c r="L422" s="124">
        <f>VLOOKUP(A422,'Grondslagen AU 2022'!A$1:DA$386,77,FALSE)</f>
        <v>0.49099999999999999</v>
      </c>
      <c r="M422" s="72"/>
      <c r="N422" s="124"/>
    </row>
    <row r="423" spans="1:14" x14ac:dyDescent="0.35">
      <c r="A423" s="72">
        <v>1742</v>
      </c>
      <c r="B423" s="72">
        <v>4</v>
      </c>
      <c r="D423" s="72" t="s">
        <v>257</v>
      </c>
      <c r="F423" s="126">
        <f>VLOOKUP(A423,'IUSD Klassiek 2017'!B$11:E$398,4,FALSE)*1000</f>
        <v>0.41390128512923913</v>
      </c>
      <c r="G423" s="126">
        <f>VLOOKUP(A423,'IUSD klassiek 2018'!B$11:E$390,4,FALSE)*1000</f>
        <v>0.32782676930752758</v>
      </c>
      <c r="H423" s="124">
        <f>VLOOKUP(A423,'Grondslagen AU 2018'!A$1:DA$386,92,FALSE)</f>
        <v>0.40336918990340898</v>
      </c>
      <c r="I423" s="124">
        <f>VLOOKUP(A423,'Grondslagen AU 2019'!A$1:DA$386,92,FALSE)</f>
        <v>0.55700000000000005</v>
      </c>
      <c r="J423" s="124">
        <f>VLOOKUP(A423,'Grondslagen AU 2020'!A$1:DA$386,77,FALSE)</f>
        <v>0.59</v>
      </c>
      <c r="K423" s="124">
        <f>VLOOKUP(A423,'Grondslagen AU 2021'!A$1:DA$386,77,FALSE)</f>
        <v>0.55600000000000005</v>
      </c>
      <c r="L423" s="124">
        <f>VLOOKUP(A423,'Grondslagen AU 2022'!A$1:DA$386,77,FALSE)</f>
        <v>0.46899999999999997</v>
      </c>
      <c r="M423" s="72"/>
      <c r="N423" s="124"/>
    </row>
    <row r="424" spans="1:14" x14ac:dyDescent="0.35">
      <c r="A424" s="72">
        <v>180</v>
      </c>
      <c r="B424" s="72">
        <v>4</v>
      </c>
      <c r="D424" s="72" t="s">
        <v>283</v>
      </c>
      <c r="F424" s="126">
        <f>VLOOKUP(A424,'IUSD Klassiek 2017'!B$11:E$398,4,FALSE)*1000</f>
        <v>9.3369707221851367E-2</v>
      </c>
      <c r="G424" s="126">
        <f>VLOOKUP(A424,'IUSD klassiek 2018'!B$11:E$390,4,FALSE)*1000</f>
        <v>0.11315593534669573</v>
      </c>
      <c r="H424" s="124">
        <f>VLOOKUP(A424,'Grondslagen AU 2018'!A$1:DA$386,92,FALSE)</f>
        <v>9.43867000582395E-2</v>
      </c>
      <c r="I424" s="124">
        <f>VLOOKUP(A424,'Grondslagen AU 2019'!A$1:DA$386,92,FALSE)</f>
        <v>8.4000000000000005E-2</v>
      </c>
      <c r="J424" s="124">
        <f>VLOOKUP(A424,'Grondslagen AU 2020'!A$1:DA$386,77,FALSE)</f>
        <v>8.5000000000000006E-2</v>
      </c>
      <c r="K424" s="124">
        <f>VLOOKUP(A424,'Grondslagen AU 2021'!A$1:DA$386,77,FALSE)</f>
        <v>8.4000000000000005E-2</v>
      </c>
      <c r="L424" s="124">
        <f>VLOOKUP(A424,'Grondslagen AU 2022'!A$1:DA$386,77,FALSE)</f>
        <v>8.5000000000000006E-2</v>
      </c>
      <c r="M424" s="72"/>
      <c r="N424" s="124"/>
    </row>
    <row r="425" spans="1:14" x14ac:dyDescent="0.35">
      <c r="A425" s="72">
        <v>1708</v>
      </c>
      <c r="B425" s="72">
        <v>4</v>
      </c>
      <c r="D425" s="72" t="s">
        <v>286</v>
      </c>
      <c r="F425" s="126">
        <f>VLOOKUP(A425,'IUSD Klassiek 2017'!B$11:E$398,4,FALSE)*1000</f>
        <v>2.2377033888113091</v>
      </c>
      <c r="G425" s="126">
        <f>VLOOKUP(A425,'IUSD klassiek 2018'!B$11:E$390,4,FALSE)*1000</f>
        <v>2.0966415994922052</v>
      </c>
      <c r="H425" s="124">
        <f>VLOOKUP(A425,'Grondslagen AU 2018'!A$1:DA$386,92,FALSE)</f>
        <v>1.7418784002101799</v>
      </c>
      <c r="I425" s="124">
        <f>VLOOKUP(A425,'Grondslagen AU 2019'!A$1:DA$386,92,FALSE)</f>
        <v>1.6339999999999999</v>
      </c>
      <c r="J425" s="124">
        <f>VLOOKUP(A425,'Grondslagen AU 2020'!A$1:DA$386,77,FALSE)</f>
        <v>1.754</v>
      </c>
      <c r="K425" s="124">
        <f>VLOOKUP(A425,'Grondslagen AU 2021'!A$1:DA$386,77,FALSE)</f>
        <v>1.6990000000000001</v>
      </c>
      <c r="L425" s="124">
        <f>VLOOKUP(A425,'Grondslagen AU 2022'!A$1:DA$386,77,FALSE)</f>
        <v>1.6160000000000001</v>
      </c>
      <c r="M425" s="72"/>
      <c r="N425" s="124"/>
    </row>
    <row r="426" spans="1:14" x14ac:dyDescent="0.35">
      <c r="A426" s="72">
        <v>183</v>
      </c>
      <c r="B426" s="72">
        <v>4</v>
      </c>
      <c r="D426" s="72" t="s">
        <v>297</v>
      </c>
      <c r="F426" s="126">
        <f>VLOOKUP(A426,'IUSD Klassiek 2017'!B$11:E$398,4,FALSE)*1000</f>
        <v>0.13478945953836285</v>
      </c>
      <c r="G426" s="126">
        <f>VLOOKUP(A426,'IUSD klassiek 2018'!B$11:E$390,4,FALSE)*1000</f>
        <v>0.10453183960126175</v>
      </c>
      <c r="H426" s="124">
        <f>VLOOKUP(A426,'Grondslagen AU 2018'!A$1:DA$386,92,FALSE)</f>
        <v>0.103420891902562</v>
      </c>
      <c r="I426" s="124">
        <f>VLOOKUP(A426,'Grondslagen AU 2019'!A$1:DA$386,92,FALSE)</f>
        <v>0.109</v>
      </c>
      <c r="J426" s="124">
        <f>VLOOKUP(A426,'Grondslagen AU 2020'!A$1:DA$386,77,FALSE)</f>
        <v>0.111</v>
      </c>
      <c r="K426" s="124">
        <f>VLOOKUP(A426,'Grondslagen AU 2021'!A$1:DA$386,77,FALSE)</f>
        <v>0.108</v>
      </c>
      <c r="L426" s="124">
        <f>VLOOKUP(A426,'Grondslagen AU 2022'!A$1:DA$386,77,FALSE)</f>
        <v>0.108</v>
      </c>
      <c r="M426" s="72"/>
      <c r="N426" s="124"/>
    </row>
    <row r="427" spans="1:14" x14ac:dyDescent="0.35">
      <c r="A427" s="72">
        <v>1700</v>
      </c>
      <c r="B427" s="72">
        <v>4</v>
      </c>
      <c r="D427" s="72" t="s">
        <v>298</v>
      </c>
      <c r="F427" s="126">
        <f>VLOOKUP(A427,'IUSD Klassiek 2017'!B$11:E$398,4,FALSE)*1000</f>
        <v>0.93471191704214718</v>
      </c>
      <c r="G427" s="126">
        <f>VLOOKUP(A427,'IUSD klassiek 2018'!B$11:E$390,4,FALSE)*1000</f>
        <v>1.0496046045688441</v>
      </c>
      <c r="H427" s="124">
        <f>VLOOKUP(A427,'Grondslagen AU 2018'!A$1:DA$386,92,FALSE)</f>
        <v>1.0963328225112901</v>
      </c>
      <c r="I427" s="124">
        <f>VLOOKUP(A427,'Grondslagen AU 2019'!A$1:DA$386,92,FALSE)</f>
        <v>1.0780000000000001</v>
      </c>
      <c r="J427" s="124">
        <f>VLOOKUP(A427,'Grondslagen AU 2020'!A$1:DA$386,77,FALSE)</f>
        <v>1.1020000000000001</v>
      </c>
      <c r="K427" s="124">
        <f>VLOOKUP(A427,'Grondslagen AU 2021'!A$1:DA$386,77,FALSE)</f>
        <v>1.02</v>
      </c>
      <c r="L427" s="124">
        <f>VLOOKUP(A427,'Grondslagen AU 2022'!A$1:DA$386,77,FALSE)</f>
        <v>0.98099999999999998</v>
      </c>
      <c r="M427" s="72"/>
      <c r="N427" s="124"/>
    </row>
    <row r="428" spans="1:14" x14ac:dyDescent="0.35">
      <c r="A428" s="72">
        <v>189</v>
      </c>
      <c r="B428" s="72">
        <v>4</v>
      </c>
      <c r="D428" s="72" t="s">
        <v>343</v>
      </c>
      <c r="F428" s="126">
        <f>VLOOKUP(A428,'IUSD Klassiek 2017'!B$11:E$398,4,FALSE)*1000</f>
        <v>0.23008756444556852</v>
      </c>
      <c r="G428" s="126">
        <f>VLOOKUP(A428,'IUSD klassiek 2018'!B$11:E$390,4,FALSE)*1000</f>
        <v>0.11405699076159044</v>
      </c>
      <c r="H428" s="124">
        <f>VLOOKUP(A428,'Grondslagen AU 2018'!A$1:DA$386,92,FALSE)</f>
        <v>0.11358625779279501</v>
      </c>
      <c r="I428" s="124">
        <f>VLOOKUP(A428,'Grondslagen AU 2019'!A$1:DA$386,92,FALSE)</f>
        <v>0.11899999999999999</v>
      </c>
      <c r="J428" s="124">
        <f>VLOOKUP(A428,'Grondslagen AU 2020'!A$1:DA$386,77,FALSE)</f>
        <v>0.16900000000000001</v>
      </c>
      <c r="K428" s="124">
        <f>VLOOKUP(A428,'Grondslagen AU 2021'!A$1:DA$386,77,FALSE)</f>
        <v>0.159</v>
      </c>
      <c r="L428" s="124">
        <f>VLOOKUP(A428,'Grondslagen AU 2022'!A$1:DA$386,77,FALSE)</f>
        <v>0.13500000000000001</v>
      </c>
      <c r="M428" s="72"/>
      <c r="N428" s="124"/>
    </row>
    <row r="429" spans="1:14" x14ac:dyDescent="0.35">
      <c r="A429" s="72">
        <v>1896</v>
      </c>
      <c r="B429" s="72">
        <v>4</v>
      </c>
      <c r="D429" s="72" t="s">
        <v>363</v>
      </c>
      <c r="F429" s="126">
        <f>VLOOKUP(A429,'IUSD Klassiek 2017'!B$11:E$398,4,FALSE)*1000</f>
        <v>0.16574731824355057</v>
      </c>
      <c r="G429" s="126">
        <f>VLOOKUP(A429,'IUSD klassiek 2018'!B$11:E$390,4,FALSE)*1000</f>
        <v>0.14164443525596146</v>
      </c>
      <c r="H429" s="124">
        <f>VLOOKUP(A429,'Grondslagen AU 2018'!A$1:DA$386,92,FALSE)</f>
        <v>0.12226556776936399</v>
      </c>
      <c r="I429" s="124">
        <f>VLOOKUP(A429,'Grondslagen AU 2019'!A$1:DA$386,92,FALSE)</f>
        <v>0.23699999999999999</v>
      </c>
      <c r="J429" s="124">
        <f>VLOOKUP(A429,'Grondslagen AU 2020'!A$1:DA$386,77,FALSE)</f>
        <v>0.30199999999999999</v>
      </c>
      <c r="K429" s="124">
        <f>VLOOKUP(A429,'Grondslagen AU 2021'!A$1:DA$386,77,FALSE)</f>
        <v>0.188</v>
      </c>
      <c r="L429" s="124">
        <f>VLOOKUP(A429,'Grondslagen AU 2022'!A$1:DA$386,77,FALSE)</f>
        <v>0.13300000000000001</v>
      </c>
      <c r="M429" s="72"/>
      <c r="N429" s="124"/>
    </row>
    <row r="430" spans="1:14" x14ac:dyDescent="0.35">
      <c r="A430" s="72">
        <v>193</v>
      </c>
      <c r="B430" s="72">
        <v>4</v>
      </c>
      <c r="D430" s="72" t="s">
        <v>365</v>
      </c>
      <c r="F430" s="126">
        <f>VLOOKUP(A430,'IUSD Klassiek 2017'!B$11:E$398,4,FALSE)*1000</f>
        <v>7.8547564963928771</v>
      </c>
      <c r="G430" s="126">
        <f>VLOOKUP(A430,'IUSD klassiek 2018'!B$11:E$390,4,FALSE)*1000</f>
        <v>8.0238230250556111</v>
      </c>
      <c r="H430" s="124">
        <f>VLOOKUP(A430,'Grondslagen AU 2018'!A$1:DA$386,92,FALSE)</f>
        <v>8.3835743378797005</v>
      </c>
      <c r="I430" s="124">
        <f>VLOOKUP(A430,'Grondslagen AU 2019'!A$1:DA$386,92,FALSE)</f>
        <v>8.7769999999999992</v>
      </c>
      <c r="J430" s="124">
        <f>VLOOKUP(A430,'Grondslagen AU 2020'!A$1:DA$386,77,FALSE)</f>
        <v>9.1170000000000009</v>
      </c>
      <c r="K430" s="124">
        <f>VLOOKUP(A430,'Grondslagen AU 2021'!A$1:DA$386,77,FALSE)</f>
        <v>9.1929999999999996</v>
      </c>
      <c r="L430" s="124">
        <f>VLOOKUP(A430,'Grondslagen AU 2022'!A$1:DA$386,77,FALSE)</f>
        <v>9.0630000000000006</v>
      </c>
      <c r="M430" s="72"/>
      <c r="N430" s="124"/>
    </row>
    <row r="431" spans="1:14" x14ac:dyDescent="0.35">
      <c r="A431" s="72">
        <v>197</v>
      </c>
      <c r="B431" s="72">
        <v>5</v>
      </c>
      <c r="D431" s="72" t="s">
        <v>13</v>
      </c>
      <c r="F431" s="126">
        <f>VLOOKUP(A431,'IUSD Klassiek 2017'!B$11:E$398,4,FALSE)*1000</f>
        <v>0.50280190818649451</v>
      </c>
      <c r="G431" s="126">
        <f>VLOOKUP(A431,'IUSD klassiek 2018'!B$11:E$390,4,FALSE)*1000</f>
        <v>0.42995482030460708</v>
      </c>
      <c r="H431" s="124">
        <f>VLOOKUP(A431,'Grondslagen AU 2018'!A$1:DA$386,92,FALSE)</f>
        <v>0.39797496807261401</v>
      </c>
      <c r="I431" s="124">
        <f>VLOOKUP(A431,'Grondslagen AU 2019'!A$1:DA$386,92,FALSE)</f>
        <v>0.41599999999999998</v>
      </c>
      <c r="J431" s="124">
        <f>VLOOKUP(A431,'Grondslagen AU 2020'!A$1:DA$386,77,FALSE)</f>
        <v>0.37</v>
      </c>
      <c r="K431" s="124">
        <f>VLOOKUP(A431,'Grondslagen AU 2021'!A$1:DA$386,77,FALSE)</f>
        <v>0.34499999999999997</v>
      </c>
      <c r="L431" s="124">
        <f>VLOOKUP(A431,'Grondslagen AU 2022'!A$1:DA$386,77,FALSE)</f>
        <v>0.39</v>
      </c>
      <c r="M431" s="72"/>
      <c r="N431" s="124"/>
    </row>
    <row r="432" spans="1:14" x14ac:dyDescent="0.35">
      <c r="A432" s="72">
        <v>200</v>
      </c>
      <c r="B432" s="72">
        <v>5</v>
      </c>
      <c r="D432" s="72" t="s">
        <v>27</v>
      </c>
      <c r="F432" s="126">
        <f>VLOOKUP(A432,'IUSD Klassiek 2017'!B$11:E$398,4,FALSE)*1000</f>
        <v>7.9024503788936391</v>
      </c>
      <c r="G432" s="126">
        <f>VLOOKUP(A432,'IUSD klassiek 2018'!B$11:E$390,4,FALSE)*1000</f>
        <v>7.7822834931018336</v>
      </c>
      <c r="H432" s="124">
        <f>VLOOKUP(A432,'Grondslagen AU 2018'!A$1:DA$386,92,FALSE)</f>
        <v>8.0303055752511892</v>
      </c>
      <c r="I432" s="124">
        <f>VLOOKUP(A432,'Grondslagen AU 2019'!A$1:DA$386,92,FALSE)</f>
        <v>8.4019999999999992</v>
      </c>
      <c r="J432" s="124">
        <f>VLOOKUP(A432,'Grondslagen AU 2020'!A$1:DA$386,77,FALSE)</f>
        <v>8.3439999999999994</v>
      </c>
      <c r="K432" s="124">
        <f>VLOOKUP(A432,'Grondslagen AU 2021'!A$1:DA$386,77,FALSE)</f>
        <v>8.3360000000000003</v>
      </c>
      <c r="L432" s="124">
        <f>VLOOKUP(A432,'Grondslagen AU 2022'!A$1:DA$386,77,FALSE)</f>
        <v>8.375</v>
      </c>
      <c r="M432" s="72"/>
      <c r="N432" s="124"/>
    </row>
    <row r="433" spans="1:14" x14ac:dyDescent="0.35">
      <c r="A433" s="72">
        <v>202</v>
      </c>
      <c r="B433" s="72">
        <v>5</v>
      </c>
      <c r="D433" s="72" t="s">
        <v>29</v>
      </c>
      <c r="F433" s="126">
        <f>VLOOKUP(A433,'IUSD Klassiek 2017'!B$11:E$398,4,FALSE)*1000</f>
        <v>20.159573842762839</v>
      </c>
      <c r="G433" s="126">
        <f>VLOOKUP(A433,'IUSD klassiek 2018'!B$11:E$390,4,FALSE)*1000</f>
        <v>21.520182851717603</v>
      </c>
      <c r="H433" s="124">
        <f>VLOOKUP(A433,'Grondslagen AU 2018'!A$1:DA$386,92,FALSE)</f>
        <v>22.70710179212</v>
      </c>
      <c r="I433" s="124">
        <f>VLOOKUP(A433,'Grondslagen AU 2019'!A$1:DA$386,92,FALSE)</f>
        <v>23.518999999999998</v>
      </c>
      <c r="J433" s="124">
        <f>VLOOKUP(A433,'Grondslagen AU 2020'!A$1:DA$386,77,FALSE)</f>
        <v>23.286000000000001</v>
      </c>
      <c r="K433" s="124">
        <f>VLOOKUP(A433,'Grondslagen AU 2021'!A$1:DA$386,77,FALSE)</f>
        <v>22.898</v>
      </c>
      <c r="L433" s="124">
        <f>VLOOKUP(A433,'Grondslagen AU 2022'!A$1:DA$386,77,FALSE)</f>
        <v>22.059000000000001</v>
      </c>
      <c r="M433" s="72"/>
      <c r="N433" s="124"/>
    </row>
    <row r="434" spans="1:14" x14ac:dyDescent="0.35">
      <c r="A434" s="72">
        <v>203</v>
      </c>
      <c r="B434" s="72">
        <v>5</v>
      </c>
      <c r="D434" s="72" t="s">
        <v>35</v>
      </c>
      <c r="F434" s="126">
        <f>VLOOKUP(A434,'IUSD Klassiek 2017'!B$11:E$398,4,FALSE)*1000</f>
        <v>0.44956192347548019</v>
      </c>
      <c r="G434" s="126">
        <f>VLOOKUP(A434,'IUSD klassiek 2018'!B$11:E$390,4,FALSE)*1000</f>
        <v>0.26518938917213836</v>
      </c>
      <c r="H434" s="124">
        <f>VLOOKUP(A434,'Grondslagen AU 2018'!A$1:DA$386,92,FALSE)</f>
        <v>0.266104507535181</v>
      </c>
      <c r="I434" s="124">
        <f>VLOOKUP(A434,'Grondslagen AU 2019'!A$1:DA$386,92,FALSE)</f>
        <v>0.28499999999999998</v>
      </c>
      <c r="J434" s="124">
        <f>VLOOKUP(A434,'Grondslagen AU 2020'!A$1:DA$386,77,FALSE)</f>
        <v>0.34100000000000003</v>
      </c>
      <c r="K434" s="124">
        <f>VLOOKUP(A434,'Grondslagen AU 2021'!A$1:DA$386,77,FALSE)</f>
        <v>0.36899999999999999</v>
      </c>
      <c r="L434" s="124">
        <f>VLOOKUP(A434,'Grondslagen AU 2022'!A$1:DA$386,77,FALSE)</f>
        <v>0.52300000000000002</v>
      </c>
      <c r="M434" s="72"/>
      <c r="N434" s="124"/>
    </row>
    <row r="435" spans="1:14" x14ac:dyDescent="0.35">
      <c r="A435" s="72">
        <v>1945</v>
      </c>
      <c r="B435" s="72">
        <v>5</v>
      </c>
      <c r="D435" s="72" t="s">
        <v>40</v>
      </c>
      <c r="F435" s="126">
        <f>VLOOKUP(A435,'IUSD Klassiek 2017'!B$11:E$398,4,FALSE)*1000</f>
        <v>1.4924272962710028</v>
      </c>
      <c r="G435" s="126">
        <f>VLOOKUP(A435,'IUSD klassiek 2018'!B$11:E$390,4,FALSE)*1000</f>
        <v>1.7369441996874442</v>
      </c>
      <c r="H435" s="124">
        <f>VLOOKUP(A435,'Grondslagen AU 2018'!A$1:DA$386,92,FALSE)</f>
        <v>1.9251044903290999</v>
      </c>
      <c r="I435" s="124">
        <f>VLOOKUP(A435,'Grondslagen AU 2019'!A$1:DA$386,92,FALSE)</f>
        <v>1.8420000000000001</v>
      </c>
      <c r="J435" s="124">
        <f>VLOOKUP(A435,'Grondslagen AU 2020'!A$1:DA$386,77,FALSE)</f>
        <v>2.0129999999999999</v>
      </c>
      <c r="K435" s="124">
        <f>VLOOKUP(A435,'Grondslagen AU 2021'!A$1:DA$386,77,FALSE)</f>
        <v>1.98</v>
      </c>
      <c r="L435" s="124">
        <f>VLOOKUP(A435,'Grondslagen AU 2022'!A$1:DA$386,77,FALSE)</f>
        <v>1.913</v>
      </c>
      <c r="M435" s="72"/>
      <c r="N435" s="124"/>
    </row>
    <row r="436" spans="1:14" x14ac:dyDescent="0.35">
      <c r="A436" s="72">
        <v>1859</v>
      </c>
      <c r="B436" s="72">
        <v>5</v>
      </c>
      <c r="D436" s="72" t="s">
        <v>45</v>
      </c>
      <c r="F436" s="126">
        <f>VLOOKUP(A436,'IUSD Klassiek 2017'!B$11:E$398,4,FALSE)*1000</f>
        <v>1.0260638708347325</v>
      </c>
      <c r="G436" s="126">
        <f>VLOOKUP(A436,'IUSD klassiek 2018'!B$11:E$390,4,FALSE)*1000</f>
        <v>0.82954273533569878</v>
      </c>
      <c r="H436" s="124">
        <f>VLOOKUP(A436,'Grondslagen AU 2018'!A$1:DA$386,92,FALSE)</f>
        <v>0.99516083413427403</v>
      </c>
      <c r="I436" s="124">
        <f>VLOOKUP(A436,'Grondslagen AU 2019'!A$1:DA$386,92,FALSE)</f>
        <v>1.0580000000000001</v>
      </c>
      <c r="J436" s="124">
        <f>VLOOKUP(A436,'Grondslagen AU 2020'!A$1:DA$386,77,FALSE)</f>
        <v>1.0669999999999999</v>
      </c>
      <c r="K436" s="124">
        <f>VLOOKUP(A436,'Grondslagen AU 2021'!A$1:DA$386,77,FALSE)</f>
        <v>1.105</v>
      </c>
      <c r="L436" s="124">
        <f>VLOOKUP(A436,'Grondslagen AU 2022'!A$1:DA$386,77,FALSE)</f>
        <v>1.0169999999999999</v>
      </c>
      <c r="M436" s="72"/>
      <c r="N436" s="124"/>
    </row>
    <row r="437" spans="1:14" x14ac:dyDescent="0.35">
      <c r="A437" s="72">
        <v>209</v>
      </c>
      <c r="B437" s="72">
        <v>5</v>
      </c>
      <c r="D437" s="72" t="s">
        <v>48</v>
      </c>
      <c r="F437" s="126">
        <f>VLOOKUP(A437,'IUSD Klassiek 2017'!B$11:E$398,4,FALSE)*1000</f>
        <v>0.69797327562131273</v>
      </c>
      <c r="G437" s="126">
        <f>VLOOKUP(A437,'IUSD klassiek 2018'!B$11:E$390,4,FALSE)*1000</f>
        <v>0.60784115052338161</v>
      </c>
      <c r="H437" s="124">
        <f>VLOOKUP(A437,'Grondslagen AU 2018'!A$1:DA$386,92,FALSE)</f>
        <v>0.63943579945133</v>
      </c>
      <c r="I437" s="124">
        <f>VLOOKUP(A437,'Grondslagen AU 2019'!A$1:DA$386,92,FALSE)</f>
        <v>0.56499999999999995</v>
      </c>
      <c r="J437" s="124">
        <f>VLOOKUP(A437,'Grondslagen AU 2020'!A$1:DA$386,77,FALSE)</f>
        <v>0.64400000000000002</v>
      </c>
      <c r="K437" s="124">
        <f>VLOOKUP(A437,'Grondslagen AU 2021'!A$1:DA$386,77,FALSE)</f>
        <v>0.61899999999999999</v>
      </c>
      <c r="L437" s="124">
        <f>VLOOKUP(A437,'Grondslagen AU 2022'!A$1:DA$386,77,FALSE)</f>
        <v>0.65900000000000003</v>
      </c>
      <c r="M437" s="72"/>
      <c r="N437" s="124"/>
    </row>
    <row r="438" spans="1:14" x14ac:dyDescent="0.35">
      <c r="A438" s="72">
        <v>1876</v>
      </c>
      <c r="B438" s="72">
        <v>5</v>
      </c>
      <c r="D438" s="72" t="s">
        <v>62</v>
      </c>
      <c r="F438" s="126">
        <f>VLOOKUP(A438,'IUSD Klassiek 2017'!B$11:E$398,4,FALSE)*1000</f>
        <v>0.30893461615112494</v>
      </c>
      <c r="G438" s="126">
        <f>VLOOKUP(A438,'IUSD klassiek 2018'!B$11:E$390,4,FALSE)*1000</f>
        <v>0.30135550095714458</v>
      </c>
      <c r="H438" s="124">
        <f>VLOOKUP(A438,'Grondslagen AU 2018'!A$1:DA$386,92,FALSE)</f>
        <v>0.22298204041644301</v>
      </c>
      <c r="I438" s="124">
        <f>VLOOKUP(A438,'Grondslagen AU 2019'!A$1:DA$386,92,FALSE)</f>
        <v>0.25</v>
      </c>
      <c r="J438" s="124">
        <f>VLOOKUP(A438,'Grondslagen AU 2020'!A$1:DA$386,77,FALSE)</f>
        <v>0.20399999999999999</v>
      </c>
      <c r="K438" s="124">
        <f>VLOOKUP(A438,'Grondslagen AU 2021'!A$1:DA$386,77,FALSE)</f>
        <v>0.224</v>
      </c>
      <c r="L438" s="124">
        <f>VLOOKUP(A438,'Grondslagen AU 2022'!A$1:DA$386,77,FALSE)</f>
        <v>0.24399999999999999</v>
      </c>
      <c r="M438" s="72"/>
      <c r="N438" s="124"/>
    </row>
    <row r="439" spans="1:14" x14ac:dyDescent="0.35">
      <c r="A439" s="72">
        <v>213</v>
      </c>
      <c r="B439" s="72">
        <v>5</v>
      </c>
      <c r="D439" s="72" t="s">
        <v>63</v>
      </c>
      <c r="F439" s="126">
        <f>VLOOKUP(A439,'IUSD Klassiek 2017'!B$11:E$398,4,FALSE)*1000</f>
        <v>0.56024500814271005</v>
      </c>
      <c r="G439" s="126">
        <f>VLOOKUP(A439,'IUSD klassiek 2018'!B$11:E$390,4,FALSE)*1000</f>
        <v>0.56059328084866844</v>
      </c>
      <c r="H439" s="124">
        <f>VLOOKUP(A439,'Grondslagen AU 2018'!A$1:DA$386,92,FALSE)</f>
        <v>0.52538621598148505</v>
      </c>
      <c r="I439" s="124">
        <f>VLOOKUP(A439,'Grondslagen AU 2019'!A$1:DA$386,92,FALSE)</f>
        <v>0.73499999999999999</v>
      </c>
      <c r="J439" s="124">
        <f>VLOOKUP(A439,'Grondslagen AU 2020'!A$1:DA$386,77,FALSE)</f>
        <v>0.625</v>
      </c>
      <c r="K439" s="124">
        <f>VLOOKUP(A439,'Grondslagen AU 2021'!A$1:DA$386,77,FALSE)</f>
        <v>0.52800000000000002</v>
      </c>
      <c r="L439" s="124">
        <f>VLOOKUP(A439,'Grondslagen AU 2022'!A$1:DA$386,77,FALSE)</f>
        <v>0.39</v>
      </c>
      <c r="M439" s="72"/>
      <c r="N439" s="124"/>
    </row>
    <row r="440" spans="1:14" x14ac:dyDescent="0.35">
      <c r="A440" s="72">
        <v>214</v>
      </c>
      <c r="B440" s="72">
        <v>5</v>
      </c>
      <c r="D440" s="72" t="s">
        <v>67</v>
      </c>
      <c r="F440" s="126">
        <f>VLOOKUP(A440,'IUSD Klassiek 2017'!B$11:E$398,4,FALSE)*1000</f>
        <v>0.18138937897191881</v>
      </c>
      <c r="G440" s="126">
        <f>VLOOKUP(A440,'IUSD klassiek 2018'!B$11:E$390,4,FALSE)*1000</f>
        <v>0.13015411368635474</v>
      </c>
      <c r="H440" s="124">
        <f>VLOOKUP(A440,'Grondslagen AU 2018'!A$1:DA$386,92,FALSE)</f>
        <v>0.12878144068369299</v>
      </c>
      <c r="I440" s="124">
        <f>VLOOKUP(A440,'Grondslagen AU 2019'!A$1:DA$386,92,FALSE)</f>
        <v>0.13500000000000001</v>
      </c>
      <c r="J440" s="124">
        <f>VLOOKUP(A440,'Grondslagen AU 2020'!A$1:DA$386,77,FALSE)</f>
        <v>0.13700000000000001</v>
      </c>
      <c r="K440" s="124">
        <f>VLOOKUP(A440,'Grondslagen AU 2021'!A$1:DA$386,77,FALSE)</f>
        <v>0.13500000000000001</v>
      </c>
      <c r="L440" s="124">
        <f>VLOOKUP(A440,'Grondslagen AU 2022'!A$1:DA$386,77,FALSE)</f>
        <v>0.13700000000000001</v>
      </c>
      <c r="M440" s="72"/>
      <c r="N440" s="124"/>
    </row>
    <row r="441" spans="1:14" x14ac:dyDescent="0.35">
      <c r="A441" s="72">
        <v>216</v>
      </c>
      <c r="B441" s="72">
        <v>5</v>
      </c>
      <c r="D441" s="72" t="s">
        <v>73</v>
      </c>
      <c r="F441" s="126">
        <f>VLOOKUP(A441,'IUSD Klassiek 2017'!B$11:E$398,4,FALSE)*1000</f>
        <v>1.2710696400472372</v>
      </c>
      <c r="G441" s="126">
        <f>VLOOKUP(A441,'IUSD klassiek 2018'!B$11:E$390,4,FALSE)*1000</f>
        <v>1.2838203636092314</v>
      </c>
      <c r="H441" s="124">
        <f>VLOOKUP(A441,'Grondslagen AU 2018'!A$1:DA$386,92,FALSE)</f>
        <v>1.2248324526760099</v>
      </c>
      <c r="I441" s="124">
        <f>VLOOKUP(A441,'Grondslagen AU 2019'!A$1:DA$386,92,FALSE)</f>
        <v>1.089</v>
      </c>
      <c r="J441" s="124">
        <f>VLOOKUP(A441,'Grondslagen AU 2020'!A$1:DA$386,77,FALSE)</f>
        <v>1.165</v>
      </c>
      <c r="K441" s="124">
        <f>VLOOKUP(A441,'Grondslagen AU 2021'!A$1:DA$386,77,FALSE)</f>
        <v>1.024</v>
      </c>
      <c r="L441" s="124">
        <f>VLOOKUP(A441,'Grondslagen AU 2022'!A$1:DA$386,77,FALSE)</f>
        <v>0.88100000000000001</v>
      </c>
      <c r="M441" s="72"/>
      <c r="N441" s="124"/>
    </row>
    <row r="442" spans="1:14" x14ac:dyDescent="0.35">
      <c r="A442" s="72">
        <v>221</v>
      </c>
      <c r="B442" s="72">
        <v>5</v>
      </c>
      <c r="D442" s="72" t="s">
        <v>87</v>
      </c>
      <c r="F442" s="126">
        <f>VLOOKUP(A442,'IUSD Klassiek 2017'!B$11:E$398,4,FALSE)*1000</f>
        <v>0.89535080274201617</v>
      </c>
      <c r="G442" s="126">
        <f>VLOOKUP(A442,'IUSD klassiek 2018'!B$11:E$390,4,FALSE)*1000</f>
        <v>0.89080427255764294</v>
      </c>
      <c r="H442" s="124">
        <f>VLOOKUP(A442,'Grondslagen AU 2018'!A$1:DA$386,92,FALSE)</f>
        <v>0.84863498895754497</v>
      </c>
      <c r="I442" s="124">
        <f>VLOOKUP(A442,'Grondslagen AU 2019'!A$1:DA$386,92,FALSE)</f>
        <v>0.72799999999999998</v>
      </c>
      <c r="J442" s="124">
        <f>VLOOKUP(A442,'Grondslagen AU 2020'!A$1:DA$386,77,FALSE)</f>
        <v>0.76400000000000001</v>
      </c>
      <c r="K442" s="124">
        <f>VLOOKUP(A442,'Grondslagen AU 2021'!A$1:DA$386,77,FALSE)</f>
        <v>0.72599999999999998</v>
      </c>
      <c r="L442" s="124">
        <f>VLOOKUP(A442,'Grondslagen AU 2022'!A$1:DA$386,77,FALSE)</f>
        <v>0.67700000000000005</v>
      </c>
      <c r="M442" s="72"/>
      <c r="N442" s="124"/>
    </row>
    <row r="443" spans="1:14" x14ac:dyDescent="0.35">
      <c r="A443" s="72">
        <v>222</v>
      </c>
      <c r="B443" s="72">
        <v>5</v>
      </c>
      <c r="D443" s="72" t="s">
        <v>88</v>
      </c>
      <c r="F443" s="126">
        <f>VLOOKUP(A443,'IUSD Klassiek 2017'!B$11:E$398,4,FALSE)*1000</f>
        <v>2.7305147464452704</v>
      </c>
      <c r="G443" s="126">
        <f>VLOOKUP(A443,'IUSD klassiek 2018'!B$11:E$390,4,FALSE)*1000</f>
        <v>2.6838157205533686</v>
      </c>
      <c r="H443" s="124">
        <f>VLOOKUP(A443,'Grondslagen AU 2018'!A$1:DA$386,92,FALSE)</f>
        <v>2.8775260123579698</v>
      </c>
      <c r="I443" s="124">
        <f>VLOOKUP(A443,'Grondslagen AU 2019'!A$1:DA$386,92,FALSE)</f>
        <v>2.8359999999999999</v>
      </c>
      <c r="J443" s="124">
        <f>VLOOKUP(A443,'Grondslagen AU 2020'!A$1:DA$386,77,FALSE)</f>
        <v>3.1419999999999999</v>
      </c>
      <c r="K443" s="124">
        <f>VLOOKUP(A443,'Grondslagen AU 2021'!A$1:DA$386,77,FALSE)</f>
        <v>3.0209999999999999</v>
      </c>
      <c r="L443" s="124">
        <f>VLOOKUP(A443,'Grondslagen AU 2022'!A$1:DA$386,77,FALSE)</f>
        <v>2.9870000000000001</v>
      </c>
      <c r="M443" s="72"/>
      <c r="N443" s="124"/>
    </row>
    <row r="444" spans="1:14" x14ac:dyDescent="0.35">
      <c r="A444" s="72">
        <v>225</v>
      </c>
      <c r="B444" s="72">
        <v>5</v>
      </c>
      <c r="D444" s="72" t="s">
        <v>94</v>
      </c>
      <c r="F444" s="126">
        <f>VLOOKUP(A444,'IUSD Klassiek 2017'!B$11:E$398,4,FALSE)*1000</f>
        <v>0.4520894282875032</v>
      </c>
      <c r="G444" s="126">
        <f>VLOOKUP(A444,'IUSD klassiek 2018'!B$11:E$390,4,FALSE)*1000</f>
        <v>0.44688549305082942</v>
      </c>
      <c r="H444" s="124">
        <f>VLOOKUP(A444,'Grondslagen AU 2018'!A$1:DA$386,92,FALSE)</f>
        <v>0.41831187282305199</v>
      </c>
      <c r="I444" s="124">
        <f>VLOOKUP(A444,'Grondslagen AU 2019'!A$1:DA$386,92,FALSE)</f>
        <v>0.505</v>
      </c>
      <c r="J444" s="124">
        <f>VLOOKUP(A444,'Grondslagen AU 2020'!A$1:DA$386,77,FALSE)</f>
        <v>0.48899999999999999</v>
      </c>
      <c r="K444" s="124">
        <f>VLOOKUP(A444,'Grondslagen AU 2021'!A$1:DA$386,77,FALSE)</f>
        <v>0.53300000000000003</v>
      </c>
      <c r="L444" s="124">
        <f>VLOOKUP(A444,'Grondslagen AU 2022'!A$1:DA$386,77,FALSE)</f>
        <v>0.502</v>
      </c>
      <c r="M444" s="72"/>
      <c r="N444" s="124"/>
    </row>
    <row r="445" spans="1:14" x14ac:dyDescent="0.35">
      <c r="A445" s="72">
        <v>226</v>
      </c>
      <c r="B445" s="72">
        <v>5</v>
      </c>
      <c r="D445" s="72" t="s">
        <v>95</v>
      </c>
      <c r="F445" s="126">
        <f>VLOOKUP(A445,'IUSD Klassiek 2017'!B$11:E$398,4,FALSE)*1000</f>
        <v>0.74195543441664835</v>
      </c>
      <c r="G445" s="126">
        <f>VLOOKUP(A445,'IUSD klassiek 2018'!B$11:E$390,4,FALSE)*1000</f>
        <v>0.73330020658887773</v>
      </c>
      <c r="H445" s="124">
        <f>VLOOKUP(A445,'Grondslagen AU 2018'!A$1:DA$386,92,FALSE)</f>
        <v>0.75812932026486102</v>
      </c>
      <c r="I445" s="124">
        <f>VLOOKUP(A445,'Grondslagen AU 2019'!A$1:DA$386,92,FALSE)</f>
        <v>0.79900000000000004</v>
      </c>
      <c r="J445" s="124">
        <f>VLOOKUP(A445,'Grondslagen AU 2020'!A$1:DA$386,77,FALSE)</f>
        <v>0.86799999999999999</v>
      </c>
      <c r="K445" s="124">
        <f>VLOOKUP(A445,'Grondslagen AU 2021'!A$1:DA$386,77,FALSE)</f>
        <v>0.84899999999999998</v>
      </c>
      <c r="L445" s="124">
        <f>VLOOKUP(A445,'Grondslagen AU 2022'!A$1:DA$386,77,FALSE)</f>
        <v>0.83499999999999996</v>
      </c>
      <c r="M445" s="72"/>
      <c r="N445" s="124"/>
    </row>
    <row r="446" spans="1:14" x14ac:dyDescent="0.35">
      <c r="A446" s="72">
        <v>228</v>
      </c>
      <c r="B446" s="72">
        <v>5</v>
      </c>
      <c r="D446" s="72" t="s">
        <v>98</v>
      </c>
      <c r="F446" s="126">
        <f>VLOOKUP(A446,'IUSD Klassiek 2017'!B$11:E$398,4,FALSE)*1000</f>
        <v>2.8897724724367837</v>
      </c>
      <c r="G446" s="126">
        <f>VLOOKUP(A446,'IUSD klassiek 2018'!B$11:E$390,4,FALSE)*1000</f>
        <v>2.8498801041899235</v>
      </c>
      <c r="H446" s="124">
        <f>VLOOKUP(A446,'Grondslagen AU 2018'!A$1:DA$386,92,FALSE)</f>
        <v>3.0899895259468599</v>
      </c>
      <c r="I446" s="124">
        <f>VLOOKUP(A446,'Grondslagen AU 2019'!A$1:DA$386,92,FALSE)</f>
        <v>2.9550000000000001</v>
      </c>
      <c r="J446" s="124">
        <f>VLOOKUP(A446,'Grondslagen AU 2020'!A$1:DA$386,77,FALSE)</f>
        <v>3.0830000000000002</v>
      </c>
      <c r="K446" s="124">
        <f>VLOOKUP(A446,'Grondslagen AU 2021'!A$1:DA$386,77,FALSE)</f>
        <v>3.3690000000000002</v>
      </c>
      <c r="L446" s="124">
        <f>VLOOKUP(A446,'Grondslagen AU 2022'!A$1:DA$386,77,FALSE)</f>
        <v>3.169</v>
      </c>
      <c r="M446" s="72"/>
      <c r="N446" s="124"/>
    </row>
    <row r="447" spans="1:14" x14ac:dyDescent="0.35">
      <c r="A447" s="72">
        <v>230</v>
      </c>
      <c r="B447" s="72">
        <v>5</v>
      </c>
      <c r="D447" s="72" t="s">
        <v>103</v>
      </c>
      <c r="F447" s="126">
        <f>VLOOKUP(A447,'IUSD Klassiek 2017'!B$11:E$398,4,FALSE)*1000</f>
        <v>0.22671910521015892</v>
      </c>
      <c r="G447" s="126">
        <f>VLOOKUP(A447,'IUSD klassiek 2018'!B$11:E$390,4,FALSE)*1000</f>
        <v>0.17847683686697599</v>
      </c>
      <c r="H447" s="124">
        <f>VLOOKUP(A447,'Grondslagen AU 2018'!A$1:DA$386,92,FALSE)</f>
        <v>0.242576863581</v>
      </c>
      <c r="I447" s="124">
        <f>VLOOKUP(A447,'Grondslagen AU 2019'!A$1:DA$386,92,FALSE)</f>
        <v>0.27200000000000002</v>
      </c>
      <c r="J447" s="124">
        <f>VLOOKUP(A447,'Grondslagen AU 2020'!A$1:DA$386,77,FALSE)</f>
        <v>0.245</v>
      </c>
      <c r="K447" s="124">
        <f>VLOOKUP(A447,'Grondslagen AU 2021'!A$1:DA$386,77,FALSE)</f>
        <v>0.27700000000000002</v>
      </c>
      <c r="L447" s="124">
        <f>VLOOKUP(A447,'Grondslagen AU 2022'!A$1:DA$386,77,FALSE)</f>
        <v>0.33500000000000002</v>
      </c>
      <c r="M447" s="72"/>
      <c r="N447" s="124"/>
    </row>
    <row r="448" spans="1:14" x14ac:dyDescent="0.35">
      <c r="A448" s="72">
        <v>232</v>
      </c>
      <c r="B448" s="72">
        <v>5</v>
      </c>
      <c r="D448" s="72" t="s">
        <v>107</v>
      </c>
      <c r="F448" s="126">
        <f>VLOOKUP(A448,'IUSD Klassiek 2017'!B$11:E$398,4,FALSE)*1000</f>
        <v>0.82989603570290915</v>
      </c>
      <c r="G448" s="126">
        <f>VLOOKUP(A448,'IUSD klassiek 2018'!B$11:E$390,4,FALSE)*1000</f>
        <v>0.74610915160833502</v>
      </c>
      <c r="H448" s="124">
        <f>VLOOKUP(A448,'Grondslagen AU 2018'!A$1:DA$386,92,FALSE)</f>
        <v>0.65196477565373501</v>
      </c>
      <c r="I448" s="124">
        <f>VLOOKUP(A448,'Grondslagen AU 2019'!A$1:DA$386,92,FALSE)</f>
        <v>0.80600000000000005</v>
      </c>
      <c r="J448" s="124">
        <f>VLOOKUP(A448,'Grondslagen AU 2020'!A$1:DA$386,77,FALSE)</f>
        <v>0.83899999999999997</v>
      </c>
      <c r="K448" s="124">
        <f>VLOOKUP(A448,'Grondslagen AU 2021'!A$1:DA$386,77,FALSE)</f>
        <v>0.69899999999999995</v>
      </c>
      <c r="L448" s="124">
        <f>VLOOKUP(A448,'Grondslagen AU 2022'!A$1:DA$386,77,FALSE)</f>
        <v>0.61499999999999999</v>
      </c>
      <c r="M448" s="72"/>
      <c r="N448" s="124"/>
    </row>
    <row r="449" spans="1:14" x14ac:dyDescent="0.35">
      <c r="A449" s="72">
        <v>233</v>
      </c>
      <c r="B449" s="72">
        <v>5</v>
      </c>
      <c r="D449" s="72" t="s">
        <v>108</v>
      </c>
      <c r="F449" s="126">
        <f>VLOOKUP(A449,'IUSD Klassiek 2017'!B$11:E$398,4,FALSE)*1000</f>
        <v>0.37391644801666157</v>
      </c>
      <c r="G449" s="126">
        <f>VLOOKUP(A449,'IUSD klassiek 2018'!B$11:E$390,4,FALSE)*1000</f>
        <v>0.39748306932682126</v>
      </c>
      <c r="H449" s="124">
        <f>VLOOKUP(A449,'Grondslagen AU 2018'!A$1:DA$386,92,FALSE)</f>
        <v>0.36078011557055201</v>
      </c>
      <c r="I449" s="124">
        <f>VLOOKUP(A449,'Grondslagen AU 2019'!A$1:DA$386,92,FALSE)</f>
        <v>0.52200000000000002</v>
      </c>
      <c r="J449" s="124">
        <f>VLOOKUP(A449,'Grondslagen AU 2020'!A$1:DA$386,77,FALSE)</f>
        <v>0.62</v>
      </c>
      <c r="K449" s="124">
        <f>VLOOKUP(A449,'Grondslagen AU 2021'!A$1:DA$386,77,FALSE)</f>
        <v>0.61199999999999999</v>
      </c>
      <c r="L449" s="124">
        <f>VLOOKUP(A449,'Grondslagen AU 2022'!A$1:DA$386,77,FALSE)</f>
        <v>0.52500000000000002</v>
      </c>
      <c r="M449" s="72"/>
      <c r="N449" s="124"/>
    </row>
    <row r="450" spans="1:14" x14ac:dyDescent="0.35">
      <c r="A450" s="72">
        <v>236</v>
      </c>
      <c r="B450" s="72">
        <v>5</v>
      </c>
      <c r="D450" s="72" t="s">
        <v>807</v>
      </c>
      <c r="F450" s="126">
        <f>VLOOKUP(A450,'IUSD Klassiek 2017'!B$11:E$398,4,FALSE)*1000</f>
        <v>0.19584448188214776</v>
      </c>
      <c r="G450" s="126">
        <f>VLOOKUP(A450,'IUSD klassiek 2018'!B$11:E$390,4,FALSE)*1000</f>
        <v>0.12829498779723034</v>
      </c>
      <c r="H450" s="124">
        <f>VLOOKUP(A450,'Grondslagen AU 2018'!A$1:DA$386,92,FALSE)</f>
        <v>0.12775433090577901</v>
      </c>
      <c r="I450" s="124" t="e">
        <f>VLOOKUP(A450,'Grondslagen AU 2019'!A$1:DA$386,92,FALSE)</f>
        <v>#N/A</v>
      </c>
      <c r="J450" s="124" t="e">
        <f>VLOOKUP(A450,'Grondslagen AU 2020'!A$1:DA$386,77,FALSE)</f>
        <v>#N/A</v>
      </c>
      <c r="K450" s="124" t="e">
        <f>VLOOKUP(A450,'Grondslagen AU 2021'!A$1:DA$386,77,FALSE)</f>
        <v>#N/A</v>
      </c>
      <c r="L450" s="124" t="e">
        <f>VLOOKUP(A450,'Grondslagen AU 2022'!A$1:DA$386,77,FALSE)</f>
        <v>#N/A</v>
      </c>
      <c r="M450" s="72" t="s">
        <v>334</v>
      </c>
      <c r="N450" s="124"/>
    </row>
    <row r="451" spans="1:14" x14ac:dyDescent="0.35">
      <c r="A451" s="72">
        <v>243</v>
      </c>
      <c r="B451" s="72">
        <v>5</v>
      </c>
      <c r="D451" s="72" t="s">
        <v>130</v>
      </c>
      <c r="F451" s="126">
        <f>VLOOKUP(A451,'IUSD Klassiek 2017'!B$11:E$398,4,FALSE)*1000</f>
        <v>1.5729548182390047</v>
      </c>
      <c r="G451" s="126">
        <f>VLOOKUP(A451,'IUSD klassiek 2018'!B$11:E$390,4,FALSE)*1000</f>
        <v>1.5484556351326957</v>
      </c>
      <c r="H451" s="124">
        <f>VLOOKUP(A451,'Grondslagen AU 2018'!A$1:DA$386,92,FALSE)</f>
        <v>1.58318452941944</v>
      </c>
      <c r="I451" s="124">
        <f>VLOOKUP(A451,'Grondslagen AU 2019'!A$1:DA$386,92,FALSE)</f>
        <v>1.7390000000000001</v>
      </c>
      <c r="J451" s="124">
        <f>VLOOKUP(A451,'Grondslagen AU 2020'!A$1:DA$386,77,FALSE)</f>
        <v>1.744</v>
      </c>
      <c r="K451" s="124">
        <f>VLOOKUP(A451,'Grondslagen AU 2021'!A$1:DA$386,77,FALSE)</f>
        <v>1.821</v>
      </c>
      <c r="L451" s="124">
        <f>VLOOKUP(A451,'Grondslagen AU 2022'!A$1:DA$386,77,FALSE)</f>
        <v>1.708</v>
      </c>
      <c r="M451" s="72"/>
      <c r="N451" s="124"/>
    </row>
    <row r="452" spans="1:14" x14ac:dyDescent="0.35">
      <c r="A452" s="72">
        <v>244</v>
      </c>
      <c r="B452" s="72">
        <v>5</v>
      </c>
      <c r="D452" s="72" t="s">
        <v>133</v>
      </c>
      <c r="F452" s="126">
        <f>VLOOKUP(A452,'IUSD Klassiek 2017'!B$11:E$398,4,FALSE)*1000</f>
        <v>0.14959695614019144</v>
      </c>
      <c r="G452" s="126">
        <f>VLOOKUP(A452,'IUSD klassiek 2018'!B$11:E$390,4,FALSE)*1000</f>
        <v>9.3150038703749077E-2</v>
      </c>
      <c r="H452" s="124">
        <f>VLOOKUP(A452,'Grondslagen AU 2018'!A$1:DA$386,92,FALSE)</f>
        <v>0.13109291310326901</v>
      </c>
      <c r="I452" s="124">
        <f>VLOOKUP(A452,'Grondslagen AU 2019'!A$1:DA$386,92,FALSE)</f>
        <v>8.2000000000000003E-2</v>
      </c>
      <c r="J452" s="124">
        <f>VLOOKUP(A452,'Grondslagen AU 2020'!A$1:DA$386,77,FALSE)</f>
        <v>9.6000000000000002E-2</v>
      </c>
      <c r="K452" s="124">
        <f>VLOOKUP(A452,'Grondslagen AU 2021'!A$1:DA$386,77,FALSE)</f>
        <v>7.0000000000000007E-2</v>
      </c>
      <c r="L452" s="124">
        <f>VLOOKUP(A452,'Grondslagen AU 2022'!A$1:DA$386,77,FALSE)</f>
        <v>5.8000000000000003E-2</v>
      </c>
      <c r="M452" s="72"/>
      <c r="N452" s="124"/>
    </row>
    <row r="453" spans="1:14" x14ac:dyDescent="0.35">
      <c r="A453" s="72">
        <v>246</v>
      </c>
      <c r="B453" s="72">
        <v>5</v>
      </c>
      <c r="D453" s="72" t="s">
        <v>136</v>
      </c>
      <c r="F453" s="126">
        <f>VLOOKUP(A453,'IUSD Klassiek 2017'!B$11:E$398,4,FALSE)*1000</f>
        <v>0.13043484107487696</v>
      </c>
      <c r="G453" s="126">
        <f>VLOOKUP(A453,'IUSD klassiek 2018'!B$11:E$390,4,FALSE)*1000</f>
        <v>8.7095840007374969E-2</v>
      </c>
      <c r="H453" s="124">
        <f>VLOOKUP(A453,'Grondslagen AU 2018'!A$1:DA$386,92,FALSE)</f>
        <v>0.13999022616653101</v>
      </c>
      <c r="I453" s="124">
        <f>VLOOKUP(A453,'Grondslagen AU 2019'!A$1:DA$386,92,FALSE)</f>
        <v>0.16</v>
      </c>
      <c r="J453" s="124">
        <f>VLOOKUP(A453,'Grondslagen AU 2020'!A$1:DA$386,77,FALSE)</f>
        <v>0.14099999999999999</v>
      </c>
      <c r="K453" s="124">
        <f>VLOOKUP(A453,'Grondslagen AU 2021'!A$1:DA$386,77,FALSE)</f>
        <v>0.17100000000000001</v>
      </c>
      <c r="L453" s="124">
        <f>VLOOKUP(A453,'Grondslagen AU 2022'!A$1:DA$386,77,FALSE)</f>
        <v>0.17399999999999999</v>
      </c>
      <c r="M453" s="72"/>
      <c r="N453" s="124"/>
    </row>
    <row r="454" spans="1:14" x14ac:dyDescent="0.35">
      <c r="A454" s="72">
        <v>252</v>
      </c>
      <c r="B454" s="72">
        <v>5</v>
      </c>
      <c r="D454" s="72" t="s">
        <v>148</v>
      </c>
      <c r="F454" s="126">
        <f>VLOOKUP(A454,'IUSD Klassiek 2017'!B$11:E$398,4,FALSE)*1000</f>
        <v>0.33630516677956868</v>
      </c>
      <c r="G454" s="126">
        <f>VLOOKUP(A454,'IUSD klassiek 2018'!B$11:E$390,4,FALSE)*1000</f>
        <v>0.25249785865687002</v>
      </c>
      <c r="H454" s="124">
        <f>VLOOKUP(A454,'Grondslagen AU 2018'!A$1:DA$386,92,FALSE)</f>
        <v>0.43628314318120898</v>
      </c>
      <c r="I454" s="124">
        <f>VLOOKUP(A454,'Grondslagen AU 2019'!A$1:DA$386,92,FALSE)</f>
        <v>0.38900000000000001</v>
      </c>
      <c r="J454" s="124">
        <f>VLOOKUP(A454,'Grondslagen AU 2020'!A$1:DA$386,77,FALSE)</f>
        <v>0.42899999999999999</v>
      </c>
      <c r="K454" s="124">
        <f>VLOOKUP(A454,'Grondslagen AU 2021'!A$1:DA$386,77,FALSE)</f>
        <v>0.41199999999999998</v>
      </c>
      <c r="L454" s="124">
        <f>VLOOKUP(A454,'Grondslagen AU 2022'!A$1:DA$386,77,FALSE)</f>
        <v>0.441</v>
      </c>
      <c r="M454" s="72"/>
      <c r="N454" s="124"/>
    </row>
    <row r="455" spans="1:14" x14ac:dyDescent="0.35">
      <c r="A455" s="72">
        <v>733</v>
      </c>
      <c r="B455" s="72">
        <v>5</v>
      </c>
      <c r="D455" s="72" t="s">
        <v>808</v>
      </c>
      <c r="F455" s="126">
        <f>VLOOKUP(A455,'IUSD Klassiek 2017'!B$11:E$398,4,FALSE)*1000</f>
        <v>7.9248323853100641E-2</v>
      </c>
      <c r="G455" s="126">
        <f>VLOOKUP(A455,'IUSD klassiek 2018'!B$11:E$390,4,FALSE)*1000</f>
        <v>5.4817436195787175E-2</v>
      </c>
      <c r="H455" s="124">
        <f>VLOOKUP(A455,'Grondslagen AU 2018'!A$1:DA$386,92,FALSE)</f>
        <v>5.3945920173798699E-2</v>
      </c>
      <c r="I455" s="124" t="e">
        <f>VLOOKUP(A455,'Grondslagen AU 2019'!A$1:DA$386,92,FALSE)</f>
        <v>#N/A</v>
      </c>
      <c r="J455" s="124" t="e">
        <f>VLOOKUP(A455,'Grondslagen AU 2020'!A$1:DA$386,77,FALSE)</f>
        <v>#N/A</v>
      </c>
      <c r="K455" s="124" t="e">
        <f>VLOOKUP(A455,'Grondslagen AU 2021'!A$1:DA$386,77,FALSE)</f>
        <v>#N/A</v>
      </c>
      <c r="L455" s="124" t="e">
        <f>VLOOKUP(A455,'Grondslagen AU 2022'!A$1:DA$386,77,FALSE)</f>
        <v>#N/A</v>
      </c>
      <c r="M455" s="72" t="s">
        <v>334</v>
      </c>
      <c r="N455" s="124"/>
    </row>
    <row r="456" spans="1:14" x14ac:dyDescent="0.35">
      <c r="A456" s="72">
        <v>1705</v>
      </c>
      <c r="B456" s="72">
        <v>5</v>
      </c>
      <c r="D456" s="72" t="s">
        <v>185</v>
      </c>
      <c r="F456" s="126">
        <f>VLOOKUP(A456,'IUSD Klassiek 2017'!B$11:E$398,4,FALSE)*1000</f>
        <v>0.52254660973160427</v>
      </c>
      <c r="G456" s="126">
        <f>VLOOKUP(A456,'IUSD klassiek 2018'!B$11:E$390,4,FALSE)*1000</f>
        <v>0.22381427473434148</v>
      </c>
      <c r="H456" s="124">
        <f>VLOOKUP(A456,'Grondslagen AU 2018'!A$1:DA$386,92,FALSE)</f>
        <v>0.34479124198307898</v>
      </c>
      <c r="I456" s="124">
        <f>VLOOKUP(A456,'Grondslagen AU 2019'!A$1:DA$386,92,FALSE)</f>
        <v>0.57399999999999995</v>
      </c>
      <c r="J456" s="124">
        <f>VLOOKUP(A456,'Grondslagen AU 2020'!A$1:DA$386,77,FALSE)</f>
        <v>0.70399999999999996</v>
      </c>
      <c r="K456" s="124">
        <f>VLOOKUP(A456,'Grondslagen AU 2021'!A$1:DA$386,77,FALSE)</f>
        <v>0.67900000000000005</v>
      </c>
      <c r="L456" s="124">
        <f>VLOOKUP(A456,'Grondslagen AU 2022'!A$1:DA$386,77,FALSE)</f>
        <v>0.66600000000000004</v>
      </c>
      <c r="M456" s="72"/>
      <c r="N456" s="124"/>
    </row>
    <row r="457" spans="1:14" x14ac:dyDescent="0.35">
      <c r="A457" s="72">
        <v>262</v>
      </c>
      <c r="B457" s="72">
        <v>5</v>
      </c>
      <c r="D457" s="72" t="s">
        <v>187</v>
      </c>
      <c r="F457" s="126">
        <f>VLOOKUP(A457,'IUSD Klassiek 2017'!B$11:E$398,4,FALSE)*1000</f>
        <v>0.65626696396556172</v>
      </c>
      <c r="G457" s="126">
        <f>VLOOKUP(A457,'IUSD klassiek 2018'!B$11:E$390,4,FALSE)*1000</f>
        <v>0.73998619560400247</v>
      </c>
      <c r="H457" s="124">
        <f>VLOOKUP(A457,'Grondslagen AU 2018'!A$1:DA$386,92,FALSE)</f>
        <v>0.79199466509648297</v>
      </c>
      <c r="I457" s="124">
        <f>VLOOKUP(A457,'Grondslagen AU 2019'!A$1:DA$386,92,FALSE)</f>
        <v>0.85</v>
      </c>
      <c r="J457" s="124">
        <f>VLOOKUP(A457,'Grondslagen AU 2020'!A$1:DA$386,77,FALSE)</f>
        <v>0.82599999999999996</v>
      </c>
      <c r="K457" s="124">
        <f>VLOOKUP(A457,'Grondslagen AU 2021'!A$1:DA$386,77,FALSE)</f>
        <v>0.73099999999999998</v>
      </c>
      <c r="L457" s="124">
        <f>VLOOKUP(A457,'Grondslagen AU 2022'!A$1:DA$386,77,FALSE)</f>
        <v>0.77400000000000002</v>
      </c>
      <c r="M457" s="72"/>
      <c r="N457" s="124"/>
    </row>
    <row r="458" spans="1:14" x14ac:dyDescent="0.35">
      <c r="A458" s="72">
        <v>263</v>
      </c>
      <c r="B458" s="72">
        <v>5</v>
      </c>
      <c r="D458" s="72" t="s">
        <v>192</v>
      </c>
      <c r="F458" s="126">
        <f>VLOOKUP(A458,'IUSD Klassiek 2017'!B$11:E$398,4,FALSE)*1000</f>
        <v>0.17592794848830656</v>
      </c>
      <c r="G458" s="126">
        <f>VLOOKUP(A458,'IUSD klassiek 2018'!B$11:E$390,4,FALSE)*1000</f>
        <v>0.12029233067778962</v>
      </c>
      <c r="H458" s="124">
        <f>VLOOKUP(A458,'Grondslagen AU 2018'!A$1:DA$386,92,FALSE)</f>
        <v>0.119220257015762</v>
      </c>
      <c r="I458" s="124">
        <f>VLOOKUP(A458,'Grondslagen AU 2019'!A$1:DA$386,92,FALSE)</f>
        <v>0.127</v>
      </c>
      <c r="J458" s="124">
        <f>VLOOKUP(A458,'Grondslagen AU 2020'!A$1:DA$386,77,FALSE)</f>
        <v>0.13200000000000001</v>
      </c>
      <c r="K458" s="124">
        <f>VLOOKUP(A458,'Grondslagen AU 2021'!A$1:DA$386,77,FALSE)</f>
        <v>0.13100000000000001</v>
      </c>
      <c r="L458" s="124">
        <f>VLOOKUP(A458,'Grondslagen AU 2022'!A$1:DA$386,77,FALSE)</f>
        <v>0.13200000000000001</v>
      </c>
      <c r="M458" s="72"/>
      <c r="N458" s="124"/>
    </row>
    <row r="459" spans="1:14" x14ac:dyDescent="0.35">
      <c r="A459" s="72">
        <v>1955</v>
      </c>
      <c r="B459" s="72">
        <v>5</v>
      </c>
      <c r="D459" s="72" t="s">
        <v>207</v>
      </c>
      <c r="F459" s="126">
        <f>VLOOKUP(A459,'IUSD Klassiek 2017'!B$11:E$398,4,FALSE)*1000</f>
        <v>1.2645374131989477</v>
      </c>
      <c r="G459" s="126">
        <f>VLOOKUP(A459,'IUSD klassiek 2018'!B$11:E$390,4,FALSE)*1000</f>
        <v>1.0621154528748746</v>
      </c>
      <c r="H459" s="124">
        <f>VLOOKUP(A459,'Grondslagen AU 2018'!A$1:DA$386,92,FALSE)</f>
        <v>0.67931958980367302</v>
      </c>
      <c r="I459" s="124">
        <f>VLOOKUP(A459,'Grondslagen AU 2019'!A$1:DA$386,92,FALSE)</f>
        <v>0.46600000000000003</v>
      </c>
      <c r="J459" s="124">
        <f>VLOOKUP(A459,'Grondslagen AU 2020'!A$1:DA$386,77,FALSE)</f>
        <v>0.48499999999999999</v>
      </c>
      <c r="K459" s="124">
        <f>VLOOKUP(A459,'Grondslagen AU 2021'!A$1:DA$386,77,FALSE)</f>
        <v>0.46700000000000003</v>
      </c>
      <c r="L459" s="124">
        <f>VLOOKUP(A459,'Grondslagen AU 2022'!A$1:DA$386,77,FALSE)</f>
        <v>0.53700000000000003</v>
      </c>
      <c r="M459" s="72"/>
      <c r="N459" s="124"/>
    </row>
    <row r="460" spans="1:14" x14ac:dyDescent="0.35">
      <c r="A460" s="72">
        <v>1740</v>
      </c>
      <c r="B460" s="72">
        <v>5</v>
      </c>
      <c r="D460" s="72" t="s">
        <v>210</v>
      </c>
      <c r="F460" s="126">
        <f>VLOOKUP(A460,'IUSD Klassiek 2017'!B$11:E$398,4,FALSE)*1000</f>
        <v>0.35306242823074002</v>
      </c>
      <c r="G460" s="126">
        <f>VLOOKUP(A460,'IUSD klassiek 2018'!B$11:E$390,4,FALSE)*1000</f>
        <v>0.35233644547271215</v>
      </c>
      <c r="H460" s="124">
        <f>VLOOKUP(A460,'Grondslagen AU 2018'!A$1:DA$386,92,FALSE)</f>
        <v>0.32675972997313202</v>
      </c>
      <c r="I460" s="124">
        <f>VLOOKUP(A460,'Grondslagen AU 2019'!A$1:DA$386,92,FALSE)</f>
        <v>0.35199999999999998</v>
      </c>
      <c r="J460" s="124">
        <f>VLOOKUP(A460,'Grondslagen AU 2020'!A$1:DA$386,77,FALSE)</f>
        <v>0.372</v>
      </c>
      <c r="K460" s="124">
        <f>VLOOKUP(A460,'Grondslagen AU 2021'!A$1:DA$386,77,FALSE)</f>
        <v>0.29799999999999999</v>
      </c>
      <c r="L460" s="124">
        <f>VLOOKUP(A460,'Grondslagen AU 2022'!A$1:DA$386,77,FALSE)</f>
        <v>0.20599999999999999</v>
      </c>
      <c r="M460" s="72"/>
      <c r="N460" s="124"/>
    </row>
    <row r="461" spans="1:14" x14ac:dyDescent="0.35">
      <c r="A461" s="72">
        <v>304</v>
      </c>
      <c r="B461" s="72">
        <v>5</v>
      </c>
      <c r="D461" s="72" t="s">
        <v>809</v>
      </c>
      <c r="F461" s="126">
        <f>VLOOKUP(A461,'IUSD Klassiek 2017'!B$11:E$398,4,FALSE)*1000</f>
        <v>8.4010812069624852E-2</v>
      </c>
      <c r="G461" s="126">
        <f>VLOOKUP(A461,'IUSD klassiek 2018'!B$11:E$390,4,FALSE)*1000</f>
        <v>8.6421308642122718E-2</v>
      </c>
      <c r="H461" s="124">
        <f>VLOOKUP(A461,'Grondslagen AU 2018'!A$1:DA$386,92,FALSE)</f>
        <v>5.9645026945750898E-2</v>
      </c>
      <c r="I461" s="124" t="e">
        <f>VLOOKUP(A461,'Grondslagen AU 2019'!A$1:DA$386,92,FALSE)</f>
        <v>#N/A</v>
      </c>
      <c r="J461" s="124" t="e">
        <f>VLOOKUP(A461,'Grondslagen AU 2020'!A$1:DA$386,77,FALSE)</f>
        <v>#N/A</v>
      </c>
      <c r="K461" s="124" t="e">
        <f>VLOOKUP(A461,'Grondslagen AU 2021'!A$1:DA$386,77,FALSE)</f>
        <v>#N/A</v>
      </c>
      <c r="L461" s="124" t="e">
        <f>VLOOKUP(A461,'Grondslagen AU 2022'!A$1:DA$386,77,FALSE)</f>
        <v>#N/A</v>
      </c>
      <c r="M461" s="72" t="s">
        <v>334</v>
      </c>
      <c r="N461" s="124"/>
    </row>
    <row r="462" spans="1:14" x14ac:dyDescent="0.35">
      <c r="A462" s="72">
        <v>267</v>
      </c>
      <c r="B462" s="72">
        <v>5</v>
      </c>
      <c r="D462" s="72" t="s">
        <v>214</v>
      </c>
      <c r="F462" s="126">
        <f>VLOOKUP(A462,'IUSD Klassiek 2017'!B$11:E$398,4,FALSE)*1000</f>
        <v>0.26531811354992868</v>
      </c>
      <c r="G462" s="126">
        <f>VLOOKUP(A462,'IUSD klassiek 2018'!B$11:E$390,4,FALSE)*1000</f>
        <v>0.19830676150660231</v>
      </c>
      <c r="H462" s="124">
        <f>VLOOKUP(A462,'Grondslagen AU 2018'!A$1:DA$386,92,FALSE)</f>
        <v>0.19850406913735499</v>
      </c>
      <c r="I462" s="124">
        <f>VLOOKUP(A462,'Grondslagen AU 2019'!A$1:DA$386,92,FALSE)</f>
        <v>0.31</v>
      </c>
      <c r="J462" s="124">
        <f>VLOOKUP(A462,'Grondslagen AU 2020'!A$1:DA$386,77,FALSE)</f>
        <v>0.41899999999999998</v>
      </c>
      <c r="K462" s="124">
        <f>VLOOKUP(A462,'Grondslagen AU 2021'!A$1:DA$386,77,FALSE)</f>
        <v>0.46899999999999997</v>
      </c>
      <c r="L462" s="124">
        <f>VLOOKUP(A462,'Grondslagen AU 2022'!A$1:DA$386,77,FALSE)</f>
        <v>0.36899999999999999</v>
      </c>
      <c r="M462" s="72"/>
      <c r="N462" s="124"/>
    </row>
    <row r="463" spans="1:14" x14ac:dyDescent="0.35">
      <c r="A463" s="72">
        <v>268</v>
      </c>
      <c r="B463" s="72">
        <v>5</v>
      </c>
      <c r="D463" s="72" t="s">
        <v>215</v>
      </c>
      <c r="F463" s="126">
        <f>VLOOKUP(A463,'IUSD Klassiek 2017'!B$11:E$398,4,FALSE)*1000</f>
        <v>19.137242224815239</v>
      </c>
      <c r="G463" s="126">
        <f>VLOOKUP(A463,'IUSD klassiek 2018'!B$11:E$390,4,FALSE)*1000</f>
        <v>19.883414176799761</v>
      </c>
      <c r="H463" s="124">
        <f>VLOOKUP(A463,'Grondslagen AU 2018'!A$1:DA$386,92,FALSE)</f>
        <v>20.724584328321999</v>
      </c>
      <c r="I463" s="124">
        <f>VLOOKUP(A463,'Grondslagen AU 2019'!A$1:DA$386,92,FALSE)</f>
        <v>20.443999999999999</v>
      </c>
      <c r="J463" s="124">
        <f>VLOOKUP(A463,'Grondslagen AU 2020'!A$1:DA$386,77,FALSE)</f>
        <v>20.817</v>
      </c>
      <c r="K463" s="124">
        <f>VLOOKUP(A463,'Grondslagen AU 2021'!A$1:DA$386,77,FALSE)</f>
        <v>20.658000000000001</v>
      </c>
      <c r="L463" s="124">
        <f>VLOOKUP(A463,'Grondslagen AU 2022'!A$1:DA$386,77,FALSE)</f>
        <v>19.882999999999999</v>
      </c>
      <c r="M463" s="72"/>
      <c r="N463" s="124"/>
    </row>
    <row r="464" spans="1:14" x14ac:dyDescent="0.35">
      <c r="A464" s="72">
        <v>302</v>
      </c>
      <c r="B464" s="72">
        <v>5</v>
      </c>
      <c r="D464" s="72" t="s">
        <v>223</v>
      </c>
      <c r="F464" s="126">
        <f>VLOOKUP(A464,'IUSD Klassiek 2017'!B$11:E$398,4,FALSE)*1000</f>
        <v>0.33737961480923645</v>
      </c>
      <c r="G464" s="126">
        <f>VLOOKUP(A464,'IUSD klassiek 2018'!B$11:E$390,4,FALSE)*1000</f>
        <v>0.27781755155306259</v>
      </c>
      <c r="H464" s="124">
        <f>VLOOKUP(A464,'Grondslagen AU 2018'!A$1:DA$386,92,FALSE)</f>
        <v>0.233071058021984</v>
      </c>
      <c r="I464" s="124">
        <f>VLOOKUP(A464,'Grondslagen AU 2019'!A$1:DA$386,92,FALSE)</f>
        <v>0.24299999999999999</v>
      </c>
      <c r="J464" s="124">
        <f>VLOOKUP(A464,'Grondslagen AU 2020'!A$1:DA$386,77,FALSE)</f>
        <v>0.31900000000000001</v>
      </c>
      <c r="K464" s="124">
        <f>VLOOKUP(A464,'Grondslagen AU 2021'!A$1:DA$386,77,FALSE)</f>
        <v>0.39400000000000002</v>
      </c>
      <c r="L464" s="124">
        <f>VLOOKUP(A464,'Grondslagen AU 2022'!A$1:DA$386,77,FALSE)</f>
        <v>0.47899999999999998</v>
      </c>
      <c r="M464" s="72"/>
      <c r="N464" s="124"/>
    </row>
    <row r="465" spans="1:14" x14ac:dyDescent="0.35">
      <c r="A465" s="72">
        <v>269</v>
      </c>
      <c r="B465" s="72">
        <v>5</v>
      </c>
      <c r="D465" s="72" t="s">
        <v>228</v>
      </c>
      <c r="F465" s="126">
        <f>VLOOKUP(A465,'IUSD Klassiek 2017'!B$11:E$398,4,FALSE)*1000</f>
        <v>0.26780370703852113</v>
      </c>
      <c r="G465" s="126">
        <f>VLOOKUP(A465,'IUSD klassiek 2018'!B$11:E$390,4,FALSE)*1000</f>
        <v>0.2455532115735036</v>
      </c>
      <c r="H465" s="124">
        <f>VLOOKUP(A465,'Grondslagen AU 2018'!A$1:DA$386,92,FALSE)</f>
        <v>0.41222607764889302</v>
      </c>
      <c r="I465" s="124">
        <f>VLOOKUP(A465,'Grondslagen AU 2019'!A$1:DA$386,92,FALSE)</f>
        <v>0.504</v>
      </c>
      <c r="J465" s="124">
        <f>VLOOKUP(A465,'Grondslagen AU 2020'!A$1:DA$386,77,FALSE)</f>
        <v>0.46200000000000002</v>
      </c>
      <c r="K465" s="124">
        <f>VLOOKUP(A465,'Grondslagen AU 2021'!A$1:DA$386,77,FALSE)</f>
        <v>0.41599999999999998</v>
      </c>
      <c r="L465" s="124">
        <f>VLOOKUP(A465,'Grondslagen AU 2022'!A$1:DA$386,77,FALSE)</f>
        <v>0.42199999999999999</v>
      </c>
      <c r="M465" s="72"/>
      <c r="N465" s="124"/>
    </row>
    <row r="466" spans="1:14" x14ac:dyDescent="0.35">
      <c r="A466" s="72">
        <v>1586</v>
      </c>
      <c r="B466" s="72">
        <v>5</v>
      </c>
      <c r="D466" s="72" t="s">
        <v>232</v>
      </c>
      <c r="F466" s="126">
        <f>VLOOKUP(A466,'IUSD Klassiek 2017'!B$11:E$398,4,FALSE)*1000</f>
        <v>0.40486277626316236</v>
      </c>
      <c r="G466" s="126">
        <f>VLOOKUP(A466,'IUSD klassiek 2018'!B$11:E$390,4,FALSE)*1000</f>
        <v>0.32102063625682237</v>
      </c>
      <c r="H466" s="124">
        <f>VLOOKUP(A466,'Grondslagen AU 2018'!A$1:DA$386,92,FALSE)</f>
        <v>0.37582705259379101</v>
      </c>
      <c r="I466" s="124">
        <f>VLOOKUP(A466,'Grondslagen AU 2019'!A$1:DA$386,92,FALSE)</f>
        <v>0.34399999999999997</v>
      </c>
      <c r="J466" s="124">
        <f>VLOOKUP(A466,'Grondslagen AU 2020'!A$1:DA$386,77,FALSE)</f>
        <v>0.38300000000000001</v>
      </c>
      <c r="K466" s="124">
        <f>VLOOKUP(A466,'Grondslagen AU 2021'!A$1:DA$386,77,FALSE)</f>
        <v>0.33100000000000002</v>
      </c>
      <c r="L466" s="124">
        <f>VLOOKUP(A466,'Grondslagen AU 2022'!A$1:DA$386,77,FALSE)</f>
        <v>0.38400000000000001</v>
      </c>
      <c r="M466" s="72"/>
      <c r="N466" s="124"/>
    </row>
    <row r="467" spans="1:14" x14ac:dyDescent="0.35">
      <c r="A467" s="72">
        <v>1509</v>
      </c>
      <c r="B467" s="72">
        <v>5</v>
      </c>
      <c r="D467" s="72" t="s">
        <v>239</v>
      </c>
      <c r="F467" s="126">
        <f>VLOOKUP(A467,'IUSD Klassiek 2017'!B$11:E$398,4,FALSE)*1000</f>
        <v>1.3350162774408989</v>
      </c>
      <c r="G467" s="126">
        <f>VLOOKUP(A467,'IUSD klassiek 2018'!B$11:E$390,4,FALSE)*1000</f>
        <v>1.4081201686341305</v>
      </c>
      <c r="H467" s="124">
        <f>VLOOKUP(A467,'Grondslagen AU 2018'!A$1:DA$386,92,FALSE)</f>
        <v>1.4183885491858701</v>
      </c>
      <c r="I467" s="124">
        <f>VLOOKUP(A467,'Grondslagen AU 2019'!A$1:DA$386,92,FALSE)</f>
        <v>1.4279999999999999</v>
      </c>
      <c r="J467" s="124">
        <f>VLOOKUP(A467,'Grondslagen AU 2020'!A$1:DA$386,77,FALSE)</f>
        <v>1.3819999999999999</v>
      </c>
      <c r="K467" s="124">
        <f>VLOOKUP(A467,'Grondslagen AU 2021'!A$1:DA$386,77,FALSE)</f>
        <v>1.2629999999999999</v>
      </c>
      <c r="L467" s="124">
        <f>VLOOKUP(A467,'Grondslagen AU 2022'!A$1:DA$386,77,FALSE)</f>
        <v>1.391</v>
      </c>
      <c r="M467" s="72"/>
      <c r="N467" s="124"/>
    </row>
    <row r="468" spans="1:14" x14ac:dyDescent="0.35">
      <c r="A468" s="72">
        <v>1734</v>
      </c>
      <c r="B468" s="72">
        <v>5</v>
      </c>
      <c r="D468" s="72" t="s">
        <v>242</v>
      </c>
      <c r="F468" s="126">
        <f>VLOOKUP(A468,'IUSD Klassiek 2017'!B$11:E$398,4,FALSE)*1000</f>
        <v>0.7507040006116501</v>
      </c>
      <c r="G468" s="126">
        <f>VLOOKUP(A468,'IUSD klassiek 2018'!B$11:E$390,4,FALSE)*1000</f>
        <v>0.51954194209951965</v>
      </c>
      <c r="H468" s="124">
        <f>VLOOKUP(A468,'Grondslagen AU 2018'!A$1:DA$386,92,FALSE)</f>
        <v>0.51602846570949501</v>
      </c>
      <c r="I468" s="124">
        <f>VLOOKUP(A468,'Grondslagen AU 2019'!A$1:DA$386,92,FALSE)</f>
        <v>0.76600000000000001</v>
      </c>
      <c r="J468" s="124">
        <f>VLOOKUP(A468,'Grondslagen AU 2020'!A$1:DA$386,77,FALSE)</f>
        <v>0.91400000000000003</v>
      </c>
      <c r="K468" s="124">
        <f>VLOOKUP(A468,'Grondslagen AU 2021'!A$1:DA$386,77,FALSE)</f>
        <v>0.81899999999999995</v>
      </c>
      <c r="L468" s="124">
        <f>VLOOKUP(A468,'Grondslagen AU 2022'!A$1:DA$386,77,FALSE)</f>
        <v>0.85899999999999999</v>
      </c>
      <c r="M468" s="72"/>
      <c r="N468" s="124"/>
    </row>
    <row r="469" spans="1:14" x14ac:dyDescent="0.35">
      <c r="A469" s="72">
        <v>273</v>
      </c>
      <c r="B469" s="72">
        <v>5</v>
      </c>
      <c r="D469" s="72" t="s">
        <v>248</v>
      </c>
      <c r="F469" s="126">
        <f>VLOOKUP(A469,'IUSD Klassiek 2017'!B$11:E$398,4,FALSE)*1000</f>
        <v>0.18361059472915903</v>
      </c>
      <c r="G469" s="126">
        <f>VLOOKUP(A469,'IUSD klassiek 2018'!B$11:E$390,4,FALSE)*1000</f>
        <v>0.11793590774013382</v>
      </c>
      <c r="H469" s="124">
        <f>VLOOKUP(A469,'Grondslagen AU 2018'!A$1:DA$386,92,FALSE)</f>
        <v>0.115595163681949</v>
      </c>
      <c r="I469" s="124">
        <f>VLOOKUP(A469,'Grondslagen AU 2019'!A$1:DA$386,92,FALSE)</f>
        <v>0.11899999999999999</v>
      </c>
      <c r="J469" s="124">
        <f>VLOOKUP(A469,'Grondslagen AU 2020'!A$1:DA$386,77,FALSE)</f>
        <v>0.12</v>
      </c>
      <c r="K469" s="124">
        <f>VLOOKUP(A469,'Grondslagen AU 2021'!A$1:DA$386,77,FALSE)</f>
        <v>0.11700000000000001</v>
      </c>
      <c r="L469" s="124">
        <f>VLOOKUP(A469,'Grondslagen AU 2022'!A$1:DA$386,77,FALSE)</f>
        <v>0.12</v>
      </c>
      <c r="M469" s="72"/>
      <c r="N469" s="124"/>
    </row>
    <row r="470" spans="1:14" x14ac:dyDescent="0.35">
      <c r="A470" s="72">
        <v>274</v>
      </c>
      <c r="B470" s="72">
        <v>5</v>
      </c>
      <c r="D470" s="72" t="s">
        <v>251</v>
      </c>
      <c r="F470" s="126">
        <f>VLOOKUP(A470,'IUSD Klassiek 2017'!B$11:E$398,4,FALSE)*1000</f>
        <v>1.3790186176937083</v>
      </c>
      <c r="G470" s="126">
        <f>VLOOKUP(A470,'IUSD klassiek 2018'!B$11:E$390,4,FALSE)*1000</f>
        <v>1.538927864645893</v>
      </c>
      <c r="H470" s="124">
        <f>VLOOKUP(A470,'Grondslagen AU 2018'!A$1:DA$386,92,FALSE)</f>
        <v>1.45853722542584</v>
      </c>
      <c r="I470" s="124">
        <f>VLOOKUP(A470,'Grondslagen AU 2019'!A$1:DA$386,92,FALSE)</f>
        <v>1.5820000000000001</v>
      </c>
      <c r="J470" s="124">
        <f>VLOOKUP(A470,'Grondslagen AU 2020'!A$1:DA$386,77,FALSE)</f>
        <v>1.4970000000000001</v>
      </c>
      <c r="K470" s="124">
        <f>VLOOKUP(A470,'Grondslagen AU 2021'!A$1:DA$386,77,FALSE)</f>
        <v>1.4750000000000001</v>
      </c>
      <c r="L470" s="124">
        <f>VLOOKUP(A470,'Grondslagen AU 2022'!A$1:DA$386,77,FALSE)</f>
        <v>1.3540000000000001</v>
      </c>
      <c r="M470" s="72"/>
      <c r="N470" s="124"/>
    </row>
    <row r="471" spans="1:14" x14ac:dyDescent="0.35">
      <c r="A471" s="72">
        <v>275</v>
      </c>
      <c r="B471" s="72">
        <v>5</v>
      </c>
      <c r="D471" s="72" t="s">
        <v>254</v>
      </c>
      <c r="F471" s="126">
        <f>VLOOKUP(A471,'IUSD Klassiek 2017'!B$11:E$398,4,FALSE)*1000</f>
        <v>2.3535344934396654</v>
      </c>
      <c r="G471" s="126">
        <f>VLOOKUP(A471,'IUSD klassiek 2018'!B$11:E$390,4,FALSE)*1000</f>
        <v>2.2545428665564087</v>
      </c>
      <c r="H471" s="124">
        <f>VLOOKUP(A471,'Grondslagen AU 2018'!A$1:DA$386,92,FALSE)</f>
        <v>2.4169039243468902</v>
      </c>
      <c r="I471" s="124">
        <f>VLOOKUP(A471,'Grondslagen AU 2019'!A$1:DA$386,92,FALSE)</f>
        <v>2.4350000000000001</v>
      </c>
      <c r="J471" s="124">
        <f>VLOOKUP(A471,'Grondslagen AU 2020'!A$1:DA$386,77,FALSE)</f>
        <v>2.4820000000000002</v>
      </c>
      <c r="K471" s="124">
        <f>VLOOKUP(A471,'Grondslagen AU 2021'!A$1:DA$386,77,FALSE)</f>
        <v>2.4900000000000002</v>
      </c>
      <c r="L471" s="124">
        <f>VLOOKUP(A471,'Grondslagen AU 2022'!A$1:DA$386,77,FALSE)</f>
        <v>2.4089999999999998</v>
      </c>
      <c r="M471" s="72"/>
      <c r="N471" s="124"/>
    </row>
    <row r="472" spans="1:14" x14ac:dyDescent="0.35">
      <c r="A472" s="72">
        <v>277</v>
      </c>
      <c r="B472" s="72">
        <v>5</v>
      </c>
      <c r="D472" s="72" t="s">
        <v>263</v>
      </c>
      <c r="F472" s="126">
        <f>VLOOKUP(A472,'IUSD Klassiek 2017'!B$11:E$398,4,FALSE)*1000</f>
        <v>7.8580302322624248E-3</v>
      </c>
      <c r="G472" s="126">
        <f>VLOOKUP(A472,'IUSD klassiek 2018'!B$11:E$390,4,FALSE)*1000</f>
        <v>6.3501007735524599E-3</v>
      </c>
      <c r="H472" s="124">
        <f>VLOOKUP(A472,'Grondslagen AU 2018'!A$1:DA$386,92,FALSE)</f>
        <v>6.3363610563932698E-3</v>
      </c>
      <c r="I472" s="124">
        <f>VLOOKUP(A472,'Grondslagen AU 2019'!A$1:DA$386,92,FALSE)</f>
        <v>7.0000000000000001E-3</v>
      </c>
      <c r="J472" s="124">
        <f>VLOOKUP(A472,'Grondslagen AU 2020'!A$1:DA$386,77,FALSE)</f>
        <v>8.0000000000000002E-3</v>
      </c>
      <c r="K472" s="124">
        <f>VLOOKUP(A472,'Grondslagen AU 2021'!A$1:DA$386,77,FALSE)</f>
        <v>8.0000000000000002E-3</v>
      </c>
      <c r="L472" s="124">
        <f>VLOOKUP(A472,'Grondslagen AU 2022'!A$1:DA$386,77,FALSE)</f>
        <v>8.0000000000000002E-3</v>
      </c>
      <c r="M472" s="72"/>
      <c r="N472" s="124"/>
    </row>
    <row r="473" spans="1:14" x14ac:dyDescent="0.35">
      <c r="A473" s="72">
        <v>279</v>
      </c>
      <c r="B473" s="72">
        <v>5</v>
      </c>
      <c r="D473" s="72" t="s">
        <v>266</v>
      </c>
      <c r="F473" s="126">
        <f>VLOOKUP(A473,'IUSD Klassiek 2017'!B$11:E$398,4,FALSE)*1000</f>
        <v>4.8650348393780608E-2</v>
      </c>
      <c r="G473" s="126">
        <f>VLOOKUP(A473,'IUSD klassiek 2018'!B$11:E$390,4,FALSE)*1000</f>
        <v>4.5177524178105048E-2</v>
      </c>
      <c r="H473" s="124">
        <f>VLOOKUP(A473,'Grondslagen AU 2018'!A$1:DA$386,92,FALSE)</f>
        <v>4.53665326171089E-2</v>
      </c>
      <c r="I473" s="124">
        <f>VLOOKUP(A473,'Grondslagen AU 2019'!A$1:DA$386,92,FALSE)</f>
        <v>4.8000000000000001E-2</v>
      </c>
      <c r="J473" s="124">
        <f>VLOOKUP(A473,'Grondslagen AU 2020'!A$1:DA$386,77,FALSE)</f>
        <v>4.9000000000000002E-2</v>
      </c>
      <c r="K473" s="124">
        <f>VLOOKUP(A473,'Grondslagen AU 2021'!A$1:DA$386,77,FALSE)</f>
        <v>4.9000000000000002E-2</v>
      </c>
      <c r="L473" s="124">
        <f>VLOOKUP(A473,'Grondslagen AU 2022'!A$1:DA$386,77,FALSE)</f>
        <v>0.05</v>
      </c>
      <c r="M473" s="72"/>
      <c r="N473" s="124"/>
    </row>
    <row r="474" spans="1:14" x14ac:dyDescent="0.35">
      <c r="A474" s="72">
        <v>281</v>
      </c>
      <c r="B474" s="72">
        <v>5</v>
      </c>
      <c r="D474" s="72" t="s">
        <v>295</v>
      </c>
      <c r="F474" s="126">
        <f>VLOOKUP(A474,'IUSD Klassiek 2017'!B$11:E$398,4,FALSE)*1000</f>
        <v>3.4449077903490068</v>
      </c>
      <c r="G474" s="126">
        <f>VLOOKUP(A474,'IUSD klassiek 2018'!B$11:E$390,4,FALSE)*1000</f>
        <v>3.6637941102501839</v>
      </c>
      <c r="H474" s="124">
        <f>VLOOKUP(A474,'Grondslagen AU 2018'!A$1:DA$386,92,FALSE)</f>
        <v>3.5357176753629398</v>
      </c>
      <c r="I474" s="124">
        <f>VLOOKUP(A474,'Grondslagen AU 2019'!A$1:DA$386,92,FALSE)</f>
        <v>3.081</v>
      </c>
      <c r="J474" s="124">
        <f>VLOOKUP(A474,'Grondslagen AU 2020'!A$1:DA$386,77,FALSE)</f>
        <v>3.1040000000000001</v>
      </c>
      <c r="K474" s="124">
        <f>VLOOKUP(A474,'Grondslagen AU 2021'!A$1:DA$386,77,FALSE)</f>
        <v>2.9329999999999998</v>
      </c>
      <c r="L474" s="124">
        <f>VLOOKUP(A474,'Grondslagen AU 2022'!A$1:DA$386,77,FALSE)</f>
        <v>2.8039999999999998</v>
      </c>
      <c r="M474" s="72"/>
      <c r="N474" s="124"/>
    </row>
    <row r="475" spans="1:14" x14ac:dyDescent="0.35">
      <c r="A475" s="72">
        <v>285</v>
      </c>
      <c r="B475" s="72">
        <v>5</v>
      </c>
      <c r="D475" s="72" t="s">
        <v>323</v>
      </c>
      <c r="F475" s="126">
        <f>VLOOKUP(A475,'IUSD Klassiek 2017'!B$11:E$398,4,FALSE)*1000</f>
        <v>0.3513474799304378</v>
      </c>
      <c r="G475" s="126">
        <f>VLOOKUP(A475,'IUSD klassiek 2018'!B$11:E$390,4,FALSE)*1000</f>
        <v>0.25561007960184823</v>
      </c>
      <c r="H475" s="124">
        <f>VLOOKUP(A475,'Grondslagen AU 2018'!A$1:DA$386,92,FALSE)</f>
        <v>0.27628272422244499</v>
      </c>
      <c r="I475" s="124">
        <f>VLOOKUP(A475,'Grondslagen AU 2019'!A$1:DA$386,92,FALSE)</f>
        <v>0.27500000000000002</v>
      </c>
      <c r="J475" s="124">
        <f>VLOOKUP(A475,'Grondslagen AU 2020'!A$1:DA$386,77,FALSE)</f>
        <v>0.29699999999999999</v>
      </c>
      <c r="K475" s="124">
        <f>VLOOKUP(A475,'Grondslagen AU 2021'!A$1:DA$386,77,FALSE)</f>
        <v>0.35499999999999998</v>
      </c>
      <c r="L475" s="124">
        <f>VLOOKUP(A475,'Grondslagen AU 2022'!A$1:DA$386,77,FALSE)</f>
        <v>0.34200000000000003</v>
      </c>
      <c r="M475" s="72"/>
      <c r="N475" s="124"/>
    </row>
    <row r="476" spans="1:14" x14ac:dyDescent="0.35">
      <c r="A476" s="72">
        <v>289</v>
      </c>
      <c r="B476" s="72">
        <v>5</v>
      </c>
      <c r="D476" s="72" t="s">
        <v>329</v>
      </c>
      <c r="F476" s="126">
        <f>VLOOKUP(A476,'IUSD Klassiek 2017'!B$11:E$398,4,FALSE)*1000</f>
        <v>1.0465585137278051</v>
      </c>
      <c r="G476" s="126">
        <f>VLOOKUP(A476,'IUSD klassiek 2018'!B$11:E$390,4,FALSE)*1000</f>
        <v>0.81141363823044677</v>
      </c>
      <c r="H476" s="124">
        <f>VLOOKUP(A476,'Grondslagen AU 2018'!A$1:DA$386,92,FALSE)</f>
        <v>1.00492595054426</v>
      </c>
      <c r="I476" s="124">
        <f>VLOOKUP(A476,'Grondslagen AU 2019'!A$1:DA$386,92,FALSE)</f>
        <v>1.1619999999999999</v>
      </c>
      <c r="J476" s="124">
        <f>VLOOKUP(A476,'Grondslagen AU 2020'!A$1:DA$386,77,FALSE)</f>
        <v>1.0389999999999999</v>
      </c>
      <c r="K476" s="124">
        <f>VLOOKUP(A476,'Grondslagen AU 2021'!A$1:DA$386,77,FALSE)</f>
        <v>0.96199999999999997</v>
      </c>
      <c r="L476" s="124">
        <f>VLOOKUP(A476,'Grondslagen AU 2022'!A$1:DA$386,77,FALSE)</f>
        <v>0.84399999999999997</v>
      </c>
      <c r="M476" s="72"/>
      <c r="N476" s="124"/>
    </row>
    <row r="477" spans="1:14" x14ac:dyDescent="0.35">
      <c r="A477" s="72">
        <v>668</v>
      </c>
      <c r="B477" s="72">
        <v>5</v>
      </c>
      <c r="D477" s="72" t="s">
        <v>335</v>
      </c>
      <c r="F477" s="126">
        <f>VLOOKUP(A477,'IUSD Klassiek 2017'!B$11:E$398,4,FALSE)*1000</f>
        <v>0.29489242423127188</v>
      </c>
      <c r="G477" s="126">
        <f>VLOOKUP(A477,'IUSD klassiek 2018'!B$11:E$390,4,FALSE)*1000</f>
        <v>0.37876827538064517</v>
      </c>
      <c r="H477" s="124">
        <f>VLOOKUP(A477,'Grondslagen AU 2018'!A$1:DA$386,92,FALSE)</f>
        <v>0.30639019510440801</v>
      </c>
      <c r="I477" s="124">
        <f>VLOOKUP(A477,'Grondslagen AU 2019'!A$1:DA$386,92,FALSE)</f>
        <v>0.23599999999999999</v>
      </c>
      <c r="J477" s="124">
        <f>VLOOKUP(A477,'Grondslagen AU 2020'!A$1:DA$386,77,FALSE)</f>
        <v>0.25700000000000001</v>
      </c>
      <c r="K477" s="124">
        <f>VLOOKUP(A477,'Grondslagen AU 2021'!A$1:DA$386,77,FALSE)</f>
        <v>0.23</v>
      </c>
      <c r="L477" s="124">
        <f>VLOOKUP(A477,'Grondslagen AU 2022'!A$1:DA$386,77,FALSE)</f>
        <v>0.193</v>
      </c>
      <c r="M477" s="72"/>
      <c r="N477" s="124"/>
    </row>
    <row r="478" spans="1:14" x14ac:dyDescent="0.35">
      <c r="A478" s="72">
        <v>293</v>
      </c>
      <c r="B478" s="72">
        <v>5</v>
      </c>
      <c r="D478" s="72" t="s">
        <v>338</v>
      </c>
      <c r="F478" s="126">
        <f>VLOOKUP(A478,'IUSD Klassiek 2017'!B$11:E$398,4,FALSE)*1000</f>
        <v>0.94599785562384242</v>
      </c>
      <c r="G478" s="126">
        <f>VLOOKUP(A478,'IUSD klassiek 2018'!B$11:E$390,4,FALSE)*1000</f>
        <v>1.0685871507924114</v>
      </c>
      <c r="H478" s="124">
        <f>VLOOKUP(A478,'Grondslagen AU 2018'!A$1:DA$386,92,FALSE)</f>
        <v>0.99240565052880303</v>
      </c>
      <c r="I478" s="124">
        <f>VLOOKUP(A478,'Grondslagen AU 2019'!A$1:DA$386,92,FALSE)</f>
        <v>0.91700000000000004</v>
      </c>
      <c r="J478" s="124">
        <f>VLOOKUP(A478,'Grondslagen AU 2020'!A$1:DA$386,77,FALSE)</f>
        <v>0.92100000000000004</v>
      </c>
      <c r="K478" s="124">
        <f>VLOOKUP(A478,'Grondslagen AU 2021'!A$1:DA$386,77,FALSE)</f>
        <v>0.92200000000000004</v>
      </c>
      <c r="L478" s="124">
        <f>VLOOKUP(A478,'Grondslagen AU 2022'!A$1:DA$386,77,FALSE)</f>
        <v>0.873</v>
      </c>
      <c r="M478" s="72"/>
      <c r="N478" s="124"/>
    </row>
    <row r="479" spans="1:14" x14ac:dyDescent="0.35">
      <c r="A479" s="72">
        <v>296</v>
      </c>
      <c r="B479" s="72">
        <v>5</v>
      </c>
      <c r="D479" s="72" t="s">
        <v>344</v>
      </c>
      <c r="F479" s="126">
        <f>VLOOKUP(A479,'IUSD Klassiek 2017'!B$11:E$398,4,FALSE)*1000</f>
        <v>1.2893176642418029</v>
      </c>
      <c r="G479" s="126">
        <f>VLOOKUP(A479,'IUSD klassiek 2018'!B$11:E$390,4,FALSE)*1000</f>
        <v>1.2718021013721958</v>
      </c>
      <c r="H479" s="124">
        <f>VLOOKUP(A479,'Grondslagen AU 2018'!A$1:DA$386,92,FALSE)</f>
        <v>1.29302129419203</v>
      </c>
      <c r="I479" s="124">
        <f>VLOOKUP(A479,'Grondslagen AU 2019'!A$1:DA$386,92,FALSE)</f>
        <v>1.411</v>
      </c>
      <c r="J479" s="124">
        <f>VLOOKUP(A479,'Grondslagen AU 2020'!A$1:DA$386,77,FALSE)</f>
        <v>1.4279999999999999</v>
      </c>
      <c r="K479" s="124">
        <f>VLOOKUP(A479,'Grondslagen AU 2021'!A$1:DA$386,77,FALSE)</f>
        <v>1.3759999999999999</v>
      </c>
      <c r="L479" s="124">
        <f>VLOOKUP(A479,'Grondslagen AU 2022'!A$1:DA$386,77,FALSE)</f>
        <v>1.3939999999999999</v>
      </c>
      <c r="M479" s="72"/>
      <c r="N479" s="124"/>
    </row>
    <row r="480" spans="1:14" x14ac:dyDescent="0.35">
      <c r="A480" s="72">
        <v>294</v>
      </c>
      <c r="B480" s="72">
        <v>5</v>
      </c>
      <c r="D480" s="72" t="s">
        <v>347</v>
      </c>
      <c r="F480" s="126">
        <f>VLOOKUP(A480,'IUSD Klassiek 2017'!B$11:E$398,4,FALSE)*1000</f>
        <v>1.5252144292203167</v>
      </c>
      <c r="G480" s="126">
        <f>VLOOKUP(A480,'IUSD klassiek 2018'!B$11:E$390,4,FALSE)*1000</f>
        <v>1.5476973815761077</v>
      </c>
      <c r="H480" s="124">
        <f>VLOOKUP(A480,'Grondslagen AU 2018'!A$1:DA$386,92,FALSE)</f>
        <v>1.4879798403832201</v>
      </c>
      <c r="I480" s="124">
        <f>VLOOKUP(A480,'Grondslagen AU 2019'!A$1:DA$386,92,FALSE)</f>
        <v>1.4810000000000001</v>
      </c>
      <c r="J480" s="124">
        <f>VLOOKUP(A480,'Grondslagen AU 2020'!A$1:DA$386,77,FALSE)</f>
        <v>1.5289999999999999</v>
      </c>
      <c r="K480" s="124">
        <f>VLOOKUP(A480,'Grondslagen AU 2021'!A$1:DA$386,77,FALSE)</f>
        <v>1.516</v>
      </c>
      <c r="L480" s="124">
        <f>VLOOKUP(A480,'Grondslagen AU 2022'!A$1:DA$386,77,FALSE)</f>
        <v>1.5529999999999999</v>
      </c>
      <c r="M480" s="72"/>
      <c r="N480" s="124"/>
    </row>
    <row r="481" spans="1:14" x14ac:dyDescent="0.35">
      <c r="A481" s="72">
        <v>297</v>
      </c>
      <c r="B481" s="72">
        <v>5</v>
      </c>
      <c r="D481" s="72" t="s">
        <v>353</v>
      </c>
      <c r="F481" s="126">
        <f>VLOOKUP(A481,'IUSD Klassiek 2017'!B$11:E$398,4,FALSE)*1000</f>
        <v>0.31033036626441768</v>
      </c>
      <c r="G481" s="126">
        <f>VLOOKUP(A481,'IUSD klassiek 2018'!B$11:E$390,4,FALSE)*1000</f>
        <v>0.2655919459461254</v>
      </c>
      <c r="H481" s="124">
        <f>VLOOKUP(A481,'Grondslagen AU 2018'!A$1:DA$386,92,FALSE)</f>
        <v>0.32247184763235098</v>
      </c>
      <c r="I481" s="124">
        <f>VLOOKUP(A481,'Grondslagen AU 2019'!A$1:DA$386,92,FALSE)</f>
        <v>0.24</v>
      </c>
      <c r="J481" s="124">
        <f>VLOOKUP(A481,'Grondslagen AU 2020'!A$1:DA$386,77,FALSE)</f>
        <v>0.23699999999999999</v>
      </c>
      <c r="K481" s="124">
        <f>VLOOKUP(A481,'Grondslagen AU 2021'!A$1:DA$386,77,FALSE)</f>
        <v>0.27200000000000002</v>
      </c>
      <c r="L481" s="124">
        <f>VLOOKUP(A481,'Grondslagen AU 2022'!A$1:DA$386,77,FALSE)</f>
        <v>0.22</v>
      </c>
      <c r="M481" s="72"/>
      <c r="N481" s="124"/>
    </row>
    <row r="482" spans="1:14" x14ac:dyDescent="0.35">
      <c r="A482" s="72">
        <v>299</v>
      </c>
      <c r="B482" s="72">
        <v>5</v>
      </c>
      <c r="D482" s="72" t="s">
        <v>357</v>
      </c>
      <c r="F482" s="126">
        <f>(VLOOKUP(A482,'IUSD Klassiek 2017'!B$11:E$398,4,FALSE)+'IUSD Klassiek 2017'!E74)*1000</f>
        <v>1.89042245572054</v>
      </c>
      <c r="G482" s="126">
        <f>VLOOKUP(A482,'IUSD klassiek 2018'!B$11:E$390,4,FALSE)*1000</f>
        <v>1.9730222640643651</v>
      </c>
      <c r="H482" s="124">
        <f>VLOOKUP(A482,'Grondslagen AU 2018'!A$1:DA$386,92,FALSE)</f>
        <v>1.99211732754358</v>
      </c>
      <c r="I482" s="124">
        <f>VLOOKUP(A482,'Grondslagen AU 2019'!A$1:DA$386,92,FALSE)</f>
        <v>1.9530000000000001</v>
      </c>
      <c r="J482" s="124">
        <f>VLOOKUP(A482,'Grondslagen AU 2020'!A$1:DA$386,77,FALSE)</f>
        <v>1.9510000000000001</v>
      </c>
      <c r="K482" s="124">
        <f>VLOOKUP(A482,'Grondslagen AU 2021'!A$1:DA$386,77,FALSE)</f>
        <v>1.855</v>
      </c>
      <c r="L482" s="124">
        <f>VLOOKUP(A482,'Grondslagen AU 2022'!A$1:DA$386,77,FALSE)</f>
        <v>1.7549999999999999</v>
      </c>
      <c r="M482" s="72"/>
      <c r="N482" s="124"/>
    </row>
    <row r="483" spans="1:14" x14ac:dyDescent="0.35">
      <c r="A483" s="72">
        <v>301</v>
      </c>
      <c r="B483" s="72">
        <v>5</v>
      </c>
      <c r="D483" s="72" t="s">
        <v>362</v>
      </c>
      <c r="F483" s="126">
        <f>VLOOKUP(A483,'IUSD Klassiek 2017'!B$11:E$398,4,FALSE)*1000</f>
        <v>3.8349517912399054</v>
      </c>
      <c r="G483" s="126">
        <f>VLOOKUP(A483,'IUSD klassiek 2018'!B$11:E$390,4,FALSE)*1000</f>
        <v>4.2448351637530983</v>
      </c>
      <c r="H483" s="124">
        <f>VLOOKUP(A483,'Grondslagen AU 2018'!A$1:DA$386,92,FALSE)</f>
        <v>4.3749832270564699</v>
      </c>
      <c r="I483" s="124">
        <f>VLOOKUP(A483,'Grondslagen AU 2019'!A$1:DA$386,92,FALSE)</f>
        <v>4.4169999999999998</v>
      </c>
      <c r="J483" s="124">
        <f>VLOOKUP(A483,'Grondslagen AU 2020'!A$1:DA$386,77,FALSE)</f>
        <v>4.3</v>
      </c>
      <c r="K483" s="124">
        <f>VLOOKUP(A483,'Grondslagen AU 2021'!A$1:DA$386,77,FALSE)</f>
        <v>4.0650000000000004</v>
      </c>
      <c r="L483" s="124">
        <f>VLOOKUP(A483,'Grondslagen AU 2022'!A$1:DA$386,77,FALSE)</f>
        <v>4.0149999999999997</v>
      </c>
      <c r="M483" s="72"/>
      <c r="N483" s="124"/>
    </row>
    <row r="484" spans="1:14" x14ac:dyDescent="0.35">
      <c r="A484" s="72">
        <v>307</v>
      </c>
      <c r="B484" s="72">
        <v>6</v>
      </c>
      <c r="D484" s="72" t="s">
        <v>24</v>
      </c>
      <c r="F484" s="126">
        <f>VLOOKUP(A484,'IUSD Klassiek 2017'!B$11:E$398,4,FALSE)*1000</f>
        <v>6.4557332512258716</v>
      </c>
      <c r="G484" s="126">
        <f>VLOOKUP(A484,'IUSD klassiek 2018'!B$11:E$390,4,FALSE)*1000</f>
        <v>6.3837413556918827</v>
      </c>
      <c r="H484" s="124">
        <f>VLOOKUP(A484,'Grondslagen AU 2018'!A$1:DA$386,92,FALSE)</f>
        <v>6.3197853826254997</v>
      </c>
      <c r="I484" s="124">
        <f>VLOOKUP(A484,'Grondslagen AU 2019'!A$1:DA$386,92,FALSE)</f>
        <v>6.9530000000000003</v>
      </c>
      <c r="J484" s="124">
        <f>VLOOKUP(A484,'Grondslagen AU 2020'!A$1:DA$386,77,FALSE)</f>
        <v>7.0090000000000003</v>
      </c>
      <c r="K484" s="124">
        <f>VLOOKUP(A484,'Grondslagen AU 2021'!A$1:DA$386,77,FALSE)</f>
        <v>7.2060000000000004</v>
      </c>
      <c r="L484" s="124">
        <f>VLOOKUP(A484,'Grondslagen AU 2022'!A$1:DA$386,77,FALSE)</f>
        <v>7.2119999999999997</v>
      </c>
      <c r="M484" s="72"/>
      <c r="N484" s="124"/>
    </row>
    <row r="485" spans="1:14" x14ac:dyDescent="0.35">
      <c r="A485" s="72">
        <v>308</v>
      </c>
      <c r="B485" s="72">
        <v>6</v>
      </c>
      <c r="D485" s="72" t="s">
        <v>33</v>
      </c>
      <c r="F485" s="126">
        <f>VLOOKUP(A485,'IUSD Klassiek 2017'!B$11:E$398,4,FALSE)*1000</f>
        <v>0.48365486206085362</v>
      </c>
      <c r="G485" s="126">
        <f>VLOOKUP(A485,'IUSD klassiek 2018'!B$11:E$390,4,FALSE)*1000</f>
        <v>0.45382769065273287</v>
      </c>
      <c r="H485" s="124">
        <f>VLOOKUP(A485,'Grondslagen AU 2018'!A$1:DA$386,92,FALSE)</f>
        <v>0.465457911598402</v>
      </c>
      <c r="I485" s="124">
        <f>VLOOKUP(A485,'Grondslagen AU 2019'!A$1:DA$386,92,FALSE)</f>
        <v>0.60799999999999998</v>
      </c>
      <c r="J485" s="124">
        <f>VLOOKUP(A485,'Grondslagen AU 2020'!A$1:DA$386,77,FALSE)</f>
        <v>0.61699999999999999</v>
      </c>
      <c r="K485" s="124">
        <f>VLOOKUP(A485,'Grondslagen AU 2021'!A$1:DA$386,77,FALSE)</f>
        <v>0.56399999999999995</v>
      </c>
      <c r="L485" s="124">
        <f>VLOOKUP(A485,'Grondslagen AU 2022'!A$1:DA$386,77,FALSE)</f>
        <v>0.59199999999999997</v>
      </c>
      <c r="M485" s="72"/>
      <c r="N485" s="124"/>
    </row>
    <row r="486" spans="1:14" x14ac:dyDescent="0.35">
      <c r="A486" s="72">
        <v>312</v>
      </c>
      <c r="B486" s="72">
        <v>6</v>
      </c>
      <c r="D486" s="72" t="s">
        <v>65</v>
      </c>
      <c r="F486" s="126">
        <f>VLOOKUP(A486,'IUSD Klassiek 2017'!B$11:E$398,4,FALSE)*1000</f>
        <v>8.835657299124848E-2</v>
      </c>
      <c r="G486" s="126">
        <f>VLOOKUP(A486,'IUSD klassiek 2018'!B$11:E$390,4,FALSE)*1000</f>
        <v>6.8298011572895001E-2</v>
      </c>
      <c r="H486" s="124">
        <f>VLOOKUP(A486,'Grondslagen AU 2018'!A$1:DA$386,92,FALSE)</f>
        <v>6.9065580286908804E-2</v>
      </c>
      <c r="I486" s="124">
        <f>VLOOKUP(A486,'Grondslagen AU 2019'!A$1:DA$386,92,FALSE)</f>
        <v>7.1999999999999995E-2</v>
      </c>
      <c r="J486" s="124">
        <f>VLOOKUP(A486,'Grondslagen AU 2020'!A$1:DA$386,77,FALSE)</f>
        <v>7.2999999999999995E-2</v>
      </c>
      <c r="K486" s="124">
        <f>VLOOKUP(A486,'Grondslagen AU 2021'!A$1:DA$386,77,FALSE)</f>
        <v>7.1999999999999995E-2</v>
      </c>
      <c r="L486" s="124">
        <f>VLOOKUP(A486,'Grondslagen AU 2022'!A$1:DA$386,77,FALSE)</f>
        <v>7.2999999999999995E-2</v>
      </c>
      <c r="M486" s="72"/>
      <c r="N486" s="124"/>
    </row>
    <row r="487" spans="1:14" x14ac:dyDescent="0.35">
      <c r="A487" s="72">
        <v>313</v>
      </c>
      <c r="B487" s="72">
        <v>6</v>
      </c>
      <c r="D487" s="72" t="s">
        <v>66</v>
      </c>
      <c r="F487" s="126">
        <f>VLOOKUP(A487,'IUSD Klassiek 2017'!B$11:E$398,4,FALSE)*1000</f>
        <v>0.12672937255921721</v>
      </c>
      <c r="G487" s="126">
        <f>VLOOKUP(A487,'IUSD klassiek 2018'!B$11:E$390,4,FALSE)*1000</f>
        <v>0.10299404411272683</v>
      </c>
      <c r="H487" s="124">
        <f>VLOOKUP(A487,'Grondslagen AU 2018'!A$1:DA$386,92,FALSE)</f>
        <v>0.10256748451356</v>
      </c>
      <c r="I487" s="124">
        <f>VLOOKUP(A487,'Grondslagen AU 2019'!A$1:DA$386,92,FALSE)</f>
        <v>0.11</v>
      </c>
      <c r="J487" s="124">
        <f>VLOOKUP(A487,'Grondslagen AU 2020'!A$1:DA$386,77,FALSE)</f>
        <v>0.113</v>
      </c>
      <c r="K487" s="124">
        <f>VLOOKUP(A487,'Grondslagen AU 2021'!A$1:DA$386,77,FALSE)</f>
        <v>0.111</v>
      </c>
      <c r="L487" s="124">
        <f>VLOOKUP(A487,'Grondslagen AU 2022'!A$1:DA$386,77,FALSE)</f>
        <v>0.113</v>
      </c>
      <c r="M487" s="72"/>
      <c r="N487" s="124"/>
    </row>
    <row r="488" spans="1:14" x14ac:dyDescent="0.35">
      <c r="A488" s="72">
        <v>310</v>
      </c>
      <c r="B488" s="72">
        <v>6</v>
      </c>
      <c r="D488" s="72" t="s">
        <v>76</v>
      </c>
      <c r="F488" s="126">
        <f>VLOOKUP(A488,'IUSD Klassiek 2017'!B$11:E$398,4,FALSE)*1000</f>
        <v>0.60683955927409994</v>
      </c>
      <c r="G488" s="126">
        <f>VLOOKUP(A488,'IUSD klassiek 2018'!B$11:E$390,4,FALSE)*1000</f>
        <v>0.70782722537917453</v>
      </c>
      <c r="H488" s="124">
        <f>VLOOKUP(A488,'Grondslagen AU 2018'!A$1:DA$386,92,FALSE)</f>
        <v>0.78859851123286895</v>
      </c>
      <c r="I488" s="124">
        <f>VLOOKUP(A488,'Grondslagen AU 2019'!A$1:DA$386,92,FALSE)</f>
        <v>0.80700000000000005</v>
      </c>
      <c r="J488" s="124">
        <f>VLOOKUP(A488,'Grondslagen AU 2020'!A$1:DA$386,77,FALSE)</f>
        <v>0.71099999999999997</v>
      </c>
      <c r="K488" s="124">
        <f>VLOOKUP(A488,'Grondslagen AU 2021'!A$1:DA$386,77,FALSE)</f>
        <v>0.72799999999999998</v>
      </c>
      <c r="L488" s="124">
        <f>VLOOKUP(A488,'Grondslagen AU 2022'!A$1:DA$386,77,FALSE)</f>
        <v>0.871</v>
      </c>
      <c r="M488" s="72"/>
      <c r="N488" s="124"/>
    </row>
    <row r="489" spans="1:14" x14ac:dyDescent="0.35">
      <c r="A489" s="72">
        <v>736</v>
      </c>
      <c r="B489" s="72">
        <v>6</v>
      </c>
      <c r="D489" s="72" t="s">
        <v>78</v>
      </c>
      <c r="F489" s="126">
        <f>VLOOKUP(A489,'IUSD Klassiek 2017'!B$11:E$398,4,FALSE)*1000</f>
        <v>0.30850192321008907</v>
      </c>
      <c r="G489" s="126">
        <f>VLOOKUP(A489,'IUSD klassiek 2018'!B$11:E$390,4,FALSE)*1000</f>
        <v>0.20844397057281538</v>
      </c>
      <c r="H489" s="124">
        <f>VLOOKUP(A489,'Grondslagen AU 2018'!A$1:DA$386,92,FALSE)</f>
        <v>0.20663032002731799</v>
      </c>
      <c r="I489" s="124">
        <f>VLOOKUP(A489,'Grondslagen AU 2019'!A$1:DA$386,92,FALSE)</f>
        <v>0.223</v>
      </c>
      <c r="J489" s="124">
        <f>VLOOKUP(A489,'Grondslagen AU 2020'!A$1:DA$386,77,FALSE)</f>
        <v>0.22800000000000001</v>
      </c>
      <c r="K489" s="124">
        <f>VLOOKUP(A489,'Grondslagen AU 2021'!A$1:DA$386,77,FALSE)</f>
        <v>0.222</v>
      </c>
      <c r="L489" s="124">
        <f>VLOOKUP(A489,'Grondslagen AU 2022'!A$1:DA$386,77,FALSE)</f>
        <v>0.223</v>
      </c>
      <c r="M489" s="72"/>
      <c r="N489" s="124"/>
    </row>
    <row r="490" spans="1:14" x14ac:dyDescent="0.35">
      <c r="A490" s="72">
        <v>317</v>
      </c>
      <c r="B490" s="72">
        <v>6</v>
      </c>
      <c r="D490" s="72" t="s">
        <v>99</v>
      </c>
      <c r="F490" s="126">
        <f>VLOOKUP(A490,'IUSD Klassiek 2017'!B$11:E$398,4,FALSE)*1000</f>
        <v>5.8230604562387996E-2</v>
      </c>
      <c r="G490" s="126">
        <f>VLOOKUP(A490,'IUSD klassiek 2018'!B$11:E$390,4,FALSE)*1000</f>
        <v>4.2951163545449984E-2</v>
      </c>
      <c r="H490" s="124">
        <f>VLOOKUP(A490,'Grondslagen AU 2018'!A$1:DA$386,92,FALSE)</f>
        <v>4.3146162950148698E-2</v>
      </c>
      <c r="I490" s="124">
        <f>VLOOKUP(A490,'Grondslagen AU 2019'!A$1:DA$386,92,FALSE)</f>
        <v>4.5999999999999999E-2</v>
      </c>
      <c r="J490" s="124">
        <f>VLOOKUP(A490,'Grondslagen AU 2020'!A$1:DA$386,77,FALSE)</f>
        <v>4.7E-2</v>
      </c>
      <c r="K490" s="124">
        <f>VLOOKUP(A490,'Grondslagen AU 2021'!A$1:DA$386,77,FALSE)</f>
        <v>4.5999999999999999E-2</v>
      </c>
      <c r="L490" s="124">
        <f>VLOOKUP(A490,'Grondslagen AU 2022'!A$1:DA$386,77,FALSE)</f>
        <v>4.7E-2</v>
      </c>
      <c r="M490" s="72"/>
      <c r="N490" s="124"/>
    </row>
    <row r="491" spans="1:14" x14ac:dyDescent="0.35">
      <c r="A491" s="72">
        <v>321</v>
      </c>
      <c r="B491" s="72">
        <v>6</v>
      </c>
      <c r="D491" s="72" t="s">
        <v>159</v>
      </c>
      <c r="F491" s="126">
        <f>VLOOKUP(A491,'IUSD Klassiek 2017'!B$11:E$398,4,FALSE)*1000</f>
        <v>0.29885345542769226</v>
      </c>
      <c r="G491" s="126">
        <f>VLOOKUP(A491,'IUSD klassiek 2018'!B$11:E$390,4,FALSE)*1000</f>
        <v>0.24896220394237442</v>
      </c>
      <c r="H491" s="124">
        <f>VLOOKUP(A491,'Grondslagen AU 2018'!A$1:DA$386,92,FALSE)</f>
        <v>0.248137638699472</v>
      </c>
      <c r="I491" s="124">
        <f>VLOOKUP(A491,'Grondslagen AU 2019'!A$1:DA$386,92,FALSE)</f>
        <v>0.26100000000000001</v>
      </c>
      <c r="J491" s="124">
        <f>VLOOKUP(A491,'Grondslagen AU 2020'!A$1:DA$386,77,FALSE)</f>
        <v>0.26600000000000001</v>
      </c>
      <c r="K491" s="124">
        <f>VLOOKUP(A491,'Grondslagen AU 2021'!A$1:DA$386,77,FALSE)</f>
        <v>0.25800000000000001</v>
      </c>
      <c r="L491" s="124">
        <f>VLOOKUP(A491,'Grondslagen AU 2022'!A$1:DA$386,77,FALSE)</f>
        <v>0.25900000000000001</v>
      </c>
      <c r="M491" s="72"/>
      <c r="N491" s="124"/>
    </row>
    <row r="492" spans="1:14" x14ac:dyDescent="0.35">
      <c r="A492" s="72">
        <v>353</v>
      </c>
      <c r="B492" s="72">
        <v>6</v>
      </c>
      <c r="D492" s="72" t="s">
        <v>162</v>
      </c>
      <c r="F492" s="126">
        <f>VLOOKUP(A492,'IUSD Klassiek 2017'!B$11:E$398,4,FALSE)*1000</f>
        <v>0.5198533095947222</v>
      </c>
      <c r="G492" s="126">
        <f>VLOOKUP(A492,'IUSD klassiek 2018'!B$11:E$390,4,FALSE)*1000</f>
        <v>0.61323446204202015</v>
      </c>
      <c r="H492" s="124">
        <f>VLOOKUP(A492,'Grondslagen AU 2018'!A$1:DA$386,92,FALSE)</f>
        <v>0.63709619070499701</v>
      </c>
      <c r="I492" s="124">
        <f>VLOOKUP(A492,'Grondslagen AU 2019'!A$1:DA$386,92,FALSE)</f>
        <v>0.68300000000000005</v>
      </c>
      <c r="J492" s="124">
        <f>VLOOKUP(A492,'Grondslagen AU 2020'!A$1:DA$386,77,FALSE)</f>
        <v>0.73599999999999999</v>
      </c>
      <c r="K492" s="124">
        <f>VLOOKUP(A492,'Grondslagen AU 2021'!A$1:DA$386,77,FALSE)</f>
        <v>0.67500000000000004</v>
      </c>
      <c r="L492" s="124">
        <f>VLOOKUP(A492,'Grondslagen AU 2022'!A$1:DA$386,77,FALSE)</f>
        <v>0.67800000000000005</v>
      </c>
      <c r="M492" s="72"/>
      <c r="N492" s="124"/>
    </row>
    <row r="493" spans="1:14" x14ac:dyDescent="0.35">
      <c r="A493" s="72">
        <v>327</v>
      </c>
      <c r="B493" s="72">
        <v>6</v>
      </c>
      <c r="D493" s="72" t="s">
        <v>184</v>
      </c>
      <c r="F493" s="126">
        <f>VLOOKUP(A493,'IUSD Klassiek 2017'!B$11:E$398,4,FALSE)*1000</f>
        <v>0.18155423439896842</v>
      </c>
      <c r="G493" s="126">
        <f>VLOOKUP(A493,'IUSD klassiek 2018'!B$11:E$390,4,FALSE)*1000</f>
        <v>0.1409951893443353</v>
      </c>
      <c r="H493" s="124">
        <f>VLOOKUP(A493,'Grondslagen AU 2018'!A$1:DA$386,92,FALSE)</f>
        <v>0.140736696407495</v>
      </c>
      <c r="I493" s="124">
        <f>VLOOKUP(A493,'Grondslagen AU 2019'!A$1:DA$386,92,FALSE)</f>
        <v>0.14699999999999999</v>
      </c>
      <c r="J493" s="124">
        <f>VLOOKUP(A493,'Grondslagen AU 2020'!A$1:DA$386,77,FALSE)</f>
        <v>0.16300000000000001</v>
      </c>
      <c r="K493" s="124">
        <f>VLOOKUP(A493,'Grondslagen AU 2021'!A$1:DA$386,77,FALSE)</f>
        <v>0.14899999999999999</v>
      </c>
      <c r="L493" s="124">
        <f>VLOOKUP(A493,'Grondslagen AU 2022'!A$1:DA$386,77,FALSE)</f>
        <v>0.14799999999999999</v>
      </c>
      <c r="M493" s="72"/>
      <c r="N493" s="124"/>
    </row>
    <row r="494" spans="1:14" x14ac:dyDescent="0.35">
      <c r="A494" s="72">
        <v>331</v>
      </c>
      <c r="B494" s="72">
        <v>6</v>
      </c>
      <c r="D494" s="72" t="s">
        <v>189</v>
      </c>
      <c r="F494" s="126">
        <f>VLOOKUP(A494,'IUSD Klassiek 2017'!B$11:E$398,4,FALSE)*1000</f>
        <v>8.3628487426661055E-2</v>
      </c>
      <c r="G494" s="126">
        <f>VLOOKUP(A494,'IUSD klassiek 2018'!B$11:E$390,4,FALSE)*1000</f>
        <v>7.1388903997612094E-2</v>
      </c>
      <c r="H494" s="124">
        <f>VLOOKUP(A494,'Grondslagen AU 2018'!A$1:DA$386,92,FALSE)</f>
        <v>7.0885679231593807E-2</v>
      </c>
      <c r="I494" s="124">
        <f>VLOOKUP(A494,'Grondslagen AU 2019'!A$1:DA$386,92,FALSE)</f>
        <v>7.4999999999999997E-2</v>
      </c>
      <c r="J494" s="124">
        <f>VLOOKUP(A494,'Grondslagen AU 2020'!A$1:DA$386,77,FALSE)</f>
        <v>0.107</v>
      </c>
      <c r="K494" s="124">
        <f>VLOOKUP(A494,'Grondslagen AU 2021'!A$1:DA$386,77,FALSE)</f>
        <v>0.11899999999999999</v>
      </c>
      <c r="L494" s="124">
        <f>VLOOKUP(A494,'Grondslagen AU 2022'!A$1:DA$386,77,FALSE)</f>
        <v>0.125</v>
      </c>
      <c r="M494" s="72"/>
      <c r="N494" s="124"/>
    </row>
    <row r="495" spans="1:14" x14ac:dyDescent="0.35">
      <c r="A495" s="72">
        <v>335</v>
      </c>
      <c r="B495" s="72">
        <v>6</v>
      </c>
      <c r="D495" s="72" t="s">
        <v>208</v>
      </c>
      <c r="F495" s="126">
        <f>VLOOKUP(A495,'IUSD Klassiek 2017'!B$11:E$398,4,FALSE)*1000</f>
        <v>8.4125838472805553E-2</v>
      </c>
      <c r="G495" s="126">
        <f>VLOOKUP(A495,'IUSD klassiek 2018'!B$11:E$390,4,FALSE)*1000</f>
        <v>6.6178761073769521E-2</v>
      </c>
      <c r="H495" s="124">
        <f>VLOOKUP(A495,'Grondslagen AU 2018'!A$1:DA$386,92,FALSE)</f>
        <v>6.58029962864774E-2</v>
      </c>
      <c r="I495" s="124">
        <f>VLOOKUP(A495,'Grondslagen AU 2019'!A$1:DA$386,92,FALSE)</f>
        <v>7.0000000000000007E-2</v>
      </c>
      <c r="J495" s="124">
        <f>VLOOKUP(A495,'Grondslagen AU 2020'!A$1:DA$386,77,FALSE)</f>
        <v>7.0000000000000007E-2</v>
      </c>
      <c r="K495" s="124">
        <f>VLOOKUP(A495,'Grondslagen AU 2021'!A$1:DA$386,77,FALSE)</f>
        <v>6.9000000000000006E-2</v>
      </c>
      <c r="L495" s="124">
        <f>VLOOKUP(A495,'Grondslagen AU 2022'!A$1:DA$386,77,FALSE)</f>
        <v>6.9000000000000006E-2</v>
      </c>
      <c r="M495" s="72"/>
      <c r="N495" s="124"/>
    </row>
    <row r="496" spans="1:14" x14ac:dyDescent="0.35">
      <c r="A496" s="72">
        <v>356</v>
      </c>
      <c r="B496" s="72">
        <v>6</v>
      </c>
      <c r="D496" s="72" t="s">
        <v>212</v>
      </c>
      <c r="F496" s="126">
        <f>VLOOKUP(A496,'IUSD Klassiek 2017'!B$11:E$398,4,FALSE)*1000</f>
        <v>2.175450291478767</v>
      </c>
      <c r="G496" s="126">
        <f>VLOOKUP(A496,'IUSD klassiek 2018'!B$11:E$390,4,FALSE)*1000</f>
        <v>2.3206783592055125</v>
      </c>
      <c r="H496" s="124">
        <f>VLOOKUP(A496,'Grondslagen AU 2018'!A$1:DA$386,92,FALSE)</f>
        <v>2.3867036376444202</v>
      </c>
      <c r="I496" s="124">
        <f>VLOOKUP(A496,'Grondslagen AU 2019'!A$1:DA$386,92,FALSE)</f>
        <v>2.3570000000000002</v>
      </c>
      <c r="J496" s="124">
        <f>VLOOKUP(A496,'Grondslagen AU 2020'!A$1:DA$386,77,FALSE)</f>
        <v>2.504</v>
      </c>
      <c r="K496" s="124">
        <f>VLOOKUP(A496,'Grondslagen AU 2021'!A$1:DA$386,77,FALSE)</f>
        <v>2.581</v>
      </c>
      <c r="L496" s="124">
        <f>VLOOKUP(A496,'Grondslagen AU 2022'!A$1:DA$386,77,FALSE)</f>
        <v>2.8420000000000001</v>
      </c>
      <c r="M496" s="72"/>
      <c r="N496" s="124"/>
    </row>
    <row r="497" spans="1:14" x14ac:dyDescent="0.35">
      <c r="A497" s="72">
        <v>589</v>
      </c>
      <c r="B497" s="72">
        <v>6</v>
      </c>
      <c r="D497" s="72" t="s">
        <v>241</v>
      </c>
      <c r="F497" s="126">
        <f>VLOOKUP(A497,'IUSD Klassiek 2017'!B$11:E$398,4,FALSE)*1000</f>
        <v>6.0195238913148527E-2</v>
      </c>
      <c r="G497" s="126">
        <f>VLOOKUP(A497,'IUSD klassiek 2018'!B$11:E$390,4,FALSE)*1000</f>
        <v>4.8237813707527916E-2</v>
      </c>
      <c r="H497" s="124">
        <f>VLOOKUP(A497,'Grondslagen AU 2018'!A$1:DA$386,92,FALSE)</f>
        <v>4.8085352617468401E-2</v>
      </c>
      <c r="I497" s="124">
        <f>VLOOKUP(A497,'Grondslagen AU 2019'!A$1:DA$386,92,FALSE)</f>
        <v>5.0999999999999997E-2</v>
      </c>
      <c r="J497" s="124">
        <f>VLOOKUP(A497,'Grondslagen AU 2020'!A$1:DA$386,77,FALSE)</f>
        <v>5.0999999999999997E-2</v>
      </c>
      <c r="K497" s="124">
        <f>VLOOKUP(A497,'Grondslagen AU 2021'!A$1:DA$386,77,FALSE)</f>
        <v>4.9000000000000002E-2</v>
      </c>
      <c r="L497" s="124">
        <f>VLOOKUP(A497,'Grondslagen AU 2022'!A$1:DA$386,77,FALSE)</f>
        <v>0.05</v>
      </c>
      <c r="M497" s="72"/>
      <c r="N497" s="124"/>
    </row>
    <row r="498" spans="1:14" x14ac:dyDescent="0.35">
      <c r="A498" s="72">
        <v>339</v>
      </c>
      <c r="B498" s="72">
        <v>6</v>
      </c>
      <c r="D498" s="72" t="s">
        <v>252</v>
      </c>
      <c r="F498" s="126">
        <f>VLOOKUP(A498,'IUSD Klassiek 2017'!B$11:E$398,4,FALSE)*1000</f>
        <v>2.7405397481664283E-2</v>
      </c>
      <c r="G498" s="126">
        <f>VLOOKUP(A498,'IUSD klassiek 2018'!B$11:E$390,4,FALSE)*1000</f>
        <v>2.4252794520676323E-2</v>
      </c>
      <c r="H498" s="124">
        <f>VLOOKUP(A498,'Grondslagen AU 2018'!A$1:DA$386,92,FALSE)</f>
        <v>2.4295677614323202E-2</v>
      </c>
      <c r="I498" s="124">
        <f>VLOOKUP(A498,'Grondslagen AU 2019'!A$1:DA$386,92,FALSE)</f>
        <v>2.5999999999999999E-2</v>
      </c>
      <c r="J498" s="124">
        <f>VLOOKUP(A498,'Grondslagen AU 2020'!A$1:DA$386,77,FALSE)</f>
        <v>2.8000000000000001E-2</v>
      </c>
      <c r="K498" s="124">
        <f>VLOOKUP(A498,'Grondslagen AU 2021'!A$1:DA$386,77,FALSE)</f>
        <v>2.8000000000000001E-2</v>
      </c>
      <c r="L498" s="124">
        <f>VLOOKUP(A498,'Grondslagen AU 2022'!A$1:DA$386,77,FALSE)</f>
        <v>2.9000000000000001E-2</v>
      </c>
      <c r="M498" s="72"/>
      <c r="N498" s="124"/>
    </row>
    <row r="499" spans="1:14" x14ac:dyDescent="0.35">
      <c r="A499" s="72">
        <v>340</v>
      </c>
      <c r="B499" s="72">
        <v>6</v>
      </c>
      <c r="D499" s="72" t="s">
        <v>255</v>
      </c>
      <c r="F499" s="126">
        <f>VLOOKUP(A499,'IUSD Klassiek 2017'!B$11:E$398,4,FALSE)*1000</f>
        <v>0.46328764128332561</v>
      </c>
      <c r="G499" s="126">
        <f>VLOOKUP(A499,'IUSD klassiek 2018'!B$11:E$390,4,FALSE)*1000</f>
        <v>0.53275412063500627</v>
      </c>
      <c r="H499" s="124">
        <f>VLOOKUP(A499,'Grondslagen AU 2018'!A$1:DA$386,92,FALSE)</f>
        <v>0.44371150972109702</v>
      </c>
      <c r="I499" s="124">
        <f>VLOOKUP(A499,'Grondslagen AU 2019'!A$1:DA$386,92,FALSE)</f>
        <v>0.34399999999999997</v>
      </c>
      <c r="J499" s="124">
        <f>VLOOKUP(A499,'Grondslagen AU 2020'!A$1:DA$386,77,FALSE)</f>
        <v>0.317</v>
      </c>
      <c r="K499" s="124">
        <f>VLOOKUP(A499,'Grondslagen AU 2021'!A$1:DA$386,77,FALSE)</f>
        <v>0.309</v>
      </c>
      <c r="L499" s="124">
        <f>VLOOKUP(A499,'Grondslagen AU 2022'!A$1:DA$386,77,FALSE)</f>
        <v>0.34799999999999998</v>
      </c>
      <c r="M499" s="72"/>
      <c r="N499" s="124"/>
    </row>
    <row r="500" spans="1:14" x14ac:dyDescent="0.35">
      <c r="A500" s="72">
        <v>342</v>
      </c>
      <c r="B500" s="72">
        <v>6</v>
      </c>
      <c r="D500" s="72" t="s">
        <v>279</v>
      </c>
      <c r="F500" s="126">
        <f>VLOOKUP(A500,'IUSD Klassiek 2017'!B$11:E$398,4,FALSE)*1000</f>
        <v>1.1426873521955023</v>
      </c>
      <c r="G500" s="126">
        <f>VLOOKUP(A500,'IUSD klassiek 2018'!B$11:E$390,4,FALSE)*1000</f>
        <v>1.2047602409115885</v>
      </c>
      <c r="H500" s="124">
        <f>VLOOKUP(A500,'Grondslagen AU 2018'!A$1:DA$386,92,FALSE)</f>
        <v>1.11688126583564</v>
      </c>
      <c r="I500" s="124">
        <f>VLOOKUP(A500,'Grondslagen AU 2019'!A$1:DA$386,92,FALSE)</f>
        <v>1.0009999999999999</v>
      </c>
      <c r="J500" s="124">
        <f>VLOOKUP(A500,'Grondslagen AU 2020'!A$1:DA$386,77,FALSE)</f>
        <v>1.0389999999999999</v>
      </c>
      <c r="K500" s="124">
        <f>VLOOKUP(A500,'Grondslagen AU 2021'!A$1:DA$386,77,FALSE)</f>
        <v>0.99399999999999999</v>
      </c>
      <c r="L500" s="124">
        <f>VLOOKUP(A500,'Grondslagen AU 2022'!A$1:DA$386,77,FALSE)</f>
        <v>0.876</v>
      </c>
      <c r="M500" s="72"/>
      <c r="N500" s="124"/>
    </row>
    <row r="501" spans="1:14" x14ac:dyDescent="0.35">
      <c r="A501" s="72">
        <v>1904</v>
      </c>
      <c r="B501" s="72">
        <v>6</v>
      </c>
      <c r="D501" s="72" t="s">
        <v>288</v>
      </c>
      <c r="F501" s="126">
        <f>VLOOKUP(A501,'IUSD Klassiek 2017'!B$11:E$398,4,FALSE)*1000</f>
        <v>0.63351011018993764</v>
      </c>
      <c r="G501" s="126">
        <f>VLOOKUP(A501,'IUSD klassiek 2018'!B$11:E$390,4,FALSE)*1000</f>
        <v>0.50161196573497135</v>
      </c>
      <c r="H501" s="124">
        <f>VLOOKUP(A501,'Grondslagen AU 2018'!A$1:DA$386,92,FALSE)</f>
        <v>0.55915858140297403</v>
      </c>
      <c r="I501" s="124">
        <f>VLOOKUP(A501,'Grondslagen AU 2019'!A$1:DA$386,92,FALSE)</f>
        <v>0.76500000000000001</v>
      </c>
      <c r="J501" s="124">
        <f>VLOOKUP(A501,'Grondslagen AU 2020'!A$1:DA$386,77,FALSE)</f>
        <v>0.73499999999999999</v>
      </c>
      <c r="K501" s="124">
        <f>VLOOKUP(A501,'Grondslagen AU 2021'!A$1:DA$386,77,FALSE)</f>
        <v>0.71299999999999997</v>
      </c>
      <c r="L501" s="124">
        <f>VLOOKUP(A501,'Grondslagen AU 2022'!A$1:DA$386,77,FALSE)</f>
        <v>0.79700000000000004</v>
      </c>
      <c r="M501" s="72"/>
      <c r="N501" s="124"/>
    </row>
    <row r="502" spans="1:14" x14ac:dyDescent="0.35">
      <c r="A502" s="72">
        <v>344</v>
      </c>
      <c r="B502" s="72">
        <v>6</v>
      </c>
      <c r="D502" s="72" t="s">
        <v>305</v>
      </c>
      <c r="F502" s="126">
        <f>VLOOKUP(A502,'IUSD Klassiek 2017'!B$11:E$398,4,FALSE)*1000</f>
        <v>21.803931104212381</v>
      </c>
      <c r="G502" s="126">
        <f>VLOOKUP(A502,'IUSD klassiek 2018'!B$11:E$390,4,FALSE)*1000</f>
        <v>22.522541581088714</v>
      </c>
      <c r="H502" s="124">
        <f>VLOOKUP(A502,'Grondslagen AU 2018'!A$1:DA$386,92,FALSE)</f>
        <v>22.394279203364398</v>
      </c>
      <c r="I502" s="124">
        <f>VLOOKUP(A502,'Grondslagen AU 2019'!A$1:DA$386,92,FALSE)</f>
        <v>22.698</v>
      </c>
      <c r="J502" s="124">
        <f>VLOOKUP(A502,'Grondslagen AU 2020'!A$1:DA$386,77,FALSE)</f>
        <v>22.928000000000001</v>
      </c>
      <c r="K502" s="124">
        <f>VLOOKUP(A502,'Grondslagen AU 2021'!A$1:DA$386,77,FALSE)</f>
        <v>23.021000000000001</v>
      </c>
      <c r="L502" s="124">
        <f>VLOOKUP(A502,'Grondslagen AU 2022'!A$1:DA$386,77,FALSE)</f>
        <v>23.68</v>
      </c>
      <c r="M502" s="72"/>
      <c r="N502" s="124"/>
    </row>
    <row r="503" spans="1:14" x14ac:dyDescent="0.35">
      <c r="A503" s="72">
        <v>1581</v>
      </c>
      <c r="B503" s="72">
        <v>6</v>
      </c>
      <c r="D503" s="72" t="s">
        <v>306</v>
      </c>
      <c r="F503" s="126">
        <f>VLOOKUP(A503,'IUSD Klassiek 2017'!B$11:E$398,4,FALSE)*1000</f>
        <v>0.68768518432128534</v>
      </c>
      <c r="G503" s="126">
        <f>VLOOKUP(A503,'IUSD klassiek 2018'!B$11:E$390,4,FALSE)*1000</f>
        <v>0.56101483423528309</v>
      </c>
      <c r="H503" s="124">
        <f>VLOOKUP(A503,'Grondslagen AU 2018'!A$1:DA$386,92,FALSE)</f>
        <v>0.61178288707019901</v>
      </c>
      <c r="I503" s="124">
        <f>VLOOKUP(A503,'Grondslagen AU 2019'!A$1:DA$386,92,FALSE)</f>
        <v>1.0069999999999999</v>
      </c>
      <c r="J503" s="124">
        <f>VLOOKUP(A503,'Grondslagen AU 2020'!A$1:DA$386,77,FALSE)</f>
        <v>0.997</v>
      </c>
      <c r="K503" s="124">
        <f>VLOOKUP(A503,'Grondslagen AU 2021'!A$1:DA$386,77,FALSE)</f>
        <v>0.92800000000000005</v>
      </c>
      <c r="L503" s="124">
        <f>VLOOKUP(A503,'Grondslagen AU 2022'!A$1:DA$386,77,FALSE)</f>
        <v>0.93400000000000005</v>
      </c>
      <c r="M503" s="72"/>
      <c r="N503" s="124"/>
    </row>
    <row r="504" spans="1:14" x14ac:dyDescent="0.35">
      <c r="A504" s="72">
        <v>345</v>
      </c>
      <c r="B504" s="72">
        <v>6</v>
      </c>
      <c r="D504" s="72" t="s">
        <v>311</v>
      </c>
      <c r="F504" s="126">
        <f>VLOOKUP(A504,'IUSD Klassiek 2017'!B$11:E$398,4,FALSE)*1000</f>
        <v>2.9937750678607307</v>
      </c>
      <c r="G504" s="126">
        <f>VLOOKUP(A504,'IUSD klassiek 2018'!B$11:E$390,4,FALSE)*1000</f>
        <v>2.9255282233166211</v>
      </c>
      <c r="H504" s="124">
        <f>VLOOKUP(A504,'Grondslagen AU 2018'!A$1:DA$386,92,FALSE)</f>
        <v>2.7631334761186399</v>
      </c>
      <c r="I504" s="124">
        <f>VLOOKUP(A504,'Grondslagen AU 2019'!A$1:DA$386,92,FALSE)</f>
        <v>2.1429999999999998</v>
      </c>
      <c r="J504" s="124">
        <f>VLOOKUP(A504,'Grondslagen AU 2020'!A$1:DA$386,77,FALSE)</f>
        <v>2.2450000000000001</v>
      </c>
      <c r="K504" s="124">
        <f>VLOOKUP(A504,'Grondslagen AU 2021'!A$1:DA$386,77,FALSE)</f>
        <v>2.367</v>
      </c>
      <c r="L504" s="124">
        <f>VLOOKUP(A504,'Grondslagen AU 2022'!A$1:DA$386,77,FALSE)</f>
        <v>2.3149999999999999</v>
      </c>
      <c r="M504" s="72"/>
      <c r="N504" s="124"/>
    </row>
    <row r="505" spans="1:14" x14ac:dyDescent="0.35">
      <c r="A505" s="72">
        <v>620</v>
      </c>
      <c r="B505" s="72">
        <v>6</v>
      </c>
      <c r="D505" s="72" t="s">
        <v>810</v>
      </c>
      <c r="F505" s="126">
        <f>VLOOKUP(A505,'IUSD Klassiek 2017'!B$11:E$398,4,FALSE)*1000</f>
        <v>0.33342289816213261</v>
      </c>
      <c r="G505" s="126">
        <f>VLOOKUP(A505,'IUSD klassiek 2018'!B$11:E$390,4,FALSE)*1000</f>
        <v>0.29280766713194156</v>
      </c>
      <c r="H505" s="124">
        <f>VLOOKUP(A505,'Grondslagen AU 2018'!A$1:DA$386,92,FALSE)</f>
        <v>0.30808349360093601</v>
      </c>
      <c r="I505" s="124" t="e">
        <f>VLOOKUP(A505,'Grondslagen AU 2019'!A$1:DA$386,92,FALSE)</f>
        <v>#N/A</v>
      </c>
      <c r="J505" s="124" t="e">
        <f>VLOOKUP(A505,'Grondslagen AU 2020'!A$1:DA$386,77,FALSE)</f>
        <v>#N/A</v>
      </c>
      <c r="K505" s="124" t="e">
        <f>VLOOKUP(A505,'Grondslagen AU 2021'!A$1:DA$386,77,FALSE)</f>
        <v>#N/A</v>
      </c>
      <c r="L505" s="124" t="e">
        <f>VLOOKUP(A505,'Grondslagen AU 2022'!A$1:DA$386,77,FALSE)</f>
        <v>#N/A</v>
      </c>
      <c r="M505" s="72" t="s">
        <v>317</v>
      </c>
      <c r="N505" s="124"/>
    </row>
    <row r="506" spans="1:14" x14ac:dyDescent="0.35">
      <c r="A506" s="72">
        <v>352</v>
      </c>
      <c r="B506" s="72">
        <v>6</v>
      </c>
      <c r="D506" s="72" t="s">
        <v>346</v>
      </c>
      <c r="F506" s="126">
        <f>VLOOKUP(A506,'IUSD Klassiek 2017'!B$11:E$398,4,FALSE)*1000</f>
        <v>0.18409847870883353</v>
      </c>
      <c r="G506" s="126">
        <f>VLOOKUP(A506,'IUSD klassiek 2018'!B$11:E$390,4,FALSE)*1000</f>
        <v>0.13581803457281053</v>
      </c>
      <c r="H506" s="124">
        <f>VLOOKUP(A506,'Grondslagen AU 2018'!A$1:DA$386,92,FALSE)</f>
        <v>0.116312630070933</v>
      </c>
      <c r="I506" s="124">
        <f>VLOOKUP(A506,'Grondslagen AU 2019'!A$1:DA$386,92,FALSE)</f>
        <v>0.23899999999999999</v>
      </c>
      <c r="J506" s="124">
        <f>VLOOKUP(A506,'Grondslagen AU 2020'!A$1:DA$386,77,FALSE)</f>
        <v>0.193</v>
      </c>
      <c r="K506" s="124">
        <f>VLOOKUP(A506,'Grondslagen AU 2021'!A$1:DA$386,77,FALSE)</f>
        <v>0.18099999999999999</v>
      </c>
      <c r="L506" s="124">
        <f>VLOOKUP(A506,'Grondslagen AU 2022'!A$1:DA$386,77,FALSE)</f>
        <v>0.186</v>
      </c>
      <c r="M506" s="72"/>
      <c r="N506" s="124"/>
    </row>
    <row r="507" spans="1:14" x14ac:dyDescent="0.35">
      <c r="A507" s="72">
        <v>632</v>
      </c>
      <c r="B507" s="72">
        <v>6</v>
      </c>
      <c r="D507" s="72" t="s">
        <v>349</v>
      </c>
      <c r="F507" s="126">
        <f>VLOOKUP(A507,'IUSD Klassiek 2017'!B$11:E$398,4,FALSE)*1000</f>
        <v>0.40597001247830261</v>
      </c>
      <c r="G507" s="126">
        <f>VLOOKUP(A507,'IUSD klassiek 2018'!B$11:E$390,4,FALSE)*1000</f>
        <v>0.25004095600149501</v>
      </c>
      <c r="H507" s="124">
        <f>VLOOKUP(A507,'Grondslagen AU 2018'!A$1:DA$386,92,FALSE)</f>
        <v>0.248175400088366</v>
      </c>
      <c r="I507" s="124">
        <f>VLOOKUP(A507,'Grondslagen AU 2019'!A$1:DA$386,92,FALSE)</f>
        <v>0.39200000000000002</v>
      </c>
      <c r="J507" s="124">
        <f>VLOOKUP(A507,'Grondslagen AU 2020'!A$1:DA$386,77,FALSE)</f>
        <v>0.39200000000000002</v>
      </c>
      <c r="K507" s="124">
        <f>VLOOKUP(A507,'Grondslagen AU 2021'!A$1:DA$386,77,FALSE)</f>
        <v>0.51400000000000001</v>
      </c>
      <c r="L507" s="124">
        <f>VLOOKUP(A507,'Grondslagen AU 2022'!A$1:DA$386,77,FALSE)</f>
        <v>0.75800000000000001</v>
      </c>
      <c r="M507" s="72"/>
      <c r="N507" s="124"/>
    </row>
    <row r="508" spans="1:14" x14ac:dyDescent="0.35">
      <c r="A508" s="72">
        <v>351</v>
      </c>
      <c r="B508" s="72">
        <v>6</v>
      </c>
      <c r="D508" s="72" t="s">
        <v>351</v>
      </c>
      <c r="F508" s="126">
        <f>VLOOKUP(A508,'IUSD Klassiek 2017'!B$11:E$398,4,FALSE)*1000</f>
        <v>6.8188073356968096E-2</v>
      </c>
      <c r="G508" s="126">
        <f>VLOOKUP(A508,'IUSD klassiek 2018'!B$11:E$390,4,FALSE)*1000</f>
        <v>5.8665750279036526E-2</v>
      </c>
      <c r="H508" s="124">
        <f>VLOOKUP(A508,'Grondslagen AU 2018'!A$1:DA$386,92,FALSE)</f>
        <v>5.87642733966579E-2</v>
      </c>
      <c r="I508" s="124">
        <f>VLOOKUP(A508,'Grondslagen AU 2019'!A$1:DA$386,92,FALSE)</f>
        <v>6.4000000000000001E-2</v>
      </c>
      <c r="J508" s="124">
        <f>VLOOKUP(A508,'Grondslagen AU 2020'!A$1:DA$386,77,FALSE)</f>
        <v>6.6000000000000003E-2</v>
      </c>
      <c r="K508" s="124">
        <f>VLOOKUP(A508,'Grondslagen AU 2021'!A$1:DA$386,77,FALSE)</f>
        <v>6.6000000000000003E-2</v>
      </c>
      <c r="L508" s="124">
        <f>VLOOKUP(A508,'Grondslagen AU 2022'!A$1:DA$386,77,FALSE)</f>
        <v>6.8000000000000005E-2</v>
      </c>
      <c r="M508" s="72"/>
      <c r="N508" s="124"/>
    </row>
    <row r="509" spans="1:14" x14ac:dyDescent="0.35">
      <c r="A509" s="72">
        <v>355</v>
      </c>
      <c r="B509" s="72">
        <v>6</v>
      </c>
      <c r="D509" s="72" t="s">
        <v>356</v>
      </c>
      <c r="F509" s="126">
        <f>VLOOKUP(A509,'IUSD Klassiek 2017'!B$11:E$398,4,FALSE)*1000</f>
        <v>2.6411145721655691</v>
      </c>
      <c r="G509" s="126">
        <f>VLOOKUP(A509,'IUSD klassiek 2018'!B$11:E$390,4,FALSE)*1000</f>
        <v>2.9827820161941347</v>
      </c>
      <c r="H509" s="124">
        <f>VLOOKUP(A509,'Grondslagen AU 2018'!A$1:DA$386,92,FALSE)</f>
        <v>2.88770399013187</v>
      </c>
      <c r="I509" s="124">
        <f>VLOOKUP(A509,'Grondslagen AU 2019'!A$1:DA$386,92,FALSE)</f>
        <v>2.8980000000000001</v>
      </c>
      <c r="J509" s="124">
        <f>VLOOKUP(A509,'Grondslagen AU 2020'!A$1:DA$386,77,FALSE)</f>
        <v>2.54</v>
      </c>
      <c r="K509" s="124">
        <f>VLOOKUP(A509,'Grondslagen AU 2021'!A$1:DA$386,77,FALSE)</f>
        <v>2.5670000000000002</v>
      </c>
      <c r="L509" s="124">
        <f>VLOOKUP(A509,'Grondslagen AU 2022'!A$1:DA$386,77,FALSE)</f>
        <v>2.6789999999999998</v>
      </c>
      <c r="M509" s="72"/>
      <c r="N509" s="124"/>
    </row>
    <row r="510" spans="1:14" x14ac:dyDescent="0.35">
      <c r="A510" s="72">
        <v>358</v>
      </c>
      <c r="B510" s="72">
        <v>7</v>
      </c>
      <c r="D510" s="72" t="s">
        <v>12</v>
      </c>
      <c r="F510" s="126">
        <f>VLOOKUP(A510,'IUSD Klassiek 2017'!B$11:E$398,4,FALSE)*1000</f>
        <v>0.17185686139252113</v>
      </c>
      <c r="G510" s="126">
        <f>VLOOKUP(A510,'IUSD klassiek 2018'!B$11:E$390,4,FALSE)*1000</f>
        <v>0.15035967530436925</v>
      </c>
      <c r="H510" s="124">
        <f>VLOOKUP(A510,'Grondslagen AU 2018'!A$1:DA$386,92,FALSE)</f>
        <v>0.14948978635309701</v>
      </c>
      <c r="I510" s="124">
        <f>VLOOKUP(A510,'Grondslagen AU 2019'!A$1:DA$386,92,FALSE)</f>
        <v>0.159</v>
      </c>
      <c r="J510" s="124">
        <f>VLOOKUP(A510,'Grondslagen AU 2020'!A$1:DA$386,77,FALSE)</f>
        <v>0.16400000000000001</v>
      </c>
      <c r="K510" s="124">
        <f>VLOOKUP(A510,'Grondslagen AU 2021'!A$1:DA$386,77,FALSE)</f>
        <v>0.161</v>
      </c>
      <c r="L510" s="124">
        <f>VLOOKUP(A510,'Grondslagen AU 2022'!A$1:DA$386,77,FALSE)</f>
        <v>0.16500000000000001</v>
      </c>
      <c r="M510" s="72"/>
      <c r="N510" s="124"/>
    </row>
    <row r="511" spans="1:14" x14ac:dyDescent="0.35">
      <c r="A511" s="72">
        <v>361</v>
      </c>
      <c r="B511" s="72">
        <v>7</v>
      </c>
      <c r="D511" s="72" t="s">
        <v>17</v>
      </c>
      <c r="F511" s="126">
        <f>VLOOKUP(A511,'IUSD Klassiek 2017'!B$11:E$398,4,FALSE)*1000</f>
        <v>4.9878544365265851</v>
      </c>
      <c r="G511" s="126">
        <f>VLOOKUP(A511,'IUSD klassiek 2018'!B$11:E$390,4,FALSE)*1000</f>
        <v>5.1011112745556471</v>
      </c>
      <c r="H511" s="124">
        <f>VLOOKUP(A511,'Grondslagen AU 2018'!A$1:DA$386,92,FALSE)</f>
        <v>5.16328637438885</v>
      </c>
      <c r="I511" s="124">
        <f>VLOOKUP(A511,'Grondslagen AU 2019'!A$1:DA$386,92,FALSE)</f>
        <v>5.3209999999999997</v>
      </c>
      <c r="J511" s="124">
        <f>VLOOKUP(A511,'Grondslagen AU 2020'!A$1:DA$386,77,FALSE)</f>
        <v>5.54</v>
      </c>
      <c r="K511" s="124">
        <f>VLOOKUP(A511,'Grondslagen AU 2021'!A$1:DA$386,77,FALSE)</f>
        <v>5.41</v>
      </c>
      <c r="L511" s="124">
        <f>VLOOKUP(A511,'Grondslagen AU 2022'!A$1:DA$386,77,FALSE)</f>
        <v>5.43</v>
      </c>
      <c r="M511" s="72"/>
      <c r="N511" s="124"/>
    </row>
    <row r="512" spans="1:14" x14ac:dyDescent="0.35">
      <c r="A512" s="72">
        <v>362</v>
      </c>
      <c r="B512" s="72">
        <v>7</v>
      </c>
      <c r="D512" s="72" t="s">
        <v>25</v>
      </c>
      <c r="F512" s="126">
        <f>VLOOKUP(A512,'IUSD Klassiek 2017'!B$11:E$398,4,FALSE)*1000</f>
        <v>0.81004186346204154</v>
      </c>
      <c r="G512" s="126">
        <f>VLOOKUP(A512,'IUSD klassiek 2018'!B$11:E$390,4,FALSE)*1000</f>
        <v>0.43243421195509857</v>
      </c>
      <c r="H512" s="124">
        <f>VLOOKUP(A512,'Grondslagen AU 2018'!A$1:DA$386,92,FALSE)</f>
        <v>0.42850113661220701</v>
      </c>
      <c r="I512" s="124">
        <f>VLOOKUP(A512,'Grondslagen AU 2019'!A$1:DA$386,92,FALSE)</f>
        <v>0.6</v>
      </c>
      <c r="J512" s="124">
        <f>VLOOKUP(A512,'Grondslagen AU 2020'!A$1:DA$386,77,FALSE)</f>
        <v>0.78200000000000003</v>
      </c>
      <c r="K512" s="124">
        <f>VLOOKUP(A512,'Grondslagen AU 2021'!A$1:DA$386,77,FALSE)</f>
        <v>1.008</v>
      </c>
      <c r="L512" s="124">
        <f>VLOOKUP(A512,'Grondslagen AU 2022'!A$1:DA$386,77,FALSE)</f>
        <v>1.077</v>
      </c>
      <c r="M512" s="72"/>
      <c r="N512" s="124"/>
    </row>
    <row r="513" spans="1:15" x14ac:dyDescent="0.35">
      <c r="A513" s="72">
        <v>363</v>
      </c>
      <c r="B513" s="72">
        <v>7</v>
      </c>
      <c r="D513" s="72" t="s">
        <v>26</v>
      </c>
      <c r="F513" s="126">
        <f>VLOOKUP(A513,'IUSD Klassiek 2017'!B$11:E$398,4,FALSE)*1000</f>
        <v>113.54528144756928</v>
      </c>
      <c r="G513" s="126">
        <f>VLOOKUP(A513,'IUSD klassiek 2018'!B$11:E$390,4,FALSE)*1000</f>
        <v>109.54290875015306</v>
      </c>
      <c r="H513" s="124">
        <f>VLOOKUP(A513,'Grondslagen AU 2018'!A$1:DA$386,92,FALSE)</f>
        <v>108.336619596655</v>
      </c>
      <c r="I513" s="124">
        <f>VLOOKUP(A513,'Grondslagen AU 2019'!A$1:DA$386,92,FALSE)</f>
        <v>111.78100000000001</v>
      </c>
      <c r="J513" s="124">
        <f>VLOOKUP(A513,'Grondslagen AU 2020'!A$1:DA$386,77,FALSE)</f>
        <v>111.179</v>
      </c>
      <c r="K513" s="124">
        <f>VLOOKUP(A513,'Grondslagen AU 2021'!A$1:DA$386,77,FALSE)</f>
        <v>114.51</v>
      </c>
      <c r="L513" s="124">
        <f>VLOOKUP(A513,'Grondslagen AU 2022'!A$1:DA$386,77,FALSE)</f>
        <v>127.77800000000001</v>
      </c>
      <c r="M513" s="72"/>
      <c r="N513" s="124"/>
      <c r="O513" t="s">
        <v>26</v>
      </c>
    </row>
    <row r="514" spans="1:15" x14ac:dyDescent="0.35">
      <c r="A514" s="72">
        <v>370</v>
      </c>
      <c r="B514" s="72">
        <v>7</v>
      </c>
      <c r="D514" s="72" t="s">
        <v>38</v>
      </c>
      <c r="F514" s="126">
        <f>VLOOKUP(A514,'IUSD Klassiek 2017'!B$11:E$398,4,FALSE)*1000</f>
        <v>5.5683023434374104E-2</v>
      </c>
      <c r="G514" s="126">
        <f>VLOOKUP(A514,'IUSD klassiek 2018'!B$11:E$390,4,FALSE)*1000</f>
        <v>4.3647379413393798E-2</v>
      </c>
      <c r="H514" s="124">
        <f>VLOOKUP(A514,'Grondslagen AU 2018'!A$1:DA$386,92,FALSE)</f>
        <v>4.4044884005823098E-2</v>
      </c>
      <c r="I514" s="124">
        <f>VLOOKUP(A514,'Grondslagen AU 2019'!A$1:DA$386,92,FALSE)</f>
        <v>4.9000000000000002E-2</v>
      </c>
      <c r="J514" s="124">
        <f>VLOOKUP(A514,'Grondslagen AU 2020'!A$1:DA$386,77,FALSE)</f>
        <v>0.05</v>
      </c>
      <c r="K514" s="124">
        <f>VLOOKUP(A514,'Grondslagen AU 2021'!A$1:DA$386,77,FALSE)</f>
        <v>4.9000000000000002E-2</v>
      </c>
      <c r="L514" s="124" t="e">
        <f>VLOOKUP(A514,'Grondslagen AU 2022'!A$1:DA$386,77,FALSE)</f>
        <v>#N/A</v>
      </c>
      <c r="M514" s="72"/>
      <c r="N514" s="124"/>
      <c r="O514" t="s">
        <v>247</v>
      </c>
    </row>
    <row r="515" spans="1:15" x14ac:dyDescent="0.35">
      <c r="A515" s="72">
        <v>373</v>
      </c>
      <c r="B515" s="72">
        <v>7</v>
      </c>
      <c r="D515" s="72" t="s">
        <v>43</v>
      </c>
      <c r="F515" s="126">
        <f>VLOOKUP(A515,'IUSD Klassiek 2017'!B$11:E$398,4,FALSE)*1000</f>
        <v>0.26101883568298817</v>
      </c>
      <c r="G515" s="126">
        <f>VLOOKUP(A515,'IUSD klassiek 2018'!B$11:E$390,4,FALSE)*1000</f>
        <v>0.15963420695642397</v>
      </c>
      <c r="H515" s="124">
        <f>VLOOKUP(A515,'Grondslagen AU 2018'!A$1:DA$386,92,FALSE)</f>
        <v>0.16274365938618199</v>
      </c>
      <c r="I515" s="124">
        <f>VLOOKUP(A515,'Grondslagen AU 2019'!A$1:DA$386,92,FALSE)</f>
        <v>0.32100000000000001</v>
      </c>
      <c r="J515" s="124">
        <f>VLOOKUP(A515,'Grondslagen AU 2020'!A$1:DA$386,77,FALSE)</f>
        <v>0.31</v>
      </c>
      <c r="K515" s="124">
        <f>VLOOKUP(A515,'Grondslagen AU 2021'!A$1:DA$386,77,FALSE)</f>
        <v>0.29699999999999999</v>
      </c>
      <c r="L515" s="124">
        <f>VLOOKUP(A515,'Grondslagen AU 2022'!A$1:DA$386,77,FALSE)</f>
        <v>0.36399999999999999</v>
      </c>
      <c r="M515" s="72"/>
      <c r="N515" s="124"/>
    </row>
    <row r="516" spans="1:15" x14ac:dyDescent="0.35">
      <c r="A516" s="72">
        <v>375</v>
      </c>
      <c r="B516" s="72">
        <v>7</v>
      </c>
      <c r="D516" s="72" t="s">
        <v>49</v>
      </c>
      <c r="F516" s="126">
        <f>VLOOKUP(A516,'IUSD Klassiek 2017'!B$11:E$398,4,FALSE)*1000</f>
        <v>1.9930240789126759</v>
      </c>
      <c r="G516" s="126">
        <f>VLOOKUP(A516,'IUSD klassiek 2018'!B$11:E$390,4,FALSE)*1000</f>
        <v>2.0718543859169269</v>
      </c>
      <c r="H516" s="124">
        <f>VLOOKUP(A516,'Grondslagen AU 2018'!A$1:DA$386,92,FALSE)</f>
        <v>2.04721999466808</v>
      </c>
      <c r="I516" s="124">
        <f>VLOOKUP(A516,'Grondslagen AU 2019'!A$1:DA$386,92,FALSE)</f>
        <v>1.9430000000000001</v>
      </c>
      <c r="J516" s="124">
        <f>VLOOKUP(A516,'Grondslagen AU 2020'!A$1:DA$386,77,FALSE)</f>
        <v>2.0449999999999999</v>
      </c>
      <c r="K516" s="124">
        <f>VLOOKUP(A516,'Grondslagen AU 2021'!A$1:DA$386,77,FALSE)</f>
        <v>2.1259999999999999</v>
      </c>
      <c r="L516" s="124">
        <f>VLOOKUP(A516,'Grondslagen AU 2022'!A$1:DA$386,77,FALSE)</f>
        <v>2.2469999999999999</v>
      </c>
      <c r="M516" s="72"/>
      <c r="N516" s="124"/>
    </row>
    <row r="517" spans="1:15" x14ac:dyDescent="0.35">
      <c r="A517" s="72">
        <v>376</v>
      </c>
      <c r="B517" s="72">
        <v>7</v>
      </c>
      <c r="D517" s="72" t="s">
        <v>51</v>
      </c>
      <c r="F517" s="126">
        <f>VLOOKUP(A517,'IUSD Klassiek 2017'!B$11:E$398,4,FALSE)*1000</f>
        <v>0.11010637776365881</v>
      </c>
      <c r="G517" s="126">
        <f>VLOOKUP(A517,'IUSD klassiek 2018'!B$11:E$390,4,FALSE)*1000</f>
        <v>8.1835464587539042E-2</v>
      </c>
      <c r="H517" s="124">
        <f>VLOOKUP(A517,'Grondslagen AU 2018'!A$1:DA$386,92,FALSE)</f>
        <v>5.8321642678290597E-2</v>
      </c>
      <c r="I517" s="124">
        <f>VLOOKUP(A517,'Grondslagen AU 2019'!A$1:DA$386,92,FALSE)</f>
        <v>6.0999999999999999E-2</v>
      </c>
      <c r="J517" s="124">
        <f>VLOOKUP(A517,'Grondslagen AU 2020'!A$1:DA$386,77,FALSE)</f>
        <v>5.2999999999999999E-2</v>
      </c>
      <c r="K517" s="124">
        <f>VLOOKUP(A517,'Grondslagen AU 2021'!A$1:DA$386,77,FALSE)</f>
        <v>6.0999999999999999E-2</v>
      </c>
      <c r="L517" s="124">
        <f>VLOOKUP(A517,'Grondslagen AU 2022'!A$1:DA$386,77,FALSE)</f>
        <v>0.11700000000000001</v>
      </c>
      <c r="M517" s="72"/>
      <c r="N517" s="124"/>
    </row>
    <row r="518" spans="1:15" x14ac:dyDescent="0.35">
      <c r="A518" s="72">
        <v>377</v>
      </c>
      <c r="B518" s="72">
        <v>7</v>
      </c>
      <c r="D518" s="72" t="s">
        <v>52</v>
      </c>
      <c r="F518" s="126">
        <f>VLOOKUP(A518,'IUSD Klassiek 2017'!B$11:E$398,4,FALSE)*1000</f>
        <v>0.16056298829329732</v>
      </c>
      <c r="G518" s="126">
        <f>VLOOKUP(A518,'IUSD klassiek 2018'!B$11:E$390,4,FALSE)*1000</f>
        <v>9.573350720417087E-2</v>
      </c>
      <c r="H518" s="124">
        <f>VLOOKUP(A518,'Grondslagen AU 2018'!A$1:DA$386,92,FALSE)</f>
        <v>9.6789992012796297E-2</v>
      </c>
      <c r="I518" s="124">
        <f>VLOOKUP(A518,'Grondslagen AU 2019'!A$1:DA$386,92,FALSE)</f>
        <v>0.10299999999999999</v>
      </c>
      <c r="J518" s="124">
        <f>VLOOKUP(A518,'Grondslagen AU 2020'!A$1:DA$386,77,FALSE)</f>
        <v>0.105</v>
      </c>
      <c r="K518" s="124">
        <f>VLOOKUP(A518,'Grondslagen AU 2021'!A$1:DA$386,77,FALSE)</f>
        <v>0.10199999999999999</v>
      </c>
      <c r="L518" s="124">
        <f>VLOOKUP(A518,'Grondslagen AU 2022'!A$1:DA$386,77,FALSE)</f>
        <v>0.112</v>
      </c>
      <c r="M518" s="72"/>
      <c r="N518" s="124"/>
    </row>
    <row r="519" spans="1:15" x14ac:dyDescent="0.35">
      <c r="A519" s="72">
        <v>383</v>
      </c>
      <c r="B519" s="72">
        <v>7</v>
      </c>
      <c r="D519" s="72" t="s">
        <v>69</v>
      </c>
      <c r="F519" s="126">
        <f>VLOOKUP(A519,'IUSD Klassiek 2017'!B$11:E$398,4,FALSE)*1000</f>
        <v>0.18381181708158645</v>
      </c>
      <c r="G519" s="126">
        <f>VLOOKUP(A519,'IUSD klassiek 2018'!B$11:E$390,4,FALSE)*1000</f>
        <v>0.1621188378211767</v>
      </c>
      <c r="H519" s="124">
        <f>VLOOKUP(A519,'Grondslagen AU 2018'!A$1:DA$386,92,FALSE)</f>
        <v>0.16249480868815</v>
      </c>
      <c r="I519" s="124">
        <f>VLOOKUP(A519,'Grondslagen AU 2019'!A$1:DA$386,92,FALSE)</f>
        <v>0.17199999999999999</v>
      </c>
      <c r="J519" s="124">
        <f>VLOOKUP(A519,'Grondslagen AU 2020'!A$1:DA$386,77,FALSE)</f>
        <v>0.216</v>
      </c>
      <c r="K519" s="124">
        <f>VLOOKUP(A519,'Grondslagen AU 2021'!A$1:DA$386,77,FALSE)</f>
        <v>0.20899999999999999</v>
      </c>
      <c r="L519" s="124">
        <f>VLOOKUP(A519,'Grondslagen AU 2022'!A$1:DA$386,77,FALSE)</f>
        <v>0.29799999999999999</v>
      </c>
      <c r="M519" s="72"/>
      <c r="N519" s="124"/>
    </row>
    <row r="520" spans="1:15" x14ac:dyDescent="0.35">
      <c r="A520" s="72">
        <v>400</v>
      </c>
      <c r="B520" s="72">
        <v>7</v>
      </c>
      <c r="D520" s="72" t="s">
        <v>82</v>
      </c>
      <c r="F520" s="126">
        <f>VLOOKUP(A520,'IUSD Klassiek 2017'!B$11:E$398,4,FALSE)*1000</f>
        <v>4.7435563640980618</v>
      </c>
      <c r="G520" s="126">
        <f>VLOOKUP(A520,'IUSD klassiek 2018'!B$11:E$390,4,FALSE)*1000</f>
        <v>4.5109120465431936</v>
      </c>
      <c r="H520" s="124">
        <f>VLOOKUP(A520,'Grondslagen AU 2018'!A$1:DA$386,92,FALSE)</f>
        <v>4.5307388232147803</v>
      </c>
      <c r="I520" s="124">
        <f>VLOOKUP(A520,'Grondslagen AU 2019'!A$1:DA$386,92,FALSE)</f>
        <v>4.3209999999999997</v>
      </c>
      <c r="J520" s="124">
        <f>VLOOKUP(A520,'Grondslagen AU 2020'!A$1:DA$386,77,FALSE)</f>
        <v>4.431</v>
      </c>
      <c r="K520" s="124">
        <f>VLOOKUP(A520,'Grondslagen AU 2021'!A$1:DA$386,77,FALSE)</f>
        <v>4.5179999999999998</v>
      </c>
      <c r="L520" s="124">
        <f>VLOOKUP(A520,'Grondslagen AU 2022'!A$1:DA$386,77,FALSE)</f>
        <v>4.298</v>
      </c>
      <c r="M520" s="72"/>
      <c r="N520" s="124"/>
    </row>
    <row r="521" spans="1:15" x14ac:dyDescent="0.35">
      <c r="A521" s="72">
        <v>384</v>
      </c>
      <c r="B521" s="72">
        <v>7</v>
      </c>
      <c r="D521" s="72" t="s">
        <v>85</v>
      </c>
      <c r="F521" s="126">
        <f>VLOOKUP(A521,'IUSD Klassiek 2017'!B$11:E$398,4,FALSE)*1000</f>
        <v>0.95146307724229795</v>
      </c>
      <c r="G521" s="126">
        <f>VLOOKUP(A521,'IUSD klassiek 2018'!B$11:E$390,4,FALSE)*1000</f>
        <v>0.85425208581817369</v>
      </c>
      <c r="H521" s="124">
        <f>VLOOKUP(A521,'Grondslagen AU 2018'!A$1:DA$386,92,FALSE)</f>
        <v>0.66479405660610902</v>
      </c>
      <c r="I521" s="124">
        <f>VLOOKUP(A521,'Grondslagen AU 2019'!A$1:DA$386,92,FALSE)</f>
        <v>0.59</v>
      </c>
      <c r="J521" s="124">
        <f>VLOOKUP(A521,'Grondslagen AU 2020'!A$1:DA$386,77,FALSE)</f>
        <v>0.45700000000000002</v>
      </c>
      <c r="K521" s="124">
        <f>VLOOKUP(A521,'Grondslagen AU 2021'!A$1:DA$386,77,FALSE)</f>
        <v>0.52400000000000002</v>
      </c>
      <c r="L521" s="124">
        <f>VLOOKUP(A521,'Grondslagen AU 2022'!A$1:DA$386,77,FALSE)</f>
        <v>0.64600000000000002</v>
      </c>
      <c r="M521" s="72"/>
      <c r="N521" s="124"/>
    </row>
    <row r="522" spans="1:15" x14ac:dyDescent="0.35">
      <c r="A522" s="72">
        <v>498</v>
      </c>
      <c r="B522" s="72">
        <v>7</v>
      </c>
      <c r="D522" s="72" t="s">
        <v>91</v>
      </c>
      <c r="F522" s="126">
        <f>VLOOKUP(A522,'IUSD Klassiek 2017'!B$11:E$398,4,FALSE)*1000</f>
        <v>0.12151761273262876</v>
      </c>
      <c r="G522" s="126">
        <f>VLOOKUP(A522,'IUSD klassiek 2018'!B$11:E$390,4,FALSE)*1000</f>
        <v>9.4134505925047546E-2</v>
      </c>
      <c r="H522" s="124">
        <f>VLOOKUP(A522,'Grondslagen AU 2018'!A$1:DA$386,92,FALSE)</f>
        <v>9.2590925567796703E-2</v>
      </c>
      <c r="I522" s="124">
        <f>VLOOKUP(A522,'Grondslagen AU 2019'!A$1:DA$386,92,FALSE)</f>
        <v>9.7000000000000003E-2</v>
      </c>
      <c r="J522" s="124">
        <f>VLOOKUP(A522,'Grondslagen AU 2020'!A$1:DA$386,77,FALSE)</f>
        <v>0.151</v>
      </c>
      <c r="K522" s="124">
        <f>VLOOKUP(A522,'Grondslagen AU 2021'!A$1:DA$386,77,FALSE)</f>
        <v>0.13900000000000001</v>
      </c>
      <c r="L522" s="124">
        <f>VLOOKUP(A522,'Grondslagen AU 2022'!A$1:DA$386,77,FALSE)</f>
        <v>0.159</v>
      </c>
      <c r="M522" s="72"/>
      <c r="N522" s="124"/>
    </row>
    <row r="523" spans="1:15" x14ac:dyDescent="0.35">
      <c r="A523" s="72">
        <v>385</v>
      </c>
      <c r="B523" s="72">
        <v>7</v>
      </c>
      <c r="D523" s="72" t="s">
        <v>97</v>
      </c>
      <c r="F523" s="126">
        <f>VLOOKUP(A523,'IUSD Klassiek 2017'!B$11:E$398,4,FALSE)*1000</f>
        <v>0.24475805148707591</v>
      </c>
      <c r="G523" s="126">
        <f>VLOOKUP(A523,'IUSD klassiek 2018'!B$11:E$390,4,FALSE)*1000</f>
        <v>0.17309762650798105</v>
      </c>
      <c r="H523" s="124">
        <f>VLOOKUP(A523,'Grondslagen AU 2018'!A$1:DA$386,92,FALSE)</f>
        <v>0.17170103530047801</v>
      </c>
      <c r="I523" s="124">
        <f>VLOOKUP(A523,'Grondslagen AU 2019'!A$1:DA$386,92,FALSE)</f>
        <v>0.18</v>
      </c>
      <c r="J523" s="124">
        <f>VLOOKUP(A523,'Grondslagen AU 2020'!A$1:DA$386,77,FALSE)</f>
        <v>0.184</v>
      </c>
      <c r="K523" s="124">
        <f>VLOOKUP(A523,'Grondslagen AU 2021'!A$1:DA$386,77,FALSE)</f>
        <v>0.18</v>
      </c>
      <c r="L523" s="124">
        <f>VLOOKUP(A523,'Grondslagen AU 2022'!A$1:DA$386,77,FALSE)</f>
        <v>0.182</v>
      </c>
      <c r="M523" s="72"/>
      <c r="N523" s="124"/>
    </row>
    <row r="524" spans="1:15" x14ac:dyDescent="0.35">
      <c r="A524" s="72">
        <v>388</v>
      </c>
      <c r="B524" s="72">
        <v>7</v>
      </c>
      <c r="D524" s="72" t="s">
        <v>105</v>
      </c>
      <c r="F524" s="126">
        <f>VLOOKUP(A524,'IUSD Klassiek 2017'!B$11:E$398,4,FALSE)*1000</f>
        <v>0.70149778279456432</v>
      </c>
      <c r="G524" s="126">
        <f>VLOOKUP(A524,'IUSD klassiek 2018'!B$11:E$390,4,FALSE)*1000</f>
        <v>0.71272646508867965</v>
      </c>
      <c r="H524" s="124">
        <f>VLOOKUP(A524,'Grondslagen AU 2018'!A$1:DA$386,92,FALSE)</f>
        <v>0.66885229945745905</v>
      </c>
      <c r="I524" s="124">
        <f>VLOOKUP(A524,'Grondslagen AU 2019'!A$1:DA$386,92,FALSE)</f>
        <v>0.67900000000000005</v>
      </c>
      <c r="J524" s="124">
        <f>VLOOKUP(A524,'Grondslagen AU 2020'!A$1:DA$386,77,FALSE)</f>
        <v>0.76300000000000001</v>
      </c>
      <c r="K524" s="124">
        <f>VLOOKUP(A524,'Grondslagen AU 2021'!A$1:DA$386,77,FALSE)</f>
        <v>0.65400000000000003</v>
      </c>
      <c r="L524" s="124">
        <f>VLOOKUP(A524,'Grondslagen AU 2022'!A$1:DA$386,77,FALSE)</f>
        <v>0.60899999999999999</v>
      </c>
      <c r="M524" s="72"/>
      <c r="N524" s="124"/>
    </row>
    <row r="525" spans="1:15" x14ac:dyDescent="0.35">
      <c r="A525" s="72">
        <v>1942</v>
      </c>
      <c r="B525" s="72">
        <v>7</v>
      </c>
      <c r="D525" s="72" t="s">
        <v>118</v>
      </c>
      <c r="F525" s="126">
        <f>VLOOKUP(A525,'IUSD Klassiek 2017'!B$11:E$398,4,FALSE)*1000</f>
        <v>1.1591821903540485</v>
      </c>
      <c r="G525" s="126">
        <f>VLOOKUP(A525,'IUSD klassiek 2018'!B$11:E$390,4,FALSE)*1000</f>
        <v>1.0503746190827596</v>
      </c>
      <c r="H525" s="124">
        <f>VLOOKUP(A525,'Grondslagen AU 2018'!A$1:DA$386,92,FALSE)</f>
        <v>1.0037756463234</v>
      </c>
      <c r="I525" s="124">
        <f>VLOOKUP(A525,'Grondslagen AU 2019'!A$1:DA$386,92,FALSE)</f>
        <v>1.147</v>
      </c>
      <c r="J525" s="124">
        <f>VLOOKUP(A525,'Grondslagen AU 2020'!A$1:DA$386,77,FALSE)</f>
        <v>1.268</v>
      </c>
      <c r="K525" s="124">
        <f>VLOOKUP(A525,'Grondslagen AU 2021'!A$1:DA$386,77,FALSE)</f>
        <v>1.3220000000000001</v>
      </c>
      <c r="L525" s="124">
        <f>VLOOKUP(A525,'Grondslagen AU 2022'!A$1:DA$386,77,FALSE)</f>
        <v>1.1539999999999999</v>
      </c>
      <c r="M525" s="72"/>
      <c r="N525" s="124"/>
    </row>
    <row r="526" spans="1:15" x14ac:dyDescent="0.35">
      <c r="A526" s="72">
        <v>392</v>
      </c>
      <c r="B526" s="72">
        <v>7</v>
      </c>
      <c r="D526" s="72" t="s">
        <v>126</v>
      </c>
      <c r="F526" s="126">
        <f>VLOOKUP(A526,'IUSD Klassiek 2017'!B$11:E$398,4,FALSE)*1000</f>
        <v>7.0973756536754875</v>
      </c>
      <c r="G526" s="126">
        <f>VLOOKUP(A526,'IUSD klassiek 2018'!B$11:E$390,4,FALSE)*1000</f>
        <v>6.8594375859006336</v>
      </c>
      <c r="H526" s="124">
        <f>VLOOKUP(A526,'Grondslagen AU 2018'!A$1:DA$386,92,FALSE)</f>
        <v>6.8844222473288701</v>
      </c>
      <c r="I526" s="124">
        <f>VLOOKUP(A526,'Grondslagen AU 2019'!A$1:DA$386,92,FALSE)</f>
        <v>7.4009999999999998</v>
      </c>
      <c r="J526" s="124">
        <f>VLOOKUP(A526,'Grondslagen AU 2020'!A$1:DA$386,77,FALSE)</f>
        <v>7.6760000000000002</v>
      </c>
      <c r="K526" s="124">
        <f>VLOOKUP(A526,'Grondslagen AU 2021'!A$1:DA$386,77,FALSE)</f>
        <v>7.42</v>
      </c>
      <c r="L526" s="124">
        <f>VLOOKUP(A526,'Grondslagen AU 2022'!A$1:DA$386,77,FALSE)</f>
        <v>7.7560000000000002</v>
      </c>
      <c r="M526" s="72"/>
      <c r="N526" s="124"/>
    </row>
    <row r="527" spans="1:15" x14ac:dyDescent="0.35">
      <c r="A527" s="72">
        <v>393</v>
      </c>
      <c r="B527" s="72">
        <v>7</v>
      </c>
      <c r="D527" s="72" t="s">
        <v>811</v>
      </c>
      <c r="F527" s="126">
        <f>VLOOKUP(A527,'IUSD Klassiek 2017'!B$11:E$398,4,FALSE)*1000</f>
        <v>5.1543101582169043E-2</v>
      </c>
      <c r="G527" s="126">
        <f>VLOOKUP(A527,'IUSD klassiek 2018'!B$11:E$390,4,FALSE)*1000</f>
        <v>2.8713166509810092E-2</v>
      </c>
      <c r="H527" s="124">
        <f>VLOOKUP(A527,'Grondslagen AU 2018'!A$1:DA$386,92,FALSE)</f>
        <v>2.8638237337119499E-2</v>
      </c>
      <c r="I527" s="124" t="e">
        <f>VLOOKUP(A527,'Grondslagen AU 2019'!A$1:DA$386,92,FALSE)</f>
        <v>#N/A</v>
      </c>
      <c r="J527" s="124" t="e">
        <f>VLOOKUP(A527,'Grondslagen AU 2020'!A$1:DA$386,77,FALSE)</f>
        <v>#N/A</v>
      </c>
      <c r="K527" s="124" t="e">
        <f>VLOOKUP(A527,'Grondslagen AU 2021'!A$1:DA$386,77,FALSE)</f>
        <v>#N/A</v>
      </c>
      <c r="L527" s="124" t="e">
        <f>VLOOKUP(A527,'Grondslagen AU 2022'!A$1:DA$386,77,FALSE)</f>
        <v>#N/A</v>
      </c>
      <c r="M527" s="72" t="s">
        <v>127</v>
      </c>
      <c r="N527" s="124"/>
    </row>
    <row r="528" spans="1:15" x14ac:dyDescent="0.35">
      <c r="A528" s="72">
        <v>394</v>
      </c>
      <c r="B528" s="72">
        <v>7</v>
      </c>
      <c r="D528" s="72" t="s">
        <v>127</v>
      </c>
      <c r="F528" s="126">
        <f>VLOOKUP(A528,'IUSD Klassiek 2017'!B$11:E$398,4,FALSE)*1000</f>
        <v>1.6550405572992488</v>
      </c>
      <c r="G528" s="126">
        <f>VLOOKUP(A528,'IUSD klassiek 2018'!B$11:E$390,4,FALSE)*1000</f>
        <v>0.76661989951339538</v>
      </c>
      <c r="H528" s="124">
        <f>VLOOKUP(A528,'Grondslagen AU 2018'!A$1:DA$386,92,FALSE)</f>
        <v>1.2915607576711701</v>
      </c>
      <c r="I528" s="124">
        <f>VLOOKUP(A528,'Grondslagen AU 2019'!A$1:DA$386,92,FALSE)</f>
        <v>1.75</v>
      </c>
      <c r="J528" s="124">
        <f>VLOOKUP(A528,'Grondslagen AU 2020'!A$1:DA$386,77,FALSE)</f>
        <v>1.8160000000000001</v>
      </c>
      <c r="K528" s="124">
        <f>VLOOKUP(A528,'Grondslagen AU 2021'!A$1:DA$386,77,FALSE)</f>
        <v>2.1890000000000001</v>
      </c>
      <c r="L528" s="124">
        <f>VLOOKUP(A528,'Grondslagen AU 2022'!A$1:DA$386,77,FALSE)</f>
        <v>2.7930000000000001</v>
      </c>
      <c r="M528" s="72" t="s">
        <v>127</v>
      </c>
      <c r="N528" s="124"/>
    </row>
    <row r="529" spans="1:15" x14ac:dyDescent="0.35">
      <c r="A529" s="72">
        <v>396</v>
      </c>
      <c r="B529" s="72">
        <v>7</v>
      </c>
      <c r="D529" s="72" t="s">
        <v>134</v>
      </c>
      <c r="F529" s="126">
        <f>VLOOKUP(A529,'IUSD Klassiek 2017'!B$11:E$398,4,FALSE)*1000</f>
        <v>1.7903695881030939</v>
      </c>
      <c r="G529" s="126">
        <f>VLOOKUP(A529,'IUSD klassiek 2018'!B$11:E$390,4,FALSE)*1000</f>
        <v>1.8133801325152492</v>
      </c>
      <c r="H529" s="124">
        <f>VLOOKUP(A529,'Grondslagen AU 2018'!A$1:DA$386,92,FALSE)</f>
        <v>1.7136830976459201</v>
      </c>
      <c r="I529" s="124">
        <f>VLOOKUP(A529,'Grondslagen AU 2019'!A$1:DA$386,92,FALSE)</f>
        <v>1.827</v>
      </c>
      <c r="J529" s="124">
        <f>VLOOKUP(A529,'Grondslagen AU 2020'!A$1:DA$386,77,FALSE)</f>
        <v>1.718</v>
      </c>
      <c r="K529" s="124">
        <f>VLOOKUP(A529,'Grondslagen AU 2021'!A$1:DA$386,77,FALSE)</f>
        <v>1.829</v>
      </c>
      <c r="L529" s="124">
        <f>VLOOKUP(A529,'Grondslagen AU 2022'!A$1:DA$386,77,FALSE)</f>
        <v>1.861</v>
      </c>
      <c r="M529" s="72"/>
      <c r="N529" s="124"/>
    </row>
    <row r="530" spans="1:15" x14ac:dyDescent="0.35">
      <c r="A530" s="72">
        <v>397</v>
      </c>
      <c r="B530" s="72">
        <v>7</v>
      </c>
      <c r="D530" s="72" t="s">
        <v>135</v>
      </c>
      <c r="F530" s="126">
        <f>VLOOKUP(A530,'IUSD Klassiek 2017'!B$11:E$398,4,FALSE)*1000</f>
        <v>0.22052213272250856</v>
      </c>
      <c r="G530" s="126">
        <f>VLOOKUP(A530,'IUSD klassiek 2018'!B$11:E$390,4,FALSE)*1000</f>
        <v>0.11463079504835717</v>
      </c>
      <c r="H530" s="124">
        <f>VLOOKUP(A530,'Grondslagen AU 2018'!A$1:DA$386,92,FALSE)</f>
        <v>0.113691989681698</v>
      </c>
      <c r="I530" s="124">
        <f>VLOOKUP(A530,'Grondslagen AU 2019'!A$1:DA$386,92,FALSE)</f>
        <v>0.12</v>
      </c>
      <c r="J530" s="124">
        <f>VLOOKUP(A530,'Grondslagen AU 2020'!A$1:DA$386,77,FALSE)</f>
        <v>0.121</v>
      </c>
      <c r="K530" s="124">
        <f>VLOOKUP(A530,'Grondslagen AU 2021'!A$1:DA$386,77,FALSE)</f>
        <v>0.17799999999999999</v>
      </c>
      <c r="L530" s="124">
        <f>VLOOKUP(A530,'Grondslagen AU 2022'!A$1:DA$386,77,FALSE)</f>
        <v>0.17299999999999999</v>
      </c>
      <c r="M530" s="72"/>
      <c r="N530" s="124"/>
    </row>
    <row r="531" spans="1:15" x14ac:dyDescent="0.35">
      <c r="A531" s="72">
        <v>398</v>
      </c>
      <c r="B531" s="72">
        <v>7</v>
      </c>
      <c r="D531" s="72" t="s">
        <v>138</v>
      </c>
      <c r="F531" s="126">
        <f>VLOOKUP(A531,'IUSD Klassiek 2017'!B$11:E$398,4,FALSE)*1000</f>
        <v>1.213098791097595</v>
      </c>
      <c r="G531" s="126">
        <f>VLOOKUP(A531,'IUSD klassiek 2018'!B$11:E$390,4,FALSE)*1000</f>
        <v>1.0645356717945882</v>
      </c>
      <c r="H531" s="124">
        <f>VLOOKUP(A531,'Grondslagen AU 2018'!A$1:DA$386,92,FALSE)</f>
        <v>1.13594322585963</v>
      </c>
      <c r="I531" s="124">
        <f>VLOOKUP(A531,'Grondslagen AU 2019'!A$1:DA$386,92,FALSE)</f>
        <v>1.135</v>
      </c>
      <c r="J531" s="124">
        <f>VLOOKUP(A531,'Grondslagen AU 2020'!A$1:DA$386,77,FALSE)</f>
        <v>1.2130000000000001</v>
      </c>
      <c r="K531" s="124">
        <f>VLOOKUP(A531,'Grondslagen AU 2021'!A$1:DA$386,77,FALSE)</f>
        <v>1.3029999999999999</v>
      </c>
      <c r="L531" s="124" t="e">
        <f>VLOOKUP(A531,'Grondslagen AU 2022'!A$1:DA$386,77,FALSE)</f>
        <v>#N/A</v>
      </c>
      <c r="M531" s="72"/>
      <c r="N531" s="124"/>
      <c r="O531" t="s">
        <v>1303</v>
      </c>
    </row>
    <row r="532" spans="1:15" x14ac:dyDescent="0.35">
      <c r="A532" s="72">
        <v>399</v>
      </c>
      <c r="B532" s="72">
        <v>7</v>
      </c>
      <c r="D532" s="72" t="s">
        <v>141</v>
      </c>
      <c r="F532" s="126">
        <f>VLOOKUP(A532,'IUSD Klassiek 2017'!B$11:E$398,4,FALSE)*1000</f>
        <v>0.22463424393202519</v>
      </c>
      <c r="G532" s="126">
        <f>VLOOKUP(A532,'IUSD klassiek 2018'!B$11:E$390,4,FALSE)*1000</f>
        <v>0.25691562011584079</v>
      </c>
      <c r="H532" s="124">
        <f>VLOOKUP(A532,'Grondslagen AU 2018'!A$1:DA$386,92,FALSE)</f>
        <v>0.29530973239872499</v>
      </c>
      <c r="I532" s="124">
        <f>VLOOKUP(A532,'Grondslagen AU 2019'!A$1:DA$386,92,FALSE)</f>
        <v>0.23200000000000001</v>
      </c>
      <c r="J532" s="124">
        <f>VLOOKUP(A532,'Grondslagen AU 2020'!A$1:DA$386,77,FALSE)</f>
        <v>0.24399999999999999</v>
      </c>
      <c r="K532" s="124">
        <f>VLOOKUP(A532,'Grondslagen AU 2021'!A$1:DA$386,77,FALSE)</f>
        <v>0.20799999999999999</v>
      </c>
      <c r="L532" s="124">
        <f>VLOOKUP(A532,'Grondslagen AU 2022'!A$1:DA$386,77,FALSE)</f>
        <v>0.28000000000000003</v>
      </c>
      <c r="M532" s="72"/>
      <c r="N532" s="124"/>
    </row>
    <row r="533" spans="1:15" x14ac:dyDescent="0.35">
      <c r="A533" s="72">
        <v>402</v>
      </c>
      <c r="B533" s="72">
        <v>7</v>
      </c>
      <c r="D533" s="72" t="s">
        <v>152</v>
      </c>
      <c r="F533" s="126">
        <f>VLOOKUP(A533,'IUSD Klassiek 2017'!B$11:E$398,4,FALSE)*1000</f>
        <v>4.0479180324880781</v>
      </c>
      <c r="G533" s="126">
        <f>VLOOKUP(A533,'IUSD klassiek 2018'!B$11:E$390,4,FALSE)*1000</f>
        <v>4.0087739202567354</v>
      </c>
      <c r="H533" s="124">
        <f>VLOOKUP(A533,'Grondslagen AU 2018'!A$1:DA$386,92,FALSE)</f>
        <v>4.1398346843662397</v>
      </c>
      <c r="I533" s="124">
        <f>VLOOKUP(A533,'Grondslagen AU 2019'!A$1:DA$386,92,FALSE)</f>
        <v>4.6529999999999996</v>
      </c>
      <c r="J533" s="124">
        <f>VLOOKUP(A533,'Grondslagen AU 2020'!A$1:DA$386,77,FALSE)</f>
        <v>4.6130000000000004</v>
      </c>
      <c r="K533" s="124">
        <f>VLOOKUP(A533,'Grondslagen AU 2021'!A$1:DA$386,77,FALSE)</f>
        <v>4.7030000000000003</v>
      </c>
      <c r="L533" s="124">
        <f>VLOOKUP(A533,'Grondslagen AU 2022'!A$1:DA$386,77,FALSE)</f>
        <v>4.7469999999999999</v>
      </c>
      <c r="M533" s="72"/>
      <c r="N533" s="124"/>
    </row>
    <row r="534" spans="1:15" x14ac:dyDescent="0.35">
      <c r="A534" s="72">
        <v>1911</v>
      </c>
      <c r="B534" s="72">
        <v>7</v>
      </c>
      <c r="D534" s="72" t="s">
        <v>155</v>
      </c>
      <c r="F534" s="126">
        <f>VLOOKUP(A534,'IUSD Klassiek 2017'!B$11:E$398,4,FALSE)*1000</f>
        <v>0.74498914507501934</v>
      </c>
      <c r="G534" s="126">
        <f>VLOOKUP(A534,'IUSD klassiek 2018'!B$11:E$390,4,FALSE)*1000</f>
        <v>0.64730815664953922</v>
      </c>
      <c r="H534" s="124">
        <f>VLOOKUP(A534,'Grondslagen AU 2018'!A$1:DA$386,92,FALSE)</f>
        <v>0.56016964884639198</v>
      </c>
      <c r="I534" s="124">
        <f>VLOOKUP(A534,'Grondslagen AU 2019'!A$1:DA$386,92,FALSE)</f>
        <v>0.6</v>
      </c>
      <c r="J534" s="124">
        <f>VLOOKUP(A534,'Grondslagen AU 2020'!A$1:DA$386,77,FALSE)</f>
        <v>0.623</v>
      </c>
      <c r="K534" s="124">
        <f>VLOOKUP(A534,'Grondslagen AU 2021'!A$1:DA$386,77,FALSE)</f>
        <v>0.64200000000000002</v>
      </c>
      <c r="L534" s="124">
        <f>VLOOKUP(A534,'Grondslagen AU 2022'!A$1:DA$386,77,FALSE)</f>
        <v>0.68500000000000005</v>
      </c>
      <c r="M534" s="72"/>
      <c r="N534" s="124"/>
    </row>
    <row r="535" spans="1:15" x14ac:dyDescent="0.35">
      <c r="A535" s="72">
        <v>405</v>
      </c>
      <c r="B535" s="72">
        <v>7</v>
      </c>
      <c r="D535" s="72" t="s">
        <v>157</v>
      </c>
      <c r="F535" s="126">
        <f>VLOOKUP(A535,'IUSD Klassiek 2017'!B$11:E$398,4,FALSE)*1000</f>
        <v>3.3514803341439978</v>
      </c>
      <c r="G535" s="126">
        <f>VLOOKUP(A535,'IUSD klassiek 2018'!B$11:E$390,4,FALSE)*1000</f>
        <v>3.5990750385630901</v>
      </c>
      <c r="H535" s="124">
        <f>VLOOKUP(A535,'Grondslagen AU 2018'!A$1:DA$386,92,FALSE)</f>
        <v>3.6032888167167498</v>
      </c>
      <c r="I535" s="124">
        <f>VLOOKUP(A535,'Grondslagen AU 2019'!A$1:DA$386,92,FALSE)</f>
        <v>3.4460000000000002</v>
      </c>
      <c r="J535" s="124">
        <f>VLOOKUP(A535,'Grondslagen AU 2020'!A$1:DA$386,77,FALSE)</f>
        <v>3.4430000000000001</v>
      </c>
      <c r="K535" s="124">
        <f>VLOOKUP(A535,'Grondslagen AU 2021'!A$1:DA$386,77,FALSE)</f>
        <v>3.661</v>
      </c>
      <c r="L535" s="124">
        <f>VLOOKUP(A535,'Grondslagen AU 2022'!A$1:DA$386,77,FALSE)</f>
        <v>3.46</v>
      </c>
      <c r="M535" s="72"/>
      <c r="N535" s="124"/>
    </row>
    <row r="536" spans="1:15" x14ac:dyDescent="0.35">
      <c r="A536" s="72">
        <v>406</v>
      </c>
      <c r="B536" s="72">
        <v>7</v>
      </c>
      <c r="D536" s="72" t="s">
        <v>160</v>
      </c>
      <c r="F536" s="126">
        <f>VLOOKUP(A536,'IUSD Klassiek 2017'!B$11:E$398,4,FALSE)*1000</f>
        <v>1.2867324284799464</v>
      </c>
      <c r="G536" s="126">
        <f>VLOOKUP(A536,'IUSD klassiek 2018'!B$11:E$390,4,FALSE)*1000</f>
        <v>1.3476688861401815</v>
      </c>
      <c r="H536" s="124">
        <f>VLOOKUP(A536,'Grondslagen AU 2018'!A$1:DA$386,92,FALSE)</f>
        <v>1.4816779043309201</v>
      </c>
      <c r="I536" s="124">
        <f>VLOOKUP(A536,'Grondslagen AU 2019'!A$1:DA$386,92,FALSE)</f>
        <v>1.4710000000000001</v>
      </c>
      <c r="J536" s="124">
        <f>VLOOKUP(A536,'Grondslagen AU 2020'!A$1:DA$386,77,FALSE)</f>
        <v>1.502</v>
      </c>
      <c r="K536" s="124">
        <f>VLOOKUP(A536,'Grondslagen AU 2021'!A$1:DA$386,77,FALSE)</f>
        <v>1.3759999999999999</v>
      </c>
      <c r="L536" s="124">
        <f>VLOOKUP(A536,'Grondslagen AU 2022'!A$1:DA$386,77,FALSE)</f>
        <v>1.329</v>
      </c>
      <c r="M536" s="72"/>
      <c r="N536" s="124"/>
    </row>
    <row r="537" spans="1:15" x14ac:dyDescent="0.35">
      <c r="A537" s="72">
        <v>1598</v>
      </c>
      <c r="B537" s="72">
        <v>7</v>
      </c>
      <c r="D537" s="72" t="s">
        <v>168</v>
      </c>
      <c r="F537" s="126">
        <f>VLOOKUP(A537,'IUSD Klassiek 2017'!B$11:E$398,4,FALSE)*1000</f>
        <v>0.13202626946259743</v>
      </c>
      <c r="G537" s="126">
        <f>VLOOKUP(A537,'IUSD klassiek 2018'!B$11:E$390,4,FALSE)*1000</f>
        <v>0.10985674338245754</v>
      </c>
      <c r="H537" s="124">
        <f>VLOOKUP(A537,'Grondslagen AU 2018'!A$1:DA$386,92,FALSE)</f>
        <v>0.108511127125457</v>
      </c>
      <c r="I537" s="124">
        <f>VLOOKUP(A537,'Grondslagen AU 2019'!A$1:DA$386,92,FALSE)</f>
        <v>0.114</v>
      </c>
      <c r="J537" s="124">
        <f>VLOOKUP(A537,'Grondslagen AU 2020'!A$1:DA$386,77,FALSE)</f>
        <v>0.11600000000000001</v>
      </c>
      <c r="K537" s="124">
        <f>VLOOKUP(A537,'Grondslagen AU 2021'!A$1:DA$386,77,FALSE)</f>
        <v>0.114</v>
      </c>
      <c r="L537" s="124">
        <f>VLOOKUP(A537,'Grondslagen AU 2022'!A$1:DA$386,77,FALSE)</f>
        <v>0.115</v>
      </c>
      <c r="M537" s="72"/>
      <c r="N537" s="124"/>
    </row>
    <row r="538" spans="1:15" x14ac:dyDescent="0.35">
      <c r="A538" s="72">
        <v>415</v>
      </c>
      <c r="B538" s="72">
        <v>7</v>
      </c>
      <c r="D538" s="72" t="s">
        <v>174</v>
      </c>
      <c r="F538" s="126">
        <f>VLOOKUP(A538,'IUSD Klassiek 2017'!B$11:E$398,4,FALSE)*1000</f>
        <v>8.0245278681522272E-2</v>
      </c>
      <c r="G538" s="126">
        <f>VLOOKUP(A538,'IUSD klassiek 2018'!B$11:E$390,4,FALSE)*1000</f>
        <v>5.2866501620780104E-2</v>
      </c>
      <c r="H538" s="124">
        <f>VLOOKUP(A538,'Grondslagen AU 2018'!A$1:DA$386,92,FALSE)</f>
        <v>5.3636276784868903E-2</v>
      </c>
      <c r="I538" s="124">
        <f>VLOOKUP(A538,'Grondslagen AU 2019'!A$1:DA$386,92,FALSE)</f>
        <v>6.6000000000000003E-2</v>
      </c>
      <c r="J538" s="124">
        <f>VLOOKUP(A538,'Grondslagen AU 2020'!A$1:DA$386,77,FALSE)</f>
        <v>8.3000000000000004E-2</v>
      </c>
      <c r="K538" s="124">
        <f>VLOOKUP(A538,'Grondslagen AU 2021'!A$1:DA$386,77,FALSE)</f>
        <v>8.4000000000000005E-2</v>
      </c>
      <c r="L538" s="124">
        <f>VLOOKUP(A538,'Grondslagen AU 2022'!A$1:DA$386,77,FALSE)</f>
        <v>0.10100000000000001</v>
      </c>
      <c r="M538" s="72"/>
      <c r="N538" s="124"/>
    </row>
    <row r="539" spans="1:15" x14ac:dyDescent="0.35">
      <c r="A539" s="72">
        <v>416</v>
      </c>
      <c r="B539" s="72">
        <v>7</v>
      </c>
      <c r="D539" s="72" t="s">
        <v>175</v>
      </c>
      <c r="F539" s="126">
        <f>VLOOKUP(A539,'IUSD Klassiek 2017'!B$11:E$398,4,FALSE)*1000</f>
        <v>0.22779536462045052</v>
      </c>
      <c r="G539" s="126">
        <f>VLOOKUP(A539,'IUSD klassiek 2018'!B$11:E$390,4,FALSE)*1000</f>
        <v>0.20566276328503441</v>
      </c>
      <c r="H539" s="124">
        <f>VLOOKUP(A539,'Grondslagen AU 2018'!A$1:DA$386,92,FALSE)</f>
        <v>0.227923280027057</v>
      </c>
      <c r="I539" s="124">
        <f>VLOOKUP(A539,'Grondslagen AU 2019'!A$1:DA$386,92,FALSE)</f>
        <v>0.35799999999999998</v>
      </c>
      <c r="J539" s="124">
        <f>VLOOKUP(A539,'Grondslagen AU 2020'!A$1:DA$386,77,FALSE)</f>
        <v>0.30499999999999999</v>
      </c>
      <c r="K539" s="124">
        <f>VLOOKUP(A539,'Grondslagen AU 2021'!A$1:DA$386,77,FALSE)</f>
        <v>0.23599999999999999</v>
      </c>
      <c r="L539" s="124" t="e">
        <f>VLOOKUP(A539,'Grondslagen AU 2022'!A$1:DA$386,77,FALSE)</f>
        <v>#N/A</v>
      </c>
      <c r="M539" s="72"/>
      <c r="N539" s="124"/>
      <c r="O539" t="s">
        <v>1303</v>
      </c>
    </row>
    <row r="540" spans="1:15" x14ac:dyDescent="0.35">
      <c r="A540" s="72">
        <v>417</v>
      </c>
      <c r="B540" s="72">
        <v>7</v>
      </c>
      <c r="D540" s="72" t="s">
        <v>177</v>
      </c>
      <c r="F540" s="126">
        <f>VLOOKUP(A540,'IUSD Klassiek 2017'!B$11:E$398,4,FALSE)*1000</f>
        <v>6.8265875891322728E-2</v>
      </c>
      <c r="G540" s="126">
        <f>VLOOKUP(A540,'IUSD klassiek 2018'!B$11:E$390,4,FALSE)*1000</f>
        <v>4.4603719891338309E-2</v>
      </c>
      <c r="H540" s="124">
        <f>VLOOKUP(A540,'Grondslagen AU 2018'!A$1:DA$386,92,FALSE)</f>
        <v>4.4603752561452499E-2</v>
      </c>
      <c r="I540" s="124">
        <f>VLOOKUP(A540,'Grondslagen AU 2019'!A$1:DA$386,92,FALSE)</f>
        <v>9.6000000000000002E-2</v>
      </c>
      <c r="J540" s="124">
        <f>VLOOKUP(A540,'Grondslagen AU 2020'!A$1:DA$386,77,FALSE)</f>
        <v>8.3000000000000004E-2</v>
      </c>
      <c r="K540" s="124">
        <f>VLOOKUP(A540,'Grondslagen AU 2021'!A$1:DA$386,77,FALSE)</f>
        <v>7.1999999999999995E-2</v>
      </c>
      <c r="L540" s="124">
        <f>VLOOKUP(A540,'Grondslagen AU 2022'!A$1:DA$386,77,FALSE)</f>
        <v>6.0999999999999999E-2</v>
      </c>
      <c r="M540" s="72"/>
      <c r="N540" s="124"/>
    </row>
    <row r="541" spans="1:15" x14ac:dyDescent="0.35">
      <c r="A541" s="72">
        <v>420</v>
      </c>
      <c r="B541" s="72">
        <v>7</v>
      </c>
      <c r="D541" s="72" t="s">
        <v>196</v>
      </c>
      <c r="F541" s="126">
        <f>VLOOKUP(A541,'IUSD Klassiek 2017'!B$11:E$398,4,FALSE)*1000</f>
        <v>0.6000507492422793</v>
      </c>
      <c r="G541" s="126">
        <f>VLOOKUP(A541,'IUSD klassiek 2018'!B$11:E$390,4,FALSE)*1000</f>
        <v>0.47870008981625706</v>
      </c>
      <c r="H541" s="124">
        <f>VLOOKUP(A541,'Grondslagen AU 2018'!A$1:DA$386,92,FALSE)</f>
        <v>0.55004266060197005</v>
      </c>
      <c r="I541" s="124">
        <f>VLOOKUP(A541,'Grondslagen AU 2019'!A$1:DA$386,92,FALSE)</f>
        <v>0.66800000000000004</v>
      </c>
      <c r="J541" s="124">
        <f>VLOOKUP(A541,'Grondslagen AU 2020'!A$1:DA$386,77,FALSE)</f>
        <v>0.61199999999999999</v>
      </c>
      <c r="K541" s="124">
        <f>VLOOKUP(A541,'Grondslagen AU 2021'!A$1:DA$386,77,FALSE)</f>
        <v>0.65600000000000003</v>
      </c>
      <c r="L541" s="124">
        <f>VLOOKUP(A541,'Grondslagen AU 2022'!A$1:DA$386,77,FALSE)</f>
        <v>0.624</v>
      </c>
      <c r="M541" s="72"/>
      <c r="N541" s="124"/>
    </row>
    <row r="542" spans="1:15" x14ac:dyDescent="0.35">
      <c r="A542" s="72">
        <v>431</v>
      </c>
      <c r="B542" s="72">
        <v>7</v>
      </c>
      <c r="D542" s="72" t="s">
        <v>235</v>
      </c>
      <c r="F542" s="126">
        <f>VLOOKUP(A542,'IUSD Klassiek 2017'!B$11:E$398,4,FALSE)*1000</f>
        <v>6.2258587907817034E-2</v>
      </c>
      <c r="G542" s="126">
        <f>VLOOKUP(A542,'IUSD klassiek 2018'!B$11:E$390,4,FALSE)*1000</f>
        <v>4.6638812428404584E-2</v>
      </c>
      <c r="H542" s="124">
        <f>VLOOKUP(A542,'Grondslagen AU 2018'!A$1:DA$386,92,FALSE)</f>
        <v>4.6725942617288602E-2</v>
      </c>
      <c r="I542" s="124">
        <f>VLOOKUP(A542,'Grondslagen AU 2019'!A$1:DA$386,92,FALSE)</f>
        <v>5.8999999999999997E-2</v>
      </c>
      <c r="J542" s="124">
        <f>VLOOKUP(A542,'Grondslagen AU 2020'!A$1:DA$386,77,FALSE)</f>
        <v>5.8000000000000003E-2</v>
      </c>
      <c r="K542" s="124">
        <f>VLOOKUP(A542,'Grondslagen AU 2021'!A$1:DA$386,77,FALSE)</f>
        <v>0.15</v>
      </c>
      <c r="L542" s="124">
        <f>VLOOKUP(A542,'Grondslagen AU 2022'!A$1:DA$386,77,FALSE)</f>
        <v>0.12</v>
      </c>
      <c r="M542" s="72"/>
      <c r="N542" s="124"/>
    </row>
    <row r="543" spans="1:15" x14ac:dyDescent="0.35">
      <c r="A543" s="72">
        <v>432</v>
      </c>
      <c r="B543" s="72">
        <v>7</v>
      </c>
      <c r="D543" s="72" t="s">
        <v>236</v>
      </c>
      <c r="F543" s="126">
        <f>VLOOKUP(A543,'IUSD Klassiek 2017'!B$11:E$398,4,FALSE)*1000</f>
        <v>7.5926698091936792E-2</v>
      </c>
      <c r="G543" s="126">
        <f>VLOOKUP(A543,'IUSD klassiek 2018'!B$11:E$390,4,FALSE)*1000</f>
        <v>0.10462306390881154</v>
      </c>
      <c r="H543" s="124">
        <f>VLOOKUP(A543,'Grondslagen AU 2018'!A$1:DA$386,92,FALSE)</f>
        <v>7.35331544978685E-2</v>
      </c>
      <c r="I543" s="124">
        <f>VLOOKUP(A543,'Grondslagen AU 2019'!A$1:DA$386,92,FALSE)</f>
        <v>5.8999999999999997E-2</v>
      </c>
      <c r="J543" s="124">
        <f>VLOOKUP(A543,'Grondslagen AU 2020'!A$1:DA$386,77,FALSE)</f>
        <v>6.0999999999999999E-2</v>
      </c>
      <c r="K543" s="124">
        <f>VLOOKUP(A543,'Grondslagen AU 2021'!A$1:DA$386,77,FALSE)</f>
        <v>0.06</v>
      </c>
      <c r="L543" s="124">
        <f>VLOOKUP(A543,'Grondslagen AU 2022'!A$1:DA$386,77,FALSE)</f>
        <v>0.06</v>
      </c>
      <c r="M543" s="72"/>
      <c r="N543" s="124"/>
    </row>
    <row r="544" spans="1:15" x14ac:dyDescent="0.35">
      <c r="A544" s="72">
        <v>437</v>
      </c>
      <c r="B544" s="72">
        <v>7</v>
      </c>
      <c r="D544" s="72" t="s">
        <v>240</v>
      </c>
      <c r="F544" s="126">
        <f>VLOOKUP(A544,'IUSD Klassiek 2017'!B$11:E$398,4,FALSE)*1000</f>
        <v>0.10490175674322851</v>
      </c>
      <c r="G544" s="126">
        <f>VLOOKUP(A544,'IUSD klassiek 2018'!B$11:E$390,4,FALSE)*1000</f>
        <v>9.4194616036402487E-2</v>
      </c>
      <c r="H544" s="124">
        <f>VLOOKUP(A544,'Grondslagen AU 2018'!A$1:DA$386,92,FALSE)</f>
        <v>7.49263105339604E-2</v>
      </c>
      <c r="I544" s="124">
        <f>VLOOKUP(A544,'Grondslagen AU 2019'!A$1:DA$386,92,FALSE)</f>
        <v>0.122</v>
      </c>
      <c r="J544" s="124">
        <f>VLOOKUP(A544,'Grondslagen AU 2020'!A$1:DA$386,77,FALSE)</f>
        <v>0.16200000000000001</v>
      </c>
      <c r="K544" s="124">
        <f>VLOOKUP(A544,'Grondslagen AU 2021'!A$1:DA$386,77,FALSE)</f>
        <v>0.20499999999999999</v>
      </c>
      <c r="L544" s="124">
        <f>VLOOKUP(A544,'Grondslagen AU 2022'!A$1:DA$386,77,FALSE)</f>
        <v>0.251</v>
      </c>
      <c r="M544" s="72"/>
      <c r="N544" s="124"/>
    </row>
    <row r="545" spans="1:15" x14ac:dyDescent="0.35">
      <c r="A545" s="72">
        <v>439</v>
      </c>
      <c r="B545" s="72">
        <v>7</v>
      </c>
      <c r="D545" s="72" t="s">
        <v>247</v>
      </c>
      <c r="F545" s="126">
        <f>VLOOKUP(A545,'IUSD Klassiek 2017'!B$11:E$398,4,FALSE)*1000</f>
        <v>3.1819472188716698</v>
      </c>
      <c r="G545" s="126">
        <f>VLOOKUP(A545,'IUSD klassiek 2018'!B$11:E$390,4,FALSE)*1000</f>
        <v>3.2668826815071497</v>
      </c>
      <c r="H545" s="124">
        <f>VLOOKUP(A545,'Grondslagen AU 2018'!A$1:DA$386,92,FALSE)</f>
        <v>3.2821197763332899</v>
      </c>
      <c r="I545" s="124">
        <f>VLOOKUP(A545,'Grondslagen AU 2019'!A$1:DA$386,92,FALSE)</f>
        <v>3.18</v>
      </c>
      <c r="J545" s="124">
        <f>VLOOKUP(A545,'Grondslagen AU 2020'!A$1:DA$386,77,FALSE)</f>
        <v>3.1259999999999999</v>
      </c>
      <c r="K545" s="124">
        <f>VLOOKUP(A545,'Grondslagen AU 2021'!A$1:DA$386,77,FALSE)</f>
        <v>3.25</v>
      </c>
      <c r="L545" s="124">
        <f>VLOOKUP(A545,'Grondslagen AU 2022'!A$1:DA$386,77,FALSE)</f>
        <v>3.0289999999999999</v>
      </c>
      <c r="M545" s="72"/>
      <c r="N545" s="124"/>
      <c r="O545" t="s">
        <v>247</v>
      </c>
    </row>
    <row r="546" spans="1:15" x14ac:dyDescent="0.35">
      <c r="A546" s="72">
        <v>441</v>
      </c>
      <c r="B546" s="72">
        <v>7</v>
      </c>
      <c r="D546" s="72" t="s">
        <v>265</v>
      </c>
      <c r="F546" s="126">
        <f>VLOOKUP(A546,'IUSD Klassiek 2017'!B$11:E$398,4,FALSE)*1000</f>
        <v>0.8407197839277305</v>
      </c>
      <c r="G546" s="126">
        <f>VLOOKUP(A546,'IUSD klassiek 2018'!B$11:E$390,4,FALSE)*1000</f>
        <v>0.67602422153642971</v>
      </c>
      <c r="H546" s="124">
        <f>VLOOKUP(A546,'Grondslagen AU 2018'!A$1:DA$386,92,FALSE)</f>
        <v>0.52384665085096305</v>
      </c>
      <c r="I546" s="124">
        <f>VLOOKUP(A546,'Grondslagen AU 2019'!A$1:DA$386,92,FALSE)</f>
        <v>0.70099999999999996</v>
      </c>
      <c r="J546" s="124">
        <f>VLOOKUP(A546,'Grondslagen AU 2020'!A$1:DA$386,77,FALSE)</f>
        <v>0.80100000000000005</v>
      </c>
      <c r="K546" s="124">
        <f>VLOOKUP(A546,'Grondslagen AU 2021'!A$1:DA$386,77,FALSE)</f>
        <v>0.80700000000000005</v>
      </c>
      <c r="L546" s="124">
        <f>VLOOKUP(A546,'Grondslagen AU 2022'!A$1:DA$386,77,FALSE)</f>
        <v>0.79500000000000004</v>
      </c>
      <c r="M546" s="72"/>
      <c r="N546" s="124"/>
    </row>
    <row r="547" spans="1:15" x14ac:dyDescent="0.35">
      <c r="A547" s="72">
        <v>532</v>
      </c>
      <c r="B547" s="72">
        <v>7</v>
      </c>
      <c r="D547" s="72" t="s">
        <v>284</v>
      </c>
      <c r="F547" s="126">
        <f>VLOOKUP(A547,'IUSD Klassiek 2017'!B$11:E$398,4,FALSE)*1000</f>
        <v>0.3578783656529656</v>
      </c>
      <c r="G547" s="126">
        <f>VLOOKUP(A547,'IUSD klassiek 2018'!B$11:E$390,4,FALSE)*1000</f>
        <v>0.48931211519184892</v>
      </c>
      <c r="H547" s="124">
        <f>VLOOKUP(A547,'Grondslagen AU 2018'!A$1:DA$386,92,FALSE)</f>
        <v>0.47577986353759499</v>
      </c>
      <c r="I547" s="124">
        <f>VLOOKUP(A547,'Grondslagen AU 2019'!A$1:DA$386,92,FALSE)</f>
        <v>0.48499999999999999</v>
      </c>
      <c r="J547" s="124">
        <f>VLOOKUP(A547,'Grondslagen AU 2020'!A$1:DA$386,77,FALSE)</f>
        <v>0.47399999999999998</v>
      </c>
      <c r="K547" s="124">
        <f>VLOOKUP(A547,'Grondslagen AU 2021'!A$1:DA$386,77,FALSE)</f>
        <v>0.42799999999999999</v>
      </c>
      <c r="L547" s="124">
        <f>VLOOKUP(A547,'Grondslagen AU 2022'!A$1:DA$386,77,FALSE)</f>
        <v>0.32200000000000001</v>
      </c>
      <c r="M547" s="72"/>
      <c r="N547" s="124"/>
    </row>
    <row r="548" spans="1:15" x14ac:dyDescent="0.35">
      <c r="A548" s="72">
        <v>448</v>
      </c>
      <c r="B548" s="72">
        <v>7</v>
      </c>
      <c r="D548" s="72" t="s">
        <v>292</v>
      </c>
      <c r="F548" s="126">
        <f>VLOOKUP(A548,'IUSD Klassiek 2017'!B$11:E$398,4,FALSE)*1000</f>
        <v>0.17065132730073435</v>
      </c>
      <c r="G548" s="126">
        <f>VLOOKUP(A548,'IUSD klassiek 2018'!B$11:E$390,4,FALSE)*1000</f>
        <v>0.11289730088663391</v>
      </c>
      <c r="H548" s="124">
        <f>VLOOKUP(A548,'Grondslagen AU 2018'!A$1:DA$386,92,FALSE)</f>
        <v>9.4951597646269398E-2</v>
      </c>
      <c r="I548" s="124">
        <f>VLOOKUP(A548,'Grondslagen AU 2019'!A$1:DA$386,92,FALSE)</f>
        <v>0.09</v>
      </c>
      <c r="J548" s="124">
        <f>VLOOKUP(A548,'Grondslagen AU 2020'!A$1:DA$386,77,FALSE)</f>
        <v>0.13200000000000001</v>
      </c>
      <c r="K548" s="124">
        <f>VLOOKUP(A548,'Grondslagen AU 2021'!A$1:DA$386,77,FALSE)</f>
        <v>0.193</v>
      </c>
      <c r="L548" s="124">
        <f>VLOOKUP(A548,'Grondslagen AU 2022'!A$1:DA$386,77,FALSE)</f>
        <v>0.20499999999999999</v>
      </c>
      <c r="M548" s="72"/>
      <c r="N548" s="124"/>
    </row>
    <row r="549" spans="1:15" x14ac:dyDescent="0.35">
      <c r="A549" s="72">
        <v>450</v>
      </c>
      <c r="B549" s="72">
        <v>7</v>
      </c>
      <c r="D549" s="72" t="s">
        <v>302</v>
      </c>
      <c r="F549" s="126">
        <f>VLOOKUP(A549,'IUSD Klassiek 2017'!B$11:E$398,4,FALSE)*1000</f>
        <v>0.10194129522165567</v>
      </c>
      <c r="G549" s="126">
        <f>VLOOKUP(A549,'IUSD klassiek 2018'!B$11:E$390,4,FALSE)*1000</f>
        <v>6.7203958066126307E-2</v>
      </c>
      <c r="H549" s="124">
        <f>VLOOKUP(A549,'Grondslagen AU 2018'!A$1:DA$386,92,FALSE)</f>
        <v>6.6595985453248893E-2</v>
      </c>
      <c r="I549" s="124">
        <f>VLOOKUP(A549,'Grondslagen AU 2019'!A$1:DA$386,92,FALSE)</f>
        <v>0.13100000000000001</v>
      </c>
      <c r="J549" s="124">
        <f>VLOOKUP(A549,'Grondslagen AU 2020'!A$1:DA$386,77,FALSE)</f>
        <v>0.17299999999999999</v>
      </c>
      <c r="K549" s="124">
        <f>VLOOKUP(A549,'Grondslagen AU 2021'!A$1:DA$386,77,FALSE)</f>
        <v>0.14099999999999999</v>
      </c>
      <c r="L549" s="124">
        <f>VLOOKUP(A549,'Grondslagen AU 2022'!A$1:DA$386,77,FALSE)</f>
        <v>0.14599999999999999</v>
      </c>
      <c r="M549" s="72"/>
      <c r="N549" s="124"/>
    </row>
    <row r="550" spans="1:15" x14ac:dyDescent="0.35">
      <c r="A550" s="72">
        <v>451</v>
      </c>
      <c r="B550" s="72">
        <v>7</v>
      </c>
      <c r="D550" s="72" t="s">
        <v>303</v>
      </c>
      <c r="F550" s="126">
        <f>VLOOKUP(A550,'IUSD Klassiek 2017'!B$11:E$398,4,FALSE)*1000</f>
        <v>0.26308785705448962</v>
      </c>
      <c r="G550" s="126">
        <f>VLOOKUP(A550,'IUSD klassiek 2018'!B$11:E$390,4,FALSE)*1000</f>
        <v>0.14486645559905525</v>
      </c>
      <c r="H550" s="124">
        <f>VLOOKUP(A550,'Grondslagen AU 2018'!A$1:DA$386,92,FALSE)</f>
        <v>0.14278336368554401</v>
      </c>
      <c r="I550" s="124">
        <f>VLOOKUP(A550,'Grondslagen AU 2019'!A$1:DA$386,92,FALSE)</f>
        <v>0.151</v>
      </c>
      <c r="J550" s="124">
        <f>VLOOKUP(A550,'Grondslagen AU 2020'!A$1:DA$386,77,FALSE)</f>
        <v>0.154</v>
      </c>
      <c r="K550" s="124">
        <f>VLOOKUP(A550,'Grondslagen AU 2021'!A$1:DA$386,77,FALSE)</f>
        <v>0.20499999999999999</v>
      </c>
      <c r="L550" s="124">
        <f>VLOOKUP(A550,'Grondslagen AU 2022'!A$1:DA$386,77,FALSE)</f>
        <v>0.373</v>
      </c>
      <c r="M550" s="72"/>
      <c r="N550" s="124"/>
    </row>
    <row r="551" spans="1:15" x14ac:dyDescent="0.35">
      <c r="A551" s="72">
        <v>453</v>
      </c>
      <c r="B551" s="72">
        <v>7</v>
      </c>
      <c r="D551" s="72" t="s">
        <v>314</v>
      </c>
      <c r="F551" s="126">
        <f>VLOOKUP(A551,'IUSD Klassiek 2017'!B$11:E$398,4,FALSE)*1000</f>
        <v>2.6910959271001418</v>
      </c>
      <c r="G551" s="126">
        <f>VLOOKUP(A551,'IUSD klassiek 2018'!B$11:E$390,4,FALSE)*1000</f>
        <v>2.4934389237071155</v>
      </c>
      <c r="H551" s="124">
        <f>VLOOKUP(A551,'Grondslagen AU 2018'!A$1:DA$386,92,FALSE)</f>
        <v>2.45178463098281</v>
      </c>
      <c r="I551" s="124">
        <f>VLOOKUP(A551,'Grondslagen AU 2019'!A$1:DA$386,92,FALSE)</f>
        <v>2.8380000000000001</v>
      </c>
      <c r="J551" s="124">
        <f>VLOOKUP(A551,'Grondslagen AU 2020'!A$1:DA$386,77,FALSE)</f>
        <v>2.8330000000000002</v>
      </c>
      <c r="K551" s="124">
        <f>VLOOKUP(A551,'Grondslagen AU 2021'!A$1:DA$386,77,FALSE)</f>
        <v>2.9750000000000001</v>
      </c>
      <c r="L551" s="124">
        <f>VLOOKUP(A551,'Grondslagen AU 2022'!A$1:DA$386,77,FALSE)</f>
        <v>3.077</v>
      </c>
      <c r="M551" s="72"/>
      <c r="N551" s="124"/>
    </row>
    <row r="552" spans="1:15" x14ac:dyDescent="0.35">
      <c r="A552" s="72">
        <v>852</v>
      </c>
      <c r="B552" s="72">
        <v>7</v>
      </c>
      <c r="D552" s="72" t="s">
        <v>331</v>
      </c>
      <c r="F552" s="126">
        <f>VLOOKUP(A552,'IUSD Klassiek 2017'!B$11:E$398,4,FALSE)*1000</f>
        <v>0.11574346503951891</v>
      </c>
      <c r="G552" s="126">
        <f>VLOOKUP(A552,'IUSD klassiek 2018'!B$11:E$390,4,FALSE)*1000</f>
        <v>8.0998213119999801E-2</v>
      </c>
      <c r="H552" s="124">
        <f>VLOOKUP(A552,'Grondslagen AU 2018'!A$1:DA$386,92,FALSE)</f>
        <v>7.9178080232690101E-2</v>
      </c>
      <c r="I552" s="124">
        <f>VLOOKUP(A552,'Grondslagen AU 2019'!A$1:DA$386,92,FALSE)</f>
        <v>8.2000000000000003E-2</v>
      </c>
      <c r="J552" s="124">
        <f>VLOOKUP(A552,'Grondslagen AU 2020'!A$1:DA$386,77,FALSE)</f>
        <v>0.113</v>
      </c>
      <c r="K552" s="124">
        <f>VLOOKUP(A552,'Grondslagen AU 2021'!A$1:DA$386,77,FALSE)</f>
        <v>0.154</v>
      </c>
      <c r="L552" s="124">
        <f>VLOOKUP(A552,'Grondslagen AU 2022'!A$1:DA$386,77,FALSE)</f>
        <v>0.158</v>
      </c>
      <c r="M552" s="72"/>
      <c r="N552" s="124"/>
    </row>
    <row r="553" spans="1:15" x14ac:dyDescent="0.35">
      <c r="A553" s="72">
        <v>457</v>
      </c>
      <c r="B553" s="72">
        <v>7</v>
      </c>
      <c r="D553" s="72" t="s">
        <v>333</v>
      </c>
      <c r="F553" s="126">
        <f>VLOOKUP(A553,'IUSD Klassiek 2017'!B$11:E$398,4,FALSE)*1000</f>
        <v>0.62222365937295787</v>
      </c>
      <c r="G553" s="126">
        <f>VLOOKUP(A553,'IUSD klassiek 2018'!B$11:E$390,4,FALSE)*1000</f>
        <v>0.81896139721607764</v>
      </c>
      <c r="H553" s="124">
        <f>VLOOKUP(A553,'Grondslagen AU 2018'!A$1:DA$386,92,FALSE)</f>
        <v>0.81096732091992296</v>
      </c>
      <c r="I553" s="124">
        <f>VLOOKUP(A553,'Grondslagen AU 2019'!A$1:DA$386,92,FALSE)</f>
        <v>0.76800000000000002</v>
      </c>
      <c r="J553" s="124">
        <f>VLOOKUP(A553,'Grondslagen AU 2020'!A$1:DA$386,77,FALSE)</f>
        <v>0.78500000000000003</v>
      </c>
      <c r="K553" s="124">
        <f>VLOOKUP(A553,'Grondslagen AU 2021'!A$1:DA$386,77,FALSE)</f>
        <v>0.83399999999999996</v>
      </c>
      <c r="L553" s="124" t="e">
        <f>VLOOKUP(A553,'Grondslagen AU 2022'!A$1:DA$386,77,FALSE)</f>
        <v>#N/A</v>
      </c>
      <c r="M553" s="72"/>
      <c r="N553" s="124"/>
      <c r="O553" t="s">
        <v>26</v>
      </c>
    </row>
    <row r="554" spans="1:15" x14ac:dyDescent="0.35">
      <c r="A554" s="72">
        <v>1696</v>
      </c>
      <c r="B554" s="72">
        <v>7</v>
      </c>
      <c r="D554" s="72" t="s">
        <v>345</v>
      </c>
      <c r="F554" s="126">
        <f>VLOOKUP(A554,'IUSD Klassiek 2017'!B$11:E$398,4,FALSE)*1000</f>
        <v>0.16270116675645035</v>
      </c>
      <c r="G554" s="126">
        <f>VLOOKUP(A554,'IUSD klassiek 2018'!B$11:E$390,4,FALSE)*1000</f>
        <v>0.10794406242656814</v>
      </c>
      <c r="H554" s="124">
        <f>VLOOKUP(A554,'Grondslagen AU 2018'!A$1:DA$386,92,FALSE)</f>
        <v>0.107265001291959</v>
      </c>
      <c r="I554" s="124">
        <f>VLOOKUP(A554,'Grondslagen AU 2019'!A$1:DA$386,92,FALSE)</f>
        <v>0.115</v>
      </c>
      <c r="J554" s="124">
        <f>VLOOKUP(A554,'Grondslagen AU 2020'!A$1:DA$386,77,FALSE)</f>
        <v>0.11899999999999999</v>
      </c>
      <c r="K554" s="124">
        <f>VLOOKUP(A554,'Grondslagen AU 2021'!A$1:DA$386,77,FALSE)</f>
        <v>0.11600000000000001</v>
      </c>
      <c r="L554" s="124">
        <f>VLOOKUP(A554,'Grondslagen AU 2022'!A$1:DA$386,77,FALSE)</f>
        <v>0.11700000000000001</v>
      </c>
      <c r="M554" s="72"/>
      <c r="N554" s="124"/>
    </row>
    <row r="555" spans="1:15" x14ac:dyDescent="0.35">
      <c r="A555" s="72">
        <v>880</v>
      </c>
      <c r="B555" s="72">
        <v>7</v>
      </c>
      <c r="D555" s="72" t="s">
        <v>350</v>
      </c>
      <c r="F555" s="126">
        <f>VLOOKUP(A555,'IUSD Klassiek 2017'!B$11:E$398,4,FALSE)*1000</f>
        <v>0.36321516656710279</v>
      </c>
      <c r="G555" s="126">
        <f>VLOOKUP(A555,'IUSD klassiek 2018'!B$11:E$390,4,FALSE)*1000</f>
        <v>0.19749684498308812</v>
      </c>
      <c r="H555" s="124">
        <f>VLOOKUP(A555,'Grondslagen AU 2018'!A$1:DA$386,92,FALSE)</f>
        <v>0.20036505948606501</v>
      </c>
      <c r="I555" s="124">
        <f>VLOOKUP(A555,'Grondslagen AU 2019'!A$1:DA$386,92,FALSE)</f>
        <v>0.248</v>
      </c>
      <c r="J555" s="124">
        <f>VLOOKUP(A555,'Grondslagen AU 2020'!A$1:DA$386,77,FALSE)</f>
        <v>0.27</v>
      </c>
      <c r="K555" s="124">
        <f>VLOOKUP(A555,'Grondslagen AU 2021'!A$1:DA$386,77,FALSE)</f>
        <v>0.314</v>
      </c>
      <c r="L555" s="124">
        <f>VLOOKUP(A555,'Grondslagen AU 2022'!A$1:DA$386,77,FALSE)</f>
        <v>0.30499999999999999</v>
      </c>
      <c r="M555" s="72"/>
      <c r="N555" s="124"/>
    </row>
    <row r="556" spans="1:15" x14ac:dyDescent="0.35">
      <c r="A556" s="72">
        <v>479</v>
      </c>
      <c r="B556" s="72">
        <v>7</v>
      </c>
      <c r="D556" s="72" t="s">
        <v>352</v>
      </c>
      <c r="F556" s="126">
        <f>VLOOKUP(A556,'IUSD Klassiek 2017'!B$11:E$398,4,FALSE)*1000</f>
        <v>8.726788092601641</v>
      </c>
      <c r="G556" s="126">
        <f>VLOOKUP(A556,'IUSD klassiek 2018'!B$11:E$390,4,FALSE)*1000</f>
        <v>9.3302609572809008</v>
      </c>
      <c r="H556" s="124">
        <f>VLOOKUP(A556,'Grondslagen AU 2018'!A$1:DA$386,92,FALSE)</f>
        <v>9.13339142537939</v>
      </c>
      <c r="I556" s="124">
        <f>VLOOKUP(A556,'Grondslagen AU 2019'!A$1:DA$386,92,FALSE)</f>
        <v>8.8330000000000002</v>
      </c>
      <c r="J556" s="124">
        <f>VLOOKUP(A556,'Grondslagen AU 2020'!A$1:DA$386,77,FALSE)</f>
        <v>8.51</v>
      </c>
      <c r="K556" s="124">
        <f>VLOOKUP(A556,'Grondslagen AU 2021'!A$1:DA$386,77,FALSE)</f>
        <v>8.5990000000000002</v>
      </c>
      <c r="L556" s="124">
        <f>VLOOKUP(A556,'Grondslagen AU 2022'!A$1:DA$386,77,FALSE)</f>
        <v>8.5280000000000005</v>
      </c>
      <c r="M556" s="72"/>
      <c r="N556" s="124"/>
    </row>
    <row r="557" spans="1:15" x14ac:dyDescent="0.35">
      <c r="A557" s="72">
        <v>473</v>
      </c>
      <c r="B557" s="72">
        <v>7</v>
      </c>
      <c r="D557" s="72" t="s">
        <v>354</v>
      </c>
      <c r="F557" s="126">
        <f>VLOOKUP(A557,'IUSD Klassiek 2017'!B$11:E$398,4,FALSE)*1000</f>
        <v>0.8976326953534669</v>
      </c>
      <c r="G557" s="126">
        <f>VLOOKUP(A557,'IUSD klassiek 2018'!B$11:E$390,4,FALSE)*1000</f>
        <v>0.8428537030146066</v>
      </c>
      <c r="H557" s="124">
        <f>VLOOKUP(A557,'Grondslagen AU 2018'!A$1:DA$386,92,FALSE)</f>
        <v>0.91014330775352603</v>
      </c>
      <c r="I557" s="124">
        <f>VLOOKUP(A557,'Grondslagen AU 2019'!A$1:DA$386,92,FALSE)</f>
        <v>0.96599999999999997</v>
      </c>
      <c r="J557" s="124">
        <f>VLOOKUP(A557,'Grondslagen AU 2020'!A$1:DA$386,77,FALSE)</f>
        <v>0.96499999999999997</v>
      </c>
      <c r="K557" s="124">
        <f>VLOOKUP(A557,'Grondslagen AU 2021'!A$1:DA$386,77,FALSE)</f>
        <v>1.0049999999999999</v>
      </c>
      <c r="L557" s="124">
        <f>VLOOKUP(A557,'Grondslagen AU 2022'!A$1:DA$386,77,FALSE)</f>
        <v>1.042</v>
      </c>
      <c r="M557" s="72"/>
      <c r="N557" s="124"/>
    </row>
    <row r="558" spans="1:15" x14ac:dyDescent="0.35">
      <c r="A558" s="72">
        <v>482</v>
      </c>
      <c r="B558" s="72">
        <v>8</v>
      </c>
      <c r="D558" s="72" t="s">
        <v>15</v>
      </c>
      <c r="F558" s="126">
        <f>VLOOKUP(A558,'IUSD Klassiek 2017'!B$11:E$398,4,FALSE)*1000</f>
        <v>0.47587051281036297</v>
      </c>
      <c r="G558" s="126">
        <f>VLOOKUP(A558,'IUSD klassiek 2018'!B$11:E$390,4,FALSE)*1000</f>
        <v>0.48755908992879909</v>
      </c>
      <c r="H558" s="124">
        <f>VLOOKUP(A558,'Grondslagen AU 2018'!A$1:DA$386,92,FALSE)</f>
        <v>0.56550237455141805</v>
      </c>
      <c r="I558" s="124">
        <f>VLOOKUP(A558,'Grondslagen AU 2019'!A$1:DA$386,92,FALSE)</f>
        <v>0.66900000000000004</v>
      </c>
      <c r="J558" s="124">
        <f>VLOOKUP(A558,'Grondslagen AU 2020'!A$1:DA$386,77,FALSE)</f>
        <v>0.748</v>
      </c>
      <c r="K558" s="124">
        <f>VLOOKUP(A558,'Grondslagen AU 2021'!A$1:DA$386,77,FALSE)</f>
        <v>0.75600000000000001</v>
      </c>
      <c r="L558" s="124">
        <f>VLOOKUP(A558,'Grondslagen AU 2022'!A$1:DA$386,77,FALSE)</f>
        <v>0.77600000000000002</v>
      </c>
      <c r="M558" s="72"/>
      <c r="N558" s="124"/>
    </row>
    <row r="559" spans="1:15" x14ac:dyDescent="0.35">
      <c r="A559" s="72">
        <v>613</v>
      </c>
      <c r="B559" s="72">
        <v>8</v>
      </c>
      <c r="D559" s="72" t="s">
        <v>16</v>
      </c>
      <c r="F559" s="126">
        <f>VLOOKUP(A559,'IUSD Klassiek 2017'!B$11:E$398,4,FALSE)*1000</f>
        <v>0.43464800058040493</v>
      </c>
      <c r="G559" s="126">
        <f>VLOOKUP(A559,'IUSD klassiek 2018'!B$11:E$390,4,FALSE)*1000</f>
        <v>0.31713856010037839</v>
      </c>
      <c r="H559" s="124">
        <f>VLOOKUP(A559,'Grondslagen AU 2018'!A$1:DA$386,92,FALSE)</f>
        <v>0.31395449208846099</v>
      </c>
      <c r="I559" s="124">
        <f>VLOOKUP(A559,'Grondslagen AU 2019'!A$1:DA$386,92,FALSE)</f>
        <v>0.39</v>
      </c>
      <c r="J559" s="124">
        <f>VLOOKUP(A559,'Grondslagen AU 2020'!A$1:DA$386,77,FALSE)</f>
        <v>0.47799999999999998</v>
      </c>
      <c r="K559" s="124">
        <f>VLOOKUP(A559,'Grondslagen AU 2021'!A$1:DA$386,77,FALSE)</f>
        <v>0.66300000000000003</v>
      </c>
      <c r="L559" s="124">
        <f>VLOOKUP(A559,'Grondslagen AU 2022'!A$1:DA$386,77,FALSE)</f>
        <v>0.66300000000000003</v>
      </c>
      <c r="M559" s="72"/>
      <c r="N559" s="124"/>
    </row>
    <row r="560" spans="1:15" x14ac:dyDescent="0.35">
      <c r="A560" s="72">
        <v>484</v>
      </c>
      <c r="B560" s="72">
        <v>8</v>
      </c>
      <c r="D560" s="72" t="s">
        <v>20</v>
      </c>
      <c r="F560" s="126">
        <f>VLOOKUP(A560,'IUSD Klassiek 2017'!B$11:E$398,4,FALSE)*1000</f>
        <v>1.9997972041626348</v>
      </c>
      <c r="G560" s="126">
        <f>VLOOKUP(A560,'IUSD klassiek 2018'!B$11:E$390,4,FALSE)*1000</f>
        <v>1.9761480563220353</v>
      </c>
      <c r="H560" s="124">
        <f>VLOOKUP(A560,'Grondslagen AU 2018'!A$1:DA$386,92,FALSE)</f>
        <v>2.2748551596813602</v>
      </c>
      <c r="I560" s="124">
        <f>VLOOKUP(A560,'Grondslagen AU 2019'!A$1:DA$386,92,FALSE)</f>
        <v>2.3210000000000002</v>
      </c>
      <c r="J560" s="124">
        <f>VLOOKUP(A560,'Grondslagen AU 2020'!A$1:DA$386,77,FALSE)</f>
        <v>2.3780000000000001</v>
      </c>
      <c r="K560" s="124">
        <f>VLOOKUP(A560,'Grondslagen AU 2021'!A$1:DA$386,77,FALSE)</f>
        <v>2.5489999999999999</v>
      </c>
      <c r="L560" s="124">
        <f>VLOOKUP(A560,'Grondslagen AU 2022'!A$1:DA$386,77,FALSE)</f>
        <v>2.415</v>
      </c>
      <c r="M560" s="72"/>
      <c r="N560" s="124"/>
    </row>
    <row r="561" spans="1:14" x14ac:dyDescent="0.35">
      <c r="A561" s="72">
        <v>489</v>
      </c>
      <c r="B561" s="72">
        <v>8</v>
      </c>
      <c r="D561" s="72" t="s">
        <v>34</v>
      </c>
      <c r="F561" s="126">
        <f>VLOOKUP(A561,'IUSD Klassiek 2017'!B$11:E$398,4,FALSE)*1000</f>
        <v>0.32970716979030451</v>
      </c>
      <c r="G561" s="126">
        <f>VLOOKUP(A561,'IUSD klassiek 2018'!B$11:E$390,4,FALSE)*1000</f>
        <v>0.23601717923291546</v>
      </c>
      <c r="H561" s="124">
        <f>VLOOKUP(A561,'Grondslagen AU 2018'!A$1:DA$386,92,FALSE)</f>
        <v>0.23525345280887999</v>
      </c>
      <c r="I561" s="124">
        <f>VLOOKUP(A561,'Grondslagen AU 2019'!A$1:DA$386,92,FALSE)</f>
        <v>0.46600000000000003</v>
      </c>
      <c r="J561" s="124">
        <f>VLOOKUP(A561,'Grondslagen AU 2020'!A$1:DA$386,77,FALSE)</f>
        <v>0.54800000000000004</v>
      </c>
      <c r="K561" s="124">
        <f>VLOOKUP(A561,'Grondslagen AU 2021'!A$1:DA$386,77,FALSE)</f>
        <v>0.47299999999999998</v>
      </c>
      <c r="L561" s="124">
        <f>VLOOKUP(A561,'Grondslagen AU 2022'!A$1:DA$386,77,FALSE)</f>
        <v>0.47899999999999998</v>
      </c>
      <c r="M561" s="72"/>
      <c r="N561" s="124"/>
    </row>
    <row r="562" spans="1:14" x14ac:dyDescent="0.35">
      <c r="A562" s="72">
        <v>585</v>
      </c>
      <c r="B562" s="72">
        <v>8</v>
      </c>
      <c r="D562" s="72" t="s">
        <v>812</v>
      </c>
      <c r="F562" s="126">
        <f>VLOOKUP(A562,'IUSD Klassiek 2017'!B$11:E$398,4,FALSE)*1000</f>
        <v>0.21350469388544446</v>
      </c>
      <c r="G562" s="126">
        <f>VLOOKUP(A562,'IUSD klassiek 2018'!B$11:E$390,4,FALSE)*1000</f>
        <v>0.13626704202137702</v>
      </c>
      <c r="H562" s="124">
        <f>VLOOKUP(A562,'Grondslagen AU 2018'!A$1:DA$386,92,FALSE)</f>
        <v>0.13536702690678501</v>
      </c>
      <c r="I562" s="124" t="e">
        <f>VLOOKUP(A562,'Grondslagen AU 2019'!A$1:DA$386,92,FALSE)</f>
        <v>#N/A</v>
      </c>
      <c r="J562" s="124" t="e">
        <f>VLOOKUP(A562,'Grondslagen AU 2020'!A$1:DA$386,77,FALSE)</f>
        <v>#N/A</v>
      </c>
      <c r="K562" s="124" t="e">
        <f>VLOOKUP(A562,'Grondslagen AU 2021'!A$1:DA$386,77,FALSE)</f>
        <v>#N/A</v>
      </c>
      <c r="L562" s="124" t="e">
        <f>VLOOKUP(A562,'Grondslagen AU 2022'!A$1:DA$386,77,FALSE)</f>
        <v>#N/A</v>
      </c>
      <c r="M562" s="72" t="s">
        <v>153</v>
      </c>
      <c r="N562" s="124"/>
    </row>
    <row r="563" spans="1:14" x14ac:dyDescent="0.35">
      <c r="A563" s="72">
        <v>1901</v>
      </c>
      <c r="B563" s="72">
        <v>8</v>
      </c>
      <c r="D563" s="72" t="s">
        <v>53</v>
      </c>
      <c r="F563" s="126">
        <f>VLOOKUP(A563,'IUSD Klassiek 2017'!B$11:E$398,4,FALSE)*1000</f>
        <v>0.20482854252061777</v>
      </c>
      <c r="G563" s="126">
        <f>VLOOKUP(A563,'IUSD klassiek 2018'!B$11:E$390,4,FALSE)*1000</f>
        <v>0.1600837452841104</v>
      </c>
      <c r="H563" s="124">
        <f>VLOOKUP(A563,'Grondslagen AU 2018'!A$1:DA$386,92,FALSE)</f>
        <v>0.15908117913214301</v>
      </c>
      <c r="I563" s="124">
        <f>VLOOKUP(A563,'Grondslagen AU 2019'!A$1:DA$386,92,FALSE)</f>
        <v>0.17</v>
      </c>
      <c r="J563" s="124">
        <f>VLOOKUP(A563,'Grondslagen AU 2020'!A$1:DA$386,77,FALSE)</f>
        <v>0.17399999999999999</v>
      </c>
      <c r="K563" s="124">
        <f>VLOOKUP(A563,'Grondslagen AU 2021'!A$1:DA$386,77,FALSE)</f>
        <v>0.17199999999999999</v>
      </c>
      <c r="L563" s="124">
        <f>VLOOKUP(A563,'Grondslagen AU 2022'!A$1:DA$386,77,FALSE)</f>
        <v>0.17499999999999999</v>
      </c>
      <c r="M563" s="72"/>
      <c r="N563" s="124"/>
    </row>
    <row r="564" spans="1:14" x14ac:dyDescent="0.35">
      <c r="A564" s="72">
        <v>501</v>
      </c>
      <c r="B564" s="72">
        <v>8</v>
      </c>
      <c r="D564" s="72" t="s">
        <v>61</v>
      </c>
      <c r="F564" s="126">
        <f>VLOOKUP(A564,'IUSD Klassiek 2017'!B$11:E$398,4,FALSE)*1000</f>
        <v>0.31423180497753533</v>
      </c>
      <c r="G564" s="126">
        <f>VLOOKUP(A564,'IUSD klassiek 2018'!B$11:E$390,4,FALSE)*1000</f>
        <v>0.30160072441093172</v>
      </c>
      <c r="H564" s="124">
        <f>VLOOKUP(A564,'Grondslagen AU 2018'!A$1:DA$386,92,FALSE)</f>
        <v>0.265617799711314</v>
      </c>
      <c r="I564" s="124">
        <f>VLOOKUP(A564,'Grondslagen AU 2019'!A$1:DA$386,92,FALSE)</f>
        <v>0.27100000000000002</v>
      </c>
      <c r="J564" s="124">
        <f>VLOOKUP(A564,'Grondslagen AU 2020'!A$1:DA$386,77,FALSE)</f>
        <v>0.311</v>
      </c>
      <c r="K564" s="124">
        <f>VLOOKUP(A564,'Grondslagen AU 2021'!A$1:DA$386,77,FALSE)</f>
        <v>0.26700000000000002</v>
      </c>
      <c r="L564" s="124">
        <f>VLOOKUP(A564,'Grondslagen AU 2022'!A$1:DA$386,77,FALSE)</f>
        <v>0.26700000000000002</v>
      </c>
      <c r="M564" s="72"/>
      <c r="N564" s="124"/>
    </row>
    <row r="565" spans="1:14" x14ac:dyDescent="0.35">
      <c r="A565" s="72">
        <v>502</v>
      </c>
      <c r="B565" s="72">
        <v>8</v>
      </c>
      <c r="D565" s="72" t="s">
        <v>68</v>
      </c>
      <c r="F565" s="126">
        <f>VLOOKUP(A565,'IUSD Klassiek 2017'!B$11:E$398,4,FALSE)*1000</f>
        <v>5.6105636645817603</v>
      </c>
      <c r="G565" s="126">
        <f>VLOOKUP(A565,'IUSD klassiek 2018'!B$11:E$390,4,FALSE)*1000</f>
        <v>5.6991103324254668</v>
      </c>
      <c r="H565" s="124">
        <f>VLOOKUP(A565,'Grondslagen AU 2018'!A$1:DA$386,92,FALSE)</f>
        <v>5.6243959660524396</v>
      </c>
      <c r="I565" s="124">
        <f>VLOOKUP(A565,'Grondslagen AU 2019'!A$1:DA$386,92,FALSE)</f>
        <v>5.2930000000000001</v>
      </c>
      <c r="J565" s="124">
        <f>VLOOKUP(A565,'Grondslagen AU 2020'!A$1:DA$386,77,FALSE)</f>
        <v>4.7919999999999998</v>
      </c>
      <c r="K565" s="124">
        <f>VLOOKUP(A565,'Grondslagen AU 2021'!A$1:DA$386,77,FALSE)</f>
        <v>4.8040000000000003</v>
      </c>
      <c r="L565" s="124">
        <f>VLOOKUP(A565,'Grondslagen AU 2022'!A$1:DA$386,77,FALSE)</f>
        <v>4.8029999999999999</v>
      </c>
      <c r="M565" s="72"/>
      <c r="N565" s="124"/>
    </row>
    <row r="566" spans="1:14" x14ac:dyDescent="0.35">
      <c r="A566" s="72">
        <v>611</v>
      </c>
      <c r="B566" s="72">
        <v>8</v>
      </c>
      <c r="D566" s="72" t="s">
        <v>813</v>
      </c>
      <c r="F566" s="126">
        <f>VLOOKUP(A566,'IUSD Klassiek 2017'!B$11:E$398,4,FALSE)*1000</f>
        <v>9.3290162952990488E-2</v>
      </c>
      <c r="G566" s="126">
        <f>VLOOKUP(A566,'IUSD klassiek 2018'!B$11:E$390,4,FALSE)*1000</f>
        <v>6.1075728283456907E-2</v>
      </c>
      <c r="H566" s="124">
        <f>VLOOKUP(A566,'Grondslagen AU 2018'!A$1:DA$386,92,FALSE)</f>
        <v>6.0523954119112801E-2</v>
      </c>
      <c r="I566" s="124" t="e">
        <f>VLOOKUP(A566,'Grondslagen AU 2019'!A$1:DA$386,92,FALSE)</f>
        <v>#N/A</v>
      </c>
      <c r="J566" s="124" t="e">
        <f>VLOOKUP(A566,'Grondslagen AU 2020'!A$1:DA$386,77,FALSE)</f>
        <v>#N/A</v>
      </c>
      <c r="K566" s="124" t="e">
        <f>VLOOKUP(A566,'Grondslagen AU 2021'!A$1:DA$386,77,FALSE)</f>
        <v>#N/A</v>
      </c>
      <c r="L566" s="124" t="e">
        <f>VLOOKUP(A566,'Grondslagen AU 2022'!A$1:DA$386,77,FALSE)</f>
        <v>#N/A</v>
      </c>
      <c r="M566" s="72" t="s">
        <v>153</v>
      </c>
      <c r="N566" s="124"/>
    </row>
    <row r="567" spans="1:14" x14ac:dyDescent="0.35">
      <c r="A567" s="72">
        <v>503</v>
      </c>
      <c r="B567" s="72">
        <v>8</v>
      </c>
      <c r="D567" s="72" t="s">
        <v>80</v>
      </c>
      <c r="F567" s="126">
        <f>VLOOKUP(A567,'IUSD Klassiek 2017'!B$11:E$398,4,FALSE)*1000</f>
        <v>7.4943272096415523</v>
      </c>
      <c r="G567" s="126">
        <f>VLOOKUP(A567,'IUSD klassiek 2018'!B$11:E$390,4,FALSE)*1000</f>
        <v>7.1454287027336738</v>
      </c>
      <c r="H567" s="124">
        <f>VLOOKUP(A567,'Grondslagen AU 2018'!A$1:DA$386,92,FALSE)</f>
        <v>7.1686170597113499</v>
      </c>
      <c r="I567" s="124">
        <f>VLOOKUP(A567,'Grondslagen AU 2019'!A$1:DA$386,92,FALSE)</f>
        <v>7.2939999999999996</v>
      </c>
      <c r="J567" s="124">
        <f>VLOOKUP(A567,'Grondslagen AU 2020'!A$1:DA$386,77,FALSE)</f>
        <v>7.24</v>
      </c>
      <c r="K567" s="124">
        <f>VLOOKUP(A567,'Grondslagen AU 2021'!A$1:DA$386,77,FALSE)</f>
        <v>7.1059999999999999</v>
      </c>
      <c r="L567" s="124">
        <f>VLOOKUP(A567,'Grondslagen AU 2022'!A$1:DA$386,77,FALSE)</f>
        <v>7.048</v>
      </c>
      <c r="M567" s="72"/>
      <c r="N567" s="124"/>
    </row>
    <row r="568" spans="1:14" x14ac:dyDescent="0.35">
      <c r="A568" s="72">
        <v>505</v>
      </c>
      <c r="B568" s="72">
        <v>8</v>
      </c>
      <c r="D568" s="72" t="s">
        <v>90</v>
      </c>
      <c r="F568" s="126">
        <f>VLOOKUP(A568,'IUSD Klassiek 2017'!B$11:E$398,4,FALSE)*1000</f>
        <v>10.937497652658966</v>
      </c>
      <c r="G568" s="126">
        <f>VLOOKUP(A568,'IUSD klassiek 2018'!B$11:E$390,4,FALSE)*1000</f>
        <v>10.828507457490074</v>
      </c>
      <c r="H568" s="124">
        <f>VLOOKUP(A568,'Grondslagen AU 2018'!A$1:DA$386,92,FALSE)</f>
        <v>10.868223430800301</v>
      </c>
      <c r="I568" s="124">
        <f>VLOOKUP(A568,'Grondslagen AU 2019'!A$1:DA$386,92,FALSE)</f>
        <v>10.744999999999999</v>
      </c>
      <c r="J568" s="124">
        <f>VLOOKUP(A568,'Grondslagen AU 2020'!A$1:DA$386,77,FALSE)</f>
        <v>10.675000000000001</v>
      </c>
      <c r="K568" s="124">
        <f>VLOOKUP(A568,'Grondslagen AU 2021'!A$1:DA$386,77,FALSE)</f>
        <v>10.443</v>
      </c>
      <c r="L568" s="124">
        <f>VLOOKUP(A568,'Grondslagen AU 2022'!A$1:DA$386,77,FALSE)</f>
        <v>10.548</v>
      </c>
      <c r="M568" s="72"/>
      <c r="N568" s="124"/>
    </row>
    <row r="569" spans="1:14" x14ac:dyDescent="0.35">
      <c r="A569" s="72">
        <v>689</v>
      </c>
      <c r="B569" s="72">
        <v>8</v>
      </c>
      <c r="D569" s="72" t="s">
        <v>814</v>
      </c>
      <c r="F569" s="126">
        <f>VLOOKUP(A569,'IUSD Klassiek 2017'!B$11:E$398,4,FALSE)*1000</f>
        <v>9.1393477274293727E-2</v>
      </c>
      <c r="G569" s="126">
        <f>VLOOKUP(A569,'IUSD klassiek 2018'!B$11:E$390,4,FALSE)*1000</f>
        <v>7.0815099710845153E-2</v>
      </c>
      <c r="H569" s="124">
        <f>VLOOKUP(A569,'Grondslagen AU 2018'!A$1:DA$386,92,FALSE)</f>
        <v>6.9677314786989603E-2</v>
      </c>
      <c r="I569" s="124" t="e">
        <f>VLOOKUP(A569,'Grondslagen AU 2019'!A$1:DA$386,92,FALSE)</f>
        <v>#N/A</v>
      </c>
      <c r="J569" s="124" t="e">
        <f>VLOOKUP(A569,'Grondslagen AU 2020'!A$1:DA$386,77,FALSE)</f>
        <v>#N/A</v>
      </c>
      <c r="K569" s="124" t="e">
        <f>VLOOKUP(A569,'Grondslagen AU 2021'!A$1:DA$386,77,FALSE)</f>
        <v>#N/A</v>
      </c>
      <c r="L569" s="124" t="e">
        <f>VLOOKUP(A569,'Grondslagen AU 2022'!A$1:DA$386,77,FALSE)</f>
        <v>#N/A</v>
      </c>
      <c r="M569" s="72" t="s">
        <v>206</v>
      </c>
      <c r="N569" s="124"/>
    </row>
    <row r="570" spans="1:14" x14ac:dyDescent="0.35">
      <c r="A570" s="72">
        <v>1924</v>
      </c>
      <c r="B570" s="72">
        <v>8</v>
      </c>
      <c r="D570" s="72" t="s">
        <v>115</v>
      </c>
      <c r="F570" s="126">
        <f>VLOOKUP(A570,'IUSD Klassiek 2017'!B$11:E$398,4,FALSE)*1000</f>
        <v>0.36322839550851238</v>
      </c>
      <c r="G570" s="126">
        <f>VLOOKUP(A570,'IUSD klassiek 2018'!B$11:E$390,4,FALSE)*1000</f>
        <v>0.24357385315683966</v>
      </c>
      <c r="H570" s="124">
        <f>VLOOKUP(A570,'Grondslagen AU 2018'!A$1:DA$386,92,FALSE)</f>
        <v>0.28325205777789503</v>
      </c>
      <c r="I570" s="124">
        <f>VLOOKUP(A570,'Grondslagen AU 2019'!A$1:DA$386,92,FALSE)</f>
        <v>0.60899999999999999</v>
      </c>
      <c r="J570" s="124">
        <f>VLOOKUP(A570,'Grondslagen AU 2020'!A$1:DA$386,77,FALSE)</f>
        <v>0.65500000000000003</v>
      </c>
      <c r="K570" s="124">
        <f>VLOOKUP(A570,'Grondslagen AU 2021'!A$1:DA$386,77,FALSE)</f>
        <v>0.69099999999999995</v>
      </c>
      <c r="L570" s="124">
        <f>VLOOKUP(A570,'Grondslagen AU 2022'!A$1:DA$386,77,FALSE)</f>
        <v>0.68600000000000005</v>
      </c>
      <c r="M570" s="72"/>
      <c r="N570" s="124"/>
    </row>
    <row r="571" spans="1:14" x14ac:dyDescent="0.35">
      <c r="A571" s="72">
        <v>512</v>
      </c>
      <c r="B571" s="72">
        <v>8</v>
      </c>
      <c r="D571" s="72" t="s">
        <v>119</v>
      </c>
      <c r="F571" s="126">
        <f>VLOOKUP(A571,'IUSD Klassiek 2017'!B$11:E$398,4,FALSE)*1000</f>
        <v>1.6577537853630326</v>
      </c>
      <c r="G571" s="126">
        <f>VLOOKUP(A571,'IUSD klassiek 2018'!B$11:E$390,4,FALSE)*1000</f>
        <v>1.5799577607456359</v>
      </c>
      <c r="H571" s="124">
        <f>VLOOKUP(A571,'Grondslagen AU 2018'!A$1:DA$386,92,FALSE)</f>
        <v>1.6741437370516701</v>
      </c>
      <c r="I571" s="124">
        <f>VLOOKUP(A571,'Grondslagen AU 2019'!A$1:DA$386,92,FALSE)</f>
        <v>1.9650000000000001</v>
      </c>
      <c r="J571" s="124">
        <f>VLOOKUP(A571,'Grondslagen AU 2020'!A$1:DA$386,77,FALSE)</f>
        <v>1.9410000000000001</v>
      </c>
      <c r="K571" s="124">
        <f>VLOOKUP(A571,'Grondslagen AU 2021'!A$1:DA$386,77,FALSE)</f>
        <v>2.1120000000000001</v>
      </c>
      <c r="L571" s="124">
        <f>VLOOKUP(A571,'Grondslagen AU 2022'!A$1:DA$386,77,FALSE)</f>
        <v>2.1829999999999998</v>
      </c>
      <c r="M571" s="72"/>
      <c r="N571" s="124"/>
    </row>
    <row r="572" spans="1:14" x14ac:dyDescent="0.35">
      <c r="A572" s="72">
        <v>513</v>
      </c>
      <c r="B572" s="72">
        <v>8</v>
      </c>
      <c r="D572" s="72" t="s">
        <v>120</v>
      </c>
      <c r="F572" s="126">
        <f>VLOOKUP(A572,'IUSD Klassiek 2017'!B$11:E$398,4,FALSE)*1000</f>
        <v>3.9281505067009461</v>
      </c>
      <c r="G572" s="126">
        <f>VLOOKUP(A572,'IUSD klassiek 2018'!B$11:E$390,4,FALSE)*1000</f>
        <v>4.0591325292309257</v>
      </c>
      <c r="H572" s="124">
        <f>VLOOKUP(A572,'Grondslagen AU 2018'!A$1:DA$386,92,FALSE)</f>
        <v>4.1247875378766903</v>
      </c>
      <c r="I572" s="124">
        <f>VLOOKUP(A572,'Grondslagen AU 2019'!A$1:DA$386,92,FALSE)</f>
        <v>4.0250000000000004</v>
      </c>
      <c r="J572" s="124">
        <f>VLOOKUP(A572,'Grondslagen AU 2020'!A$1:DA$386,77,FALSE)</f>
        <v>3.927</v>
      </c>
      <c r="K572" s="124">
        <f>VLOOKUP(A572,'Grondslagen AU 2021'!A$1:DA$386,77,FALSE)</f>
        <v>4.2409999999999997</v>
      </c>
      <c r="L572" s="124">
        <f>VLOOKUP(A572,'Grondslagen AU 2022'!A$1:DA$386,77,FALSE)</f>
        <v>4.3550000000000004</v>
      </c>
      <c r="M572" s="72"/>
      <c r="N572" s="124"/>
    </row>
    <row r="573" spans="1:14" x14ac:dyDescent="0.35">
      <c r="A573" s="72">
        <v>523</v>
      </c>
      <c r="B573" s="72">
        <v>8</v>
      </c>
      <c r="D573" s="72" t="s">
        <v>131</v>
      </c>
      <c r="F573" s="126">
        <f>VLOOKUP(A573,'IUSD Klassiek 2017'!B$11:E$398,4,FALSE)*1000</f>
        <v>0.12177420601976451</v>
      </c>
      <c r="G573" s="126">
        <f>VLOOKUP(A573,'IUSD klassiek 2018'!B$11:E$390,4,FALSE)*1000</f>
        <v>8.4754718517366504E-2</v>
      </c>
      <c r="H573" s="124">
        <f>VLOOKUP(A573,'Grondslagen AU 2018'!A$1:DA$386,92,FALSE)</f>
        <v>8.3996433455549399E-2</v>
      </c>
      <c r="I573" s="124">
        <f>VLOOKUP(A573,'Grondslagen AU 2019'!A$1:DA$386,92,FALSE)</f>
        <v>8.8999999999999996E-2</v>
      </c>
      <c r="J573" s="124">
        <f>VLOOKUP(A573,'Grondslagen AU 2020'!A$1:DA$386,77,FALSE)</f>
        <v>9.0999999999999998E-2</v>
      </c>
      <c r="K573" s="124">
        <f>VLOOKUP(A573,'Grondslagen AU 2021'!A$1:DA$386,77,FALSE)</f>
        <v>8.8999999999999996E-2</v>
      </c>
      <c r="L573" s="124">
        <f>VLOOKUP(A573,'Grondslagen AU 2022'!A$1:DA$386,77,FALSE)</f>
        <v>0.156</v>
      </c>
      <c r="M573" s="72"/>
      <c r="N573" s="124"/>
    </row>
    <row r="574" spans="1:14" x14ac:dyDescent="0.35">
      <c r="A574" s="72">
        <v>530</v>
      </c>
      <c r="B574" s="72">
        <v>8</v>
      </c>
      <c r="D574" s="72" t="s">
        <v>143</v>
      </c>
      <c r="F574" s="126">
        <f>VLOOKUP(A574,'IUSD Klassiek 2017'!B$11:E$398,4,FALSE)*1000</f>
        <v>1.9219889717214198</v>
      </c>
      <c r="G574" s="126">
        <f>VLOOKUP(A574,'IUSD klassiek 2018'!B$11:E$390,4,FALSE)*1000</f>
        <v>1.882250100161605</v>
      </c>
      <c r="H574" s="124">
        <f>VLOOKUP(A574,'Grondslagen AU 2018'!A$1:DA$386,92,FALSE)</f>
        <v>1.84633781253225</v>
      </c>
      <c r="I574" s="124">
        <f>VLOOKUP(A574,'Grondslagen AU 2019'!A$1:DA$386,92,FALSE)</f>
        <v>1.837</v>
      </c>
      <c r="J574" s="124">
        <f>VLOOKUP(A574,'Grondslagen AU 2020'!A$1:DA$386,77,FALSE)</f>
        <v>1.8069999999999999</v>
      </c>
      <c r="K574" s="124">
        <f>VLOOKUP(A574,'Grondslagen AU 2021'!A$1:DA$386,77,FALSE)</f>
        <v>1.823</v>
      </c>
      <c r="L574" s="124">
        <f>VLOOKUP(A574,'Grondslagen AU 2022'!A$1:DA$386,77,FALSE)</f>
        <v>1.7949999999999999</v>
      </c>
      <c r="M574" s="72"/>
      <c r="N574" s="124"/>
    </row>
    <row r="575" spans="1:14" x14ac:dyDescent="0.35">
      <c r="A575" s="72">
        <v>531</v>
      </c>
      <c r="B575" s="72">
        <v>8</v>
      </c>
      <c r="D575" s="72" t="s">
        <v>145</v>
      </c>
      <c r="F575" s="126">
        <f>VLOOKUP(A575,'IUSD Klassiek 2017'!B$11:E$398,4,FALSE)*1000</f>
        <v>0.21634727422618172</v>
      </c>
      <c r="G575" s="126">
        <f>VLOOKUP(A575,'IUSD klassiek 2018'!B$11:E$390,4,FALSE)*1000</f>
        <v>0.14233406601345777</v>
      </c>
      <c r="H575" s="124">
        <f>VLOOKUP(A575,'Grondslagen AU 2018'!A$1:DA$386,92,FALSE)</f>
        <v>0.18874521755704901</v>
      </c>
      <c r="I575" s="124">
        <f>VLOOKUP(A575,'Grondslagen AU 2019'!A$1:DA$386,92,FALSE)</f>
        <v>0.33600000000000002</v>
      </c>
      <c r="J575" s="124">
        <f>VLOOKUP(A575,'Grondslagen AU 2020'!A$1:DA$386,77,FALSE)</f>
        <v>0.36699999999999999</v>
      </c>
      <c r="K575" s="124">
        <f>VLOOKUP(A575,'Grondslagen AU 2021'!A$1:DA$386,77,FALSE)</f>
        <v>0.41299999999999998</v>
      </c>
      <c r="L575" s="124">
        <f>VLOOKUP(A575,'Grondslagen AU 2022'!A$1:DA$386,77,FALSE)</f>
        <v>0.51300000000000001</v>
      </c>
      <c r="M575" s="72"/>
      <c r="N575" s="124"/>
    </row>
    <row r="576" spans="1:14" x14ac:dyDescent="0.35">
      <c r="A576" s="72">
        <v>534</v>
      </c>
      <c r="B576" s="72">
        <v>8</v>
      </c>
      <c r="D576" s="72" t="s">
        <v>150</v>
      </c>
      <c r="F576" s="126">
        <f>VLOOKUP(A576,'IUSD Klassiek 2017'!B$11:E$398,4,FALSE)*1000</f>
        <v>0.18650395650154994</v>
      </c>
      <c r="G576" s="126">
        <f>VLOOKUP(A576,'IUSD klassiek 2018'!B$11:E$390,4,FALSE)*1000</f>
        <v>0.14227311125444322</v>
      </c>
      <c r="H576" s="124">
        <f>VLOOKUP(A576,'Grondslagen AU 2018'!A$1:DA$386,92,FALSE)</f>
        <v>0.108252371916274</v>
      </c>
      <c r="I576" s="124">
        <f>VLOOKUP(A576,'Grondslagen AU 2019'!A$1:DA$386,92,FALSE)</f>
        <v>0.20899999999999999</v>
      </c>
      <c r="J576" s="124">
        <f>VLOOKUP(A576,'Grondslagen AU 2020'!A$1:DA$386,77,FALSE)</f>
        <v>0.218</v>
      </c>
      <c r="K576" s="124">
        <f>VLOOKUP(A576,'Grondslagen AU 2021'!A$1:DA$386,77,FALSE)</f>
        <v>0.25700000000000001</v>
      </c>
      <c r="L576" s="124">
        <f>VLOOKUP(A576,'Grondslagen AU 2022'!A$1:DA$386,77,FALSE)</f>
        <v>0.248</v>
      </c>
      <c r="M576" s="72"/>
      <c r="N576" s="124"/>
    </row>
    <row r="577" spans="1:14" x14ac:dyDescent="0.35">
      <c r="A577" s="72">
        <v>1884</v>
      </c>
      <c r="B577" s="72">
        <v>8</v>
      </c>
      <c r="D577" s="72" t="s">
        <v>163</v>
      </c>
      <c r="F577" s="126">
        <f>VLOOKUP(A577,'IUSD Klassiek 2017'!B$11:E$398,4,FALSE)*1000</f>
        <v>0.16107707751516157</v>
      </c>
      <c r="G577" s="126">
        <f>VLOOKUP(A577,'IUSD klassiek 2018'!B$11:E$390,4,FALSE)*1000</f>
        <v>0.12845565299752509</v>
      </c>
      <c r="H577" s="124">
        <f>VLOOKUP(A577,'Grondslagen AU 2018'!A$1:DA$386,92,FALSE)</f>
        <v>0.127867615072461</v>
      </c>
      <c r="I577" s="124">
        <f>VLOOKUP(A577,'Grondslagen AU 2019'!A$1:DA$386,92,FALSE)</f>
        <v>0.13600000000000001</v>
      </c>
      <c r="J577" s="124">
        <f>VLOOKUP(A577,'Grondslagen AU 2020'!A$1:DA$386,77,FALSE)</f>
        <v>0.14000000000000001</v>
      </c>
      <c r="K577" s="124">
        <f>VLOOKUP(A577,'Grondslagen AU 2021'!A$1:DA$386,77,FALSE)</f>
        <v>0.19500000000000001</v>
      </c>
      <c r="L577" s="124">
        <f>VLOOKUP(A577,'Grondslagen AU 2022'!A$1:DA$386,77,FALSE)</f>
        <v>0.21199999999999999</v>
      </c>
      <c r="M577" s="72"/>
      <c r="N577" s="124"/>
    </row>
    <row r="578" spans="1:14" x14ac:dyDescent="0.35">
      <c r="A578" s="72">
        <v>537</v>
      </c>
      <c r="B578" s="72">
        <v>8</v>
      </c>
      <c r="D578" s="72" t="s">
        <v>166</v>
      </c>
      <c r="F578" s="126">
        <f>VLOOKUP(A578,'IUSD Klassiek 2017'!B$11:E$398,4,FALSE)*1000</f>
        <v>1.1191919749854982</v>
      </c>
      <c r="G578" s="126">
        <f>VLOOKUP(A578,'IUSD klassiek 2018'!B$11:E$390,4,FALSE)*1000</f>
        <v>1.130795030861818</v>
      </c>
      <c r="H578" s="124">
        <f>VLOOKUP(A578,'Grondslagen AU 2018'!A$1:DA$386,92,FALSE)</f>
        <v>1.0040306925304501</v>
      </c>
      <c r="I578" s="124">
        <f>VLOOKUP(A578,'Grondslagen AU 2019'!A$1:DA$386,92,FALSE)</f>
        <v>1.206</v>
      </c>
      <c r="J578" s="124">
        <f>VLOOKUP(A578,'Grondslagen AU 2020'!A$1:DA$386,77,FALSE)</f>
        <v>1.2509999999999999</v>
      </c>
      <c r="K578" s="124">
        <f>VLOOKUP(A578,'Grondslagen AU 2021'!A$1:DA$386,77,FALSE)</f>
        <v>1.2789999999999999</v>
      </c>
      <c r="L578" s="124">
        <f>VLOOKUP(A578,'Grondslagen AU 2022'!A$1:DA$386,77,FALSE)</f>
        <v>1.3460000000000001</v>
      </c>
      <c r="M578" s="72"/>
      <c r="N578" s="124"/>
    </row>
    <row r="579" spans="1:14" x14ac:dyDescent="0.35">
      <c r="A579" s="72">
        <v>588</v>
      </c>
      <c r="B579" s="72">
        <v>8</v>
      </c>
      <c r="D579" s="72" t="s">
        <v>815</v>
      </c>
      <c r="F579" s="126">
        <f>VLOOKUP(A579,'IUSD Klassiek 2017'!B$11:E$398,4,FALSE)*1000</f>
        <v>7.3153199943154695E-2</v>
      </c>
      <c r="G579" s="126">
        <f>VLOOKUP(A579,'IUSD klassiek 2018'!B$11:E$390,4,FALSE)*1000</f>
        <v>5.1757146666364301E-2</v>
      </c>
      <c r="H579" s="124">
        <f>VLOOKUP(A579,'Grondslagen AU 2018'!A$1:DA$386,92,FALSE)</f>
        <v>5.1665132284608298E-2</v>
      </c>
      <c r="I579" s="124" t="e">
        <f>VLOOKUP(A579,'Grondslagen AU 2019'!A$1:DA$386,92,FALSE)</f>
        <v>#N/A</v>
      </c>
      <c r="J579" s="124" t="e">
        <f>VLOOKUP(A579,'Grondslagen AU 2020'!A$1:DA$386,77,FALSE)</f>
        <v>#N/A</v>
      </c>
      <c r="K579" s="124" t="e">
        <f>VLOOKUP(A579,'Grondslagen AU 2021'!A$1:DA$386,77,FALSE)</f>
        <v>#N/A</v>
      </c>
      <c r="L579" s="124" t="e">
        <f>VLOOKUP(A579,'Grondslagen AU 2022'!A$1:DA$386,77,FALSE)</f>
        <v>#N/A</v>
      </c>
      <c r="M579" s="72" t="s">
        <v>153</v>
      </c>
      <c r="N579" s="124"/>
    </row>
    <row r="580" spans="1:14" x14ac:dyDescent="0.35">
      <c r="A580" s="72">
        <v>542</v>
      </c>
      <c r="B580" s="72">
        <v>8</v>
      </c>
      <c r="D580" s="72" t="s">
        <v>169</v>
      </c>
      <c r="F580" s="126">
        <f>VLOOKUP(A580,'IUSD Klassiek 2017'!B$11:E$398,4,FALSE)*1000</f>
        <v>0.73568923923799012</v>
      </c>
      <c r="G580" s="126">
        <f>VLOOKUP(A580,'IUSD klassiek 2018'!B$11:E$390,4,FALSE)*1000</f>
        <v>0.76554743092265831</v>
      </c>
      <c r="H580" s="124">
        <f>VLOOKUP(A580,'Grondslagen AU 2018'!A$1:DA$386,92,FALSE)</f>
        <v>0.89426017061186402</v>
      </c>
      <c r="I580" s="124">
        <f>VLOOKUP(A580,'Grondslagen AU 2019'!A$1:DA$386,92,FALSE)</f>
        <v>1.042</v>
      </c>
      <c r="J580" s="124">
        <f>VLOOKUP(A580,'Grondslagen AU 2020'!A$1:DA$386,77,FALSE)</f>
        <v>1.0069999999999999</v>
      </c>
      <c r="K580" s="124">
        <f>VLOOKUP(A580,'Grondslagen AU 2021'!A$1:DA$386,77,FALSE)</f>
        <v>1.054</v>
      </c>
      <c r="L580" s="124">
        <f>VLOOKUP(A580,'Grondslagen AU 2022'!A$1:DA$386,77,FALSE)</f>
        <v>1.1479999999999999</v>
      </c>
      <c r="M580" s="72"/>
      <c r="N580" s="124"/>
    </row>
    <row r="581" spans="1:14" x14ac:dyDescent="0.35">
      <c r="A581" s="72">
        <v>1931</v>
      </c>
      <c r="B581" s="72">
        <v>8</v>
      </c>
      <c r="D581" s="72" t="s">
        <v>170</v>
      </c>
      <c r="F581" s="126">
        <f>VLOOKUP(A581,'IUSD Klassiek 2017'!B$11:E$398,4,FALSE)*1000</f>
        <v>0.78842021739451607</v>
      </c>
      <c r="G581" s="126">
        <f>VLOOKUP(A581,'IUSD klassiek 2018'!B$11:E$390,4,FALSE)*1000</f>
        <v>0.58667213075816549</v>
      </c>
      <c r="H581" s="124">
        <f>VLOOKUP(A581,'Grondslagen AU 2018'!A$1:DA$386,92,FALSE)</f>
        <v>0.59727569474894804</v>
      </c>
      <c r="I581" s="124">
        <f>VLOOKUP(A581,'Grondslagen AU 2019'!A$1:DA$386,92,FALSE)</f>
        <v>0.81899999999999995</v>
      </c>
      <c r="J581" s="124">
        <f>VLOOKUP(A581,'Grondslagen AU 2020'!A$1:DA$386,77,FALSE)</f>
        <v>0.87</v>
      </c>
      <c r="K581" s="124">
        <f>VLOOKUP(A581,'Grondslagen AU 2021'!A$1:DA$386,77,FALSE)</f>
        <v>0.91300000000000003</v>
      </c>
      <c r="L581" s="124">
        <f>VLOOKUP(A581,'Grondslagen AU 2022'!A$1:DA$386,77,FALSE)</f>
        <v>0.96799999999999997</v>
      </c>
      <c r="M581" s="72"/>
      <c r="N581" s="124"/>
    </row>
    <row r="582" spans="1:14" x14ac:dyDescent="0.35">
      <c r="A582" s="72">
        <v>1621</v>
      </c>
      <c r="B582" s="72">
        <v>8</v>
      </c>
      <c r="D582" s="72" t="s">
        <v>176</v>
      </c>
      <c r="F582" s="126">
        <f>VLOOKUP(A582,'IUSD Klassiek 2017'!B$11:E$398,4,FALSE)*1000</f>
        <v>0.35718166113926675</v>
      </c>
      <c r="G582" s="126">
        <f>VLOOKUP(A582,'IUSD klassiek 2018'!B$11:E$390,4,FALSE)*1000</f>
        <v>0.28839403452898804</v>
      </c>
      <c r="H582" s="124">
        <f>VLOOKUP(A582,'Grondslagen AU 2018'!A$1:DA$386,92,FALSE)</f>
        <v>0.28914650703822697</v>
      </c>
      <c r="I582" s="124">
        <f>VLOOKUP(A582,'Grondslagen AU 2019'!A$1:DA$386,92,FALSE)</f>
        <v>0.309</v>
      </c>
      <c r="J582" s="124">
        <f>VLOOKUP(A582,'Grondslagen AU 2020'!A$1:DA$386,77,FALSE)</f>
        <v>0.38400000000000001</v>
      </c>
      <c r="K582" s="124">
        <f>VLOOKUP(A582,'Grondslagen AU 2021'!A$1:DA$386,77,FALSE)</f>
        <v>0.40200000000000002</v>
      </c>
      <c r="L582" s="124">
        <f>VLOOKUP(A582,'Grondslagen AU 2022'!A$1:DA$386,77,FALSE)</f>
        <v>0.49299999999999999</v>
      </c>
      <c r="M582" s="72"/>
      <c r="N582" s="124"/>
    </row>
    <row r="583" spans="1:14" x14ac:dyDescent="0.35">
      <c r="A583" s="72">
        <v>545</v>
      </c>
      <c r="B583" s="72">
        <v>8</v>
      </c>
      <c r="D583" s="72" t="s">
        <v>816</v>
      </c>
      <c r="F583" s="126">
        <f>VLOOKUP(A583,'IUSD Klassiek 2017'!B$11:E$398,4,FALSE)*1000</f>
        <v>0.63860884556977737</v>
      </c>
      <c r="G583" s="126">
        <f>VLOOKUP(A583,'IUSD klassiek 2018'!B$11:E$390,4,FALSE)*1000</f>
        <v>0.67164745245283863</v>
      </c>
      <c r="H583" s="124">
        <f>VLOOKUP(A583,'Grondslagen AU 2018'!A$1:DA$386,92,FALSE)</f>
        <v>0.71029197520021503</v>
      </c>
      <c r="I583" s="124" t="e">
        <f>VLOOKUP(A583,'Grondslagen AU 2019'!A$1:DA$386,92,FALSE)</f>
        <v>#N/A</v>
      </c>
      <c r="J583" s="124" t="e">
        <f>VLOOKUP(A583,'Grondslagen AU 2020'!A$1:DA$386,77,FALSE)</f>
        <v>#N/A</v>
      </c>
      <c r="K583" s="124" t="e">
        <f>VLOOKUP(A583,'Grondslagen AU 2021'!A$1:DA$386,77,FALSE)</f>
        <v>#N/A</v>
      </c>
      <c r="L583" s="124" t="e">
        <f>VLOOKUP(A583,'Grondslagen AU 2022'!A$1:DA$386,77,FALSE)</f>
        <v>#N/A</v>
      </c>
      <c r="M583" s="72" t="s">
        <v>317</v>
      </c>
      <c r="N583" s="124"/>
    </row>
    <row r="584" spans="1:14" x14ac:dyDescent="0.35">
      <c r="A584" s="72">
        <v>546</v>
      </c>
      <c r="B584" s="72">
        <v>8</v>
      </c>
      <c r="D584" s="72" t="s">
        <v>179</v>
      </c>
      <c r="F584" s="126">
        <f>VLOOKUP(A584,'IUSD Klassiek 2017'!B$11:E$398,4,FALSE)*1000</f>
        <v>7.7840909807191592</v>
      </c>
      <c r="G584" s="126">
        <f>VLOOKUP(A584,'IUSD klassiek 2018'!B$11:E$390,4,FALSE)*1000</f>
        <v>7.4764840934568655</v>
      </c>
      <c r="H584" s="124">
        <f>VLOOKUP(A584,'Grondslagen AU 2018'!A$1:DA$386,92,FALSE)</f>
        <v>7.6428598126406602</v>
      </c>
      <c r="I584" s="124">
        <f>VLOOKUP(A584,'Grondslagen AU 2019'!A$1:DA$386,92,FALSE)</f>
        <v>7.7080000000000002</v>
      </c>
      <c r="J584" s="124">
        <f>VLOOKUP(A584,'Grondslagen AU 2020'!A$1:DA$386,77,FALSE)</f>
        <v>7.3360000000000003</v>
      </c>
      <c r="K584" s="124">
        <f>VLOOKUP(A584,'Grondslagen AU 2021'!A$1:DA$386,77,FALSE)</f>
        <v>7.1660000000000004</v>
      </c>
      <c r="L584" s="124">
        <f>VLOOKUP(A584,'Grondslagen AU 2022'!A$1:DA$386,77,FALSE)</f>
        <v>7.4020000000000001</v>
      </c>
      <c r="M584" s="72"/>
      <c r="N584" s="124"/>
    </row>
    <row r="585" spans="1:14" x14ac:dyDescent="0.35">
      <c r="A585" s="72">
        <v>547</v>
      </c>
      <c r="B585" s="72">
        <v>8</v>
      </c>
      <c r="D585" s="72" t="s">
        <v>180</v>
      </c>
      <c r="F585" s="126">
        <f>VLOOKUP(A585,'IUSD Klassiek 2017'!B$11:E$398,4,FALSE)*1000</f>
        <v>0.49318323259107388</v>
      </c>
      <c r="G585" s="126">
        <f>VLOOKUP(A585,'IUSD klassiek 2018'!B$11:E$390,4,FALSE)*1000</f>
        <v>0.44169257544258278</v>
      </c>
      <c r="H585" s="124">
        <f>VLOOKUP(A585,'Grondslagen AU 2018'!A$1:DA$386,92,FALSE)</f>
        <v>0.46386979703060299</v>
      </c>
      <c r="I585" s="124">
        <f>VLOOKUP(A585,'Grondslagen AU 2019'!A$1:DA$386,92,FALSE)</f>
        <v>0.53700000000000003</v>
      </c>
      <c r="J585" s="124">
        <f>VLOOKUP(A585,'Grondslagen AU 2020'!A$1:DA$386,77,FALSE)</f>
        <v>0.505</v>
      </c>
      <c r="K585" s="124">
        <f>VLOOKUP(A585,'Grondslagen AU 2021'!A$1:DA$386,77,FALSE)</f>
        <v>0.46600000000000003</v>
      </c>
      <c r="L585" s="124">
        <f>VLOOKUP(A585,'Grondslagen AU 2022'!A$1:DA$386,77,FALSE)</f>
        <v>0.56100000000000005</v>
      </c>
      <c r="M585" s="72"/>
      <c r="N585" s="124"/>
    </row>
    <row r="586" spans="1:14" x14ac:dyDescent="0.35">
      <c r="A586" s="72">
        <v>1916</v>
      </c>
      <c r="B586" s="72">
        <v>8</v>
      </c>
      <c r="D586" s="72" t="s">
        <v>181</v>
      </c>
      <c r="F586" s="126">
        <f>VLOOKUP(A586,'IUSD Klassiek 2017'!B$11:E$398,4,FALSE)*1000</f>
        <v>4.0271011425921817</v>
      </c>
      <c r="G586" s="126">
        <f>VLOOKUP(A586,'IUSD klassiek 2018'!B$11:E$390,4,FALSE)*1000</f>
        <v>4.0288692165157842</v>
      </c>
      <c r="H586" s="124">
        <f>VLOOKUP(A586,'Grondslagen AU 2018'!A$1:DA$386,92,FALSE)</f>
        <v>4.1735159717181398</v>
      </c>
      <c r="I586" s="124">
        <f>VLOOKUP(A586,'Grondslagen AU 2019'!A$1:DA$386,92,FALSE)</f>
        <v>4.4089999999999998</v>
      </c>
      <c r="J586" s="124">
        <f>VLOOKUP(A586,'Grondslagen AU 2020'!A$1:DA$386,77,FALSE)</f>
        <v>4.4660000000000002</v>
      </c>
      <c r="K586" s="124">
        <f>VLOOKUP(A586,'Grondslagen AU 2021'!A$1:DA$386,77,FALSE)</f>
        <v>4.5140000000000002</v>
      </c>
      <c r="L586" s="124">
        <f>VLOOKUP(A586,'Grondslagen AU 2022'!A$1:DA$386,77,FALSE)</f>
        <v>4.399</v>
      </c>
      <c r="M586" s="72"/>
      <c r="N586" s="124"/>
    </row>
    <row r="587" spans="1:14" x14ac:dyDescent="0.35">
      <c r="A587" s="72">
        <v>553</v>
      </c>
      <c r="B587" s="72">
        <v>8</v>
      </c>
      <c r="D587" s="72" t="s">
        <v>186</v>
      </c>
      <c r="F587" s="126">
        <f>VLOOKUP(A587,'IUSD Klassiek 2017'!B$11:E$398,4,FALSE)*1000</f>
        <v>0.15591128388828815</v>
      </c>
      <c r="G587" s="126">
        <f>VLOOKUP(A587,'IUSD klassiek 2018'!B$11:E$390,4,FALSE)*1000</f>
        <v>0.10888510145686574</v>
      </c>
      <c r="H587" s="124">
        <f>VLOOKUP(A587,'Grondslagen AU 2018'!A$1:DA$386,92,FALSE)</f>
        <v>0.111204903778385</v>
      </c>
      <c r="I587" s="124">
        <f>VLOOKUP(A587,'Grondslagen AU 2019'!A$1:DA$386,92,FALSE)</f>
        <v>0.13</v>
      </c>
      <c r="J587" s="124">
        <f>VLOOKUP(A587,'Grondslagen AU 2020'!A$1:DA$386,77,FALSE)</f>
        <v>0.13800000000000001</v>
      </c>
      <c r="K587" s="124">
        <f>VLOOKUP(A587,'Grondslagen AU 2021'!A$1:DA$386,77,FALSE)</f>
        <v>0.13500000000000001</v>
      </c>
      <c r="L587" s="124">
        <f>VLOOKUP(A587,'Grondslagen AU 2022'!A$1:DA$386,77,FALSE)</f>
        <v>0.182</v>
      </c>
      <c r="M587" s="72"/>
      <c r="N587" s="124"/>
    </row>
    <row r="588" spans="1:14" x14ac:dyDescent="0.35">
      <c r="A588" s="72">
        <v>556</v>
      </c>
      <c r="B588" s="72">
        <v>8</v>
      </c>
      <c r="D588" s="72" t="s">
        <v>194</v>
      </c>
      <c r="F588" s="126">
        <f>VLOOKUP(A588,'IUSD Klassiek 2017'!B$11:E$398,4,FALSE)*1000</f>
        <v>2.2836947835681882</v>
      </c>
      <c r="G588" s="126">
        <f>VLOOKUP(A588,'IUSD klassiek 2018'!B$11:E$390,4,FALSE)*1000</f>
        <v>2.3031149478335577</v>
      </c>
      <c r="H588" s="124">
        <f>VLOOKUP(A588,'Grondslagen AU 2018'!A$1:DA$386,92,FALSE)</f>
        <v>2.3449517816317398</v>
      </c>
      <c r="I588" s="124">
        <f>VLOOKUP(A588,'Grondslagen AU 2019'!A$1:DA$386,92,FALSE)</f>
        <v>2.2869999999999999</v>
      </c>
      <c r="J588" s="124">
        <f>VLOOKUP(A588,'Grondslagen AU 2020'!A$1:DA$386,77,FALSE)</f>
        <v>2.3140000000000001</v>
      </c>
      <c r="K588" s="124">
        <f>VLOOKUP(A588,'Grondslagen AU 2021'!A$1:DA$386,77,FALSE)</f>
        <v>2.1360000000000001</v>
      </c>
      <c r="L588" s="124">
        <f>VLOOKUP(A588,'Grondslagen AU 2022'!A$1:DA$386,77,FALSE)</f>
        <v>2.169</v>
      </c>
      <c r="M588" s="72"/>
      <c r="N588" s="124"/>
    </row>
    <row r="589" spans="1:14" x14ac:dyDescent="0.35">
      <c r="A589" s="72">
        <v>1842</v>
      </c>
      <c r="B589" s="72">
        <v>8</v>
      </c>
      <c r="D589" s="72" t="s">
        <v>202</v>
      </c>
      <c r="F589" s="126">
        <f>VLOOKUP(A589,'IUSD Klassiek 2017'!B$11:E$398,4,FALSE)*1000</f>
        <v>0.13004787975746451</v>
      </c>
      <c r="G589" s="126">
        <f>VLOOKUP(A589,'IUSD klassiek 2018'!B$11:E$390,4,FALSE)*1000</f>
        <v>9.4096252305929662E-2</v>
      </c>
      <c r="H589" s="124">
        <f>VLOOKUP(A589,'Grondslagen AU 2018'!A$1:DA$386,92,FALSE)</f>
        <v>9.3270630567886606E-2</v>
      </c>
      <c r="I589" s="124">
        <f>VLOOKUP(A589,'Grondslagen AU 2019'!A$1:DA$386,92,FALSE)</f>
        <v>9.8000000000000004E-2</v>
      </c>
      <c r="J589" s="124">
        <f>VLOOKUP(A589,'Grondslagen AU 2020'!A$1:DA$386,77,FALSE)</f>
        <v>0.1</v>
      </c>
      <c r="K589" s="124">
        <f>VLOOKUP(A589,'Grondslagen AU 2021'!A$1:DA$386,77,FALSE)</f>
        <v>9.7000000000000003E-2</v>
      </c>
      <c r="L589" s="124">
        <f>VLOOKUP(A589,'Grondslagen AU 2022'!A$1:DA$386,77,FALSE)</f>
        <v>9.7000000000000003E-2</v>
      </c>
      <c r="M589" s="72"/>
      <c r="N589" s="124"/>
    </row>
    <row r="590" spans="1:14" x14ac:dyDescent="0.35">
      <c r="A590" s="72">
        <v>1927</v>
      </c>
      <c r="B590" s="72">
        <v>8</v>
      </c>
      <c r="D590" s="72" t="s">
        <v>817</v>
      </c>
      <c r="F590" s="126">
        <f>VLOOKUP(A590,'IUSD Klassiek 2017'!B$11:E$398,4,FALSE)*1000</f>
        <v>0.18966348498409646</v>
      </c>
      <c r="G590" s="126">
        <f>VLOOKUP(A590,'IUSD klassiek 2018'!B$11:E$390,4,FALSE)*1000</f>
        <v>0.13926612576021125</v>
      </c>
      <c r="H590" s="124">
        <f>VLOOKUP(A590,'Grondslagen AU 2018'!A$1:DA$386,92,FALSE)</f>
        <v>0.13772333757376401</v>
      </c>
      <c r="I590" s="124" t="e">
        <f>VLOOKUP(A590,'Grondslagen AU 2019'!A$1:DA$386,92,FALSE)</f>
        <v>#N/A</v>
      </c>
      <c r="J590" s="124" t="e">
        <f>VLOOKUP(A590,'Grondslagen AU 2020'!A$1:DA$386,77,FALSE)</f>
        <v>#N/A</v>
      </c>
      <c r="K590" s="124" t="e">
        <f>VLOOKUP(A590,'Grondslagen AU 2021'!A$1:DA$386,77,FALSE)</f>
        <v>#N/A</v>
      </c>
      <c r="L590" s="124" t="e">
        <f>VLOOKUP(A590,'Grondslagen AU 2022'!A$1:DA$386,77,FALSE)</f>
        <v>#N/A</v>
      </c>
      <c r="M590" s="72" t="s">
        <v>206</v>
      </c>
      <c r="N590" s="124"/>
    </row>
    <row r="591" spans="1:14" x14ac:dyDescent="0.35">
      <c r="A591" s="72">
        <v>569</v>
      </c>
      <c r="B591" s="72">
        <v>8</v>
      </c>
      <c r="D591" s="72" t="s">
        <v>213</v>
      </c>
      <c r="F591" s="126">
        <f>VLOOKUP(A591,'IUSD Klassiek 2017'!B$11:E$398,4,FALSE)*1000</f>
        <v>0.1723984159085693</v>
      </c>
      <c r="G591" s="126">
        <f>VLOOKUP(A591,'IUSD klassiek 2018'!B$11:E$390,4,FALSE)*1000</f>
        <v>0.13586155365872851</v>
      </c>
      <c r="H591" s="124">
        <f>VLOOKUP(A591,'Grondslagen AU 2018'!A$1:DA$386,92,FALSE)</f>
        <v>0.13619777746245099</v>
      </c>
      <c r="I591" s="124">
        <f>VLOOKUP(A591,'Grondslagen AU 2019'!A$1:DA$386,92,FALSE)</f>
        <v>0.14499999999999999</v>
      </c>
      <c r="J591" s="124">
        <f>VLOOKUP(A591,'Grondslagen AU 2020'!A$1:DA$386,77,FALSE)</f>
        <v>0.14699999999999999</v>
      </c>
      <c r="K591" s="124">
        <f>VLOOKUP(A591,'Grondslagen AU 2021'!A$1:DA$386,77,FALSE)</f>
        <v>0.14499999999999999</v>
      </c>
      <c r="L591" s="124">
        <f>VLOOKUP(A591,'Grondslagen AU 2022'!A$1:DA$386,77,FALSE)</f>
        <v>0.14599999999999999</v>
      </c>
      <c r="M591" s="72"/>
      <c r="N591" s="124"/>
    </row>
    <row r="592" spans="1:14" x14ac:dyDescent="0.35">
      <c r="A592" s="72">
        <v>1930</v>
      </c>
      <c r="B592" s="72">
        <v>8</v>
      </c>
      <c r="D592" s="72" t="s">
        <v>216</v>
      </c>
      <c r="F592" s="126">
        <f>VLOOKUP(A592,'IUSD Klassiek 2017'!B$11:E$398,4,FALSE)*1000</f>
        <v>5.1237175323231856</v>
      </c>
      <c r="G592" s="126">
        <f>VLOOKUP(A592,'IUSD klassiek 2018'!B$11:E$390,4,FALSE)*1000</f>
        <v>5.414067554400475</v>
      </c>
      <c r="H592" s="124">
        <f>VLOOKUP(A592,'Grondslagen AU 2018'!A$1:DA$386,92,FALSE)</f>
        <v>5.5135967563156099</v>
      </c>
      <c r="I592" s="124">
        <f>VLOOKUP(A592,'Grondslagen AU 2019'!A$1:DA$386,92,FALSE)</f>
        <v>6.1660000000000004</v>
      </c>
      <c r="J592" s="124">
        <f>VLOOKUP(A592,'Grondslagen AU 2020'!A$1:DA$386,77,FALSE)</f>
        <v>6.3639999999999999</v>
      </c>
      <c r="K592" s="124">
        <f>VLOOKUP(A592,'Grondslagen AU 2021'!A$1:DA$386,77,FALSE)</f>
        <v>6.0490000000000004</v>
      </c>
      <c r="L592" s="124">
        <f>VLOOKUP(A592,'Grondslagen AU 2022'!A$1:DA$386,77,FALSE)</f>
        <v>5.9619999999999997</v>
      </c>
      <c r="M592" s="72"/>
      <c r="N592" s="124"/>
    </row>
    <row r="593" spans="1:14" x14ac:dyDescent="0.35">
      <c r="A593" s="72">
        <v>575</v>
      </c>
      <c r="B593" s="72">
        <v>8</v>
      </c>
      <c r="D593" s="72" t="s">
        <v>221</v>
      </c>
      <c r="F593" s="126">
        <f>VLOOKUP(A593,'IUSD Klassiek 2017'!B$11:E$398,4,FALSE)*1000</f>
        <v>0.19723779925803986</v>
      </c>
      <c r="G593" s="126">
        <f>VLOOKUP(A593,'IUSD klassiek 2018'!B$11:E$390,4,FALSE)*1000</f>
        <v>0.12680309665163678</v>
      </c>
      <c r="H593" s="124">
        <f>VLOOKUP(A593,'Grondslagen AU 2018'!A$1:DA$386,92,FALSE)</f>
        <v>0.12501285407208301</v>
      </c>
      <c r="I593" s="124">
        <f>VLOOKUP(A593,'Grondslagen AU 2019'!A$1:DA$386,92,FALSE)</f>
        <v>0.35499999999999998</v>
      </c>
      <c r="J593" s="124">
        <f>VLOOKUP(A593,'Grondslagen AU 2020'!A$1:DA$386,77,FALSE)</f>
        <v>0.379</v>
      </c>
      <c r="K593" s="124">
        <f>VLOOKUP(A593,'Grondslagen AU 2021'!A$1:DA$386,77,FALSE)</f>
        <v>0.434</v>
      </c>
      <c r="L593" s="124">
        <f>VLOOKUP(A593,'Grondslagen AU 2022'!A$1:DA$386,77,FALSE)</f>
        <v>0.57899999999999996</v>
      </c>
      <c r="M593" s="72" t="s">
        <v>221</v>
      </c>
      <c r="N593" s="124"/>
    </row>
    <row r="594" spans="1:14" x14ac:dyDescent="0.35">
      <c r="A594" s="72">
        <v>576</v>
      </c>
      <c r="B594" s="72">
        <v>8</v>
      </c>
      <c r="D594" s="72" t="s">
        <v>818</v>
      </c>
      <c r="F594" s="126">
        <f>VLOOKUP(A594,'IUSD Klassiek 2017'!B$11:E$398,4,FALSE)*1000</f>
        <v>0.14721118217238763</v>
      </c>
      <c r="G594" s="126">
        <f>VLOOKUP(A594,'IUSD klassiek 2018'!B$11:E$390,4,FALSE)*1000</f>
        <v>7.8810106106462607E-2</v>
      </c>
      <c r="H594" s="124">
        <f>VLOOKUP(A594,'Grondslagen AU 2018'!A$1:DA$386,92,FALSE)</f>
        <v>7.9087452899344796E-2</v>
      </c>
      <c r="I594" s="124" t="e">
        <f>VLOOKUP(A594,'Grondslagen AU 2019'!A$1:DA$386,92,FALSE)</f>
        <v>#N/A</v>
      </c>
      <c r="J594" s="124" t="e">
        <f>VLOOKUP(A594,'Grondslagen AU 2020'!A$1:DA$386,77,FALSE)</f>
        <v>#N/A</v>
      </c>
      <c r="K594" s="124" t="e">
        <f>VLOOKUP(A594,'Grondslagen AU 2021'!A$1:DA$386,77,FALSE)</f>
        <v>#N/A</v>
      </c>
      <c r="L594" s="124" t="e">
        <f>VLOOKUP(A594,'Grondslagen AU 2022'!A$1:DA$386,77,FALSE)</f>
        <v>#N/A</v>
      </c>
      <c r="M594" s="72" t="s">
        <v>221</v>
      </c>
      <c r="N594" s="124"/>
    </row>
    <row r="595" spans="1:14" x14ac:dyDescent="0.35">
      <c r="A595" s="72">
        <v>579</v>
      </c>
      <c r="B595" s="72">
        <v>8</v>
      </c>
      <c r="D595" s="72" t="s">
        <v>224</v>
      </c>
      <c r="F595" s="126">
        <f>VLOOKUP(A595,'IUSD Klassiek 2017'!B$11:E$398,4,FALSE)*1000</f>
        <v>0.18123649867221425</v>
      </c>
      <c r="G595" s="126">
        <f>VLOOKUP(A595,'IUSD klassiek 2018'!B$11:E$390,4,FALSE)*1000</f>
        <v>0.17662651949452335</v>
      </c>
      <c r="H595" s="124">
        <f>VLOOKUP(A595,'Grondslagen AU 2018'!A$1:DA$386,92,FALSE)</f>
        <v>0.25258999059119602</v>
      </c>
      <c r="I595" s="124">
        <f>VLOOKUP(A595,'Grondslagen AU 2019'!A$1:DA$386,92,FALSE)</f>
        <v>0.32300000000000001</v>
      </c>
      <c r="J595" s="124">
        <f>VLOOKUP(A595,'Grondslagen AU 2020'!A$1:DA$386,77,FALSE)</f>
        <v>0.40400000000000003</v>
      </c>
      <c r="K595" s="124">
        <f>VLOOKUP(A595,'Grondslagen AU 2021'!A$1:DA$386,77,FALSE)</f>
        <v>0.41099999999999998</v>
      </c>
      <c r="L595" s="124">
        <f>VLOOKUP(A595,'Grondslagen AU 2022'!A$1:DA$386,77,FALSE)</f>
        <v>0.48499999999999999</v>
      </c>
      <c r="M595" s="72"/>
      <c r="N595" s="124"/>
    </row>
    <row r="596" spans="1:14" x14ac:dyDescent="0.35">
      <c r="A596" s="72">
        <v>584</v>
      </c>
      <c r="B596" s="72">
        <v>8</v>
      </c>
      <c r="D596" s="72" t="s">
        <v>819</v>
      </c>
      <c r="F596" s="126">
        <f>VLOOKUP(A596,'IUSD Klassiek 2017'!B$11:E$398,4,FALSE)*1000</f>
        <v>0.21384519132792798</v>
      </c>
      <c r="G596" s="126">
        <f>VLOOKUP(A596,'IUSD klassiek 2018'!B$11:E$390,4,FALSE)*1000</f>
        <v>0.19342663890527914</v>
      </c>
      <c r="H596" s="124">
        <f>VLOOKUP(A596,'Grondslagen AU 2018'!A$1:DA$386,92,FALSE)</f>
        <v>0.21489787888703099</v>
      </c>
      <c r="I596" s="124" t="e">
        <f>VLOOKUP(A596,'Grondslagen AU 2019'!A$1:DA$386,92,FALSE)</f>
        <v>#N/A</v>
      </c>
      <c r="J596" s="124" t="e">
        <f>VLOOKUP(A596,'Grondslagen AU 2020'!A$1:DA$386,77,FALSE)</f>
        <v>#N/A</v>
      </c>
      <c r="K596" s="124" t="e">
        <f>VLOOKUP(A596,'Grondslagen AU 2021'!A$1:DA$386,77,FALSE)</f>
        <v>#N/A</v>
      </c>
      <c r="L596" s="124" t="e">
        <f>VLOOKUP(A596,'Grondslagen AU 2022'!A$1:DA$386,77,FALSE)</f>
        <v>#N/A</v>
      </c>
      <c r="M596" s="72" t="s">
        <v>153</v>
      </c>
      <c r="N596" s="124"/>
    </row>
    <row r="597" spans="1:14" x14ac:dyDescent="0.35">
      <c r="A597" s="72">
        <v>590</v>
      </c>
      <c r="B597" s="72">
        <v>8</v>
      </c>
      <c r="D597" s="72" t="s">
        <v>243</v>
      </c>
      <c r="F597" s="126">
        <f>VLOOKUP(A597,'IUSD Klassiek 2017'!B$11:E$398,4,FALSE)*1000</f>
        <v>0.82893094975808956</v>
      </c>
      <c r="G597" s="126">
        <f>VLOOKUP(A597,'IUSD klassiek 2018'!B$11:E$390,4,FALSE)*1000</f>
        <v>0.85723901876011377</v>
      </c>
      <c r="H597" s="124">
        <f>VLOOKUP(A597,'Grondslagen AU 2018'!A$1:DA$386,92,FALSE)</f>
        <v>0.92813173059291398</v>
      </c>
      <c r="I597" s="124">
        <f>VLOOKUP(A597,'Grondslagen AU 2019'!A$1:DA$386,92,FALSE)</f>
        <v>0.877</v>
      </c>
      <c r="J597" s="124">
        <f>VLOOKUP(A597,'Grondslagen AU 2020'!A$1:DA$386,77,FALSE)</f>
        <v>0.92100000000000004</v>
      </c>
      <c r="K597" s="124">
        <f>VLOOKUP(A597,'Grondslagen AU 2021'!A$1:DA$386,77,FALSE)</f>
        <v>0.93100000000000005</v>
      </c>
      <c r="L597" s="124">
        <f>VLOOKUP(A597,'Grondslagen AU 2022'!A$1:DA$386,77,FALSE)</f>
        <v>1.0529999999999999</v>
      </c>
      <c r="M597" s="72"/>
      <c r="N597" s="124"/>
    </row>
    <row r="598" spans="1:14" x14ac:dyDescent="0.35">
      <c r="A598" s="72">
        <v>1926</v>
      </c>
      <c r="B598" s="72">
        <v>8</v>
      </c>
      <c r="D598" s="72" t="s">
        <v>246</v>
      </c>
      <c r="F598" s="126">
        <f>VLOOKUP(A598,'IUSD Klassiek 2017'!B$11:E$398,4,FALSE)*1000</f>
        <v>0.38810085406482664</v>
      </c>
      <c r="G598" s="126">
        <f>VLOOKUP(A598,'IUSD klassiek 2018'!B$11:E$390,4,FALSE)*1000</f>
        <v>0.25661292776593159</v>
      </c>
      <c r="H598" s="124">
        <f>VLOOKUP(A598,'Grondslagen AU 2018'!A$1:DA$386,92,FALSE)</f>
        <v>0.25831810914526299</v>
      </c>
      <c r="I598" s="124">
        <f>VLOOKUP(A598,'Grondslagen AU 2019'!A$1:DA$386,92,FALSE)</f>
        <v>0.28000000000000003</v>
      </c>
      <c r="J598" s="124">
        <f>VLOOKUP(A598,'Grondslagen AU 2020'!A$1:DA$386,77,FALSE)</f>
        <v>0.29099999999999998</v>
      </c>
      <c r="K598" s="124">
        <f>VLOOKUP(A598,'Grondslagen AU 2021'!A$1:DA$386,77,FALSE)</f>
        <v>0.28599999999999998</v>
      </c>
      <c r="L598" s="124">
        <f>VLOOKUP(A598,'Grondslagen AU 2022'!A$1:DA$386,77,FALSE)</f>
        <v>0.29399999999999998</v>
      </c>
      <c r="M598" s="72"/>
      <c r="N598" s="124"/>
    </row>
    <row r="599" spans="1:14" x14ac:dyDescent="0.35">
      <c r="A599" s="72">
        <v>597</v>
      </c>
      <c r="B599" s="72">
        <v>8</v>
      </c>
      <c r="D599" s="72" t="s">
        <v>256</v>
      </c>
      <c r="F599" s="126">
        <f>VLOOKUP(A599,'IUSD Klassiek 2017'!B$11:E$398,4,FALSE)*1000</f>
        <v>1.4224286093661247</v>
      </c>
      <c r="G599" s="126">
        <f>VLOOKUP(A599,'IUSD klassiek 2018'!B$11:E$390,4,FALSE)*1000</f>
        <v>1.4755507674529145</v>
      </c>
      <c r="H599" s="124">
        <f>VLOOKUP(A599,'Grondslagen AU 2018'!A$1:DA$386,92,FALSE)</f>
        <v>1.65410887902306</v>
      </c>
      <c r="I599" s="124">
        <f>VLOOKUP(A599,'Grondslagen AU 2019'!A$1:DA$386,92,FALSE)</f>
        <v>1.982</v>
      </c>
      <c r="J599" s="124">
        <f>VLOOKUP(A599,'Grondslagen AU 2020'!A$1:DA$386,77,FALSE)</f>
        <v>2.1640000000000001</v>
      </c>
      <c r="K599" s="124">
        <f>VLOOKUP(A599,'Grondslagen AU 2021'!A$1:DA$386,77,FALSE)</f>
        <v>2.3370000000000002</v>
      </c>
      <c r="L599" s="124">
        <f>VLOOKUP(A599,'Grondslagen AU 2022'!A$1:DA$386,77,FALSE)</f>
        <v>2.3780000000000001</v>
      </c>
      <c r="M599" s="72"/>
      <c r="N599" s="124"/>
    </row>
    <row r="600" spans="1:14" x14ac:dyDescent="0.35">
      <c r="A600" s="72">
        <v>603</v>
      </c>
      <c r="B600" s="72">
        <v>8</v>
      </c>
      <c r="D600" s="72" t="s">
        <v>258</v>
      </c>
      <c r="F600" s="126">
        <f>VLOOKUP(A600,'IUSD Klassiek 2017'!B$11:E$398,4,FALSE)*1000</f>
        <v>3.1975345938136392</v>
      </c>
      <c r="G600" s="126">
        <f>VLOOKUP(A600,'IUSD klassiek 2018'!B$11:E$390,4,FALSE)*1000</f>
        <v>3.246552161100996</v>
      </c>
      <c r="H600" s="124">
        <f>VLOOKUP(A600,'Grondslagen AU 2018'!A$1:DA$386,92,FALSE)</f>
        <v>3.2523473287465601</v>
      </c>
      <c r="I600" s="124">
        <f>VLOOKUP(A600,'Grondslagen AU 2019'!A$1:DA$386,92,FALSE)</f>
        <v>3.2970000000000002</v>
      </c>
      <c r="J600" s="124">
        <f>VLOOKUP(A600,'Grondslagen AU 2020'!A$1:DA$386,77,FALSE)</f>
        <v>3.4460000000000002</v>
      </c>
      <c r="K600" s="124">
        <f>VLOOKUP(A600,'Grondslagen AU 2021'!A$1:DA$386,77,FALSE)</f>
        <v>3.6659999999999999</v>
      </c>
      <c r="L600" s="124">
        <f>VLOOKUP(A600,'Grondslagen AU 2022'!A$1:DA$386,77,FALSE)</f>
        <v>3.58</v>
      </c>
      <c r="M600" s="72"/>
      <c r="N600" s="124"/>
    </row>
    <row r="601" spans="1:14" x14ac:dyDescent="0.35">
      <c r="A601" s="72">
        <v>599</v>
      </c>
      <c r="B601" s="72">
        <v>8</v>
      </c>
      <c r="D601" s="72" t="s">
        <v>262</v>
      </c>
      <c r="F601" s="126">
        <f>VLOOKUP(A601,'IUSD Klassiek 2017'!B$11:E$398,4,FALSE)*1000</f>
        <v>118.12115429662423</v>
      </c>
      <c r="G601" s="126">
        <f>VLOOKUP(A601,'IUSD klassiek 2018'!B$11:E$390,4,FALSE)*1000</f>
        <v>117.69894578098476</v>
      </c>
      <c r="H601" s="124">
        <f>VLOOKUP(A601,'Grondslagen AU 2018'!A$1:DA$386,92,FALSE)</f>
        <v>115.236560658562</v>
      </c>
      <c r="I601" s="124">
        <f>VLOOKUP(A601,'Grondslagen AU 2019'!A$1:DA$386,92,FALSE)</f>
        <v>109.461</v>
      </c>
      <c r="J601" s="124">
        <f>VLOOKUP(A601,'Grondslagen AU 2020'!A$1:DA$386,77,FALSE)</f>
        <v>107.292</v>
      </c>
      <c r="K601" s="124">
        <f>VLOOKUP(A601,'Grondslagen AU 2021'!A$1:DA$386,77,FALSE)</f>
        <v>111.827</v>
      </c>
      <c r="L601" s="124">
        <f>VLOOKUP(A601,'Grondslagen AU 2022'!A$1:DA$386,77,FALSE)</f>
        <v>110.86</v>
      </c>
      <c r="M601" s="72"/>
      <c r="N601" s="124"/>
    </row>
    <row r="602" spans="1:14" x14ac:dyDescent="0.35">
      <c r="A602" s="72">
        <v>606</v>
      </c>
      <c r="B602" s="72">
        <v>8</v>
      </c>
      <c r="D602" s="72" t="s">
        <v>267</v>
      </c>
      <c r="F602" s="126">
        <f>VLOOKUP(A602,'IUSD Klassiek 2017'!B$11:E$398,4,FALSE)*1000</f>
        <v>7.2147748174322217</v>
      </c>
      <c r="G602" s="126">
        <f>VLOOKUP(A602,'IUSD klassiek 2018'!B$11:E$390,4,FALSE)*1000</f>
        <v>7.3153863469867391</v>
      </c>
      <c r="H602" s="124">
        <f>VLOOKUP(A602,'Grondslagen AU 2018'!A$1:DA$386,92,FALSE)</f>
        <v>7.2711868272911699</v>
      </c>
      <c r="I602" s="124">
        <f>VLOOKUP(A602,'Grondslagen AU 2019'!A$1:DA$386,92,FALSE)</f>
        <v>6.7869999999999999</v>
      </c>
      <c r="J602" s="124">
        <f>VLOOKUP(A602,'Grondslagen AU 2020'!A$1:DA$386,77,FALSE)</f>
        <v>6.3940000000000001</v>
      </c>
      <c r="K602" s="124">
        <f>VLOOKUP(A602,'Grondslagen AU 2021'!A$1:DA$386,77,FALSE)</f>
        <v>6.3570000000000002</v>
      </c>
      <c r="L602" s="124">
        <f>VLOOKUP(A602,'Grondslagen AU 2022'!A$1:DA$386,77,FALSE)</f>
        <v>6.1020000000000003</v>
      </c>
      <c r="M602" s="72"/>
      <c r="N602" s="124"/>
    </row>
    <row r="603" spans="1:14" x14ac:dyDescent="0.35">
      <c r="A603" s="72">
        <v>518</v>
      </c>
      <c r="B603" s="72">
        <v>8</v>
      </c>
      <c r="D603" s="72" t="s">
        <v>270</v>
      </c>
      <c r="F603" s="126">
        <f>VLOOKUP(A603,'IUSD Klassiek 2017'!B$11:E$398,4,FALSE)*1000</f>
        <v>70.437780647424475</v>
      </c>
      <c r="G603" s="126">
        <f>VLOOKUP(A603,'IUSD klassiek 2018'!B$11:E$390,4,FALSE)*1000</f>
        <v>75.646678688876662</v>
      </c>
      <c r="H603" s="124">
        <f>VLOOKUP(A603,'Grondslagen AU 2018'!A$1:DA$386,92,FALSE)</f>
        <v>75.191336274322197</v>
      </c>
      <c r="I603" s="124">
        <f>VLOOKUP(A603,'Grondslagen AU 2019'!A$1:DA$386,92,FALSE)</f>
        <v>73.123000000000005</v>
      </c>
      <c r="J603" s="124">
        <f>VLOOKUP(A603,'Grondslagen AU 2020'!A$1:DA$386,77,FALSE)</f>
        <v>72.683000000000007</v>
      </c>
      <c r="K603" s="124">
        <f>VLOOKUP(A603,'Grondslagen AU 2021'!A$1:DA$386,77,FALSE)</f>
        <v>72.549000000000007</v>
      </c>
      <c r="L603" s="124">
        <f>VLOOKUP(A603,'Grondslagen AU 2022'!A$1:DA$386,77,FALSE)</f>
        <v>68.908000000000001</v>
      </c>
      <c r="M603" s="72"/>
      <c r="N603" s="124"/>
    </row>
    <row r="604" spans="1:14" x14ac:dyDescent="0.35">
      <c r="A604" s="72">
        <v>610</v>
      </c>
      <c r="B604" s="72">
        <v>8</v>
      </c>
      <c r="D604" s="72" t="s">
        <v>276</v>
      </c>
      <c r="F604" s="126">
        <f>VLOOKUP(A604,'IUSD Klassiek 2017'!B$11:E$398,4,FALSE)*1000</f>
        <v>0.71760369929131107</v>
      </c>
      <c r="G604" s="126">
        <f>VLOOKUP(A604,'IUSD klassiek 2018'!B$11:E$390,4,FALSE)*1000</f>
        <v>0.91386045576641783</v>
      </c>
      <c r="H604" s="124">
        <f>VLOOKUP(A604,'Grondslagen AU 2018'!A$1:DA$386,92,FALSE)</f>
        <v>1.09724887690824</v>
      </c>
      <c r="I604" s="124">
        <f>VLOOKUP(A604,'Grondslagen AU 2019'!A$1:DA$386,92,FALSE)</f>
        <v>1.042</v>
      </c>
      <c r="J604" s="124">
        <f>VLOOKUP(A604,'Grondslagen AU 2020'!A$1:DA$386,77,FALSE)</f>
        <v>1.0649999999999999</v>
      </c>
      <c r="K604" s="124">
        <f>VLOOKUP(A604,'Grondslagen AU 2021'!A$1:DA$386,77,FALSE)</f>
        <v>1.089</v>
      </c>
      <c r="L604" s="124">
        <f>VLOOKUP(A604,'Grondslagen AU 2022'!A$1:DA$386,77,FALSE)</f>
        <v>1.17</v>
      </c>
      <c r="M604" s="72"/>
      <c r="N604" s="124"/>
    </row>
    <row r="605" spans="1:14" x14ac:dyDescent="0.35">
      <c r="A605" s="72">
        <v>617</v>
      </c>
      <c r="B605" s="72">
        <v>8</v>
      </c>
      <c r="D605" s="72" t="s">
        <v>820</v>
      </c>
      <c r="F605" s="126">
        <f>VLOOKUP(A605,'IUSD Klassiek 2017'!B$11:E$398,4,FALSE)*1000</f>
        <v>6.9009376758525018E-2</v>
      </c>
      <c r="G605" s="126">
        <f>VLOOKUP(A605,'IUSD klassiek 2018'!B$11:E$390,4,FALSE)*1000</f>
        <v>4.3823346061335477E-2</v>
      </c>
      <c r="H605" s="124">
        <f>VLOOKUP(A605,'Grondslagen AU 2018'!A$1:DA$386,92,FALSE)</f>
        <v>4.3161267505706202E-2</v>
      </c>
      <c r="I605" s="124" t="e">
        <f>VLOOKUP(A605,'Grondslagen AU 2019'!A$1:DA$386,92,FALSE)</f>
        <v>#N/A</v>
      </c>
      <c r="J605" s="124" t="e">
        <f>VLOOKUP(A605,'Grondslagen AU 2020'!A$1:DA$386,77,FALSE)</f>
        <v>#N/A</v>
      </c>
      <c r="K605" s="124" t="e">
        <f>VLOOKUP(A605,'Grondslagen AU 2021'!A$1:DA$386,77,FALSE)</f>
        <v>#N/A</v>
      </c>
      <c r="L605" s="124" t="e">
        <f>VLOOKUP(A605,'Grondslagen AU 2022'!A$1:DA$386,77,FALSE)</f>
        <v>#N/A</v>
      </c>
      <c r="M605" s="72" t="s">
        <v>153</v>
      </c>
      <c r="N605" s="124"/>
    </row>
    <row r="606" spans="1:14" x14ac:dyDescent="0.35">
      <c r="A606" s="72">
        <v>1525</v>
      </c>
      <c r="B606" s="72">
        <v>8</v>
      </c>
      <c r="D606" s="72" t="s">
        <v>293</v>
      </c>
      <c r="F606" s="126">
        <f>VLOOKUP(A606,'IUSD Klassiek 2017'!B$11:E$398,4,FALSE)*1000</f>
        <v>0.20072785855657846</v>
      </c>
      <c r="G606" s="126">
        <f>VLOOKUP(A606,'IUSD klassiek 2018'!B$11:E$390,4,FALSE)*1000</f>
        <v>0.17703009855328961</v>
      </c>
      <c r="H606" s="124">
        <f>VLOOKUP(A606,'Grondslagen AU 2018'!A$1:DA$386,92,FALSE)</f>
        <v>0.175620667467663</v>
      </c>
      <c r="I606" s="124">
        <f>VLOOKUP(A606,'Grondslagen AU 2019'!A$1:DA$386,92,FALSE)</f>
        <v>0.189</v>
      </c>
      <c r="J606" s="124">
        <f>VLOOKUP(A606,'Grondslagen AU 2020'!A$1:DA$386,77,FALSE)</f>
        <v>0.19400000000000001</v>
      </c>
      <c r="K606" s="124">
        <f>VLOOKUP(A606,'Grondslagen AU 2021'!A$1:DA$386,77,FALSE)</f>
        <v>0.19</v>
      </c>
      <c r="L606" s="124">
        <f>VLOOKUP(A606,'Grondslagen AU 2022'!A$1:DA$386,77,FALSE)</f>
        <v>0.192</v>
      </c>
      <c r="M606" s="72"/>
      <c r="N606" s="124"/>
    </row>
    <row r="607" spans="1:14" x14ac:dyDescent="0.35">
      <c r="A607" s="72">
        <v>622</v>
      </c>
      <c r="B607" s="72">
        <v>8</v>
      </c>
      <c r="D607" s="72" t="s">
        <v>318</v>
      </c>
      <c r="F607" s="126">
        <f>VLOOKUP(A607,'IUSD Klassiek 2017'!B$11:E$398,4,FALSE)*1000</f>
        <v>6.123474741871533</v>
      </c>
      <c r="G607" s="126">
        <f>VLOOKUP(A607,'IUSD klassiek 2018'!B$11:E$390,4,FALSE)*1000</f>
        <v>6.6097312546079907</v>
      </c>
      <c r="H607" s="124">
        <f>VLOOKUP(A607,'Grondslagen AU 2018'!A$1:DA$386,92,FALSE)</f>
        <v>6.9531104734228899</v>
      </c>
      <c r="I607" s="124">
        <f>VLOOKUP(A607,'Grondslagen AU 2019'!A$1:DA$386,92,FALSE)</f>
        <v>6.819</v>
      </c>
      <c r="J607" s="124">
        <f>VLOOKUP(A607,'Grondslagen AU 2020'!A$1:DA$386,77,FALSE)</f>
        <v>6.7530000000000001</v>
      </c>
      <c r="K607" s="124">
        <f>VLOOKUP(A607,'Grondslagen AU 2021'!A$1:DA$386,77,FALSE)</f>
        <v>6.585</v>
      </c>
      <c r="L607" s="124">
        <f>VLOOKUP(A607,'Grondslagen AU 2022'!A$1:DA$386,77,FALSE)</f>
        <v>6.7</v>
      </c>
      <c r="M607" s="72"/>
      <c r="N607" s="124"/>
    </row>
    <row r="608" spans="1:14" x14ac:dyDescent="0.35">
      <c r="A608" s="72">
        <v>626</v>
      </c>
      <c r="B608" s="72">
        <v>8</v>
      </c>
      <c r="D608" s="72" t="s">
        <v>322</v>
      </c>
      <c r="F608" s="126">
        <f>VLOOKUP(A608,'IUSD Klassiek 2017'!B$11:E$398,4,FALSE)*1000</f>
        <v>0.39983006161504442</v>
      </c>
      <c r="G608" s="126">
        <f>VLOOKUP(A608,'IUSD klassiek 2018'!B$11:E$390,4,FALSE)*1000</f>
        <v>0.34545238032790487</v>
      </c>
      <c r="H608" s="124">
        <f>VLOOKUP(A608,'Grondslagen AU 2018'!A$1:DA$386,92,FALSE)</f>
        <v>0.259369590705542</v>
      </c>
      <c r="I608" s="124">
        <f>VLOOKUP(A608,'Grondslagen AU 2019'!A$1:DA$386,92,FALSE)</f>
        <v>0.318</v>
      </c>
      <c r="J608" s="124">
        <f>VLOOKUP(A608,'Grondslagen AU 2020'!A$1:DA$386,77,FALSE)</f>
        <v>0.34799999999999998</v>
      </c>
      <c r="K608" s="124">
        <f>VLOOKUP(A608,'Grondslagen AU 2021'!A$1:DA$386,77,FALSE)</f>
        <v>0.32400000000000001</v>
      </c>
      <c r="L608" s="124">
        <f>VLOOKUP(A608,'Grondslagen AU 2022'!A$1:DA$386,77,FALSE)</f>
        <v>0.41499999999999998</v>
      </c>
      <c r="M608" s="72"/>
      <c r="N608" s="124"/>
    </row>
    <row r="609" spans="1:14" x14ac:dyDescent="0.35">
      <c r="A609" s="72">
        <v>627</v>
      </c>
      <c r="B609" s="72">
        <v>8</v>
      </c>
      <c r="D609" s="72" t="s">
        <v>328</v>
      </c>
      <c r="F609" s="126">
        <f>VLOOKUP(A609,'IUSD Klassiek 2017'!B$11:E$398,4,FALSE)*1000</f>
        <v>0.27218926978785374</v>
      </c>
      <c r="G609" s="126">
        <f>VLOOKUP(A609,'IUSD klassiek 2018'!B$11:E$390,4,FALSE)*1000</f>
        <v>0.30208895893550836</v>
      </c>
      <c r="H609" s="124">
        <f>VLOOKUP(A609,'Grondslagen AU 2018'!A$1:DA$386,92,FALSE)</f>
        <v>0.31647051830066403</v>
      </c>
      <c r="I609" s="124">
        <f>VLOOKUP(A609,'Grondslagen AU 2019'!A$1:DA$386,92,FALSE)</f>
        <v>0.314</v>
      </c>
      <c r="J609" s="124">
        <f>VLOOKUP(A609,'Grondslagen AU 2020'!A$1:DA$386,77,FALSE)</f>
        <v>0.214</v>
      </c>
      <c r="K609" s="124">
        <f>VLOOKUP(A609,'Grondslagen AU 2021'!A$1:DA$386,77,FALSE)</f>
        <v>0.27600000000000002</v>
      </c>
      <c r="L609" s="124">
        <f>VLOOKUP(A609,'Grondslagen AU 2022'!A$1:DA$386,77,FALSE)</f>
        <v>0.35399999999999998</v>
      </c>
      <c r="M609" s="72"/>
      <c r="N609" s="124"/>
    </row>
    <row r="610" spans="1:14" x14ac:dyDescent="0.35">
      <c r="A610" s="72">
        <v>629</v>
      </c>
      <c r="B610" s="72">
        <v>8</v>
      </c>
      <c r="D610" s="72" t="s">
        <v>330</v>
      </c>
      <c r="F610" s="126">
        <f>VLOOKUP(A610,'IUSD Klassiek 2017'!B$11:E$398,4,FALSE)*1000</f>
        <v>0.63414081049443149</v>
      </c>
      <c r="G610" s="126">
        <f>VLOOKUP(A610,'IUSD klassiek 2018'!B$11:E$390,4,FALSE)*1000</f>
        <v>0.60959844333630631</v>
      </c>
      <c r="H610" s="124">
        <f>VLOOKUP(A610,'Grondslagen AU 2018'!A$1:DA$386,92,FALSE)</f>
        <v>0.62156319226066303</v>
      </c>
      <c r="I610" s="124">
        <f>VLOOKUP(A610,'Grondslagen AU 2019'!A$1:DA$386,92,FALSE)</f>
        <v>0.66500000000000004</v>
      </c>
      <c r="J610" s="124">
        <f>VLOOKUP(A610,'Grondslagen AU 2020'!A$1:DA$386,77,FALSE)</f>
        <v>0.58499999999999996</v>
      </c>
      <c r="K610" s="124">
        <f>VLOOKUP(A610,'Grondslagen AU 2021'!A$1:DA$386,77,FALSE)</f>
        <v>0.498</v>
      </c>
      <c r="L610" s="124">
        <f>VLOOKUP(A610,'Grondslagen AU 2022'!A$1:DA$386,77,FALSE)</f>
        <v>0.56000000000000005</v>
      </c>
      <c r="M610" s="72"/>
      <c r="N610" s="124"/>
    </row>
    <row r="611" spans="1:14" x14ac:dyDescent="0.35">
      <c r="A611" s="72">
        <v>1783</v>
      </c>
      <c r="B611" s="72">
        <v>8</v>
      </c>
      <c r="D611" s="72" t="s">
        <v>340</v>
      </c>
      <c r="F611" s="126">
        <f>VLOOKUP(A611,'IUSD Klassiek 2017'!B$11:E$398,4,FALSE)*1000</f>
        <v>1.0400783486035099</v>
      </c>
      <c r="G611" s="126">
        <f>VLOOKUP(A611,'IUSD klassiek 2018'!B$11:E$390,4,FALSE)*1000</f>
        <v>0.88328407707731293</v>
      </c>
      <c r="H611" s="124">
        <f>VLOOKUP(A611,'Grondslagen AU 2018'!A$1:DA$386,92,FALSE)</f>
        <v>0.85360444248118506</v>
      </c>
      <c r="I611" s="124">
        <f>VLOOKUP(A611,'Grondslagen AU 2019'!A$1:DA$386,92,FALSE)</f>
        <v>1.0920000000000001</v>
      </c>
      <c r="J611" s="124">
        <f>VLOOKUP(A611,'Grondslagen AU 2020'!A$1:DA$386,77,FALSE)</f>
        <v>1.337</v>
      </c>
      <c r="K611" s="124">
        <f>VLOOKUP(A611,'Grondslagen AU 2021'!A$1:DA$386,77,FALSE)</f>
        <v>1.194</v>
      </c>
      <c r="L611" s="124">
        <f>VLOOKUP(A611,'Grondslagen AU 2022'!A$1:DA$386,77,FALSE)</f>
        <v>1.3149999999999999</v>
      </c>
      <c r="M611" s="72"/>
      <c r="N611" s="124"/>
    </row>
    <row r="612" spans="1:14" x14ac:dyDescent="0.35">
      <c r="A612" s="72">
        <v>614</v>
      </c>
      <c r="B612" s="72">
        <v>8</v>
      </c>
      <c r="D612" s="72" t="s">
        <v>342</v>
      </c>
      <c r="F612" s="126">
        <f>VLOOKUP(A612,'IUSD Klassiek 2017'!B$11:E$398,4,FALSE)*1000</f>
        <v>9.4904056059155653E-2</v>
      </c>
      <c r="G612" s="126">
        <f>VLOOKUP(A612,'IUSD klassiek 2018'!B$11:E$390,4,FALSE)*1000</f>
        <v>6.5903335016121528E-2</v>
      </c>
      <c r="H612" s="124">
        <f>VLOOKUP(A612,'Grondslagen AU 2018'!A$1:DA$386,92,FALSE)</f>
        <v>6.5259232286405497E-2</v>
      </c>
      <c r="I612" s="124">
        <f>VLOOKUP(A612,'Grondslagen AU 2019'!A$1:DA$386,92,FALSE)</f>
        <v>7.0000000000000007E-2</v>
      </c>
      <c r="J612" s="124">
        <f>VLOOKUP(A612,'Grondslagen AU 2020'!A$1:DA$386,77,FALSE)</f>
        <v>7.0999999999999994E-2</v>
      </c>
      <c r="K612" s="124">
        <f>VLOOKUP(A612,'Grondslagen AU 2021'!A$1:DA$386,77,FALSE)</f>
        <v>7.0000000000000007E-2</v>
      </c>
      <c r="L612" s="124">
        <f>VLOOKUP(A612,'Grondslagen AU 2022'!A$1:DA$386,77,FALSE)</f>
        <v>7.0000000000000007E-2</v>
      </c>
      <c r="M612" s="72"/>
      <c r="N612" s="124"/>
    </row>
    <row r="613" spans="1:14" x14ac:dyDescent="0.35">
      <c r="A613" s="72">
        <v>707</v>
      </c>
      <c r="B613" s="72">
        <v>8</v>
      </c>
      <c r="D613" s="72" t="s">
        <v>821</v>
      </c>
      <c r="F613" s="126">
        <f>VLOOKUP(A613,'IUSD Klassiek 2017'!B$11:E$398,4,FALSE)*1000</f>
        <v>8.7910443050859891E-2</v>
      </c>
      <c r="G613" s="126">
        <f>VLOOKUP(A613,'IUSD klassiek 2018'!B$11:E$390,4,FALSE)*1000</f>
        <v>6.6614852331712257E-2</v>
      </c>
      <c r="H613" s="124">
        <f>VLOOKUP(A613,'Grondslagen AU 2018'!A$1:DA$386,92,FALSE)</f>
        <v>6.5742578064247201E-2</v>
      </c>
      <c r="I613" s="124" t="e">
        <f>VLOOKUP(A613,'Grondslagen AU 2019'!A$1:DA$386,92,FALSE)</f>
        <v>#N/A</v>
      </c>
      <c r="J613" s="124" t="e">
        <f>VLOOKUP(A613,'Grondslagen AU 2020'!A$1:DA$386,77,FALSE)</f>
        <v>#N/A</v>
      </c>
      <c r="K613" s="124" t="e">
        <f>VLOOKUP(A613,'Grondslagen AU 2021'!A$1:DA$386,77,FALSE)</f>
        <v>#N/A</v>
      </c>
      <c r="L613" s="124" t="e">
        <f>VLOOKUP(A613,'Grondslagen AU 2022'!A$1:DA$386,77,FALSE)</f>
        <v>#N/A</v>
      </c>
      <c r="M613" s="72" t="s">
        <v>317</v>
      </c>
      <c r="N613" s="124"/>
    </row>
    <row r="614" spans="1:14" x14ac:dyDescent="0.35">
      <c r="A614" s="72">
        <v>637</v>
      </c>
      <c r="B614" s="72">
        <v>8</v>
      </c>
      <c r="D614" s="72" t="s">
        <v>358</v>
      </c>
      <c r="F614" s="126">
        <f>VLOOKUP(A614,'IUSD Klassiek 2017'!B$11:E$398,4,FALSE)*1000</f>
        <v>6.9321152873126231</v>
      </c>
      <c r="G614" s="126">
        <f>VLOOKUP(A614,'IUSD klassiek 2018'!B$11:E$390,4,FALSE)*1000</f>
        <v>6.5641654321968979</v>
      </c>
      <c r="H614" s="124">
        <f>VLOOKUP(A614,'Grondslagen AU 2018'!A$1:DA$386,92,FALSE)</f>
        <v>6.9872391255454298</v>
      </c>
      <c r="I614" s="124">
        <f>VLOOKUP(A614,'Grondslagen AU 2019'!A$1:DA$386,92,FALSE)</f>
        <v>6.88</v>
      </c>
      <c r="J614" s="124">
        <f>VLOOKUP(A614,'Grondslagen AU 2020'!A$1:DA$386,77,FALSE)</f>
        <v>6.7450000000000001</v>
      </c>
      <c r="K614" s="124">
        <f>VLOOKUP(A614,'Grondslagen AU 2021'!A$1:DA$386,77,FALSE)</f>
        <v>6.7569999999999997</v>
      </c>
      <c r="L614" s="124">
        <f>VLOOKUP(A614,'Grondslagen AU 2022'!A$1:DA$386,77,FALSE)</f>
        <v>6.9</v>
      </c>
      <c r="M614" s="72"/>
      <c r="N614" s="124"/>
    </row>
    <row r="615" spans="1:14" x14ac:dyDescent="0.35">
      <c r="A615" s="72">
        <v>638</v>
      </c>
      <c r="B615" s="72">
        <v>8</v>
      </c>
      <c r="D615" s="72" t="s">
        <v>359</v>
      </c>
      <c r="F615" s="126">
        <f>VLOOKUP(A615,'IUSD Klassiek 2017'!B$11:E$398,4,FALSE)*1000</f>
        <v>5.2300232840029895E-2</v>
      </c>
      <c r="G615" s="126">
        <f>VLOOKUP(A615,'IUSD klassiek 2018'!B$11:E$390,4,FALSE)*1000</f>
        <v>4.0426424683676181E-2</v>
      </c>
      <c r="H615" s="124">
        <f>VLOOKUP(A615,'Grondslagen AU 2018'!A$1:DA$386,92,FALSE)</f>
        <v>4.0782300005391701E-2</v>
      </c>
      <c r="I615" s="124">
        <f>VLOOKUP(A615,'Grondslagen AU 2019'!A$1:DA$386,92,FALSE)</f>
        <v>4.2999999999999997E-2</v>
      </c>
      <c r="J615" s="124">
        <f>VLOOKUP(A615,'Grondslagen AU 2020'!A$1:DA$386,77,FALSE)</f>
        <v>4.3999999999999997E-2</v>
      </c>
      <c r="K615" s="124">
        <f>VLOOKUP(A615,'Grondslagen AU 2021'!A$1:DA$386,77,FALSE)</f>
        <v>4.3999999999999997E-2</v>
      </c>
      <c r="L615" s="124">
        <f>VLOOKUP(A615,'Grondslagen AU 2022'!A$1:DA$386,77,FALSE)</f>
        <v>4.7E-2</v>
      </c>
      <c r="M615" s="72"/>
      <c r="N615" s="124"/>
    </row>
    <row r="616" spans="1:14" x14ac:dyDescent="0.35">
      <c r="A616" s="72">
        <v>1892</v>
      </c>
      <c r="B616" s="72">
        <v>8</v>
      </c>
      <c r="D616" s="72" t="s">
        <v>360</v>
      </c>
      <c r="F616" s="126">
        <f>VLOOKUP(A616,'IUSD Klassiek 2017'!B$11:E$398,4,FALSE)*1000</f>
        <v>0.66621355076764421</v>
      </c>
      <c r="G616" s="126">
        <f>VLOOKUP(A616,'IUSD klassiek 2018'!B$11:E$390,4,FALSE)*1000</f>
        <v>0.45416113627584836</v>
      </c>
      <c r="H616" s="124">
        <f>VLOOKUP(A616,'Grondslagen AU 2018'!A$1:DA$386,92,FALSE)</f>
        <v>0.49349708962497202</v>
      </c>
      <c r="I616" s="124">
        <f>VLOOKUP(A616,'Grondslagen AU 2019'!A$1:DA$386,92,FALSE)</f>
        <v>0.61699999999999999</v>
      </c>
      <c r="J616" s="124">
        <f>VLOOKUP(A616,'Grondslagen AU 2020'!A$1:DA$386,77,FALSE)</f>
        <v>0.48799999999999999</v>
      </c>
      <c r="K616" s="124">
        <f>VLOOKUP(A616,'Grondslagen AU 2021'!A$1:DA$386,77,FALSE)</f>
        <v>0.53200000000000003</v>
      </c>
      <c r="L616" s="124">
        <f>VLOOKUP(A616,'Grondslagen AU 2022'!A$1:DA$386,77,FALSE)</f>
        <v>0.61</v>
      </c>
      <c r="M616" s="72"/>
      <c r="N616" s="124"/>
    </row>
    <row r="617" spans="1:14" x14ac:dyDescent="0.35">
      <c r="A617" s="72">
        <v>642</v>
      </c>
      <c r="B617" s="72">
        <v>8</v>
      </c>
      <c r="D617" s="72" t="s">
        <v>364</v>
      </c>
      <c r="F617" s="126">
        <f>VLOOKUP(A617,'IUSD Klassiek 2017'!B$11:E$398,4,FALSE)*1000</f>
        <v>2.3227784005305585</v>
      </c>
      <c r="G617" s="126">
        <f>VLOOKUP(A617,'IUSD klassiek 2018'!B$11:E$390,4,FALSE)*1000</f>
        <v>2.4186406631095272</v>
      </c>
      <c r="H617" s="124">
        <f>VLOOKUP(A617,'Grondslagen AU 2018'!A$1:DA$386,92,FALSE)</f>
        <v>2.4551528856246998</v>
      </c>
      <c r="I617" s="124">
        <f>VLOOKUP(A617,'Grondslagen AU 2019'!A$1:DA$386,92,FALSE)</f>
        <v>2.883</v>
      </c>
      <c r="J617" s="124">
        <f>VLOOKUP(A617,'Grondslagen AU 2020'!A$1:DA$386,77,FALSE)</f>
        <v>2.84</v>
      </c>
      <c r="K617" s="124">
        <f>VLOOKUP(A617,'Grondslagen AU 2021'!A$1:DA$386,77,FALSE)</f>
        <v>2.968</v>
      </c>
      <c r="L617" s="124">
        <f>VLOOKUP(A617,'Grondslagen AU 2022'!A$1:DA$386,77,FALSE)</f>
        <v>3.1720000000000002</v>
      </c>
      <c r="M617" s="72"/>
      <c r="N617" s="124"/>
    </row>
    <row r="618" spans="1:14" x14ac:dyDescent="0.35">
      <c r="A618" s="72">
        <v>654</v>
      </c>
      <c r="B618" s="72">
        <v>9</v>
      </c>
      <c r="D618" s="72" t="s">
        <v>57</v>
      </c>
      <c r="F618" s="126">
        <f>VLOOKUP(A618,'IUSD Klassiek 2017'!B$11:E$398,4,FALSE)*1000</f>
        <v>0.25252826665266909</v>
      </c>
      <c r="G618" s="126">
        <f>VLOOKUP(A618,'IUSD klassiek 2018'!B$11:E$390,4,FALSE)*1000</f>
        <v>0.19570332295781387</v>
      </c>
      <c r="H618" s="124">
        <f>VLOOKUP(A618,'Grondslagen AU 2018'!A$1:DA$386,92,FALSE)</f>
        <v>0.168930167682211</v>
      </c>
      <c r="I618" s="124">
        <f>VLOOKUP(A618,'Grondslagen AU 2019'!A$1:DA$386,92,FALSE)</f>
        <v>0.16</v>
      </c>
      <c r="J618" s="124">
        <f>VLOOKUP(A618,'Grondslagen AU 2020'!A$1:DA$386,77,FALSE)</f>
        <v>0.218</v>
      </c>
      <c r="K618" s="124">
        <f>VLOOKUP(A618,'Grondslagen AU 2021'!A$1:DA$386,77,FALSE)</f>
        <v>0.14799999999999999</v>
      </c>
      <c r="L618" s="124">
        <f>VLOOKUP(A618,'Grondslagen AU 2022'!A$1:DA$386,77,FALSE)</f>
        <v>0.22500000000000001</v>
      </c>
      <c r="M618" s="72"/>
      <c r="N618" s="124"/>
    </row>
    <row r="619" spans="1:14" x14ac:dyDescent="0.35">
      <c r="A619" s="72">
        <v>664</v>
      </c>
      <c r="B619" s="72">
        <v>9</v>
      </c>
      <c r="D619" s="72" t="s">
        <v>116</v>
      </c>
      <c r="F619" s="126">
        <f>VLOOKUP(A619,'IUSD Klassiek 2017'!B$11:E$398,4,FALSE)*1000</f>
        <v>1.5680162846018799</v>
      </c>
      <c r="G619" s="126">
        <f>VLOOKUP(A619,'IUSD klassiek 2018'!B$11:E$390,4,FALSE)*1000</f>
        <v>1.6925018603958646</v>
      </c>
      <c r="H619" s="124">
        <f>VLOOKUP(A619,'Grondslagen AU 2018'!A$1:DA$386,92,FALSE)</f>
        <v>1.6068049681158001</v>
      </c>
      <c r="I619" s="124">
        <f>VLOOKUP(A619,'Grondslagen AU 2019'!A$1:DA$386,92,FALSE)</f>
        <v>1.623</v>
      </c>
      <c r="J619" s="124">
        <f>VLOOKUP(A619,'Grondslagen AU 2020'!A$1:DA$386,77,FALSE)</f>
        <v>1.7949999999999999</v>
      </c>
      <c r="K619" s="124">
        <f>VLOOKUP(A619,'Grondslagen AU 2021'!A$1:DA$386,77,FALSE)</f>
        <v>1.8129999999999999</v>
      </c>
      <c r="L619" s="124">
        <f>VLOOKUP(A619,'Grondslagen AU 2022'!A$1:DA$386,77,FALSE)</f>
        <v>1.8859999999999999</v>
      </c>
      <c r="M619" s="72"/>
      <c r="N619" s="124"/>
    </row>
    <row r="620" spans="1:14" x14ac:dyDescent="0.35">
      <c r="A620" s="72">
        <v>677</v>
      </c>
      <c r="B620" s="72">
        <v>9</v>
      </c>
      <c r="D620" s="72" t="s">
        <v>161</v>
      </c>
      <c r="F620" s="126">
        <f>VLOOKUP(A620,'IUSD Klassiek 2017'!B$11:E$398,4,FALSE)*1000</f>
        <v>0.55424146708995092</v>
      </c>
      <c r="G620" s="126">
        <f>VLOOKUP(A620,'IUSD klassiek 2018'!B$11:E$390,4,FALSE)*1000</f>
        <v>0.42436782070621792</v>
      </c>
      <c r="H620" s="124">
        <f>VLOOKUP(A620,'Grondslagen AU 2018'!A$1:DA$386,92,FALSE)</f>
        <v>0.329029314796141</v>
      </c>
      <c r="I620" s="124">
        <f>VLOOKUP(A620,'Grondslagen AU 2019'!A$1:DA$386,92,FALSE)</f>
        <v>0.443</v>
      </c>
      <c r="J620" s="124">
        <f>VLOOKUP(A620,'Grondslagen AU 2020'!A$1:DA$386,77,FALSE)</f>
        <v>0.45700000000000002</v>
      </c>
      <c r="K620" s="124">
        <f>VLOOKUP(A620,'Grondslagen AU 2021'!A$1:DA$386,77,FALSE)</f>
        <v>0.42799999999999999</v>
      </c>
      <c r="L620" s="124">
        <f>VLOOKUP(A620,'Grondslagen AU 2022'!A$1:DA$386,77,FALSE)</f>
        <v>0.437</v>
      </c>
      <c r="M620" s="72"/>
      <c r="N620" s="124"/>
    </row>
    <row r="621" spans="1:14" x14ac:dyDescent="0.35">
      <c r="A621" s="72">
        <v>678</v>
      </c>
      <c r="B621" s="72">
        <v>9</v>
      </c>
      <c r="D621" s="72" t="s">
        <v>165</v>
      </c>
      <c r="F621" s="126">
        <f>VLOOKUP(A621,'IUSD Klassiek 2017'!B$11:E$398,4,FALSE)*1000</f>
        <v>7.2142365842169542E-2</v>
      </c>
      <c r="G621" s="126">
        <f>VLOOKUP(A621,'IUSD klassiek 2018'!B$11:E$390,4,FALSE)*1000</f>
        <v>6.0180593596100854E-2</v>
      </c>
      <c r="H621" s="124">
        <f>VLOOKUP(A621,'Grondslagen AU 2018'!A$1:DA$386,92,FALSE)</f>
        <v>5.9119230452260398E-2</v>
      </c>
      <c r="I621" s="124">
        <f>VLOOKUP(A621,'Grondslagen AU 2019'!A$1:DA$386,92,FALSE)</f>
        <v>6.2E-2</v>
      </c>
      <c r="J621" s="124">
        <f>VLOOKUP(A621,'Grondslagen AU 2020'!A$1:DA$386,77,FALSE)</f>
        <v>6.3E-2</v>
      </c>
      <c r="K621" s="124">
        <f>VLOOKUP(A621,'Grondslagen AU 2021'!A$1:DA$386,77,FALSE)</f>
        <v>6.2E-2</v>
      </c>
      <c r="L621" s="124">
        <f>VLOOKUP(A621,'Grondslagen AU 2022'!A$1:DA$386,77,FALSE)</f>
        <v>6.3E-2</v>
      </c>
      <c r="M621" s="72"/>
      <c r="N621" s="124"/>
    </row>
    <row r="622" spans="1:14" x14ac:dyDescent="0.35">
      <c r="A622" s="72">
        <v>687</v>
      </c>
      <c r="B622" s="72">
        <v>9</v>
      </c>
      <c r="D622" s="72" t="s">
        <v>200</v>
      </c>
      <c r="F622" s="126">
        <f>VLOOKUP(A622,'IUSD Klassiek 2017'!B$11:E$398,4,FALSE)*1000</f>
        <v>3.2272466295136986</v>
      </c>
      <c r="G622" s="126">
        <f>VLOOKUP(A622,'IUSD klassiek 2018'!B$11:E$390,4,FALSE)*1000</f>
        <v>3.5435899052408311</v>
      </c>
      <c r="H622" s="124">
        <f>VLOOKUP(A622,'Grondslagen AU 2018'!A$1:DA$386,92,FALSE)</f>
        <v>3.59393513193353</v>
      </c>
      <c r="I622" s="124">
        <f>VLOOKUP(A622,'Grondslagen AU 2019'!A$1:DA$386,92,FALSE)</f>
        <v>3.625</v>
      </c>
      <c r="J622" s="124">
        <f>VLOOKUP(A622,'Grondslagen AU 2020'!A$1:DA$386,77,FALSE)</f>
        <v>3.431</v>
      </c>
      <c r="K622" s="124">
        <f>VLOOKUP(A622,'Grondslagen AU 2021'!A$1:DA$386,77,FALSE)</f>
        <v>3.4119999999999999</v>
      </c>
      <c r="L622" s="124">
        <f>VLOOKUP(A622,'Grondslagen AU 2022'!A$1:DA$386,77,FALSE)</f>
        <v>3.5409999999999999</v>
      </c>
      <c r="M622" s="72"/>
      <c r="N622" s="124"/>
    </row>
    <row r="623" spans="1:14" x14ac:dyDescent="0.35">
      <c r="A623" s="72">
        <v>1695</v>
      </c>
      <c r="B623" s="72">
        <v>9</v>
      </c>
      <c r="D623" s="72" t="s">
        <v>218</v>
      </c>
      <c r="F623" s="126">
        <f>VLOOKUP(A623,'IUSD Klassiek 2017'!B$11:E$398,4,FALSE)*1000</f>
        <v>0.20407925506778579</v>
      </c>
      <c r="G623" s="126">
        <f>VLOOKUP(A623,'IUSD klassiek 2018'!B$11:E$390,4,FALSE)*1000</f>
        <v>0.18370186975088509</v>
      </c>
      <c r="H623" s="124">
        <f>VLOOKUP(A623,'Grondslagen AU 2018'!A$1:DA$386,92,FALSE)</f>
        <v>0.19898453691760501</v>
      </c>
      <c r="I623" s="124">
        <f>VLOOKUP(A623,'Grondslagen AU 2019'!A$1:DA$386,92,FALSE)</f>
        <v>0.18099999999999999</v>
      </c>
      <c r="J623" s="124">
        <f>VLOOKUP(A623,'Grondslagen AU 2020'!A$1:DA$386,77,FALSE)</f>
        <v>0.19500000000000001</v>
      </c>
      <c r="K623" s="124">
        <f>VLOOKUP(A623,'Grondslagen AU 2021'!A$1:DA$386,77,FALSE)</f>
        <v>0.217</v>
      </c>
      <c r="L623" s="124">
        <f>VLOOKUP(A623,'Grondslagen AU 2022'!A$1:DA$386,77,FALSE)</f>
        <v>0.22900000000000001</v>
      </c>
      <c r="M623" s="72"/>
      <c r="N623" s="124"/>
    </row>
    <row r="624" spans="1:14" x14ac:dyDescent="0.35">
      <c r="A624" s="72">
        <v>703</v>
      </c>
      <c r="B624" s="72">
        <v>9</v>
      </c>
      <c r="D624" s="72" t="s">
        <v>250</v>
      </c>
      <c r="F624" s="126">
        <f>VLOOKUP(A624,'IUSD Klassiek 2017'!B$11:E$398,4,FALSE)*1000</f>
        <v>0.23376065230008231</v>
      </c>
      <c r="G624" s="126">
        <f>VLOOKUP(A624,'IUSD klassiek 2018'!B$11:E$390,4,FALSE)*1000</f>
        <v>0.18964383827156886</v>
      </c>
      <c r="H624" s="124">
        <f>VLOOKUP(A624,'Grondslagen AU 2018'!A$1:DA$386,92,FALSE)</f>
        <v>0.24851042369405801</v>
      </c>
      <c r="I624" s="124">
        <f>VLOOKUP(A624,'Grondslagen AU 2019'!A$1:DA$386,92,FALSE)</f>
        <v>0.35299999999999998</v>
      </c>
      <c r="J624" s="124">
        <f>VLOOKUP(A624,'Grondslagen AU 2020'!A$1:DA$386,77,FALSE)</f>
        <v>0.34699999999999998</v>
      </c>
      <c r="K624" s="124">
        <f>VLOOKUP(A624,'Grondslagen AU 2021'!A$1:DA$386,77,FALSE)</f>
        <v>0.251</v>
      </c>
      <c r="L624" s="124">
        <f>VLOOKUP(A624,'Grondslagen AU 2022'!A$1:DA$386,77,FALSE)</f>
        <v>0.27300000000000002</v>
      </c>
      <c r="M624" s="72"/>
      <c r="N624" s="124"/>
    </row>
    <row r="625" spans="1:14" x14ac:dyDescent="0.35">
      <c r="A625" s="72">
        <v>1676</v>
      </c>
      <c r="B625" s="72">
        <v>9</v>
      </c>
      <c r="D625" s="72" t="s">
        <v>269</v>
      </c>
      <c r="F625" s="126">
        <f>VLOOKUP(A625,'IUSD Klassiek 2017'!B$11:E$398,4,FALSE)*1000</f>
        <v>0.72931579692321791</v>
      </c>
      <c r="G625" s="126">
        <f>VLOOKUP(A625,'IUSD klassiek 2018'!B$11:E$390,4,FALSE)*1000</f>
        <v>0.70138814278089423</v>
      </c>
      <c r="H625" s="124">
        <f>VLOOKUP(A625,'Grondslagen AU 2018'!A$1:DA$386,92,FALSE)</f>
        <v>0.76053078314425304</v>
      </c>
      <c r="I625" s="124">
        <f>VLOOKUP(A625,'Grondslagen AU 2019'!A$1:DA$386,92,FALSE)</f>
        <v>0.79800000000000004</v>
      </c>
      <c r="J625" s="124">
        <f>VLOOKUP(A625,'Grondslagen AU 2020'!A$1:DA$386,77,FALSE)</f>
        <v>0.875</v>
      </c>
      <c r="K625" s="124">
        <f>VLOOKUP(A625,'Grondslagen AU 2021'!A$1:DA$386,77,FALSE)</f>
        <v>0.84199999999999997</v>
      </c>
      <c r="L625" s="124">
        <f>VLOOKUP(A625,'Grondslagen AU 2022'!A$1:DA$386,77,FALSE)</f>
        <v>0.82399999999999995</v>
      </c>
      <c r="M625" s="72"/>
      <c r="N625" s="124"/>
    </row>
    <row r="626" spans="1:14" x14ac:dyDescent="0.35">
      <c r="A626" s="72">
        <v>1714</v>
      </c>
      <c r="B626" s="72">
        <v>9</v>
      </c>
      <c r="D626" s="72" t="s">
        <v>277</v>
      </c>
      <c r="F626" s="126">
        <f>VLOOKUP(A626,'IUSD Klassiek 2017'!B$11:E$398,4,FALSE)*1000</f>
        <v>0.60490353160862176</v>
      </c>
      <c r="G626" s="126">
        <f>VLOOKUP(A626,'IUSD klassiek 2018'!B$11:E$390,4,FALSE)*1000</f>
        <v>0.53690478301194011</v>
      </c>
      <c r="H626" s="124">
        <f>VLOOKUP(A626,'Grondslagen AU 2018'!A$1:DA$386,92,FALSE)</f>
        <v>0.56915931459406</v>
      </c>
      <c r="I626" s="124">
        <f>VLOOKUP(A626,'Grondslagen AU 2019'!A$1:DA$386,92,FALSE)</f>
        <v>0.45700000000000002</v>
      </c>
      <c r="J626" s="124">
        <f>VLOOKUP(A626,'Grondslagen AU 2020'!A$1:DA$386,77,FALSE)</f>
        <v>0.48</v>
      </c>
      <c r="K626" s="124">
        <f>VLOOKUP(A626,'Grondslagen AU 2021'!A$1:DA$386,77,FALSE)</f>
        <v>0.56399999999999995</v>
      </c>
      <c r="L626" s="124">
        <f>VLOOKUP(A626,'Grondslagen AU 2022'!A$1:DA$386,77,FALSE)</f>
        <v>0.65500000000000003</v>
      </c>
      <c r="M626" s="72"/>
      <c r="N626" s="124"/>
    </row>
    <row r="627" spans="1:14" x14ac:dyDescent="0.35">
      <c r="A627" s="72">
        <v>715</v>
      </c>
      <c r="B627" s="72">
        <v>9</v>
      </c>
      <c r="D627" s="72" t="s">
        <v>290</v>
      </c>
      <c r="F627" s="126">
        <f>VLOOKUP(A627,'IUSD Klassiek 2017'!B$11:E$398,4,FALSE)*1000</f>
        <v>2.5707107234719486</v>
      </c>
      <c r="G627" s="126">
        <f>VLOOKUP(A627,'IUSD klassiek 2018'!B$11:E$390,4,FALSE)*1000</f>
        <v>2.5117995920275753</v>
      </c>
      <c r="H627" s="124">
        <f>VLOOKUP(A627,'Grondslagen AU 2018'!A$1:DA$386,92,FALSE)</f>
        <v>2.4438408833159202</v>
      </c>
      <c r="I627" s="124">
        <f>VLOOKUP(A627,'Grondslagen AU 2019'!A$1:DA$386,92,FALSE)</f>
        <v>2.4260000000000002</v>
      </c>
      <c r="J627" s="124">
        <f>VLOOKUP(A627,'Grondslagen AU 2020'!A$1:DA$386,77,FALSE)</f>
        <v>2.4500000000000002</v>
      </c>
      <c r="K627" s="124">
        <f>VLOOKUP(A627,'Grondslagen AU 2021'!A$1:DA$386,77,FALSE)</f>
        <v>2.552</v>
      </c>
      <c r="L627" s="124">
        <f>VLOOKUP(A627,'Grondslagen AU 2022'!A$1:DA$386,77,FALSE)</f>
        <v>2.2370000000000001</v>
      </c>
      <c r="M627" s="72"/>
      <c r="N627" s="124"/>
    </row>
    <row r="628" spans="1:14" x14ac:dyDescent="0.35">
      <c r="A628" s="72">
        <v>716</v>
      </c>
      <c r="B628" s="72">
        <v>9</v>
      </c>
      <c r="D628" s="72" t="s">
        <v>294</v>
      </c>
      <c r="F628" s="126">
        <f>VLOOKUP(A628,'IUSD Klassiek 2017'!B$11:E$398,4,FALSE)*1000</f>
        <v>0.50729041114738571</v>
      </c>
      <c r="G628" s="126">
        <f>VLOOKUP(A628,'IUSD klassiek 2018'!B$11:E$390,4,FALSE)*1000</f>
        <v>0.59837156605455821</v>
      </c>
      <c r="H628" s="124">
        <f>VLOOKUP(A628,'Grondslagen AU 2018'!A$1:DA$386,92,FALSE)</f>
        <v>0.52445161265178397</v>
      </c>
      <c r="I628" s="124">
        <f>VLOOKUP(A628,'Grondslagen AU 2019'!A$1:DA$386,92,FALSE)</f>
        <v>0.51200000000000001</v>
      </c>
      <c r="J628" s="124">
        <f>VLOOKUP(A628,'Grondslagen AU 2020'!A$1:DA$386,77,FALSE)</f>
        <v>0.505</v>
      </c>
      <c r="K628" s="124">
        <f>VLOOKUP(A628,'Grondslagen AU 2021'!A$1:DA$386,77,FALSE)</f>
        <v>0.52900000000000003</v>
      </c>
      <c r="L628" s="124">
        <f>VLOOKUP(A628,'Grondslagen AU 2022'!A$1:DA$386,77,FALSE)</f>
        <v>0.46100000000000002</v>
      </c>
      <c r="M628" s="72"/>
      <c r="N628" s="124"/>
    </row>
    <row r="629" spans="1:14" x14ac:dyDescent="0.35">
      <c r="A629" s="72">
        <v>717</v>
      </c>
      <c r="B629" s="72">
        <v>9</v>
      </c>
      <c r="D629" s="72" t="s">
        <v>312</v>
      </c>
      <c r="F629" s="126">
        <f>VLOOKUP(A629,'IUSD Klassiek 2017'!B$11:E$398,4,FALSE)*1000</f>
        <v>0.18517319954659911</v>
      </c>
      <c r="G629" s="126">
        <f>VLOOKUP(A629,'IUSD klassiek 2018'!B$11:E$390,4,FALSE)*1000</f>
        <v>0.19054523943961793</v>
      </c>
      <c r="H629" s="124">
        <f>VLOOKUP(A629,'Grondslagen AU 2018'!A$1:DA$386,92,FALSE)</f>
        <v>0.22688866597384399</v>
      </c>
      <c r="I629" s="124">
        <f>VLOOKUP(A629,'Grondslagen AU 2019'!A$1:DA$386,92,FALSE)</f>
        <v>0.10100000000000001</v>
      </c>
      <c r="J629" s="124">
        <f>VLOOKUP(A629,'Grondslagen AU 2020'!A$1:DA$386,77,FALSE)</f>
        <v>0.10199999999999999</v>
      </c>
      <c r="K629" s="124">
        <f>VLOOKUP(A629,'Grondslagen AU 2021'!A$1:DA$386,77,FALSE)</f>
        <v>0.11700000000000001</v>
      </c>
      <c r="L629" s="124">
        <f>VLOOKUP(A629,'Grondslagen AU 2022'!A$1:DA$386,77,FALSE)</f>
        <v>0.19700000000000001</v>
      </c>
      <c r="M629" s="72"/>
      <c r="N629" s="124"/>
    </row>
    <row r="630" spans="1:14" x14ac:dyDescent="0.35">
      <c r="A630" s="72">
        <v>718</v>
      </c>
      <c r="B630" s="72">
        <v>9</v>
      </c>
      <c r="D630" s="72" t="s">
        <v>320</v>
      </c>
      <c r="F630" s="126">
        <f>VLOOKUP(A630,'IUSD Klassiek 2017'!B$11:E$398,4,FALSE)*1000</f>
        <v>5.0408727402628699</v>
      </c>
      <c r="G630" s="126">
        <f>VLOOKUP(A630,'IUSD klassiek 2018'!B$11:E$390,4,FALSE)*1000</f>
        <v>5.5162453141341601</v>
      </c>
      <c r="H630" s="124">
        <f>VLOOKUP(A630,'Grondslagen AU 2018'!A$1:DA$386,92,FALSE)</f>
        <v>5.67590754751508</v>
      </c>
      <c r="I630" s="124">
        <f>VLOOKUP(A630,'Grondslagen AU 2019'!A$1:DA$386,92,FALSE)</f>
        <v>5.1890000000000001</v>
      </c>
      <c r="J630" s="124">
        <f>VLOOKUP(A630,'Grondslagen AU 2020'!A$1:DA$386,77,FALSE)</f>
        <v>5.0030000000000001</v>
      </c>
      <c r="K630" s="124">
        <f>VLOOKUP(A630,'Grondslagen AU 2021'!A$1:DA$386,77,FALSE)</f>
        <v>5.0529999999999999</v>
      </c>
      <c r="L630" s="124">
        <f>VLOOKUP(A630,'Grondslagen AU 2022'!A$1:DA$386,77,FALSE)</f>
        <v>4.9930000000000003</v>
      </c>
      <c r="M630" s="72"/>
      <c r="N630" s="124"/>
    </row>
    <row r="631" spans="1:14" x14ac:dyDescent="0.35">
      <c r="A631" s="72">
        <v>738</v>
      </c>
      <c r="B631" s="72">
        <v>10</v>
      </c>
      <c r="D631" s="72" t="s">
        <v>822</v>
      </c>
      <c r="F631" s="126">
        <f>VLOOKUP(A631,'IUSD Klassiek 2017'!B$11:E$398,4,FALSE)*1000</f>
        <v>7.2157740468013598E-2</v>
      </c>
      <c r="G631" s="126">
        <f>VLOOKUP(A631,'IUSD klassiek 2018'!B$11:E$390,4,FALSE)*1000</f>
        <v>6.3875893202878911E-2</v>
      </c>
      <c r="H631" s="124">
        <f>VLOOKUP(A631,'Grondslagen AU 2018'!A$1:DA$386,92,FALSE)</f>
        <v>6.30615194527816E-2</v>
      </c>
      <c r="I631" s="124" t="e">
        <f>VLOOKUP(A631,'Grondslagen AU 2019'!A$1:DA$386,92,FALSE)</f>
        <v>#N/A</v>
      </c>
      <c r="J631" s="124" t="e">
        <f>VLOOKUP(A631,'Grondslagen AU 2020'!A$1:DA$386,77,FALSE)</f>
        <v>#N/A</v>
      </c>
      <c r="K631" s="124" t="e">
        <f>VLOOKUP(A631,'Grondslagen AU 2021'!A$1:DA$386,77,FALSE)</f>
        <v>#N/A</v>
      </c>
      <c r="L631" s="124" t="e">
        <f>VLOOKUP(A631,'Grondslagen AU 2022'!A$1:DA$386,77,FALSE)</f>
        <v>#N/A</v>
      </c>
      <c r="M631" s="72" t="s">
        <v>22</v>
      </c>
      <c r="N631" s="124"/>
    </row>
    <row r="632" spans="1:14" x14ac:dyDescent="0.35">
      <c r="A632" s="72">
        <v>1723</v>
      </c>
      <c r="B632" s="72">
        <v>10</v>
      </c>
      <c r="D632" s="72" t="s">
        <v>21</v>
      </c>
      <c r="F632" s="126">
        <f>VLOOKUP(A632,'IUSD Klassiek 2017'!B$11:E$398,4,FALSE)*1000</f>
        <v>5.6219423687369943E-2</v>
      </c>
      <c r="G632" s="126">
        <f>VLOOKUP(A632,'IUSD klassiek 2018'!B$11:E$390,4,FALSE)*1000</f>
        <v>4.8390828183999215E-2</v>
      </c>
      <c r="H632" s="124">
        <f>VLOOKUP(A632,'Grondslagen AU 2018'!A$1:DA$386,92,FALSE)</f>
        <v>4.8040038950795699E-2</v>
      </c>
      <c r="I632" s="124">
        <f>VLOOKUP(A632,'Grondslagen AU 2019'!A$1:DA$386,92,FALSE)</f>
        <v>0.05</v>
      </c>
      <c r="J632" s="124">
        <f>VLOOKUP(A632,'Grondslagen AU 2020'!A$1:DA$386,77,FALSE)</f>
        <v>5.0999999999999997E-2</v>
      </c>
      <c r="K632" s="124">
        <f>VLOOKUP(A632,'Grondslagen AU 2021'!A$1:DA$386,77,FALSE)</f>
        <v>0.05</v>
      </c>
      <c r="L632" s="124">
        <f>VLOOKUP(A632,'Grondslagen AU 2022'!A$1:DA$386,77,FALSE)</f>
        <v>0.05</v>
      </c>
      <c r="M632" s="72"/>
      <c r="N632" s="124"/>
    </row>
    <row r="633" spans="1:14" x14ac:dyDescent="0.35">
      <c r="A633" s="72">
        <v>743</v>
      </c>
      <c r="B633" s="72">
        <v>10</v>
      </c>
      <c r="D633" s="72" t="s">
        <v>31</v>
      </c>
      <c r="F633" s="126">
        <f>VLOOKUP(A633,'IUSD Klassiek 2017'!B$11:E$398,4,FALSE)*1000</f>
        <v>0.20798860316107812</v>
      </c>
      <c r="G633" s="126">
        <f>VLOOKUP(A633,'IUSD klassiek 2018'!B$11:E$390,4,FALSE)*1000</f>
        <v>0.17794132439826454</v>
      </c>
      <c r="H633" s="124">
        <f>VLOOKUP(A633,'Grondslagen AU 2018'!A$1:DA$386,92,FALSE)</f>
        <v>0.16307502244168701</v>
      </c>
      <c r="I633" s="124">
        <f>VLOOKUP(A633,'Grondslagen AU 2019'!A$1:DA$386,92,FALSE)</f>
        <v>0.27600000000000002</v>
      </c>
      <c r="J633" s="124">
        <f>VLOOKUP(A633,'Grondslagen AU 2020'!A$1:DA$386,77,FALSE)</f>
        <v>0.26700000000000002</v>
      </c>
      <c r="K633" s="124">
        <f>VLOOKUP(A633,'Grondslagen AU 2021'!A$1:DA$386,77,FALSE)</f>
        <v>0.20399999999999999</v>
      </c>
      <c r="L633" s="124">
        <f>VLOOKUP(A633,'Grondslagen AU 2022'!A$1:DA$386,77,FALSE)</f>
        <v>0.222</v>
      </c>
      <c r="M633" s="72"/>
      <c r="N633" s="124"/>
    </row>
    <row r="634" spans="1:14" x14ac:dyDescent="0.35">
      <c r="A634" s="72">
        <v>744</v>
      </c>
      <c r="B634" s="72">
        <v>10</v>
      </c>
      <c r="D634" s="72" t="s">
        <v>32</v>
      </c>
      <c r="F634" s="126">
        <f>VLOOKUP(A634,'IUSD Klassiek 2017'!B$11:E$398,4,FALSE)*1000</f>
        <v>0.13242212187406693</v>
      </c>
      <c r="G634" s="126">
        <f>VLOOKUP(A634,'IUSD klassiek 2018'!B$11:E$390,4,FALSE)*1000</f>
        <v>0.12728687723062129</v>
      </c>
      <c r="H634" s="124">
        <f>VLOOKUP(A634,'Grondslagen AU 2018'!A$1:DA$386,92,FALSE)</f>
        <v>0.14552864961748199</v>
      </c>
      <c r="I634" s="124">
        <f>VLOOKUP(A634,'Grondslagen AU 2019'!A$1:DA$386,92,FALSE)</f>
        <v>0.14499999999999999</v>
      </c>
      <c r="J634" s="124">
        <f>VLOOKUP(A634,'Grondslagen AU 2020'!A$1:DA$386,77,FALSE)</f>
        <v>0.14899999999999999</v>
      </c>
      <c r="K634" s="124">
        <f>VLOOKUP(A634,'Grondslagen AU 2021'!A$1:DA$386,77,FALSE)</f>
        <v>0.159</v>
      </c>
      <c r="L634" s="124">
        <f>VLOOKUP(A634,'Grondslagen AU 2022'!A$1:DA$386,77,FALSE)</f>
        <v>0.158</v>
      </c>
      <c r="M634" s="72"/>
      <c r="N634" s="124"/>
    </row>
    <row r="635" spans="1:14" x14ac:dyDescent="0.35">
      <c r="A635" s="72">
        <v>1724</v>
      </c>
      <c r="B635" s="72">
        <v>10</v>
      </c>
      <c r="D635" s="72" t="s">
        <v>41</v>
      </c>
      <c r="F635" s="126">
        <f>VLOOKUP(A635,'IUSD Klassiek 2017'!B$11:E$398,4,FALSE)*1000</f>
        <v>0.12936471899251856</v>
      </c>
      <c r="G635" s="126">
        <f>VLOOKUP(A635,'IUSD klassiek 2018'!B$11:E$390,4,FALSE)*1000</f>
        <v>8.8756047077086758E-2</v>
      </c>
      <c r="H635" s="124">
        <f>VLOOKUP(A635,'Grondslagen AU 2018'!A$1:DA$386,92,FALSE)</f>
        <v>8.8036902067194694E-2</v>
      </c>
      <c r="I635" s="124">
        <f>VLOOKUP(A635,'Grondslagen AU 2019'!A$1:DA$386,92,FALSE)</f>
        <v>9.2999999999999999E-2</v>
      </c>
      <c r="J635" s="124">
        <f>VLOOKUP(A635,'Grondslagen AU 2020'!A$1:DA$386,77,FALSE)</f>
        <v>9.5000000000000001E-2</v>
      </c>
      <c r="K635" s="124">
        <f>VLOOKUP(A635,'Grondslagen AU 2021'!A$1:DA$386,77,FALSE)</f>
        <v>9.1999999999999998E-2</v>
      </c>
      <c r="L635" s="124">
        <f>VLOOKUP(A635,'Grondslagen AU 2022'!A$1:DA$386,77,FALSE)</f>
        <v>9.4E-2</v>
      </c>
      <c r="M635" s="72"/>
      <c r="N635" s="124"/>
    </row>
    <row r="636" spans="1:14" x14ac:dyDescent="0.35">
      <c r="A636" s="72">
        <v>748</v>
      </c>
      <c r="B636" s="72">
        <v>10</v>
      </c>
      <c r="D636" s="72" t="s">
        <v>44</v>
      </c>
      <c r="F636" s="126">
        <f>VLOOKUP(A636,'IUSD Klassiek 2017'!B$11:E$398,4,FALSE)*1000</f>
        <v>4.6196474055522536</v>
      </c>
      <c r="G636" s="126">
        <f>VLOOKUP(A636,'IUSD klassiek 2018'!B$11:E$390,4,FALSE)*1000</f>
        <v>4.7318033620739497</v>
      </c>
      <c r="H636" s="124">
        <f>VLOOKUP(A636,'Grondslagen AU 2018'!A$1:DA$386,92,FALSE)</f>
        <v>4.6091804955747397</v>
      </c>
      <c r="I636" s="124">
        <f>VLOOKUP(A636,'Grondslagen AU 2019'!A$1:DA$386,92,FALSE)</f>
        <v>5.0209999999999999</v>
      </c>
      <c r="J636" s="124">
        <f>VLOOKUP(A636,'Grondslagen AU 2020'!A$1:DA$386,77,FALSE)</f>
        <v>5.3330000000000002</v>
      </c>
      <c r="K636" s="124">
        <f>VLOOKUP(A636,'Grondslagen AU 2021'!A$1:DA$386,77,FALSE)</f>
        <v>5.524</v>
      </c>
      <c r="L636" s="124">
        <f>VLOOKUP(A636,'Grondslagen AU 2022'!A$1:DA$386,77,FALSE)</f>
        <v>5.2519999999999998</v>
      </c>
      <c r="M636" s="72"/>
      <c r="N636" s="124"/>
    </row>
    <row r="637" spans="1:14" x14ac:dyDescent="0.35">
      <c r="A637" s="72">
        <v>1721</v>
      </c>
      <c r="B637" s="72">
        <v>10</v>
      </c>
      <c r="D637" s="72" t="s">
        <v>46</v>
      </c>
      <c r="F637" s="126">
        <f>VLOOKUP(A637,'IUSD Klassiek 2017'!B$11:E$398,4,FALSE)*1000</f>
        <v>0.18660849639536403</v>
      </c>
      <c r="G637" s="126">
        <f>VLOOKUP(A637,'IUSD klassiek 2018'!B$11:E$390,4,FALSE)*1000</f>
        <v>0.14501181935170271</v>
      </c>
      <c r="H637" s="124">
        <f>VLOOKUP(A637,'Grondslagen AU 2018'!A$1:DA$386,92,FALSE)</f>
        <v>0.14538889951922099</v>
      </c>
      <c r="I637" s="124">
        <f>VLOOKUP(A637,'Grondslagen AU 2019'!A$1:DA$386,92,FALSE)</f>
        <v>0.155</v>
      </c>
      <c r="J637" s="124">
        <f>VLOOKUP(A637,'Grondslagen AU 2020'!A$1:DA$386,77,FALSE)</f>
        <v>0.17199999999999999</v>
      </c>
      <c r="K637" s="124">
        <f>VLOOKUP(A637,'Grondslagen AU 2021'!A$1:DA$386,77,FALSE)</f>
        <v>0.155</v>
      </c>
      <c r="L637" s="124">
        <f>VLOOKUP(A637,'Grondslagen AU 2022'!A$1:DA$386,77,FALSE)</f>
        <v>0.21</v>
      </c>
      <c r="M637" s="72"/>
      <c r="N637" s="124"/>
    </row>
    <row r="638" spans="1:14" x14ac:dyDescent="0.35">
      <c r="A638" s="72">
        <v>753</v>
      </c>
      <c r="B638" s="72">
        <v>10</v>
      </c>
      <c r="D638" s="72" t="s">
        <v>47</v>
      </c>
      <c r="F638" s="126">
        <f>VLOOKUP(A638,'IUSD Klassiek 2017'!B$11:E$398,4,FALSE)*1000</f>
        <v>0.54482333711420194</v>
      </c>
      <c r="G638" s="126">
        <f>VLOOKUP(A638,'IUSD klassiek 2018'!B$11:E$390,4,FALSE)*1000</f>
        <v>0.5524031394155271</v>
      </c>
      <c r="H638" s="124">
        <f>VLOOKUP(A638,'Grondslagen AU 2018'!A$1:DA$386,92,FALSE)</f>
        <v>0.44211062827872399</v>
      </c>
      <c r="I638" s="124">
        <f>VLOOKUP(A638,'Grondslagen AU 2019'!A$1:DA$386,92,FALSE)</f>
        <v>0.42899999999999999</v>
      </c>
      <c r="J638" s="124">
        <f>VLOOKUP(A638,'Grondslagen AU 2020'!A$1:DA$386,77,FALSE)</f>
        <v>0.58399999999999996</v>
      </c>
      <c r="K638" s="124">
        <f>VLOOKUP(A638,'Grondslagen AU 2021'!A$1:DA$386,77,FALSE)</f>
        <v>0.54100000000000004</v>
      </c>
      <c r="L638" s="124">
        <f>VLOOKUP(A638,'Grondslagen AU 2022'!A$1:DA$386,77,FALSE)</f>
        <v>0.438</v>
      </c>
      <c r="M638" s="72"/>
      <c r="N638" s="124"/>
    </row>
    <row r="639" spans="1:14" x14ac:dyDescent="0.35">
      <c r="A639" s="72">
        <v>1728</v>
      </c>
      <c r="B639" s="72">
        <v>10</v>
      </c>
      <c r="D639" s="72" t="s">
        <v>50</v>
      </c>
      <c r="F639" s="126">
        <f>VLOOKUP(A639,'IUSD Klassiek 2017'!B$11:E$398,4,FALSE)*1000</f>
        <v>0.12629094673173541</v>
      </c>
      <c r="G639" s="126">
        <f>VLOOKUP(A639,'IUSD klassiek 2018'!B$11:E$390,4,FALSE)*1000</f>
        <v>9.7577331645648177E-2</v>
      </c>
      <c r="H639" s="124">
        <f>VLOOKUP(A639,'Grondslagen AU 2018'!A$1:DA$386,92,FALSE)</f>
        <v>9.6351959901627302E-2</v>
      </c>
      <c r="I639" s="124">
        <f>VLOOKUP(A639,'Grondslagen AU 2019'!A$1:DA$386,92,FALSE)</f>
        <v>0.10100000000000001</v>
      </c>
      <c r="J639" s="124">
        <f>VLOOKUP(A639,'Grondslagen AU 2020'!A$1:DA$386,77,FALSE)</f>
        <v>0.104</v>
      </c>
      <c r="K639" s="124">
        <f>VLOOKUP(A639,'Grondslagen AU 2021'!A$1:DA$386,77,FALSE)</f>
        <v>0.10199999999999999</v>
      </c>
      <c r="L639" s="124">
        <f>VLOOKUP(A639,'Grondslagen AU 2022'!A$1:DA$386,77,FALSE)</f>
        <v>0.10299999999999999</v>
      </c>
      <c r="M639" s="72"/>
      <c r="N639" s="124"/>
    </row>
    <row r="640" spans="1:14" x14ac:dyDescent="0.35">
      <c r="A640" s="72">
        <v>755</v>
      </c>
      <c r="B640" s="72">
        <v>10</v>
      </c>
      <c r="D640" s="72" t="s">
        <v>54</v>
      </c>
      <c r="F640" s="126">
        <f>VLOOKUP(A640,'IUSD Klassiek 2017'!B$11:E$398,4,FALSE)*1000</f>
        <v>0.10797554213293729</v>
      </c>
      <c r="G640" s="126">
        <f>VLOOKUP(A640,'IUSD klassiek 2018'!B$11:E$390,4,FALSE)*1000</f>
        <v>5.0854361255184589E-2</v>
      </c>
      <c r="H640" s="124">
        <f>VLOOKUP(A640,'Grondslagen AU 2018'!A$1:DA$386,92,FALSE)</f>
        <v>5.5198894595212801E-2</v>
      </c>
      <c r="I640" s="124">
        <f>VLOOKUP(A640,'Grondslagen AU 2019'!A$1:DA$386,92,FALSE)</f>
        <v>6.8000000000000005E-2</v>
      </c>
      <c r="J640" s="124">
        <f>VLOOKUP(A640,'Grondslagen AU 2020'!A$1:DA$386,77,FALSE)</f>
        <v>5.6000000000000001E-2</v>
      </c>
      <c r="K640" s="124">
        <f>VLOOKUP(A640,'Grondslagen AU 2021'!A$1:DA$386,77,FALSE)</f>
        <v>5.6000000000000001E-2</v>
      </c>
      <c r="L640" s="124">
        <f>VLOOKUP(A640,'Grondslagen AU 2022'!A$1:DA$386,77,FALSE)</f>
        <v>5.6000000000000001E-2</v>
      </c>
      <c r="M640" s="72"/>
      <c r="N640" s="124"/>
    </row>
    <row r="641" spans="1:15" x14ac:dyDescent="0.35">
      <c r="A641" s="72">
        <v>756</v>
      </c>
      <c r="B641" s="72">
        <v>10</v>
      </c>
      <c r="D641" s="72" t="s">
        <v>58</v>
      </c>
      <c r="F641" s="126">
        <f>VLOOKUP(A641,'IUSD Klassiek 2017'!B$11:E$398,4,FALSE)*1000</f>
        <v>0.38838492856990325</v>
      </c>
      <c r="G641" s="126">
        <f>VLOOKUP(A641,'IUSD klassiek 2018'!B$11:E$390,4,FALSE)*1000</f>
        <v>0.36725609804479697</v>
      </c>
      <c r="H641" s="124">
        <f>VLOOKUP(A641,'Grondslagen AU 2018'!A$1:DA$386,92,FALSE)</f>
        <v>0.34757941133287601</v>
      </c>
      <c r="I641" s="124">
        <f>VLOOKUP(A641,'Grondslagen AU 2019'!A$1:DA$386,92,FALSE)</f>
        <v>0.34499999999999997</v>
      </c>
      <c r="J641" s="124">
        <f>VLOOKUP(A641,'Grondslagen AU 2020'!A$1:DA$386,77,FALSE)</f>
        <v>0.28999999999999998</v>
      </c>
      <c r="K641" s="124">
        <f>VLOOKUP(A641,'Grondslagen AU 2021'!A$1:DA$386,77,FALSE)</f>
        <v>0.28100000000000003</v>
      </c>
      <c r="L641" s="124" t="e">
        <f>VLOOKUP(A641,'Grondslagen AU 2022'!A$1:DA$386,77,FALSE)</f>
        <v>#N/A</v>
      </c>
      <c r="M641" s="72"/>
      <c r="N641" s="124"/>
      <c r="O641" t="s">
        <v>1302</v>
      </c>
    </row>
    <row r="642" spans="1:15" x14ac:dyDescent="0.35">
      <c r="A642" s="72">
        <v>757</v>
      </c>
      <c r="B642" s="72">
        <v>10</v>
      </c>
      <c r="D642" s="72" t="s">
        <v>59</v>
      </c>
      <c r="F642" s="126">
        <f>VLOOKUP(A642,'IUSD Klassiek 2017'!B$11:E$398,4,FALSE)*1000</f>
        <v>0.603216920206472</v>
      </c>
      <c r="G642" s="126">
        <f>VLOOKUP(A642,'IUSD klassiek 2018'!B$11:E$390,4,FALSE)*1000</f>
        <v>0.47762058591096956</v>
      </c>
      <c r="H642" s="124">
        <f>VLOOKUP(A642,'Grondslagen AU 2018'!A$1:DA$386,92,FALSE)</f>
        <v>0.40405063618654502</v>
      </c>
      <c r="I642" s="124">
        <f>VLOOKUP(A642,'Grondslagen AU 2019'!A$1:DA$386,92,FALSE)</f>
        <v>0.56699999999999995</v>
      </c>
      <c r="J642" s="124">
        <f>VLOOKUP(A642,'Grondslagen AU 2020'!A$1:DA$386,77,FALSE)</f>
        <v>0.69</v>
      </c>
      <c r="K642" s="124">
        <f>VLOOKUP(A642,'Grondslagen AU 2021'!A$1:DA$386,77,FALSE)</f>
        <v>0.59699999999999998</v>
      </c>
      <c r="L642" s="124">
        <f>VLOOKUP(A642,'Grondslagen AU 2022'!A$1:DA$386,77,FALSE)</f>
        <v>0.56000000000000005</v>
      </c>
      <c r="M642" s="72"/>
      <c r="N642" s="124"/>
    </row>
    <row r="643" spans="1:15" x14ac:dyDescent="0.35">
      <c r="A643" s="72">
        <v>758</v>
      </c>
      <c r="B643" s="72">
        <v>10</v>
      </c>
      <c r="D643" s="72" t="s">
        <v>60</v>
      </c>
      <c r="F643" s="126">
        <f>VLOOKUP(A643,'IUSD Klassiek 2017'!B$11:E$398,4,FALSE)*1000</f>
        <v>10.390034475120354</v>
      </c>
      <c r="G643" s="126">
        <f>VLOOKUP(A643,'IUSD klassiek 2018'!B$11:E$390,4,FALSE)*1000</f>
        <v>10.598094150752901</v>
      </c>
      <c r="H643" s="124">
        <f>VLOOKUP(A643,'Grondslagen AU 2018'!A$1:DA$386,92,FALSE)</f>
        <v>10.9633073581731</v>
      </c>
      <c r="I643" s="124">
        <f>VLOOKUP(A643,'Grondslagen AU 2019'!A$1:DA$386,92,FALSE)</f>
        <v>11.081</v>
      </c>
      <c r="J643" s="124">
        <f>VLOOKUP(A643,'Grondslagen AU 2020'!A$1:DA$386,77,FALSE)</f>
        <v>10.393000000000001</v>
      </c>
      <c r="K643" s="124">
        <f>VLOOKUP(A643,'Grondslagen AU 2021'!A$1:DA$386,77,FALSE)</f>
        <v>10.586</v>
      </c>
      <c r="L643" s="124">
        <f>VLOOKUP(A643,'Grondslagen AU 2022'!A$1:DA$386,77,FALSE)</f>
        <v>10.537000000000001</v>
      </c>
      <c r="M643" s="72"/>
      <c r="N643" s="124"/>
    </row>
    <row r="644" spans="1:15" x14ac:dyDescent="0.35">
      <c r="A644" s="72">
        <v>1706</v>
      </c>
      <c r="B644" s="72">
        <v>10</v>
      </c>
      <c r="D644" s="72" t="s">
        <v>71</v>
      </c>
      <c r="F644" s="126">
        <f>VLOOKUP(A644,'IUSD Klassiek 2017'!B$11:E$398,4,FALSE)*1000</f>
        <v>0.34729171605732156</v>
      </c>
      <c r="G644" s="126">
        <f>VLOOKUP(A644,'IUSD klassiek 2018'!B$11:E$390,4,FALSE)*1000</f>
        <v>0.23348523270594548</v>
      </c>
      <c r="H644" s="124">
        <f>VLOOKUP(A644,'Grondslagen AU 2018'!A$1:DA$386,92,FALSE)</f>
        <v>0.27913990070005901</v>
      </c>
      <c r="I644" s="124">
        <f>VLOOKUP(A644,'Grondslagen AU 2019'!A$1:DA$386,92,FALSE)</f>
        <v>0.42299999999999999</v>
      </c>
      <c r="J644" s="124">
        <f>VLOOKUP(A644,'Grondslagen AU 2020'!A$1:DA$386,77,FALSE)</f>
        <v>0.38600000000000001</v>
      </c>
      <c r="K644" s="124">
        <f>VLOOKUP(A644,'Grondslagen AU 2021'!A$1:DA$386,77,FALSE)</f>
        <v>0.27100000000000002</v>
      </c>
      <c r="L644" s="124">
        <f>VLOOKUP(A644,'Grondslagen AU 2022'!A$1:DA$386,77,FALSE)</f>
        <v>0.32400000000000001</v>
      </c>
      <c r="M644" s="72"/>
      <c r="N644" s="124"/>
    </row>
    <row r="645" spans="1:15" x14ac:dyDescent="0.35">
      <c r="A645" s="72">
        <v>1684</v>
      </c>
      <c r="B645" s="72">
        <v>10</v>
      </c>
      <c r="D645" s="72" t="s">
        <v>72</v>
      </c>
      <c r="F645" s="126">
        <f>VLOOKUP(A645,'IUSD Klassiek 2017'!B$11:E$398,4,FALSE)*1000</f>
        <v>0.6599393193338523</v>
      </c>
      <c r="G645" s="126">
        <f>VLOOKUP(A645,'IUSD klassiek 2018'!B$11:E$390,4,FALSE)*1000</f>
        <v>0.67475710974848091</v>
      </c>
      <c r="H645" s="124">
        <f>VLOOKUP(A645,'Grondslagen AU 2018'!A$1:DA$386,92,FALSE)</f>
        <v>0.733846263997189</v>
      </c>
      <c r="I645" s="124">
        <f>VLOOKUP(A645,'Grondslagen AU 2019'!A$1:DA$386,92,FALSE)</f>
        <v>0.78400000000000003</v>
      </c>
      <c r="J645" s="124">
        <f>VLOOKUP(A645,'Grondslagen AU 2020'!A$1:DA$386,77,FALSE)</f>
        <v>0.73399999999999999</v>
      </c>
      <c r="K645" s="124">
        <f>VLOOKUP(A645,'Grondslagen AU 2021'!A$1:DA$386,77,FALSE)</f>
        <v>0.69499999999999995</v>
      </c>
      <c r="L645" s="124" t="e">
        <f>VLOOKUP(A645,'Grondslagen AU 2022'!A$1:DA$386,77,FALSE)</f>
        <v>#N/A</v>
      </c>
      <c r="M645" s="72"/>
      <c r="N645" s="124"/>
      <c r="O645" t="s">
        <v>1302</v>
      </c>
    </row>
    <row r="646" spans="1:15" x14ac:dyDescent="0.35">
      <c r="A646" s="72">
        <v>762</v>
      </c>
      <c r="B646" s="72">
        <v>10</v>
      </c>
      <c r="D646" s="72" t="s">
        <v>83</v>
      </c>
      <c r="F646" s="126">
        <f>VLOOKUP(A646,'IUSD Klassiek 2017'!B$11:E$398,4,FALSE)*1000</f>
        <v>0.56501291325011782</v>
      </c>
      <c r="G646" s="126">
        <f>VLOOKUP(A646,'IUSD klassiek 2018'!B$11:E$390,4,FALSE)*1000</f>
        <v>0.45852605587565226</v>
      </c>
      <c r="H646" s="124">
        <f>VLOOKUP(A646,'Grondslagen AU 2018'!A$1:DA$386,92,FALSE)</f>
        <v>0.55516315607738398</v>
      </c>
      <c r="I646" s="124">
        <f>VLOOKUP(A646,'Grondslagen AU 2019'!A$1:DA$386,92,FALSE)</f>
        <v>0.58399999999999996</v>
      </c>
      <c r="J646" s="124">
        <f>VLOOKUP(A646,'Grondslagen AU 2020'!A$1:DA$386,77,FALSE)</f>
        <v>0.50600000000000001</v>
      </c>
      <c r="K646" s="124">
        <f>VLOOKUP(A646,'Grondslagen AU 2021'!A$1:DA$386,77,FALSE)</f>
        <v>0.46100000000000002</v>
      </c>
      <c r="L646" s="124">
        <f>VLOOKUP(A646,'Grondslagen AU 2022'!A$1:DA$386,77,FALSE)</f>
        <v>0.438</v>
      </c>
      <c r="M646" s="72"/>
      <c r="N646" s="124"/>
    </row>
    <row r="647" spans="1:15" x14ac:dyDescent="0.35">
      <c r="A647" s="72">
        <v>766</v>
      </c>
      <c r="B647" s="72">
        <v>10</v>
      </c>
      <c r="D647" s="72" t="s">
        <v>89</v>
      </c>
      <c r="F647" s="126">
        <f>VLOOKUP(A647,'IUSD Klassiek 2017'!B$11:E$398,4,FALSE)*1000</f>
        <v>0.33658912421563514</v>
      </c>
      <c r="G647" s="126">
        <f>VLOOKUP(A647,'IUSD klassiek 2018'!B$11:E$390,4,FALSE)*1000</f>
        <v>0.31215744138365892</v>
      </c>
      <c r="H647" s="124">
        <f>VLOOKUP(A647,'Grondslagen AU 2018'!A$1:DA$386,92,FALSE)</f>
        <v>0.28232399331320701</v>
      </c>
      <c r="I647" s="124">
        <f>VLOOKUP(A647,'Grondslagen AU 2019'!A$1:DA$386,92,FALSE)</f>
        <v>0.36199999999999999</v>
      </c>
      <c r="J647" s="124">
        <f>VLOOKUP(A647,'Grondslagen AU 2020'!A$1:DA$386,77,FALSE)</f>
        <v>0.44</v>
      </c>
      <c r="K647" s="124">
        <f>VLOOKUP(A647,'Grondslagen AU 2021'!A$1:DA$386,77,FALSE)</f>
        <v>0.47399999999999998</v>
      </c>
      <c r="L647" s="124">
        <f>VLOOKUP(A647,'Grondslagen AU 2022'!A$1:DA$386,77,FALSE)</f>
        <v>0.42699999999999999</v>
      </c>
      <c r="M647" s="72"/>
      <c r="N647" s="124"/>
    </row>
    <row r="648" spans="1:15" x14ac:dyDescent="0.35">
      <c r="A648" s="72">
        <v>1719</v>
      </c>
      <c r="B648" s="72">
        <v>10</v>
      </c>
      <c r="D648" s="72" t="s">
        <v>92</v>
      </c>
      <c r="F648" s="126">
        <f>VLOOKUP(A648,'IUSD Klassiek 2017'!B$11:E$398,4,FALSE)*1000</f>
        <v>0.19333737371145185</v>
      </c>
      <c r="G648" s="126">
        <f>VLOOKUP(A648,'IUSD klassiek 2018'!B$11:E$390,4,FALSE)*1000</f>
        <v>0.13232691925224502</v>
      </c>
      <c r="H648" s="124">
        <f>VLOOKUP(A648,'Grondslagen AU 2018'!A$1:DA$386,92,FALSE)</f>
        <v>0.130186164350545</v>
      </c>
      <c r="I648" s="124">
        <f>VLOOKUP(A648,'Grondslagen AU 2019'!A$1:DA$386,92,FALSE)</f>
        <v>0.13600000000000001</v>
      </c>
      <c r="J648" s="124">
        <f>VLOOKUP(A648,'Grondslagen AU 2020'!A$1:DA$386,77,FALSE)</f>
        <v>0.13900000000000001</v>
      </c>
      <c r="K648" s="124">
        <f>VLOOKUP(A648,'Grondslagen AU 2021'!A$1:DA$386,77,FALSE)</f>
        <v>0.13400000000000001</v>
      </c>
      <c r="L648" s="124">
        <f>VLOOKUP(A648,'Grondslagen AU 2022'!A$1:DA$386,77,FALSE)</f>
        <v>0.13600000000000001</v>
      </c>
      <c r="M648" s="72"/>
      <c r="N648" s="124"/>
    </row>
    <row r="649" spans="1:15" x14ac:dyDescent="0.35">
      <c r="A649" s="72">
        <v>770</v>
      </c>
      <c r="B649" s="72">
        <v>10</v>
      </c>
      <c r="D649" s="72" t="s">
        <v>100</v>
      </c>
      <c r="F649" s="126">
        <f>VLOOKUP(A649,'IUSD Klassiek 2017'!B$11:E$398,4,FALSE)*1000</f>
        <v>0.11755423257099952</v>
      </c>
      <c r="G649" s="126">
        <f>VLOOKUP(A649,'IUSD klassiek 2018'!B$11:E$390,4,FALSE)*1000</f>
        <v>9.0454507765916611E-2</v>
      </c>
      <c r="H649" s="124">
        <f>VLOOKUP(A649,'Grondslagen AU 2018'!A$1:DA$386,92,FALSE)</f>
        <v>8.9071564122886998E-2</v>
      </c>
      <c r="I649" s="124">
        <f>VLOOKUP(A649,'Grondslagen AU 2019'!A$1:DA$386,92,FALSE)</f>
        <v>9.5000000000000001E-2</v>
      </c>
      <c r="J649" s="124">
        <f>VLOOKUP(A649,'Grondslagen AU 2020'!A$1:DA$386,77,FALSE)</f>
        <v>9.7000000000000003E-2</v>
      </c>
      <c r="K649" s="124">
        <f>VLOOKUP(A649,'Grondslagen AU 2021'!A$1:DA$386,77,FALSE)</f>
        <v>9.6000000000000002E-2</v>
      </c>
      <c r="L649" s="124">
        <f>VLOOKUP(A649,'Grondslagen AU 2022'!A$1:DA$386,77,FALSE)</f>
        <v>9.8000000000000004E-2</v>
      </c>
      <c r="M649" s="72"/>
      <c r="N649" s="124"/>
    </row>
    <row r="650" spans="1:15" x14ac:dyDescent="0.35">
      <c r="A650" s="72">
        <v>772</v>
      </c>
      <c r="B650" s="72">
        <v>10</v>
      </c>
      <c r="D650" s="72" t="s">
        <v>102</v>
      </c>
      <c r="F650" s="126">
        <f>VLOOKUP(A650,'IUSD Klassiek 2017'!B$11:E$398,4,FALSE)*1000</f>
        <v>16.343384765695141</v>
      </c>
      <c r="G650" s="126">
        <f>VLOOKUP(A650,'IUSD klassiek 2018'!B$11:E$390,4,FALSE)*1000</f>
        <v>16.213966714309048</v>
      </c>
      <c r="H650" s="124">
        <f>VLOOKUP(A650,'Grondslagen AU 2018'!A$1:DA$386,92,FALSE)</f>
        <v>17.013347051207599</v>
      </c>
      <c r="I650" s="124">
        <f>VLOOKUP(A650,'Grondslagen AU 2019'!A$1:DA$386,92,FALSE)</f>
        <v>16.221</v>
      </c>
      <c r="J650" s="124">
        <f>VLOOKUP(A650,'Grondslagen AU 2020'!A$1:DA$386,77,FALSE)</f>
        <v>16.401</v>
      </c>
      <c r="K650" s="124">
        <f>VLOOKUP(A650,'Grondslagen AU 2021'!A$1:DA$386,77,FALSE)</f>
        <v>16.306999999999999</v>
      </c>
      <c r="L650" s="124">
        <f>VLOOKUP(A650,'Grondslagen AU 2022'!A$1:DA$386,77,FALSE)</f>
        <v>16.038</v>
      </c>
      <c r="M650" s="72"/>
      <c r="N650" s="124"/>
    </row>
    <row r="651" spans="1:15" x14ac:dyDescent="0.35">
      <c r="A651" s="72">
        <v>777</v>
      </c>
      <c r="B651" s="72">
        <v>10</v>
      </c>
      <c r="D651" s="72" t="s">
        <v>109</v>
      </c>
      <c r="F651" s="126">
        <f>VLOOKUP(A651,'IUSD Klassiek 2017'!B$11:E$398,4,FALSE)*1000</f>
        <v>1.2529469880845983</v>
      </c>
      <c r="G651" s="126">
        <f>VLOOKUP(A651,'IUSD klassiek 2018'!B$11:E$390,4,FALSE)*1000</f>
        <v>1.1918610325816552</v>
      </c>
      <c r="H651" s="124">
        <f>VLOOKUP(A651,'Grondslagen AU 2018'!A$1:DA$386,92,FALSE)</f>
        <v>1.1627639032339601</v>
      </c>
      <c r="I651" s="124">
        <f>VLOOKUP(A651,'Grondslagen AU 2019'!A$1:DA$386,92,FALSE)</f>
        <v>1.3420000000000001</v>
      </c>
      <c r="J651" s="124">
        <f>VLOOKUP(A651,'Grondslagen AU 2020'!A$1:DA$386,77,FALSE)</f>
        <v>1.464</v>
      </c>
      <c r="K651" s="124">
        <f>VLOOKUP(A651,'Grondslagen AU 2021'!A$1:DA$386,77,FALSE)</f>
        <v>1.5169999999999999</v>
      </c>
      <c r="L651" s="124">
        <f>VLOOKUP(A651,'Grondslagen AU 2022'!A$1:DA$386,77,FALSE)</f>
        <v>1.532</v>
      </c>
      <c r="M651" s="72"/>
      <c r="N651" s="124"/>
    </row>
    <row r="652" spans="1:15" x14ac:dyDescent="0.35">
      <c r="A652" s="72">
        <v>779</v>
      </c>
      <c r="B652" s="72">
        <v>10</v>
      </c>
      <c r="D652" s="72" t="s">
        <v>110</v>
      </c>
      <c r="F652" s="126">
        <f>VLOOKUP(A652,'IUSD Klassiek 2017'!B$11:E$398,4,FALSE)*1000</f>
        <v>0.56373426324109233</v>
      </c>
      <c r="G652" s="126">
        <f>VLOOKUP(A652,'IUSD klassiek 2018'!B$11:E$390,4,FALSE)*1000</f>
        <v>0.48874926542126029</v>
      </c>
      <c r="H652" s="124">
        <f>VLOOKUP(A652,'Grondslagen AU 2018'!A$1:DA$386,92,FALSE)</f>
        <v>0.49797552093671199</v>
      </c>
      <c r="I652" s="124">
        <f>VLOOKUP(A652,'Grondslagen AU 2019'!A$1:DA$386,92,FALSE)</f>
        <v>0.53600000000000003</v>
      </c>
      <c r="J652" s="124">
        <f>VLOOKUP(A652,'Grondslagen AU 2020'!A$1:DA$386,77,FALSE)</f>
        <v>0.499</v>
      </c>
      <c r="K652" s="124">
        <f>VLOOKUP(A652,'Grondslagen AU 2021'!A$1:DA$386,77,FALSE)</f>
        <v>0.48699999999999999</v>
      </c>
      <c r="L652" s="124">
        <f>VLOOKUP(A652,'Grondslagen AU 2022'!A$1:DA$386,77,FALSE)</f>
        <v>0.439</v>
      </c>
      <c r="M652" s="72"/>
      <c r="N652" s="124"/>
    </row>
    <row r="653" spans="1:15" x14ac:dyDescent="0.35">
      <c r="A653" s="72">
        <v>1771</v>
      </c>
      <c r="B653" s="72">
        <v>10</v>
      </c>
      <c r="D653" s="72" t="s">
        <v>111</v>
      </c>
      <c r="F653" s="126">
        <f>VLOOKUP(A653,'IUSD Klassiek 2017'!B$11:E$398,4,FALSE)*1000</f>
        <v>1.2820131348746973</v>
      </c>
      <c r="G653" s="126">
        <f>VLOOKUP(A653,'IUSD klassiek 2018'!B$11:E$390,4,FALSE)*1000</f>
        <v>1.2231815035089759</v>
      </c>
      <c r="H653" s="124">
        <f>VLOOKUP(A653,'Grondslagen AU 2018'!A$1:DA$386,92,FALSE)</f>
        <v>1.31640072058677</v>
      </c>
      <c r="I653" s="124">
        <f>VLOOKUP(A653,'Grondslagen AU 2019'!A$1:DA$386,92,FALSE)</f>
        <v>1.4019999999999999</v>
      </c>
      <c r="J653" s="124">
        <f>VLOOKUP(A653,'Grondslagen AU 2020'!A$1:DA$386,77,FALSE)</f>
        <v>1.3740000000000001</v>
      </c>
      <c r="K653" s="124">
        <f>VLOOKUP(A653,'Grondslagen AU 2021'!A$1:DA$386,77,FALSE)</f>
        <v>1.2190000000000001</v>
      </c>
      <c r="L653" s="124">
        <f>VLOOKUP(A653,'Grondslagen AU 2022'!A$1:DA$386,77,FALSE)</f>
        <v>1.1859999999999999</v>
      </c>
      <c r="M653" s="72"/>
      <c r="N653" s="124"/>
    </row>
    <row r="654" spans="1:15" x14ac:dyDescent="0.35">
      <c r="A654" s="72">
        <v>1652</v>
      </c>
      <c r="B654" s="72">
        <v>10</v>
      </c>
      <c r="D654" s="72" t="s">
        <v>112</v>
      </c>
      <c r="F654" s="126">
        <f>VLOOKUP(A654,'IUSD Klassiek 2017'!B$11:E$398,4,FALSE)*1000</f>
        <v>0.5003428659241913</v>
      </c>
      <c r="G654" s="126">
        <f>VLOOKUP(A654,'IUSD klassiek 2018'!B$11:E$390,4,FALSE)*1000</f>
        <v>0.43014542867287142</v>
      </c>
      <c r="H654" s="124">
        <f>VLOOKUP(A654,'Grondslagen AU 2018'!A$1:DA$386,92,FALSE)</f>
        <v>0.43485213111517401</v>
      </c>
      <c r="I654" s="124">
        <f>VLOOKUP(A654,'Grondslagen AU 2019'!A$1:DA$386,92,FALSE)</f>
        <v>0.504</v>
      </c>
      <c r="J654" s="124">
        <f>VLOOKUP(A654,'Grondslagen AU 2020'!A$1:DA$386,77,FALSE)</f>
        <v>0.60699999999999998</v>
      </c>
      <c r="K654" s="124">
        <f>VLOOKUP(A654,'Grondslagen AU 2021'!A$1:DA$386,77,FALSE)</f>
        <v>0.58799999999999997</v>
      </c>
      <c r="L654" s="124">
        <f>VLOOKUP(A654,'Grondslagen AU 2022'!A$1:DA$386,77,FALSE)</f>
        <v>0.57499999999999996</v>
      </c>
      <c r="M654" s="72"/>
      <c r="N654" s="124"/>
    </row>
    <row r="655" spans="1:15" x14ac:dyDescent="0.35">
      <c r="A655" s="72">
        <v>784</v>
      </c>
      <c r="B655" s="72">
        <v>10</v>
      </c>
      <c r="D655" s="72" t="s">
        <v>114</v>
      </c>
      <c r="F655" s="126">
        <f>VLOOKUP(A655,'IUSD Klassiek 2017'!B$11:E$398,4,FALSE)*1000</f>
        <v>0.63109848728411511</v>
      </c>
      <c r="G655" s="126">
        <f>VLOOKUP(A655,'IUSD klassiek 2018'!B$11:E$390,4,FALSE)*1000</f>
        <v>0.75774863455359986</v>
      </c>
      <c r="H655" s="124">
        <f>VLOOKUP(A655,'Grondslagen AU 2018'!A$1:DA$386,92,FALSE)</f>
        <v>0.83180218498093705</v>
      </c>
      <c r="I655" s="124">
        <f>VLOOKUP(A655,'Grondslagen AU 2019'!A$1:DA$386,92,FALSE)</f>
        <v>0.83399999999999996</v>
      </c>
      <c r="J655" s="124">
        <f>VLOOKUP(A655,'Grondslagen AU 2020'!A$1:DA$386,77,FALSE)</f>
        <v>0.85099999999999998</v>
      </c>
      <c r="K655" s="124">
        <f>VLOOKUP(A655,'Grondslagen AU 2021'!A$1:DA$386,77,FALSE)</f>
        <v>0.63900000000000001</v>
      </c>
      <c r="L655" s="124">
        <f>VLOOKUP(A655,'Grondslagen AU 2022'!A$1:DA$386,77,FALSE)</f>
        <v>0.67600000000000005</v>
      </c>
      <c r="M655" s="72"/>
      <c r="N655" s="124"/>
    </row>
    <row r="656" spans="1:15" x14ac:dyDescent="0.35">
      <c r="A656" s="72">
        <v>785</v>
      </c>
      <c r="B656" s="72">
        <v>10</v>
      </c>
      <c r="D656" s="72" t="s">
        <v>117</v>
      </c>
      <c r="F656" s="126">
        <f>VLOOKUP(A656,'IUSD Klassiek 2017'!B$11:E$398,4,FALSE)*1000</f>
        <v>0.43206360234199465</v>
      </c>
      <c r="G656" s="126">
        <f>VLOOKUP(A656,'IUSD klassiek 2018'!B$11:E$390,4,FALSE)*1000</f>
        <v>0.4561167592481003</v>
      </c>
      <c r="H656" s="124">
        <f>VLOOKUP(A656,'Grondslagen AU 2018'!A$1:DA$386,92,FALSE)</f>
        <v>0.32695331285160001</v>
      </c>
      <c r="I656" s="124">
        <f>VLOOKUP(A656,'Grondslagen AU 2019'!A$1:DA$386,92,FALSE)</f>
        <v>0.28000000000000003</v>
      </c>
      <c r="J656" s="124">
        <f>VLOOKUP(A656,'Grondslagen AU 2020'!A$1:DA$386,77,FALSE)</f>
        <v>0.28399999999999997</v>
      </c>
      <c r="K656" s="124">
        <f>VLOOKUP(A656,'Grondslagen AU 2021'!A$1:DA$386,77,FALSE)</f>
        <v>0.32700000000000001</v>
      </c>
      <c r="L656" s="124">
        <f>VLOOKUP(A656,'Grondslagen AU 2022'!A$1:DA$386,77,FALSE)</f>
        <v>0.36599999999999999</v>
      </c>
      <c r="M656" s="72"/>
      <c r="N656" s="124"/>
    </row>
    <row r="657" spans="1:15" x14ac:dyDescent="0.35">
      <c r="A657" s="72">
        <v>786</v>
      </c>
      <c r="B657" s="72">
        <v>10</v>
      </c>
      <c r="D657" s="72" t="s">
        <v>121</v>
      </c>
      <c r="F657" s="126">
        <f>VLOOKUP(A657,'IUSD Klassiek 2017'!B$11:E$398,4,FALSE)*1000</f>
        <v>0.19213027132341295</v>
      </c>
      <c r="G657" s="126">
        <f>VLOOKUP(A657,'IUSD klassiek 2018'!B$11:E$390,4,FALSE)*1000</f>
        <v>0.12066641100914288</v>
      </c>
      <c r="H657" s="124">
        <f>VLOOKUP(A657,'Grondslagen AU 2018'!A$1:DA$386,92,FALSE)</f>
        <v>0.12953265433066</v>
      </c>
      <c r="I657" s="124">
        <f>VLOOKUP(A657,'Grondslagen AU 2019'!A$1:DA$386,92,FALSE)</f>
        <v>0.18</v>
      </c>
      <c r="J657" s="124">
        <f>VLOOKUP(A657,'Grondslagen AU 2020'!A$1:DA$386,77,FALSE)</f>
        <v>0.17100000000000001</v>
      </c>
      <c r="K657" s="124">
        <f>VLOOKUP(A657,'Grondslagen AU 2021'!A$1:DA$386,77,FALSE)</f>
        <v>0.17899999999999999</v>
      </c>
      <c r="L657" s="124" t="e">
        <f>VLOOKUP(A657,'Grondslagen AU 2022'!A$1:DA$386,77,FALSE)</f>
        <v>#N/A</v>
      </c>
      <c r="M657" s="72"/>
      <c r="N657" s="124"/>
      <c r="O657" t="s">
        <v>1302</v>
      </c>
    </row>
    <row r="658" spans="1:15" x14ac:dyDescent="0.35">
      <c r="A658" s="72">
        <v>788</v>
      </c>
      <c r="B658" s="72">
        <v>10</v>
      </c>
      <c r="D658" s="72" t="s">
        <v>125</v>
      </c>
      <c r="F658" s="126">
        <f>VLOOKUP(A658,'IUSD Klassiek 2017'!B$11:E$398,4,FALSE)*1000</f>
        <v>7.9877652384390208E-2</v>
      </c>
      <c r="G658" s="126">
        <f>VLOOKUP(A658,'IUSD klassiek 2018'!B$11:E$390,4,FALSE)*1000</f>
        <v>6.6538345093476725E-2</v>
      </c>
      <c r="H658" s="124">
        <f>VLOOKUP(A658,'Grondslagen AU 2018'!A$1:DA$386,92,FALSE)</f>
        <v>6.6792344675497106E-2</v>
      </c>
      <c r="I658" s="124">
        <f>VLOOKUP(A658,'Grondslagen AU 2019'!A$1:DA$386,92,FALSE)</f>
        <v>7.0999999999999994E-2</v>
      </c>
      <c r="J658" s="124">
        <f>VLOOKUP(A658,'Grondslagen AU 2020'!A$1:DA$386,77,FALSE)</f>
        <v>7.2999999999999995E-2</v>
      </c>
      <c r="K658" s="124" t="e">
        <f>VLOOKUP(A658,'Grondslagen AU 2021'!A$1:DA$386,77,FALSE)</f>
        <v>#N/A</v>
      </c>
      <c r="L658" s="124" t="e">
        <f>VLOOKUP(A658,'Grondslagen AU 2022'!A$1:DA$386,77,FALSE)</f>
        <v>#N/A</v>
      </c>
      <c r="M658" s="72"/>
      <c r="N658" s="124" t="s">
        <v>296</v>
      </c>
    </row>
    <row r="659" spans="1:15" x14ac:dyDescent="0.35">
      <c r="A659" s="72">
        <v>1655</v>
      </c>
      <c r="B659" s="72">
        <v>10</v>
      </c>
      <c r="D659" s="72" t="s">
        <v>128</v>
      </c>
      <c r="F659" s="126">
        <f>VLOOKUP(A659,'IUSD Klassiek 2017'!B$11:E$398,4,FALSE)*1000</f>
        <v>0.76457143365812041</v>
      </c>
      <c r="G659" s="126">
        <f>VLOOKUP(A659,'IUSD klassiek 2018'!B$11:E$390,4,FALSE)*1000</f>
        <v>0.75726946628934033</v>
      </c>
      <c r="H659" s="124">
        <f>VLOOKUP(A659,'Grondslagen AU 2018'!A$1:DA$386,92,FALSE)</f>
        <v>0.72594819423047097</v>
      </c>
      <c r="I659" s="124">
        <f>VLOOKUP(A659,'Grondslagen AU 2019'!A$1:DA$386,92,FALSE)</f>
        <v>0.72299999999999998</v>
      </c>
      <c r="J659" s="124">
        <f>VLOOKUP(A659,'Grondslagen AU 2020'!A$1:DA$386,77,FALSE)</f>
        <v>0.80900000000000005</v>
      </c>
      <c r="K659" s="124">
        <f>VLOOKUP(A659,'Grondslagen AU 2021'!A$1:DA$386,77,FALSE)</f>
        <v>0.88300000000000001</v>
      </c>
      <c r="L659" s="124">
        <f>VLOOKUP(A659,'Grondslagen AU 2022'!A$1:DA$386,77,FALSE)</f>
        <v>0.97699999999999998</v>
      </c>
      <c r="M659" s="72"/>
      <c r="N659" s="124"/>
    </row>
    <row r="660" spans="1:15" x14ac:dyDescent="0.35">
      <c r="A660" s="72">
        <v>1658</v>
      </c>
      <c r="B660" s="72">
        <v>10</v>
      </c>
      <c r="D660" s="72" t="s">
        <v>140</v>
      </c>
      <c r="F660" s="126">
        <f>VLOOKUP(A660,'IUSD Klassiek 2017'!B$11:E$398,4,FALSE)*1000</f>
        <v>0.10091952102936262</v>
      </c>
      <c r="G660" s="126">
        <f>VLOOKUP(A660,'IUSD klassiek 2018'!B$11:E$390,4,FALSE)*1000</f>
        <v>7.4563954384388204E-2</v>
      </c>
      <c r="H660" s="124">
        <f>VLOOKUP(A660,'Grondslagen AU 2018'!A$1:DA$386,92,FALSE)</f>
        <v>7.3951904009776998E-2</v>
      </c>
      <c r="I660" s="124">
        <f>VLOOKUP(A660,'Grondslagen AU 2019'!A$1:DA$386,92,FALSE)</f>
        <v>7.8E-2</v>
      </c>
      <c r="J660" s="124">
        <f>VLOOKUP(A660,'Grondslagen AU 2020'!A$1:DA$386,77,FALSE)</f>
        <v>0.08</v>
      </c>
      <c r="K660" s="124">
        <f>VLOOKUP(A660,'Grondslagen AU 2021'!A$1:DA$386,77,FALSE)</f>
        <v>7.8E-2</v>
      </c>
      <c r="L660" s="124">
        <f>VLOOKUP(A660,'Grondslagen AU 2022'!A$1:DA$386,77,FALSE)</f>
        <v>7.9000000000000001E-2</v>
      </c>
      <c r="M660" s="72"/>
      <c r="N660" s="124"/>
    </row>
    <row r="661" spans="1:15" x14ac:dyDescent="0.35">
      <c r="A661" s="72">
        <v>794</v>
      </c>
      <c r="B661" s="72">
        <v>10</v>
      </c>
      <c r="D661" s="72" t="s">
        <v>144</v>
      </c>
      <c r="F661" s="126">
        <f>VLOOKUP(A661,'IUSD Klassiek 2017'!B$11:E$398,4,FALSE)*1000</f>
        <v>7.1562501781067072</v>
      </c>
      <c r="G661" s="126">
        <f>VLOOKUP(A661,'IUSD klassiek 2018'!B$11:E$390,4,FALSE)*1000</f>
        <v>7.0437715798479719</v>
      </c>
      <c r="H661" s="124">
        <f>VLOOKUP(A661,'Grondslagen AU 2018'!A$1:DA$386,92,FALSE)</f>
        <v>6.8330413074026302</v>
      </c>
      <c r="I661" s="124">
        <f>VLOOKUP(A661,'Grondslagen AU 2019'!A$1:DA$386,92,FALSE)</f>
        <v>6.8890000000000002</v>
      </c>
      <c r="J661" s="124">
        <f>VLOOKUP(A661,'Grondslagen AU 2020'!A$1:DA$386,77,FALSE)</f>
        <v>6.7889999999999997</v>
      </c>
      <c r="K661" s="124">
        <f>VLOOKUP(A661,'Grondslagen AU 2021'!A$1:DA$386,77,FALSE)</f>
        <v>6.4290000000000003</v>
      </c>
      <c r="L661" s="124">
        <f>VLOOKUP(A661,'Grondslagen AU 2022'!A$1:DA$386,77,FALSE)</f>
        <v>6.2619999999999996</v>
      </c>
      <c r="M661" s="72"/>
      <c r="N661" s="124"/>
    </row>
    <row r="662" spans="1:15" x14ac:dyDescent="0.35">
      <c r="A662" s="72">
        <v>797</v>
      </c>
      <c r="B662" s="72">
        <v>10</v>
      </c>
      <c r="D662" s="72" t="s">
        <v>149</v>
      </c>
      <c r="F662" s="126">
        <f>VLOOKUP(A662,'IUSD Klassiek 2017'!B$11:E$398,4,FALSE)*1000</f>
        <v>0.86124108406944022</v>
      </c>
      <c r="G662" s="126">
        <f>VLOOKUP(A662,'IUSD klassiek 2018'!B$11:E$390,4,FALSE)*1000</f>
        <v>0.72872833834190598</v>
      </c>
      <c r="H662" s="124">
        <f>VLOOKUP(A662,'Grondslagen AU 2018'!A$1:DA$386,92,FALSE)</f>
        <v>0.65313929766658396</v>
      </c>
      <c r="I662" s="124">
        <f>VLOOKUP(A662,'Grondslagen AU 2019'!A$1:DA$386,92,FALSE)</f>
        <v>0.51400000000000001</v>
      </c>
      <c r="J662" s="124">
        <f>VLOOKUP(A662,'Grondslagen AU 2020'!A$1:DA$386,77,FALSE)</f>
        <v>0.55000000000000004</v>
      </c>
      <c r="K662" s="124">
        <f>VLOOKUP(A662,'Grondslagen AU 2021'!A$1:DA$386,77,FALSE)</f>
        <v>0.44900000000000001</v>
      </c>
      <c r="L662" s="124">
        <f>VLOOKUP(A662,'Grondslagen AU 2022'!A$1:DA$386,77,FALSE)</f>
        <v>0.55200000000000005</v>
      </c>
      <c r="M662" s="72"/>
      <c r="N662" s="124"/>
    </row>
    <row r="663" spans="1:15" x14ac:dyDescent="0.35">
      <c r="A663" s="72">
        <v>798</v>
      </c>
      <c r="B663" s="72">
        <v>10</v>
      </c>
      <c r="D663" s="72" t="s">
        <v>151</v>
      </c>
      <c r="F663" s="126">
        <f>VLOOKUP(A663,'IUSD Klassiek 2017'!B$11:E$398,4,FALSE)*1000</f>
        <v>8.8519142715348567E-2</v>
      </c>
      <c r="G663" s="126">
        <f>VLOOKUP(A663,'IUSD klassiek 2018'!B$11:E$390,4,FALSE)*1000</f>
        <v>7.3638216801737919E-2</v>
      </c>
      <c r="H663" s="124">
        <f>VLOOKUP(A663,'Grondslagen AU 2018'!A$1:DA$386,92,FALSE)</f>
        <v>7.2932346509642199E-2</v>
      </c>
      <c r="I663" s="124">
        <f>VLOOKUP(A663,'Grondslagen AU 2019'!A$1:DA$386,92,FALSE)</f>
        <v>7.5999999999999998E-2</v>
      </c>
      <c r="J663" s="124">
        <f>VLOOKUP(A663,'Grondslagen AU 2020'!A$1:DA$386,77,FALSE)</f>
        <v>7.8E-2</v>
      </c>
      <c r="K663" s="124">
        <f>VLOOKUP(A663,'Grondslagen AU 2021'!A$1:DA$386,77,FALSE)</f>
        <v>7.6999999999999999E-2</v>
      </c>
      <c r="L663" s="124">
        <f>VLOOKUP(A663,'Grondslagen AU 2022'!A$1:DA$386,77,FALSE)</f>
        <v>7.8E-2</v>
      </c>
      <c r="M663" s="72"/>
      <c r="N663" s="124"/>
    </row>
    <row r="664" spans="1:15" x14ac:dyDescent="0.35">
      <c r="A664" s="72">
        <v>1659</v>
      </c>
      <c r="B664" s="72">
        <v>10</v>
      </c>
      <c r="D664" s="72" t="s">
        <v>171</v>
      </c>
      <c r="F664" s="126">
        <f>VLOOKUP(A664,'IUSD Klassiek 2017'!B$11:E$398,4,FALSE)*1000</f>
        <v>0.16909036933574464</v>
      </c>
      <c r="G664" s="126">
        <f>VLOOKUP(A664,'IUSD klassiek 2018'!B$11:E$390,4,FALSE)*1000</f>
        <v>0.10637566404273903</v>
      </c>
      <c r="H664" s="124">
        <f>VLOOKUP(A664,'Grondslagen AU 2018'!A$1:DA$386,92,FALSE)</f>
        <v>0.104251642458227</v>
      </c>
      <c r="I664" s="124">
        <f>VLOOKUP(A664,'Grondslagen AU 2019'!A$1:DA$386,92,FALSE)</f>
        <v>0.223</v>
      </c>
      <c r="J664" s="124">
        <f>VLOOKUP(A664,'Grondslagen AU 2020'!A$1:DA$386,77,FALSE)</f>
        <v>0.123</v>
      </c>
      <c r="K664" s="124">
        <f>VLOOKUP(A664,'Grondslagen AU 2021'!A$1:DA$386,77,FALSE)</f>
        <v>0.114</v>
      </c>
      <c r="L664" s="124">
        <f>VLOOKUP(A664,'Grondslagen AU 2022'!A$1:DA$386,77,FALSE)</f>
        <v>0.155</v>
      </c>
      <c r="M664" s="72"/>
      <c r="N664" s="124"/>
    </row>
    <row r="665" spans="1:15" x14ac:dyDescent="0.35">
      <c r="A665" s="72">
        <v>1685</v>
      </c>
      <c r="B665" s="72">
        <v>10</v>
      </c>
      <c r="D665" s="72" t="s">
        <v>172</v>
      </c>
      <c r="F665" s="126">
        <f>VLOOKUP(A665,'IUSD Klassiek 2017'!B$11:E$398,4,FALSE)*1000</f>
        <v>8.8783855954357213E-2</v>
      </c>
      <c r="G665" s="126">
        <f>VLOOKUP(A665,'IUSD klassiek 2018'!B$11:E$390,4,FALSE)*1000</f>
        <v>7.4563954384388204E-2</v>
      </c>
      <c r="H665" s="124">
        <f>VLOOKUP(A665,'Grondslagen AU 2018'!A$1:DA$386,92,FALSE)</f>
        <v>7.3453453676377706E-2</v>
      </c>
      <c r="I665" s="124">
        <f>VLOOKUP(A665,'Grondslagen AU 2019'!A$1:DA$386,92,FALSE)</f>
        <v>0.10299999999999999</v>
      </c>
      <c r="J665" s="124">
        <f>VLOOKUP(A665,'Grondslagen AU 2020'!A$1:DA$386,77,FALSE)</f>
        <v>0.11600000000000001</v>
      </c>
      <c r="K665" s="124">
        <f>VLOOKUP(A665,'Grondslagen AU 2021'!A$1:DA$386,77,FALSE)</f>
        <v>0.107</v>
      </c>
      <c r="L665" s="124" t="e">
        <f>VLOOKUP(A665,'Grondslagen AU 2022'!A$1:DA$386,77,FALSE)</f>
        <v>#N/A</v>
      </c>
      <c r="M665" s="72"/>
      <c r="N665" s="124"/>
      <c r="O665" t="s">
        <v>1301</v>
      </c>
    </row>
    <row r="666" spans="1:15" x14ac:dyDescent="0.35">
      <c r="A666" s="72">
        <v>809</v>
      </c>
      <c r="B666" s="72">
        <v>10</v>
      </c>
      <c r="D666" s="72" t="s">
        <v>188</v>
      </c>
      <c r="F666" s="126">
        <f>VLOOKUP(A666,'IUSD Klassiek 2017'!B$11:E$398,4,FALSE)*1000</f>
        <v>0.2411832942025563</v>
      </c>
      <c r="G666" s="126">
        <f>VLOOKUP(A666,'IUSD klassiek 2018'!B$11:E$390,4,FALSE)*1000</f>
        <v>0.16587577579305923</v>
      </c>
      <c r="H666" s="124">
        <f>VLOOKUP(A666,'Grondslagen AU 2018'!A$1:DA$386,92,FALSE)</f>
        <v>0.205388889348533</v>
      </c>
      <c r="I666" s="124">
        <f>VLOOKUP(A666,'Grondslagen AU 2019'!A$1:DA$386,92,FALSE)</f>
        <v>0.11600000000000001</v>
      </c>
      <c r="J666" s="124">
        <f>VLOOKUP(A666,'Grondslagen AU 2020'!A$1:DA$386,77,FALSE)</f>
        <v>0.14799999999999999</v>
      </c>
      <c r="K666" s="124">
        <f>VLOOKUP(A666,'Grondslagen AU 2021'!A$1:DA$386,77,FALSE)</f>
        <v>0.11899999999999999</v>
      </c>
      <c r="L666" s="124">
        <f>VLOOKUP(A666,'Grondslagen AU 2022'!A$1:DA$386,77,FALSE)</f>
        <v>0.13100000000000001</v>
      </c>
      <c r="M666" s="72"/>
      <c r="N666" s="124"/>
    </row>
    <row r="667" spans="1:15" x14ac:dyDescent="0.35">
      <c r="A667" s="72">
        <v>1948</v>
      </c>
      <c r="B667" s="72">
        <v>10</v>
      </c>
      <c r="D667" s="72" t="s">
        <v>198</v>
      </c>
      <c r="F667" s="126">
        <f>VLOOKUP(A667,'IUSD Klassiek 2017'!B$11:E$398,4,FALSE)*1000</f>
        <v>0.72114044734158667</v>
      </c>
      <c r="G667" s="126">
        <f>VLOOKUP(A667,'IUSD klassiek 2018'!B$11:E$390,4,FALSE)*1000</f>
        <v>0.39780341971320315</v>
      </c>
      <c r="H667" s="124">
        <f>VLOOKUP(A667,'Grondslagen AU 2018'!A$1:DA$386,92,FALSE)</f>
        <v>0.38870063271805599</v>
      </c>
      <c r="I667" s="124">
        <f>VLOOKUP(A667,'Grondslagen AU 2019'!A$1:DA$386,92,FALSE)</f>
        <v>0.66800000000000004</v>
      </c>
      <c r="J667" s="124">
        <f>VLOOKUP(A667,'Grondslagen AU 2020'!A$1:DA$386,77,FALSE)</f>
        <v>0.621</v>
      </c>
      <c r="K667" s="124">
        <f>VLOOKUP(A667,'Grondslagen AU 2021'!A$1:DA$386,77,FALSE)</f>
        <v>0.59899999999999998</v>
      </c>
      <c r="L667" s="124">
        <f>VLOOKUP(A667,'Grondslagen AU 2022'!A$1:DA$386,77,FALSE)</f>
        <v>0.62</v>
      </c>
      <c r="M667" s="72"/>
      <c r="N667" s="124"/>
    </row>
    <row r="668" spans="1:15" x14ac:dyDescent="0.35">
      <c r="A668" s="72">
        <v>815</v>
      </c>
      <c r="B668" s="72">
        <v>10</v>
      </c>
      <c r="D668" s="72" t="s">
        <v>204</v>
      </c>
      <c r="F668" s="126">
        <f>VLOOKUP(A668,'IUSD Klassiek 2017'!B$11:E$398,4,FALSE)*1000</f>
        <v>7.6711449356409486E-2</v>
      </c>
      <c r="G668" s="126">
        <f>VLOOKUP(A668,'IUSD klassiek 2018'!B$11:E$390,4,FALSE)*1000</f>
        <v>5.3310243602546506E-2</v>
      </c>
      <c r="H668" s="124">
        <f>VLOOKUP(A668,'Grondslagen AU 2018'!A$1:DA$386,92,FALSE)</f>
        <v>5.28583921736549E-2</v>
      </c>
      <c r="I668" s="124">
        <f>VLOOKUP(A668,'Grondslagen AU 2019'!A$1:DA$386,92,FALSE)</f>
        <v>9.2999999999999999E-2</v>
      </c>
      <c r="J668" s="124">
        <f>VLOOKUP(A668,'Grondslagen AU 2020'!A$1:DA$386,77,FALSE)</f>
        <v>9.9000000000000005E-2</v>
      </c>
      <c r="K668" s="124">
        <f>VLOOKUP(A668,'Grondslagen AU 2021'!A$1:DA$386,77,FALSE)</f>
        <v>5.5E-2</v>
      </c>
      <c r="L668" s="124" t="e">
        <f>VLOOKUP(A668,'Grondslagen AU 2022'!A$1:DA$386,77,FALSE)</f>
        <v>#N/A</v>
      </c>
      <c r="M668" s="72"/>
      <c r="N668" s="124"/>
      <c r="O668" t="s">
        <v>1302</v>
      </c>
    </row>
    <row r="669" spans="1:15" x14ac:dyDescent="0.35">
      <c r="A669" s="72">
        <v>1709</v>
      </c>
      <c r="B669" s="72">
        <v>10</v>
      </c>
      <c r="D669" s="72" t="s">
        <v>205</v>
      </c>
      <c r="F669" s="126">
        <f>VLOOKUP(A669,'IUSD Klassiek 2017'!B$11:E$398,4,FALSE)*1000</f>
        <v>0.4891755144167641</v>
      </c>
      <c r="G669" s="126">
        <f>VLOOKUP(A669,'IUSD klassiek 2018'!B$11:E$390,4,FALSE)*1000</f>
        <v>0.51174863868826781</v>
      </c>
      <c r="H669" s="124">
        <f>VLOOKUP(A669,'Grondslagen AU 2018'!A$1:DA$386,92,FALSE)</f>
        <v>0.61698405945245804</v>
      </c>
      <c r="I669" s="124">
        <f>VLOOKUP(A669,'Grondslagen AU 2019'!A$1:DA$386,92,FALSE)</f>
        <v>0.68100000000000005</v>
      </c>
      <c r="J669" s="124">
        <f>VLOOKUP(A669,'Grondslagen AU 2020'!A$1:DA$386,77,FALSE)</f>
        <v>0.72699999999999998</v>
      </c>
      <c r="K669" s="124">
        <f>VLOOKUP(A669,'Grondslagen AU 2021'!A$1:DA$386,77,FALSE)</f>
        <v>0.78400000000000003</v>
      </c>
      <c r="L669" s="124">
        <f>VLOOKUP(A669,'Grondslagen AU 2022'!A$1:DA$386,77,FALSE)</f>
        <v>0.85399999999999998</v>
      </c>
      <c r="M669" s="72"/>
      <c r="N669" s="124"/>
    </row>
    <row r="670" spans="1:15" x14ac:dyDescent="0.35">
      <c r="A670" s="72">
        <v>820</v>
      </c>
      <c r="B670" s="72">
        <v>10</v>
      </c>
      <c r="D670" s="72" t="s">
        <v>222</v>
      </c>
      <c r="F670" s="126">
        <f>VLOOKUP(A670,'IUSD Klassiek 2017'!B$11:E$398,4,FALSE)*1000</f>
        <v>0.55076961042043626</v>
      </c>
      <c r="G670" s="126">
        <f>VLOOKUP(A670,'IUSD klassiek 2018'!B$11:E$390,4,FALSE)*1000</f>
        <v>0.58224310860480433</v>
      </c>
      <c r="H670" s="124">
        <f>VLOOKUP(A670,'Grondslagen AU 2018'!A$1:DA$386,92,FALSE)</f>
        <v>0.541739890437542</v>
      </c>
      <c r="I670" s="124">
        <f>VLOOKUP(A670,'Grondslagen AU 2019'!A$1:DA$386,92,FALSE)</f>
        <v>0.60299999999999998</v>
      </c>
      <c r="J670" s="124">
        <f>VLOOKUP(A670,'Grondslagen AU 2020'!A$1:DA$386,77,FALSE)</f>
        <v>0.50700000000000001</v>
      </c>
      <c r="K670" s="124">
        <f>VLOOKUP(A670,'Grondslagen AU 2021'!A$1:DA$386,77,FALSE)</f>
        <v>0.45100000000000001</v>
      </c>
      <c r="L670" s="124">
        <f>VLOOKUP(A670,'Grondslagen AU 2022'!A$1:DA$386,77,FALSE)</f>
        <v>0.378</v>
      </c>
      <c r="M670" s="72"/>
      <c r="N670" s="124"/>
    </row>
    <row r="671" spans="1:15" x14ac:dyDescent="0.35">
      <c r="A671" s="72">
        <v>823</v>
      </c>
      <c r="B671" s="72">
        <v>10</v>
      </c>
      <c r="D671" s="72" t="s">
        <v>225</v>
      </c>
      <c r="F671" s="126">
        <f>VLOOKUP(A671,'IUSD Klassiek 2017'!B$11:E$398,4,FALSE)*1000</f>
        <v>0.11619765688336063</v>
      </c>
      <c r="G671" s="126">
        <f>VLOOKUP(A671,'IUSD klassiek 2018'!B$11:E$390,4,FALSE)*1000</f>
        <v>9.011022519385653E-2</v>
      </c>
      <c r="H671" s="124">
        <f>VLOOKUP(A671,'Grondslagen AU 2018'!A$1:DA$386,92,FALSE)</f>
        <v>9.0204405789703498E-2</v>
      </c>
      <c r="I671" s="124">
        <f>VLOOKUP(A671,'Grondslagen AU 2019'!A$1:DA$386,92,FALSE)</f>
        <v>9.5000000000000001E-2</v>
      </c>
      <c r="J671" s="124">
        <f>VLOOKUP(A671,'Grondslagen AU 2020'!A$1:DA$386,77,FALSE)</f>
        <v>9.6000000000000002E-2</v>
      </c>
      <c r="K671" s="124">
        <f>VLOOKUP(A671,'Grondslagen AU 2021'!A$1:DA$386,77,FALSE)</f>
        <v>9.4E-2</v>
      </c>
      <c r="L671" s="124">
        <f>VLOOKUP(A671,'Grondslagen AU 2022'!A$1:DA$386,77,FALSE)</f>
        <v>9.5000000000000001E-2</v>
      </c>
      <c r="M671" s="72"/>
      <c r="N671" s="124"/>
    </row>
    <row r="672" spans="1:15" x14ac:dyDescent="0.35">
      <c r="A672" s="72">
        <v>824</v>
      </c>
      <c r="B672" s="72">
        <v>10</v>
      </c>
      <c r="D672" s="72" t="s">
        <v>226</v>
      </c>
      <c r="F672" s="126">
        <f>VLOOKUP(A672,'IUSD Klassiek 2017'!B$11:E$398,4,FALSE)*1000</f>
        <v>0.35873369852125703</v>
      </c>
      <c r="G672" s="126">
        <f>VLOOKUP(A672,'IUSD klassiek 2018'!B$11:E$390,4,FALSE)*1000</f>
        <v>0.18086097479485272</v>
      </c>
      <c r="H672" s="124">
        <f>VLOOKUP(A672,'Grondslagen AU 2018'!A$1:DA$386,92,FALSE)</f>
        <v>0.120760921682632</v>
      </c>
      <c r="I672" s="124">
        <f>VLOOKUP(A672,'Grondslagen AU 2019'!A$1:DA$386,92,FALSE)</f>
        <v>0.23400000000000001</v>
      </c>
      <c r="J672" s="124">
        <f>VLOOKUP(A672,'Grondslagen AU 2020'!A$1:DA$386,77,FALSE)</f>
        <v>0.23599999999999999</v>
      </c>
      <c r="K672" s="124">
        <f>VLOOKUP(A672,'Grondslagen AU 2021'!A$1:DA$386,77,FALSE)</f>
        <v>0.23499999999999999</v>
      </c>
      <c r="L672" s="124">
        <f>VLOOKUP(A672,'Grondslagen AU 2022'!A$1:DA$386,77,FALSE)</f>
        <v>0.22800000000000001</v>
      </c>
      <c r="M672" s="72"/>
      <c r="N672" s="124"/>
    </row>
    <row r="673" spans="1:15" x14ac:dyDescent="0.35">
      <c r="A673" s="72">
        <v>826</v>
      </c>
      <c r="B673" s="72">
        <v>10</v>
      </c>
      <c r="D673" s="72" t="s">
        <v>233</v>
      </c>
      <c r="F673" s="126">
        <f>VLOOKUP(A673,'IUSD Klassiek 2017'!B$11:E$398,4,FALSE)*1000</f>
        <v>2.2320035827412523</v>
      </c>
      <c r="G673" s="126">
        <f>VLOOKUP(A673,'IUSD klassiek 2018'!B$11:E$390,4,FALSE)*1000</f>
        <v>2.1036694135191243</v>
      </c>
      <c r="H673" s="124">
        <f>VLOOKUP(A673,'Grondslagen AU 2018'!A$1:DA$386,92,FALSE)</f>
        <v>1.9072483773896101</v>
      </c>
      <c r="I673" s="124">
        <f>VLOOKUP(A673,'Grondslagen AU 2019'!A$1:DA$386,92,FALSE)</f>
        <v>1.851</v>
      </c>
      <c r="J673" s="124">
        <f>VLOOKUP(A673,'Grondslagen AU 2020'!A$1:DA$386,77,FALSE)</f>
        <v>1.5509999999999999</v>
      </c>
      <c r="K673" s="124">
        <f>VLOOKUP(A673,'Grondslagen AU 2021'!A$1:DA$386,77,FALSE)</f>
        <v>1.6839999999999999</v>
      </c>
      <c r="L673" s="124">
        <f>VLOOKUP(A673,'Grondslagen AU 2022'!A$1:DA$386,77,FALSE)</f>
        <v>1.601</v>
      </c>
      <c r="M673" s="72"/>
      <c r="N673" s="124"/>
    </row>
    <row r="674" spans="1:15" x14ac:dyDescent="0.35">
      <c r="A674" s="72">
        <v>828</v>
      </c>
      <c r="B674" s="72">
        <v>10</v>
      </c>
      <c r="D674" s="72" t="s">
        <v>238</v>
      </c>
      <c r="F674" s="126">
        <f>VLOOKUP(A674,'IUSD Klassiek 2017'!B$11:E$398,4,FALSE)*1000</f>
        <v>2.9821223835586181</v>
      </c>
      <c r="G674" s="126">
        <f>VLOOKUP(A674,'IUSD klassiek 2018'!B$11:E$390,4,FALSE)*1000</f>
        <v>2.7079500880587672</v>
      </c>
      <c r="H674" s="124">
        <f>VLOOKUP(A674,'Grondslagen AU 2018'!A$1:DA$386,92,FALSE)</f>
        <v>3.0257199059882001</v>
      </c>
      <c r="I674" s="124">
        <f>VLOOKUP(A674,'Grondslagen AU 2019'!A$1:DA$386,92,FALSE)</f>
        <v>3.173</v>
      </c>
      <c r="J674" s="124">
        <f>VLOOKUP(A674,'Grondslagen AU 2020'!A$1:DA$386,77,FALSE)</f>
        <v>3.32</v>
      </c>
      <c r="K674" s="124">
        <f>VLOOKUP(A674,'Grondslagen AU 2021'!A$1:DA$386,77,FALSE)</f>
        <v>3.327</v>
      </c>
      <c r="L674" s="124">
        <f>VLOOKUP(A674,'Grondslagen AU 2022'!A$1:DA$386,77,FALSE)</f>
        <v>3.3540000000000001</v>
      </c>
      <c r="M674" s="72"/>
      <c r="N674" s="124"/>
    </row>
    <row r="675" spans="1:15" x14ac:dyDescent="0.35">
      <c r="A675" s="72">
        <v>1667</v>
      </c>
      <c r="B675" s="72">
        <v>10</v>
      </c>
      <c r="D675" s="72" t="s">
        <v>253</v>
      </c>
      <c r="F675" s="126">
        <f>VLOOKUP(A675,'IUSD Klassiek 2017'!B$11:E$398,4,FALSE)*1000</f>
        <v>8.1589521879389934E-2</v>
      </c>
      <c r="G675" s="126">
        <f>VLOOKUP(A675,'IUSD klassiek 2018'!B$11:E$390,4,FALSE)*1000</f>
        <v>6.4694520651999404E-2</v>
      </c>
      <c r="H675" s="124">
        <f>VLOOKUP(A675,'Grondslagen AU 2018'!A$1:DA$386,92,FALSE)</f>
        <v>6.3914926841783404E-2</v>
      </c>
      <c r="I675" s="124">
        <f>VLOOKUP(A675,'Grondslagen AU 2019'!A$1:DA$386,92,FALSE)</f>
        <v>6.6000000000000003E-2</v>
      </c>
      <c r="J675" s="124">
        <f>VLOOKUP(A675,'Grondslagen AU 2020'!A$1:DA$386,77,FALSE)</f>
        <v>6.6000000000000003E-2</v>
      </c>
      <c r="K675" s="124">
        <f>VLOOKUP(A675,'Grondslagen AU 2021'!A$1:DA$386,77,FALSE)</f>
        <v>6.4000000000000001E-2</v>
      </c>
      <c r="L675" s="124">
        <f>VLOOKUP(A675,'Grondslagen AU 2022'!A$1:DA$386,77,FALSE)</f>
        <v>6.5000000000000002E-2</v>
      </c>
      <c r="M675" s="72"/>
      <c r="N675" s="124"/>
    </row>
    <row r="676" spans="1:15" x14ac:dyDescent="0.35">
      <c r="A676" s="72">
        <v>1674</v>
      </c>
      <c r="B676" s="72">
        <v>10</v>
      </c>
      <c r="D676" s="72" t="s">
        <v>261</v>
      </c>
      <c r="F676" s="126">
        <f>VLOOKUP(A676,'IUSD Klassiek 2017'!B$11:E$398,4,FALSE)*1000</f>
        <v>3.9292160737799691</v>
      </c>
      <c r="G676" s="126">
        <f>VLOOKUP(A676,'IUSD klassiek 2018'!B$11:E$390,4,FALSE)*1000</f>
        <v>4.4003693170984715</v>
      </c>
      <c r="H676" s="124">
        <f>VLOOKUP(A676,'Grondslagen AU 2018'!A$1:DA$386,92,FALSE)</f>
        <v>4.5606962037522703</v>
      </c>
      <c r="I676" s="124">
        <f>VLOOKUP(A676,'Grondslagen AU 2019'!A$1:DA$386,92,FALSE)</f>
        <v>4.4960000000000004</v>
      </c>
      <c r="J676" s="124">
        <f>VLOOKUP(A676,'Grondslagen AU 2020'!A$1:DA$386,77,FALSE)</f>
        <v>4.8179999999999996</v>
      </c>
      <c r="K676" s="124">
        <f>VLOOKUP(A676,'Grondslagen AU 2021'!A$1:DA$386,77,FALSE)</f>
        <v>4.8289999999999997</v>
      </c>
      <c r="L676" s="124">
        <f>VLOOKUP(A676,'Grondslagen AU 2022'!A$1:DA$386,77,FALSE)</f>
        <v>4.8520000000000003</v>
      </c>
      <c r="M676" s="72"/>
      <c r="N676" s="124"/>
    </row>
    <row r="677" spans="1:15" x14ac:dyDescent="0.35">
      <c r="A677" s="72">
        <v>840</v>
      </c>
      <c r="B677" s="72">
        <v>10</v>
      </c>
      <c r="D677" s="72" t="s">
        <v>264</v>
      </c>
      <c r="F677" s="126">
        <f>VLOOKUP(A677,'IUSD Klassiek 2017'!B$11:E$398,4,FALSE)*1000</f>
        <v>0.58535002371901057</v>
      </c>
      <c r="G677" s="126">
        <f>VLOOKUP(A677,'IUSD klassiek 2018'!B$11:E$390,4,FALSE)*1000</f>
        <v>0.55183408994933003</v>
      </c>
      <c r="H677" s="124">
        <f>VLOOKUP(A677,'Grondslagen AU 2018'!A$1:DA$386,92,FALSE)</f>
        <v>0.58302834522387503</v>
      </c>
      <c r="I677" s="124">
        <f>VLOOKUP(A677,'Grondslagen AU 2019'!A$1:DA$386,92,FALSE)</f>
        <v>0.48899999999999999</v>
      </c>
      <c r="J677" s="124">
        <f>VLOOKUP(A677,'Grondslagen AU 2020'!A$1:DA$386,77,FALSE)</f>
        <v>0.56599999999999995</v>
      </c>
      <c r="K677" s="124">
        <f>VLOOKUP(A677,'Grondslagen AU 2021'!A$1:DA$386,77,FALSE)</f>
        <v>0.67400000000000004</v>
      </c>
      <c r="L677" s="124">
        <f>VLOOKUP(A677,'Grondslagen AU 2022'!A$1:DA$386,77,FALSE)</f>
        <v>0.65100000000000002</v>
      </c>
      <c r="M677" s="72"/>
      <c r="N677" s="124"/>
    </row>
    <row r="678" spans="1:15" x14ac:dyDescent="0.35">
      <c r="A678" s="72">
        <v>796</v>
      </c>
      <c r="B678" s="72">
        <v>10</v>
      </c>
      <c r="D678" s="72" t="s">
        <v>271</v>
      </c>
      <c r="F678" s="126">
        <f>VLOOKUP(A678,'IUSD Klassiek 2017'!B$11:E$398,4,FALSE)*1000</f>
        <v>8.9200242080362528</v>
      </c>
      <c r="G678" s="126">
        <f>VLOOKUP(A678,'IUSD klassiek 2018'!B$11:E$390,4,FALSE)*1000</f>
        <v>8.8162409131066486</v>
      </c>
      <c r="H678" s="124">
        <f>VLOOKUP(A678,'Grondslagen AU 2018'!A$1:DA$386,92,FALSE)</f>
        <v>8.4329906678232405</v>
      </c>
      <c r="I678" s="124">
        <f>VLOOKUP(A678,'Grondslagen AU 2019'!A$1:DA$386,92,FALSE)</f>
        <v>7.383</v>
      </c>
      <c r="J678" s="124">
        <f>VLOOKUP(A678,'Grondslagen AU 2020'!A$1:DA$386,77,FALSE)</f>
        <v>7.2530000000000001</v>
      </c>
      <c r="K678" s="124">
        <f>VLOOKUP(A678,'Grondslagen AU 2021'!A$1:DA$386,77,FALSE)</f>
        <v>7.3159999999999998</v>
      </c>
      <c r="L678" s="124">
        <f>VLOOKUP(A678,'Grondslagen AU 2022'!A$1:DA$386,77,FALSE)</f>
        <v>7.13</v>
      </c>
      <c r="M678" s="72"/>
      <c r="N678" s="124"/>
    </row>
    <row r="679" spans="1:15" x14ac:dyDescent="0.35">
      <c r="A679" s="72">
        <v>1702</v>
      </c>
      <c r="B679" s="72">
        <v>10</v>
      </c>
      <c r="D679" s="72" t="s">
        <v>273</v>
      </c>
      <c r="F679" s="126">
        <f>VLOOKUP(A679,'IUSD Klassiek 2017'!B$11:E$398,4,FALSE)*1000</f>
        <v>6.8336238840114583E-2</v>
      </c>
      <c r="G679" s="126">
        <f>VLOOKUP(A679,'IUSD klassiek 2018'!B$11:E$390,4,FALSE)*1000</f>
        <v>5.7579347496091296E-2</v>
      </c>
      <c r="H679" s="124">
        <f>VLOOKUP(A679,'Grondslagen AU 2018'!A$1:DA$386,92,FALSE)</f>
        <v>5.6755367507503499E-2</v>
      </c>
      <c r="I679" s="124">
        <f>VLOOKUP(A679,'Grondslagen AU 2019'!A$1:DA$386,92,FALSE)</f>
        <v>5.8999999999999997E-2</v>
      </c>
      <c r="J679" s="124">
        <f>VLOOKUP(A679,'Grondslagen AU 2020'!A$1:DA$386,77,FALSE)</f>
        <v>0.06</v>
      </c>
      <c r="K679" s="124">
        <f>VLOOKUP(A679,'Grondslagen AU 2021'!A$1:DA$386,77,FALSE)</f>
        <v>5.8000000000000003E-2</v>
      </c>
      <c r="L679" s="124" t="e">
        <f>VLOOKUP(A679,'Grondslagen AU 2022'!A$1:DA$386,77,FALSE)</f>
        <v>#N/A</v>
      </c>
      <c r="M679" s="72"/>
      <c r="N679" s="124"/>
      <c r="O679" t="s">
        <v>1302</v>
      </c>
    </row>
    <row r="680" spans="1:15" x14ac:dyDescent="0.35">
      <c r="A680" s="72">
        <v>845</v>
      </c>
      <c r="B680" s="72">
        <v>10</v>
      </c>
      <c r="D680" s="72" t="s">
        <v>274</v>
      </c>
      <c r="F680" s="126">
        <f>VLOOKUP(A680,'IUSD Klassiek 2017'!B$11:E$398,4,FALSE)*1000</f>
        <v>0.17233394889911691</v>
      </c>
      <c r="G680" s="126">
        <f>VLOOKUP(A680,'IUSD klassiek 2018'!B$11:E$390,4,FALSE)*1000</f>
        <v>0.13593041017314042</v>
      </c>
      <c r="H680" s="124">
        <f>VLOOKUP(A680,'Grondslagen AU 2018'!A$1:DA$386,92,FALSE)</f>
        <v>0.13454382862889899</v>
      </c>
      <c r="I680" s="124">
        <f>VLOOKUP(A680,'Grondslagen AU 2019'!A$1:DA$386,92,FALSE)</f>
        <v>0.14299999999999999</v>
      </c>
      <c r="J680" s="124">
        <f>VLOOKUP(A680,'Grondslagen AU 2020'!A$1:DA$386,77,FALSE)</f>
        <v>0.14599999999999999</v>
      </c>
      <c r="K680" s="124">
        <f>VLOOKUP(A680,'Grondslagen AU 2021'!A$1:DA$386,77,FALSE)</f>
        <v>0.14299999999999999</v>
      </c>
      <c r="L680" s="124">
        <f>VLOOKUP(A680,'Grondslagen AU 2022'!A$1:DA$386,77,FALSE)</f>
        <v>0.14499999999999999</v>
      </c>
      <c r="M680" s="72"/>
      <c r="N680" s="124"/>
    </row>
    <row r="681" spans="1:15" x14ac:dyDescent="0.35">
      <c r="A681" s="72">
        <v>847</v>
      </c>
      <c r="B681" s="72">
        <v>10</v>
      </c>
      <c r="D681" s="72" t="s">
        <v>280</v>
      </c>
      <c r="F681" s="126">
        <f>VLOOKUP(A681,'IUSD Klassiek 2017'!B$11:E$398,4,FALSE)*1000</f>
        <v>0.27650605939241379</v>
      </c>
      <c r="G681" s="126">
        <f>VLOOKUP(A681,'IUSD klassiek 2018'!B$11:E$390,4,FALSE)*1000</f>
        <v>0.1832055259639245</v>
      </c>
      <c r="H681" s="124">
        <f>VLOOKUP(A681,'Grondslagen AU 2018'!A$1:DA$386,92,FALSE)</f>
        <v>0.137116339698347</v>
      </c>
      <c r="I681" s="124">
        <f>VLOOKUP(A681,'Grondslagen AU 2019'!A$1:DA$386,92,FALSE)</f>
        <v>0.14499999999999999</v>
      </c>
      <c r="J681" s="124">
        <f>VLOOKUP(A681,'Grondslagen AU 2020'!A$1:DA$386,77,FALSE)</f>
        <v>0.128</v>
      </c>
      <c r="K681" s="124">
        <f>VLOOKUP(A681,'Grondslagen AU 2021'!A$1:DA$386,77,FALSE)</f>
        <v>0.13600000000000001</v>
      </c>
      <c r="L681" s="124">
        <f>VLOOKUP(A681,'Grondslagen AU 2022'!A$1:DA$386,77,FALSE)</f>
        <v>0.17699999999999999</v>
      </c>
      <c r="M681" s="72"/>
      <c r="N681" s="124"/>
    </row>
    <row r="682" spans="1:15" x14ac:dyDescent="0.35">
      <c r="A682" s="72">
        <v>848</v>
      </c>
      <c r="B682" s="72">
        <v>10</v>
      </c>
      <c r="D682" s="72" t="s">
        <v>281</v>
      </c>
      <c r="F682" s="126">
        <f>VLOOKUP(A682,'IUSD Klassiek 2017'!B$11:E$398,4,FALSE)*1000</f>
        <v>0.18152573802698799</v>
      </c>
      <c r="G682" s="126">
        <f>VLOOKUP(A682,'IUSD klassiek 2018'!B$11:E$390,4,FALSE)*1000</f>
        <v>0.20110990035405918</v>
      </c>
      <c r="H682" s="124">
        <f>VLOOKUP(A682,'Grondslagen AU 2018'!A$1:DA$386,92,FALSE)</f>
        <v>0.18972980714287399</v>
      </c>
      <c r="I682" s="124">
        <f>VLOOKUP(A682,'Grondslagen AU 2019'!A$1:DA$386,92,FALSE)</f>
        <v>0.20100000000000001</v>
      </c>
      <c r="J682" s="124">
        <f>VLOOKUP(A682,'Grondslagen AU 2020'!A$1:DA$386,77,FALSE)</f>
        <v>0.23799999999999999</v>
      </c>
      <c r="K682" s="124">
        <f>VLOOKUP(A682,'Grondslagen AU 2021'!A$1:DA$386,77,FALSE)</f>
        <v>0.16700000000000001</v>
      </c>
      <c r="L682" s="124">
        <f>VLOOKUP(A682,'Grondslagen AU 2022'!A$1:DA$386,77,FALSE)</f>
        <v>0.12</v>
      </c>
      <c r="M682" s="72"/>
      <c r="N682" s="124"/>
    </row>
    <row r="683" spans="1:15" x14ac:dyDescent="0.35">
      <c r="A683" s="72">
        <v>851</v>
      </c>
      <c r="B683" s="72">
        <v>10</v>
      </c>
      <c r="D683" s="72" t="s">
        <v>285</v>
      </c>
      <c r="F683" s="126">
        <f>VLOOKUP(A683,'IUSD Klassiek 2017'!B$11:E$398,4,FALSE)*1000</f>
        <v>0.62155642578921921</v>
      </c>
      <c r="G683" s="126">
        <f>VLOOKUP(A683,'IUSD klassiek 2018'!B$11:E$390,4,FALSE)*1000</f>
        <v>0.65073205983175297</v>
      </c>
      <c r="H683" s="124">
        <f>VLOOKUP(A683,'Grondslagen AU 2018'!A$1:DA$386,92,FALSE)</f>
        <v>0.58988538671837998</v>
      </c>
      <c r="I683" s="124">
        <f>VLOOKUP(A683,'Grondslagen AU 2019'!A$1:DA$386,92,FALSE)</f>
        <v>0.51</v>
      </c>
      <c r="J683" s="124">
        <f>VLOOKUP(A683,'Grondslagen AU 2020'!A$1:DA$386,77,FALSE)</f>
        <v>0.68500000000000005</v>
      </c>
      <c r="K683" s="124">
        <f>VLOOKUP(A683,'Grondslagen AU 2021'!A$1:DA$386,77,FALSE)</f>
        <v>0.61199999999999999</v>
      </c>
      <c r="L683" s="124">
        <f>VLOOKUP(A683,'Grondslagen AU 2022'!A$1:DA$386,77,FALSE)</f>
        <v>0.69399999999999995</v>
      </c>
      <c r="M683" s="72"/>
      <c r="N683" s="124"/>
    </row>
    <row r="684" spans="1:15" x14ac:dyDescent="0.35">
      <c r="A684" s="72">
        <v>855</v>
      </c>
      <c r="B684" s="72">
        <v>10</v>
      </c>
      <c r="D684" s="72" t="s">
        <v>296</v>
      </c>
      <c r="F684" s="126">
        <f>VLOOKUP(A684,'IUSD Klassiek 2017'!B$11:E$398,4,FALSE)*1000</f>
        <v>17.935586141369019</v>
      </c>
      <c r="G684" s="126">
        <f>VLOOKUP(A684,'IUSD klassiek 2018'!B$11:E$390,4,FALSE)*1000</f>
        <v>19.346581937442178</v>
      </c>
      <c r="H684" s="124">
        <f>VLOOKUP(A684,'Grondslagen AU 2018'!A$1:DA$386,92,FALSE)</f>
        <v>18.590429286967399</v>
      </c>
      <c r="I684" s="124">
        <f>VLOOKUP(A684,'Grondslagen AU 2019'!A$1:DA$386,92,FALSE)</f>
        <v>18.001999999999999</v>
      </c>
      <c r="J684" s="124">
        <f>VLOOKUP(A684,'Grondslagen AU 2020'!A$1:DA$386,77,FALSE)</f>
        <v>18.077000000000002</v>
      </c>
      <c r="K684" s="124">
        <f>VLOOKUP(A684,'Grondslagen AU 2021'!A$1:DA$386,77,FALSE)</f>
        <v>18.138000000000002</v>
      </c>
      <c r="L684" s="124">
        <f>VLOOKUP(A684,'Grondslagen AU 2022'!A$1:DA$386,77,FALSE)</f>
        <v>17.672999999999998</v>
      </c>
      <c r="M684" s="72"/>
      <c r="N684" s="124"/>
    </row>
    <row r="685" spans="1:15" x14ac:dyDescent="0.35">
      <c r="A685" s="72">
        <v>856</v>
      </c>
      <c r="B685" s="72">
        <v>10</v>
      </c>
      <c r="D685" s="72" t="s">
        <v>301</v>
      </c>
      <c r="F685" s="126">
        <f>VLOOKUP(A685,'IUSD Klassiek 2017'!B$11:E$398,4,FALSE)*1000</f>
        <v>1.1613412634443245</v>
      </c>
      <c r="G685" s="126">
        <f>VLOOKUP(A685,'IUSD klassiek 2018'!B$11:E$390,4,FALSE)*1000</f>
        <v>1.1089958070501718</v>
      </c>
      <c r="H685" s="124">
        <f>VLOOKUP(A685,'Grondslagen AU 2018'!A$1:DA$386,92,FALSE)</f>
        <v>1.0908746646715699</v>
      </c>
      <c r="I685" s="124">
        <f>VLOOKUP(A685,'Grondslagen AU 2019'!A$1:DA$386,92,FALSE)</f>
        <v>1.1080000000000001</v>
      </c>
      <c r="J685" s="124">
        <f>VLOOKUP(A685,'Grondslagen AU 2020'!A$1:DA$386,77,FALSE)</f>
        <v>1.2010000000000001</v>
      </c>
      <c r="K685" s="124">
        <f>VLOOKUP(A685,'Grondslagen AU 2021'!A$1:DA$386,77,FALSE)</f>
        <v>1.1579999999999999</v>
      </c>
      <c r="L685" s="124" t="e">
        <f>VLOOKUP(A685,'Grondslagen AU 2022'!A$1:DA$386,77,FALSE)</f>
        <v>#N/A</v>
      </c>
      <c r="M685" s="72"/>
      <c r="N685" s="124"/>
      <c r="O685" t="s">
        <v>1301</v>
      </c>
    </row>
    <row r="686" spans="1:15" x14ac:dyDescent="0.35">
      <c r="A686" s="72">
        <v>858</v>
      </c>
      <c r="B686" s="72">
        <v>10</v>
      </c>
      <c r="D686" s="72" t="s">
        <v>309</v>
      </c>
      <c r="F686" s="126">
        <f>VLOOKUP(A686,'IUSD Klassiek 2017'!B$11:E$398,4,FALSE)*1000</f>
        <v>1.040533851439325</v>
      </c>
      <c r="G686" s="126">
        <f>VLOOKUP(A686,'IUSD klassiek 2018'!B$11:E$390,4,FALSE)*1000</f>
        <v>0.97258668742884213</v>
      </c>
      <c r="H686" s="124">
        <f>VLOOKUP(A686,'Grondslagen AU 2018'!A$1:DA$386,92,FALSE)</f>
        <v>0.93639024817382299</v>
      </c>
      <c r="I686" s="124">
        <f>VLOOKUP(A686,'Grondslagen AU 2019'!A$1:DA$386,92,FALSE)</f>
        <v>0.96599999999999997</v>
      </c>
      <c r="J686" s="124">
        <f>VLOOKUP(A686,'Grondslagen AU 2020'!A$1:DA$386,77,FALSE)</f>
        <v>0.995</v>
      </c>
      <c r="K686" s="124">
        <f>VLOOKUP(A686,'Grondslagen AU 2021'!A$1:DA$386,77,FALSE)</f>
        <v>0.93400000000000005</v>
      </c>
      <c r="L686" s="124">
        <f>VLOOKUP(A686,'Grondslagen AU 2022'!A$1:DA$386,77,FALSE)</f>
        <v>0.89400000000000002</v>
      </c>
      <c r="M686" s="72"/>
      <c r="N686" s="124"/>
    </row>
    <row r="687" spans="1:15" x14ac:dyDescent="0.35">
      <c r="A687" s="72">
        <v>861</v>
      </c>
      <c r="B687" s="72">
        <v>10</v>
      </c>
      <c r="D687" s="72" t="s">
        <v>313</v>
      </c>
      <c r="F687" s="126">
        <f>VLOOKUP(A687,'IUSD Klassiek 2017'!B$11:E$398,4,FALSE)*1000</f>
        <v>0.49800649083406962</v>
      </c>
      <c r="G687" s="126">
        <f>VLOOKUP(A687,'IUSD klassiek 2018'!B$11:E$390,4,FALSE)*1000</f>
        <v>0.35468855869124988</v>
      </c>
      <c r="H687" s="124">
        <f>VLOOKUP(A687,'Grondslagen AU 2018'!A$1:DA$386,92,FALSE)</f>
        <v>0.42454144803733401</v>
      </c>
      <c r="I687" s="124">
        <f>VLOOKUP(A687,'Grondslagen AU 2019'!A$1:DA$386,92,FALSE)</f>
        <v>0.28499999999999998</v>
      </c>
      <c r="J687" s="124">
        <f>VLOOKUP(A687,'Grondslagen AU 2020'!A$1:DA$386,77,FALSE)</f>
        <v>0.379</v>
      </c>
      <c r="K687" s="124">
        <f>VLOOKUP(A687,'Grondslagen AU 2021'!A$1:DA$386,77,FALSE)</f>
        <v>0.46600000000000003</v>
      </c>
      <c r="L687" s="124">
        <f>VLOOKUP(A687,'Grondslagen AU 2022'!A$1:DA$386,77,FALSE)</f>
        <v>0.42599999999999999</v>
      </c>
      <c r="M687" s="72"/>
      <c r="N687" s="124"/>
      <c r="O687" s="72"/>
    </row>
    <row r="688" spans="1:15" x14ac:dyDescent="0.35">
      <c r="A688" s="72">
        <v>865</v>
      </c>
      <c r="B688" s="72">
        <v>10</v>
      </c>
      <c r="D688" s="72" t="s">
        <v>324</v>
      </c>
      <c r="F688" s="126">
        <f>VLOOKUP(A688,'IUSD Klassiek 2017'!B$11:E$398,4,FALSE)*1000</f>
        <v>0.29340057179589862</v>
      </c>
      <c r="G688" s="126">
        <f>VLOOKUP(A688,'IUSD klassiek 2018'!B$11:E$390,4,FALSE)*1000</f>
        <v>0.2810769027382099</v>
      </c>
      <c r="H688" s="124">
        <f>VLOOKUP(A688,'Grondslagen AU 2018'!A$1:DA$386,92,FALSE)</f>
        <v>0.23177243220313801</v>
      </c>
      <c r="I688" s="124">
        <f>VLOOKUP(A688,'Grondslagen AU 2019'!A$1:DA$386,92,FALSE)</f>
        <v>0.129</v>
      </c>
      <c r="J688" s="124">
        <f>VLOOKUP(A688,'Grondslagen AU 2020'!A$1:DA$386,77,FALSE)</f>
        <v>0.13100000000000001</v>
      </c>
      <c r="K688" s="124">
        <f>VLOOKUP(A688,'Grondslagen AU 2021'!A$1:DA$386,77,FALSE)</f>
        <v>0.152</v>
      </c>
      <c r="L688" s="124">
        <f>VLOOKUP(A688,'Grondslagen AU 2022'!A$1:DA$386,77,FALSE)</f>
        <v>0.152</v>
      </c>
      <c r="M688" s="72"/>
      <c r="N688" s="124"/>
      <c r="O688" s="72"/>
    </row>
    <row r="689" spans="1:15" x14ac:dyDescent="0.35">
      <c r="A689" s="72">
        <v>866</v>
      </c>
      <c r="B689" s="72">
        <v>10</v>
      </c>
      <c r="D689" s="72" t="s">
        <v>326</v>
      </c>
      <c r="F689" s="126">
        <f>VLOOKUP(A689,'IUSD Klassiek 2017'!B$11:E$398,4,FALSE)*1000</f>
        <v>0.167707227157988</v>
      </c>
      <c r="G689" s="126">
        <f>VLOOKUP(A689,'IUSD klassiek 2018'!B$11:E$390,4,FALSE)*1000</f>
        <v>0.10623960362592366</v>
      </c>
      <c r="H689" s="124">
        <f>VLOOKUP(A689,'Grondslagen AU 2018'!A$1:DA$386,92,FALSE)</f>
        <v>8.1984581671398299E-2</v>
      </c>
      <c r="I689" s="124">
        <f>VLOOKUP(A689,'Grondslagen AU 2019'!A$1:DA$386,92,FALSE)</f>
        <v>0.108</v>
      </c>
      <c r="J689" s="124">
        <f>VLOOKUP(A689,'Grondslagen AU 2020'!A$1:DA$386,77,FALSE)</f>
        <v>0.188</v>
      </c>
      <c r="K689" s="124">
        <f>VLOOKUP(A689,'Grondslagen AU 2021'!A$1:DA$386,77,FALSE)</f>
        <v>0.26300000000000001</v>
      </c>
      <c r="L689" s="124">
        <f>VLOOKUP(A689,'Grondslagen AU 2022'!A$1:DA$386,77,FALSE)</f>
        <v>0.21199999999999999</v>
      </c>
      <c r="M689" s="72"/>
      <c r="N689" s="124"/>
      <c r="O689" s="72"/>
    </row>
    <row r="690" spans="1:15" x14ac:dyDescent="0.35">
      <c r="A690" s="72">
        <v>867</v>
      </c>
      <c r="B690" s="72">
        <v>10</v>
      </c>
      <c r="D690" s="72" t="s">
        <v>327</v>
      </c>
      <c r="F690" s="126">
        <f>VLOOKUP(A690,'IUSD Klassiek 2017'!B$11:E$398,4,FALSE)*1000</f>
        <v>1.3637261148157733</v>
      </c>
      <c r="G690" s="126">
        <f>VLOOKUP(A690,'IUSD klassiek 2018'!B$11:E$390,4,FALSE)*1000</f>
        <v>1.3716247237361134</v>
      </c>
      <c r="H690" s="124">
        <f>VLOOKUP(A690,'Grondslagen AU 2018'!A$1:DA$386,92,FALSE)</f>
        <v>1.43961852659627</v>
      </c>
      <c r="I690" s="124">
        <f>VLOOKUP(A690,'Grondslagen AU 2019'!A$1:DA$386,92,FALSE)</f>
        <v>1.2649999999999999</v>
      </c>
      <c r="J690" s="124">
        <f>VLOOKUP(A690,'Grondslagen AU 2020'!A$1:DA$386,77,FALSE)</f>
        <v>1.2470000000000001</v>
      </c>
      <c r="K690" s="124">
        <f>VLOOKUP(A690,'Grondslagen AU 2021'!A$1:DA$386,77,FALSE)</f>
        <v>1.2569999999999999</v>
      </c>
      <c r="L690" s="124">
        <f>VLOOKUP(A690,'Grondslagen AU 2022'!A$1:DA$386,77,FALSE)</f>
        <v>1.173</v>
      </c>
      <c r="M690" s="72"/>
      <c r="N690" s="124"/>
      <c r="O690" s="72"/>
    </row>
    <row r="691" spans="1:15" x14ac:dyDescent="0.35">
      <c r="A691" s="72">
        <v>870</v>
      </c>
      <c r="B691" s="72">
        <v>10</v>
      </c>
      <c r="D691" s="72" t="s">
        <v>823</v>
      </c>
      <c r="F691" s="126">
        <f>VLOOKUP(A691,'IUSD Klassiek 2017'!B$11:E$398,4,FALSE)*1000</f>
        <v>0.17181885144917508</v>
      </c>
      <c r="G691" s="126">
        <f>VLOOKUP(A691,'IUSD klassiek 2018'!B$11:E$390,4,FALSE)*1000</f>
        <v>0.16866680982556478</v>
      </c>
      <c r="H691" s="124">
        <f>VLOOKUP(A691,'Grondslagen AU 2018'!A$1:DA$386,92,FALSE)</f>
        <v>0.14976311585445401</v>
      </c>
      <c r="I691" s="124" t="e">
        <f>VLOOKUP(A691,'Grondslagen AU 2019'!A$1:DA$386,92,FALSE)</f>
        <v>#N/A</v>
      </c>
      <c r="J691" s="124" t="e">
        <f>VLOOKUP(A691,'Grondslagen AU 2020'!A$1:DA$386,77,FALSE)</f>
        <v>#N/A</v>
      </c>
      <c r="K691" s="124" t="e">
        <f>VLOOKUP(A691,'Grondslagen AU 2021'!A$1:DA$386,77,FALSE)</f>
        <v>#N/A</v>
      </c>
      <c r="L691" s="124" t="e">
        <f>VLOOKUP(A691,'Grondslagen AU 2022'!A$1:DA$386,77,FALSE)</f>
        <v>#N/A</v>
      </c>
      <c r="M691" s="72" t="s">
        <v>22</v>
      </c>
      <c r="N691" s="124"/>
      <c r="O691" s="72"/>
    </row>
    <row r="692" spans="1:15" x14ac:dyDescent="0.35">
      <c r="A692" s="72">
        <v>873</v>
      </c>
      <c r="B692" s="72">
        <v>10</v>
      </c>
      <c r="D692" s="72" t="s">
        <v>348</v>
      </c>
      <c r="F692" s="126">
        <f>VLOOKUP(A692,'IUSD Klassiek 2017'!B$11:E$398,4,FALSE)*1000</f>
        <v>0.4307381992872984</v>
      </c>
      <c r="G692" s="126">
        <f>VLOOKUP(A692,'IUSD klassiek 2018'!B$11:E$390,4,FALSE)*1000</f>
        <v>0.2863992694500414</v>
      </c>
      <c r="H692" s="124">
        <f>VLOOKUP(A692,'Grondslagen AU 2018'!A$1:DA$386,92,FALSE)</f>
        <v>0.36702624738841699</v>
      </c>
      <c r="I692" s="124">
        <f>VLOOKUP(A692,'Grondslagen AU 2019'!A$1:DA$386,92,FALSE)</f>
        <v>0.44</v>
      </c>
      <c r="J692" s="124">
        <f>VLOOKUP(A692,'Grondslagen AU 2020'!A$1:DA$386,77,FALSE)</f>
        <v>0.504</v>
      </c>
      <c r="K692" s="124">
        <f>VLOOKUP(A692,'Grondslagen AU 2021'!A$1:DA$386,77,FALSE)</f>
        <v>0.48099999999999998</v>
      </c>
      <c r="L692" s="124">
        <f>VLOOKUP(A692,'Grondslagen AU 2022'!A$1:DA$386,77,FALSE)</f>
        <v>0.45100000000000001</v>
      </c>
      <c r="M692" s="72"/>
      <c r="N692" s="124"/>
      <c r="O692" s="72"/>
    </row>
    <row r="693" spans="1:15" x14ac:dyDescent="0.35">
      <c r="A693" s="72">
        <v>874</v>
      </c>
      <c r="B693" s="72">
        <v>10</v>
      </c>
      <c r="D693" s="72" t="s">
        <v>824</v>
      </c>
      <c r="F693" s="126">
        <f>VLOOKUP(A693,'IUSD Klassiek 2017'!B$11:E$398,4,FALSE)*1000</f>
        <v>0.10082758821756228</v>
      </c>
      <c r="G693" s="126">
        <f>VLOOKUP(A693,'IUSD klassiek 2018'!B$11:E$390,4,FALSE)*1000</f>
        <v>7.0685037405844822E-2</v>
      </c>
      <c r="H693" s="124">
        <f>VLOOKUP(A693,'Grondslagen AU 2018'!A$1:DA$386,92,FALSE)</f>
        <v>6.9556478342529204E-2</v>
      </c>
      <c r="I693" s="124" t="e">
        <f>VLOOKUP(A693,'Grondslagen AU 2019'!A$1:DA$386,92,FALSE)</f>
        <v>#N/A</v>
      </c>
      <c r="J693" s="124" t="e">
        <f>VLOOKUP(A693,'Grondslagen AU 2020'!A$1:DA$386,77,FALSE)</f>
        <v>#N/A</v>
      </c>
      <c r="K693" s="124" t="e">
        <f>VLOOKUP(A693,'Grondslagen AU 2021'!A$1:DA$386,77,FALSE)</f>
        <v>#N/A</v>
      </c>
      <c r="L693" s="124" t="e">
        <f>VLOOKUP(A693,'Grondslagen AU 2022'!A$1:DA$386,77,FALSE)</f>
        <v>#N/A</v>
      </c>
      <c r="M693" s="72" t="s">
        <v>22</v>
      </c>
      <c r="N693" s="124"/>
      <c r="O693" s="72"/>
    </row>
    <row r="694" spans="1:15" x14ac:dyDescent="0.35">
      <c r="A694" s="72">
        <v>879</v>
      </c>
      <c r="B694" s="72">
        <v>10</v>
      </c>
      <c r="D694" s="72" t="s">
        <v>361</v>
      </c>
      <c r="F694" s="126">
        <f>VLOOKUP(A694,'IUSD Klassiek 2017'!B$11:E$398,4,FALSE)*1000</f>
        <v>0.16088649130556787</v>
      </c>
      <c r="G694" s="126">
        <f>VLOOKUP(A694,'IUSD klassiek 2018'!B$11:E$390,4,FALSE)*1000</f>
        <v>0.11964552484170736</v>
      </c>
      <c r="H694" s="124">
        <f>VLOOKUP(A694,'Grondslagen AU 2018'!A$1:DA$386,92,FALSE)</f>
        <v>0.107597301514225</v>
      </c>
      <c r="I694" s="124">
        <f>VLOOKUP(A694,'Grondslagen AU 2019'!A$1:DA$386,92,FALSE)</f>
        <v>0.111</v>
      </c>
      <c r="J694" s="124">
        <f>VLOOKUP(A694,'Grondslagen AU 2020'!A$1:DA$386,77,FALSE)</f>
        <v>0.161</v>
      </c>
      <c r="K694" s="124">
        <f>VLOOKUP(A694,'Grondslagen AU 2021'!A$1:DA$386,77,FALSE)</f>
        <v>0.189</v>
      </c>
      <c r="L694" s="124">
        <f>VLOOKUP(A694,'Grondslagen AU 2022'!A$1:DA$386,77,FALSE)</f>
        <v>0.22500000000000001</v>
      </c>
      <c r="M694" s="72"/>
      <c r="N694" s="124"/>
      <c r="O694" s="72"/>
    </row>
    <row r="695" spans="1:15" x14ac:dyDescent="0.35">
      <c r="A695" s="72">
        <v>888</v>
      </c>
      <c r="B695" s="72">
        <v>11</v>
      </c>
      <c r="D695" s="72" t="s">
        <v>36</v>
      </c>
      <c r="F695" s="126">
        <f>VLOOKUP(A695,'IUSD Klassiek 2017'!B$11:E$398,4,FALSE)*1000</f>
        <v>0.62871642515734094</v>
      </c>
      <c r="G695" s="126">
        <f>VLOOKUP(A695,'IUSD klassiek 2018'!B$11:E$390,4,FALSE)*1000</f>
        <v>0.59563717196081944</v>
      </c>
      <c r="H695" s="124">
        <f>VLOOKUP(A695,'Grondslagen AU 2018'!A$1:DA$386,92,FALSE)</f>
        <v>0.53073247521349998</v>
      </c>
      <c r="I695" s="124">
        <f>VLOOKUP(A695,'Grondslagen AU 2019'!A$1:DA$386,92,FALSE)</f>
        <v>0.52400000000000002</v>
      </c>
      <c r="J695" s="124">
        <f>VLOOKUP(A695,'Grondslagen AU 2020'!A$1:DA$386,77,FALSE)</f>
        <v>0.57199999999999995</v>
      </c>
      <c r="K695" s="124">
        <f>VLOOKUP(A695,'Grondslagen AU 2021'!A$1:DA$386,77,FALSE)</f>
        <v>0.58699999999999997</v>
      </c>
      <c r="L695" s="124">
        <f>VLOOKUP(A695,'Grondslagen AU 2022'!A$1:DA$386,77,FALSE)</f>
        <v>0.59399999999999997</v>
      </c>
      <c r="M695" s="72"/>
      <c r="N695" s="124"/>
      <c r="O695" s="72"/>
    </row>
    <row r="696" spans="1:15" x14ac:dyDescent="0.35">
      <c r="A696" s="72">
        <v>889</v>
      </c>
      <c r="B696" s="72">
        <v>11</v>
      </c>
      <c r="D696" s="72" t="s">
        <v>39</v>
      </c>
      <c r="F696" s="126">
        <f>VLOOKUP(A696,'IUSD Klassiek 2017'!B$11:E$398,4,FALSE)*1000</f>
        <v>0.51802964414738217</v>
      </c>
      <c r="G696" s="126">
        <f>VLOOKUP(A696,'IUSD klassiek 2018'!B$11:E$390,4,FALSE)*1000</f>
        <v>0.46693670230362611</v>
      </c>
      <c r="H696" s="124">
        <f>VLOOKUP(A696,'Grondslagen AU 2018'!A$1:DA$386,92,FALSE)</f>
        <v>0.41386618314768397</v>
      </c>
      <c r="I696" s="124">
        <f>VLOOKUP(A696,'Grondslagen AU 2019'!A$1:DA$386,92,FALSE)</f>
        <v>0.307</v>
      </c>
      <c r="J696" s="124">
        <f>VLOOKUP(A696,'Grondslagen AU 2020'!A$1:DA$386,77,FALSE)</f>
        <v>0.42199999999999999</v>
      </c>
      <c r="K696" s="124">
        <f>VLOOKUP(A696,'Grondslagen AU 2021'!A$1:DA$386,77,FALSE)</f>
        <v>0.41699999999999998</v>
      </c>
      <c r="L696" s="124">
        <f>VLOOKUP(A696,'Grondslagen AU 2022'!A$1:DA$386,77,FALSE)</f>
        <v>0.46100000000000002</v>
      </c>
      <c r="M696" s="72"/>
      <c r="N696" s="124"/>
      <c r="O696" s="72"/>
    </row>
    <row r="697" spans="1:15" x14ac:dyDescent="0.35">
      <c r="A697" s="72">
        <v>893</v>
      </c>
      <c r="B697" s="72">
        <v>11</v>
      </c>
      <c r="D697" s="72" t="s">
        <v>42</v>
      </c>
      <c r="F697" s="126">
        <f>VLOOKUP(A697,'IUSD Klassiek 2017'!B$11:E$398,4,FALSE)*1000</f>
        <v>0.32364231230822194</v>
      </c>
      <c r="G697" s="126">
        <f>VLOOKUP(A697,'IUSD klassiek 2018'!B$11:E$390,4,FALSE)*1000</f>
        <v>0.30050745539043755</v>
      </c>
      <c r="H697" s="124">
        <f>VLOOKUP(A697,'Grondslagen AU 2018'!A$1:DA$386,92,FALSE)</f>
        <v>0.28150076653508899</v>
      </c>
      <c r="I697" s="124">
        <f>VLOOKUP(A697,'Grondslagen AU 2019'!A$1:DA$386,92,FALSE)</f>
        <v>0.3</v>
      </c>
      <c r="J697" s="124">
        <f>VLOOKUP(A697,'Grondslagen AU 2020'!A$1:DA$386,77,FALSE)</f>
        <v>0.30599999999999999</v>
      </c>
      <c r="K697" s="124">
        <f>VLOOKUP(A697,'Grondslagen AU 2021'!A$1:DA$386,77,FALSE)</f>
        <v>0.249</v>
      </c>
      <c r="L697" s="124">
        <f>VLOOKUP(A697,'Grondslagen AU 2022'!A$1:DA$386,77,FALSE)</f>
        <v>0.23699999999999999</v>
      </c>
      <c r="M697" s="72"/>
      <c r="N697" s="124"/>
      <c r="O697" s="72"/>
    </row>
    <row r="698" spans="1:15" x14ac:dyDescent="0.35">
      <c r="A698" s="72">
        <v>899</v>
      </c>
      <c r="B698" s="72">
        <v>11</v>
      </c>
      <c r="D698" s="72" t="s">
        <v>64</v>
      </c>
      <c r="F698" s="126">
        <f>VLOOKUP(A698,'IUSD Klassiek 2017'!B$11:E$398,4,FALSE)*1000</f>
        <v>2.7571269512629235</v>
      </c>
      <c r="G698" s="126">
        <f>VLOOKUP(A698,'IUSD klassiek 2018'!B$11:E$390,4,FALSE)*1000</f>
        <v>2.7099952839149042</v>
      </c>
      <c r="H698" s="124">
        <f>VLOOKUP(A698,'Grondslagen AU 2018'!A$1:DA$386,92,FALSE)</f>
        <v>2.5163399686424901</v>
      </c>
      <c r="I698" s="124">
        <f>VLOOKUP(A698,'Grondslagen AU 2019'!A$1:DA$386,92,FALSE)</f>
        <v>2.3170000000000002</v>
      </c>
      <c r="J698" s="124">
        <f>VLOOKUP(A698,'Grondslagen AU 2020'!A$1:DA$386,77,FALSE)</f>
        <v>2.3570000000000002</v>
      </c>
      <c r="K698" s="124">
        <f>VLOOKUP(A698,'Grondslagen AU 2021'!A$1:DA$386,77,FALSE)</f>
        <v>2.2309999999999999</v>
      </c>
      <c r="L698" s="124">
        <f>VLOOKUP(A698,'Grondslagen AU 2022'!A$1:DA$386,77,FALSE)</f>
        <v>2.0779999999999998</v>
      </c>
      <c r="M698" s="72"/>
      <c r="N698" s="124"/>
      <c r="O698" s="72"/>
    </row>
    <row r="699" spans="1:15" x14ac:dyDescent="0.35">
      <c r="A699" s="72">
        <v>1711</v>
      </c>
      <c r="B699" s="72">
        <v>11</v>
      </c>
      <c r="D699" s="72" t="s">
        <v>96</v>
      </c>
      <c r="F699" s="126">
        <f>VLOOKUP(A699,'IUSD Klassiek 2017'!B$11:E$398,4,FALSE)*1000</f>
        <v>0.98961131921731782</v>
      </c>
      <c r="G699" s="126">
        <f>VLOOKUP(A699,'IUSD klassiek 2018'!B$11:E$390,4,FALSE)*1000</f>
        <v>0.87249845877368581</v>
      </c>
      <c r="H699" s="124">
        <f>VLOOKUP(A699,'Grondslagen AU 2018'!A$1:DA$386,92,FALSE)</f>
        <v>0.78456480696590003</v>
      </c>
      <c r="I699" s="124">
        <f>VLOOKUP(A699,'Grondslagen AU 2019'!A$1:DA$386,92,FALSE)</f>
        <v>0.93899999999999995</v>
      </c>
      <c r="J699" s="124">
        <f>VLOOKUP(A699,'Grondslagen AU 2020'!A$1:DA$386,77,FALSE)</f>
        <v>0.97799999999999998</v>
      </c>
      <c r="K699" s="124">
        <f>VLOOKUP(A699,'Grondslagen AU 2021'!A$1:DA$386,77,FALSE)</f>
        <v>0.88400000000000001</v>
      </c>
      <c r="L699" s="124">
        <f>VLOOKUP(A699,'Grondslagen AU 2022'!A$1:DA$386,77,FALSE)</f>
        <v>0.81699999999999995</v>
      </c>
      <c r="M699" s="72"/>
      <c r="N699" s="124"/>
      <c r="O699" s="72"/>
    </row>
    <row r="700" spans="1:15" x14ac:dyDescent="0.35">
      <c r="A700" s="72">
        <v>1903</v>
      </c>
      <c r="B700" s="72">
        <v>11</v>
      </c>
      <c r="D700" s="72" t="s">
        <v>101</v>
      </c>
      <c r="F700" s="126">
        <f>VLOOKUP(A700,'IUSD Klassiek 2017'!B$11:E$398,4,FALSE)*1000</f>
        <v>0.22846933031820416</v>
      </c>
      <c r="G700" s="126">
        <f>VLOOKUP(A700,'IUSD klassiek 2018'!B$11:E$390,4,FALSE)*1000</f>
        <v>0.12156235083249997</v>
      </c>
      <c r="H700" s="124">
        <f>VLOOKUP(A700,'Grondslagen AU 2018'!A$1:DA$386,92,FALSE)</f>
        <v>0.120171844015888</v>
      </c>
      <c r="I700" s="124">
        <f>VLOOKUP(A700,'Grondslagen AU 2019'!A$1:DA$386,92,FALSE)</f>
        <v>0.17199999999999999</v>
      </c>
      <c r="J700" s="124">
        <f>VLOOKUP(A700,'Grondslagen AU 2020'!A$1:DA$386,77,FALSE)</f>
        <v>0.24299999999999999</v>
      </c>
      <c r="K700" s="124">
        <f>VLOOKUP(A700,'Grondslagen AU 2021'!A$1:DA$386,77,FALSE)</f>
        <v>0.27700000000000002</v>
      </c>
      <c r="L700" s="124">
        <f>VLOOKUP(A700,'Grondslagen AU 2022'!A$1:DA$386,77,FALSE)</f>
        <v>0.32400000000000001</v>
      </c>
      <c r="M700" s="72"/>
      <c r="N700" s="124"/>
      <c r="O700" s="72"/>
    </row>
    <row r="701" spans="1:15" x14ac:dyDescent="0.35">
      <c r="A701" s="72">
        <v>907</v>
      </c>
      <c r="B701" s="72">
        <v>11</v>
      </c>
      <c r="D701" s="72" t="s">
        <v>113</v>
      </c>
      <c r="F701" s="126">
        <f>VLOOKUP(A701,'IUSD Klassiek 2017'!B$11:E$398,4,FALSE)*1000</f>
        <v>0.5054457857309872</v>
      </c>
      <c r="G701" s="126">
        <f>VLOOKUP(A701,'IUSD klassiek 2018'!B$11:E$390,4,FALSE)*1000</f>
        <v>0.49764072902037265</v>
      </c>
      <c r="H701" s="124">
        <f>VLOOKUP(A701,'Grondslagen AU 2018'!A$1:DA$386,92,FALSE)</f>
        <v>0.548328849009043</v>
      </c>
      <c r="I701" s="124">
        <f>VLOOKUP(A701,'Grondslagen AU 2019'!A$1:DA$386,92,FALSE)</f>
        <v>0.47399999999999998</v>
      </c>
      <c r="J701" s="124">
        <f>VLOOKUP(A701,'Grondslagen AU 2020'!A$1:DA$386,77,FALSE)</f>
        <v>0.47499999999999998</v>
      </c>
      <c r="K701" s="124">
        <f>VLOOKUP(A701,'Grondslagen AU 2021'!A$1:DA$386,77,FALSE)</f>
        <v>0.46200000000000002</v>
      </c>
      <c r="L701" s="124">
        <f>VLOOKUP(A701,'Grondslagen AU 2022'!A$1:DA$386,77,FALSE)</f>
        <v>0.45800000000000002</v>
      </c>
      <c r="M701" s="72"/>
      <c r="N701" s="124"/>
      <c r="O701" s="72"/>
    </row>
    <row r="702" spans="1:15" x14ac:dyDescent="0.35">
      <c r="A702" s="72">
        <v>1729</v>
      </c>
      <c r="B702" s="72">
        <v>11</v>
      </c>
      <c r="D702" s="72" t="s">
        <v>123</v>
      </c>
      <c r="F702" s="126">
        <f>VLOOKUP(A702,'IUSD Klassiek 2017'!B$11:E$398,4,FALSE)*1000</f>
        <v>0.24973986224740696</v>
      </c>
      <c r="G702" s="126">
        <f>VLOOKUP(A702,'IUSD klassiek 2018'!B$11:E$390,4,FALSE)*1000</f>
        <v>0.22401691059231427</v>
      </c>
      <c r="H702" s="124">
        <f>VLOOKUP(A702,'Grondslagen AU 2018'!A$1:DA$386,92,FALSE)</f>
        <v>0.25821285499434199</v>
      </c>
      <c r="I702" s="124">
        <f>VLOOKUP(A702,'Grondslagen AU 2019'!A$1:DA$386,92,FALSE)</f>
        <v>0.35</v>
      </c>
      <c r="J702" s="124">
        <f>VLOOKUP(A702,'Grondslagen AU 2020'!A$1:DA$386,77,FALSE)</f>
        <v>0.33300000000000002</v>
      </c>
      <c r="K702" s="124">
        <f>VLOOKUP(A702,'Grondslagen AU 2021'!A$1:DA$386,77,FALSE)</f>
        <v>0.34100000000000003</v>
      </c>
      <c r="L702" s="124">
        <f>VLOOKUP(A702,'Grondslagen AU 2022'!A$1:DA$386,77,FALSE)</f>
        <v>0.36299999999999999</v>
      </c>
      <c r="M702" s="72"/>
      <c r="N702" s="124"/>
      <c r="O702" s="72"/>
    </row>
    <row r="703" spans="1:15" x14ac:dyDescent="0.35">
      <c r="A703" s="72">
        <v>917</v>
      </c>
      <c r="B703" s="72">
        <v>11</v>
      </c>
      <c r="D703" s="72" t="s">
        <v>139</v>
      </c>
      <c r="F703" s="126">
        <f>VLOOKUP(A703,'IUSD Klassiek 2017'!B$11:E$398,4,FALSE)*1000</f>
        <v>14.404855489421847</v>
      </c>
      <c r="G703" s="126">
        <f>VLOOKUP(A703,'IUSD klassiek 2018'!B$11:E$390,4,FALSE)*1000</f>
        <v>14.270462793534929</v>
      </c>
      <c r="H703" s="124">
        <f>VLOOKUP(A703,'Grondslagen AU 2018'!A$1:DA$386,92,FALSE)</f>
        <v>13.852092044684101</v>
      </c>
      <c r="I703" s="124">
        <f>VLOOKUP(A703,'Grondslagen AU 2019'!A$1:DA$386,92,FALSE)</f>
        <v>13.054</v>
      </c>
      <c r="J703" s="124">
        <f>VLOOKUP(A703,'Grondslagen AU 2020'!A$1:DA$386,77,FALSE)</f>
        <v>12.94</v>
      </c>
      <c r="K703" s="124">
        <f>VLOOKUP(A703,'Grondslagen AU 2021'!A$1:DA$386,77,FALSE)</f>
        <v>12.965</v>
      </c>
      <c r="L703" s="124">
        <f>VLOOKUP(A703,'Grondslagen AU 2022'!A$1:DA$386,77,FALSE)</f>
        <v>12.909000000000001</v>
      </c>
      <c r="M703" s="72"/>
      <c r="N703" s="124"/>
      <c r="O703" s="72"/>
    </row>
    <row r="704" spans="1:15" x14ac:dyDescent="0.35">
      <c r="A704" s="72">
        <v>1507</v>
      </c>
      <c r="B704" s="72">
        <v>11</v>
      </c>
      <c r="D704" s="72" t="s">
        <v>158</v>
      </c>
      <c r="F704" s="126">
        <f>VLOOKUP(A704,'IUSD Klassiek 2017'!B$11:E$398,4,FALSE)*1000</f>
        <v>0.35202682703792204</v>
      </c>
      <c r="G704" s="126">
        <f>VLOOKUP(A704,'IUSD klassiek 2018'!B$11:E$390,4,FALSE)*1000</f>
        <v>0.20610284908280771</v>
      </c>
      <c r="H704" s="124">
        <f>VLOOKUP(A704,'Grondslagen AU 2018'!A$1:DA$386,92,FALSE)</f>
        <v>0.20561831480496201</v>
      </c>
      <c r="I704" s="124">
        <f>VLOOKUP(A704,'Grondslagen AU 2019'!A$1:DA$386,92,FALSE)</f>
        <v>0.215</v>
      </c>
      <c r="J704" s="124">
        <f>VLOOKUP(A704,'Grondslagen AU 2020'!A$1:DA$386,77,FALSE)</f>
        <v>0.218</v>
      </c>
      <c r="K704" s="124">
        <f>VLOOKUP(A704,'Grondslagen AU 2021'!A$1:DA$386,77,FALSE)</f>
        <v>0.21299999999999999</v>
      </c>
      <c r="L704" s="124">
        <f>VLOOKUP(A704,'Grondslagen AU 2022'!A$1:DA$386,77,FALSE)</f>
        <v>0.216</v>
      </c>
      <c r="M704" s="72"/>
      <c r="N704" s="124"/>
      <c r="O704" s="72"/>
    </row>
    <row r="705" spans="1:15" x14ac:dyDescent="0.35">
      <c r="A705" s="72">
        <v>928</v>
      </c>
      <c r="B705" s="72">
        <v>11</v>
      </c>
      <c r="D705" s="72" t="s">
        <v>167</v>
      </c>
      <c r="F705" s="126">
        <f>VLOOKUP(A705,'IUSD Klassiek 2017'!B$11:E$398,4,FALSE)*1000</f>
        <v>6.1745673572150883</v>
      </c>
      <c r="G705" s="126">
        <f>VLOOKUP(A705,'IUSD klassiek 2018'!B$11:E$390,4,FALSE)*1000</f>
        <v>5.9815803664784424</v>
      </c>
      <c r="H705" s="124">
        <f>VLOOKUP(A705,'Grondslagen AU 2018'!A$1:DA$386,92,FALSE)</f>
        <v>5.6149856655926298</v>
      </c>
      <c r="I705" s="124">
        <f>VLOOKUP(A705,'Grondslagen AU 2019'!A$1:DA$386,92,FALSE)</f>
        <v>5.1820000000000004</v>
      </c>
      <c r="J705" s="124">
        <f>VLOOKUP(A705,'Grondslagen AU 2020'!A$1:DA$386,77,FALSE)</f>
        <v>5.1280000000000001</v>
      </c>
      <c r="K705" s="124">
        <f>VLOOKUP(A705,'Grondslagen AU 2021'!A$1:DA$386,77,FALSE)</f>
        <v>4.9359999999999999</v>
      </c>
      <c r="L705" s="124">
        <f>VLOOKUP(A705,'Grondslagen AU 2022'!A$1:DA$386,77,FALSE)</f>
        <v>4.899</v>
      </c>
      <c r="M705" s="72"/>
      <c r="N705" s="124"/>
      <c r="O705" s="72"/>
    </row>
    <row r="706" spans="1:15" x14ac:dyDescent="0.35">
      <c r="A706" s="72">
        <v>882</v>
      </c>
      <c r="B706" s="72">
        <v>11</v>
      </c>
      <c r="D706" s="72" t="s">
        <v>173</v>
      </c>
      <c r="F706" s="126">
        <f>VLOOKUP(A706,'IUSD Klassiek 2017'!B$11:E$398,4,FALSE)*1000</f>
        <v>3.1294003525896916</v>
      </c>
      <c r="G706" s="126">
        <f>VLOOKUP(A706,'IUSD klassiek 2018'!B$11:E$390,4,FALSE)*1000</f>
        <v>3.0962980579692982</v>
      </c>
      <c r="H706" s="124">
        <f>VLOOKUP(A706,'Grondslagen AU 2018'!A$1:DA$386,92,FALSE)</f>
        <v>3.0070135203106898</v>
      </c>
      <c r="I706" s="124">
        <f>VLOOKUP(A706,'Grondslagen AU 2019'!A$1:DA$386,92,FALSE)</f>
        <v>3.08</v>
      </c>
      <c r="J706" s="124">
        <f>VLOOKUP(A706,'Grondslagen AU 2020'!A$1:DA$386,77,FALSE)</f>
        <v>3.15</v>
      </c>
      <c r="K706" s="124">
        <f>VLOOKUP(A706,'Grondslagen AU 2021'!A$1:DA$386,77,FALSE)</f>
        <v>3.1909999999999998</v>
      </c>
      <c r="L706" s="124">
        <f>VLOOKUP(A706,'Grondslagen AU 2022'!A$1:DA$386,77,FALSE)</f>
        <v>3.1040000000000001</v>
      </c>
      <c r="M706" s="72"/>
      <c r="N706" s="124"/>
      <c r="O706" s="72"/>
    </row>
    <row r="707" spans="1:15" x14ac:dyDescent="0.35">
      <c r="A707" s="72">
        <v>1640</v>
      </c>
      <c r="B707" s="72">
        <v>11</v>
      </c>
      <c r="D707" s="72" t="s">
        <v>183</v>
      </c>
      <c r="F707" s="126">
        <f>VLOOKUP(A707,'IUSD Klassiek 2017'!B$11:E$398,4,FALSE)*1000</f>
        <v>0.38639407303889123</v>
      </c>
      <c r="G707" s="126">
        <f>VLOOKUP(A707,'IUSD klassiek 2018'!B$11:E$390,4,FALSE)*1000</f>
        <v>0.38786766281667739</v>
      </c>
      <c r="H707" s="124">
        <f>VLOOKUP(A707,'Grondslagen AU 2018'!A$1:DA$386,92,FALSE)</f>
        <v>0.34741584017124799</v>
      </c>
      <c r="I707" s="124">
        <f>VLOOKUP(A707,'Grondslagen AU 2019'!A$1:DA$386,92,FALSE)</f>
        <v>0.34399999999999997</v>
      </c>
      <c r="J707" s="124">
        <f>VLOOKUP(A707,'Grondslagen AU 2020'!A$1:DA$386,77,FALSE)</f>
        <v>0.26200000000000001</v>
      </c>
      <c r="K707" s="124">
        <f>VLOOKUP(A707,'Grondslagen AU 2021'!A$1:DA$386,77,FALSE)</f>
        <v>0.29099999999999998</v>
      </c>
      <c r="L707" s="124">
        <f>VLOOKUP(A707,'Grondslagen AU 2022'!A$1:DA$386,77,FALSE)</f>
        <v>0.378</v>
      </c>
      <c r="M707" s="72"/>
      <c r="N707" s="124"/>
      <c r="O707" s="72"/>
    </row>
    <row r="708" spans="1:15" x14ac:dyDescent="0.35">
      <c r="A708" s="72">
        <v>1641</v>
      </c>
      <c r="B708" s="72">
        <v>11</v>
      </c>
      <c r="D708" s="72" t="s">
        <v>193</v>
      </c>
      <c r="F708" s="126">
        <f>VLOOKUP(A708,'IUSD Klassiek 2017'!B$11:E$398,4,FALSE)*1000</f>
        <v>0.50740942033912761</v>
      </c>
      <c r="G708" s="126">
        <f>VLOOKUP(A708,'IUSD klassiek 2018'!B$11:E$390,4,FALSE)*1000</f>
        <v>0.44361003853166436</v>
      </c>
      <c r="H708" s="124">
        <f>VLOOKUP(A708,'Grondslagen AU 2018'!A$1:DA$386,92,FALSE)</f>
        <v>0.40044485144648501</v>
      </c>
      <c r="I708" s="124">
        <f>VLOOKUP(A708,'Grondslagen AU 2019'!A$1:DA$386,92,FALSE)</f>
        <v>0.41399999999999998</v>
      </c>
      <c r="J708" s="124">
        <f>VLOOKUP(A708,'Grondslagen AU 2020'!A$1:DA$386,77,FALSE)</f>
        <v>0.41799999999999998</v>
      </c>
      <c r="K708" s="124">
        <f>VLOOKUP(A708,'Grondslagen AU 2021'!A$1:DA$386,77,FALSE)</f>
        <v>0.372</v>
      </c>
      <c r="L708" s="124">
        <f>VLOOKUP(A708,'Grondslagen AU 2022'!A$1:DA$386,77,FALSE)</f>
        <v>0.42499999999999999</v>
      </c>
      <c r="M708" s="72"/>
      <c r="N708" s="124"/>
      <c r="O708" s="72"/>
    </row>
    <row r="709" spans="1:15" x14ac:dyDescent="0.35">
      <c r="A709" s="72">
        <v>935</v>
      </c>
      <c r="B709" s="72">
        <v>11</v>
      </c>
      <c r="D709" s="72" t="s">
        <v>195</v>
      </c>
      <c r="F709" s="126">
        <f>VLOOKUP(A709,'IUSD Klassiek 2017'!B$11:E$398,4,FALSE)*1000</f>
        <v>10.248182078763579</v>
      </c>
      <c r="G709" s="126">
        <f>VLOOKUP(A709,'IUSD klassiek 2018'!B$11:E$390,4,FALSE)*1000</f>
        <v>10.5687654939015</v>
      </c>
      <c r="H709" s="124">
        <f>VLOOKUP(A709,'Grondslagen AU 2018'!A$1:DA$386,92,FALSE)</f>
        <v>9.9707208700914602</v>
      </c>
      <c r="I709" s="124">
        <f>VLOOKUP(A709,'Grondslagen AU 2019'!A$1:DA$386,92,FALSE)</f>
        <v>10.129</v>
      </c>
      <c r="J709" s="124">
        <f>VLOOKUP(A709,'Grondslagen AU 2020'!A$1:DA$386,77,FALSE)</f>
        <v>10.175000000000001</v>
      </c>
      <c r="K709" s="124">
        <f>VLOOKUP(A709,'Grondslagen AU 2021'!A$1:DA$386,77,FALSE)</f>
        <v>10.361000000000001</v>
      </c>
      <c r="L709" s="124">
        <f>VLOOKUP(A709,'Grondslagen AU 2022'!A$1:DA$386,77,FALSE)</f>
        <v>9.9740000000000002</v>
      </c>
      <c r="M709" s="72"/>
      <c r="N709" s="124"/>
      <c r="O709" s="72"/>
    </row>
    <row r="710" spans="1:15" x14ac:dyDescent="0.35">
      <c r="A710" s="72">
        <v>938</v>
      </c>
      <c r="B710" s="72">
        <v>11</v>
      </c>
      <c r="D710" s="72" t="s">
        <v>197</v>
      </c>
      <c r="F710" s="126">
        <f>VLOOKUP(A710,'IUSD Klassiek 2017'!B$11:E$398,4,FALSE)*1000</f>
        <v>0.41781731529911914</v>
      </c>
      <c r="G710" s="126">
        <f>VLOOKUP(A710,'IUSD klassiek 2018'!B$11:E$390,4,FALSE)*1000</f>
        <v>0.27793653164559079</v>
      </c>
      <c r="H710" s="124">
        <f>VLOOKUP(A710,'Grondslagen AU 2018'!A$1:DA$386,92,FALSE)</f>
        <v>0.28927530880555502</v>
      </c>
      <c r="I710" s="124">
        <f>VLOOKUP(A710,'Grondslagen AU 2019'!A$1:DA$386,92,FALSE)</f>
        <v>0.316</v>
      </c>
      <c r="J710" s="124">
        <f>VLOOKUP(A710,'Grondslagen AU 2020'!A$1:DA$386,77,FALSE)</f>
        <v>0.38700000000000001</v>
      </c>
      <c r="K710" s="124">
        <f>VLOOKUP(A710,'Grondslagen AU 2021'!A$1:DA$386,77,FALSE)</f>
        <v>0.34699999999999998</v>
      </c>
      <c r="L710" s="124">
        <f>VLOOKUP(A710,'Grondslagen AU 2022'!A$1:DA$386,77,FALSE)</f>
        <v>0.38900000000000001</v>
      </c>
      <c r="M710" s="72"/>
      <c r="N710" s="124"/>
      <c r="O710" s="72"/>
    </row>
    <row r="711" spans="1:15" x14ac:dyDescent="0.35">
      <c r="A711" s="72">
        <v>944</v>
      </c>
      <c r="B711" s="72">
        <v>11</v>
      </c>
      <c r="D711" s="72" t="s">
        <v>209</v>
      </c>
      <c r="F711" s="126">
        <f>VLOOKUP(A711,'IUSD Klassiek 2017'!B$11:E$398,4,FALSE)*1000</f>
        <v>0.15176321758307121</v>
      </c>
      <c r="G711" s="126">
        <f>VLOOKUP(A711,'IUSD klassiek 2018'!B$11:E$390,4,FALSE)*1000</f>
        <v>0.1353169247742855</v>
      </c>
      <c r="H711" s="124">
        <f>VLOOKUP(A711,'Grondslagen AU 2018'!A$1:DA$386,92,FALSE)</f>
        <v>0.11777402226849</v>
      </c>
      <c r="I711" s="124">
        <f>VLOOKUP(A711,'Grondslagen AU 2019'!A$1:DA$386,92,FALSE)</f>
        <v>0.11799999999999999</v>
      </c>
      <c r="J711" s="124">
        <f>VLOOKUP(A711,'Grondslagen AU 2020'!A$1:DA$386,77,FALSE)</f>
        <v>0.127</v>
      </c>
      <c r="K711" s="124">
        <f>VLOOKUP(A711,'Grondslagen AU 2021'!A$1:DA$386,77,FALSE)</f>
        <v>8.4000000000000005E-2</v>
      </c>
      <c r="L711" s="124">
        <f>VLOOKUP(A711,'Grondslagen AU 2022'!A$1:DA$386,77,FALSE)</f>
        <v>0.112</v>
      </c>
      <c r="M711" s="72"/>
      <c r="N711" s="124"/>
      <c r="O711" s="72"/>
    </row>
    <row r="712" spans="1:15" x14ac:dyDescent="0.35">
      <c r="A712" s="72">
        <v>946</v>
      </c>
      <c r="B712" s="72">
        <v>11</v>
      </c>
      <c r="D712" s="72" t="s">
        <v>211</v>
      </c>
      <c r="F712" s="126">
        <f>VLOOKUP(A712,'IUSD Klassiek 2017'!B$11:E$398,4,FALSE)*1000</f>
        <v>0.12004125923261962</v>
      </c>
      <c r="G712" s="126">
        <f>VLOOKUP(A712,'IUSD klassiek 2018'!B$11:E$390,4,FALSE)*1000</f>
        <v>8.3117463619125295E-2</v>
      </c>
      <c r="H712" s="124">
        <f>VLOOKUP(A712,'Grondslagen AU 2018'!A$1:DA$386,92,FALSE)</f>
        <v>8.1753406955252794E-2</v>
      </c>
      <c r="I712" s="124">
        <f>VLOOKUP(A712,'Grondslagen AU 2019'!A$1:DA$386,92,FALSE)</f>
        <v>8.5000000000000006E-2</v>
      </c>
      <c r="J712" s="124">
        <f>VLOOKUP(A712,'Grondslagen AU 2020'!A$1:DA$386,77,FALSE)</f>
        <v>8.5999999999999993E-2</v>
      </c>
      <c r="K712" s="124">
        <f>VLOOKUP(A712,'Grondslagen AU 2021'!A$1:DA$386,77,FALSE)</f>
        <v>8.4000000000000005E-2</v>
      </c>
      <c r="L712" s="124">
        <f>VLOOKUP(A712,'Grondslagen AU 2022'!A$1:DA$386,77,FALSE)</f>
        <v>8.5000000000000006E-2</v>
      </c>
      <c r="M712" s="72"/>
      <c r="N712" s="124"/>
    </row>
    <row r="713" spans="1:15" x14ac:dyDescent="0.35">
      <c r="A713" s="72">
        <v>951</v>
      </c>
      <c r="B713" s="72">
        <v>11</v>
      </c>
      <c r="D713" s="72" t="s">
        <v>825</v>
      </c>
      <c r="F713" s="126">
        <f>VLOOKUP(A713,'IUSD Klassiek 2017'!B$11:E$398,4,FALSE)*1000</f>
        <v>0.4560609006871052</v>
      </c>
      <c r="G713" s="126">
        <f>VLOOKUP(A713,'IUSD klassiek 2018'!B$11:E$390,4,FALSE)*1000</f>
        <v>0.37501942454750881</v>
      </c>
      <c r="H713" s="124">
        <f>VLOOKUP(A713,'Grondslagen AU 2018'!A$1:DA$386,92,FALSE)</f>
        <v>0.34050569935907099</v>
      </c>
      <c r="I713" s="124" t="e">
        <f>VLOOKUP(A713,'Grondslagen AU 2019'!A$1:DA$386,92,FALSE)</f>
        <v>#N/A</v>
      </c>
      <c r="J713" s="124" t="e">
        <f>VLOOKUP(A713,'Grondslagen AU 2020'!A$1:DA$386,77,FALSE)</f>
        <v>#N/A</v>
      </c>
      <c r="K713" s="124" t="e">
        <f>VLOOKUP(A713,'Grondslagen AU 2021'!A$1:DA$386,77,FALSE)</f>
        <v>#N/A</v>
      </c>
      <c r="L713" s="124" t="e">
        <f>VLOOKUP(A713,'Grondslagen AU 2022'!A$1:DA$386,77,FALSE)</f>
        <v>#N/A</v>
      </c>
      <c r="M713" s="72" t="s">
        <v>37</v>
      </c>
      <c r="N713" s="124"/>
    </row>
    <row r="714" spans="1:15" x14ac:dyDescent="0.35">
      <c r="A714" s="72">
        <v>881</v>
      </c>
      <c r="B714" s="72">
        <v>11</v>
      </c>
      <c r="D714" s="72" t="s">
        <v>826</v>
      </c>
      <c r="F714" s="126">
        <f>VLOOKUP(A714,'IUSD Klassiek 2017'!B$11:E$398,4,FALSE)*1000</f>
        <v>0.35061729405590047</v>
      </c>
      <c r="G714" s="126">
        <f>VLOOKUP(A714,'IUSD klassiek 2018'!B$11:E$390,4,FALSE)*1000</f>
        <v>0.35035626416418741</v>
      </c>
      <c r="H714" s="124">
        <f>VLOOKUP(A714,'Grondslagen AU 2018'!A$1:DA$386,92,FALSE)</f>
        <v>0.36292217713466102</v>
      </c>
      <c r="I714" s="124" t="e">
        <f>VLOOKUP(A714,'Grondslagen AU 2019'!A$1:DA$386,92,FALSE)</f>
        <v>#N/A</v>
      </c>
      <c r="J714" s="124" t="e">
        <f>VLOOKUP(A714,'Grondslagen AU 2020'!A$1:DA$386,77,FALSE)</f>
        <v>#N/A</v>
      </c>
      <c r="K714" s="124" t="e">
        <f>VLOOKUP(A714,'Grondslagen AU 2021'!A$1:DA$386,77,FALSE)</f>
        <v>#N/A</v>
      </c>
      <c r="L714" s="124" t="e">
        <f>VLOOKUP(A714,'Grondslagen AU 2022'!A$1:DA$386,77,FALSE)</f>
        <v>#N/A</v>
      </c>
      <c r="M714" s="72" t="s">
        <v>37</v>
      </c>
      <c r="N714" s="124"/>
    </row>
    <row r="715" spans="1:15" x14ac:dyDescent="0.35">
      <c r="A715" s="72">
        <v>1894</v>
      </c>
      <c r="B715" s="72">
        <v>11</v>
      </c>
      <c r="D715" s="72" t="s">
        <v>244</v>
      </c>
      <c r="F715" s="126">
        <f>VLOOKUP(A715,'IUSD Klassiek 2017'!B$11:E$398,4,FALSE)*1000</f>
        <v>0.31045486866891842</v>
      </c>
      <c r="G715" s="126">
        <f>VLOOKUP(A715,'IUSD klassiek 2018'!B$11:E$390,4,FALSE)*1000</f>
        <v>0.21452629601254328</v>
      </c>
      <c r="H715" s="124">
        <f>VLOOKUP(A715,'Grondslagen AU 2018'!A$1:DA$386,92,FALSE)</f>
        <v>0.21022520425001601</v>
      </c>
      <c r="I715" s="124">
        <f>VLOOKUP(A715,'Grondslagen AU 2019'!A$1:DA$386,92,FALSE)</f>
        <v>0.217</v>
      </c>
      <c r="J715" s="124">
        <f>VLOOKUP(A715,'Grondslagen AU 2020'!A$1:DA$386,77,FALSE)</f>
        <v>0.221</v>
      </c>
      <c r="K715" s="124">
        <f>VLOOKUP(A715,'Grondslagen AU 2021'!A$1:DA$386,77,FALSE)</f>
        <v>0.216</v>
      </c>
      <c r="L715" s="124">
        <f>VLOOKUP(A715,'Grondslagen AU 2022'!A$1:DA$386,77,FALSE)</f>
        <v>0.22</v>
      </c>
      <c r="M715" s="72"/>
      <c r="N715" s="124"/>
    </row>
    <row r="716" spans="1:15" x14ac:dyDescent="0.35">
      <c r="A716" s="72">
        <v>1669</v>
      </c>
      <c r="B716" s="72">
        <v>11</v>
      </c>
      <c r="D716" s="72" t="s">
        <v>259</v>
      </c>
      <c r="F716" s="126">
        <f>VLOOKUP(A716,'IUSD Klassiek 2017'!B$11:E$398,4,FALSE)*1000</f>
        <v>0.52183031471711572</v>
      </c>
      <c r="G716" s="126">
        <f>VLOOKUP(A716,'IUSD klassiek 2018'!B$11:E$390,4,FALSE)*1000</f>
        <v>0.49695615922655934</v>
      </c>
      <c r="H716" s="124">
        <f>VLOOKUP(A716,'Grondslagen AU 2018'!A$1:DA$386,92,FALSE)</f>
        <v>0.47236827632022899</v>
      </c>
      <c r="I716" s="124">
        <f>VLOOKUP(A716,'Grondslagen AU 2019'!A$1:DA$386,92,FALSE)</f>
        <v>0.438</v>
      </c>
      <c r="J716" s="124">
        <f>VLOOKUP(A716,'Grondslagen AU 2020'!A$1:DA$386,77,FALSE)</f>
        <v>0.442</v>
      </c>
      <c r="K716" s="124">
        <f>VLOOKUP(A716,'Grondslagen AU 2021'!A$1:DA$386,77,FALSE)</f>
        <v>0.45300000000000001</v>
      </c>
      <c r="L716" s="124">
        <f>VLOOKUP(A716,'Grondslagen AU 2022'!A$1:DA$386,77,FALSE)</f>
        <v>0.44600000000000001</v>
      </c>
      <c r="M716" s="72"/>
      <c r="N716" s="124"/>
    </row>
    <row r="717" spans="1:15" x14ac:dyDescent="0.35">
      <c r="A717" s="72">
        <v>957</v>
      </c>
      <c r="B717" s="72">
        <v>11</v>
      </c>
      <c r="D717" s="72" t="s">
        <v>260</v>
      </c>
      <c r="F717" s="126">
        <f>VLOOKUP(A717,'IUSD Klassiek 2017'!B$11:E$398,4,FALSE)*1000</f>
        <v>4.8860156258365448</v>
      </c>
      <c r="G717" s="126">
        <f>VLOOKUP(A717,'IUSD klassiek 2018'!B$11:E$390,4,FALSE)*1000</f>
        <v>4.8716449281228851</v>
      </c>
      <c r="H717" s="124">
        <f>VLOOKUP(A717,'Grondslagen AU 2018'!A$1:DA$386,92,FALSE)</f>
        <v>4.8738425472350704</v>
      </c>
      <c r="I717" s="124">
        <f>VLOOKUP(A717,'Grondslagen AU 2019'!A$1:DA$386,92,FALSE)</f>
        <v>4.7</v>
      </c>
      <c r="J717" s="124">
        <f>VLOOKUP(A717,'Grondslagen AU 2020'!A$1:DA$386,77,FALSE)</f>
        <v>4.7649999999999997</v>
      </c>
      <c r="K717" s="124">
        <f>VLOOKUP(A717,'Grondslagen AU 2021'!A$1:DA$386,77,FALSE)</f>
        <v>4.7350000000000003</v>
      </c>
      <c r="L717" s="124">
        <f>VLOOKUP(A717,'Grondslagen AU 2022'!A$1:DA$386,77,FALSE)</f>
        <v>4.71</v>
      </c>
      <c r="M717" s="72"/>
      <c r="N717" s="124"/>
    </row>
    <row r="718" spans="1:15" x14ac:dyDescent="0.35">
      <c r="A718" s="72">
        <v>962</v>
      </c>
      <c r="B718" s="72">
        <v>11</v>
      </c>
      <c r="D718" s="72" t="s">
        <v>827</v>
      </c>
      <c r="F718" s="126">
        <f>VLOOKUP(A718,'IUSD Klassiek 2017'!B$11:E$398,4,FALSE)*1000</f>
        <v>0.43069618958650885</v>
      </c>
      <c r="G718" s="126">
        <f>VLOOKUP(A718,'IUSD klassiek 2018'!B$11:E$390,4,FALSE)*1000</f>
        <v>0.39243120760861716</v>
      </c>
      <c r="H718" s="124">
        <f>VLOOKUP(A718,'Grondslagen AU 2018'!A$1:DA$386,92,FALSE)</f>
        <v>0.27032790434361997</v>
      </c>
      <c r="I718" s="124" t="e">
        <f>VLOOKUP(A718,'Grondslagen AU 2019'!A$1:DA$386,92,FALSE)</f>
        <v>#N/A</v>
      </c>
      <c r="J718" s="124" t="e">
        <f>VLOOKUP(A718,'Grondslagen AU 2020'!A$1:DA$386,77,FALSE)</f>
        <v>#N/A</v>
      </c>
      <c r="K718" s="124" t="e">
        <f>VLOOKUP(A718,'Grondslagen AU 2021'!A$1:DA$386,77,FALSE)</f>
        <v>#N/A</v>
      </c>
      <c r="L718" s="124" t="e">
        <f>VLOOKUP(A718,'Grondslagen AU 2022'!A$1:DA$386,77,FALSE)</f>
        <v>#N/A</v>
      </c>
      <c r="M718" s="72" t="s">
        <v>37</v>
      </c>
      <c r="N718" s="124"/>
    </row>
    <row r="719" spans="1:15" x14ac:dyDescent="0.35">
      <c r="A719" s="72">
        <v>965</v>
      </c>
      <c r="B719" s="72">
        <v>11</v>
      </c>
      <c r="D719" s="72" t="s">
        <v>272</v>
      </c>
      <c r="F719" s="126">
        <f>VLOOKUP(A719,'IUSD Klassiek 2017'!B$11:E$398,4,FALSE)*1000</f>
        <v>0.34243653862473811</v>
      </c>
      <c r="G719" s="126">
        <f>VLOOKUP(A719,'IUSD klassiek 2018'!B$11:E$390,4,FALSE)*1000</f>
        <v>0.32789877838826248</v>
      </c>
      <c r="H719" s="124">
        <f>VLOOKUP(A719,'Grondslagen AU 2018'!A$1:DA$386,92,FALSE)</f>
        <v>0.24197687566172699</v>
      </c>
      <c r="I719" s="124">
        <f>VLOOKUP(A719,'Grondslagen AU 2019'!A$1:DA$386,92,FALSE)</f>
        <v>0.191</v>
      </c>
      <c r="J719" s="124">
        <f>VLOOKUP(A719,'Grondslagen AU 2020'!A$1:DA$386,77,FALSE)</f>
        <v>0.24</v>
      </c>
      <c r="K719" s="124">
        <f>VLOOKUP(A719,'Grondslagen AU 2021'!A$1:DA$386,77,FALSE)</f>
        <v>0.24099999999999999</v>
      </c>
      <c r="L719" s="124">
        <f>VLOOKUP(A719,'Grondslagen AU 2022'!A$1:DA$386,77,FALSE)</f>
        <v>0.25600000000000001</v>
      </c>
      <c r="M719" s="72"/>
      <c r="N719" s="124"/>
    </row>
    <row r="720" spans="1:15" x14ac:dyDescent="0.35">
      <c r="A720" s="72">
        <v>1883</v>
      </c>
      <c r="B720" s="72">
        <v>11</v>
      </c>
      <c r="D720" s="72" t="s">
        <v>275</v>
      </c>
      <c r="F720" s="126">
        <f>VLOOKUP(A720,'IUSD Klassiek 2017'!B$11:E$398,4,FALSE)*1000</f>
        <v>7.7357887831791903</v>
      </c>
      <c r="G720" s="126">
        <f>VLOOKUP(A720,'IUSD klassiek 2018'!B$11:E$390,4,FALSE)*1000</f>
        <v>7.7786094256069225</v>
      </c>
      <c r="H720" s="124">
        <f>VLOOKUP(A720,'Grondslagen AU 2018'!A$1:DA$386,92,FALSE)</f>
        <v>7.5632243779084796</v>
      </c>
      <c r="I720" s="124">
        <f>VLOOKUP(A720,'Grondslagen AU 2019'!A$1:DA$386,92,FALSE)</f>
        <v>7.6269999999999998</v>
      </c>
      <c r="J720" s="124">
        <f>VLOOKUP(A720,'Grondslagen AU 2020'!A$1:DA$386,77,FALSE)</f>
        <v>7.7549999999999999</v>
      </c>
      <c r="K720" s="124">
        <f>VLOOKUP(A720,'Grondslagen AU 2021'!A$1:DA$386,77,FALSE)</f>
        <v>7.32</v>
      </c>
      <c r="L720" s="124">
        <f>VLOOKUP(A720,'Grondslagen AU 2022'!A$1:DA$386,77,FALSE)</f>
        <v>7.0970000000000004</v>
      </c>
      <c r="M720" s="72"/>
      <c r="N720" s="124"/>
    </row>
    <row r="721" spans="1:14" x14ac:dyDescent="0.35">
      <c r="A721" s="72">
        <v>971</v>
      </c>
      <c r="B721" s="72">
        <v>11</v>
      </c>
      <c r="D721" s="72" t="s">
        <v>287</v>
      </c>
      <c r="F721" s="126">
        <f>VLOOKUP(A721,'IUSD Klassiek 2017'!B$11:E$398,4,FALSE)*1000</f>
        <v>0.57961139441408971</v>
      </c>
      <c r="G721" s="126">
        <f>VLOOKUP(A721,'IUSD klassiek 2018'!B$11:E$390,4,FALSE)*1000</f>
        <v>0.51978698414791247</v>
      </c>
      <c r="H721" s="124">
        <f>VLOOKUP(A721,'Grondslagen AU 2018'!A$1:DA$386,92,FALSE)</f>
        <v>0.53116165615867805</v>
      </c>
      <c r="I721" s="124">
        <f>VLOOKUP(A721,'Grondslagen AU 2019'!A$1:DA$386,92,FALSE)</f>
        <v>0.496</v>
      </c>
      <c r="J721" s="124">
        <f>VLOOKUP(A721,'Grondslagen AU 2020'!A$1:DA$386,77,FALSE)</f>
        <v>0.47799999999999998</v>
      </c>
      <c r="K721" s="124">
        <f>VLOOKUP(A721,'Grondslagen AU 2021'!A$1:DA$386,77,FALSE)</f>
        <v>0.47</v>
      </c>
      <c r="L721" s="124">
        <f>VLOOKUP(A721,'Grondslagen AU 2022'!A$1:DA$386,77,FALSE)</f>
        <v>0.51500000000000001</v>
      </c>
      <c r="M721" s="72"/>
      <c r="N721" s="124"/>
    </row>
    <row r="722" spans="1:14" x14ac:dyDescent="0.35">
      <c r="A722" s="72">
        <v>981</v>
      </c>
      <c r="B722" s="72">
        <v>11</v>
      </c>
      <c r="D722" s="72" t="s">
        <v>307</v>
      </c>
      <c r="F722" s="126">
        <f>VLOOKUP(A722,'IUSD Klassiek 2017'!B$11:E$398,4,FALSE)*1000</f>
        <v>0.81116818800842649</v>
      </c>
      <c r="G722" s="126">
        <f>VLOOKUP(A722,'IUSD klassiek 2018'!B$11:E$390,4,FALSE)*1000</f>
        <v>0.79517261094233394</v>
      </c>
      <c r="H722" s="124">
        <f>VLOOKUP(A722,'Grondslagen AU 2018'!A$1:DA$386,92,FALSE)</f>
        <v>0.84772011636088596</v>
      </c>
      <c r="I722" s="124">
        <f>VLOOKUP(A722,'Grondslagen AU 2019'!A$1:DA$386,92,FALSE)</f>
        <v>0.874</v>
      </c>
      <c r="J722" s="124">
        <f>VLOOKUP(A722,'Grondslagen AU 2020'!A$1:DA$386,77,FALSE)</f>
        <v>0.85199999999999998</v>
      </c>
      <c r="K722" s="124">
        <f>VLOOKUP(A722,'Grondslagen AU 2021'!A$1:DA$386,77,FALSE)</f>
        <v>0.92</v>
      </c>
      <c r="L722" s="124">
        <f>VLOOKUP(A722,'Grondslagen AU 2022'!A$1:DA$386,77,FALSE)</f>
        <v>0.93400000000000005</v>
      </c>
      <c r="M722" s="72"/>
      <c r="N722" s="124"/>
    </row>
    <row r="723" spans="1:14" x14ac:dyDescent="0.35">
      <c r="A723" s="72">
        <v>994</v>
      </c>
      <c r="B723" s="72">
        <v>11</v>
      </c>
      <c r="D723" s="72" t="s">
        <v>308</v>
      </c>
      <c r="F723" s="126">
        <f>VLOOKUP(A723,'IUSD Klassiek 2017'!B$11:E$398,4,FALSE)*1000</f>
        <v>0.77304119942869287</v>
      </c>
      <c r="G723" s="126">
        <f>VLOOKUP(A723,'IUSD klassiek 2018'!B$11:E$390,4,FALSE)*1000</f>
        <v>0.68695058787326679</v>
      </c>
      <c r="H723" s="124">
        <f>VLOOKUP(A723,'Grondslagen AU 2018'!A$1:DA$386,92,FALSE)</f>
        <v>0.627716758889724</v>
      </c>
      <c r="I723" s="124">
        <f>VLOOKUP(A723,'Grondslagen AU 2019'!A$1:DA$386,92,FALSE)</f>
        <v>0.68899999999999995</v>
      </c>
      <c r="J723" s="124">
        <f>VLOOKUP(A723,'Grondslagen AU 2020'!A$1:DA$386,77,FALSE)</f>
        <v>0.77900000000000003</v>
      </c>
      <c r="K723" s="124">
        <f>VLOOKUP(A723,'Grondslagen AU 2021'!A$1:DA$386,77,FALSE)</f>
        <v>0.73299999999999998</v>
      </c>
      <c r="L723" s="124">
        <f>VLOOKUP(A723,'Grondslagen AU 2022'!A$1:DA$386,77,FALSE)</f>
        <v>0.753</v>
      </c>
      <c r="M723" s="72"/>
      <c r="N723" s="124"/>
    </row>
    <row r="724" spans="1:14" x14ac:dyDescent="0.35">
      <c r="A724" s="72">
        <v>983</v>
      </c>
      <c r="B724" s="72">
        <v>11</v>
      </c>
      <c r="D724" s="72" t="s">
        <v>315</v>
      </c>
      <c r="F724" s="126">
        <f>VLOOKUP(A724,'IUSD Klassiek 2017'!B$11:E$398,4,FALSE)*1000</f>
        <v>7.9367692182577541</v>
      </c>
      <c r="G724" s="126">
        <f>VLOOKUP(A724,'IUSD klassiek 2018'!B$11:E$390,4,FALSE)*1000</f>
        <v>8.2752040777882758</v>
      </c>
      <c r="H724" s="124">
        <f>VLOOKUP(A724,'Grondslagen AU 2018'!A$1:DA$386,92,FALSE)</f>
        <v>8.7681067260516397</v>
      </c>
      <c r="I724" s="124">
        <f>VLOOKUP(A724,'Grondslagen AU 2019'!A$1:DA$386,92,FALSE)</f>
        <v>8.391</v>
      </c>
      <c r="J724" s="124">
        <f>VLOOKUP(A724,'Grondslagen AU 2020'!A$1:DA$386,77,FALSE)</f>
        <v>8.1980000000000004</v>
      </c>
      <c r="K724" s="124">
        <f>VLOOKUP(A724,'Grondslagen AU 2021'!A$1:DA$386,77,FALSE)</f>
        <v>7.9370000000000003</v>
      </c>
      <c r="L724" s="124">
        <f>VLOOKUP(A724,'Grondslagen AU 2022'!A$1:DA$386,77,FALSE)</f>
        <v>7.6760000000000002</v>
      </c>
      <c r="M724" s="72"/>
      <c r="N724" s="124"/>
    </row>
    <row r="725" spans="1:14" x14ac:dyDescent="0.35">
      <c r="A725" s="72">
        <v>984</v>
      </c>
      <c r="B725" s="72">
        <v>11</v>
      </c>
      <c r="D725" s="72" t="s">
        <v>316</v>
      </c>
      <c r="F725" s="126">
        <f>VLOOKUP(A725,'IUSD Klassiek 2017'!B$11:E$398,4,FALSE)*1000</f>
        <v>1.9213808712353029</v>
      </c>
      <c r="G725" s="126">
        <f>VLOOKUP(A725,'IUSD klassiek 2018'!B$11:E$390,4,FALSE)*1000</f>
        <v>2.0192517572201383</v>
      </c>
      <c r="H725" s="124">
        <f>VLOOKUP(A725,'Grondslagen AU 2018'!A$1:DA$386,92,FALSE)</f>
        <v>1.8367350339567099</v>
      </c>
      <c r="I725" s="124">
        <f>VLOOKUP(A725,'Grondslagen AU 2019'!A$1:DA$386,92,FALSE)</f>
        <v>1.841</v>
      </c>
      <c r="J725" s="124">
        <f>VLOOKUP(A725,'Grondslagen AU 2020'!A$1:DA$386,77,FALSE)</f>
        <v>2.0150000000000001</v>
      </c>
      <c r="K725" s="124">
        <f>VLOOKUP(A725,'Grondslagen AU 2021'!A$1:DA$386,77,FALSE)</f>
        <v>1.944</v>
      </c>
      <c r="L725" s="124">
        <f>VLOOKUP(A725,'Grondslagen AU 2022'!A$1:DA$386,77,FALSE)</f>
        <v>2.0249999999999999</v>
      </c>
      <c r="M725" s="72"/>
      <c r="N725" s="124"/>
    </row>
    <row r="726" spans="1:14" x14ac:dyDescent="0.35">
      <c r="A726" s="72">
        <v>986</v>
      </c>
      <c r="B726" s="72">
        <v>11</v>
      </c>
      <c r="D726" s="72" t="s">
        <v>321</v>
      </c>
      <c r="F726" s="126">
        <f>VLOOKUP(A726,'IUSD Klassiek 2017'!B$11:E$398,4,FALSE)*1000</f>
        <v>0.26897088485107618</v>
      </c>
      <c r="G726" s="126">
        <f>VLOOKUP(A726,'IUSD klassiek 2018'!B$11:E$390,4,FALSE)*1000</f>
        <v>0.14632956326945146</v>
      </c>
      <c r="H726" s="124">
        <f>VLOOKUP(A726,'Grondslagen AU 2018'!A$1:DA$386,92,FALSE)</f>
        <v>6.8339872089057396E-2</v>
      </c>
      <c r="I726" s="124">
        <f>VLOOKUP(A726,'Grondslagen AU 2019'!A$1:DA$386,92,FALSE)</f>
        <v>0.115</v>
      </c>
      <c r="J726" s="124">
        <f>VLOOKUP(A726,'Grondslagen AU 2020'!A$1:DA$386,77,FALSE)</f>
        <v>0.111</v>
      </c>
      <c r="K726" s="124">
        <f>VLOOKUP(A726,'Grondslagen AU 2021'!A$1:DA$386,77,FALSE)</f>
        <v>0.185</v>
      </c>
      <c r="L726" s="124">
        <f>VLOOKUP(A726,'Grondslagen AU 2022'!A$1:DA$386,77,FALSE)</f>
        <v>0.159</v>
      </c>
      <c r="M726" s="72"/>
      <c r="N726" s="124"/>
    </row>
    <row r="727" spans="1:14" x14ac:dyDescent="0.35">
      <c r="A727" s="72">
        <v>988</v>
      </c>
      <c r="B727" s="72">
        <v>11</v>
      </c>
      <c r="D727" s="72" t="s">
        <v>332</v>
      </c>
      <c r="F727" s="126">
        <f>VLOOKUP(A727,'IUSD Klassiek 2017'!B$11:E$398,4,FALSE)*1000</f>
        <v>2.2150929939819566</v>
      </c>
      <c r="G727" s="126">
        <f>VLOOKUP(A727,'IUSD klassiek 2018'!B$11:E$390,4,FALSE)*1000</f>
        <v>2.1783533612825896</v>
      </c>
      <c r="H727" s="124">
        <f>VLOOKUP(A727,'Grondslagen AU 2018'!A$1:DA$386,92,FALSE)</f>
        <v>2.0772276623136801</v>
      </c>
      <c r="I727" s="124">
        <f>VLOOKUP(A727,'Grondslagen AU 2019'!A$1:DA$386,92,FALSE)</f>
        <v>1.9570000000000001</v>
      </c>
      <c r="J727" s="124">
        <f>VLOOKUP(A727,'Grondslagen AU 2020'!A$1:DA$386,77,FALSE)</f>
        <v>1.887</v>
      </c>
      <c r="K727" s="124">
        <f>VLOOKUP(A727,'Grondslagen AU 2021'!A$1:DA$386,77,FALSE)</f>
        <v>1.8959999999999999</v>
      </c>
      <c r="L727" s="124">
        <f>VLOOKUP(A727,'Grondslagen AU 2022'!A$1:DA$386,77,FALSE)</f>
        <v>1.8169999999999999</v>
      </c>
      <c r="M727" s="72"/>
      <c r="N727" s="124"/>
    </row>
    <row r="728" spans="1:14" x14ac:dyDescent="0.35">
      <c r="A728" s="72">
        <v>34</v>
      </c>
      <c r="B728" s="72">
        <v>12</v>
      </c>
      <c r="D728" s="72" t="s">
        <v>19</v>
      </c>
      <c r="F728" s="126">
        <f>VLOOKUP(A728,'IUSD Klassiek 2017'!B$11:E$398,4,FALSE)*1000</f>
        <v>14.530562911761848</v>
      </c>
      <c r="G728" s="126">
        <f>VLOOKUP(A728,'IUSD klassiek 2018'!B$11:E$390,4,FALSE)*1000</f>
        <v>13.881866371398871</v>
      </c>
      <c r="H728" s="124">
        <f>VLOOKUP(A728,'Grondslagen AU 2018'!A$1:DA$386,92,FALSE)</f>
        <v>13.8315640373274</v>
      </c>
      <c r="I728" s="124">
        <f>VLOOKUP(A728,'Grondslagen AU 2019'!A$1:DA$386,92,FALSE)</f>
        <v>13.157</v>
      </c>
      <c r="J728" s="124">
        <f>VLOOKUP(A728,'Grondslagen AU 2020'!A$1:DA$386,77,FALSE)</f>
        <v>12.682</v>
      </c>
      <c r="K728" s="124">
        <f>VLOOKUP(A728,'Grondslagen AU 2021'!A$1:DA$386,77,FALSE)</f>
        <v>12.776</v>
      </c>
      <c r="L728" s="124">
        <f>VLOOKUP(A728,'Grondslagen AU 2022'!A$1:DA$386,77,FALSE)</f>
        <v>13.259</v>
      </c>
      <c r="M728" s="72"/>
      <c r="N728" s="124"/>
    </row>
    <row r="729" spans="1:14" x14ac:dyDescent="0.35">
      <c r="A729" s="72">
        <v>303</v>
      </c>
      <c r="B729" s="72">
        <v>12</v>
      </c>
      <c r="D729" s="72" t="s">
        <v>93</v>
      </c>
      <c r="F729" s="126">
        <f>VLOOKUP(A729,'IUSD Klassiek 2017'!B$11:E$398,4,FALSE)*1000</f>
        <v>1.3636845116431837</v>
      </c>
      <c r="G729" s="126">
        <f>VLOOKUP(A729,'IUSD klassiek 2018'!B$11:E$390,4,FALSE)*1000</f>
        <v>1.1587737401081719</v>
      </c>
      <c r="H729" s="124">
        <f>VLOOKUP(A729,'Grondslagen AU 2018'!A$1:DA$386,92,FALSE)</f>
        <v>1.12695475042134</v>
      </c>
      <c r="I729" s="124">
        <f>VLOOKUP(A729,'Grondslagen AU 2019'!A$1:DA$386,92,FALSE)</f>
        <v>1.2929999999999999</v>
      </c>
      <c r="J729" s="124">
        <f>VLOOKUP(A729,'Grondslagen AU 2020'!A$1:DA$386,77,FALSE)</f>
        <v>1.1459999999999999</v>
      </c>
      <c r="K729" s="124">
        <f>VLOOKUP(A729,'Grondslagen AU 2021'!A$1:DA$386,77,FALSE)</f>
        <v>1.0389999999999999</v>
      </c>
      <c r="L729" s="124">
        <f>VLOOKUP(A729,'Grondslagen AU 2022'!A$1:DA$386,77,FALSE)</f>
        <v>1.014</v>
      </c>
      <c r="M729" s="72"/>
      <c r="N729" s="124"/>
    </row>
    <row r="730" spans="1:14" x14ac:dyDescent="0.35">
      <c r="A730" s="72">
        <v>995</v>
      </c>
      <c r="B730" s="72">
        <v>12</v>
      </c>
      <c r="D730" s="72" t="s">
        <v>182</v>
      </c>
      <c r="F730" s="126">
        <f>VLOOKUP(A730,'IUSD Klassiek 2017'!B$11:E$398,4,FALSE)*1000</f>
        <v>6.4945745081474113</v>
      </c>
      <c r="G730" s="126">
        <f>VLOOKUP(A730,'IUSD klassiek 2018'!B$11:E$390,4,FALSE)*1000</f>
        <v>6.1886557057042264</v>
      </c>
      <c r="H730" s="124">
        <f>VLOOKUP(A730,'Grondslagen AU 2018'!A$1:DA$386,92,FALSE)</f>
        <v>6.2523220466843403</v>
      </c>
      <c r="I730" s="124">
        <f>VLOOKUP(A730,'Grondslagen AU 2019'!A$1:DA$386,92,FALSE)</f>
        <v>5.843</v>
      </c>
      <c r="J730" s="124">
        <f>VLOOKUP(A730,'Grondslagen AU 2020'!A$1:DA$386,77,FALSE)</f>
        <v>5.5229999999999997</v>
      </c>
      <c r="K730" s="124">
        <f>VLOOKUP(A730,'Grondslagen AU 2021'!A$1:DA$386,77,FALSE)</f>
        <v>5.6079999999999997</v>
      </c>
      <c r="L730" s="124">
        <f>VLOOKUP(A730,'Grondslagen AU 2022'!A$1:DA$386,77,FALSE)</f>
        <v>5.7539999999999996</v>
      </c>
      <c r="M730" s="72"/>
      <c r="N730" s="124"/>
    </row>
    <row r="731" spans="1:14" x14ac:dyDescent="0.35">
      <c r="A731" s="72">
        <v>171</v>
      </c>
      <c r="B731" s="72">
        <v>12</v>
      </c>
      <c r="D731" s="72" t="s">
        <v>220</v>
      </c>
      <c r="F731" s="126">
        <f>VLOOKUP(A731,'IUSD Klassiek 2017'!B$11:E$398,4,FALSE)*1000</f>
        <v>1.6921336724378158</v>
      </c>
      <c r="G731" s="126">
        <f>VLOOKUP(A731,'IUSD klassiek 2018'!B$11:E$390,4,FALSE)*1000</f>
        <v>1.9359615526272822</v>
      </c>
      <c r="H731" s="124">
        <f>VLOOKUP(A731,'Grondslagen AU 2018'!A$1:DA$386,92,FALSE)</f>
        <v>2.0458903653917901</v>
      </c>
      <c r="I731" s="124">
        <f>VLOOKUP(A731,'Grondslagen AU 2019'!A$1:DA$386,92,FALSE)</f>
        <v>2.0150000000000001</v>
      </c>
      <c r="J731" s="124">
        <f>VLOOKUP(A731,'Grondslagen AU 2020'!A$1:DA$386,77,FALSE)</f>
        <v>2.0379999999999998</v>
      </c>
      <c r="K731" s="124">
        <f>VLOOKUP(A731,'Grondslagen AU 2021'!A$1:DA$386,77,FALSE)</f>
        <v>1.9470000000000001</v>
      </c>
      <c r="L731" s="124">
        <f>VLOOKUP(A731,'Grondslagen AU 2022'!A$1:DA$386,77,FALSE)</f>
        <v>1.7829999999999999</v>
      </c>
      <c r="M731" s="72"/>
      <c r="N731" s="124"/>
    </row>
    <row r="732" spans="1:14" x14ac:dyDescent="0.35">
      <c r="A732" s="72">
        <v>184</v>
      </c>
      <c r="B732" s="72">
        <v>12</v>
      </c>
      <c r="D732" s="72" t="s">
        <v>304</v>
      </c>
      <c r="F732" s="126">
        <f>VLOOKUP(A732,'IUSD Klassiek 2017'!B$11:E$398,4,FALSE)*1000</f>
        <v>0.13789499592975116</v>
      </c>
      <c r="G732" s="126">
        <f>VLOOKUP(A732,'IUSD klassiek 2018'!B$11:E$390,4,FALSE)*1000</f>
        <v>9.5006688440933032E-2</v>
      </c>
      <c r="H732" s="124">
        <f>VLOOKUP(A732,'Grondslagen AU 2018'!A$1:DA$386,92,FALSE)</f>
        <v>9.4932131679217394E-2</v>
      </c>
      <c r="I732" s="124">
        <f>VLOOKUP(A732,'Grondslagen AU 2019'!A$1:DA$386,92,FALSE)</f>
        <v>0.10199999999999999</v>
      </c>
      <c r="J732" s="124">
        <f>VLOOKUP(A732,'Grondslagen AU 2020'!A$1:DA$386,77,FALSE)</f>
        <v>0.105</v>
      </c>
      <c r="K732" s="124">
        <f>VLOOKUP(A732,'Grondslagen AU 2021'!A$1:DA$386,77,FALSE)</f>
        <v>0.104</v>
      </c>
      <c r="L732" s="124">
        <f>VLOOKUP(A732,'Grondslagen AU 2022'!A$1:DA$386,77,FALSE)</f>
        <v>0.106</v>
      </c>
      <c r="M732" s="72"/>
      <c r="N732" s="124"/>
    </row>
    <row r="733" spans="1:14" x14ac:dyDescent="0.35">
      <c r="A733" s="72">
        <v>50</v>
      </c>
      <c r="B733" s="72">
        <v>12</v>
      </c>
      <c r="D733" s="72" t="s">
        <v>355</v>
      </c>
      <c r="F733" s="126">
        <f>VLOOKUP(A733,'IUSD Klassiek 2017'!B$11:E$398,4,FALSE)*1000</f>
        <v>0.30927848253592516</v>
      </c>
      <c r="G733" s="126">
        <f>VLOOKUP(A733,'IUSD klassiek 2018'!B$11:E$390,4,FALSE)*1000</f>
        <v>0.12341933954811456</v>
      </c>
      <c r="H733" s="124">
        <f>VLOOKUP(A733,'Grondslagen AU 2018'!A$1:DA$386,92,FALSE)</f>
        <v>0.17258369842070201</v>
      </c>
      <c r="I733" s="124">
        <f>VLOOKUP(A733,'Grondslagen AU 2019'!A$1:DA$386,92,FALSE)</f>
        <v>0.245</v>
      </c>
      <c r="J733" s="124">
        <f>VLOOKUP(A733,'Grondslagen AU 2020'!A$1:DA$386,77,FALSE)</f>
        <v>0.28799999999999998</v>
      </c>
      <c r="K733" s="124">
        <f>VLOOKUP(A733,'Grondslagen AU 2021'!A$1:DA$386,77,FALSE)</f>
        <v>0.23799999999999999</v>
      </c>
      <c r="L733" s="124">
        <f>VLOOKUP(A733,'Grondslagen AU 2022'!A$1:DA$386,77,FALSE)</f>
        <v>0.29699999999999999</v>
      </c>
      <c r="M733" s="72"/>
      <c r="N733" s="124"/>
    </row>
    <row r="734" spans="1:14" x14ac:dyDescent="0.35">
      <c r="D734" s="121"/>
      <c r="F734" s="120">
        <f>SUM(F354:F733)</f>
        <v>999.99999999999898</v>
      </c>
      <c r="G734" s="120">
        <f>SUM(G354:G733)</f>
        <v>1000.0000000000001</v>
      </c>
      <c r="H734" s="124">
        <f>SUM(H354:H733)</f>
        <v>999.99999999999966</v>
      </c>
      <c r="I734" s="124" t="e">
        <f>SUM(I354:I733)</f>
        <v>#N/A</v>
      </c>
      <c r="J734" s="124" t="e">
        <f>SUM(J354:J733)</f>
        <v>#N/A</v>
      </c>
      <c r="K734" s="124" t="e">
        <f>VLOOKUP(A734,'Grondslagen AU 2021'!A$1:DA$386,77,FALSE)</f>
        <v>#N/A</v>
      </c>
      <c r="L734" s="124" t="e">
        <f>VLOOKUP(B734,'Grondslagen AU 2021'!B$1:DB$386,77,FALSE)</f>
        <v>#N/A</v>
      </c>
      <c r="M734" s="121"/>
      <c r="N734" s="124"/>
    </row>
    <row r="735" spans="1:14" x14ac:dyDescent="0.35">
      <c r="D735" s="121"/>
      <c r="E735" s="121"/>
    </row>
  </sheetData>
  <autoFilter ref="A353:P353" xr:uid="{A36A9104-2324-4F05-ACF4-865446B200CD}"/>
  <mergeCells count="1">
    <mergeCell ref="B1:K1"/>
  </mergeCells>
  <phoneticPr fontId="1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F1FEA-DD49-4A0D-8314-6F8E75E8B3AC}">
  <sheetPr codeName="Blad7">
    <tabColor rgb="FF002060"/>
  </sheetPr>
  <dimension ref="A1:Z403"/>
  <sheetViews>
    <sheetView workbookViewId="0">
      <selection activeCell="E11" sqref="E11"/>
    </sheetView>
  </sheetViews>
  <sheetFormatPr defaultRowHeight="14.5" x14ac:dyDescent="0.35"/>
  <cols>
    <col min="1" max="1" width="5.6328125" customWidth="1"/>
    <col min="2" max="2" width="27.36328125" customWidth="1"/>
    <col min="3" max="3" width="17.08984375" customWidth="1"/>
    <col min="4" max="5" width="10.6328125" customWidth="1"/>
    <col min="6" max="6" width="11.08984375" customWidth="1"/>
    <col min="7" max="7" width="13" customWidth="1"/>
    <col min="8" max="8" width="5.6328125" customWidth="1"/>
    <col min="9" max="11" width="10.6328125" customWidth="1"/>
    <col min="12" max="12" width="12.36328125" customWidth="1"/>
    <col min="13" max="13" width="5.6328125" customWidth="1"/>
    <col min="14" max="14" width="11.6328125" customWidth="1"/>
    <col min="15" max="16" width="10.6328125" customWidth="1"/>
    <col min="17" max="17" width="11.54296875" customWidth="1"/>
    <col min="18" max="19" width="10.6328125" customWidth="1"/>
    <col min="20" max="20" width="5.6328125" customWidth="1"/>
    <col min="21" max="21" width="10.6328125" customWidth="1"/>
    <col min="22" max="22" width="24.453125" customWidth="1"/>
    <col min="23" max="23" width="10.6328125" style="133" customWidth="1"/>
    <col min="24" max="24" width="5.6328125" customWidth="1"/>
    <col min="25" max="25" width="12.90625" customWidth="1"/>
    <col min="26" max="1024" width="9.36328125" customWidth="1"/>
  </cols>
  <sheetData>
    <row r="1" spans="1:26" x14ac:dyDescent="0.35">
      <c r="A1" s="2" t="s">
        <v>952</v>
      </c>
      <c r="B1" s="3"/>
      <c r="C1" s="3"/>
      <c r="Z1" s="3"/>
    </row>
    <row r="2" spans="1:26" x14ac:dyDescent="0.35">
      <c r="A2" s="2" t="s">
        <v>953</v>
      </c>
      <c r="D2" s="4" t="s">
        <v>954</v>
      </c>
      <c r="E2" s="4"/>
      <c r="F2" s="4"/>
      <c r="G2" s="4"/>
      <c r="I2" s="4" t="s">
        <v>955</v>
      </c>
      <c r="J2" s="4"/>
      <c r="K2" s="4"/>
      <c r="L2" s="4"/>
      <c r="Z2" s="3"/>
    </row>
    <row r="3" spans="1:26" x14ac:dyDescent="0.35">
      <c r="A3" s="5" t="s">
        <v>956</v>
      </c>
      <c r="D3" s="3"/>
      <c r="E3" s="3"/>
      <c r="F3" s="3"/>
      <c r="G3" s="3"/>
      <c r="I3" s="3"/>
      <c r="J3" s="3"/>
      <c r="K3" s="3"/>
      <c r="L3" s="3"/>
      <c r="Z3" s="3"/>
    </row>
    <row r="4" spans="1:26" ht="15" customHeight="1" x14ac:dyDescent="0.35">
      <c r="D4" s="6">
        <f>AVERAGE(D11:D390)</f>
        <v>0.16033559976116951</v>
      </c>
      <c r="E4" s="6">
        <f>AVERAGE(E11:E390)</f>
        <v>3.2748264743329578E-2</v>
      </c>
      <c r="F4" s="6">
        <f>AVERAGE(F11:F390)</f>
        <v>0.18053928489814039</v>
      </c>
      <c r="G4" s="6">
        <f>AVERAGE(G11:G390)</f>
        <v>0.2806125497553783</v>
      </c>
      <c r="I4" s="6">
        <f>AVERAGE(I11:I390)</f>
        <v>-3.7981314000334305E-18</v>
      </c>
      <c r="J4" s="6">
        <f>AVERAGE(J11:J390)</f>
        <v>1.1522215929909108E-17</v>
      </c>
      <c r="K4" s="6">
        <f>AVERAGE(K11:K390)</f>
        <v>-8.3924095743046372E-17</v>
      </c>
      <c r="L4" s="6">
        <f>AVERAGE(L11:L390)</f>
        <v>-2.27157474117384E-17</v>
      </c>
      <c r="Z4" s="3"/>
    </row>
    <row r="5" spans="1:26" x14ac:dyDescent="0.35">
      <c r="A5" s="7"/>
      <c r="B5" s="7"/>
      <c r="C5" s="5"/>
      <c r="D5" s="3"/>
      <c r="E5" s="8"/>
      <c r="F5" s="8"/>
      <c r="G5" s="8"/>
      <c r="H5" s="7"/>
      <c r="I5" s="8"/>
      <c r="J5" s="8"/>
      <c r="K5" s="8"/>
      <c r="L5" s="8"/>
      <c r="M5" s="7"/>
      <c r="N5" s="7"/>
      <c r="O5" s="7"/>
      <c r="P5" s="7"/>
      <c r="Q5" s="7"/>
      <c r="R5" s="7"/>
      <c r="S5" s="7"/>
      <c r="T5" s="7"/>
      <c r="U5" s="7"/>
      <c r="V5" s="7"/>
      <c r="W5" s="136"/>
      <c r="X5" s="7"/>
      <c r="Y5" s="7"/>
      <c r="Z5" s="3"/>
    </row>
    <row r="6" spans="1:26" x14ac:dyDescent="0.35">
      <c r="D6" s="9" t="s">
        <v>957</v>
      </c>
      <c r="E6" s="10"/>
      <c r="F6" s="10"/>
      <c r="G6" s="10"/>
      <c r="I6" s="9" t="s">
        <v>958</v>
      </c>
      <c r="J6" s="10"/>
      <c r="K6" s="10"/>
      <c r="L6" s="10"/>
      <c r="Y6" s="2" t="s">
        <v>959</v>
      </c>
      <c r="Z6" s="3"/>
    </row>
    <row r="7" spans="1:26" x14ac:dyDescent="0.35">
      <c r="D7" s="3"/>
      <c r="E7" s="8"/>
      <c r="F7" s="8"/>
      <c r="G7" s="8"/>
      <c r="V7" s="11"/>
      <c r="Z7" s="3"/>
    </row>
    <row r="8" spans="1:26" x14ac:dyDescent="0.35">
      <c r="A8" s="12"/>
      <c r="B8" s="3"/>
      <c r="C8" s="3"/>
      <c r="D8" s="13"/>
      <c r="E8" s="13"/>
      <c r="F8" s="123"/>
      <c r="G8" s="13"/>
      <c r="H8" s="3"/>
      <c r="I8" s="3"/>
      <c r="J8" s="3"/>
      <c r="K8" s="3"/>
      <c r="L8" s="3"/>
      <c r="M8" s="3"/>
      <c r="N8" s="14">
        <v>63.398492599999997</v>
      </c>
      <c r="O8" s="14">
        <v>0.33560220000000002</v>
      </c>
      <c r="P8" s="14">
        <v>41.072000199999998</v>
      </c>
      <c r="Q8" s="14">
        <v>0.74505120000000002</v>
      </c>
      <c r="R8" s="14">
        <v>1.7659224</v>
      </c>
      <c r="S8" s="3"/>
      <c r="T8" s="3"/>
      <c r="U8" s="3"/>
      <c r="V8" s="15" t="s">
        <v>960</v>
      </c>
      <c r="W8" s="137"/>
      <c r="X8" s="12"/>
      <c r="Y8" s="16">
        <v>2019</v>
      </c>
      <c r="Z8" s="3"/>
    </row>
    <row r="9" spans="1:26" s="20" customFormat="1" ht="39" x14ac:dyDescent="0.3">
      <c r="A9" s="12"/>
      <c r="B9" s="18" t="s">
        <v>9</v>
      </c>
      <c r="C9" s="17" t="s">
        <v>8</v>
      </c>
      <c r="D9" s="19" t="s">
        <v>961</v>
      </c>
      <c r="E9" s="19" t="s">
        <v>962</v>
      </c>
      <c r="F9" s="19" t="s">
        <v>963</v>
      </c>
      <c r="G9" s="19" t="s">
        <v>964</v>
      </c>
      <c r="I9" s="19" t="s">
        <v>961</v>
      </c>
      <c r="J9" s="19" t="s">
        <v>962</v>
      </c>
      <c r="K9" s="19" t="s">
        <v>963</v>
      </c>
      <c r="L9" s="19" t="s">
        <v>964</v>
      </c>
      <c r="N9" s="21" t="s">
        <v>965</v>
      </c>
      <c r="O9" s="19" t="s">
        <v>961</v>
      </c>
      <c r="P9" s="19" t="s">
        <v>962</v>
      </c>
      <c r="Q9" s="19" t="s">
        <v>963</v>
      </c>
      <c r="R9" s="19" t="s">
        <v>964</v>
      </c>
      <c r="S9" s="21" t="s">
        <v>966</v>
      </c>
      <c r="U9" s="21" t="s">
        <v>967</v>
      </c>
      <c r="V9" s="22" t="s">
        <v>379</v>
      </c>
      <c r="W9" s="138" t="s">
        <v>7</v>
      </c>
      <c r="X9" s="23"/>
      <c r="Y9" s="24" t="s">
        <v>379</v>
      </c>
    </row>
    <row r="10" spans="1:26" s="31" customFormat="1" ht="13" x14ac:dyDescent="0.3">
      <c r="A10" s="25"/>
      <c r="B10" s="27" t="s">
        <v>11</v>
      </c>
      <c r="C10" s="26"/>
      <c r="D10" s="28"/>
      <c r="E10" s="29"/>
      <c r="F10" s="29"/>
      <c r="G10" s="30"/>
      <c r="I10" s="28"/>
      <c r="J10" s="29"/>
      <c r="K10" s="29"/>
      <c r="L10" s="30"/>
      <c r="M10" s="32"/>
      <c r="N10" s="29"/>
      <c r="O10" s="29"/>
      <c r="P10" s="29"/>
      <c r="Q10" s="29"/>
      <c r="R10" s="30"/>
      <c r="S10" s="30"/>
      <c r="U10" s="33">
        <f>SUM(U11:U390)</f>
        <v>11140079</v>
      </c>
      <c r="V10" s="33">
        <f>SUM(V11:V390)</f>
        <v>1324103838.9904647</v>
      </c>
      <c r="W10" s="139">
        <f>SUM(W11:W390)</f>
        <v>0.99999999999999933</v>
      </c>
      <c r="Y10" s="34">
        <f>SUM(Y11:Y390)</f>
        <v>513778651.66423732</v>
      </c>
      <c r="Z10" s="3"/>
    </row>
    <row r="11" spans="1:26" x14ac:dyDescent="0.35">
      <c r="A11" s="35"/>
      <c r="B11" s="18" t="s">
        <v>0</v>
      </c>
      <c r="C11" s="17">
        <v>1680</v>
      </c>
      <c r="D11" s="36">
        <v>0.17205347871235699</v>
      </c>
      <c r="E11" s="37">
        <v>3.0568535825545199E-2</v>
      </c>
      <c r="F11" s="37">
        <v>0.143306109661752</v>
      </c>
      <c r="G11" s="38">
        <v>0.356797334570435</v>
      </c>
      <c r="H11" s="35"/>
      <c r="I11" s="36">
        <f t="shared" ref="I11:L74" si="0">D11-D$4</f>
        <v>1.1717878951187477E-2</v>
      </c>
      <c r="J11" s="37">
        <f t="shared" si="0"/>
        <v>-2.1797289177843786E-3</v>
      </c>
      <c r="K11" s="37">
        <f t="shared" si="0"/>
        <v>-3.7233175236388388E-2</v>
      </c>
      <c r="L11" s="38">
        <f t="shared" si="0"/>
        <v>7.6184784815056694E-2</v>
      </c>
      <c r="M11" s="39"/>
      <c r="N11" s="40">
        <f t="shared" ref="N11:N74" si="1">N$8</f>
        <v>63.398492599999997</v>
      </c>
      <c r="O11" s="41">
        <f t="shared" ref="O11:R74" si="2">100*O$8*I11</f>
        <v>0.39325459553522102</v>
      </c>
      <c r="P11" s="41">
        <f t="shared" si="2"/>
        <v>-8.9525826547185794</v>
      </c>
      <c r="Q11" s="41">
        <f t="shared" si="2"/>
        <v>-2.7740621889681454</v>
      </c>
      <c r="R11" s="41">
        <f t="shared" si="2"/>
        <v>13.453641804408848</v>
      </c>
      <c r="S11" s="42">
        <f t="shared" ref="S11:S74" si="3">SUM(N11:R11)</f>
        <v>65.518744156257341</v>
      </c>
      <c r="T11" s="35"/>
      <c r="U11" s="43">
        <v>15408</v>
      </c>
      <c r="V11" s="44">
        <f t="shared" ref="V11:V74" si="4">MAX(S11,10)*U11</f>
        <v>1009512.8099596131</v>
      </c>
      <c r="W11" s="140">
        <f t="shared" ref="W11:W74" si="5">V11/V$10</f>
        <v>7.6241211620479488E-4</v>
      </c>
      <c r="X11" s="35"/>
      <c r="Y11" s="45">
        <v>391711.0690761779</v>
      </c>
    </row>
    <row r="12" spans="1:26" x14ac:dyDescent="0.35">
      <c r="A12" s="35"/>
      <c r="B12" s="47" t="s">
        <v>822</v>
      </c>
      <c r="C12" s="46">
        <v>738</v>
      </c>
      <c r="D12" s="40">
        <v>0.146347305389222</v>
      </c>
      <c r="E12" s="41">
        <v>1.77245508982036E-2</v>
      </c>
      <c r="F12" s="41">
        <v>0.29931897445738498</v>
      </c>
      <c r="G12" s="48">
        <v>0.25796935034512097</v>
      </c>
      <c r="H12" s="35"/>
      <c r="I12" s="40">
        <f t="shared" si="0"/>
        <v>-1.3988294371947513E-2</v>
      </c>
      <c r="J12" s="41">
        <f t="shared" si="0"/>
        <v>-1.5023713845125977E-2</v>
      </c>
      <c r="K12" s="41">
        <f t="shared" si="0"/>
        <v>0.11877968955924459</v>
      </c>
      <c r="L12" s="48">
        <f t="shared" si="0"/>
        <v>-2.2643199410257331E-2</v>
      </c>
      <c r="M12" s="39"/>
      <c r="N12" s="40">
        <f t="shared" si="1"/>
        <v>63.398492599999997</v>
      </c>
      <c r="O12" s="41">
        <f t="shared" si="2"/>
        <v>-0.46945023654732038</v>
      </c>
      <c r="P12" s="41">
        <f t="shared" si="2"/>
        <v>-61.705397805175693</v>
      </c>
      <c r="Q12" s="41">
        <f t="shared" si="2"/>
        <v>8.8496950241742667</v>
      </c>
      <c r="R12" s="41">
        <f t="shared" si="2"/>
        <v>-3.9986133046240213</v>
      </c>
      <c r="S12" s="42">
        <f t="shared" si="3"/>
        <v>6.0747262778272333</v>
      </c>
      <c r="T12" s="35"/>
      <c r="U12" s="43">
        <v>8350</v>
      </c>
      <c r="V12" s="44">
        <f t="shared" si="4"/>
        <v>83500</v>
      </c>
      <c r="W12" s="140">
        <f t="shared" si="5"/>
        <v>6.3061519452781609E-5</v>
      </c>
      <c r="X12" s="35"/>
      <c r="Y12" s="49">
        <v>32399.662436348252</v>
      </c>
    </row>
    <row r="13" spans="1:26" x14ac:dyDescent="0.35">
      <c r="A13" s="35"/>
      <c r="B13" s="47" t="s">
        <v>12</v>
      </c>
      <c r="C13" s="46">
        <v>358</v>
      </c>
      <c r="D13" s="40">
        <v>0.11023542487622499</v>
      </c>
      <c r="E13" s="41">
        <v>1.41962210770941E-2</v>
      </c>
      <c r="F13" s="41">
        <v>0.19921075096129101</v>
      </c>
      <c r="G13" s="48">
        <v>0.23373663039922901</v>
      </c>
      <c r="H13" s="35"/>
      <c r="I13" s="40">
        <f t="shared" si="0"/>
        <v>-5.0100174884944518E-2</v>
      </c>
      <c r="J13" s="41">
        <f t="shared" si="0"/>
        <v>-1.8552043666235477E-2</v>
      </c>
      <c r="K13" s="41">
        <f t="shared" si="0"/>
        <v>1.8671466063150621E-2</v>
      </c>
      <c r="L13" s="48">
        <f t="shared" si="0"/>
        <v>-4.6875919356149293E-2</v>
      </c>
      <c r="M13" s="39"/>
      <c r="N13" s="40">
        <f t="shared" si="1"/>
        <v>63.398492599999997</v>
      </c>
      <c r="O13" s="41">
        <f t="shared" si="2"/>
        <v>-1.6813728911772128</v>
      </c>
      <c r="P13" s="41">
        <f t="shared" si="2"/>
        <v>-76.19695411700323</v>
      </c>
      <c r="Q13" s="41">
        <f t="shared" si="2"/>
        <v>1.3911198196109646</v>
      </c>
      <c r="R13" s="41">
        <f t="shared" si="2"/>
        <v>-8.2779236011617616</v>
      </c>
      <c r="S13" s="42">
        <f t="shared" si="3"/>
        <v>-21.366638189731241</v>
      </c>
      <c r="T13" s="35"/>
      <c r="U13" s="43">
        <v>19794</v>
      </c>
      <c r="V13" s="44">
        <f t="shared" si="4"/>
        <v>197940</v>
      </c>
      <c r="W13" s="140">
        <f t="shared" si="5"/>
        <v>1.4948978635309691E-4</v>
      </c>
      <c r="X13" s="35"/>
      <c r="Y13" s="49">
        <v>76804.660870069158</v>
      </c>
    </row>
    <row r="14" spans="1:26" x14ac:dyDescent="0.35">
      <c r="A14" s="35"/>
      <c r="B14" s="47" t="s">
        <v>13</v>
      </c>
      <c r="C14" s="46">
        <v>197</v>
      </c>
      <c r="D14" s="40">
        <v>0.14528850145288499</v>
      </c>
      <c r="E14" s="41">
        <v>2.4076380240763799E-2</v>
      </c>
      <c r="F14" s="41">
        <v>0.191086460824543</v>
      </c>
      <c r="G14" s="48">
        <v>0.29866163782036098</v>
      </c>
      <c r="H14" s="35"/>
      <c r="I14" s="40">
        <f t="shared" si="0"/>
        <v>-1.5047098308284518E-2</v>
      </c>
      <c r="J14" s="41">
        <f t="shared" si="0"/>
        <v>-8.6718845025657784E-3</v>
      </c>
      <c r="K14" s="41">
        <f t="shared" si="0"/>
        <v>1.0547175926402613E-2</v>
      </c>
      <c r="L14" s="48">
        <f t="shared" si="0"/>
        <v>1.8049088064982677E-2</v>
      </c>
      <c r="M14" s="39"/>
      <c r="N14" s="40">
        <f t="shared" si="1"/>
        <v>63.398492599999997</v>
      </c>
      <c r="O14" s="41">
        <f t="shared" si="2"/>
        <v>-0.50498392958765626</v>
      </c>
      <c r="P14" s="41">
        <f t="shared" si="2"/>
        <v>-35.617164202375854</v>
      </c>
      <c r="Q14" s="41">
        <f t="shared" si="2"/>
        <v>0.78581860805773796</v>
      </c>
      <c r="R14" s="41">
        <f t="shared" si="2"/>
        <v>3.1873288913525566</v>
      </c>
      <c r="S14" s="42">
        <f t="shared" si="3"/>
        <v>31.249491967446779</v>
      </c>
      <c r="T14" s="35"/>
      <c r="U14" s="43">
        <v>16863</v>
      </c>
      <c r="V14" s="44">
        <f t="shared" si="4"/>
        <v>526960.18304705503</v>
      </c>
      <c r="W14" s="140">
        <f t="shared" si="5"/>
        <v>3.9797496807261339E-4</v>
      </c>
      <c r="X14" s="35"/>
      <c r="Y14" s="49">
        <v>204471.04249246549</v>
      </c>
    </row>
    <row r="15" spans="1:26" x14ac:dyDescent="0.35">
      <c r="A15" s="35"/>
      <c r="B15" s="47" t="s">
        <v>14</v>
      </c>
      <c r="C15" s="46">
        <v>59</v>
      </c>
      <c r="D15" s="40">
        <v>0.19301439217247901</v>
      </c>
      <c r="E15" s="41">
        <v>5.1083679390181498E-2</v>
      </c>
      <c r="F15" s="41">
        <v>0.28367537977817803</v>
      </c>
      <c r="G15" s="48">
        <v>0.35587515599053299</v>
      </c>
      <c r="H15" s="35"/>
      <c r="I15" s="40">
        <f t="shared" si="0"/>
        <v>3.2678792411309499E-2</v>
      </c>
      <c r="J15" s="41">
        <f t="shared" si="0"/>
        <v>1.8335414646851921E-2</v>
      </c>
      <c r="K15" s="41">
        <f t="shared" si="0"/>
        <v>0.10313609488003764</v>
      </c>
      <c r="L15" s="48">
        <f t="shared" si="0"/>
        <v>7.5262606235154683E-2</v>
      </c>
      <c r="M15" s="39"/>
      <c r="N15" s="40">
        <f t="shared" si="1"/>
        <v>63.398492599999997</v>
      </c>
      <c r="O15" s="41">
        <f t="shared" si="2"/>
        <v>1.0967074626578772</v>
      </c>
      <c r="P15" s="41">
        <f t="shared" si="2"/>
        <v>75.3072154042585</v>
      </c>
      <c r="Q15" s="41">
        <f t="shared" si="2"/>
        <v>7.6841671253685906</v>
      </c>
      <c r="R15" s="41">
        <f t="shared" si="2"/>
        <v>13.290792223303933</v>
      </c>
      <c r="S15" s="42">
        <f t="shared" si="3"/>
        <v>160.7773748155889</v>
      </c>
      <c r="T15" s="35"/>
      <c r="U15" s="43">
        <v>17579</v>
      </c>
      <c r="V15" s="44">
        <f t="shared" si="4"/>
        <v>2826305.4718832374</v>
      </c>
      <c r="W15" s="140">
        <f t="shared" si="5"/>
        <v>2.1345044011337471E-3</v>
      </c>
      <c r="X15" s="35"/>
      <c r="Y15" s="49">
        <v>1096662.7931858785</v>
      </c>
    </row>
    <row r="16" spans="1:26" x14ac:dyDescent="0.35">
      <c r="A16" s="35"/>
      <c r="B16" s="47" t="s">
        <v>15</v>
      </c>
      <c r="C16" s="46">
        <v>482</v>
      </c>
      <c r="D16" s="40">
        <v>0.15930146757399399</v>
      </c>
      <c r="E16" s="41">
        <v>3.2630974829876203E-2</v>
      </c>
      <c r="F16" s="41">
        <v>0.19171089540194999</v>
      </c>
      <c r="G16" s="48">
        <v>0.267454705498195</v>
      </c>
      <c r="H16" s="35"/>
      <c r="I16" s="40">
        <f t="shared" si="0"/>
        <v>-1.0341321871755182E-3</v>
      </c>
      <c r="J16" s="41">
        <f t="shared" si="0"/>
        <v>-1.1728991345337503E-4</v>
      </c>
      <c r="K16" s="41">
        <f t="shared" si="0"/>
        <v>1.1171610503809604E-2</v>
      </c>
      <c r="L16" s="48">
        <f t="shared" si="0"/>
        <v>-1.3157844257183304E-2</v>
      </c>
      <c r="M16" s="39"/>
      <c r="N16" s="40">
        <f t="shared" si="1"/>
        <v>63.398492599999997</v>
      </c>
      <c r="O16" s="41">
        <f t="shared" si="2"/>
        <v>-3.4705703710691573E-2</v>
      </c>
      <c r="P16" s="41">
        <f t="shared" si="2"/>
        <v>-0.48173313488150021</v>
      </c>
      <c r="Q16" s="41">
        <f t="shared" si="2"/>
        <v>0.83234218117959502</v>
      </c>
      <c r="R16" s="41">
        <f t="shared" si="2"/>
        <v>-2.323573190947136</v>
      </c>
      <c r="S16" s="42">
        <f t="shared" si="3"/>
        <v>61.390822751640265</v>
      </c>
      <c r="T16" s="35"/>
      <c r="U16" s="43">
        <v>12197</v>
      </c>
      <c r="V16" s="44">
        <f t="shared" si="4"/>
        <v>748783.8651017563</v>
      </c>
      <c r="W16" s="140">
        <f t="shared" si="5"/>
        <v>5.6550237455141805E-4</v>
      </c>
      <c r="X16" s="35"/>
      <c r="Y16" s="49">
        <v>290543.04750995245</v>
      </c>
    </row>
    <row r="17" spans="1:25" x14ac:dyDescent="0.35">
      <c r="A17" s="35"/>
      <c r="B17" s="47" t="s">
        <v>16</v>
      </c>
      <c r="C17" s="46">
        <v>613</v>
      </c>
      <c r="D17" s="40">
        <v>0.14368098159509199</v>
      </c>
      <c r="E17" s="41">
        <v>2.4662576687116598E-2</v>
      </c>
      <c r="F17" s="41">
        <v>0.148128378618228</v>
      </c>
      <c r="G17" s="48">
        <v>0.27091980393790799</v>
      </c>
      <c r="H17" s="35"/>
      <c r="I17" s="40">
        <f t="shared" si="0"/>
        <v>-1.6654618166077523E-2</v>
      </c>
      <c r="J17" s="41">
        <f t="shared" si="0"/>
        <v>-8.0856880562129793E-3</v>
      </c>
      <c r="K17" s="41">
        <f t="shared" si="0"/>
        <v>-3.2410906279912388E-2</v>
      </c>
      <c r="L17" s="48">
        <f t="shared" si="0"/>
        <v>-9.6927458174703163E-3</v>
      </c>
      <c r="M17" s="39"/>
      <c r="N17" s="40">
        <f t="shared" si="1"/>
        <v>63.398492599999997</v>
      </c>
      <c r="O17" s="41">
        <f t="shared" si="2"/>
        <v>-0.55893264966955825</v>
      </c>
      <c r="P17" s="41">
        <f t="shared" si="2"/>
        <v>-33.209538146191711</v>
      </c>
      <c r="Q17" s="41">
        <f t="shared" si="2"/>
        <v>-2.4147784616936261</v>
      </c>
      <c r="R17" s="41">
        <f t="shared" si="2"/>
        <v>-1.7116636956577143</v>
      </c>
      <c r="S17" s="42">
        <f t="shared" si="3"/>
        <v>25.503579646787387</v>
      </c>
      <c r="T17" s="35"/>
      <c r="U17" s="43">
        <v>16300</v>
      </c>
      <c r="V17" s="44">
        <f t="shared" si="4"/>
        <v>415708.34824263438</v>
      </c>
      <c r="W17" s="140">
        <f t="shared" si="5"/>
        <v>3.1395449208846229E-4</v>
      </c>
      <c r="X17" s="35"/>
      <c r="Y17" s="49">
        <v>161303.11562914084</v>
      </c>
    </row>
    <row r="18" spans="1:25" x14ac:dyDescent="0.35">
      <c r="A18" s="35"/>
      <c r="B18" s="47" t="s">
        <v>17</v>
      </c>
      <c r="C18" s="46">
        <v>361</v>
      </c>
      <c r="D18" s="40">
        <v>0.16815747413285501</v>
      </c>
      <c r="E18" s="41">
        <v>4.1121049827552401E-2</v>
      </c>
      <c r="F18" s="41">
        <v>0.14952180906104801</v>
      </c>
      <c r="G18" s="48">
        <v>0.28125293368528997</v>
      </c>
      <c r="H18" s="35"/>
      <c r="I18" s="40">
        <f t="shared" si="0"/>
        <v>7.8218743716854944E-3</v>
      </c>
      <c r="J18" s="41">
        <f t="shared" si="0"/>
        <v>8.3727850842228238E-3</v>
      </c>
      <c r="K18" s="41">
        <f t="shared" si="0"/>
        <v>-3.1017475837092384E-2</v>
      </c>
      <c r="L18" s="48">
        <f t="shared" si="0"/>
        <v>6.4038392991166981E-4</v>
      </c>
      <c r="M18" s="39"/>
      <c r="N18" s="40">
        <f t="shared" si="1"/>
        <v>63.398492599999997</v>
      </c>
      <c r="O18" s="41">
        <f t="shared" si="2"/>
        <v>0.26250382472612699</v>
      </c>
      <c r="P18" s="41">
        <f t="shared" si="2"/>
        <v>34.388703065375687</v>
      </c>
      <c r="Q18" s="41">
        <f t="shared" si="2"/>
        <v>-2.3109607593396686</v>
      </c>
      <c r="R18" s="41">
        <f t="shared" si="2"/>
        <v>0.11308683264310478</v>
      </c>
      <c r="S18" s="42">
        <f t="shared" si="3"/>
        <v>95.851825563405242</v>
      </c>
      <c r="T18" s="35"/>
      <c r="U18" s="43">
        <v>71326</v>
      </c>
      <c r="V18" s="44">
        <f t="shared" si="4"/>
        <v>6836727.3101354428</v>
      </c>
      <c r="W18" s="140">
        <f t="shared" si="5"/>
        <v>5.1632863743888563E-3</v>
      </c>
      <c r="X18" s="35"/>
      <c r="Y18" s="49">
        <v>2652786.3115898385</v>
      </c>
    </row>
    <row r="19" spans="1:25" x14ac:dyDescent="0.35">
      <c r="A19" s="35"/>
      <c r="B19" s="47" t="s">
        <v>18</v>
      </c>
      <c r="C19" s="46">
        <v>141</v>
      </c>
      <c r="D19" s="40">
        <v>0.218749329154413</v>
      </c>
      <c r="E19" s="41">
        <v>7.5757250499109099E-2</v>
      </c>
      <c r="F19" s="41">
        <v>0.18549765923679701</v>
      </c>
      <c r="G19" s="48">
        <v>0.30830318391179001</v>
      </c>
      <c r="H19" s="35"/>
      <c r="I19" s="40">
        <f t="shared" si="0"/>
        <v>5.8413729393243491E-2</v>
      </c>
      <c r="J19" s="41">
        <f t="shared" si="0"/>
        <v>4.3008985755779522E-2</v>
      </c>
      <c r="K19" s="41">
        <f t="shared" si="0"/>
        <v>4.9583743386566181E-3</v>
      </c>
      <c r="L19" s="48">
        <f t="shared" si="0"/>
        <v>2.7690634156411709E-2</v>
      </c>
      <c r="M19" s="39"/>
      <c r="N19" s="40">
        <f t="shared" si="1"/>
        <v>63.398492599999997</v>
      </c>
      <c r="O19" s="41">
        <f t="shared" si="2"/>
        <v>1.9603776094577181</v>
      </c>
      <c r="P19" s="41">
        <f t="shared" si="2"/>
        <v>176.64650715631737</v>
      </c>
      <c r="Q19" s="41">
        <f t="shared" si="2"/>
        <v>0.36942427510653197</v>
      </c>
      <c r="R19" s="41">
        <f t="shared" si="2"/>
        <v>4.8899511127012545</v>
      </c>
      <c r="S19" s="42">
        <f t="shared" si="3"/>
        <v>247.26475275358285</v>
      </c>
      <c r="T19" s="35"/>
      <c r="U19" s="43">
        <v>46583</v>
      </c>
      <c r="V19" s="44">
        <f t="shared" si="4"/>
        <v>11518333.977520149</v>
      </c>
      <c r="W19" s="140">
        <f t="shared" si="5"/>
        <v>8.6989657746948772E-3</v>
      </c>
      <c r="X19" s="35"/>
      <c r="Y19" s="49">
        <v>4469342.9065960879</v>
      </c>
    </row>
    <row r="20" spans="1:25" x14ac:dyDescent="0.35">
      <c r="A20" s="35"/>
      <c r="B20" s="47" t="s">
        <v>19</v>
      </c>
      <c r="C20" s="46">
        <v>34</v>
      </c>
      <c r="D20" s="40">
        <v>0.17119363132210999</v>
      </c>
      <c r="E20" s="41">
        <v>5.0548547711964598E-2</v>
      </c>
      <c r="F20" s="41">
        <v>0.16333541245036701</v>
      </c>
      <c r="G20" s="48">
        <v>0.24733478688836399</v>
      </c>
      <c r="H20" s="35"/>
      <c r="I20" s="40">
        <f t="shared" si="0"/>
        <v>1.0858031560940479E-2</v>
      </c>
      <c r="J20" s="41">
        <f t="shared" si="0"/>
        <v>1.780028296863502E-2</v>
      </c>
      <c r="K20" s="41">
        <f t="shared" si="0"/>
        <v>-1.7203872447773383E-2</v>
      </c>
      <c r="L20" s="48">
        <f t="shared" si="0"/>
        <v>-3.327776286701431E-2</v>
      </c>
      <c r="M20" s="39"/>
      <c r="N20" s="40">
        <f t="shared" si="1"/>
        <v>63.398492599999997</v>
      </c>
      <c r="O20" s="41">
        <f t="shared" si="2"/>
        <v>0.3643979279521059</v>
      </c>
      <c r="P20" s="41">
        <f t="shared" si="2"/>
        <v>73.109322564783412</v>
      </c>
      <c r="Q20" s="41">
        <f t="shared" si="2"/>
        <v>-1.2817765811860498</v>
      </c>
      <c r="R20" s="41">
        <f t="shared" si="2"/>
        <v>-5.8765946868748795</v>
      </c>
      <c r="S20" s="42">
        <f t="shared" si="3"/>
        <v>129.71384182467457</v>
      </c>
      <c r="T20" s="35"/>
      <c r="U20" s="43">
        <v>141191</v>
      </c>
      <c r="V20" s="44">
        <f t="shared" si="4"/>
        <v>18314427.041067626</v>
      </c>
      <c r="W20" s="140">
        <f t="shared" si="5"/>
        <v>1.3831564037327373E-2</v>
      </c>
      <c r="X20" s="35"/>
      <c r="Y20" s="49">
        <v>7106362.3215056229</v>
      </c>
    </row>
    <row r="21" spans="1:25" x14ac:dyDescent="0.35">
      <c r="A21" s="35"/>
      <c r="B21" s="47" t="s">
        <v>20</v>
      </c>
      <c r="C21" s="46">
        <v>484</v>
      </c>
      <c r="D21" s="40">
        <v>0.14508021466094601</v>
      </c>
      <c r="E21" s="41">
        <v>2.9480480863174899E-2</v>
      </c>
      <c r="F21" s="41">
        <v>0.159412337216948</v>
      </c>
      <c r="G21" s="48">
        <v>0.25093984165045302</v>
      </c>
      <c r="H21" s="35"/>
      <c r="I21" s="40">
        <f t="shared" si="0"/>
        <v>-1.5255385100223506E-2</v>
      </c>
      <c r="J21" s="41">
        <f t="shared" si="0"/>
        <v>-3.2677838801546781E-3</v>
      </c>
      <c r="K21" s="41">
        <f t="shared" si="0"/>
        <v>-2.1126947681192387E-2</v>
      </c>
      <c r="L21" s="48">
        <f t="shared" si="0"/>
        <v>-2.9672708104925283E-2</v>
      </c>
      <c r="M21" s="35"/>
      <c r="N21" s="40">
        <f t="shared" si="1"/>
        <v>63.398492599999997</v>
      </c>
      <c r="O21" s="41">
        <f t="shared" si="2"/>
        <v>-0.51197408014822299</v>
      </c>
      <c r="P21" s="41">
        <f t="shared" si="2"/>
        <v>-13.421442017926973</v>
      </c>
      <c r="Q21" s="41">
        <f t="shared" si="2"/>
        <v>-1.5740657722209606</v>
      </c>
      <c r="R21" s="41">
        <f t="shared" si="2"/>
        <v>-5.2399699911149105</v>
      </c>
      <c r="S21" s="42">
        <f t="shared" si="3"/>
        <v>42.651040738588932</v>
      </c>
      <c r="T21" s="35"/>
      <c r="U21" s="43">
        <v>70623</v>
      </c>
      <c r="V21" s="44">
        <f t="shared" si="4"/>
        <v>3012144.4500813661</v>
      </c>
      <c r="W21" s="140">
        <f t="shared" si="5"/>
        <v>2.2748551596813681E-3</v>
      </c>
      <c r="X21" s="35"/>
      <c r="Y21" s="49">
        <v>1168772.0166725281</v>
      </c>
    </row>
    <row r="22" spans="1:25" x14ac:dyDescent="0.35">
      <c r="A22" s="35"/>
      <c r="B22" s="47" t="s">
        <v>21</v>
      </c>
      <c r="C22" s="46">
        <v>1723</v>
      </c>
      <c r="D22" s="40">
        <v>0.12781009275271199</v>
      </c>
      <c r="E22" s="41">
        <v>1.9022166326049399E-2</v>
      </c>
      <c r="F22" s="41">
        <v>0.18799374726545301</v>
      </c>
      <c r="G22" s="48">
        <v>0.25213615409465601</v>
      </c>
      <c r="H22" s="35"/>
      <c r="I22" s="40">
        <f t="shared" si="0"/>
        <v>-3.2525507008457522E-2</v>
      </c>
      <c r="J22" s="41">
        <f t="shared" si="0"/>
        <v>-1.3726098417280178E-2</v>
      </c>
      <c r="K22" s="41">
        <f t="shared" si="0"/>
        <v>7.4544623673126198E-3</v>
      </c>
      <c r="L22" s="48">
        <f t="shared" si="0"/>
        <v>-2.8476395660722298E-2</v>
      </c>
      <c r="M22" s="35"/>
      <c r="N22" s="40">
        <f t="shared" si="1"/>
        <v>63.398492599999997</v>
      </c>
      <c r="O22" s="41">
        <f t="shared" si="2"/>
        <v>-1.0915631708153763</v>
      </c>
      <c r="P22" s="41">
        <f t="shared" si="2"/>
        <v>-56.375831693975123</v>
      </c>
      <c r="Q22" s="41">
        <f t="shared" si="2"/>
        <v>0.55539561321211084</v>
      </c>
      <c r="R22" s="41">
        <f t="shared" si="2"/>
        <v>-5.0287104968532308</v>
      </c>
      <c r="S22" s="42">
        <f t="shared" si="3"/>
        <v>1.4577828515683784</v>
      </c>
      <c r="T22" s="35"/>
      <c r="U22" s="43">
        <v>6361</v>
      </c>
      <c r="V22" s="44">
        <f t="shared" si="4"/>
        <v>63610</v>
      </c>
      <c r="W22" s="140">
        <f t="shared" si="5"/>
        <v>4.8040038950795667E-5</v>
      </c>
      <c r="X22" s="35"/>
      <c r="Y22" s="49">
        <v>24681.946438037277</v>
      </c>
    </row>
    <row r="23" spans="1:25" x14ac:dyDescent="0.35">
      <c r="A23" s="35"/>
      <c r="B23" s="47" t="s">
        <v>23</v>
      </c>
      <c r="C23" s="46">
        <v>60</v>
      </c>
      <c r="D23" s="40">
        <v>0.12676056338028199</v>
      </c>
      <c r="E23" s="41">
        <v>6.3607451158564296E-3</v>
      </c>
      <c r="F23" s="41">
        <v>0.194127727267392</v>
      </c>
      <c r="G23" s="48">
        <v>0.3615065259079</v>
      </c>
      <c r="H23" s="35"/>
      <c r="I23" s="40">
        <f t="shared" si="0"/>
        <v>-3.3575036380887519E-2</v>
      </c>
      <c r="J23" s="41">
        <f t="shared" si="0"/>
        <v>-2.6387519627473148E-2</v>
      </c>
      <c r="K23" s="41">
        <f t="shared" si="0"/>
        <v>1.3588442369251608E-2</v>
      </c>
      <c r="L23" s="48">
        <f t="shared" si="0"/>
        <v>8.0893976152521696E-2</v>
      </c>
      <c r="M23" s="35"/>
      <c r="N23" s="40">
        <f t="shared" si="1"/>
        <v>63.398492599999997</v>
      </c>
      <c r="O23" s="41">
        <f t="shared" si="2"/>
        <v>-1.1267856074505889</v>
      </c>
      <c r="P23" s="41">
        <f t="shared" si="2"/>
        <v>-108.37882114170812</v>
      </c>
      <c r="Q23" s="41">
        <f t="shared" si="2"/>
        <v>1.0124085293341754</v>
      </c>
      <c r="R23" s="41">
        <f t="shared" si="2"/>
        <v>14.285248451280388</v>
      </c>
      <c r="S23" s="42">
        <f t="shared" si="3"/>
        <v>-30.809457168544142</v>
      </c>
      <c r="T23" s="35"/>
      <c r="U23" s="43">
        <v>2201</v>
      </c>
      <c r="V23" s="44">
        <f t="shared" si="4"/>
        <v>22010</v>
      </c>
      <c r="W23" s="140">
        <f t="shared" si="5"/>
        <v>1.6622563391086507E-5</v>
      </c>
      <c r="X23" s="35"/>
      <c r="Y23" s="49">
        <v>8540.3182062757496</v>
      </c>
    </row>
    <row r="24" spans="1:25" x14ac:dyDescent="0.35">
      <c r="A24" s="35"/>
      <c r="B24" s="47" t="s">
        <v>24</v>
      </c>
      <c r="C24" s="46">
        <v>307</v>
      </c>
      <c r="D24" s="40">
        <v>0.14631516576168799</v>
      </c>
      <c r="E24" s="41">
        <v>4.0155805301654197E-2</v>
      </c>
      <c r="F24" s="41">
        <v>0.12342867478784</v>
      </c>
      <c r="G24" s="48">
        <v>0.23636536017593299</v>
      </c>
      <c r="H24" s="35"/>
      <c r="I24" s="40">
        <f t="shared" si="0"/>
        <v>-1.4020433999481524E-2</v>
      </c>
      <c r="J24" s="41">
        <f t="shared" si="0"/>
        <v>7.4075405583246198E-3</v>
      </c>
      <c r="K24" s="41">
        <f t="shared" si="0"/>
        <v>-5.7110610110300386E-2</v>
      </c>
      <c r="L24" s="48">
        <f t="shared" si="0"/>
        <v>-4.4247189579445317E-2</v>
      </c>
      <c r="M24" s="35"/>
      <c r="N24" s="40">
        <f t="shared" si="1"/>
        <v>63.398492599999997</v>
      </c>
      <c r="O24" s="41">
        <f t="shared" si="2"/>
        <v>-0.47052884951807983</v>
      </c>
      <c r="P24" s="41">
        <f t="shared" si="2"/>
        <v>30.42425072930169</v>
      </c>
      <c r="Q24" s="41">
        <f t="shared" si="2"/>
        <v>-4.255032859541144</v>
      </c>
      <c r="R24" s="41">
        <f t="shared" si="2"/>
        <v>-7.813710321538907</v>
      </c>
      <c r="S24" s="42">
        <f t="shared" si="3"/>
        <v>81.28347129870356</v>
      </c>
      <c r="T24" s="35"/>
      <c r="U24" s="43">
        <v>102949</v>
      </c>
      <c r="V24" s="44">
        <f t="shared" si="4"/>
        <v>8368052.0867302325</v>
      </c>
      <c r="W24" s="140">
        <f t="shared" si="5"/>
        <v>6.3197853826254891E-3</v>
      </c>
      <c r="X24" s="35"/>
      <c r="Y24" s="49">
        <v>3246970.8126926846</v>
      </c>
    </row>
    <row r="25" spans="1:25" x14ac:dyDescent="0.35">
      <c r="A25" s="35"/>
      <c r="B25" s="47" t="s">
        <v>25</v>
      </c>
      <c r="C25" s="46">
        <v>362</v>
      </c>
      <c r="D25" s="40">
        <v>0.17788783531319399</v>
      </c>
      <c r="E25" s="41">
        <v>2.2154464380133201E-2</v>
      </c>
      <c r="F25" s="41">
        <v>9.4785852003752599E-2</v>
      </c>
      <c r="G25" s="48">
        <v>0.233710382849838</v>
      </c>
      <c r="H25" s="35"/>
      <c r="I25" s="40">
        <f t="shared" si="0"/>
        <v>1.7552235552024481E-2</v>
      </c>
      <c r="J25" s="41">
        <f t="shared" si="0"/>
        <v>-1.0593800363196376E-2</v>
      </c>
      <c r="K25" s="41">
        <f t="shared" si="0"/>
        <v>-8.575343289438779E-2</v>
      </c>
      <c r="L25" s="48">
        <f t="shared" si="0"/>
        <v>-4.6902166905540305E-2</v>
      </c>
      <c r="M25" s="35"/>
      <c r="N25" s="40">
        <f t="shared" si="1"/>
        <v>63.398492599999997</v>
      </c>
      <c r="O25" s="41">
        <f t="shared" si="2"/>
        <v>0.58905688661776301</v>
      </c>
      <c r="P25" s="41">
        <f t="shared" si="2"/>
        <v>-43.510857063596163</v>
      </c>
      <c r="Q25" s="41">
        <f t="shared" si="2"/>
        <v>-6.3890698082083102</v>
      </c>
      <c r="R25" s="41">
        <f t="shared" si="2"/>
        <v>-8.2825587147032316</v>
      </c>
      <c r="S25" s="42">
        <f t="shared" si="3"/>
        <v>5.8050639001100546</v>
      </c>
      <c r="T25" s="35"/>
      <c r="U25" s="43">
        <v>56738</v>
      </c>
      <c r="V25" s="44">
        <f t="shared" si="4"/>
        <v>567380</v>
      </c>
      <c r="W25" s="140">
        <f t="shared" si="5"/>
        <v>4.2850113661220638E-4</v>
      </c>
      <c r="X25" s="35"/>
      <c r="Y25" s="49">
        <v>220154.73620521286</v>
      </c>
    </row>
    <row r="26" spans="1:25" x14ac:dyDescent="0.35">
      <c r="A26" s="35"/>
      <c r="B26" s="47" t="s">
        <v>26</v>
      </c>
      <c r="C26" s="46">
        <v>363</v>
      </c>
      <c r="D26" s="40">
        <v>0.214617768595041</v>
      </c>
      <c r="E26" s="41">
        <v>7.7305538229637705E-2</v>
      </c>
      <c r="F26" s="41">
        <v>9.2417528911226995E-2</v>
      </c>
      <c r="G26" s="48">
        <v>0.23159830585115601</v>
      </c>
      <c r="H26" s="35"/>
      <c r="I26" s="40">
        <f t="shared" si="0"/>
        <v>5.4282168833871491E-2</v>
      </c>
      <c r="J26" s="41">
        <f t="shared" si="0"/>
        <v>4.4557273486308127E-2</v>
      </c>
      <c r="K26" s="41">
        <f t="shared" si="0"/>
        <v>-8.8121755986913394E-2</v>
      </c>
      <c r="L26" s="48">
        <f t="shared" si="0"/>
        <v>-4.9014243904222293E-2</v>
      </c>
      <c r="M26" s="35"/>
      <c r="N26" s="40">
        <f t="shared" si="1"/>
        <v>63.398492599999997</v>
      </c>
      <c r="O26" s="41">
        <f t="shared" si="2"/>
        <v>1.8217215281418708</v>
      </c>
      <c r="P26" s="41">
        <f t="shared" si="2"/>
        <v>183.00563455411023</v>
      </c>
      <c r="Q26" s="41">
        <f t="shared" si="2"/>
        <v>-6.5655220044157012</v>
      </c>
      <c r="R26" s="41">
        <f t="shared" si="2"/>
        <v>-8.6555351229529602</v>
      </c>
      <c r="S26" s="42">
        <f t="shared" si="3"/>
        <v>233.00479155488344</v>
      </c>
      <c r="T26" s="35"/>
      <c r="U26" s="43">
        <v>615648</v>
      </c>
      <c r="V26" s="44">
        <f t="shared" si="4"/>
        <v>143448933.91118088</v>
      </c>
      <c r="W26" s="140">
        <f t="shared" si="5"/>
        <v>0.10833661959665529</v>
      </c>
      <c r="X26" s="35"/>
      <c r="Y26" s="49">
        <v>55661042.342231028</v>
      </c>
    </row>
    <row r="27" spans="1:25" x14ac:dyDescent="0.35">
      <c r="A27" s="35"/>
      <c r="B27" s="47" t="s">
        <v>27</v>
      </c>
      <c r="C27" s="46">
        <v>200</v>
      </c>
      <c r="D27" s="40">
        <v>0.17556907378336001</v>
      </c>
      <c r="E27" s="41">
        <v>4.3789246467817899E-2</v>
      </c>
      <c r="F27" s="41">
        <v>0.170471913003829</v>
      </c>
      <c r="G27" s="48">
        <v>0.25693843113321202</v>
      </c>
      <c r="H27" s="35"/>
      <c r="I27" s="40">
        <f t="shared" si="0"/>
        <v>1.5233474022190496E-2</v>
      </c>
      <c r="J27" s="41">
        <f t="shared" si="0"/>
        <v>1.1040981724488322E-2</v>
      </c>
      <c r="K27" s="41">
        <f t="shared" si="0"/>
        <v>-1.0067371894311394E-2</v>
      </c>
      <c r="L27" s="48">
        <f t="shared" si="0"/>
        <v>-2.3674118622166285E-2</v>
      </c>
      <c r="M27" s="35"/>
      <c r="N27" s="40">
        <f t="shared" si="1"/>
        <v>63.398492599999997</v>
      </c>
      <c r="O27" s="41">
        <f t="shared" si="2"/>
        <v>0.5112387395489979</v>
      </c>
      <c r="P27" s="41">
        <f t="shared" si="2"/>
        <v>45.347520359638075</v>
      </c>
      <c r="Q27" s="41">
        <f t="shared" si="2"/>
        <v>-0.75007075107029786</v>
      </c>
      <c r="R27" s="41">
        <f t="shared" si="2"/>
        <v>-4.1806656375140578</v>
      </c>
      <c r="S27" s="42">
        <f t="shared" si="3"/>
        <v>104.32651531060272</v>
      </c>
      <c r="T27" s="35"/>
      <c r="U27" s="43">
        <v>101920</v>
      </c>
      <c r="V27" s="44">
        <f t="shared" si="4"/>
        <v>10632958.440456629</v>
      </c>
      <c r="W27" s="140">
        <f t="shared" si="5"/>
        <v>8.0303055752511867E-3</v>
      </c>
      <c r="X27" s="35"/>
      <c r="Y27" s="49">
        <v>4125799.5709043681</v>
      </c>
    </row>
    <row r="28" spans="1:25" x14ac:dyDescent="0.35">
      <c r="A28" s="35"/>
      <c r="B28" s="47" t="s">
        <v>28</v>
      </c>
      <c r="C28" s="46">
        <v>3</v>
      </c>
      <c r="D28" s="40">
        <v>0.23380705110686001</v>
      </c>
      <c r="E28" s="41">
        <v>7.2424159606449906E-2</v>
      </c>
      <c r="F28" s="41">
        <v>0.22755702645549</v>
      </c>
      <c r="G28" s="48">
        <v>0.37535114027253502</v>
      </c>
      <c r="H28" s="35"/>
      <c r="I28" s="40">
        <f t="shared" si="0"/>
        <v>7.3471451345690497E-2</v>
      </c>
      <c r="J28" s="41">
        <f t="shared" si="0"/>
        <v>3.9675894863120328E-2</v>
      </c>
      <c r="K28" s="41">
        <f t="shared" si="0"/>
        <v>4.7017741557349613E-2</v>
      </c>
      <c r="L28" s="48">
        <f t="shared" si="0"/>
        <v>9.4738590517156718E-2</v>
      </c>
      <c r="M28" s="35"/>
      <c r="N28" s="40">
        <f t="shared" si="1"/>
        <v>63.398492599999997</v>
      </c>
      <c r="O28" s="41">
        <f t="shared" si="2"/>
        <v>2.4657180708806692</v>
      </c>
      <c r="P28" s="41">
        <f t="shared" si="2"/>
        <v>162.95683617532572</v>
      </c>
      <c r="Q28" s="41">
        <f t="shared" si="2"/>
        <v>3.5030624768593199</v>
      </c>
      <c r="R28" s="41">
        <f t="shared" si="2"/>
        <v>16.730099913867463</v>
      </c>
      <c r="S28" s="42">
        <f t="shared" si="3"/>
        <v>249.05420923693319</v>
      </c>
      <c r="T28" s="35"/>
      <c r="U28" s="43">
        <v>7318</v>
      </c>
      <c r="V28" s="44">
        <f t="shared" si="4"/>
        <v>1822578.7031958771</v>
      </c>
      <c r="W28" s="140">
        <f t="shared" si="5"/>
        <v>1.3764620640217041E-3</v>
      </c>
      <c r="X28" s="35"/>
      <c r="Y28" s="49">
        <v>707196.82332004525</v>
      </c>
    </row>
    <row r="29" spans="1:25" x14ac:dyDescent="0.35">
      <c r="A29" s="35"/>
      <c r="B29" s="47" t="s">
        <v>29</v>
      </c>
      <c r="C29" s="46">
        <v>202</v>
      </c>
      <c r="D29" s="40">
        <v>0.231210108115149</v>
      </c>
      <c r="E29" s="41">
        <v>8.6222296656059905E-2</v>
      </c>
      <c r="F29" s="41">
        <v>0.123199047003981</v>
      </c>
      <c r="G29" s="48">
        <v>0.272756748060142</v>
      </c>
      <c r="H29" s="35"/>
      <c r="I29" s="40">
        <f t="shared" si="0"/>
        <v>7.0874508353979487E-2</v>
      </c>
      <c r="J29" s="41">
        <f t="shared" si="0"/>
        <v>5.3474031912730327E-2</v>
      </c>
      <c r="K29" s="41">
        <f t="shared" si="0"/>
        <v>-5.7340237894159388E-2</v>
      </c>
      <c r="L29" s="48">
        <f t="shared" si="0"/>
        <v>-7.8558016952363086E-3</v>
      </c>
      <c r="M29" s="35"/>
      <c r="N29" s="40">
        <f t="shared" si="1"/>
        <v>63.398492599999997</v>
      </c>
      <c r="O29" s="41">
        <f t="shared" si="2"/>
        <v>2.3785640927513896</v>
      </c>
      <c r="P29" s="41">
        <f t="shared" si="2"/>
        <v>219.62854494144665</v>
      </c>
      <c r="Q29" s="41">
        <f t="shared" si="2"/>
        <v>-4.2721413051328927</v>
      </c>
      <c r="R29" s="41">
        <f t="shared" si="2"/>
        <v>-1.3872736183575771</v>
      </c>
      <c r="S29" s="42">
        <f t="shared" si="3"/>
        <v>279.74618671070755</v>
      </c>
      <c r="T29" s="35"/>
      <c r="U29" s="43">
        <v>107478</v>
      </c>
      <c r="V29" s="44">
        <f t="shared" si="4"/>
        <v>30066560.655293427</v>
      </c>
      <c r="W29" s="140">
        <f t="shared" si="5"/>
        <v>2.2707101792120057E-2</v>
      </c>
      <c r="X29" s="35"/>
      <c r="Y29" s="49">
        <v>11666424.141958047</v>
      </c>
    </row>
    <row r="30" spans="1:25" x14ac:dyDescent="0.35">
      <c r="A30" s="35"/>
      <c r="B30" s="47" t="s">
        <v>30</v>
      </c>
      <c r="C30" s="46">
        <v>106</v>
      </c>
      <c r="D30" s="40">
        <v>0.19812456587173</v>
      </c>
      <c r="E30" s="41">
        <v>5.8809909701319801E-2</v>
      </c>
      <c r="F30" s="41">
        <v>0.141223581041722</v>
      </c>
      <c r="G30" s="48">
        <v>0.32698955575161698</v>
      </c>
      <c r="H30" s="35"/>
      <c r="I30" s="40">
        <f t="shared" si="0"/>
        <v>3.7788966110560485E-2</v>
      </c>
      <c r="J30" s="41">
        <f t="shared" si="0"/>
        <v>2.6061644957990224E-2</v>
      </c>
      <c r="K30" s="41">
        <f t="shared" si="0"/>
        <v>-3.9315703856418388E-2</v>
      </c>
      <c r="L30" s="48">
        <f t="shared" si="0"/>
        <v>4.6377005996238674E-2</v>
      </c>
      <c r="M30" s="35"/>
      <c r="N30" s="40">
        <f t="shared" si="1"/>
        <v>63.398492599999997</v>
      </c>
      <c r="O30" s="41">
        <f t="shared" si="2"/>
        <v>1.2682060162429543</v>
      </c>
      <c r="P30" s="41">
        <f t="shared" si="2"/>
        <v>107.04038869269036</v>
      </c>
      <c r="Q30" s="41">
        <f t="shared" si="2"/>
        <v>-2.9292212337069148</v>
      </c>
      <c r="R30" s="41">
        <f t="shared" si="2"/>
        <v>8.1898193733692199</v>
      </c>
      <c r="S30" s="42">
        <f t="shared" si="3"/>
        <v>176.9676854485956</v>
      </c>
      <c r="T30" s="35"/>
      <c r="U30" s="43">
        <v>43190</v>
      </c>
      <c r="V30" s="44">
        <f t="shared" si="4"/>
        <v>7643234.3345248438</v>
      </c>
      <c r="W30" s="140">
        <f t="shared" si="5"/>
        <v>5.7723828822611586E-3</v>
      </c>
      <c r="X30" s="35"/>
      <c r="Y30" s="49">
        <v>2965727.0941378661</v>
      </c>
    </row>
    <row r="31" spans="1:25" x14ac:dyDescent="0.35">
      <c r="A31" s="35"/>
      <c r="B31" s="47" t="s">
        <v>31</v>
      </c>
      <c r="C31" s="46">
        <v>743</v>
      </c>
      <c r="D31" s="40">
        <v>0.137859695316908</v>
      </c>
      <c r="E31" s="41">
        <v>2.2663155914989699E-2</v>
      </c>
      <c r="F31" s="41">
        <v>0.218417109053991</v>
      </c>
      <c r="G31" s="48">
        <v>0.25943795679159698</v>
      </c>
      <c r="H31" s="35"/>
      <c r="I31" s="40">
        <f t="shared" si="0"/>
        <v>-2.2475904444261507E-2</v>
      </c>
      <c r="J31" s="41">
        <f t="shared" si="0"/>
        <v>-1.0085108828339878E-2</v>
      </c>
      <c r="K31" s="41">
        <f t="shared" si="0"/>
        <v>3.7877824155850615E-2</v>
      </c>
      <c r="L31" s="48">
        <f t="shared" si="0"/>
        <v>-2.1174592963781325E-2</v>
      </c>
      <c r="M31" s="35"/>
      <c r="N31" s="40">
        <f t="shared" si="1"/>
        <v>63.398492599999997</v>
      </c>
      <c r="O31" s="41">
        <f t="shared" si="2"/>
        <v>-0.75429629784839392</v>
      </c>
      <c r="P31" s="41">
        <f t="shared" si="2"/>
        <v>-41.421559181459727</v>
      </c>
      <c r="Q31" s="41">
        <f t="shared" si="2"/>
        <v>2.822091834070549</v>
      </c>
      <c r="R31" s="41">
        <f t="shared" si="2"/>
        <v>-3.7392688025623833</v>
      </c>
      <c r="S31" s="42">
        <f t="shared" si="3"/>
        <v>20.305460152200045</v>
      </c>
      <c r="T31" s="35"/>
      <c r="U31" s="43">
        <v>10634</v>
      </c>
      <c r="V31" s="44">
        <f t="shared" si="4"/>
        <v>215928.26325849528</v>
      </c>
      <c r="W31" s="140">
        <f t="shared" si="5"/>
        <v>1.6307502244168801E-4</v>
      </c>
      <c r="X31" s="35"/>
      <c r="Y31" s="49">
        <v>83784.46515020584</v>
      </c>
    </row>
    <row r="32" spans="1:25" x14ac:dyDescent="0.35">
      <c r="A32" s="35"/>
      <c r="B32" s="47" t="s">
        <v>32</v>
      </c>
      <c r="C32" s="46">
        <v>744</v>
      </c>
      <c r="D32" s="40">
        <v>0.16444556198139301</v>
      </c>
      <c r="E32" s="41">
        <v>2.8161931103847099E-2</v>
      </c>
      <c r="F32" s="41">
        <v>0.29067731619382497</v>
      </c>
      <c r="G32" s="48">
        <v>0.255396722225881</v>
      </c>
      <c r="H32" s="35"/>
      <c r="I32" s="40">
        <f t="shared" si="0"/>
        <v>4.1099622202235009E-3</v>
      </c>
      <c r="J32" s="41">
        <f t="shared" si="0"/>
        <v>-4.5863336394824789E-3</v>
      </c>
      <c r="K32" s="41">
        <f t="shared" si="0"/>
        <v>0.11013803129568459</v>
      </c>
      <c r="L32" s="48">
        <f t="shared" si="0"/>
        <v>-2.5215827529497303E-2</v>
      </c>
      <c r="M32" s="35"/>
      <c r="N32" s="40">
        <f t="shared" si="1"/>
        <v>63.398492599999997</v>
      </c>
      <c r="O32" s="41">
        <f t="shared" si="2"/>
        <v>0.13793123630238915</v>
      </c>
      <c r="P32" s="41">
        <f t="shared" si="2"/>
        <v>-18.836989615809109</v>
      </c>
      <c r="Q32" s="41">
        <f t="shared" si="2"/>
        <v>8.2058472382487366</v>
      </c>
      <c r="R32" s="41">
        <f t="shared" si="2"/>
        <v>-4.4529194668875949</v>
      </c>
      <c r="S32" s="42">
        <f t="shared" si="3"/>
        <v>48.452361991854417</v>
      </c>
      <c r="T32" s="35"/>
      <c r="U32" s="43">
        <v>3977</v>
      </c>
      <c r="V32" s="44">
        <f t="shared" si="4"/>
        <v>192695.04364160501</v>
      </c>
      <c r="W32" s="140">
        <f t="shared" si="5"/>
        <v>1.4552864961748114E-4</v>
      </c>
      <c r="X32" s="35"/>
      <c r="Y32" s="49">
        <v>74769.513378986798</v>
      </c>
    </row>
    <row r="33" spans="1:25" x14ac:dyDescent="0.35">
      <c r="A33" s="35"/>
      <c r="B33" s="47" t="s">
        <v>33</v>
      </c>
      <c r="C33" s="46">
        <v>308</v>
      </c>
      <c r="D33" s="40">
        <v>0.174933333333333</v>
      </c>
      <c r="E33" s="41">
        <v>2.9333333333333302E-2</v>
      </c>
      <c r="F33" s="41">
        <v>0.168299198310951</v>
      </c>
      <c r="G33" s="48">
        <v>0.23608624573603301</v>
      </c>
      <c r="H33" s="35"/>
      <c r="I33" s="40">
        <f t="shared" si="0"/>
        <v>1.4597733572163485E-2</v>
      </c>
      <c r="J33" s="41">
        <f t="shared" si="0"/>
        <v>-3.414931409996276E-3</v>
      </c>
      <c r="K33" s="41">
        <f t="shared" si="0"/>
        <v>-1.2240086587189392E-2</v>
      </c>
      <c r="L33" s="48">
        <f t="shared" si="0"/>
        <v>-4.4526304019345292E-2</v>
      </c>
      <c r="M33" s="35"/>
      <c r="N33" s="40">
        <f t="shared" si="1"/>
        <v>63.398492599999997</v>
      </c>
      <c r="O33" s="41">
        <f t="shared" si="2"/>
        <v>0.48990315018319247</v>
      </c>
      <c r="P33" s="41">
        <f t="shared" si="2"/>
        <v>-14.025806355435334</v>
      </c>
      <c r="Q33" s="41">
        <f t="shared" si="2"/>
        <v>-0.91194911998893613</v>
      </c>
      <c r="R33" s="41">
        <f t="shared" si="2"/>
        <v>-7.8629997656971886</v>
      </c>
      <c r="S33" s="42">
        <f t="shared" si="3"/>
        <v>41.087640509061728</v>
      </c>
      <c r="T33" s="35"/>
      <c r="U33" s="43">
        <v>15000</v>
      </c>
      <c r="V33" s="44">
        <f t="shared" si="4"/>
        <v>616314.60763592587</v>
      </c>
      <c r="W33" s="140">
        <f t="shared" si="5"/>
        <v>4.6545791159840008E-4</v>
      </c>
      <c r="X33" s="35"/>
      <c r="Y33" s="49">
        <v>239142.33822747809</v>
      </c>
    </row>
    <row r="34" spans="1:25" x14ac:dyDescent="0.35">
      <c r="A34" s="35"/>
      <c r="B34" s="47" t="s">
        <v>34</v>
      </c>
      <c r="C34" s="46">
        <v>489</v>
      </c>
      <c r="D34" s="40">
        <v>0.13097913322632401</v>
      </c>
      <c r="E34" s="41">
        <v>1.9871589085072201E-2</v>
      </c>
      <c r="F34" s="41">
        <v>0.1156066219012</v>
      </c>
      <c r="G34" s="48">
        <v>0.26968693757711298</v>
      </c>
      <c r="H34" s="35"/>
      <c r="I34" s="40">
        <f t="shared" si="0"/>
        <v>-2.9356466534845499E-2</v>
      </c>
      <c r="J34" s="41">
        <f t="shared" si="0"/>
        <v>-1.2876675658257376E-2</v>
      </c>
      <c r="K34" s="41">
        <f t="shared" si="0"/>
        <v>-6.4932662996940393E-2</v>
      </c>
      <c r="L34" s="48">
        <f t="shared" si="0"/>
        <v>-1.092561217826532E-2</v>
      </c>
      <c r="M34" s="35"/>
      <c r="N34" s="40">
        <f t="shared" si="1"/>
        <v>63.398492599999997</v>
      </c>
      <c r="O34" s="41">
        <f t="shared" si="2"/>
        <v>-0.98520947533205261</v>
      </c>
      <c r="P34" s="41">
        <f t="shared" si="2"/>
        <v>-52.887082521128214</v>
      </c>
      <c r="Q34" s="41">
        <f t="shared" si="2"/>
        <v>-4.8378158485066036</v>
      </c>
      <c r="R34" s="41">
        <f t="shared" si="2"/>
        <v>-1.9293783279311523</v>
      </c>
      <c r="S34" s="42">
        <f t="shared" si="3"/>
        <v>2.7590064271019719</v>
      </c>
      <c r="T34" s="35"/>
      <c r="U34" s="43">
        <v>31150</v>
      </c>
      <c r="V34" s="44">
        <f t="shared" si="4"/>
        <v>311500</v>
      </c>
      <c r="W34" s="140">
        <f t="shared" si="5"/>
        <v>2.352534528088799E-4</v>
      </c>
      <c r="X34" s="35"/>
      <c r="Y34" s="49">
        <v>120868.20178350277</v>
      </c>
    </row>
    <row r="35" spans="1:25" x14ac:dyDescent="0.35">
      <c r="A35" s="35"/>
      <c r="B35" s="47" t="s">
        <v>35</v>
      </c>
      <c r="C35" s="46">
        <v>203</v>
      </c>
      <c r="D35" s="40">
        <v>0.146984532425145</v>
      </c>
      <c r="E35" s="41">
        <v>1.97247055484603E-2</v>
      </c>
      <c r="F35" s="41">
        <v>0.22652241807998999</v>
      </c>
      <c r="G35" s="48">
        <v>0.24297077565585201</v>
      </c>
      <c r="H35" s="35"/>
      <c r="I35" s="40">
        <f t="shared" si="0"/>
        <v>-1.3351067336024508E-2</v>
      </c>
      <c r="J35" s="41">
        <f t="shared" si="0"/>
        <v>-1.3023559194869277E-2</v>
      </c>
      <c r="K35" s="41">
        <f t="shared" si="0"/>
        <v>4.59831331818496E-2</v>
      </c>
      <c r="L35" s="48">
        <f t="shared" si="0"/>
        <v>-3.7641774099526293E-2</v>
      </c>
      <c r="M35" s="35"/>
      <c r="N35" s="40">
        <f t="shared" si="1"/>
        <v>63.398492599999997</v>
      </c>
      <c r="O35" s="41">
        <f t="shared" si="2"/>
        <v>-0.44806475703179643</v>
      </c>
      <c r="P35" s="41">
        <f t="shared" si="2"/>
        <v>-53.49036258563828</v>
      </c>
      <c r="Q35" s="41">
        <f t="shared" si="2"/>
        <v>3.4259788556896864</v>
      </c>
      <c r="R35" s="41">
        <f t="shared" si="2"/>
        <v>-6.6472452058093312</v>
      </c>
      <c r="S35" s="42">
        <f t="shared" si="3"/>
        <v>6.2387989072102785</v>
      </c>
      <c r="T35" s="35"/>
      <c r="U35" s="43">
        <v>35235</v>
      </c>
      <c r="V35" s="44">
        <f t="shared" si="4"/>
        <v>352350</v>
      </c>
      <c r="W35" s="140">
        <f t="shared" si="5"/>
        <v>2.6610450753518085E-4</v>
      </c>
      <c r="X35" s="35"/>
      <c r="Y35" s="49">
        <v>136718.81508320131</v>
      </c>
    </row>
    <row r="36" spans="1:25" x14ac:dyDescent="0.35">
      <c r="A36" s="35"/>
      <c r="B36" s="47" t="s">
        <v>794</v>
      </c>
      <c r="C36" s="46">
        <v>5</v>
      </c>
      <c r="D36" s="40">
        <v>0.16967399545109901</v>
      </c>
      <c r="E36" s="41">
        <v>3.22971948445792E-2</v>
      </c>
      <c r="F36" s="41">
        <v>0.10954392232419501</v>
      </c>
      <c r="G36" s="48">
        <v>0.33431376835392701</v>
      </c>
      <c r="H36" s="35"/>
      <c r="I36" s="40">
        <f t="shared" si="0"/>
        <v>9.3383956899295018E-3</v>
      </c>
      <c r="J36" s="41">
        <f t="shared" si="0"/>
        <v>-4.5106989875037806E-4</v>
      </c>
      <c r="K36" s="41">
        <f t="shared" si="0"/>
        <v>-7.0995362573945384E-2</v>
      </c>
      <c r="L36" s="48">
        <f t="shared" si="0"/>
        <v>5.3701218598548706E-2</v>
      </c>
      <c r="M36" s="35"/>
      <c r="N36" s="40">
        <f t="shared" si="1"/>
        <v>63.398492599999997</v>
      </c>
      <c r="O36" s="41">
        <f t="shared" si="2"/>
        <v>0.31339861380108586</v>
      </c>
      <c r="P36" s="41">
        <f t="shared" si="2"/>
        <v>-1.8526342971689509</v>
      </c>
      <c r="Q36" s="41">
        <f t="shared" si="2"/>
        <v>-5.2895180080153104</v>
      </c>
      <c r="R36" s="41">
        <f t="shared" si="2"/>
        <v>9.4832184830473771</v>
      </c>
      <c r="S36" s="42">
        <f t="shared" si="3"/>
        <v>66.052957391664208</v>
      </c>
      <c r="T36" s="35"/>
      <c r="U36" s="43">
        <v>6595</v>
      </c>
      <c r="V36" s="44">
        <f t="shared" si="4"/>
        <v>435619.25399802544</v>
      </c>
      <c r="W36" s="140">
        <f t="shared" si="5"/>
        <v>3.2899176119763709E-4</v>
      </c>
      <c r="X36" s="35"/>
      <c r="Y36" s="45">
        <v>169028.94347676498</v>
      </c>
    </row>
    <row r="37" spans="1:25" x14ac:dyDescent="0.35">
      <c r="A37" s="35"/>
      <c r="B37" s="47" t="s">
        <v>36</v>
      </c>
      <c r="C37" s="46">
        <v>888</v>
      </c>
      <c r="D37" s="40">
        <v>0.157670595226305</v>
      </c>
      <c r="E37" s="41">
        <v>3.3475289690006897E-2</v>
      </c>
      <c r="F37" s="41">
        <v>0.14839783171623699</v>
      </c>
      <c r="G37" s="48">
        <v>0.312884569888634</v>
      </c>
      <c r="H37" s="35"/>
      <c r="I37" s="40">
        <f t="shared" si="0"/>
        <v>-2.6650045348645124E-3</v>
      </c>
      <c r="J37" s="41">
        <f t="shared" si="0"/>
        <v>7.2702494667731959E-4</v>
      </c>
      <c r="K37" s="41">
        <f t="shared" si="0"/>
        <v>-3.2141453181903396E-2</v>
      </c>
      <c r="L37" s="48">
        <f t="shared" si="0"/>
        <v>3.2272020133255697E-2</v>
      </c>
      <c r="M37" s="35"/>
      <c r="N37" s="40">
        <f t="shared" si="1"/>
        <v>63.398492599999997</v>
      </c>
      <c r="O37" s="41">
        <f t="shared" si="2"/>
        <v>-8.9438138491050714E-2</v>
      </c>
      <c r="P37" s="41">
        <f t="shared" si="2"/>
        <v>2.986036875533586</v>
      </c>
      <c r="Q37" s="41">
        <f t="shared" si="2"/>
        <v>-2.3947028262920944</v>
      </c>
      <c r="R37" s="41">
        <f t="shared" si="2"/>
        <v>5.6989883246567219</v>
      </c>
      <c r="S37" s="42">
        <f t="shared" si="3"/>
        <v>69.599376835407156</v>
      </c>
      <c r="T37" s="35"/>
      <c r="U37" s="43">
        <v>10097</v>
      </c>
      <c r="V37" s="44">
        <f t="shared" si="4"/>
        <v>702744.9079071061</v>
      </c>
      <c r="W37" s="140">
        <f t="shared" si="5"/>
        <v>5.3073247521349932E-4</v>
      </c>
      <c r="X37" s="35"/>
      <c r="Y37" s="49">
        <v>272679.0155096153</v>
      </c>
    </row>
    <row r="38" spans="1:25" x14ac:dyDescent="0.35">
      <c r="A38" s="35"/>
      <c r="B38" s="47" t="s">
        <v>38</v>
      </c>
      <c r="C38" s="46">
        <v>370</v>
      </c>
      <c r="D38" s="40">
        <v>0.13820301783264699</v>
      </c>
      <c r="E38" s="41">
        <v>1.45747599451303E-2</v>
      </c>
      <c r="F38" s="41">
        <v>0.12037814616904</v>
      </c>
      <c r="G38" s="48">
        <v>0.266450527546303</v>
      </c>
      <c r="H38" s="35"/>
      <c r="I38" s="40">
        <f t="shared" si="0"/>
        <v>-2.2132581928522521E-2</v>
      </c>
      <c r="J38" s="41">
        <f t="shared" si="0"/>
        <v>-1.8173504798199278E-2</v>
      </c>
      <c r="K38" s="41">
        <f t="shared" si="0"/>
        <v>-6.0161138729100394E-2</v>
      </c>
      <c r="L38" s="48">
        <f t="shared" si="0"/>
        <v>-1.4162022209075309E-2</v>
      </c>
      <c r="M38" s="35"/>
      <c r="N38" s="40">
        <f t="shared" si="1"/>
        <v>63.398492599999997</v>
      </c>
      <c r="O38" s="41">
        <f t="shared" si="2"/>
        <v>-0.74277431868924015</v>
      </c>
      <c r="P38" s="41">
        <f t="shared" si="2"/>
        <v>-74.642219270634172</v>
      </c>
      <c r="Q38" s="41">
        <f t="shared" si="2"/>
        <v>-4.4823128603482729</v>
      </c>
      <c r="R38" s="41">
        <f t="shared" si="2"/>
        <v>-2.5009032248303571</v>
      </c>
      <c r="S38" s="42">
        <f t="shared" si="3"/>
        <v>-18.969717074502046</v>
      </c>
      <c r="T38" s="35"/>
      <c r="U38" s="43">
        <v>5832</v>
      </c>
      <c r="V38" s="44">
        <f t="shared" si="4"/>
        <v>58320</v>
      </c>
      <c r="W38" s="140">
        <f t="shared" si="5"/>
        <v>4.4044884005823038E-5</v>
      </c>
      <c r="X38" s="35"/>
      <c r="Y38" s="49">
        <v>22629.321117219526</v>
      </c>
    </row>
    <row r="39" spans="1:25" x14ac:dyDescent="0.35">
      <c r="A39" s="35"/>
      <c r="B39" s="47" t="s">
        <v>39</v>
      </c>
      <c r="C39" s="46">
        <v>889</v>
      </c>
      <c r="D39" s="40">
        <v>0.15643774296148</v>
      </c>
      <c r="E39" s="41">
        <v>3.28660619625398E-2</v>
      </c>
      <c r="F39" s="41">
        <v>0.190411681648263</v>
      </c>
      <c r="G39" s="48">
        <v>0.28099365724734998</v>
      </c>
      <c r="H39" s="35"/>
      <c r="I39" s="40">
        <f t="shared" si="0"/>
        <v>-3.8978567996895142E-3</v>
      </c>
      <c r="J39" s="41">
        <f t="shared" si="0"/>
        <v>1.1779721921022224E-4</v>
      </c>
      <c r="K39" s="41">
        <f t="shared" si="0"/>
        <v>9.8723967501226084E-3</v>
      </c>
      <c r="L39" s="48">
        <f t="shared" si="0"/>
        <v>3.8110749197167726E-4</v>
      </c>
      <c r="M39" s="35"/>
      <c r="N39" s="40">
        <f t="shared" si="1"/>
        <v>63.398492599999997</v>
      </c>
      <c r="O39" s="41">
        <f t="shared" si="2"/>
        <v>-0.13081293172607603</v>
      </c>
      <c r="P39" s="41">
        <f t="shared" si="2"/>
        <v>0.48381674109616918</v>
      </c>
      <c r="Q39" s="41">
        <f t="shared" si="2"/>
        <v>0.73554410455549502</v>
      </c>
      <c r="R39" s="41">
        <f t="shared" si="2"/>
        <v>6.73006256880605E-2</v>
      </c>
      <c r="S39" s="42">
        <f t="shared" si="3"/>
        <v>64.554341139613655</v>
      </c>
      <c r="T39" s="35"/>
      <c r="U39" s="43">
        <v>8489</v>
      </c>
      <c r="V39" s="44">
        <f t="shared" si="4"/>
        <v>548001.80193418032</v>
      </c>
      <c r="W39" s="140">
        <f t="shared" si="5"/>
        <v>4.1386618314768488E-4</v>
      </c>
      <c r="X39" s="35"/>
      <c r="Y39" s="49">
        <v>212635.60954704214</v>
      </c>
    </row>
    <row r="40" spans="1:25" x14ac:dyDescent="0.35">
      <c r="A40" s="35"/>
      <c r="B40" s="47" t="s">
        <v>40</v>
      </c>
      <c r="C40" s="46">
        <v>1945</v>
      </c>
      <c r="D40" s="40">
        <v>0.17638142483119701</v>
      </c>
      <c r="E40" s="41">
        <v>4.52436727757108E-2</v>
      </c>
      <c r="F40" s="41">
        <v>0.18746159531554199</v>
      </c>
      <c r="G40" s="48">
        <v>0.28803208473220998</v>
      </c>
      <c r="H40" s="35"/>
      <c r="I40" s="40">
        <f t="shared" si="0"/>
        <v>1.6045825070027497E-2</v>
      </c>
      <c r="J40" s="41">
        <f t="shared" si="0"/>
        <v>1.2495408032381222E-2</v>
      </c>
      <c r="K40" s="41">
        <f t="shared" si="0"/>
        <v>6.9223104174016004E-3</v>
      </c>
      <c r="L40" s="48">
        <f t="shared" si="0"/>
        <v>7.4195349768316765E-3</v>
      </c>
      <c r="M40" s="35"/>
      <c r="N40" s="40">
        <f t="shared" si="1"/>
        <v>63.398492599999997</v>
      </c>
      <c r="O40" s="41">
        <f t="shared" si="2"/>
        <v>0.53850141943163821</v>
      </c>
      <c r="P40" s="41">
        <f t="shared" si="2"/>
        <v>51.321140120504317</v>
      </c>
      <c r="Q40" s="41">
        <f t="shared" si="2"/>
        <v>0.51574756832575641</v>
      </c>
      <c r="R40" s="41">
        <f t="shared" si="2"/>
        <v>1.3102323013170538</v>
      </c>
      <c r="S40" s="42">
        <f t="shared" si="3"/>
        <v>117.08411400957876</v>
      </c>
      <c r="T40" s="35"/>
      <c r="U40" s="43">
        <v>21771</v>
      </c>
      <c r="V40" s="44">
        <f t="shared" si="4"/>
        <v>2549038.2461025389</v>
      </c>
      <c r="W40" s="140">
        <f t="shared" si="5"/>
        <v>1.9251044903290967E-3</v>
      </c>
      <c r="X40" s="35"/>
      <c r="Y40" s="49">
        <v>989077.58935405349</v>
      </c>
    </row>
    <row r="41" spans="1:25" x14ac:dyDescent="0.35">
      <c r="A41" s="35"/>
      <c r="B41" s="47" t="s">
        <v>41</v>
      </c>
      <c r="C41" s="46">
        <v>1724</v>
      </c>
      <c r="D41" s="40">
        <v>0.13228103285579501</v>
      </c>
      <c r="E41" s="41">
        <v>1.5784507163077999E-2</v>
      </c>
      <c r="F41" s="41">
        <v>0.20000282655089799</v>
      </c>
      <c r="G41" s="48">
        <v>0.239006760477085</v>
      </c>
      <c r="H41" s="35"/>
      <c r="I41" s="40">
        <f t="shared" si="0"/>
        <v>-2.8054566905374501E-2</v>
      </c>
      <c r="J41" s="41">
        <f t="shared" si="0"/>
        <v>-1.6963757580251579E-2</v>
      </c>
      <c r="K41" s="41">
        <f t="shared" si="0"/>
        <v>1.9463541652757599E-2</v>
      </c>
      <c r="L41" s="48">
        <f t="shared" si="0"/>
        <v>-4.1605789278293309E-2</v>
      </c>
      <c r="M41" s="35"/>
      <c r="N41" s="40">
        <f t="shared" si="1"/>
        <v>63.398492599999997</v>
      </c>
      <c r="O41" s="41">
        <f t="shared" si="2"/>
        <v>-0.94151743734908744</v>
      </c>
      <c r="P41" s="41">
        <f t="shared" si="2"/>
        <v>-69.673545472884442</v>
      </c>
      <c r="Q41" s="41">
        <f t="shared" si="2"/>
        <v>1.4501335064637033</v>
      </c>
      <c r="R41" s="41">
        <f t="shared" si="2"/>
        <v>-7.3472595256217987</v>
      </c>
      <c r="S41" s="42">
        <f t="shared" si="3"/>
        <v>-13.113696329391624</v>
      </c>
      <c r="T41" s="35"/>
      <c r="U41" s="43">
        <v>11657</v>
      </c>
      <c r="V41" s="44">
        <f t="shared" si="4"/>
        <v>116570</v>
      </c>
      <c r="W41" s="140">
        <f t="shared" si="5"/>
        <v>8.8036902067194645E-5</v>
      </c>
      <c r="X41" s="35"/>
      <c r="Y41" s="49">
        <v>45231.480840779841</v>
      </c>
    </row>
    <row r="42" spans="1:25" x14ac:dyDescent="0.35">
      <c r="A42" s="35"/>
      <c r="B42" s="47" t="s">
        <v>42</v>
      </c>
      <c r="C42" s="46">
        <v>893</v>
      </c>
      <c r="D42" s="40">
        <v>0.15184122429459601</v>
      </c>
      <c r="E42" s="41">
        <v>2.76183644189383E-2</v>
      </c>
      <c r="F42" s="41">
        <v>0.19110764665417301</v>
      </c>
      <c r="G42" s="48">
        <v>0.290426473761766</v>
      </c>
      <c r="H42" s="35"/>
      <c r="I42" s="40">
        <f t="shared" si="0"/>
        <v>-8.4943754665735005E-3</v>
      </c>
      <c r="J42" s="41">
        <f t="shared" si="0"/>
        <v>-5.1299003243912775E-3</v>
      </c>
      <c r="K42" s="41">
        <f t="shared" si="0"/>
        <v>1.0568361756032624E-2</v>
      </c>
      <c r="L42" s="48">
        <f t="shared" si="0"/>
        <v>9.8139240063876976E-3</v>
      </c>
      <c r="M42" s="35"/>
      <c r="N42" s="40">
        <f t="shared" si="1"/>
        <v>63.398492599999997</v>
      </c>
      <c r="O42" s="41">
        <f t="shared" si="2"/>
        <v>-0.28507310942080932</v>
      </c>
      <c r="P42" s="41">
        <f t="shared" si="2"/>
        <v>-21.069526714937862</v>
      </c>
      <c r="Q42" s="41">
        <f t="shared" si="2"/>
        <v>0.78739706083662142</v>
      </c>
      <c r="R42" s="41">
        <f t="shared" si="2"/>
        <v>1.7330628234777778</v>
      </c>
      <c r="S42" s="42">
        <f t="shared" si="3"/>
        <v>44.56435265995573</v>
      </c>
      <c r="T42" s="35"/>
      <c r="U42" s="43">
        <v>8364</v>
      </c>
      <c r="V42" s="44">
        <f t="shared" si="4"/>
        <v>372736.24564786971</v>
      </c>
      <c r="W42" s="140">
        <f t="shared" si="5"/>
        <v>2.8150076653508889E-4</v>
      </c>
      <c r="X42" s="35"/>
      <c r="Y42" s="49">
        <v>144629.08427284742</v>
      </c>
    </row>
    <row r="43" spans="1:25" x14ac:dyDescent="0.35">
      <c r="A43" s="35"/>
      <c r="B43" s="47" t="s">
        <v>43</v>
      </c>
      <c r="C43" s="46">
        <v>373</v>
      </c>
      <c r="D43" s="40">
        <v>0.17731714539532101</v>
      </c>
      <c r="E43" s="41">
        <v>2.1320698845128799E-2</v>
      </c>
      <c r="F43" s="41">
        <v>0.118819885216084</v>
      </c>
      <c r="G43" s="48">
        <v>0.28246709770230699</v>
      </c>
      <c r="H43" s="35"/>
      <c r="I43" s="40">
        <f t="shared" si="0"/>
        <v>1.6981545634151496E-2</v>
      </c>
      <c r="J43" s="41">
        <f t="shared" si="0"/>
        <v>-1.1427565898200778E-2</v>
      </c>
      <c r="K43" s="41">
        <f t="shared" si="0"/>
        <v>-6.1719399682056392E-2</v>
      </c>
      <c r="L43" s="48">
        <f t="shared" si="0"/>
        <v>1.8545479469286863E-3</v>
      </c>
      <c r="M43" s="35"/>
      <c r="N43" s="40">
        <f t="shared" si="1"/>
        <v>63.398492599999997</v>
      </c>
      <c r="O43" s="41">
        <f t="shared" si="2"/>
        <v>0.56990440742216375</v>
      </c>
      <c r="P43" s="41">
        <f t="shared" si="2"/>
        <v>-46.935298885641558</v>
      </c>
      <c r="Q43" s="41">
        <f t="shared" si="2"/>
        <v>-4.5984112796395733</v>
      </c>
      <c r="R43" s="41">
        <f t="shared" si="2"/>
        <v>0.32749877613553785</v>
      </c>
      <c r="S43" s="42">
        <f t="shared" si="3"/>
        <v>12.762185618276568</v>
      </c>
      <c r="T43" s="35"/>
      <c r="U43" s="43">
        <v>16885</v>
      </c>
      <c r="V43" s="44">
        <f t="shared" si="4"/>
        <v>215489.50416459984</v>
      </c>
      <c r="W43" s="140">
        <f t="shared" si="5"/>
        <v>1.6274365938618177E-4</v>
      </c>
      <c r="X43" s="35"/>
      <c r="Y43" s="49">
        <v>83614.217886336497</v>
      </c>
    </row>
    <row r="44" spans="1:25" x14ac:dyDescent="0.35">
      <c r="A44" s="35"/>
      <c r="B44" s="47" t="s">
        <v>44</v>
      </c>
      <c r="C44" s="46">
        <v>748</v>
      </c>
      <c r="D44" s="40">
        <v>0.19653763036737801</v>
      </c>
      <c r="E44" s="41">
        <v>5.1559710607911299E-2</v>
      </c>
      <c r="F44" s="41">
        <v>0.191433045416709</v>
      </c>
      <c r="G44" s="48">
        <v>0.28440927749466099</v>
      </c>
      <c r="H44" s="35"/>
      <c r="I44" s="40">
        <f t="shared" si="0"/>
        <v>3.6202030606208496E-2</v>
      </c>
      <c r="J44" s="41">
        <f t="shared" si="0"/>
        <v>1.8811445864581722E-2</v>
      </c>
      <c r="K44" s="41">
        <f t="shared" si="0"/>
        <v>1.0893760518568607E-2</v>
      </c>
      <c r="L44" s="48">
        <f t="shared" si="0"/>
        <v>3.7967277392826904E-3</v>
      </c>
      <c r="M44" s="35"/>
      <c r="N44" s="40">
        <f t="shared" si="1"/>
        <v>63.398492599999997</v>
      </c>
      <c r="O44" s="41">
        <f t="shared" si="2"/>
        <v>1.2149481115910905</v>
      </c>
      <c r="P44" s="41">
        <f t="shared" si="2"/>
        <v>77.262370831238968</v>
      </c>
      <c r="Q44" s="41">
        <f t="shared" si="2"/>
        <v>0.81164093468721632</v>
      </c>
      <c r="R44" s="41">
        <f t="shared" si="2"/>
        <v>0.67047265615006635</v>
      </c>
      <c r="S44" s="42">
        <f t="shared" si="3"/>
        <v>143.35792513366729</v>
      </c>
      <c r="T44" s="35"/>
      <c r="U44" s="43">
        <v>42572</v>
      </c>
      <c r="V44" s="44">
        <f t="shared" si="4"/>
        <v>6103033.5887904838</v>
      </c>
      <c r="W44" s="140">
        <f t="shared" si="5"/>
        <v>4.6091804955747384E-3</v>
      </c>
      <c r="X44" s="35"/>
      <c r="Y44" s="49">
        <v>2368098.5402934938</v>
      </c>
    </row>
    <row r="45" spans="1:25" x14ac:dyDescent="0.35">
      <c r="A45" s="35"/>
      <c r="B45" s="47" t="s">
        <v>45</v>
      </c>
      <c r="C45" s="46">
        <v>1859</v>
      </c>
      <c r="D45" s="40">
        <v>0.14285714285714299</v>
      </c>
      <c r="E45" s="41">
        <v>2.7568922305764399E-2</v>
      </c>
      <c r="F45" s="41">
        <v>0.20250309980720499</v>
      </c>
      <c r="G45" s="48">
        <v>0.31113709882218898</v>
      </c>
      <c r="H45" s="35"/>
      <c r="I45" s="40">
        <f t="shared" si="0"/>
        <v>-1.7478456904026524E-2</v>
      </c>
      <c r="J45" s="41">
        <f t="shared" si="0"/>
        <v>-5.1793424375651785E-3</v>
      </c>
      <c r="K45" s="41">
        <f t="shared" si="0"/>
        <v>2.19638149090646E-2</v>
      </c>
      <c r="L45" s="48">
        <f t="shared" si="0"/>
        <v>3.052454906681068E-2</v>
      </c>
      <c r="M45" s="35"/>
      <c r="N45" s="40">
        <f t="shared" si="1"/>
        <v>63.398492599999997</v>
      </c>
      <c r="O45" s="41">
        <f t="shared" si="2"/>
        <v>-0.58658085895964907</v>
      </c>
      <c r="P45" s="41">
        <f t="shared" si="2"/>
        <v>-21.272595363154551</v>
      </c>
      <c r="Q45" s="41">
        <f t="shared" si="2"/>
        <v>1.6364166654576471</v>
      </c>
      <c r="R45" s="41">
        <f t="shared" si="2"/>
        <v>5.3903984946980081</v>
      </c>
      <c r="S45" s="42">
        <f t="shared" si="3"/>
        <v>48.566131538041446</v>
      </c>
      <c r="T45" s="35"/>
      <c r="U45" s="43">
        <v>27132</v>
      </c>
      <c r="V45" s="44">
        <f t="shared" si="4"/>
        <v>1317696.2808901404</v>
      </c>
      <c r="W45" s="140">
        <f t="shared" si="5"/>
        <v>9.9516083413427026E-4</v>
      </c>
      <c r="X45" s="35"/>
      <c r="Y45" s="49">
        <v>511292.39155056386</v>
      </c>
    </row>
    <row r="46" spans="1:25" x14ac:dyDescent="0.35">
      <c r="A46" s="35"/>
      <c r="B46" s="47" t="s">
        <v>46</v>
      </c>
      <c r="C46" s="46">
        <v>1721</v>
      </c>
      <c r="D46" s="40">
        <v>0.12596748220871601</v>
      </c>
      <c r="E46" s="41">
        <v>1.84925458417745E-2</v>
      </c>
      <c r="F46" s="41">
        <v>0.19465139797098699</v>
      </c>
      <c r="G46" s="48">
        <v>0.26423952942823697</v>
      </c>
      <c r="H46" s="35"/>
      <c r="I46" s="40">
        <f t="shared" si="0"/>
        <v>-3.4368117552453503E-2</v>
      </c>
      <c r="J46" s="41">
        <f t="shared" si="0"/>
        <v>-1.4255718901555078E-2</v>
      </c>
      <c r="K46" s="41">
        <f t="shared" si="0"/>
        <v>1.4112113072846599E-2</v>
      </c>
      <c r="L46" s="48">
        <f t="shared" si="0"/>
        <v>-1.637302032714133E-2</v>
      </c>
      <c r="M46" s="35"/>
      <c r="N46" s="40">
        <f t="shared" si="1"/>
        <v>63.398492599999997</v>
      </c>
      <c r="O46" s="41">
        <f t="shared" si="2"/>
        <v>-1.1534015860462012</v>
      </c>
      <c r="P46" s="41">
        <f t="shared" si="2"/>
        <v>-58.551088957581399</v>
      </c>
      <c r="Q46" s="41">
        <f t="shared" si="2"/>
        <v>1.0514246779460048</v>
      </c>
      <c r="R46" s="41">
        <f t="shared" si="2"/>
        <v>-2.8913483351354201</v>
      </c>
      <c r="S46" s="42">
        <f t="shared" si="3"/>
        <v>1.8540783991829826</v>
      </c>
      <c r="T46" s="35"/>
      <c r="U46" s="43">
        <v>19251</v>
      </c>
      <c r="V46" s="44">
        <f t="shared" si="4"/>
        <v>192510</v>
      </c>
      <c r="W46" s="140">
        <f t="shared" si="5"/>
        <v>1.4538889951922141E-4</v>
      </c>
      <c r="X46" s="35"/>
      <c r="Y46" s="49">
        <v>74697.712761932955</v>
      </c>
    </row>
    <row r="47" spans="1:25" x14ac:dyDescent="0.35">
      <c r="A47" s="35"/>
      <c r="B47" s="47" t="s">
        <v>47</v>
      </c>
      <c r="C47" s="46">
        <v>753</v>
      </c>
      <c r="D47" s="40">
        <v>0.14385211562630901</v>
      </c>
      <c r="E47" s="41">
        <v>2.75450356095517E-2</v>
      </c>
      <c r="F47" s="41">
        <v>0.13579043132391999</v>
      </c>
      <c r="G47" s="48">
        <v>0.23822718139212901</v>
      </c>
      <c r="H47" s="35"/>
      <c r="I47" s="40">
        <f t="shared" si="0"/>
        <v>-1.6483484134860504E-2</v>
      </c>
      <c r="J47" s="41">
        <f t="shared" si="0"/>
        <v>-5.2032291337778779E-3</v>
      </c>
      <c r="K47" s="41">
        <f t="shared" si="0"/>
        <v>-4.4748853574220399E-2</v>
      </c>
      <c r="L47" s="48">
        <f t="shared" si="0"/>
        <v>-4.2385368363249298E-2</v>
      </c>
      <c r="M47" s="35"/>
      <c r="N47" s="40">
        <f t="shared" si="1"/>
        <v>63.398492599999997</v>
      </c>
      <c r="O47" s="41">
        <f t="shared" si="2"/>
        <v>-0.55318935393242818</v>
      </c>
      <c r="P47" s="41">
        <f t="shared" si="2"/>
        <v>-21.370702802317084</v>
      </c>
      <c r="Q47" s="41">
        <f t="shared" si="2"/>
        <v>-3.3340187054097199</v>
      </c>
      <c r="R47" s="41">
        <f t="shared" si="2"/>
        <v>-7.4849271424913271</v>
      </c>
      <c r="S47" s="42">
        <f t="shared" si="3"/>
        <v>30.655654595849438</v>
      </c>
      <c r="T47" s="35"/>
      <c r="U47" s="43">
        <v>19096</v>
      </c>
      <c r="V47" s="44">
        <f t="shared" si="4"/>
        <v>585400.38016234082</v>
      </c>
      <c r="W47" s="140">
        <f t="shared" si="5"/>
        <v>4.4211062827872105E-4</v>
      </c>
      <c r="X47" s="35"/>
      <c r="Y47" s="49">
        <v>227147.00248347045</v>
      </c>
    </row>
    <row r="48" spans="1:25" x14ac:dyDescent="0.35">
      <c r="A48" s="35"/>
      <c r="B48" s="47" t="s">
        <v>48</v>
      </c>
      <c r="C48" s="46">
        <v>209</v>
      </c>
      <c r="D48" s="40">
        <v>0.13703003074012801</v>
      </c>
      <c r="E48" s="41">
        <v>2.9794277606999299E-2</v>
      </c>
      <c r="F48" s="41">
        <v>0.16922116543167801</v>
      </c>
      <c r="G48" s="48">
        <v>0.28294281860787002</v>
      </c>
      <c r="H48" s="35"/>
      <c r="I48" s="40">
        <f t="shared" si="0"/>
        <v>-2.33055690210415E-2</v>
      </c>
      <c r="J48" s="41">
        <f t="shared" si="0"/>
        <v>-2.9539871363302786E-3</v>
      </c>
      <c r="K48" s="41">
        <f t="shared" si="0"/>
        <v>-1.1318119466462384E-2</v>
      </c>
      <c r="L48" s="48">
        <f t="shared" si="0"/>
        <v>2.3302688524917126E-3</v>
      </c>
      <c r="M48" s="35"/>
      <c r="N48" s="40">
        <f t="shared" si="1"/>
        <v>63.398492599999997</v>
      </c>
      <c r="O48" s="41">
        <f t="shared" si="2"/>
        <v>-0.78214002357133738</v>
      </c>
      <c r="P48" s="41">
        <f t="shared" si="2"/>
        <v>-12.132616025415464</v>
      </c>
      <c r="Q48" s="41">
        <f t="shared" si="2"/>
        <v>-0.84325784902311596</v>
      </c>
      <c r="R48" s="41">
        <f t="shared" si="2"/>
        <v>0.41150739646374113</v>
      </c>
      <c r="S48" s="42">
        <f t="shared" si="3"/>
        <v>50.051986098453817</v>
      </c>
      <c r="T48" s="35"/>
      <c r="U48" s="43">
        <v>16916</v>
      </c>
      <c r="V48" s="44">
        <f t="shared" si="4"/>
        <v>846679.39684144477</v>
      </c>
      <c r="W48" s="140">
        <f t="shared" si="5"/>
        <v>6.3943579945133135E-4</v>
      </c>
      <c r="X48" s="35"/>
      <c r="Y48" s="49">
        <v>328528.46286794916</v>
      </c>
    </row>
    <row r="49" spans="1:25" x14ac:dyDescent="0.35">
      <c r="A49" s="35"/>
      <c r="B49" s="47" t="s">
        <v>49</v>
      </c>
      <c r="C49" s="46">
        <v>375</v>
      </c>
      <c r="D49" s="40">
        <v>0.163506755243711</v>
      </c>
      <c r="E49" s="41">
        <v>4.2397551690677E-2</v>
      </c>
      <c r="F49" s="41">
        <v>0.19649062384742</v>
      </c>
      <c r="G49" s="48">
        <v>0.26274333643709202</v>
      </c>
      <c r="H49" s="35"/>
      <c r="I49" s="40">
        <f t="shared" si="0"/>
        <v>3.1711554825414878E-3</v>
      </c>
      <c r="J49" s="41">
        <f t="shared" si="0"/>
        <v>9.6492869473474227E-3</v>
      </c>
      <c r="K49" s="41">
        <f t="shared" si="0"/>
        <v>1.5951338949279609E-2</v>
      </c>
      <c r="L49" s="48">
        <f t="shared" si="0"/>
        <v>-1.7869213318286281E-2</v>
      </c>
      <c r="M49" s="35"/>
      <c r="N49" s="40">
        <f t="shared" si="1"/>
        <v>63.398492599999997</v>
      </c>
      <c r="O49" s="41">
        <f t="shared" si="2"/>
        <v>0.10642467564829849</v>
      </c>
      <c r="P49" s="41">
        <f t="shared" si="2"/>
        <v>39.631551543131074</v>
      </c>
      <c r="Q49" s="41">
        <f t="shared" si="2"/>
        <v>1.1884564225767513</v>
      </c>
      <c r="R49" s="41">
        <f t="shared" si="2"/>
        <v>-3.1555644069140074</v>
      </c>
      <c r="S49" s="42">
        <f t="shared" si="3"/>
        <v>101.16936083444212</v>
      </c>
      <c r="T49" s="35"/>
      <c r="U49" s="43">
        <v>26794</v>
      </c>
      <c r="V49" s="44">
        <f t="shared" si="4"/>
        <v>2710731.8541980418</v>
      </c>
      <c r="W49" s="140">
        <f t="shared" si="5"/>
        <v>2.0472199946680787E-3</v>
      </c>
      <c r="X49" s="35"/>
      <c r="Y49" s="49">
        <v>1051817.9285206341</v>
      </c>
    </row>
    <row r="50" spans="1:25" x14ac:dyDescent="0.35">
      <c r="A50" s="35"/>
      <c r="B50" s="47" t="s">
        <v>812</v>
      </c>
      <c r="C50" s="46">
        <v>585</v>
      </c>
      <c r="D50" s="40">
        <v>0.14762329837089899</v>
      </c>
      <c r="E50" s="41">
        <v>1.6960499888417802E-2</v>
      </c>
      <c r="F50" s="41">
        <v>0.20127567613646599</v>
      </c>
      <c r="G50" s="48">
        <v>0.273620126466744</v>
      </c>
      <c r="H50" s="35"/>
      <c r="I50" s="40">
        <f t="shared" si="0"/>
        <v>-1.271230139027052E-2</v>
      </c>
      <c r="J50" s="41">
        <f t="shared" si="0"/>
        <v>-1.5787764854911776E-2</v>
      </c>
      <c r="K50" s="41">
        <f t="shared" si="0"/>
        <v>2.0736391238325602E-2</v>
      </c>
      <c r="L50" s="48">
        <f t="shared" si="0"/>
        <v>-6.9924232886343085E-3</v>
      </c>
      <c r="M50" s="35"/>
      <c r="N50" s="40">
        <f t="shared" si="1"/>
        <v>63.398492599999997</v>
      </c>
      <c r="O50" s="41">
        <f t="shared" si="2"/>
        <v>-0.42662763136378451</v>
      </c>
      <c r="P50" s="41">
        <f t="shared" si="2"/>
        <v>-64.843508127848949</v>
      </c>
      <c r="Q50" s="41">
        <f t="shared" si="2"/>
        <v>1.5449673175783978</v>
      </c>
      <c r="R50" s="41">
        <f t="shared" si="2"/>
        <v>-1.234807691568099</v>
      </c>
      <c r="S50" s="42">
        <f t="shared" si="3"/>
        <v>-1.561483533202439</v>
      </c>
      <c r="T50" s="35"/>
      <c r="U50" s="43">
        <v>17924</v>
      </c>
      <c r="V50" s="44">
        <f t="shared" si="4"/>
        <v>179240</v>
      </c>
      <c r="W50" s="140">
        <f t="shared" si="5"/>
        <v>1.3536702690678535E-4</v>
      </c>
      <c r="X50" s="35"/>
      <c r="Y50" s="49">
        <v>69548.68856396481</v>
      </c>
    </row>
    <row r="51" spans="1:25" x14ac:dyDescent="0.35">
      <c r="A51" s="35"/>
      <c r="B51" s="47" t="s">
        <v>50</v>
      </c>
      <c r="C51" s="46">
        <v>1728</v>
      </c>
      <c r="D51" s="40">
        <v>0.13058473114908301</v>
      </c>
      <c r="E51" s="41">
        <v>1.4735852014422301E-2</v>
      </c>
      <c r="F51" s="41">
        <v>0.22975209302434799</v>
      </c>
      <c r="G51" s="48">
        <v>0.242815575682509</v>
      </c>
      <c r="H51" s="35"/>
      <c r="I51" s="40">
        <f t="shared" si="0"/>
        <v>-2.9750868612086506E-2</v>
      </c>
      <c r="J51" s="41">
        <f t="shared" si="0"/>
        <v>-1.8012412728907277E-2</v>
      </c>
      <c r="K51" s="41">
        <f t="shared" si="0"/>
        <v>4.9212808126207597E-2</v>
      </c>
      <c r="L51" s="48">
        <f t="shared" si="0"/>
        <v>-3.7796974072869305E-2</v>
      </c>
      <c r="M51" s="35"/>
      <c r="N51" s="40">
        <f t="shared" si="1"/>
        <v>63.398492599999997</v>
      </c>
      <c r="O51" s="41">
        <f t="shared" si="2"/>
        <v>-0.9984456958127178</v>
      </c>
      <c r="P51" s="41">
        <f t="shared" si="2"/>
        <v>-73.980581920416228</v>
      </c>
      <c r="Q51" s="41">
        <f t="shared" si="2"/>
        <v>3.6666061749800725</v>
      </c>
      <c r="R51" s="41">
        <f t="shared" si="2"/>
        <v>-6.6746523167499143</v>
      </c>
      <c r="S51" s="42">
        <f t="shared" si="3"/>
        <v>-14.588581157998792</v>
      </c>
      <c r="T51" s="35"/>
      <c r="U51" s="43">
        <v>12758</v>
      </c>
      <c r="V51" s="44">
        <f t="shared" si="4"/>
        <v>127580</v>
      </c>
      <c r="W51" s="140">
        <f t="shared" si="5"/>
        <v>9.6351959901627287E-5</v>
      </c>
      <c r="X51" s="35"/>
      <c r="Y51" s="49">
        <v>49503.580043464797</v>
      </c>
    </row>
    <row r="52" spans="1:25" x14ac:dyDescent="0.35">
      <c r="A52" s="35"/>
      <c r="B52" s="47" t="s">
        <v>51</v>
      </c>
      <c r="C52" s="46">
        <v>376</v>
      </c>
      <c r="D52" s="40">
        <v>0.174234606123151</v>
      </c>
      <c r="E52" s="41">
        <v>2.3047815617475102E-2</v>
      </c>
      <c r="F52" s="41">
        <v>0.14392645923220501</v>
      </c>
      <c r="G52" s="48">
        <v>0.23523676160752299</v>
      </c>
      <c r="H52" s="35"/>
      <c r="I52" s="40">
        <f t="shared" si="0"/>
        <v>1.3899006361981492E-2</v>
      </c>
      <c r="J52" s="41">
        <f t="shared" si="0"/>
        <v>-9.700449125854476E-3</v>
      </c>
      <c r="K52" s="41">
        <f t="shared" si="0"/>
        <v>-3.6612825665935378E-2</v>
      </c>
      <c r="L52" s="48">
        <f t="shared" si="0"/>
        <v>-4.5375788147855312E-2</v>
      </c>
      <c r="M52" s="35"/>
      <c r="N52" s="40">
        <f t="shared" si="1"/>
        <v>63.398492599999997</v>
      </c>
      <c r="O52" s="41">
        <f t="shared" si="2"/>
        <v>0.46645371128949853</v>
      </c>
      <c r="P52" s="41">
        <f t="shared" si="2"/>
        <v>-39.84168484371849</v>
      </c>
      <c r="Q52" s="41">
        <f t="shared" si="2"/>
        <v>-2.7278429697795956</v>
      </c>
      <c r="R52" s="41">
        <f t="shared" si="2"/>
        <v>-8.0130120707952202</v>
      </c>
      <c r="S52" s="42">
        <f t="shared" si="3"/>
        <v>13.282406426996189</v>
      </c>
      <c r="T52" s="35"/>
      <c r="U52" s="43">
        <v>5814</v>
      </c>
      <c r="V52" s="44">
        <f t="shared" si="4"/>
        <v>77223.91096655585</v>
      </c>
      <c r="W52" s="140">
        <f t="shared" si="5"/>
        <v>5.8321642678291464E-5</v>
      </c>
      <c r="X52" s="35"/>
      <c r="Y52" s="49">
        <v>29964.41493809607</v>
      </c>
    </row>
    <row r="53" spans="1:25" x14ac:dyDescent="0.35">
      <c r="A53" s="35"/>
      <c r="B53" s="47" t="s">
        <v>52</v>
      </c>
      <c r="C53" s="46">
        <v>377</v>
      </c>
      <c r="D53" s="40">
        <v>0.17509363295880201</v>
      </c>
      <c r="E53" s="41">
        <v>1.8336454431960102E-2</v>
      </c>
      <c r="F53" s="41">
        <v>8.5953575980618604E-2</v>
      </c>
      <c r="G53" s="48">
        <v>0.24844963292073699</v>
      </c>
      <c r="H53" s="35"/>
      <c r="I53" s="40">
        <f t="shared" si="0"/>
        <v>1.4758033197632497E-2</v>
      </c>
      <c r="J53" s="41">
        <f t="shared" si="0"/>
        <v>-1.4411810311369476E-2</v>
      </c>
      <c r="K53" s="41">
        <f t="shared" si="0"/>
        <v>-9.4585708917521785E-2</v>
      </c>
      <c r="L53" s="48">
        <f t="shared" si="0"/>
        <v>-3.2162916834641314E-2</v>
      </c>
      <c r="M53" s="35"/>
      <c r="N53" s="40">
        <f t="shared" si="1"/>
        <v>63.398492599999997</v>
      </c>
      <c r="O53" s="41">
        <f t="shared" si="2"/>
        <v>0.49528284087985008</v>
      </c>
      <c r="P53" s="41">
        <f t="shared" si="2"/>
        <v>-59.192187599092918</v>
      </c>
      <c r="Q53" s="41">
        <f t="shared" si="2"/>
        <v>-7.0471195931850312</v>
      </c>
      <c r="R53" s="41">
        <f t="shared" si="2"/>
        <v>-5.6797215287630189</v>
      </c>
      <c r="S53" s="42">
        <f t="shared" si="3"/>
        <v>-8.0252532801611185</v>
      </c>
      <c r="T53" s="35"/>
      <c r="U53" s="43">
        <v>12816</v>
      </c>
      <c r="V53" s="44">
        <f t="shared" si="4"/>
        <v>128160</v>
      </c>
      <c r="W53" s="140">
        <f t="shared" si="5"/>
        <v>9.6789992012796301E-5</v>
      </c>
      <c r="X53" s="35"/>
      <c r="Y53" s="49">
        <v>49728.631590926852</v>
      </c>
    </row>
    <row r="54" spans="1:25" x14ac:dyDescent="0.35">
      <c r="A54" s="35"/>
      <c r="B54" s="47" t="s">
        <v>53</v>
      </c>
      <c r="C54" s="46">
        <v>1901</v>
      </c>
      <c r="D54" s="40">
        <v>0.13107671857197101</v>
      </c>
      <c r="E54" s="41">
        <v>1.81826813520699E-2</v>
      </c>
      <c r="F54" s="41">
        <v>0.18222105967206001</v>
      </c>
      <c r="G54" s="48">
        <v>0.25298638498349502</v>
      </c>
      <c r="H54" s="35"/>
      <c r="I54" s="40">
        <f t="shared" si="0"/>
        <v>-2.9258881189198505E-2</v>
      </c>
      <c r="J54" s="41">
        <f t="shared" si="0"/>
        <v>-1.4565583391259677E-2</v>
      </c>
      <c r="K54" s="41">
        <f t="shared" si="0"/>
        <v>1.6817747739196198E-3</v>
      </c>
      <c r="L54" s="48">
        <f t="shared" si="0"/>
        <v>-2.7626164771883288E-2</v>
      </c>
      <c r="M54" s="35"/>
      <c r="N54" s="40">
        <f t="shared" si="1"/>
        <v>63.398492599999997</v>
      </c>
      <c r="O54" s="41">
        <f t="shared" si="2"/>
        <v>-0.9819344896633635</v>
      </c>
      <c r="P54" s="41">
        <f t="shared" si="2"/>
        <v>-59.82376439589342</v>
      </c>
      <c r="Q54" s="41">
        <f t="shared" si="2"/>
        <v>0.12530083134385414</v>
      </c>
      <c r="R54" s="41">
        <f t="shared" si="2"/>
        <v>-4.8785663196759588</v>
      </c>
      <c r="S54" s="42">
        <f t="shared" si="3"/>
        <v>-2.1604717738888941</v>
      </c>
      <c r="T54" s="35"/>
      <c r="U54" s="43">
        <v>21064</v>
      </c>
      <c r="V54" s="44">
        <f t="shared" si="4"/>
        <v>210640</v>
      </c>
      <c r="W54" s="140">
        <f t="shared" si="5"/>
        <v>1.5908117913214273E-4</v>
      </c>
      <c r="X54" s="35"/>
      <c r="Y54" s="49">
        <v>81732.513719669412</v>
      </c>
    </row>
    <row r="55" spans="1:25" x14ac:dyDescent="0.35">
      <c r="A55" s="35"/>
      <c r="B55" s="47" t="s">
        <v>54</v>
      </c>
      <c r="C55" s="46">
        <v>755</v>
      </c>
      <c r="D55" s="40">
        <v>0.119846312989508</v>
      </c>
      <c r="E55" s="41">
        <v>1.9801980198019799E-2</v>
      </c>
      <c r="F55" s="41">
        <v>0.23064402401137499</v>
      </c>
      <c r="G55" s="48">
        <v>0.27042560943246302</v>
      </c>
      <c r="H55" s="35"/>
      <c r="I55" s="40">
        <f t="shared" si="0"/>
        <v>-4.0489286771661512E-2</v>
      </c>
      <c r="J55" s="41">
        <f t="shared" si="0"/>
        <v>-1.2946284545309779E-2</v>
      </c>
      <c r="K55" s="41">
        <f t="shared" si="0"/>
        <v>5.0104739113234598E-2</v>
      </c>
      <c r="L55" s="48">
        <f t="shared" si="0"/>
        <v>-1.0186940322915283E-2</v>
      </c>
      <c r="M55" s="35"/>
      <c r="N55" s="40">
        <f t="shared" si="1"/>
        <v>63.398492599999997</v>
      </c>
      <c r="O55" s="41">
        <f t="shared" si="2"/>
        <v>-1.3588293717000501</v>
      </c>
      <c r="P55" s="41">
        <f t="shared" si="2"/>
        <v>-53.172980143422016</v>
      </c>
      <c r="Q55" s="41">
        <f t="shared" si="2"/>
        <v>3.7330596002002374</v>
      </c>
      <c r="R55" s="41">
        <f t="shared" si="2"/>
        <v>-1.7989346103699333</v>
      </c>
      <c r="S55" s="42">
        <f t="shared" si="3"/>
        <v>10.800808074708238</v>
      </c>
      <c r="T55" s="35"/>
      <c r="U55" s="43">
        <v>6767</v>
      </c>
      <c r="V55" s="44">
        <f t="shared" si="4"/>
        <v>73089.068241550645</v>
      </c>
      <c r="W55" s="140">
        <f t="shared" si="5"/>
        <v>5.5198894595212323E-5</v>
      </c>
      <c r="X55" s="35"/>
      <c r="Y55" s="49">
        <v>28360.013638484583</v>
      </c>
    </row>
    <row r="56" spans="1:25" x14ac:dyDescent="0.35">
      <c r="A56" s="35"/>
      <c r="B56" s="47" t="s">
        <v>55</v>
      </c>
      <c r="C56" s="46">
        <v>1681</v>
      </c>
      <c r="D56" s="40">
        <v>0.17591536804763699</v>
      </c>
      <c r="E56" s="41">
        <v>4.1429114405169103E-2</v>
      </c>
      <c r="F56" s="41">
        <v>0.19329067803764599</v>
      </c>
      <c r="G56" s="48">
        <v>0.36662457099578299</v>
      </c>
      <c r="H56" s="35"/>
      <c r="I56" s="40">
        <f t="shared" si="0"/>
        <v>1.5579768286467482E-2</v>
      </c>
      <c r="J56" s="41">
        <f t="shared" si="0"/>
        <v>8.6808496618395251E-3</v>
      </c>
      <c r="K56" s="41">
        <f t="shared" si="0"/>
        <v>1.2751393139505601E-2</v>
      </c>
      <c r="L56" s="48">
        <f t="shared" si="0"/>
        <v>8.601202124040469E-2</v>
      </c>
      <c r="M56" s="35"/>
      <c r="N56" s="40">
        <f t="shared" si="1"/>
        <v>63.398492599999997</v>
      </c>
      <c r="O56" s="41">
        <f t="shared" si="2"/>
        <v>0.52286045124287173</v>
      </c>
      <c r="P56" s="41">
        <f t="shared" si="2"/>
        <v>35.653985904724294</v>
      </c>
      <c r="Q56" s="41">
        <f t="shared" si="2"/>
        <v>0.95004407602604168</v>
      </c>
      <c r="R56" s="41">
        <f t="shared" si="2"/>
        <v>15.189055497770642</v>
      </c>
      <c r="S56" s="42">
        <f t="shared" si="3"/>
        <v>115.71443852976385</v>
      </c>
      <c r="T56" s="35"/>
      <c r="U56" s="43">
        <v>15786</v>
      </c>
      <c r="V56" s="44">
        <f t="shared" si="4"/>
        <v>1826668.1266308522</v>
      </c>
      <c r="W56" s="140">
        <f t="shared" si="5"/>
        <v>1.3795505101953009E-3</v>
      </c>
      <c r="X56" s="35"/>
      <c r="Y56" s="49">
        <v>708783.60103085334</v>
      </c>
    </row>
    <row r="57" spans="1:25" x14ac:dyDescent="0.35">
      <c r="A57" s="35"/>
      <c r="B57" s="47" t="s">
        <v>56</v>
      </c>
      <c r="C57" s="46">
        <v>147</v>
      </c>
      <c r="D57" s="40">
        <v>0.15423415743108801</v>
      </c>
      <c r="E57" s="41">
        <v>2.98380221653879E-2</v>
      </c>
      <c r="F57" s="41">
        <v>0.116837679425351</v>
      </c>
      <c r="G57" s="48">
        <v>0.30038739597047898</v>
      </c>
      <c r="H57" s="35"/>
      <c r="I57" s="40">
        <f t="shared" si="0"/>
        <v>-6.1014423300815024E-3</v>
      </c>
      <c r="J57" s="41">
        <f t="shared" si="0"/>
        <v>-2.9102425779416775E-3</v>
      </c>
      <c r="K57" s="41">
        <f t="shared" si="0"/>
        <v>-6.3701605472789385E-2</v>
      </c>
      <c r="L57" s="48">
        <f t="shared" si="0"/>
        <v>1.9774846215100672E-2</v>
      </c>
      <c r="M57" s="35"/>
      <c r="N57" s="40">
        <f t="shared" si="1"/>
        <v>63.398492599999997</v>
      </c>
      <c r="O57" s="41">
        <f t="shared" si="2"/>
        <v>-0.20476574691484783</v>
      </c>
      <c r="P57" s="41">
        <f t="shared" si="2"/>
        <v>-11.95294837432691</v>
      </c>
      <c r="Q57" s="41">
        <f t="shared" si="2"/>
        <v>-4.74609575994283</v>
      </c>
      <c r="R57" s="41">
        <f t="shared" si="2"/>
        <v>3.4920843887801496</v>
      </c>
      <c r="S57" s="42">
        <f t="shared" si="3"/>
        <v>49.986767107595561</v>
      </c>
      <c r="T57" s="35"/>
      <c r="U57" s="43">
        <v>14076</v>
      </c>
      <c r="V57" s="44">
        <f t="shared" si="4"/>
        <v>703613.73380651511</v>
      </c>
      <c r="W57" s="140">
        <f t="shared" si="5"/>
        <v>5.3138863666687248E-4</v>
      </c>
      <c r="X57" s="35"/>
      <c r="Y57" s="49">
        <v>273016.13725640345</v>
      </c>
    </row>
    <row r="58" spans="1:25" x14ac:dyDescent="0.35">
      <c r="A58" s="35"/>
      <c r="B58" s="47" t="s">
        <v>57</v>
      </c>
      <c r="C58" s="46">
        <v>654</v>
      </c>
      <c r="D58" s="40">
        <v>0.13993721660272099</v>
      </c>
      <c r="E58" s="41">
        <v>1.96023718172306E-2</v>
      </c>
      <c r="F58" s="41">
        <v>0.22608725909982999</v>
      </c>
      <c r="G58" s="48">
        <v>0.30037094130922798</v>
      </c>
      <c r="H58" s="35"/>
      <c r="I58" s="40">
        <f t="shared" si="0"/>
        <v>-2.0398383158448524E-2</v>
      </c>
      <c r="J58" s="41">
        <f t="shared" si="0"/>
        <v>-1.3145892926098978E-2</v>
      </c>
      <c r="K58" s="41">
        <f t="shared" si="0"/>
        <v>4.5547974201689601E-2</v>
      </c>
      <c r="L58" s="48">
        <f t="shared" si="0"/>
        <v>1.9758391553849675E-2</v>
      </c>
      <c r="M58" s="35"/>
      <c r="N58" s="40">
        <f t="shared" si="1"/>
        <v>63.398492599999997</v>
      </c>
      <c r="O58" s="41">
        <f t="shared" si="2"/>
        <v>-0.6845742264418273</v>
      </c>
      <c r="P58" s="41">
        <f t="shared" si="2"/>
        <v>-53.992811688991587</v>
      </c>
      <c r="Q58" s="41">
        <f t="shared" si="2"/>
        <v>3.3935572836537879</v>
      </c>
      <c r="R58" s="41">
        <f t="shared" si="2"/>
        <v>3.4891786232913948</v>
      </c>
      <c r="S58" s="42">
        <f t="shared" si="3"/>
        <v>15.603842591511768</v>
      </c>
      <c r="T58" s="35"/>
      <c r="U58" s="43">
        <v>14335</v>
      </c>
      <c r="V58" s="44">
        <f t="shared" si="4"/>
        <v>223681.08354932119</v>
      </c>
      <c r="W58" s="140">
        <f t="shared" si="5"/>
        <v>1.6893016768221303E-4</v>
      </c>
      <c r="X58" s="35"/>
      <c r="Y58" s="49">
        <v>86792.713777181052</v>
      </c>
    </row>
    <row r="59" spans="1:25" x14ac:dyDescent="0.35">
      <c r="A59" s="35"/>
      <c r="B59" s="47" t="s">
        <v>58</v>
      </c>
      <c r="C59" s="46">
        <v>756</v>
      </c>
      <c r="D59" s="40">
        <v>0.14897670367951199</v>
      </c>
      <c r="E59" s="41">
        <v>2.31330285216634E-2</v>
      </c>
      <c r="F59" s="41">
        <v>0.18243100676094101</v>
      </c>
      <c r="G59" s="48">
        <v>0.28845070564499098</v>
      </c>
      <c r="H59" s="35"/>
      <c r="I59" s="40">
        <f t="shared" si="0"/>
        <v>-1.1358896081657521E-2</v>
      </c>
      <c r="J59" s="41">
        <f t="shared" si="0"/>
        <v>-9.6152362216661777E-3</v>
      </c>
      <c r="K59" s="41">
        <f t="shared" si="0"/>
        <v>1.8917218628006216E-3</v>
      </c>
      <c r="L59" s="48">
        <f t="shared" si="0"/>
        <v>7.8381558896126746E-3</v>
      </c>
      <c r="M59" s="35"/>
      <c r="N59" s="40">
        <f t="shared" si="1"/>
        <v>63.398492599999997</v>
      </c>
      <c r="O59" s="41">
        <f t="shared" si="2"/>
        <v>-0.38120705145756439</v>
      </c>
      <c r="P59" s="41">
        <f t="shared" si="2"/>
        <v>-39.491698401932048</v>
      </c>
      <c r="Q59" s="41">
        <f t="shared" si="2"/>
        <v>0.14094296439458387</v>
      </c>
      <c r="R59" s="41">
        <f t="shared" si="2"/>
        <v>1.384157506015895</v>
      </c>
      <c r="S59" s="42">
        <f t="shared" si="3"/>
        <v>25.050687617020863</v>
      </c>
      <c r="T59" s="35"/>
      <c r="U59" s="43">
        <v>18372</v>
      </c>
      <c r="V59" s="44">
        <f t="shared" si="4"/>
        <v>460231.23289990728</v>
      </c>
      <c r="W59" s="140">
        <f t="shared" si="5"/>
        <v>3.4757941133287628E-4</v>
      </c>
      <c r="X59" s="35"/>
      <c r="Y59" s="49">
        <v>178578.88130085476</v>
      </c>
    </row>
    <row r="60" spans="1:25" x14ac:dyDescent="0.35">
      <c r="A60" s="35"/>
      <c r="B60" s="47" t="s">
        <v>59</v>
      </c>
      <c r="C60" s="46">
        <v>757</v>
      </c>
      <c r="D60" s="40">
        <v>0.159506659066176</v>
      </c>
      <c r="E60" s="41">
        <v>2.60144063844121E-2</v>
      </c>
      <c r="F60" s="41">
        <v>0.162284835082741</v>
      </c>
      <c r="G60" s="48">
        <v>0.243076674950262</v>
      </c>
      <c r="H60" s="35"/>
      <c r="I60" s="40">
        <f t="shared" si="0"/>
        <v>-8.2894069499350742E-4</v>
      </c>
      <c r="J60" s="41">
        <f t="shared" si="0"/>
        <v>-6.7338583589174779E-3</v>
      </c>
      <c r="K60" s="41">
        <f t="shared" si="0"/>
        <v>-1.8254449815399393E-2</v>
      </c>
      <c r="L60" s="48">
        <f t="shared" si="0"/>
        <v>-3.7535874805116304E-2</v>
      </c>
      <c r="M60" s="35"/>
      <c r="N60" s="40">
        <f t="shared" si="1"/>
        <v>63.398492599999997</v>
      </c>
      <c r="O60" s="41">
        <f t="shared" si="2"/>
        <v>-2.7819432090935008E-2</v>
      </c>
      <c r="P60" s="41">
        <f t="shared" si="2"/>
        <v>-27.657303186423032</v>
      </c>
      <c r="Q60" s="41">
        <f t="shared" si="2"/>
        <v>-1.3600499740303098</v>
      </c>
      <c r="R60" s="41">
        <f t="shared" si="2"/>
        <v>-6.6285442121950515</v>
      </c>
      <c r="S60" s="42">
        <f t="shared" si="3"/>
        <v>27.724775795260662</v>
      </c>
      <c r="T60" s="35"/>
      <c r="U60" s="43">
        <v>19297</v>
      </c>
      <c r="V60" s="44">
        <f t="shared" si="4"/>
        <v>535004.99852114497</v>
      </c>
      <c r="W60" s="140">
        <f t="shared" si="5"/>
        <v>4.0405063618654586E-4</v>
      </c>
      <c r="X60" s="35"/>
      <c r="Y60" s="49">
        <v>207592.59106400114</v>
      </c>
    </row>
    <row r="61" spans="1:25" x14ac:dyDescent="0.35">
      <c r="A61" s="35"/>
      <c r="B61" s="47" t="s">
        <v>60</v>
      </c>
      <c r="C61" s="46">
        <v>758</v>
      </c>
      <c r="D61" s="40">
        <v>0.16906483738997499</v>
      </c>
      <c r="E61" s="41">
        <v>4.7795363444770401E-2</v>
      </c>
      <c r="F61" s="41">
        <v>0.156755494585986</v>
      </c>
      <c r="G61" s="48">
        <v>0.25940906127424102</v>
      </c>
      <c r="H61" s="35"/>
      <c r="I61" s="40">
        <f t="shared" si="0"/>
        <v>8.7292376288054807E-3</v>
      </c>
      <c r="J61" s="41">
        <f t="shared" si="0"/>
        <v>1.5047098701440824E-2</v>
      </c>
      <c r="K61" s="41">
        <f t="shared" si="0"/>
        <v>-2.3783790312154385E-2</v>
      </c>
      <c r="L61" s="48">
        <f t="shared" si="0"/>
        <v>-2.1203488481137289E-2</v>
      </c>
      <c r="M61" s="35"/>
      <c r="N61" s="40">
        <f t="shared" si="1"/>
        <v>63.398492599999997</v>
      </c>
      <c r="O61" s="41">
        <f t="shared" si="2"/>
        <v>0.29295513525499028</v>
      </c>
      <c r="P61" s="41">
        <f t="shared" si="2"/>
        <v>61.801444087499732</v>
      </c>
      <c r="Q61" s="41">
        <f t="shared" si="2"/>
        <v>-1.7720141512619001</v>
      </c>
      <c r="R61" s="41">
        <f t="shared" si="2"/>
        <v>-3.7443715266982318</v>
      </c>
      <c r="S61" s="42">
        <f t="shared" si="3"/>
        <v>119.9765061447946</v>
      </c>
      <c r="T61" s="35"/>
      <c r="U61" s="43">
        <v>120995</v>
      </c>
      <c r="V61" s="44">
        <f t="shared" si="4"/>
        <v>14516557.360989422</v>
      </c>
      <c r="W61" s="140">
        <f t="shared" si="5"/>
        <v>1.0963307358173108E-2</v>
      </c>
      <c r="X61" s="35"/>
      <c r="Y61" s="49">
        <v>5632713.2722627986</v>
      </c>
    </row>
    <row r="62" spans="1:25" x14ac:dyDescent="0.35">
      <c r="A62" s="35"/>
      <c r="B62" s="47" t="s">
        <v>61</v>
      </c>
      <c r="C62" s="46">
        <v>501</v>
      </c>
      <c r="D62" s="40">
        <v>0.15608760207869299</v>
      </c>
      <c r="E62" s="41">
        <v>2.5798069784706799E-2</v>
      </c>
      <c r="F62" s="41">
        <v>0.14468214866040499</v>
      </c>
      <c r="G62" s="48">
        <v>0.28400629664902299</v>
      </c>
      <c r="H62" s="35"/>
      <c r="I62" s="40">
        <f t="shared" si="0"/>
        <v>-4.2479976824765231E-3</v>
      </c>
      <c r="J62" s="41">
        <f t="shared" si="0"/>
        <v>-6.9501949586227782E-3</v>
      </c>
      <c r="K62" s="41">
        <f t="shared" si="0"/>
        <v>-3.5857136237735399E-2</v>
      </c>
      <c r="L62" s="48">
        <f t="shared" si="0"/>
        <v>3.3937468936446891E-3</v>
      </c>
      <c r="M62" s="35"/>
      <c r="N62" s="40">
        <f t="shared" si="1"/>
        <v>63.398492599999997</v>
      </c>
      <c r="O62" s="41">
        <f t="shared" si="2"/>
        <v>-0.14256373678340226</v>
      </c>
      <c r="P62" s="41">
        <f t="shared" si="2"/>
        <v>-28.545840873059376</v>
      </c>
      <c r="Q62" s="41">
        <f t="shared" si="2"/>
        <v>-2.6715402382488245</v>
      </c>
      <c r="R62" s="41">
        <f t="shared" si="2"/>
        <v>0.59930936594175743</v>
      </c>
      <c r="S62" s="42">
        <f t="shared" si="3"/>
        <v>32.637857117850153</v>
      </c>
      <c r="T62" s="35"/>
      <c r="U62" s="43">
        <v>10776</v>
      </c>
      <c r="V62" s="44">
        <f t="shared" si="4"/>
        <v>351705.54830195324</v>
      </c>
      <c r="W62" s="140">
        <f t="shared" si="5"/>
        <v>2.6561779971131551E-4</v>
      </c>
      <c r="X62" s="35"/>
      <c r="Y62" s="49">
        <v>136468.75499370132</v>
      </c>
    </row>
    <row r="63" spans="1:25" x14ac:dyDescent="0.35">
      <c r="A63" s="35"/>
      <c r="B63" s="47" t="s">
        <v>62</v>
      </c>
      <c r="C63" s="46">
        <v>1876</v>
      </c>
      <c r="D63" s="40">
        <v>0.13879643788791901</v>
      </c>
      <c r="E63" s="41">
        <v>2.0374201673113299E-2</v>
      </c>
      <c r="F63" s="41">
        <v>0.173903525282955</v>
      </c>
      <c r="G63" s="48">
        <v>0.29148953087398799</v>
      </c>
      <c r="H63" s="35"/>
      <c r="I63" s="40">
        <f t="shared" si="0"/>
        <v>-2.1539161873250501E-2</v>
      </c>
      <c r="J63" s="41">
        <f t="shared" si="0"/>
        <v>-1.2374063070216278E-2</v>
      </c>
      <c r="K63" s="41">
        <f t="shared" si="0"/>
        <v>-6.6357596151853937E-3</v>
      </c>
      <c r="L63" s="48">
        <f t="shared" si="0"/>
        <v>1.0876981118609685E-2</v>
      </c>
      <c r="M63" s="35"/>
      <c r="N63" s="40">
        <f t="shared" si="1"/>
        <v>63.398492599999997</v>
      </c>
      <c r="O63" s="41">
        <f t="shared" si="2"/>
        <v>-0.72285901108189898</v>
      </c>
      <c r="P63" s="41">
        <f t="shared" si="2"/>
        <v>-50.82275208947356</v>
      </c>
      <c r="Q63" s="41">
        <f t="shared" si="2"/>
        <v>-0.49439806642054163</v>
      </c>
      <c r="R63" s="41">
        <f t="shared" si="2"/>
        <v>1.9207904601729902</v>
      </c>
      <c r="S63" s="42">
        <f t="shared" si="3"/>
        <v>13.279273893196983</v>
      </c>
      <c r="T63" s="35"/>
      <c r="U63" s="43">
        <v>22234</v>
      </c>
      <c r="V63" s="44">
        <f t="shared" si="4"/>
        <v>295251.37574134173</v>
      </c>
      <c r="W63" s="140">
        <f t="shared" si="5"/>
        <v>2.2298204041644497E-4</v>
      </c>
      <c r="X63" s="35"/>
      <c r="Y63" s="49">
        <v>114563.41207050173</v>
      </c>
    </row>
    <row r="64" spans="1:25" x14ac:dyDescent="0.35">
      <c r="A64" s="35"/>
      <c r="B64" s="47" t="s">
        <v>63</v>
      </c>
      <c r="C64" s="46">
        <v>213</v>
      </c>
      <c r="D64" s="40">
        <v>0.15080845771144299</v>
      </c>
      <c r="E64" s="41">
        <v>2.9850746268656699E-2</v>
      </c>
      <c r="F64" s="41">
        <v>0.22819428200664399</v>
      </c>
      <c r="G64" s="48">
        <v>0.27693115005317298</v>
      </c>
      <c r="H64" s="35"/>
      <c r="I64" s="40">
        <f t="shared" si="0"/>
        <v>-9.5271420497265169E-3</v>
      </c>
      <c r="J64" s="41">
        <f t="shared" si="0"/>
        <v>-2.8975184746728791E-3</v>
      </c>
      <c r="K64" s="41">
        <f t="shared" si="0"/>
        <v>4.7654997108503599E-2</v>
      </c>
      <c r="L64" s="48">
        <f t="shared" si="0"/>
        <v>-3.6813997022053235E-3</v>
      </c>
      <c r="M64" s="35"/>
      <c r="N64" s="40">
        <f t="shared" si="1"/>
        <v>63.398492599999997</v>
      </c>
      <c r="O64" s="41">
        <f t="shared" si="2"/>
        <v>-0.31973298316007287</v>
      </c>
      <c r="P64" s="41">
        <f t="shared" si="2"/>
        <v>-11.900687937126818</v>
      </c>
      <c r="Q64" s="41">
        <f t="shared" si="2"/>
        <v>3.5505412781687138</v>
      </c>
      <c r="R64" s="41">
        <f t="shared" si="2"/>
        <v>-0.65010661974777106</v>
      </c>
      <c r="S64" s="42">
        <f t="shared" si="3"/>
        <v>54.078506338134048</v>
      </c>
      <c r="T64" s="35"/>
      <c r="U64" s="43">
        <v>12864</v>
      </c>
      <c r="V64" s="44">
        <f t="shared" si="4"/>
        <v>695665.90553375636</v>
      </c>
      <c r="W64" s="140">
        <f t="shared" si="5"/>
        <v>5.2538621598148397E-4</v>
      </c>
      <c r="X64" s="35"/>
      <c r="Y64" s="49">
        <v>269932.22164994304</v>
      </c>
    </row>
    <row r="65" spans="1:25" x14ac:dyDescent="0.35">
      <c r="A65" s="35"/>
      <c r="B65" s="47" t="s">
        <v>64</v>
      </c>
      <c r="C65" s="46">
        <v>899</v>
      </c>
      <c r="D65" s="40">
        <v>0.21640217511929899</v>
      </c>
      <c r="E65" s="41">
        <v>5.90944401287316E-2</v>
      </c>
      <c r="F65" s="41">
        <v>0.19142600298839699</v>
      </c>
      <c r="G65" s="48">
        <v>0.34051953977528998</v>
      </c>
      <c r="H65" s="35"/>
      <c r="I65" s="40">
        <f t="shared" si="0"/>
        <v>5.6066575358129478E-2</v>
      </c>
      <c r="J65" s="41">
        <f t="shared" si="0"/>
        <v>2.6346175385402022E-2</v>
      </c>
      <c r="K65" s="41">
        <f t="shared" si="0"/>
        <v>1.0886718090256597E-2</v>
      </c>
      <c r="L65" s="48">
        <f t="shared" si="0"/>
        <v>5.9906990019911677E-2</v>
      </c>
      <c r="M65" s="35"/>
      <c r="N65" s="40">
        <f t="shared" si="1"/>
        <v>63.398492599999997</v>
      </c>
      <c r="O65" s="41">
        <f t="shared" si="2"/>
        <v>1.8816066036654042</v>
      </c>
      <c r="P65" s="41">
        <f t="shared" si="2"/>
        <v>108.20901206984669</v>
      </c>
      <c r="Q65" s="41">
        <f t="shared" si="2"/>
        <v>0.81111623772073871</v>
      </c>
      <c r="R65" s="41">
        <f t="shared" si="2"/>
        <v>10.579109559273848</v>
      </c>
      <c r="S65" s="42">
        <f t="shared" si="3"/>
        <v>184.87933707050669</v>
      </c>
      <c r="T65" s="35"/>
      <c r="U65" s="43">
        <v>18022</v>
      </c>
      <c r="V65" s="44">
        <f t="shared" si="4"/>
        <v>3331895.4126846716</v>
      </c>
      <c r="W65" s="140">
        <f t="shared" si="5"/>
        <v>2.5163399686424937E-3</v>
      </c>
      <c r="X65" s="35"/>
      <c r="Y65" s="49">
        <v>1292841.7562179714</v>
      </c>
    </row>
    <row r="66" spans="1:25" x14ac:dyDescent="0.35">
      <c r="A66" s="35"/>
      <c r="B66" s="47" t="s">
        <v>65</v>
      </c>
      <c r="C66" s="46">
        <v>312</v>
      </c>
      <c r="D66" s="40">
        <v>0.11295790049207199</v>
      </c>
      <c r="E66" s="41">
        <v>1.8370694368507402E-2</v>
      </c>
      <c r="F66" s="41">
        <v>8.1566701584349297E-2</v>
      </c>
      <c r="G66" s="48">
        <v>0.23737528196187299</v>
      </c>
      <c r="H66" s="35"/>
      <c r="I66" s="40">
        <f t="shared" si="0"/>
        <v>-4.7377699269097517E-2</v>
      </c>
      <c r="J66" s="41">
        <f t="shared" si="0"/>
        <v>-1.4377570374822176E-2</v>
      </c>
      <c r="K66" s="41">
        <f t="shared" si="0"/>
        <v>-9.8972583313791093E-2</v>
      </c>
      <c r="L66" s="48">
        <f t="shared" si="0"/>
        <v>-4.3237267793505313E-2</v>
      </c>
      <c r="M66" s="35"/>
      <c r="N66" s="40">
        <f t="shared" si="1"/>
        <v>63.398492599999997</v>
      </c>
      <c r="O66" s="41">
        <f t="shared" si="2"/>
        <v>-1.590006010564752</v>
      </c>
      <c r="P66" s="41">
        <f t="shared" si="2"/>
        <v>-59.051557331021051</v>
      </c>
      <c r="Q66" s="41">
        <f t="shared" si="2"/>
        <v>-7.3739641965040033</v>
      </c>
      <c r="R66" s="41">
        <f t="shared" si="2"/>
        <v>-7.6353659711349611</v>
      </c>
      <c r="S66" s="42">
        <f t="shared" si="3"/>
        <v>-12.252400909224768</v>
      </c>
      <c r="T66" s="35"/>
      <c r="U66" s="43">
        <v>9145</v>
      </c>
      <c r="V66" s="44">
        <f t="shared" si="4"/>
        <v>91450</v>
      </c>
      <c r="W66" s="140">
        <f t="shared" si="5"/>
        <v>6.9065580286908725E-5</v>
      </c>
      <c r="X66" s="35"/>
      <c r="Y66" s="49">
        <v>35484.420716216147</v>
      </c>
    </row>
    <row r="67" spans="1:25" x14ac:dyDescent="0.35">
      <c r="A67" s="35"/>
      <c r="B67" s="47" t="s">
        <v>66</v>
      </c>
      <c r="C67" s="46">
        <v>313</v>
      </c>
      <c r="D67" s="40">
        <v>0.114277299167955</v>
      </c>
      <c r="E67" s="41">
        <v>1.5241882041086801E-2</v>
      </c>
      <c r="F67" s="41">
        <v>0.26893449074477299</v>
      </c>
      <c r="G67" s="48">
        <v>0.23689912580449399</v>
      </c>
      <c r="H67" s="35"/>
      <c r="I67" s="40">
        <f t="shared" si="0"/>
        <v>-4.6058300593214516E-2</v>
      </c>
      <c r="J67" s="41">
        <f t="shared" si="0"/>
        <v>-1.7506382702242779E-2</v>
      </c>
      <c r="K67" s="41">
        <f t="shared" si="0"/>
        <v>8.8395205846632602E-2</v>
      </c>
      <c r="L67" s="48">
        <f t="shared" si="0"/>
        <v>-4.3713423950884317E-2</v>
      </c>
      <c r="M67" s="35"/>
      <c r="N67" s="40">
        <f t="shared" si="1"/>
        <v>63.398492599999997</v>
      </c>
      <c r="O67" s="41">
        <f t="shared" si="2"/>
        <v>-1.5457267007344098</v>
      </c>
      <c r="P67" s="41">
        <f t="shared" si="2"/>
        <v>-71.902215384779197</v>
      </c>
      <c r="Q67" s="41">
        <f t="shared" si="2"/>
        <v>6.5858954190280636</v>
      </c>
      <c r="R67" s="41">
        <f t="shared" si="2"/>
        <v>-7.7194514535563119</v>
      </c>
      <c r="S67" s="42">
        <f t="shared" si="3"/>
        <v>-11.18300552004186</v>
      </c>
      <c r="T67" s="35"/>
      <c r="U67" s="43">
        <v>13581</v>
      </c>
      <c r="V67" s="44">
        <f t="shared" si="4"/>
        <v>135810</v>
      </c>
      <c r="W67" s="140">
        <f t="shared" si="5"/>
        <v>1.0256748451356013E-4</v>
      </c>
      <c r="X67" s="35"/>
      <c r="Y67" s="49">
        <v>52696.983897969541</v>
      </c>
    </row>
    <row r="68" spans="1:25" x14ac:dyDescent="0.35">
      <c r="A68" s="35"/>
      <c r="B68" s="47" t="s">
        <v>67</v>
      </c>
      <c r="C68" s="46">
        <v>214</v>
      </c>
      <c r="D68" s="40">
        <v>0.14426460239268099</v>
      </c>
      <c r="E68" s="41">
        <v>1.7827820783485802E-2</v>
      </c>
      <c r="F68" s="41">
        <v>0.223585767643116</v>
      </c>
      <c r="G68" s="48">
        <v>0.27127339192547401</v>
      </c>
      <c r="H68" s="35"/>
      <c r="I68" s="40">
        <f t="shared" si="0"/>
        <v>-1.6070997368488521E-2</v>
      </c>
      <c r="J68" s="41">
        <f t="shared" si="0"/>
        <v>-1.4920443959843776E-2</v>
      </c>
      <c r="K68" s="41">
        <f t="shared" si="0"/>
        <v>4.3046482744975606E-2</v>
      </c>
      <c r="L68" s="48">
        <f t="shared" si="0"/>
        <v>-9.3391578299042988E-3</v>
      </c>
      <c r="M68" s="35"/>
      <c r="N68" s="40">
        <f t="shared" si="1"/>
        <v>63.398492599999997</v>
      </c>
      <c r="O68" s="41">
        <f t="shared" si="2"/>
        <v>-0.53934620730589589</v>
      </c>
      <c r="P68" s="41">
        <f t="shared" si="2"/>
        <v>-61.28124773027924</v>
      </c>
      <c r="Q68" s="41">
        <f t="shared" si="2"/>
        <v>3.2071833624923372</v>
      </c>
      <c r="R68" s="41">
        <f t="shared" si="2"/>
        <v>-1.6492228008963392</v>
      </c>
      <c r="S68" s="42">
        <f t="shared" si="3"/>
        <v>3.1358592240108578</v>
      </c>
      <c r="T68" s="35"/>
      <c r="U68" s="43">
        <v>17052</v>
      </c>
      <c r="V68" s="44">
        <f t="shared" si="4"/>
        <v>170520</v>
      </c>
      <c r="W68" s="140">
        <f t="shared" si="5"/>
        <v>1.2878144068369246E-4</v>
      </c>
      <c r="X68" s="35"/>
      <c r="Y68" s="49">
        <v>66165.154953845558</v>
      </c>
    </row>
    <row r="69" spans="1:25" x14ac:dyDescent="0.35">
      <c r="A69" s="35"/>
      <c r="B69" s="47" t="s">
        <v>68</v>
      </c>
      <c r="C69" s="46">
        <v>502</v>
      </c>
      <c r="D69" s="40">
        <v>0.19367478309543801</v>
      </c>
      <c r="E69" s="41">
        <v>6.0686631215598502E-2</v>
      </c>
      <c r="F69" s="41">
        <v>0.153340195219587</v>
      </c>
      <c r="G69" s="48">
        <v>0.26053347268483701</v>
      </c>
      <c r="H69" s="35"/>
      <c r="I69" s="40">
        <f t="shared" si="0"/>
        <v>3.3339183334268496E-2</v>
      </c>
      <c r="J69" s="41">
        <f t="shared" si="0"/>
        <v>2.7938366472268925E-2</v>
      </c>
      <c r="K69" s="41">
        <f t="shared" si="0"/>
        <v>-2.719908967855339E-2</v>
      </c>
      <c r="L69" s="48">
        <f t="shared" si="0"/>
        <v>-2.0079077070541296E-2</v>
      </c>
      <c r="M69" s="35"/>
      <c r="N69" s="40">
        <f t="shared" si="1"/>
        <v>63.398492599999997</v>
      </c>
      <c r="O69" s="41">
        <f t="shared" si="2"/>
        <v>1.1188703273183842</v>
      </c>
      <c r="P69" s="41">
        <f t="shared" si="2"/>
        <v>114.74845933367027</v>
      </c>
      <c r="Q69" s="41">
        <f t="shared" si="2"/>
        <v>-2.0264714403913819</v>
      </c>
      <c r="R69" s="41">
        <f t="shared" si="2"/>
        <v>-3.5458091970195253</v>
      </c>
      <c r="S69" s="42">
        <f t="shared" si="3"/>
        <v>173.69354162357774</v>
      </c>
      <c r="T69" s="35"/>
      <c r="U69" s="43">
        <v>42876</v>
      </c>
      <c r="V69" s="44">
        <f t="shared" si="4"/>
        <v>7447284.2906525191</v>
      </c>
      <c r="W69" s="140">
        <f t="shared" si="5"/>
        <v>5.6243959660524402E-3</v>
      </c>
      <c r="X69" s="35"/>
      <c r="Y69" s="49">
        <v>2889694.5758642023</v>
      </c>
    </row>
    <row r="70" spans="1:25" x14ac:dyDescent="0.35">
      <c r="A70" s="35"/>
      <c r="B70" s="47" t="s">
        <v>69</v>
      </c>
      <c r="C70" s="46">
        <v>383</v>
      </c>
      <c r="D70" s="40">
        <v>0.12939208031232599</v>
      </c>
      <c r="E70" s="41">
        <v>1.9009109499907001E-2</v>
      </c>
      <c r="F70" s="41">
        <v>0.116233092311971</v>
      </c>
      <c r="G70" s="48">
        <v>0.271519724531191</v>
      </c>
      <c r="H70" s="35"/>
      <c r="I70" s="40">
        <f t="shared" si="0"/>
        <v>-3.0943519448843521E-2</v>
      </c>
      <c r="J70" s="41">
        <f t="shared" si="0"/>
        <v>-1.3739155243422577E-2</v>
      </c>
      <c r="K70" s="41">
        <f t="shared" si="0"/>
        <v>-6.4306192586169389E-2</v>
      </c>
      <c r="L70" s="48">
        <f t="shared" si="0"/>
        <v>-9.0928252241873064E-3</v>
      </c>
      <c r="M70" s="35"/>
      <c r="N70" s="40">
        <f t="shared" si="1"/>
        <v>63.398492599999997</v>
      </c>
      <c r="O70" s="41">
        <f t="shared" si="2"/>
        <v>-1.0384713202774674</v>
      </c>
      <c r="P70" s="41">
        <f t="shared" si="2"/>
        <v>-56.429458690568318</v>
      </c>
      <c r="Q70" s="41">
        <f t="shared" si="2"/>
        <v>-4.7911405953756612</v>
      </c>
      <c r="R70" s="41">
        <f t="shared" si="2"/>
        <v>-1.6057223742677387</v>
      </c>
      <c r="S70" s="42">
        <f t="shared" si="3"/>
        <v>-0.46630038048918632</v>
      </c>
      <c r="T70" s="35"/>
      <c r="U70" s="43">
        <v>21516</v>
      </c>
      <c r="V70" s="44">
        <f t="shared" si="4"/>
        <v>215160</v>
      </c>
      <c r="W70" s="140">
        <f t="shared" si="5"/>
        <v>1.624948086881496E-4</v>
      </c>
      <c r="X70" s="35"/>
      <c r="Y70" s="49">
        <v>83486.363710235819</v>
      </c>
    </row>
    <row r="71" spans="1:25" x14ac:dyDescent="0.35">
      <c r="A71" s="35"/>
      <c r="B71" s="47" t="s">
        <v>70</v>
      </c>
      <c r="C71" s="46">
        <v>109</v>
      </c>
      <c r="D71" s="40">
        <v>0.18513587954461999</v>
      </c>
      <c r="E71" s="41">
        <v>4.9072713918472302E-2</v>
      </c>
      <c r="F71" s="41">
        <v>0.20734038581429101</v>
      </c>
      <c r="G71" s="48">
        <v>0.35044174432754199</v>
      </c>
      <c r="H71" s="35"/>
      <c r="I71" s="40">
        <f t="shared" si="0"/>
        <v>2.480027978345048E-2</v>
      </c>
      <c r="J71" s="41">
        <f t="shared" si="0"/>
        <v>1.6324449175142725E-2</v>
      </c>
      <c r="K71" s="41">
        <f t="shared" si="0"/>
        <v>2.6801100916150622E-2</v>
      </c>
      <c r="L71" s="48">
        <f t="shared" si="0"/>
        <v>6.9829194572163689E-2</v>
      </c>
      <c r="M71" s="35"/>
      <c r="N71" s="40">
        <f t="shared" si="1"/>
        <v>63.398492599999997</v>
      </c>
      <c r="O71" s="41">
        <f t="shared" si="2"/>
        <v>0.83230284559415046</v>
      </c>
      <c r="P71" s="41">
        <f t="shared" si="2"/>
        <v>67.047777978635182</v>
      </c>
      <c r="Q71" s="41">
        <f t="shared" si="2"/>
        <v>1.9968192398899121</v>
      </c>
      <c r="R71" s="41">
        <f t="shared" si="2"/>
        <v>12.331293886894228</v>
      </c>
      <c r="S71" s="42">
        <f t="shared" si="3"/>
        <v>145.60668655101347</v>
      </c>
      <c r="T71" s="35"/>
      <c r="U71" s="43">
        <v>21784</v>
      </c>
      <c r="V71" s="44">
        <f t="shared" si="4"/>
        <v>3171896.0598272774</v>
      </c>
      <c r="W71" s="140">
        <f t="shared" si="5"/>
        <v>2.3955040129221461E-3</v>
      </c>
      <c r="X71" s="35"/>
      <c r="Y71" s="49">
        <v>1230758.8218154118</v>
      </c>
    </row>
    <row r="72" spans="1:25" x14ac:dyDescent="0.35">
      <c r="A72" s="35"/>
      <c r="B72" s="47" t="s">
        <v>71</v>
      </c>
      <c r="C72" s="46">
        <v>1706</v>
      </c>
      <c r="D72" s="40">
        <v>0.16648706896551699</v>
      </c>
      <c r="E72" s="41">
        <v>2.5323275862068999E-2</v>
      </c>
      <c r="F72" s="41">
        <v>0.18860078898524399</v>
      </c>
      <c r="G72" s="48">
        <v>0.25082310906855998</v>
      </c>
      <c r="H72" s="35"/>
      <c r="I72" s="40">
        <f t="shared" si="0"/>
        <v>6.1514692043474761E-3</v>
      </c>
      <c r="J72" s="41">
        <f t="shared" si="0"/>
        <v>-7.4249888812605788E-3</v>
      </c>
      <c r="K72" s="41">
        <f t="shared" si="0"/>
        <v>8.0615040871035992E-3</v>
      </c>
      <c r="L72" s="48">
        <f t="shared" si="0"/>
        <v>-2.9789440686818325E-2</v>
      </c>
      <c r="M72" s="35"/>
      <c r="N72" s="40">
        <f t="shared" si="1"/>
        <v>63.398492599999997</v>
      </c>
      <c r="O72" s="41">
        <f t="shared" si="2"/>
        <v>0.20644465982112625</v>
      </c>
      <c r="P72" s="41">
        <f t="shared" si="2"/>
        <v>-30.49591448161323</v>
      </c>
      <c r="Q72" s="41">
        <f t="shared" si="2"/>
        <v>0.60062332939014418</v>
      </c>
      <c r="R72" s="41">
        <f t="shared" si="2"/>
        <v>-5.2605840592323867</v>
      </c>
      <c r="S72" s="42">
        <f t="shared" si="3"/>
        <v>28.449062048365647</v>
      </c>
      <c r="T72" s="35"/>
      <c r="U72" s="43">
        <v>12992</v>
      </c>
      <c r="V72" s="44">
        <f t="shared" si="4"/>
        <v>369610.21413236647</v>
      </c>
      <c r="W72" s="140">
        <f t="shared" si="5"/>
        <v>2.7913990070005992E-4</v>
      </c>
      <c r="X72" s="35"/>
      <c r="Y72" s="49">
        <v>143416.12180736609</v>
      </c>
    </row>
    <row r="73" spans="1:25" x14ac:dyDescent="0.35">
      <c r="A73" s="35"/>
      <c r="B73" s="47" t="s">
        <v>813</v>
      </c>
      <c r="C73" s="46">
        <v>611</v>
      </c>
      <c r="D73" s="40">
        <v>0.135887197404542</v>
      </c>
      <c r="E73" s="41">
        <v>1.4849014225106099E-2</v>
      </c>
      <c r="F73" s="41">
        <v>0.173537062881124</v>
      </c>
      <c r="G73" s="48">
        <v>0.27824042206510102</v>
      </c>
      <c r="H73" s="35"/>
      <c r="I73" s="40">
        <f t="shared" si="0"/>
        <v>-2.4448402356627513E-2</v>
      </c>
      <c r="J73" s="41">
        <f t="shared" si="0"/>
        <v>-1.7899250518223477E-2</v>
      </c>
      <c r="K73" s="41">
        <f t="shared" si="0"/>
        <v>-7.0022220170163907E-3</v>
      </c>
      <c r="L73" s="48">
        <f t="shared" si="0"/>
        <v>-2.3721276902772814E-3</v>
      </c>
      <c r="M73" s="35"/>
      <c r="N73" s="40">
        <f t="shared" si="1"/>
        <v>63.398492599999997</v>
      </c>
      <c r="O73" s="41">
        <f t="shared" si="2"/>
        <v>-0.82049376173693778</v>
      </c>
      <c r="P73" s="41">
        <f t="shared" si="2"/>
        <v>-73.515802086432473</v>
      </c>
      <c r="Q73" s="41">
        <f t="shared" si="2"/>
        <v>-0.52170139164444829</v>
      </c>
      <c r="R73" s="41">
        <f t="shared" si="2"/>
        <v>-0.41889934239209137</v>
      </c>
      <c r="S73" s="42">
        <f t="shared" si="3"/>
        <v>-11.878403982205956</v>
      </c>
      <c r="T73" s="35"/>
      <c r="U73" s="43">
        <v>8014</v>
      </c>
      <c r="V73" s="44">
        <f t="shared" si="4"/>
        <v>80140</v>
      </c>
      <c r="W73" s="140">
        <f t="shared" si="5"/>
        <v>6.0523954119112795E-5</v>
      </c>
      <c r="X73" s="35"/>
      <c r="Y73" s="49">
        <v>31095.915540705977</v>
      </c>
    </row>
    <row r="74" spans="1:25" x14ac:dyDescent="0.35">
      <c r="A74" s="35"/>
      <c r="B74" s="47" t="s">
        <v>72</v>
      </c>
      <c r="C74" s="46">
        <v>1684</v>
      </c>
      <c r="D74" s="40">
        <v>0.150956499779026</v>
      </c>
      <c r="E74" s="41">
        <v>3.1883325967548497E-2</v>
      </c>
      <c r="F74" s="41">
        <v>0.17941890237716901</v>
      </c>
      <c r="G74" s="48">
        <v>0.291372233137485</v>
      </c>
      <c r="H74" s="35"/>
      <c r="I74" s="40">
        <f t="shared" si="0"/>
        <v>-9.3790999821435073E-3</v>
      </c>
      <c r="J74" s="41">
        <f t="shared" si="0"/>
        <v>-8.6493877578108086E-4</v>
      </c>
      <c r="K74" s="41">
        <f t="shared" si="0"/>
        <v>-1.1203825209713802E-3</v>
      </c>
      <c r="L74" s="48">
        <f t="shared" ref="L74:L137" si="6">G74-G$4</f>
        <v>1.07596833821067E-2</v>
      </c>
      <c r="M74" s="35"/>
      <c r="N74" s="40">
        <f t="shared" si="1"/>
        <v>63.398492599999997</v>
      </c>
      <c r="O74" s="41">
        <f t="shared" si="2"/>
        <v>-0.31476465880273219</v>
      </c>
      <c r="P74" s="41">
        <f t="shared" si="2"/>
        <v>-3.5524765571868309</v>
      </c>
      <c r="Q74" s="41">
        <f t="shared" si="2"/>
        <v>-8.3474234170875211E-2</v>
      </c>
      <c r="R74" s="41">
        <f t="shared" ref="R74:R137" si="7">100*R$8*L74</f>
        <v>1.900076590136998</v>
      </c>
      <c r="S74" s="42">
        <f t="shared" si="3"/>
        <v>61.347853739976564</v>
      </c>
      <c r="T74" s="35"/>
      <c r="U74" s="43">
        <v>15839</v>
      </c>
      <c r="V74" s="44">
        <f t="shared" si="4"/>
        <v>971688.65538748878</v>
      </c>
      <c r="W74" s="140">
        <f t="shared" si="5"/>
        <v>7.3384626399718958E-4</v>
      </c>
      <c r="X74" s="35"/>
      <c r="Y74" s="49">
        <v>377034.54404531454</v>
      </c>
    </row>
    <row r="75" spans="1:25" x14ac:dyDescent="0.35">
      <c r="A75" s="35"/>
      <c r="B75" s="47" t="s">
        <v>73</v>
      </c>
      <c r="C75" s="46">
        <v>216</v>
      </c>
      <c r="D75" s="40">
        <v>0.15788028555738601</v>
      </c>
      <c r="E75" s="41">
        <v>4.0087863811092798E-2</v>
      </c>
      <c r="F75" s="41">
        <v>0.20200047488624601</v>
      </c>
      <c r="G75" s="48">
        <v>0.24664156537819501</v>
      </c>
      <c r="H75" s="35"/>
      <c r="I75" s="40">
        <f t="shared" ref="I75:L138" si="8">D75-D$4</f>
        <v>-2.4553142037835041E-3</v>
      </c>
      <c r="J75" s="41">
        <f t="shared" si="8"/>
        <v>7.3395990677632209E-3</v>
      </c>
      <c r="K75" s="41">
        <f t="shared" si="8"/>
        <v>2.1461189988105617E-2</v>
      </c>
      <c r="L75" s="48">
        <f t="shared" si="6"/>
        <v>-3.3970984377183294E-2</v>
      </c>
      <c r="M75" s="35"/>
      <c r="N75" s="40">
        <f t="shared" ref="N75:N138" si="9">N$8</f>
        <v>63.398492599999997</v>
      </c>
      <c r="O75" s="41">
        <f t="shared" ref="O75:R138" si="10">100*O$8*I75</f>
        <v>-8.2400884848099237E-2</v>
      </c>
      <c r="P75" s="41">
        <f t="shared" si="10"/>
        <v>30.145201437909083</v>
      </c>
      <c r="Q75" s="41">
        <f t="shared" si="10"/>
        <v>1.5989685354066077</v>
      </c>
      <c r="R75" s="41">
        <f t="shared" si="7"/>
        <v>-5.9990122261718026</v>
      </c>
      <c r="S75" s="42">
        <f t="shared" ref="S75:S138" si="11">SUM(N75:R75)</f>
        <v>89.061249462295791</v>
      </c>
      <c r="T75" s="35"/>
      <c r="U75" s="43">
        <v>18210</v>
      </c>
      <c r="V75" s="44">
        <f t="shared" ref="V75:V138" si="12">MAX(S75,10)*U75</f>
        <v>1621805.3527084063</v>
      </c>
      <c r="W75" s="140">
        <f t="shared" ref="W75:W138" si="13">V75/V$10</f>
        <v>1.224832452676006E-3</v>
      </c>
      <c r="X75" s="35"/>
      <c r="Y75" s="49">
        <v>629292.76605047996</v>
      </c>
    </row>
    <row r="76" spans="1:25" x14ac:dyDescent="0.35">
      <c r="A76" s="35"/>
      <c r="B76" s="47" t="s">
        <v>74</v>
      </c>
      <c r="C76" s="46">
        <v>148</v>
      </c>
      <c r="D76" s="40">
        <v>0.119272352840227</v>
      </c>
      <c r="E76" s="41">
        <v>1.8133974028945701E-2</v>
      </c>
      <c r="F76" s="41">
        <v>0.173198943578906</v>
      </c>
      <c r="G76" s="48">
        <v>0.28292851366103899</v>
      </c>
      <c r="H76" s="35"/>
      <c r="I76" s="40">
        <f t="shared" si="8"/>
        <v>-4.1063246920942514E-2</v>
      </c>
      <c r="J76" s="41">
        <f t="shared" si="8"/>
        <v>-1.4614290714383877E-2</v>
      </c>
      <c r="K76" s="41">
        <f t="shared" si="8"/>
        <v>-7.3403413192343892E-3</v>
      </c>
      <c r="L76" s="48">
        <f t="shared" si="6"/>
        <v>2.3159639056606895E-3</v>
      </c>
      <c r="M76" s="35"/>
      <c r="N76" s="40">
        <f t="shared" si="9"/>
        <v>63.398492599999997</v>
      </c>
      <c r="O76" s="41">
        <f t="shared" si="10"/>
        <v>-1.3780916005811534</v>
      </c>
      <c r="P76" s="41">
        <f t="shared" si="10"/>
        <v>-60.023815114403277</v>
      </c>
      <c r="Q76" s="41">
        <f t="shared" si="10"/>
        <v>-0.54689301083051656</v>
      </c>
      <c r="R76" s="41">
        <f t="shared" si="7"/>
        <v>0.40898125385976986</v>
      </c>
      <c r="S76" s="42">
        <f t="shared" si="11"/>
        <v>1.8586741280448231</v>
      </c>
      <c r="T76" s="35"/>
      <c r="U76" s="43">
        <v>17481</v>
      </c>
      <c r="V76" s="44">
        <f t="shared" si="12"/>
        <v>174810</v>
      </c>
      <c r="W76" s="140">
        <f t="shared" si="13"/>
        <v>1.3202136785078747E-4</v>
      </c>
      <c r="X76" s="35"/>
      <c r="Y76" s="49">
        <v>67829.76036524598</v>
      </c>
    </row>
    <row r="77" spans="1:25" x14ac:dyDescent="0.35">
      <c r="A77" s="35"/>
      <c r="B77" s="47" t="s">
        <v>75</v>
      </c>
      <c r="C77" s="46">
        <v>1891</v>
      </c>
      <c r="D77" s="40">
        <v>0.21076727426875799</v>
      </c>
      <c r="E77" s="41">
        <v>5.3666807969478598E-2</v>
      </c>
      <c r="F77" s="41">
        <v>0.25883940578416198</v>
      </c>
      <c r="G77" s="48">
        <v>0.37034389253594402</v>
      </c>
      <c r="H77" s="35"/>
      <c r="I77" s="40">
        <f t="shared" si="8"/>
        <v>5.0431674507588481E-2</v>
      </c>
      <c r="J77" s="41">
        <f t="shared" si="8"/>
        <v>2.0918543226149021E-2</v>
      </c>
      <c r="K77" s="41">
        <f t="shared" si="8"/>
        <v>7.830012088602159E-2</v>
      </c>
      <c r="L77" s="48">
        <f t="shared" si="6"/>
        <v>8.9731342780565715E-2</v>
      </c>
      <c r="M77" s="35"/>
      <c r="N77" s="40">
        <f t="shared" si="9"/>
        <v>63.398492599999997</v>
      </c>
      <c r="O77" s="41">
        <f t="shared" si="10"/>
        <v>1.6924980914430612</v>
      </c>
      <c r="P77" s="41">
        <f t="shared" si="10"/>
        <v>85.91664115681013</v>
      </c>
      <c r="Q77" s="41">
        <f t="shared" si="10"/>
        <v>5.8337599026275457</v>
      </c>
      <c r="R77" s="41">
        <f t="shared" si="7"/>
        <v>15.845858819827928</v>
      </c>
      <c r="S77" s="42">
        <f t="shared" si="11"/>
        <v>172.68725057070867</v>
      </c>
      <c r="T77" s="35"/>
      <c r="U77" s="43">
        <v>11795</v>
      </c>
      <c r="V77" s="44">
        <f t="shared" si="12"/>
        <v>2036846.1204815088</v>
      </c>
      <c r="W77" s="140">
        <f t="shared" si="13"/>
        <v>1.5382827694499094E-3</v>
      </c>
      <c r="X77" s="35"/>
      <c r="Y77" s="49">
        <v>790336.84716630436</v>
      </c>
    </row>
    <row r="78" spans="1:25" x14ac:dyDescent="0.35">
      <c r="A78" s="35"/>
      <c r="B78" s="47" t="s">
        <v>76</v>
      </c>
      <c r="C78" s="46">
        <v>310</v>
      </c>
      <c r="D78" s="40">
        <v>0.146081972361809</v>
      </c>
      <c r="E78" s="41">
        <v>3.0621859296482399E-2</v>
      </c>
      <c r="F78" s="41">
        <v>0.118529856456784</v>
      </c>
      <c r="G78" s="48">
        <v>0.232065400254303</v>
      </c>
      <c r="H78" s="35"/>
      <c r="I78" s="40">
        <f t="shared" si="8"/>
        <v>-1.4253627399360508E-2</v>
      </c>
      <c r="J78" s="41">
        <f t="shared" si="8"/>
        <v>-2.1264054468471787E-3</v>
      </c>
      <c r="K78" s="41">
        <f t="shared" si="8"/>
        <v>-6.2009428441356387E-2</v>
      </c>
      <c r="L78" s="48">
        <f t="shared" si="6"/>
        <v>-4.8547149501075304E-2</v>
      </c>
      <c r="M78" s="35"/>
      <c r="N78" s="40">
        <f t="shared" si="9"/>
        <v>63.398492599999997</v>
      </c>
      <c r="O78" s="41">
        <f t="shared" si="10"/>
        <v>-0.47835487132056653</v>
      </c>
      <c r="P78" s="41">
        <f t="shared" si="10"/>
        <v>-8.7335724938188424</v>
      </c>
      <c r="Q78" s="41">
        <f t="shared" si="10"/>
        <v>-4.6200199071546706</v>
      </c>
      <c r="R78" s="41">
        <f t="shared" si="7"/>
        <v>-8.5730498760097706</v>
      </c>
      <c r="S78" s="42">
        <f t="shared" si="11"/>
        <v>40.993495451696148</v>
      </c>
      <c r="T78" s="35"/>
      <c r="U78" s="43">
        <v>25472</v>
      </c>
      <c r="V78" s="44">
        <f t="shared" si="12"/>
        <v>1044186.3161456042</v>
      </c>
      <c r="W78" s="140">
        <f t="shared" si="13"/>
        <v>7.8859851123286697E-4</v>
      </c>
      <c r="X78" s="35"/>
      <c r="Y78" s="49">
        <v>405165.07980564784</v>
      </c>
    </row>
    <row r="79" spans="1:25" x14ac:dyDescent="0.35">
      <c r="A79" s="35"/>
      <c r="B79" s="47" t="s">
        <v>77</v>
      </c>
      <c r="C79" s="46">
        <v>1940</v>
      </c>
      <c r="D79" s="40">
        <v>0.157032876885215</v>
      </c>
      <c r="E79" s="41">
        <v>3.6883952798637001E-2</v>
      </c>
      <c r="F79" s="41">
        <v>0.16097179597224501</v>
      </c>
      <c r="G79" s="48">
        <v>0.31593576707133603</v>
      </c>
      <c r="H79" s="35"/>
      <c r="I79" s="40">
        <f t="shared" si="8"/>
        <v>-3.3027228759545113E-3</v>
      </c>
      <c r="J79" s="41">
        <f t="shared" si="8"/>
        <v>4.1356880553074238E-3</v>
      </c>
      <c r="K79" s="41">
        <f t="shared" si="8"/>
        <v>-1.9567488925895382E-2</v>
      </c>
      <c r="L79" s="48">
        <f t="shared" si="6"/>
        <v>3.5323217315957722E-2</v>
      </c>
      <c r="M79" s="35"/>
      <c r="N79" s="40">
        <f t="shared" si="9"/>
        <v>63.398492599999997</v>
      </c>
      <c r="O79" s="41">
        <f t="shared" si="10"/>
        <v>-0.11084010631606611</v>
      </c>
      <c r="P79" s="41">
        <f t="shared" si="10"/>
        <v>16.986098063472411</v>
      </c>
      <c r="Q79" s="41">
        <f t="shared" si="10"/>
        <v>-1.4578781105225067</v>
      </c>
      <c r="R79" s="41">
        <f t="shared" si="7"/>
        <v>6.2378060698317617</v>
      </c>
      <c r="S79" s="42">
        <f t="shared" si="11"/>
        <v>85.05367851646561</v>
      </c>
      <c r="T79" s="35"/>
      <c r="U79" s="43">
        <v>31694</v>
      </c>
      <c r="V79" s="44">
        <f t="shared" si="12"/>
        <v>2695691.2869008612</v>
      </c>
      <c r="W79" s="140">
        <f t="shared" si="13"/>
        <v>2.0358609404502103E-3</v>
      </c>
      <c r="X79" s="35"/>
      <c r="Y79" s="49">
        <v>1045981.8889603966</v>
      </c>
    </row>
    <row r="80" spans="1:25" x14ac:dyDescent="0.35">
      <c r="A80" s="35"/>
      <c r="B80" s="47" t="s">
        <v>795</v>
      </c>
      <c r="C80" s="46">
        <v>1663</v>
      </c>
      <c r="D80" s="40">
        <v>0.19183607615359799</v>
      </c>
      <c r="E80" s="41">
        <v>5.42110358180058E-2</v>
      </c>
      <c r="F80" s="41">
        <v>0.22661606440632201</v>
      </c>
      <c r="G80" s="48">
        <v>0.368063295087114</v>
      </c>
      <c r="H80" s="35"/>
      <c r="I80" s="40">
        <f t="shared" si="8"/>
        <v>3.1500476392428478E-2</v>
      </c>
      <c r="J80" s="41">
        <f t="shared" si="8"/>
        <v>2.1462771074676222E-2</v>
      </c>
      <c r="K80" s="41">
        <f t="shared" si="8"/>
        <v>4.607677950818162E-2</v>
      </c>
      <c r="L80" s="48">
        <f t="shared" si="6"/>
        <v>8.7450745331735691E-2</v>
      </c>
      <c r="M80" s="35"/>
      <c r="N80" s="40">
        <f t="shared" si="9"/>
        <v>63.398492599999997</v>
      </c>
      <c r="O80" s="41">
        <f t="shared" si="10"/>
        <v>1.0571629178347062</v>
      </c>
      <c r="P80" s="41">
        <f t="shared" si="10"/>
        <v>88.151893787165605</v>
      </c>
      <c r="Q80" s="41">
        <f t="shared" si="10"/>
        <v>3.432955986470613</v>
      </c>
      <c r="R80" s="41">
        <f t="shared" si="7"/>
        <v>15.443123007800748</v>
      </c>
      <c r="S80" s="42">
        <f t="shared" si="11"/>
        <v>171.48362829927166</v>
      </c>
      <c r="T80" s="35"/>
      <c r="U80" s="43">
        <v>6198</v>
      </c>
      <c r="V80" s="44">
        <f t="shared" si="12"/>
        <v>1062855.5281988857</v>
      </c>
      <c r="W80" s="140">
        <f t="shared" si="13"/>
        <v>8.026980187665929E-4</v>
      </c>
      <c r="X80" s="35"/>
      <c r="Y80" s="49">
        <v>412409.10577545536</v>
      </c>
    </row>
    <row r="81" spans="1:25" x14ac:dyDescent="0.35">
      <c r="A81" s="35"/>
      <c r="B81" s="47" t="s">
        <v>78</v>
      </c>
      <c r="C81" s="46">
        <v>736</v>
      </c>
      <c r="D81" s="40">
        <v>0.12989766081871301</v>
      </c>
      <c r="E81" s="41">
        <v>2.0577485380117E-2</v>
      </c>
      <c r="F81" s="41">
        <v>0.156769312003015</v>
      </c>
      <c r="G81" s="48">
        <v>0.22823029618843499</v>
      </c>
      <c r="H81" s="35"/>
      <c r="I81" s="40">
        <f t="shared" si="8"/>
        <v>-3.0437938942456499E-2</v>
      </c>
      <c r="J81" s="41">
        <f t="shared" si="8"/>
        <v>-1.2170779363212578E-2</v>
      </c>
      <c r="K81" s="41">
        <f t="shared" si="8"/>
        <v>-2.3769972895125391E-2</v>
      </c>
      <c r="L81" s="48">
        <f t="shared" si="6"/>
        <v>-5.2382253566943315E-2</v>
      </c>
      <c r="M81" s="35"/>
      <c r="N81" s="40">
        <f t="shared" si="9"/>
        <v>63.398492599999997</v>
      </c>
      <c r="O81" s="41">
        <f t="shared" si="10"/>
        <v>-1.0215039272554074</v>
      </c>
      <c r="P81" s="41">
        <f t="shared" si="10"/>
        <v>-49.987825244002288</v>
      </c>
      <c r="Q81" s="41">
        <f t="shared" si="10"/>
        <v>-1.7709846829480649</v>
      </c>
      <c r="R81" s="41">
        <f t="shared" si="7"/>
        <v>-9.2502994936345111</v>
      </c>
      <c r="S81" s="42">
        <f t="shared" si="11"/>
        <v>1.3678792521597245</v>
      </c>
      <c r="T81" s="35"/>
      <c r="U81" s="43">
        <v>27360</v>
      </c>
      <c r="V81" s="44">
        <f t="shared" si="12"/>
        <v>273600</v>
      </c>
      <c r="W81" s="140">
        <f t="shared" si="13"/>
        <v>2.0663032002731795E-4</v>
      </c>
      <c r="X81" s="35"/>
      <c r="Y81" s="49">
        <v>106162.24721658541</v>
      </c>
    </row>
    <row r="82" spans="1:25" x14ac:dyDescent="0.35">
      <c r="A82" s="35"/>
      <c r="B82" s="47" t="s">
        <v>79</v>
      </c>
      <c r="C82" s="46">
        <v>1690</v>
      </c>
      <c r="D82" s="40">
        <v>0.13245440262312999</v>
      </c>
      <c r="E82" s="41">
        <v>1.9331921579342898E-2</v>
      </c>
      <c r="F82" s="41">
        <v>0.216433366706236</v>
      </c>
      <c r="G82" s="48">
        <v>0.31023736202558799</v>
      </c>
      <c r="H82" s="35"/>
      <c r="I82" s="40">
        <f t="shared" si="8"/>
        <v>-2.7881197138039521E-2</v>
      </c>
      <c r="J82" s="41">
        <f t="shared" si="8"/>
        <v>-1.3416343163986679E-2</v>
      </c>
      <c r="K82" s="41">
        <f t="shared" si="8"/>
        <v>3.5894081808095613E-2</v>
      </c>
      <c r="L82" s="48">
        <f t="shared" si="6"/>
        <v>2.9624812270209688E-2</v>
      </c>
      <c r="M82" s="35"/>
      <c r="N82" s="40">
        <f t="shared" si="9"/>
        <v>63.398492599999997</v>
      </c>
      <c r="O82" s="41">
        <f t="shared" si="10"/>
        <v>-0.9356991098159767</v>
      </c>
      <c r="P82" s="41">
        <f t="shared" si="10"/>
        <v>-55.103604911452955</v>
      </c>
      <c r="Q82" s="41">
        <f t="shared" si="10"/>
        <v>2.6742928724019808</v>
      </c>
      <c r="R82" s="41">
        <f t="shared" si="7"/>
        <v>5.2315119583758145</v>
      </c>
      <c r="S82" s="42">
        <f t="shared" si="11"/>
        <v>15.264993409508861</v>
      </c>
      <c r="T82" s="35"/>
      <c r="U82" s="43">
        <v>14639</v>
      </c>
      <c r="V82" s="44">
        <f t="shared" si="12"/>
        <v>223464.23852180023</v>
      </c>
      <c r="W82" s="140">
        <f t="shared" si="13"/>
        <v>1.6876640029393455E-4</v>
      </c>
      <c r="X82" s="35"/>
      <c r="Y82" s="49">
        <v>86708.573589244756</v>
      </c>
    </row>
    <row r="83" spans="1:25" x14ac:dyDescent="0.35">
      <c r="A83" s="35"/>
      <c r="B83" s="47" t="s">
        <v>80</v>
      </c>
      <c r="C83" s="46">
        <v>503</v>
      </c>
      <c r="D83" s="40">
        <v>0.20312242995778301</v>
      </c>
      <c r="E83" s="41">
        <v>5.1044465157080998E-2</v>
      </c>
      <c r="F83" s="41">
        <v>0.111899425185294</v>
      </c>
      <c r="G83" s="48">
        <v>0.25365306704888302</v>
      </c>
      <c r="H83" s="35"/>
      <c r="I83" s="40">
        <f t="shared" si="8"/>
        <v>4.2786830196613501E-2</v>
      </c>
      <c r="J83" s="41">
        <f t="shared" si="8"/>
        <v>1.8296200413751421E-2</v>
      </c>
      <c r="K83" s="41">
        <f t="shared" si="8"/>
        <v>-6.8639859712846391E-2</v>
      </c>
      <c r="L83" s="48">
        <f t="shared" si="6"/>
        <v>-2.6959482706495286E-2</v>
      </c>
      <c r="M83" s="35"/>
      <c r="N83" s="40">
        <f t="shared" si="9"/>
        <v>63.398492599999997</v>
      </c>
      <c r="O83" s="41">
        <f t="shared" si="10"/>
        <v>1.4359354345009925</v>
      </c>
      <c r="P83" s="41">
        <f t="shared" si="10"/>
        <v>75.146154705283848</v>
      </c>
      <c r="Q83" s="41">
        <f t="shared" si="10"/>
        <v>-5.1140209846887865</v>
      </c>
      <c r="R83" s="41">
        <f t="shared" si="7"/>
        <v>-4.7608354403812649</v>
      </c>
      <c r="S83" s="42">
        <f t="shared" si="11"/>
        <v>130.10572631471479</v>
      </c>
      <c r="T83" s="35"/>
      <c r="U83" s="43">
        <v>72956</v>
      </c>
      <c r="V83" s="44">
        <f t="shared" si="12"/>
        <v>9491993.3690163326</v>
      </c>
      <c r="W83" s="140">
        <f t="shared" si="13"/>
        <v>7.1686170597113474E-3</v>
      </c>
      <c r="X83" s="35"/>
      <c r="Y83" s="49">
        <v>3683082.4072357505</v>
      </c>
    </row>
    <row r="84" spans="1:25" x14ac:dyDescent="0.35">
      <c r="A84" s="35"/>
      <c r="B84" s="47" t="s">
        <v>81</v>
      </c>
      <c r="C84" s="46">
        <v>10</v>
      </c>
      <c r="D84" s="40">
        <v>0.244827809844996</v>
      </c>
      <c r="E84" s="41">
        <v>7.4842726506258506E-2</v>
      </c>
      <c r="F84" s="41">
        <v>0.21013337726785999</v>
      </c>
      <c r="G84" s="48">
        <v>0.38096319784500998</v>
      </c>
      <c r="H84" s="35"/>
      <c r="I84" s="40">
        <f t="shared" si="8"/>
        <v>8.4492210083826486E-2</v>
      </c>
      <c r="J84" s="41">
        <f t="shared" si="8"/>
        <v>4.2094461762928928E-2</v>
      </c>
      <c r="K84" s="41">
        <f t="shared" si="8"/>
        <v>2.9594092369719605E-2</v>
      </c>
      <c r="L84" s="48">
        <f t="shared" si="6"/>
        <v>0.10035064808963168</v>
      </c>
      <c r="M84" s="35"/>
      <c r="N84" s="40">
        <f t="shared" si="9"/>
        <v>63.398492599999997</v>
      </c>
      <c r="O84" s="41">
        <f t="shared" si="10"/>
        <v>2.8355771586994356</v>
      </c>
      <c r="P84" s="41">
        <f t="shared" si="10"/>
        <v>172.89037419459095</v>
      </c>
      <c r="Q84" s="41">
        <f t="shared" si="10"/>
        <v>2.2049114032970438</v>
      </c>
      <c r="R84" s="41">
        <f t="shared" si="7"/>
        <v>17.72114573159978</v>
      </c>
      <c r="S84" s="42">
        <f t="shared" si="11"/>
        <v>259.05050108818722</v>
      </c>
      <c r="T84" s="35"/>
      <c r="U84" s="43">
        <v>15419</v>
      </c>
      <c r="V84" s="44">
        <f t="shared" si="12"/>
        <v>3994299.6762787588</v>
      </c>
      <c r="W84" s="140">
        <f t="shared" si="13"/>
        <v>3.0166060686933204E-3</v>
      </c>
      <c r="X84" s="35"/>
      <c r="Y84" s="49">
        <v>1549867.798575412</v>
      </c>
    </row>
    <row r="85" spans="1:25" x14ac:dyDescent="0.35">
      <c r="A85" s="35"/>
      <c r="B85" s="47" t="s">
        <v>82</v>
      </c>
      <c r="C85" s="46">
        <v>400</v>
      </c>
      <c r="D85" s="40">
        <v>0.21843955798638201</v>
      </c>
      <c r="E85" s="41">
        <v>5.5809800200915298E-2</v>
      </c>
      <c r="F85" s="41">
        <v>0.19718924051551601</v>
      </c>
      <c r="G85" s="48">
        <v>0.31514907495774303</v>
      </c>
      <c r="H85" s="35"/>
      <c r="I85" s="40">
        <f t="shared" si="8"/>
        <v>5.8103958225212499E-2</v>
      </c>
      <c r="J85" s="41">
        <f t="shared" si="8"/>
        <v>2.306153545758572E-2</v>
      </c>
      <c r="K85" s="41">
        <f t="shared" si="8"/>
        <v>1.6649955617375617E-2</v>
      </c>
      <c r="L85" s="48">
        <f t="shared" si="6"/>
        <v>3.4536525202364721E-2</v>
      </c>
      <c r="M85" s="35"/>
      <c r="N85" s="40">
        <f t="shared" si="9"/>
        <v>63.398492599999997</v>
      </c>
      <c r="O85" s="41">
        <f t="shared" si="10"/>
        <v>1.9499816209089411</v>
      </c>
      <c r="P85" s="41">
        <f t="shared" si="10"/>
        <v>94.71833889262679</v>
      </c>
      <c r="Q85" s="41">
        <f t="shared" si="10"/>
        <v>1.2405069412672445</v>
      </c>
      <c r="R85" s="41">
        <f t="shared" si="7"/>
        <v>6.0988823473020393</v>
      </c>
      <c r="S85" s="42">
        <f t="shared" si="11"/>
        <v>167.40620240210501</v>
      </c>
      <c r="T85" s="35"/>
      <c r="U85" s="43">
        <v>35836</v>
      </c>
      <c r="V85" s="44">
        <f t="shared" si="12"/>
        <v>5999168.6692818347</v>
      </c>
      <c r="W85" s="140">
        <f t="shared" si="13"/>
        <v>4.5307388232147831E-3</v>
      </c>
      <c r="X85" s="35"/>
      <c r="Y85" s="49">
        <v>2327796.8836341077</v>
      </c>
    </row>
    <row r="86" spans="1:25" x14ac:dyDescent="0.35">
      <c r="A86" s="35"/>
      <c r="B86" s="47" t="s">
        <v>83</v>
      </c>
      <c r="C86" s="46">
        <v>762</v>
      </c>
      <c r="D86" s="40">
        <v>0.14941914159335101</v>
      </c>
      <c r="E86" s="41">
        <v>2.6053565352646701E-2</v>
      </c>
      <c r="F86" s="41">
        <v>0.21523531154902301</v>
      </c>
      <c r="G86" s="48">
        <v>0.26708021342691701</v>
      </c>
      <c r="H86" s="35"/>
      <c r="I86" s="40">
        <f t="shared" si="8"/>
        <v>-1.0916458167818499E-2</v>
      </c>
      <c r="J86" s="41">
        <f t="shared" si="8"/>
        <v>-6.6946993906828768E-3</v>
      </c>
      <c r="K86" s="41">
        <f t="shared" si="8"/>
        <v>3.4696026650882617E-2</v>
      </c>
      <c r="L86" s="48">
        <f t="shared" si="6"/>
        <v>-1.3532336328461292E-2</v>
      </c>
      <c r="M86" s="35"/>
      <c r="N86" s="40">
        <f t="shared" si="9"/>
        <v>63.398492599999997</v>
      </c>
      <c r="O86" s="41">
        <f t="shared" si="10"/>
        <v>-0.36635873773278577</v>
      </c>
      <c r="P86" s="41">
        <f t="shared" si="10"/>
        <v>-27.4964694713067</v>
      </c>
      <c r="Q86" s="41">
        <f t="shared" si="10"/>
        <v>2.5850316291472075</v>
      </c>
      <c r="R86" s="41">
        <f t="shared" si="7"/>
        <v>-2.3897055846763555</v>
      </c>
      <c r="S86" s="42">
        <f t="shared" si="11"/>
        <v>35.730990435431359</v>
      </c>
      <c r="T86" s="35"/>
      <c r="U86" s="43">
        <v>20573</v>
      </c>
      <c r="V86" s="44">
        <f t="shared" si="12"/>
        <v>735093.6662281293</v>
      </c>
      <c r="W86" s="140">
        <f t="shared" si="13"/>
        <v>5.5516315607738594E-4</v>
      </c>
      <c r="X86" s="35"/>
      <c r="Y86" s="49">
        <v>285230.97778310231</v>
      </c>
    </row>
    <row r="87" spans="1:25" x14ac:dyDescent="0.35">
      <c r="A87" s="35"/>
      <c r="B87" s="47" t="s">
        <v>84</v>
      </c>
      <c r="C87" s="46">
        <v>150</v>
      </c>
      <c r="D87" s="40">
        <v>0.182366760329817</v>
      </c>
      <c r="E87" s="41">
        <v>5.5000230319222403E-2</v>
      </c>
      <c r="F87" s="41">
        <v>0.15220980310806501</v>
      </c>
      <c r="G87" s="48">
        <v>0.27117524664311599</v>
      </c>
      <c r="H87" s="35"/>
      <c r="I87" s="40">
        <f t="shared" si="8"/>
        <v>2.2031160568647484E-2</v>
      </c>
      <c r="J87" s="41">
        <f t="shared" si="8"/>
        <v>2.2251965575892825E-2</v>
      </c>
      <c r="K87" s="41">
        <f t="shared" si="8"/>
        <v>-2.8329481790075384E-2</v>
      </c>
      <c r="L87" s="48">
        <f t="shared" si="6"/>
        <v>-9.4373031122623185E-3</v>
      </c>
      <c r="M87" s="35"/>
      <c r="N87" s="40">
        <f t="shared" si="9"/>
        <v>63.398492599999997</v>
      </c>
      <c r="O87" s="41">
        <f t="shared" si="10"/>
        <v>0.73937059553913465</v>
      </c>
      <c r="P87" s="41">
        <f t="shared" si="10"/>
        <v>91.393273458346329</v>
      </c>
      <c r="Q87" s="41">
        <f t="shared" si="10"/>
        <v>-2.1106914403073813</v>
      </c>
      <c r="R87" s="41">
        <f t="shared" si="7"/>
        <v>-1.6665544961533743</v>
      </c>
      <c r="S87" s="42">
        <f t="shared" si="11"/>
        <v>151.7538907174247</v>
      </c>
      <c r="T87" s="35"/>
      <c r="U87" s="43">
        <v>65127</v>
      </c>
      <c r="V87" s="44">
        <f t="shared" si="12"/>
        <v>9883275.6407537181</v>
      </c>
      <c r="W87" s="140">
        <f t="shared" si="13"/>
        <v>7.4641243003184818E-3</v>
      </c>
      <c r="X87" s="35"/>
      <c r="Y87" s="49">
        <v>3834907.7188719041</v>
      </c>
    </row>
    <row r="88" spans="1:25" x14ac:dyDescent="0.35">
      <c r="A88" s="35"/>
      <c r="B88" s="47" t="s">
        <v>85</v>
      </c>
      <c r="C88" s="46">
        <v>384</v>
      </c>
      <c r="D88" s="40">
        <v>0.16468779815541201</v>
      </c>
      <c r="E88" s="41">
        <v>3.2333297996395602E-2</v>
      </c>
      <c r="F88" s="41">
        <v>9.5016138891618501E-2</v>
      </c>
      <c r="G88" s="48">
        <v>0.23072392902671399</v>
      </c>
      <c r="H88" s="35"/>
      <c r="I88" s="40">
        <f t="shared" si="8"/>
        <v>4.3521983942425013E-3</v>
      </c>
      <c r="J88" s="41">
        <f t="shared" si="8"/>
        <v>-4.1496674693397573E-4</v>
      </c>
      <c r="K88" s="41">
        <f t="shared" si="8"/>
        <v>-8.5523146006521888E-2</v>
      </c>
      <c r="L88" s="48">
        <f t="shared" si="6"/>
        <v>-4.9888620728664318E-2</v>
      </c>
      <c r="M88" s="35"/>
      <c r="N88" s="40">
        <f t="shared" si="9"/>
        <v>63.398492599999997</v>
      </c>
      <c r="O88" s="41">
        <f t="shared" si="10"/>
        <v>0.14606073559442509</v>
      </c>
      <c r="P88" s="41">
        <f t="shared" si="10"/>
        <v>-1.7043514313065602</v>
      </c>
      <c r="Q88" s="41">
        <f t="shared" si="10"/>
        <v>-6.3719122559934345</v>
      </c>
      <c r="R88" s="41">
        <f t="shared" si="7"/>
        <v>-8.8099432849852644</v>
      </c>
      <c r="S88" s="42">
        <f t="shared" si="11"/>
        <v>46.658346363309157</v>
      </c>
      <c r="T88" s="35"/>
      <c r="U88" s="43">
        <v>18866</v>
      </c>
      <c r="V88" s="44">
        <f t="shared" si="12"/>
        <v>880256.36249019054</v>
      </c>
      <c r="W88" s="140">
        <f t="shared" si="13"/>
        <v>6.6479405660610697E-4</v>
      </c>
      <c r="X88" s="35"/>
      <c r="Y88" s="49">
        <v>341556.99403748481</v>
      </c>
    </row>
    <row r="89" spans="1:25" x14ac:dyDescent="0.35">
      <c r="A89" s="35"/>
      <c r="B89" s="47" t="s">
        <v>86</v>
      </c>
      <c r="C89" s="46">
        <v>1774</v>
      </c>
      <c r="D89" s="40">
        <v>0.114202933542585</v>
      </c>
      <c r="E89" s="41">
        <v>1.7263234140158099E-2</v>
      </c>
      <c r="F89" s="41">
        <v>0.15974495705942099</v>
      </c>
      <c r="G89" s="48">
        <v>0.30880369433687399</v>
      </c>
      <c r="H89" s="35"/>
      <c r="I89" s="40">
        <f t="shared" si="8"/>
        <v>-4.6132666218584514E-2</v>
      </c>
      <c r="J89" s="41">
        <f t="shared" si="8"/>
        <v>-1.5485030603171478E-2</v>
      </c>
      <c r="K89" s="41">
        <f t="shared" si="8"/>
        <v>-2.0794327838719401E-2</v>
      </c>
      <c r="L89" s="48">
        <f t="shared" si="6"/>
        <v>2.8191144581495686E-2</v>
      </c>
      <c r="M89" s="35"/>
      <c r="N89" s="40">
        <f t="shared" si="9"/>
        <v>63.398492599999997</v>
      </c>
      <c r="O89" s="41">
        <f t="shared" si="10"/>
        <v>-1.5482224274822645</v>
      </c>
      <c r="P89" s="41">
        <f t="shared" si="10"/>
        <v>-63.600118003046511</v>
      </c>
      <c r="Q89" s="41">
        <f t="shared" si="10"/>
        <v>-1.5492838909431297</v>
      </c>
      <c r="R89" s="41">
        <f t="shared" si="7"/>
        <v>4.9783373698101858</v>
      </c>
      <c r="S89" s="42">
        <f t="shared" si="11"/>
        <v>1.6792056483382769</v>
      </c>
      <c r="T89" s="35"/>
      <c r="U89" s="43">
        <v>16567</v>
      </c>
      <c r="V89" s="44">
        <f t="shared" si="12"/>
        <v>165670</v>
      </c>
      <c r="W89" s="140">
        <f t="shared" si="13"/>
        <v>1.2511858596098599E-4</v>
      </c>
      <c r="X89" s="35"/>
      <c r="Y89" s="49">
        <v>64283.258393171447</v>
      </c>
    </row>
    <row r="90" spans="1:25" x14ac:dyDescent="0.35">
      <c r="A90" s="35"/>
      <c r="B90" s="47" t="s">
        <v>87</v>
      </c>
      <c r="C90" s="46">
        <v>221</v>
      </c>
      <c r="D90" s="40">
        <v>0.203794113544427</v>
      </c>
      <c r="E90" s="41">
        <v>5.46798716696889E-2</v>
      </c>
      <c r="F90" s="41">
        <v>0.21257821364774299</v>
      </c>
      <c r="G90" s="48">
        <v>0.27732879057403997</v>
      </c>
      <c r="H90" s="35"/>
      <c r="I90" s="40">
        <f t="shared" si="8"/>
        <v>4.3458513783257491E-2</v>
      </c>
      <c r="J90" s="41">
        <f t="shared" si="8"/>
        <v>2.1931606926359322E-2</v>
      </c>
      <c r="K90" s="41">
        <f t="shared" si="8"/>
        <v>3.2038928749602597E-2</v>
      </c>
      <c r="L90" s="48">
        <f t="shared" si="6"/>
        <v>-3.2837591813383304E-3</v>
      </c>
      <c r="M90" s="35"/>
      <c r="N90" s="40">
        <f t="shared" si="9"/>
        <v>63.398492599999997</v>
      </c>
      <c r="O90" s="41">
        <f t="shared" si="10"/>
        <v>1.4584772834391537</v>
      </c>
      <c r="P90" s="41">
        <f t="shared" si="10"/>
        <v>90.07749640657515</v>
      </c>
      <c r="Q90" s="41">
        <f t="shared" si="10"/>
        <v>2.3870642311605916</v>
      </c>
      <c r="R90" s="41">
        <f t="shared" si="7"/>
        <v>-0.579886389453102</v>
      </c>
      <c r="S90" s="42">
        <f t="shared" si="11"/>
        <v>156.74164413172181</v>
      </c>
      <c r="T90" s="35"/>
      <c r="U90" s="43">
        <v>7169</v>
      </c>
      <c r="V90" s="44">
        <f t="shared" si="12"/>
        <v>1123680.8467803136</v>
      </c>
      <c r="W90" s="140">
        <f t="shared" si="13"/>
        <v>8.4863498895754326E-4</v>
      </c>
      <c r="X90" s="35"/>
      <c r="Y90" s="49">
        <v>436010.54038170213</v>
      </c>
    </row>
    <row r="91" spans="1:25" x14ac:dyDescent="0.35">
      <c r="A91" s="35"/>
      <c r="B91" s="47" t="s">
        <v>88</v>
      </c>
      <c r="C91" s="46">
        <v>222</v>
      </c>
      <c r="D91" s="40">
        <v>0.17983658697082699</v>
      </c>
      <c r="E91" s="41">
        <v>4.23338451414784E-2</v>
      </c>
      <c r="F91" s="41">
        <v>0.17584481005163899</v>
      </c>
      <c r="G91" s="48">
        <v>0.288509510329443</v>
      </c>
      <c r="H91" s="35"/>
      <c r="I91" s="40">
        <f t="shared" si="8"/>
        <v>1.9500987209657483E-2</v>
      </c>
      <c r="J91" s="41">
        <f t="shared" si="8"/>
        <v>9.5855803981488227E-3</v>
      </c>
      <c r="K91" s="41">
        <f t="shared" si="8"/>
        <v>-4.6944748465014008E-3</v>
      </c>
      <c r="L91" s="48">
        <f t="shared" si="6"/>
        <v>7.8969605740646931E-3</v>
      </c>
      <c r="M91" s="35"/>
      <c r="N91" s="40">
        <f t="shared" si="9"/>
        <v>63.398492599999997</v>
      </c>
      <c r="O91" s="41">
        <f t="shared" si="10"/>
        <v>0.65445742097329129</v>
      </c>
      <c r="P91" s="41">
        <f t="shared" si="10"/>
        <v>39.369896002988455</v>
      </c>
      <c r="Q91" s="41">
        <f t="shared" si="10"/>
        <v>-0.34976241177556849</v>
      </c>
      <c r="R91" s="41">
        <f t="shared" si="7"/>
        <v>1.39454195696577</v>
      </c>
      <c r="S91" s="42">
        <f t="shared" si="11"/>
        <v>104.46762556915193</v>
      </c>
      <c r="T91" s="35"/>
      <c r="U91" s="43">
        <v>36472</v>
      </c>
      <c r="V91" s="44">
        <f t="shared" si="12"/>
        <v>3810143.2397581092</v>
      </c>
      <c r="W91" s="140">
        <f t="shared" si="13"/>
        <v>2.8775260123579684E-3</v>
      </c>
      <c r="X91" s="35"/>
      <c r="Y91" s="49">
        <v>1478411.4347580485</v>
      </c>
    </row>
    <row r="92" spans="1:25" x14ac:dyDescent="0.35">
      <c r="A92" s="35"/>
      <c r="B92" s="47" t="s">
        <v>89</v>
      </c>
      <c r="C92" s="46">
        <v>766</v>
      </c>
      <c r="D92" s="40">
        <v>0.133317040386143</v>
      </c>
      <c r="E92" s="41">
        <v>2.32785482984053E-2</v>
      </c>
      <c r="F92" s="41">
        <v>0.22662950668641499</v>
      </c>
      <c r="G92" s="48">
        <v>0.25687743469352098</v>
      </c>
      <c r="H92" s="35"/>
      <c r="I92" s="40">
        <f t="shared" si="8"/>
        <v>-2.7018559375026507E-2</v>
      </c>
      <c r="J92" s="41">
        <f t="shared" si="8"/>
        <v>-9.4697164449242775E-3</v>
      </c>
      <c r="K92" s="41">
        <f t="shared" si="8"/>
        <v>4.6090221788274599E-2</v>
      </c>
      <c r="L92" s="48">
        <f t="shared" si="6"/>
        <v>-2.3735115061857326E-2</v>
      </c>
      <c r="M92" s="35"/>
      <c r="N92" s="40">
        <f t="shared" si="9"/>
        <v>63.398492599999997</v>
      </c>
      <c r="O92" s="41">
        <f t="shared" si="10"/>
        <v>-0.90674879670895214</v>
      </c>
      <c r="P92" s="41">
        <f t="shared" si="10"/>
        <v>-38.894019571987322</v>
      </c>
      <c r="Q92" s="41">
        <f t="shared" si="10"/>
        <v>3.4339575051620139</v>
      </c>
      <c r="R92" s="41">
        <f t="shared" si="7"/>
        <v>-4.1914371354311237</v>
      </c>
      <c r="S92" s="42">
        <f t="shared" si="11"/>
        <v>22.840244601034613</v>
      </c>
      <c r="T92" s="35"/>
      <c r="U92" s="43">
        <v>16367</v>
      </c>
      <c r="V92" s="44">
        <f t="shared" si="12"/>
        <v>373826.28338513349</v>
      </c>
      <c r="W92" s="140">
        <f t="shared" si="13"/>
        <v>2.8232399331320536E-4</v>
      </c>
      <c r="X92" s="35"/>
      <c r="Y92" s="49">
        <v>145052.04061692199</v>
      </c>
    </row>
    <row r="93" spans="1:25" x14ac:dyDescent="0.35">
      <c r="A93" s="35"/>
      <c r="B93" s="47" t="s">
        <v>804</v>
      </c>
      <c r="C93" s="46">
        <v>58</v>
      </c>
      <c r="D93" s="40">
        <v>0.20291525423728801</v>
      </c>
      <c r="E93" s="41">
        <v>5.2203389830508498E-2</v>
      </c>
      <c r="F93" s="41">
        <v>0.201857896322612</v>
      </c>
      <c r="G93" s="48">
        <v>0.378541268454817</v>
      </c>
      <c r="H93" s="35"/>
      <c r="I93" s="40">
        <f t="shared" si="8"/>
        <v>4.25796544761185E-2</v>
      </c>
      <c r="J93" s="41">
        <f t="shared" si="8"/>
        <v>1.9455125087178921E-2</v>
      </c>
      <c r="K93" s="41">
        <f t="shared" si="8"/>
        <v>2.1318611424471612E-2</v>
      </c>
      <c r="L93" s="48">
        <f t="shared" si="6"/>
        <v>9.7928718699438699E-2</v>
      </c>
      <c r="M93" s="35"/>
      <c r="N93" s="40">
        <f t="shared" si="9"/>
        <v>63.398492599999997</v>
      </c>
      <c r="O93" s="41">
        <f t="shared" si="10"/>
        <v>1.4289825717425217</v>
      </c>
      <c r="P93" s="41">
        <f t="shared" si="10"/>
        <v>79.906090147163766</v>
      </c>
      <c r="Q93" s="41">
        <f t="shared" si="10"/>
        <v>1.5883457024136285</v>
      </c>
      <c r="R93" s="41">
        <f t="shared" si="7"/>
        <v>17.293451795463767</v>
      </c>
      <c r="S93" s="42">
        <f t="shared" si="11"/>
        <v>163.61536281678369</v>
      </c>
      <c r="T93" s="35"/>
      <c r="U93" s="43">
        <v>14750</v>
      </c>
      <c r="V93" s="44">
        <f t="shared" si="12"/>
        <v>2413326.6015475593</v>
      </c>
      <c r="W93" s="140">
        <f t="shared" si="13"/>
        <v>1.8226112865797216E-3</v>
      </c>
      <c r="X93" s="35"/>
      <c r="Y93" s="49">
        <v>936418.76932695159</v>
      </c>
    </row>
    <row r="94" spans="1:25" x14ac:dyDescent="0.35">
      <c r="A94" s="35"/>
      <c r="B94" s="47" t="s">
        <v>90</v>
      </c>
      <c r="C94" s="46">
        <v>505</v>
      </c>
      <c r="D94" s="40">
        <v>0.20190072561484601</v>
      </c>
      <c r="E94" s="41">
        <v>6.2762473511847397E-2</v>
      </c>
      <c r="F94" s="41">
        <v>0.16401648623492401</v>
      </c>
      <c r="G94" s="48">
        <v>0.26916648767018803</v>
      </c>
      <c r="H94" s="35"/>
      <c r="I94" s="40">
        <f t="shared" si="8"/>
        <v>4.1565125853676499E-2</v>
      </c>
      <c r="J94" s="41">
        <f t="shared" si="8"/>
        <v>3.0014208768517819E-2</v>
      </c>
      <c r="K94" s="41">
        <f t="shared" si="8"/>
        <v>-1.6522798663216376E-2</v>
      </c>
      <c r="L94" s="48">
        <f t="shared" si="6"/>
        <v>-1.1446062085190278E-2</v>
      </c>
      <c r="M94" s="35"/>
      <c r="N94" s="40">
        <f t="shared" si="9"/>
        <v>63.398492599999997</v>
      </c>
      <c r="O94" s="41">
        <f t="shared" si="10"/>
        <v>1.3949347679770712</v>
      </c>
      <c r="P94" s="41">
        <f t="shared" si="10"/>
        <v>123.27435885434058</v>
      </c>
      <c r="Q94" s="41">
        <f t="shared" si="10"/>
        <v>-1.2310330971387757</v>
      </c>
      <c r="R94" s="41">
        <f t="shared" si="7"/>
        <v>-2.0212857428028221</v>
      </c>
      <c r="S94" s="42">
        <f t="shared" si="11"/>
        <v>184.81546738237603</v>
      </c>
      <c r="T94" s="35"/>
      <c r="U94" s="43">
        <v>77865</v>
      </c>
      <c r="V94" s="44">
        <f t="shared" si="12"/>
        <v>14390656.36772871</v>
      </c>
      <c r="W94" s="140">
        <f t="shared" si="13"/>
        <v>1.0868223430800236E-2</v>
      </c>
      <c r="X94" s="35"/>
      <c r="Y94" s="49">
        <v>5583861.1802622247</v>
      </c>
    </row>
    <row r="95" spans="1:25" x14ac:dyDescent="0.35">
      <c r="A95" s="35"/>
      <c r="B95" s="47" t="s">
        <v>91</v>
      </c>
      <c r="C95" s="46">
        <v>498</v>
      </c>
      <c r="D95" s="40">
        <v>0.13058727569331199</v>
      </c>
      <c r="E95" s="41">
        <v>1.5415986949429E-2</v>
      </c>
      <c r="F95" s="41">
        <v>0.21191758524151999</v>
      </c>
      <c r="G95" s="48">
        <v>0.29598816227552399</v>
      </c>
      <c r="H95" s="35"/>
      <c r="I95" s="40">
        <f t="shared" si="8"/>
        <v>-2.9748324067857518E-2</v>
      </c>
      <c r="J95" s="41">
        <f t="shared" si="8"/>
        <v>-1.7332277793900577E-2</v>
      </c>
      <c r="K95" s="41">
        <f t="shared" si="8"/>
        <v>3.13783003433796E-2</v>
      </c>
      <c r="L95" s="48">
        <f t="shared" si="6"/>
        <v>1.5375612520145687E-2</v>
      </c>
      <c r="M95" s="35"/>
      <c r="N95" s="40">
        <f t="shared" si="9"/>
        <v>63.398492599999997</v>
      </c>
      <c r="O95" s="41">
        <f t="shared" si="10"/>
        <v>-0.99836030034859324</v>
      </c>
      <c r="P95" s="41">
        <f t="shared" si="10"/>
        <v>-71.187131701754012</v>
      </c>
      <c r="Q95" s="41">
        <f t="shared" si="10"/>
        <v>2.3378440324795386</v>
      </c>
      <c r="R95" s="41">
        <f t="shared" si="7"/>
        <v>2.715213856304572</v>
      </c>
      <c r="S95" s="42">
        <f t="shared" si="11"/>
        <v>-3.7339415133184981</v>
      </c>
      <c r="T95" s="35"/>
      <c r="U95" s="43">
        <v>12260</v>
      </c>
      <c r="V95" s="44">
        <f t="shared" si="12"/>
        <v>122600</v>
      </c>
      <c r="W95" s="140">
        <f t="shared" si="13"/>
        <v>9.2590925567796715E-5</v>
      </c>
      <c r="X95" s="35"/>
      <c r="Y95" s="49">
        <v>47571.240894566421</v>
      </c>
    </row>
    <row r="96" spans="1:25" x14ac:dyDescent="0.35">
      <c r="A96" s="35"/>
      <c r="B96" s="47" t="s">
        <v>92</v>
      </c>
      <c r="C96" s="46">
        <v>1719</v>
      </c>
      <c r="D96" s="40">
        <v>0.138009049773756</v>
      </c>
      <c r="E96" s="41">
        <v>1.36326720037127E-2</v>
      </c>
      <c r="F96" s="41">
        <v>0.21046344921721599</v>
      </c>
      <c r="G96" s="48">
        <v>0.26341048964888902</v>
      </c>
      <c r="H96" s="35"/>
      <c r="I96" s="40">
        <f t="shared" si="8"/>
        <v>-2.2326549987413513E-2</v>
      </c>
      <c r="J96" s="41">
        <f t="shared" si="8"/>
        <v>-1.9115592739616875E-2</v>
      </c>
      <c r="K96" s="41">
        <f t="shared" si="8"/>
        <v>2.9924164319075602E-2</v>
      </c>
      <c r="L96" s="48">
        <f t="shared" si="6"/>
        <v>-1.7202060106489281E-2</v>
      </c>
      <c r="M96" s="35"/>
      <c r="N96" s="40">
        <f t="shared" si="9"/>
        <v>63.398492599999997</v>
      </c>
      <c r="O96" s="41">
        <f t="shared" si="10"/>
        <v>-0.74928392941859479</v>
      </c>
      <c r="P96" s="41">
        <f t="shared" si="10"/>
        <v>-78.511562882466293</v>
      </c>
      <c r="Q96" s="41">
        <f t="shared" si="10"/>
        <v>2.2295034534924461</v>
      </c>
      <c r="R96" s="41">
        <f t="shared" si="7"/>
        <v>-3.0377503268195807</v>
      </c>
      <c r="S96" s="42">
        <f t="shared" si="11"/>
        <v>-16.670601085212027</v>
      </c>
      <c r="T96" s="35"/>
      <c r="U96" s="43">
        <v>17238</v>
      </c>
      <c r="V96" s="44">
        <f t="shared" si="12"/>
        <v>172380</v>
      </c>
      <c r="W96" s="140">
        <f t="shared" si="13"/>
        <v>1.3018616435054483E-4</v>
      </c>
      <c r="X96" s="35"/>
      <c r="Y96" s="49">
        <v>66886.871985361824</v>
      </c>
    </row>
    <row r="97" spans="1:25" x14ac:dyDescent="0.35">
      <c r="A97" s="35"/>
      <c r="B97" s="47" t="s">
        <v>93</v>
      </c>
      <c r="C97" s="46">
        <v>303</v>
      </c>
      <c r="D97" s="40">
        <v>0.16402926028215301</v>
      </c>
      <c r="E97" s="41">
        <v>3.1424945883406698E-2</v>
      </c>
      <c r="F97" s="41">
        <v>0.15954430672577499</v>
      </c>
      <c r="G97" s="48">
        <v>0.27590497859138202</v>
      </c>
      <c r="H97" s="35"/>
      <c r="I97" s="40">
        <f t="shared" si="8"/>
        <v>3.6936605209834938E-3</v>
      </c>
      <c r="J97" s="41">
        <f t="shared" si="8"/>
        <v>-1.3233188599228798E-3</v>
      </c>
      <c r="K97" s="41">
        <f t="shared" si="8"/>
        <v>-2.0994978172365397E-2</v>
      </c>
      <c r="L97" s="48">
        <f t="shared" si="6"/>
        <v>-4.7075711639962825E-3</v>
      </c>
      <c r="M97" s="35"/>
      <c r="N97" s="40">
        <f t="shared" si="9"/>
        <v>63.398492599999997</v>
      </c>
      <c r="O97" s="41">
        <f t="shared" si="10"/>
        <v>0.12396005968952067</v>
      </c>
      <c r="P97" s="41">
        <f t="shared" si="10"/>
        <v>-5.4351352479416297</v>
      </c>
      <c r="Q97" s="41">
        <f t="shared" si="10"/>
        <v>-1.5642333681294647</v>
      </c>
      <c r="R97" s="41">
        <f t="shared" si="7"/>
        <v>-0.8313205368095109</v>
      </c>
      <c r="S97" s="42">
        <f t="shared" si="11"/>
        <v>55.691763506808911</v>
      </c>
      <c r="T97" s="35"/>
      <c r="U97" s="43">
        <v>26794</v>
      </c>
      <c r="V97" s="44">
        <f t="shared" si="12"/>
        <v>1492205.111401438</v>
      </c>
      <c r="W97" s="140">
        <f t="shared" si="13"/>
        <v>1.1269547504213406E-3</v>
      </c>
      <c r="X97" s="35"/>
      <c r="Y97" s="49">
        <v>579005.29215808422</v>
      </c>
    </row>
    <row r="98" spans="1:25" x14ac:dyDescent="0.35">
      <c r="A98" s="35"/>
      <c r="B98" s="47" t="s">
        <v>94</v>
      </c>
      <c r="C98" s="46">
        <v>225</v>
      </c>
      <c r="D98" s="40">
        <v>0.15549355871010101</v>
      </c>
      <c r="E98" s="41">
        <v>2.8144744399770199E-2</v>
      </c>
      <c r="F98" s="41">
        <v>0.19685671303567301</v>
      </c>
      <c r="G98" s="48">
        <v>0.28007440962062202</v>
      </c>
      <c r="H98" s="35"/>
      <c r="I98" s="40">
        <f t="shared" si="8"/>
        <v>-4.8420410510685019E-3</v>
      </c>
      <c r="J98" s="41">
        <f t="shared" si="8"/>
        <v>-4.6035203435593787E-3</v>
      </c>
      <c r="K98" s="41">
        <f t="shared" si="8"/>
        <v>1.6317428137532619E-2</v>
      </c>
      <c r="L98" s="48">
        <f t="shared" si="6"/>
        <v>-5.3814013475628197E-4</v>
      </c>
      <c r="M98" s="35"/>
      <c r="N98" s="40">
        <f t="shared" si="9"/>
        <v>63.398492599999997</v>
      </c>
      <c r="O98" s="41">
        <f t="shared" si="10"/>
        <v>-0.16249996292289015</v>
      </c>
      <c r="P98" s="41">
        <f t="shared" si="10"/>
        <v>-18.907578847137486</v>
      </c>
      <c r="Q98" s="41">
        <f t="shared" si="10"/>
        <v>1.2157319414782444</v>
      </c>
      <c r="R98" s="41">
        <f t="shared" si="7"/>
        <v>-9.5031371830513689E-2</v>
      </c>
      <c r="S98" s="42">
        <f t="shared" si="11"/>
        <v>45.449114359587355</v>
      </c>
      <c r="T98" s="35"/>
      <c r="U98" s="43">
        <v>12187</v>
      </c>
      <c r="V98" s="44">
        <f t="shared" si="12"/>
        <v>553888.35670029104</v>
      </c>
      <c r="W98" s="140">
        <f t="shared" si="13"/>
        <v>4.1831187282304961E-4</v>
      </c>
      <c r="X98" s="35"/>
      <c r="Y98" s="49">
        <v>214919.70999416866</v>
      </c>
    </row>
    <row r="99" spans="1:25" x14ac:dyDescent="0.35">
      <c r="A99" s="35"/>
      <c r="B99" s="47" t="s">
        <v>95</v>
      </c>
      <c r="C99" s="46">
        <v>226</v>
      </c>
      <c r="D99" s="40">
        <v>0.14009973599296</v>
      </c>
      <c r="E99" s="41">
        <v>3.3088882370196498E-2</v>
      </c>
      <c r="F99" s="41">
        <v>0.128277139377097</v>
      </c>
      <c r="G99" s="48">
        <v>0.273075816072681</v>
      </c>
      <c r="H99" s="35"/>
      <c r="I99" s="40">
        <f t="shared" si="8"/>
        <v>-2.0235863768209517E-2</v>
      </c>
      <c r="J99" s="41">
        <f t="shared" si="8"/>
        <v>3.4061762686692088E-4</v>
      </c>
      <c r="K99" s="41">
        <f t="shared" si="8"/>
        <v>-5.2262145521043385E-2</v>
      </c>
      <c r="L99" s="48">
        <f t="shared" si="6"/>
        <v>-7.5367336826973053E-3</v>
      </c>
      <c r="M99" s="35"/>
      <c r="N99" s="40">
        <f t="shared" si="9"/>
        <v>63.398492599999997</v>
      </c>
      <c r="O99" s="41">
        <f t="shared" si="10"/>
        <v>-0.67912003995114045</v>
      </c>
      <c r="P99" s="41">
        <f t="shared" si="10"/>
        <v>1.39898472388017</v>
      </c>
      <c r="Q99" s="41">
        <f t="shared" si="10"/>
        <v>-3.8937974235028001</v>
      </c>
      <c r="R99" s="41">
        <f t="shared" si="7"/>
        <v>-1.3309286833109664</v>
      </c>
      <c r="S99" s="42">
        <f t="shared" si="11"/>
        <v>58.89363117711526</v>
      </c>
      <c r="T99" s="35"/>
      <c r="U99" s="43">
        <v>17045</v>
      </c>
      <c r="V99" s="44">
        <f t="shared" si="12"/>
        <v>1003841.9434139297</v>
      </c>
      <c r="W99" s="140">
        <f t="shared" si="13"/>
        <v>7.5812932026485778E-4</v>
      </c>
      <c r="X99" s="35"/>
      <c r="Y99" s="49">
        <v>389510.65995280392</v>
      </c>
    </row>
    <row r="100" spans="1:25" x14ac:dyDescent="0.35">
      <c r="A100" s="35"/>
      <c r="B100" s="47" t="s">
        <v>96</v>
      </c>
      <c r="C100" s="46">
        <v>1711</v>
      </c>
      <c r="D100" s="40">
        <v>0.18199811964966101</v>
      </c>
      <c r="E100" s="41">
        <v>2.90464644465337E-2</v>
      </c>
      <c r="F100" s="41">
        <v>0.177422218051001</v>
      </c>
      <c r="G100" s="48">
        <v>0.29599182525234002</v>
      </c>
      <c r="H100" s="35"/>
      <c r="I100" s="40">
        <f t="shared" si="8"/>
        <v>2.1662519888491494E-2</v>
      </c>
      <c r="J100" s="41">
        <f t="shared" si="8"/>
        <v>-3.7018002967958777E-3</v>
      </c>
      <c r="K100" s="41">
        <f t="shared" si="8"/>
        <v>-3.1170668471393881E-3</v>
      </c>
      <c r="L100" s="48">
        <f t="shared" si="6"/>
        <v>1.537927549696172E-2</v>
      </c>
      <c r="M100" s="35"/>
      <c r="N100" s="40">
        <f t="shared" si="9"/>
        <v>63.398492599999997</v>
      </c>
      <c r="O100" s="41">
        <f t="shared" si="10"/>
        <v>0.72699893321215003</v>
      </c>
      <c r="P100" s="41">
        <f t="shared" si="10"/>
        <v>-15.204034253036035</v>
      </c>
      <c r="Q100" s="41">
        <f t="shared" si="10"/>
        <v>-0.23223743949414177</v>
      </c>
      <c r="R100" s="41">
        <f t="shared" si="7"/>
        <v>2.7158607095855833</v>
      </c>
      <c r="S100" s="42">
        <f t="shared" si="11"/>
        <v>51.405080550267549</v>
      </c>
      <c r="T100" s="35"/>
      <c r="U100" s="43">
        <v>20209</v>
      </c>
      <c r="V100" s="44">
        <f t="shared" si="12"/>
        <v>1038845.2728403569</v>
      </c>
      <c r="W100" s="140">
        <f t="shared" si="13"/>
        <v>7.8456480696589685E-4</v>
      </c>
      <c r="X100" s="35"/>
      <c r="Y100" s="49">
        <v>403092.64866615168</v>
      </c>
    </row>
    <row r="101" spans="1:25" x14ac:dyDescent="0.35">
      <c r="A101" s="35"/>
      <c r="B101" s="47" t="s">
        <v>97</v>
      </c>
      <c r="C101" s="46">
        <v>385</v>
      </c>
      <c r="D101" s="40">
        <v>0.116692324609633</v>
      </c>
      <c r="E101" s="41">
        <v>1.7198152628106401E-2</v>
      </c>
      <c r="F101" s="41">
        <v>0.234469640796273</v>
      </c>
      <c r="G101" s="48">
        <v>0.25234823339788598</v>
      </c>
      <c r="H101" s="35"/>
      <c r="I101" s="40">
        <f t="shared" si="8"/>
        <v>-4.3643275151536515E-2</v>
      </c>
      <c r="J101" s="41">
        <f t="shared" si="8"/>
        <v>-1.5550112115223176E-2</v>
      </c>
      <c r="K101" s="41">
        <f t="shared" si="8"/>
        <v>5.3930355898132609E-2</v>
      </c>
      <c r="L101" s="48">
        <f t="shared" si="6"/>
        <v>-2.8264316357492325E-2</v>
      </c>
      <c r="M101" s="35"/>
      <c r="N101" s="40">
        <f t="shared" si="9"/>
        <v>63.398492599999997</v>
      </c>
      <c r="O101" s="41">
        <f t="shared" si="10"/>
        <v>-1.4646779156060987</v>
      </c>
      <c r="P101" s="41">
        <f t="shared" si="10"/>
        <v>-63.867420790646875</v>
      </c>
      <c r="Q101" s="41">
        <f t="shared" si="10"/>
        <v>4.0180876378330783</v>
      </c>
      <c r="R101" s="41">
        <f t="shared" si="7"/>
        <v>-4.9912589376382108</v>
      </c>
      <c r="S101" s="42">
        <f t="shared" si="11"/>
        <v>-2.9067774060581062</v>
      </c>
      <c r="T101" s="35"/>
      <c r="U101" s="43">
        <v>22735</v>
      </c>
      <c r="V101" s="44">
        <f t="shared" si="12"/>
        <v>227350</v>
      </c>
      <c r="W101" s="140">
        <f t="shared" si="13"/>
        <v>1.7170103530047783E-4</v>
      </c>
      <c r="X101" s="35"/>
      <c r="Y101" s="49">
        <v>88216.326406033244</v>
      </c>
    </row>
    <row r="102" spans="1:25" x14ac:dyDescent="0.35">
      <c r="A102" s="35"/>
      <c r="B102" s="47" t="s">
        <v>98</v>
      </c>
      <c r="C102" s="46">
        <v>228</v>
      </c>
      <c r="D102" s="40">
        <v>0.16504467353951899</v>
      </c>
      <c r="E102" s="41">
        <v>3.2316151202749097E-2</v>
      </c>
      <c r="F102" s="41">
        <v>0.15762694689383699</v>
      </c>
      <c r="G102" s="48">
        <v>0.25889828426432998</v>
      </c>
      <c r="H102" s="35"/>
      <c r="I102" s="40">
        <f t="shared" si="8"/>
        <v>4.7090737783494763E-3</v>
      </c>
      <c r="J102" s="41">
        <f t="shared" si="8"/>
        <v>-4.3211354058048101E-4</v>
      </c>
      <c r="K102" s="41">
        <f t="shared" si="8"/>
        <v>-2.2912338004303395E-2</v>
      </c>
      <c r="L102" s="48">
        <f t="shared" si="6"/>
        <v>-2.1714265491048323E-2</v>
      </c>
      <c r="M102" s="35"/>
      <c r="N102" s="40">
        <f t="shared" si="9"/>
        <v>63.398492599999997</v>
      </c>
      <c r="O102" s="41">
        <f t="shared" si="10"/>
        <v>0.15803755199763966</v>
      </c>
      <c r="P102" s="41">
        <f t="shared" si="10"/>
        <v>-1.7747767425144225</v>
      </c>
      <c r="Q102" s="41">
        <f t="shared" si="10"/>
        <v>-1.707086492491185</v>
      </c>
      <c r="R102" s="41">
        <f t="shared" si="7"/>
        <v>-3.8345707830189233</v>
      </c>
      <c r="S102" s="42">
        <f t="shared" si="11"/>
        <v>56.240096133973104</v>
      </c>
      <c r="T102" s="35"/>
      <c r="U102" s="43">
        <v>72750</v>
      </c>
      <c r="V102" s="44">
        <f t="shared" si="12"/>
        <v>4091466.9937465433</v>
      </c>
      <c r="W102" s="140">
        <f t="shared" si="13"/>
        <v>3.0899895259468447E-3</v>
      </c>
      <c r="X102" s="35"/>
      <c r="Y102" s="49">
        <v>1587570.6522975881</v>
      </c>
    </row>
    <row r="103" spans="1:25" x14ac:dyDescent="0.35">
      <c r="A103" s="35"/>
      <c r="B103" s="47" t="s">
        <v>99</v>
      </c>
      <c r="C103" s="46">
        <v>317</v>
      </c>
      <c r="D103" s="40">
        <v>0.129879222825136</v>
      </c>
      <c r="E103" s="41">
        <v>1.8729214073166502E-2</v>
      </c>
      <c r="F103" s="41">
        <v>9.9367359017776893E-2</v>
      </c>
      <c r="G103" s="48">
        <v>0.23634792052522599</v>
      </c>
      <c r="H103" s="35"/>
      <c r="I103" s="40">
        <f t="shared" si="8"/>
        <v>-3.0456376936033508E-2</v>
      </c>
      <c r="J103" s="41">
        <f t="shared" si="8"/>
        <v>-1.4019050670163076E-2</v>
      </c>
      <c r="K103" s="41">
        <f t="shared" si="8"/>
        <v>-8.1171925880363496E-2</v>
      </c>
      <c r="L103" s="48">
        <f t="shared" si="6"/>
        <v>-4.4264629230152314E-2</v>
      </c>
      <c r="M103" s="35"/>
      <c r="N103" s="40">
        <f t="shared" si="9"/>
        <v>63.398492599999997</v>
      </c>
      <c r="O103" s="41">
        <f t="shared" si="10"/>
        <v>-1.0221227103762105</v>
      </c>
      <c r="P103" s="41">
        <f t="shared" si="10"/>
        <v>-57.579045192874801</v>
      </c>
      <c r="Q103" s="41">
        <f t="shared" si="10"/>
        <v>-6.0477240783475885</v>
      </c>
      <c r="R103" s="41">
        <f t="shared" si="7"/>
        <v>-7.8167900285220728</v>
      </c>
      <c r="S103" s="42">
        <f t="shared" si="11"/>
        <v>-9.0671894101206743</v>
      </c>
      <c r="T103" s="35"/>
      <c r="U103" s="43">
        <v>5713</v>
      </c>
      <c r="V103" s="44">
        <f t="shared" si="12"/>
        <v>57130</v>
      </c>
      <c r="W103" s="140">
        <f t="shared" si="13"/>
        <v>4.3146162950148664E-5</v>
      </c>
      <c r="X103" s="35"/>
      <c r="Y103" s="49">
        <v>22167.577425012882</v>
      </c>
    </row>
    <row r="104" spans="1:25" x14ac:dyDescent="0.35">
      <c r="A104" s="35"/>
      <c r="B104" s="47" t="s">
        <v>796</v>
      </c>
      <c r="C104" s="46">
        <v>1651</v>
      </c>
      <c r="D104" s="40">
        <v>0.21317869239453999</v>
      </c>
      <c r="E104" s="41">
        <v>5.5116493893051399E-2</v>
      </c>
      <c r="F104" s="41">
        <v>0.22349318436371801</v>
      </c>
      <c r="G104" s="48">
        <v>0.35505406157251301</v>
      </c>
      <c r="H104" s="35"/>
      <c r="I104" s="40">
        <f t="shared" si="8"/>
        <v>5.2843092633370475E-2</v>
      </c>
      <c r="J104" s="41">
        <f t="shared" si="8"/>
        <v>2.2368229149721822E-2</v>
      </c>
      <c r="K104" s="41">
        <f t="shared" si="8"/>
        <v>4.2953899465577622E-2</v>
      </c>
      <c r="L104" s="48">
        <f t="shared" si="6"/>
        <v>7.4441511817134709E-2</v>
      </c>
      <c r="M104" s="35"/>
      <c r="N104" s="40">
        <f t="shared" si="9"/>
        <v>63.398492599999997</v>
      </c>
      <c r="O104" s="41">
        <f t="shared" si="10"/>
        <v>1.7734258142562926</v>
      </c>
      <c r="P104" s="41">
        <f t="shared" si="10"/>
        <v>91.870791211102059</v>
      </c>
      <c r="Q104" s="41">
        <f t="shared" si="10"/>
        <v>3.2002854341507967</v>
      </c>
      <c r="R104" s="41">
        <f t="shared" si="7"/>
        <v>13.145793320774288</v>
      </c>
      <c r="S104" s="42">
        <f t="shared" si="11"/>
        <v>173.38878838028344</v>
      </c>
      <c r="T104" s="35"/>
      <c r="U104" s="43">
        <v>9743</v>
      </c>
      <c r="V104" s="44">
        <f t="shared" si="12"/>
        <v>1689326.9651891016</v>
      </c>
      <c r="W104" s="140">
        <f t="shared" si="13"/>
        <v>1.2758266500285157E-3</v>
      </c>
      <c r="X104" s="35"/>
      <c r="Y104" s="49">
        <v>655492.4960089525</v>
      </c>
    </row>
    <row r="105" spans="1:25" x14ac:dyDescent="0.35">
      <c r="A105" s="35"/>
      <c r="B105" s="47" t="s">
        <v>100</v>
      </c>
      <c r="C105" s="46">
        <v>770</v>
      </c>
      <c r="D105" s="40">
        <v>0.149058843479735</v>
      </c>
      <c r="E105" s="41">
        <v>1.57707308801085E-2</v>
      </c>
      <c r="F105" s="41">
        <v>0.17772745151118799</v>
      </c>
      <c r="G105" s="48">
        <v>0.23864184302552499</v>
      </c>
      <c r="H105" s="35"/>
      <c r="I105" s="40">
        <f t="shared" si="8"/>
        <v>-1.1276756281434513E-2</v>
      </c>
      <c r="J105" s="41">
        <f t="shared" si="8"/>
        <v>-1.6977533863221077E-2</v>
      </c>
      <c r="K105" s="41">
        <f t="shared" si="8"/>
        <v>-2.8118333869524004E-3</v>
      </c>
      <c r="L105" s="48">
        <f t="shared" si="6"/>
        <v>-4.1970706729853313E-2</v>
      </c>
      <c r="M105" s="35"/>
      <c r="N105" s="40">
        <f t="shared" si="9"/>
        <v>63.398492599999997</v>
      </c>
      <c r="O105" s="41">
        <f t="shared" si="10"/>
        <v>-0.3784504216913242</v>
      </c>
      <c r="P105" s="41">
        <f t="shared" si="10"/>
        <v>-69.730127422572295</v>
      </c>
      <c r="Q105" s="41">
        <f t="shared" si="10"/>
        <v>-0.20949598391489505</v>
      </c>
      <c r="R105" s="41">
        <f t="shared" si="7"/>
        <v>-7.4117011158078716</v>
      </c>
      <c r="S105" s="42">
        <f t="shared" si="11"/>
        <v>-14.331282343986391</v>
      </c>
      <c r="T105" s="35"/>
      <c r="U105" s="43">
        <v>11794</v>
      </c>
      <c r="V105" s="44">
        <f t="shared" si="12"/>
        <v>117940</v>
      </c>
      <c r="W105" s="140">
        <f t="shared" si="13"/>
        <v>8.9071564122886982E-5</v>
      </c>
      <c r="X105" s="35"/>
      <c r="Y105" s="49">
        <v>45763.068116681592</v>
      </c>
    </row>
    <row r="106" spans="1:25" x14ac:dyDescent="0.35">
      <c r="A106" s="35"/>
      <c r="B106" s="47" t="s">
        <v>101</v>
      </c>
      <c r="C106" s="46">
        <v>1903</v>
      </c>
      <c r="D106" s="40">
        <v>0.138071895424837</v>
      </c>
      <c r="E106" s="41">
        <v>1.7156862745097999E-2</v>
      </c>
      <c r="F106" s="41">
        <v>0.146209221747191</v>
      </c>
      <c r="G106" s="48">
        <v>0.32056582341259499</v>
      </c>
      <c r="H106" s="35"/>
      <c r="I106" s="40">
        <f t="shared" si="8"/>
        <v>-2.2263704336332513E-2</v>
      </c>
      <c r="J106" s="41">
        <f t="shared" si="8"/>
        <v>-1.5591401998231579E-2</v>
      </c>
      <c r="K106" s="41">
        <f t="shared" si="8"/>
        <v>-3.4330063150949386E-2</v>
      </c>
      <c r="L106" s="48">
        <f t="shared" si="6"/>
        <v>3.9953273657216681E-2</v>
      </c>
      <c r="M106" s="35"/>
      <c r="N106" s="40">
        <f t="shared" si="9"/>
        <v>63.398492599999997</v>
      </c>
      <c r="O106" s="41">
        <f t="shared" si="10"/>
        <v>-0.74717481554227316</v>
      </c>
      <c r="P106" s="41">
        <f t="shared" si="10"/>
        <v>-64.03700659896478</v>
      </c>
      <c r="Q106" s="41">
        <f t="shared" si="10"/>
        <v>-2.5577654746690621</v>
      </c>
      <c r="R106" s="41">
        <f t="shared" si="7"/>
        <v>7.0554380904608864</v>
      </c>
      <c r="S106" s="42">
        <f t="shared" si="11"/>
        <v>3.1119838012847687</v>
      </c>
      <c r="T106" s="35"/>
      <c r="U106" s="43">
        <v>15912</v>
      </c>
      <c r="V106" s="44">
        <f t="shared" si="12"/>
        <v>159120</v>
      </c>
      <c r="W106" s="140">
        <f t="shared" si="13"/>
        <v>1.2017184401588755E-4</v>
      </c>
      <c r="X106" s="35"/>
      <c r="Y106" s="49">
        <v>61741.727986487836</v>
      </c>
    </row>
    <row r="107" spans="1:25" x14ac:dyDescent="0.35">
      <c r="A107" s="35"/>
      <c r="B107" s="47" t="s">
        <v>102</v>
      </c>
      <c r="C107" s="46">
        <v>772</v>
      </c>
      <c r="D107" s="40">
        <v>0.18497172893147601</v>
      </c>
      <c r="E107" s="41">
        <v>5.4969739367061801E-2</v>
      </c>
      <c r="F107" s="41">
        <v>0.131939680354315</v>
      </c>
      <c r="G107" s="48">
        <v>0.23931717464170499</v>
      </c>
      <c r="H107" s="35"/>
      <c r="I107" s="40">
        <f t="shared" si="8"/>
        <v>2.4636129170306498E-2</v>
      </c>
      <c r="J107" s="41">
        <f t="shared" si="8"/>
        <v>2.2221474623732224E-2</v>
      </c>
      <c r="K107" s="41">
        <f t="shared" si="8"/>
        <v>-4.8599604543825392E-2</v>
      </c>
      <c r="L107" s="48">
        <f t="shared" si="6"/>
        <v>-4.1295375113673316E-2</v>
      </c>
      <c r="M107" s="35"/>
      <c r="N107" s="40">
        <f t="shared" si="9"/>
        <v>63.398492599999997</v>
      </c>
      <c r="O107" s="41">
        <f t="shared" si="10"/>
        <v>0.82679391490390353</v>
      </c>
      <c r="P107" s="41">
        <f t="shared" si="10"/>
        <v>91.26804101902249</v>
      </c>
      <c r="Q107" s="41">
        <f t="shared" si="10"/>
        <v>-3.6209193684902563</v>
      </c>
      <c r="R107" s="41">
        <f t="shared" si="7"/>
        <v>-7.2924427929638256</v>
      </c>
      <c r="S107" s="42">
        <f t="shared" si="11"/>
        <v>144.57996537247232</v>
      </c>
      <c r="T107" s="35"/>
      <c r="U107" s="43">
        <v>155813</v>
      </c>
      <c r="V107" s="44">
        <f t="shared" si="12"/>
        <v>22527438.144581027</v>
      </c>
      <c r="W107" s="140">
        <f t="shared" si="13"/>
        <v>1.7013347051207557E-2</v>
      </c>
      <c r="X107" s="35"/>
      <c r="Y107" s="49">
        <v>8741094.5082651582</v>
      </c>
    </row>
    <row r="108" spans="1:25" x14ac:dyDescent="0.35">
      <c r="A108" s="35"/>
      <c r="B108" s="47" t="s">
        <v>103</v>
      </c>
      <c r="C108" s="46">
        <v>230</v>
      </c>
      <c r="D108" s="40">
        <v>0.160238011900595</v>
      </c>
      <c r="E108" s="41">
        <v>2.18410920546027E-2</v>
      </c>
      <c r="F108" s="41">
        <v>0.261250076674508</v>
      </c>
      <c r="G108" s="48">
        <v>0.26857502373820702</v>
      </c>
      <c r="H108" s="35"/>
      <c r="I108" s="40">
        <f t="shared" si="8"/>
        <v>-9.7587860574510632E-5</v>
      </c>
      <c r="J108" s="41">
        <f t="shared" si="8"/>
        <v>-1.0907172688726877E-2</v>
      </c>
      <c r="K108" s="41">
        <f t="shared" si="8"/>
        <v>8.0710791776367613E-2</v>
      </c>
      <c r="L108" s="48">
        <f t="shared" si="6"/>
        <v>-1.2037526017171285E-2</v>
      </c>
      <c r="M108" s="35"/>
      <c r="N108" s="40">
        <f t="shared" si="9"/>
        <v>63.398492599999997</v>
      </c>
      <c r="O108" s="41">
        <f t="shared" si="10"/>
        <v>-3.2750700702099031E-3</v>
      </c>
      <c r="P108" s="41">
        <f t="shared" si="10"/>
        <v>-44.797939885282489</v>
      </c>
      <c r="Q108" s="41">
        <f t="shared" si="10"/>
        <v>6.0133672265932825</v>
      </c>
      <c r="R108" s="41">
        <f t="shared" si="7"/>
        <v>-2.1257336834305556</v>
      </c>
      <c r="S108" s="42">
        <f t="shared" si="11"/>
        <v>22.484911187810024</v>
      </c>
      <c r="T108" s="35"/>
      <c r="U108" s="43">
        <v>14285</v>
      </c>
      <c r="V108" s="44">
        <f t="shared" si="12"/>
        <v>321196.95631786616</v>
      </c>
      <c r="W108" s="140">
        <f t="shared" si="13"/>
        <v>2.4257686358099837E-4</v>
      </c>
      <c r="X108" s="35"/>
      <c r="Y108" s="49">
        <v>124630.81389558516</v>
      </c>
    </row>
    <row r="109" spans="1:25" x14ac:dyDescent="0.35">
      <c r="A109" s="35"/>
      <c r="B109" s="47" t="s">
        <v>104</v>
      </c>
      <c r="C109" s="46">
        <v>114</v>
      </c>
      <c r="D109" s="40">
        <v>0.21453973665647799</v>
      </c>
      <c r="E109" s="41">
        <v>6.6600047025628994E-2</v>
      </c>
      <c r="F109" s="41">
        <v>0.245316869661061</v>
      </c>
      <c r="G109" s="48">
        <v>0.35929236786028601</v>
      </c>
      <c r="H109" s="35"/>
      <c r="I109" s="40">
        <f t="shared" si="8"/>
        <v>5.420413689530848E-2</v>
      </c>
      <c r="J109" s="41">
        <f t="shared" si="8"/>
        <v>3.3851782282299417E-2</v>
      </c>
      <c r="K109" s="41">
        <f t="shared" si="8"/>
        <v>6.4777584762920615E-2</v>
      </c>
      <c r="L109" s="48">
        <f t="shared" si="6"/>
        <v>7.8679818104907706E-2</v>
      </c>
      <c r="M109" s="35"/>
      <c r="N109" s="40">
        <f t="shared" si="9"/>
        <v>63.398492599999997</v>
      </c>
      <c r="O109" s="41">
        <f t="shared" si="10"/>
        <v>1.8191027591166695</v>
      </c>
      <c r="P109" s="41">
        <f t="shared" si="10"/>
        <v>139.03604086689583</v>
      </c>
      <c r="Q109" s="41">
        <f t="shared" si="10"/>
        <v>4.8262617260715723</v>
      </c>
      <c r="R109" s="41">
        <f t="shared" si="7"/>
        <v>13.894245321938207</v>
      </c>
      <c r="S109" s="42">
        <f t="shared" si="11"/>
        <v>222.97414327402228</v>
      </c>
      <c r="T109" s="35"/>
      <c r="U109" s="43">
        <v>68048</v>
      </c>
      <c r="V109" s="44">
        <f t="shared" si="12"/>
        <v>15172944.501510669</v>
      </c>
      <c r="W109" s="140">
        <f t="shared" si="13"/>
        <v>1.1459029159736418E-2</v>
      </c>
      <c r="X109" s="35"/>
      <c r="Y109" s="49">
        <v>5887404.5510705635</v>
      </c>
    </row>
    <row r="110" spans="1:25" x14ac:dyDescent="0.35">
      <c r="A110" s="35"/>
      <c r="B110" s="47" t="s">
        <v>105</v>
      </c>
      <c r="C110" s="46">
        <v>388</v>
      </c>
      <c r="D110" s="40">
        <v>0.1640625</v>
      </c>
      <c r="E110" s="41">
        <v>3.4391983695652197E-2</v>
      </c>
      <c r="F110" s="41">
        <v>0.18902920629173101</v>
      </c>
      <c r="G110" s="48">
        <v>0.30495761652622</v>
      </c>
      <c r="H110" s="35"/>
      <c r="I110" s="40">
        <f t="shared" si="8"/>
        <v>3.7269002388304884E-3</v>
      </c>
      <c r="J110" s="41">
        <f t="shared" si="8"/>
        <v>1.6437189523226189E-3</v>
      </c>
      <c r="K110" s="41">
        <f t="shared" si="8"/>
        <v>8.4899213935906159E-3</v>
      </c>
      <c r="L110" s="48">
        <f t="shared" si="6"/>
        <v>2.4345066770841695E-2</v>
      </c>
      <c r="M110" s="35"/>
      <c r="N110" s="40">
        <f t="shared" si="9"/>
        <v>63.398492599999997</v>
      </c>
      <c r="O110" s="41">
        <f t="shared" si="10"/>
        <v>0.12507559193320375</v>
      </c>
      <c r="P110" s="41">
        <f t="shared" si="10"/>
        <v>6.7510825138538397</v>
      </c>
      <c r="Q110" s="41">
        <f t="shared" si="10"/>
        <v>0.63254261222003616</v>
      </c>
      <c r="R110" s="41">
        <f t="shared" si="7"/>
        <v>4.2991498740125014</v>
      </c>
      <c r="S110" s="42">
        <f t="shared" si="11"/>
        <v>75.206343192019574</v>
      </c>
      <c r="T110" s="35"/>
      <c r="U110" s="43">
        <v>11776</v>
      </c>
      <c r="V110" s="44">
        <f t="shared" si="12"/>
        <v>885629.89742922247</v>
      </c>
      <c r="W110" s="140">
        <f t="shared" si="13"/>
        <v>6.6885229945745986E-4</v>
      </c>
      <c r="X110" s="35"/>
      <c r="Y110" s="49">
        <v>343642.03257777891</v>
      </c>
    </row>
    <row r="111" spans="1:25" x14ac:dyDescent="0.35">
      <c r="A111" s="35"/>
      <c r="B111" s="47" t="s">
        <v>106</v>
      </c>
      <c r="C111" s="46">
        <v>153</v>
      </c>
      <c r="D111" s="40">
        <v>0.22983192882575701</v>
      </c>
      <c r="E111" s="41">
        <v>8.0127392125362906E-2</v>
      </c>
      <c r="F111" s="41">
        <v>0.167932211360134</v>
      </c>
      <c r="G111" s="48">
        <v>0.29919732799599902</v>
      </c>
      <c r="H111" s="35"/>
      <c r="I111" s="40">
        <f t="shared" si="8"/>
        <v>6.9496329064587498E-2</v>
      </c>
      <c r="J111" s="41">
        <f t="shared" si="8"/>
        <v>4.7379127382033329E-2</v>
      </c>
      <c r="K111" s="41">
        <f t="shared" si="8"/>
        <v>-1.2607073538006386E-2</v>
      </c>
      <c r="L111" s="48">
        <f t="shared" si="6"/>
        <v>1.8584778240620714E-2</v>
      </c>
      <c r="M111" s="35"/>
      <c r="N111" s="40">
        <f t="shared" si="9"/>
        <v>63.398492599999997</v>
      </c>
      <c r="O111" s="41">
        <f t="shared" si="10"/>
        <v>2.3323120925999508</v>
      </c>
      <c r="P111" s="41">
        <f t="shared" si="10"/>
        <v>194.59555293106985</v>
      </c>
      <c r="Q111" s="41">
        <f t="shared" si="10"/>
        <v>-0.93929152679799044</v>
      </c>
      <c r="R111" s="41">
        <f t="shared" si="7"/>
        <v>3.2819276194144709</v>
      </c>
      <c r="S111" s="42">
        <f t="shared" si="11"/>
        <v>262.66899371628625</v>
      </c>
      <c r="T111" s="35"/>
      <c r="U111" s="43">
        <v>106443</v>
      </c>
      <c r="V111" s="44">
        <f t="shared" si="12"/>
        <v>27959275.698142659</v>
      </c>
      <c r="W111" s="140">
        <f t="shared" si="13"/>
        <v>2.1115621656576138E-2</v>
      </c>
      <c r="X111" s="35"/>
      <c r="Y111" s="49">
        <v>10848755.623767873</v>
      </c>
    </row>
    <row r="112" spans="1:25" x14ac:dyDescent="0.35">
      <c r="A112" s="35"/>
      <c r="B112" s="47" t="s">
        <v>107</v>
      </c>
      <c r="C112" s="46">
        <v>232</v>
      </c>
      <c r="D112" s="40">
        <v>0.164152662482284</v>
      </c>
      <c r="E112" s="41">
        <v>2.8042113788216201E-2</v>
      </c>
      <c r="F112" s="41">
        <v>0.2067991700855</v>
      </c>
      <c r="G112" s="48">
        <v>0.26669667425813598</v>
      </c>
      <c r="H112" s="35"/>
      <c r="I112" s="40">
        <f t="shared" si="8"/>
        <v>3.8170627211144836E-3</v>
      </c>
      <c r="J112" s="41">
        <f t="shared" si="8"/>
        <v>-4.7061509551133765E-3</v>
      </c>
      <c r="K112" s="41">
        <f t="shared" si="8"/>
        <v>2.6259885187359611E-2</v>
      </c>
      <c r="L112" s="48">
        <f t="shared" si="6"/>
        <v>-1.3915875497242325E-2</v>
      </c>
      <c r="M112" s="35"/>
      <c r="N112" s="40">
        <f t="shared" si="9"/>
        <v>63.398492599999997</v>
      </c>
      <c r="O112" s="41">
        <f t="shared" si="10"/>
        <v>0.12810146467440073</v>
      </c>
      <c r="P112" s="41">
        <f t="shared" si="10"/>
        <v>-19.329103296964679</v>
      </c>
      <c r="Q112" s="41">
        <f t="shared" si="10"/>
        <v>1.9564958970704505</v>
      </c>
      <c r="R112" s="41">
        <f t="shared" si="7"/>
        <v>-2.4574356256191359</v>
      </c>
      <c r="S112" s="42">
        <f t="shared" si="11"/>
        <v>43.696551039161044</v>
      </c>
      <c r="T112" s="35"/>
      <c r="U112" s="43">
        <v>19756</v>
      </c>
      <c r="V112" s="44">
        <f t="shared" si="12"/>
        <v>863269.06232966552</v>
      </c>
      <c r="W112" s="140">
        <f t="shared" si="13"/>
        <v>6.5196477565373351E-4</v>
      </c>
      <c r="X112" s="35"/>
      <c r="Y112" s="49">
        <v>334965.58336795267</v>
      </c>
    </row>
    <row r="113" spans="1:25" x14ac:dyDescent="0.35">
      <c r="A113" s="35"/>
      <c r="B113" s="47" t="s">
        <v>108</v>
      </c>
      <c r="C113" s="46">
        <v>233</v>
      </c>
      <c r="D113" s="40">
        <v>0.18021565301671899</v>
      </c>
      <c r="E113" s="41">
        <v>2.5381633147564801E-2</v>
      </c>
      <c r="F113" s="41">
        <v>0.193185261601339</v>
      </c>
      <c r="G113" s="48">
        <v>0.247691957349019</v>
      </c>
      <c r="H113" s="35"/>
      <c r="I113" s="40">
        <f t="shared" si="8"/>
        <v>1.9880053255549479E-2</v>
      </c>
      <c r="J113" s="41">
        <f t="shared" si="8"/>
        <v>-7.3666315957647763E-3</v>
      </c>
      <c r="K113" s="41">
        <f t="shared" si="8"/>
        <v>1.2645976703198614E-2</v>
      </c>
      <c r="L113" s="48">
        <f t="shared" si="6"/>
        <v>-3.2920592406359306E-2</v>
      </c>
      <c r="M113" s="35"/>
      <c r="N113" s="40">
        <f t="shared" si="9"/>
        <v>63.398492599999997</v>
      </c>
      <c r="O113" s="41">
        <f t="shared" si="10"/>
        <v>0.66717896086795681</v>
      </c>
      <c r="P113" s="41">
        <f t="shared" si="10"/>
        <v>-30.256229437457723</v>
      </c>
      <c r="Q113" s="41">
        <f t="shared" si="10"/>
        <v>0.94219001178901718</v>
      </c>
      <c r="R113" s="41">
        <f t="shared" si="7"/>
        <v>-5.8135211551659802</v>
      </c>
      <c r="S113" s="42">
        <f t="shared" si="11"/>
        <v>28.938110980033272</v>
      </c>
      <c r="T113" s="35"/>
      <c r="U113" s="43">
        <v>16508</v>
      </c>
      <c r="V113" s="44">
        <f t="shared" si="12"/>
        <v>477710.33605838928</v>
      </c>
      <c r="W113" s="140">
        <f t="shared" si="13"/>
        <v>3.6078011557055036E-4</v>
      </c>
      <c r="X113" s="35"/>
      <c r="Y113" s="49">
        <v>185361.12132510534</v>
      </c>
    </row>
    <row r="114" spans="1:25" x14ac:dyDescent="0.35">
      <c r="A114" s="35"/>
      <c r="B114" s="47" t="s">
        <v>109</v>
      </c>
      <c r="C114" s="46">
        <v>777</v>
      </c>
      <c r="D114" s="40">
        <v>0.15367491423983701</v>
      </c>
      <c r="E114" s="41">
        <v>3.1676519962046602E-2</v>
      </c>
      <c r="F114" s="41">
        <v>0.17673102775036301</v>
      </c>
      <c r="G114" s="48">
        <v>0.26757155469582999</v>
      </c>
      <c r="H114" s="35"/>
      <c r="I114" s="40">
        <f t="shared" si="8"/>
        <v>-6.6606855213325045E-3</v>
      </c>
      <c r="J114" s="41">
        <f t="shared" si="8"/>
        <v>-1.0717447812829753E-3</v>
      </c>
      <c r="K114" s="41">
        <f t="shared" si="8"/>
        <v>-3.808257147777383E-3</v>
      </c>
      <c r="L114" s="48">
        <f t="shared" si="6"/>
        <v>-1.304099505954831E-2</v>
      </c>
      <c r="M114" s="35"/>
      <c r="N114" s="40">
        <f t="shared" si="9"/>
        <v>63.398492599999997</v>
      </c>
      <c r="O114" s="41">
        <f t="shared" si="10"/>
        <v>-0.22353407144673354</v>
      </c>
      <c r="P114" s="41">
        <f t="shared" si="10"/>
        <v>-4.4018701871203323</v>
      </c>
      <c r="Q114" s="41">
        <f t="shared" si="10"/>
        <v>-0.28373465578601165</v>
      </c>
      <c r="R114" s="41">
        <f t="shared" si="7"/>
        <v>-2.3029385293945697</v>
      </c>
      <c r="S114" s="42">
        <f t="shared" si="11"/>
        <v>56.186415156252352</v>
      </c>
      <c r="T114" s="35"/>
      <c r="U114" s="43">
        <v>27402</v>
      </c>
      <c r="V114" s="44">
        <f t="shared" si="12"/>
        <v>1539620.148111627</v>
      </c>
      <c r="W114" s="140">
        <f t="shared" si="13"/>
        <v>1.1627639032339625E-3</v>
      </c>
      <c r="X114" s="35"/>
      <c r="Y114" s="49">
        <v>597403.27040739183</v>
      </c>
    </row>
    <row r="115" spans="1:25" x14ac:dyDescent="0.35">
      <c r="A115" s="35"/>
      <c r="B115" s="47" t="s">
        <v>805</v>
      </c>
      <c r="C115" s="46">
        <v>1722</v>
      </c>
      <c r="D115" s="40">
        <v>0.18370370370370401</v>
      </c>
      <c r="E115" s="41">
        <v>4.6666666666666697E-2</v>
      </c>
      <c r="F115" s="41">
        <v>0.19384356824838</v>
      </c>
      <c r="G115" s="48">
        <v>0.34968049791549599</v>
      </c>
      <c r="H115" s="35"/>
      <c r="I115" s="40">
        <f t="shared" si="8"/>
        <v>2.3368103942534496E-2</v>
      </c>
      <c r="J115" s="41">
        <f t="shared" si="8"/>
        <v>1.3918401923337119E-2</v>
      </c>
      <c r="K115" s="41">
        <f t="shared" si="8"/>
        <v>1.3304283350239615E-2</v>
      </c>
      <c r="L115" s="48">
        <f t="shared" si="6"/>
        <v>6.9067948160117687E-2</v>
      </c>
      <c r="M115" s="35"/>
      <c r="N115" s="40">
        <f t="shared" si="9"/>
        <v>63.398492599999997</v>
      </c>
      <c r="O115" s="41">
        <f t="shared" si="10"/>
        <v>0.78423870929432504</v>
      </c>
      <c r="P115" s="41">
        <f t="shared" si="10"/>
        <v>57.165660657898258</v>
      </c>
      <c r="Q115" s="41">
        <f t="shared" si="10"/>
        <v>0.99123722752360466</v>
      </c>
      <c r="R115" s="41">
        <f t="shared" si="7"/>
        <v>12.196863677799062</v>
      </c>
      <c r="S115" s="42">
        <f t="shared" si="11"/>
        <v>134.53649287251525</v>
      </c>
      <c r="T115" s="35"/>
      <c r="U115" s="43">
        <v>5400</v>
      </c>
      <c r="V115" s="44">
        <f t="shared" si="12"/>
        <v>726497.06151158235</v>
      </c>
      <c r="W115" s="140">
        <f t="shared" si="13"/>
        <v>5.4867076140001597E-4</v>
      </c>
      <c r="X115" s="35"/>
      <c r="Y115" s="49">
        <v>281895.32399969106</v>
      </c>
    </row>
    <row r="116" spans="1:25" x14ac:dyDescent="0.35">
      <c r="A116" s="35"/>
      <c r="B116" s="47" t="s">
        <v>110</v>
      </c>
      <c r="C116" s="46">
        <v>779</v>
      </c>
      <c r="D116" s="40">
        <v>0.142379776260352</v>
      </c>
      <c r="E116" s="41">
        <v>2.96382391399099E-2</v>
      </c>
      <c r="F116" s="41">
        <v>0.20294168019018</v>
      </c>
      <c r="G116" s="48">
        <v>0.25913398799023701</v>
      </c>
      <c r="H116" s="35"/>
      <c r="I116" s="40">
        <f t="shared" si="8"/>
        <v>-1.7955823500817508E-2</v>
      </c>
      <c r="J116" s="41">
        <f t="shared" si="8"/>
        <v>-3.1100256034196777E-3</v>
      </c>
      <c r="K116" s="41">
        <f t="shared" si="8"/>
        <v>2.2402395292039606E-2</v>
      </c>
      <c r="L116" s="48">
        <f t="shared" si="6"/>
        <v>-2.1478561765141291E-2</v>
      </c>
      <c r="M116" s="35"/>
      <c r="N116" s="40">
        <f t="shared" si="9"/>
        <v>63.398492599999997</v>
      </c>
      <c r="O116" s="41">
        <f t="shared" si="10"/>
        <v>-0.60260138696860577</v>
      </c>
      <c r="P116" s="41">
        <f t="shared" si="10"/>
        <v>-12.773497220565813</v>
      </c>
      <c r="Q116" s="41">
        <f t="shared" si="10"/>
        <v>1.6690931495208461</v>
      </c>
      <c r="R116" s="41">
        <f t="shared" si="7"/>
        <v>-3.7929473340846545</v>
      </c>
      <c r="S116" s="42">
        <f t="shared" si="11"/>
        <v>47.89853980790177</v>
      </c>
      <c r="T116" s="35"/>
      <c r="U116" s="43">
        <v>13766</v>
      </c>
      <c r="V116" s="44">
        <f t="shared" si="12"/>
        <v>659371.29899557575</v>
      </c>
      <c r="W116" s="140">
        <f t="shared" si="13"/>
        <v>4.979755209367112E-4</v>
      </c>
      <c r="X116" s="35"/>
      <c r="Y116" s="49">
        <v>255849.19170866004</v>
      </c>
    </row>
    <row r="117" spans="1:25" x14ac:dyDescent="0.35">
      <c r="A117" s="35"/>
      <c r="B117" s="47" t="s">
        <v>807</v>
      </c>
      <c r="C117" s="46">
        <v>236</v>
      </c>
      <c r="D117" s="40">
        <v>0.13933554031685999</v>
      </c>
      <c r="E117" s="41">
        <v>1.8798770394892399E-2</v>
      </c>
      <c r="F117" s="41">
        <v>0.22081765942445</v>
      </c>
      <c r="G117" s="48">
        <v>0.25108228671354299</v>
      </c>
      <c r="H117" s="35"/>
      <c r="I117" s="40">
        <f t="shared" si="8"/>
        <v>-2.1000059444309521E-2</v>
      </c>
      <c r="J117" s="41">
        <f t="shared" si="8"/>
        <v>-1.3949494348437178E-2</v>
      </c>
      <c r="K117" s="41">
        <f t="shared" si="8"/>
        <v>4.0278374526309613E-2</v>
      </c>
      <c r="L117" s="48">
        <f t="shared" si="6"/>
        <v>-2.9530263041835314E-2</v>
      </c>
      <c r="M117" s="35"/>
      <c r="N117" s="40">
        <f t="shared" si="9"/>
        <v>63.398492599999997</v>
      </c>
      <c r="O117" s="41">
        <f t="shared" si="10"/>
        <v>-0.70476661496410531</v>
      </c>
      <c r="P117" s="41">
        <f t="shared" si="10"/>
        <v>-57.293363466891066</v>
      </c>
      <c r="Q117" s="41">
        <f t="shared" si="10"/>
        <v>3.0009451274876411</v>
      </c>
      <c r="R117" s="41">
        <f t="shared" si="7"/>
        <v>-5.2148152983469123</v>
      </c>
      <c r="S117" s="42">
        <f t="shared" si="11"/>
        <v>3.1864923472855535</v>
      </c>
      <c r="T117" s="35"/>
      <c r="U117" s="43">
        <v>16916</v>
      </c>
      <c r="V117" s="44">
        <f t="shared" si="12"/>
        <v>169160</v>
      </c>
      <c r="W117" s="140">
        <f t="shared" si="13"/>
        <v>1.277543309057789E-4</v>
      </c>
      <c r="X117" s="35"/>
      <c r="Y117" s="49">
        <v>65637.447877037979</v>
      </c>
    </row>
    <row r="118" spans="1:25" x14ac:dyDescent="0.35">
      <c r="A118" s="35"/>
      <c r="B118" s="47" t="s">
        <v>111</v>
      </c>
      <c r="C118" s="46">
        <v>1771</v>
      </c>
      <c r="D118" s="40">
        <v>0.15681192289000501</v>
      </c>
      <c r="E118" s="41">
        <v>3.63275554835574E-2</v>
      </c>
      <c r="F118" s="41">
        <v>0.16725839436009801</v>
      </c>
      <c r="G118" s="48">
        <v>0.24437162696168699</v>
      </c>
      <c r="H118" s="35"/>
      <c r="I118" s="40">
        <f t="shared" si="8"/>
        <v>-3.523676871164505E-3</v>
      </c>
      <c r="J118" s="41">
        <f t="shared" si="8"/>
        <v>3.5792907402278223E-3</v>
      </c>
      <c r="K118" s="41">
        <f t="shared" si="8"/>
        <v>-1.3280890538042378E-2</v>
      </c>
      <c r="L118" s="48">
        <f t="shared" si="6"/>
        <v>-3.6240922793691316E-2</v>
      </c>
      <c r="M118" s="35"/>
      <c r="N118" s="40">
        <f t="shared" si="9"/>
        <v>63.398492599999997</v>
      </c>
      <c r="O118" s="41">
        <f t="shared" si="10"/>
        <v>-0.11825537100519244</v>
      </c>
      <c r="P118" s="41">
        <f t="shared" si="10"/>
        <v>14.700862999849528</v>
      </c>
      <c r="Q118" s="41">
        <f t="shared" si="10"/>
        <v>-0.98949434324371199</v>
      </c>
      <c r="R118" s="41">
        <f t="shared" si="7"/>
        <v>-6.3998657358050073</v>
      </c>
      <c r="S118" s="42">
        <f t="shared" si="11"/>
        <v>70.591740149795626</v>
      </c>
      <c r="T118" s="35"/>
      <c r="U118" s="43">
        <v>24692</v>
      </c>
      <c r="V118" s="44">
        <f t="shared" si="12"/>
        <v>1743051.2477787535</v>
      </c>
      <c r="W118" s="140">
        <f t="shared" si="13"/>
        <v>1.3164007205867679E-3</v>
      </c>
      <c r="X118" s="35"/>
      <c r="Y118" s="49">
        <v>676338.58727290097</v>
      </c>
    </row>
    <row r="119" spans="1:25" x14ac:dyDescent="0.35">
      <c r="A119" s="35"/>
      <c r="B119" s="47" t="s">
        <v>112</v>
      </c>
      <c r="C119" s="46">
        <v>1652</v>
      </c>
      <c r="D119" s="40">
        <v>0.14035535586643499</v>
      </c>
      <c r="E119" s="41">
        <v>2.4813642397631001E-2</v>
      </c>
      <c r="F119" s="41">
        <v>0.20706369446228401</v>
      </c>
      <c r="G119" s="48">
        <v>0.26522644381421501</v>
      </c>
      <c r="H119" s="35"/>
      <c r="I119" s="40">
        <f t="shared" si="8"/>
        <v>-1.9980243894734517E-2</v>
      </c>
      <c r="J119" s="41">
        <f t="shared" si="8"/>
        <v>-7.9346223456985762E-3</v>
      </c>
      <c r="K119" s="41">
        <f t="shared" si="8"/>
        <v>2.6524409564143619E-2</v>
      </c>
      <c r="L119" s="48">
        <f t="shared" si="6"/>
        <v>-1.5386105941163297E-2</v>
      </c>
      <c r="M119" s="35"/>
      <c r="N119" s="40">
        <f t="shared" si="9"/>
        <v>63.398492599999997</v>
      </c>
      <c r="O119" s="41">
        <f t="shared" si="10"/>
        <v>-0.67054138076094727</v>
      </c>
      <c r="P119" s="41">
        <f t="shared" si="10"/>
        <v>-32.589081056945638</v>
      </c>
      <c r="Q119" s="41">
        <f t="shared" si="10"/>
        <v>1.9762043175056683</v>
      </c>
      <c r="R119" s="41">
        <f t="shared" si="7"/>
        <v>-2.7170669130273351</v>
      </c>
      <c r="S119" s="42">
        <f t="shared" si="11"/>
        <v>29.398007566771749</v>
      </c>
      <c r="T119" s="35"/>
      <c r="U119" s="43">
        <v>19586</v>
      </c>
      <c r="V119" s="44">
        <f t="shared" si="12"/>
        <v>575789.37620279146</v>
      </c>
      <c r="W119" s="140">
        <f t="shared" si="13"/>
        <v>4.3485213111517753E-4</v>
      </c>
      <c r="X119" s="35"/>
      <c r="Y119" s="49">
        <v>223417.74159767639</v>
      </c>
    </row>
    <row r="120" spans="1:25" x14ac:dyDescent="0.35">
      <c r="A120" s="35"/>
      <c r="B120" s="47" t="s">
        <v>113</v>
      </c>
      <c r="C120" s="46">
        <v>907</v>
      </c>
      <c r="D120" s="40">
        <v>0.18579540165689301</v>
      </c>
      <c r="E120" s="41">
        <v>3.39756120264358E-2</v>
      </c>
      <c r="F120" s="41">
        <v>0.13005946648472899</v>
      </c>
      <c r="G120" s="48">
        <v>0.29222195200887002</v>
      </c>
      <c r="H120" s="35"/>
      <c r="I120" s="40">
        <f t="shared" si="8"/>
        <v>2.5459801895723499E-2</v>
      </c>
      <c r="J120" s="41">
        <f t="shared" si="8"/>
        <v>1.2273472831062227E-3</v>
      </c>
      <c r="K120" s="41">
        <f t="shared" si="8"/>
        <v>-5.0479818413411398E-2</v>
      </c>
      <c r="L120" s="48">
        <f t="shared" si="6"/>
        <v>1.1609402253491719E-2</v>
      </c>
      <c r="M120" s="35"/>
      <c r="N120" s="40">
        <f t="shared" si="9"/>
        <v>63.398492599999997</v>
      </c>
      <c r="O120" s="41">
        <f t="shared" si="10"/>
        <v>0.85443655277689778</v>
      </c>
      <c r="P120" s="41">
        <f t="shared" si="10"/>
        <v>5.0409607857208236</v>
      </c>
      <c r="Q120" s="41">
        <f t="shared" si="10"/>
        <v>-3.761004928469426</v>
      </c>
      <c r="R120" s="41">
        <f t="shared" si="7"/>
        <v>2.0501303490051503</v>
      </c>
      <c r="S120" s="42">
        <f t="shared" si="11"/>
        <v>67.583015359033439</v>
      </c>
      <c r="T120" s="35"/>
      <c r="U120" s="43">
        <v>10743</v>
      </c>
      <c r="V120" s="44">
        <f t="shared" si="12"/>
        <v>726044.33400209621</v>
      </c>
      <c r="W120" s="140">
        <f t="shared" si="13"/>
        <v>5.4832884900904259E-4</v>
      </c>
      <c r="X120" s="35"/>
      <c r="Y120" s="49">
        <v>281719.65671246947</v>
      </c>
    </row>
    <row r="121" spans="1:25" x14ac:dyDescent="0.35">
      <c r="A121" s="35"/>
      <c r="B121" s="47" t="s">
        <v>814</v>
      </c>
      <c r="C121" s="46">
        <v>689</v>
      </c>
      <c r="D121" s="40">
        <v>0.13321049208757901</v>
      </c>
      <c r="E121" s="41">
        <v>1.52828961630176E-2</v>
      </c>
      <c r="F121" s="41">
        <v>0.18352396175992899</v>
      </c>
      <c r="G121" s="48">
        <v>0.25194957593606998</v>
      </c>
      <c r="H121" s="35"/>
      <c r="I121" s="40">
        <f t="shared" si="8"/>
        <v>-2.7125107673590498E-2</v>
      </c>
      <c r="J121" s="41">
        <f t="shared" si="8"/>
        <v>-1.7465368580311978E-2</v>
      </c>
      <c r="K121" s="41">
        <f t="shared" si="8"/>
        <v>2.9846768617886044E-3</v>
      </c>
      <c r="L121" s="48">
        <f t="shared" si="6"/>
        <v>-2.8662973819308324E-2</v>
      </c>
      <c r="M121" s="35"/>
      <c r="N121" s="40">
        <f t="shared" si="9"/>
        <v>63.398492599999997</v>
      </c>
      <c r="O121" s="41">
        <f t="shared" si="10"/>
        <v>-0.9103245810493853</v>
      </c>
      <c r="P121" s="41">
        <f t="shared" si="10"/>
        <v>-71.733762182364728</v>
      </c>
      <c r="Q121" s="41">
        <f t="shared" si="10"/>
        <v>0.2223737077487834</v>
      </c>
      <c r="R121" s="41">
        <f t="shared" si="7"/>
        <v>-5.0616587518130123</v>
      </c>
      <c r="S121" s="42">
        <f t="shared" si="11"/>
        <v>-14.084879207478348</v>
      </c>
      <c r="T121" s="35"/>
      <c r="U121" s="43">
        <v>9226</v>
      </c>
      <c r="V121" s="44">
        <f t="shared" si="12"/>
        <v>92260</v>
      </c>
      <c r="W121" s="140">
        <f t="shared" si="13"/>
        <v>6.9677314786989597E-5</v>
      </c>
      <c r="X121" s="35"/>
      <c r="Y121" s="49">
        <v>35798.716842844195</v>
      </c>
    </row>
    <row r="122" spans="1:25" x14ac:dyDescent="0.35">
      <c r="A122" s="35"/>
      <c r="B122" s="47" t="s">
        <v>114</v>
      </c>
      <c r="C122" s="46">
        <v>784</v>
      </c>
      <c r="D122" s="40">
        <v>0.14919379008571601</v>
      </c>
      <c r="E122" s="41">
        <v>3.4106575555955199E-2</v>
      </c>
      <c r="F122" s="41">
        <v>0.21088332929436501</v>
      </c>
      <c r="G122" s="48">
        <v>0.253174411082983</v>
      </c>
      <c r="H122" s="35"/>
      <c r="I122" s="40">
        <f t="shared" si="8"/>
        <v>-1.1141809675453501E-2</v>
      </c>
      <c r="J122" s="41">
        <f t="shared" si="8"/>
        <v>1.358310812625621E-3</v>
      </c>
      <c r="K122" s="41">
        <f t="shared" si="8"/>
        <v>3.0344044396224623E-2</v>
      </c>
      <c r="L122" s="48">
        <f t="shared" si="6"/>
        <v>-2.7438138672395307E-2</v>
      </c>
      <c r="M122" s="35"/>
      <c r="N122" s="40">
        <f t="shared" si="9"/>
        <v>63.398492599999997</v>
      </c>
      <c r="O122" s="41">
        <f t="shared" si="10"/>
        <v>-0.37392158390634811</v>
      </c>
      <c r="P122" s="41">
        <f t="shared" si="10"/>
        <v>5.5788541967821672</v>
      </c>
      <c r="Q122" s="41">
        <f t="shared" si="10"/>
        <v>2.2607866690260434</v>
      </c>
      <c r="R122" s="41">
        <f t="shared" si="7"/>
        <v>-4.8453623695889139</v>
      </c>
      <c r="S122" s="42">
        <f t="shared" si="11"/>
        <v>66.018849512312954</v>
      </c>
      <c r="T122" s="35"/>
      <c r="U122" s="43">
        <v>16683</v>
      </c>
      <c r="V122" s="44">
        <f t="shared" si="12"/>
        <v>1101392.466413917</v>
      </c>
      <c r="W122" s="140">
        <f t="shared" si="13"/>
        <v>8.3180218498093831E-4</v>
      </c>
      <c r="X122" s="35"/>
      <c r="Y122" s="49">
        <v>427362.20505087363</v>
      </c>
    </row>
    <row r="123" spans="1:25" x14ac:dyDescent="0.35">
      <c r="A123" s="35"/>
      <c r="B123" s="47" t="s">
        <v>115</v>
      </c>
      <c r="C123" s="46">
        <v>1924</v>
      </c>
      <c r="D123" s="40">
        <v>0.160165620584273</v>
      </c>
      <c r="E123" s="41">
        <v>1.90595116821662E-2</v>
      </c>
      <c r="F123" s="41">
        <v>0.206236286367453</v>
      </c>
      <c r="G123" s="48">
        <v>0.29895918049818399</v>
      </c>
      <c r="H123" s="35"/>
      <c r="I123" s="40">
        <f t="shared" si="8"/>
        <v>-1.6997917689651199E-4</v>
      </c>
      <c r="J123" s="41">
        <f t="shared" si="8"/>
        <v>-1.3688753061163378E-2</v>
      </c>
      <c r="K123" s="41">
        <f t="shared" si="8"/>
        <v>2.5697001469312614E-2</v>
      </c>
      <c r="L123" s="48">
        <f t="shared" si="6"/>
        <v>1.8346630742805681E-2</v>
      </c>
      <c r="M123" s="35"/>
      <c r="N123" s="40">
        <f t="shared" si="9"/>
        <v>63.398492599999997</v>
      </c>
      <c r="O123" s="41">
        <f t="shared" si="10"/>
        <v>-5.7045385720658594E-3</v>
      </c>
      <c r="P123" s="41">
        <f t="shared" si="10"/>
        <v>-56.222446846585292</v>
      </c>
      <c r="Q123" s="41">
        <f t="shared" si="10"/>
        <v>1.9145581781113128</v>
      </c>
      <c r="R123" s="41">
        <f t="shared" si="7"/>
        <v>3.239872619324919</v>
      </c>
      <c r="S123" s="42">
        <f t="shared" si="11"/>
        <v>12.324772012278869</v>
      </c>
      <c r="T123" s="35"/>
      <c r="U123" s="43">
        <v>30431</v>
      </c>
      <c r="V123" s="44">
        <f t="shared" si="12"/>
        <v>375055.13710565824</v>
      </c>
      <c r="W123" s="140">
        <f t="shared" si="13"/>
        <v>2.8325205777789391E-4</v>
      </c>
      <c r="X123" s="35"/>
      <c r="Y123" s="49">
        <v>145528.86032624717</v>
      </c>
    </row>
    <row r="124" spans="1:25" x14ac:dyDescent="0.35">
      <c r="A124" s="35"/>
      <c r="B124" s="47" t="s">
        <v>116</v>
      </c>
      <c r="C124" s="46">
        <v>664</v>
      </c>
      <c r="D124" s="40">
        <v>0.17266803840877901</v>
      </c>
      <c r="E124" s="41">
        <v>3.86659807956104E-2</v>
      </c>
      <c r="F124" s="41">
        <v>0.18177513605362</v>
      </c>
      <c r="G124" s="48">
        <v>0.29756125081190299</v>
      </c>
      <c r="H124" s="35"/>
      <c r="I124" s="40">
        <f t="shared" si="8"/>
        <v>1.2332438647609495E-2</v>
      </c>
      <c r="J124" s="41">
        <f t="shared" si="8"/>
        <v>5.917716052280822E-3</v>
      </c>
      <c r="K124" s="41">
        <f t="shared" si="8"/>
        <v>1.2358511554796114E-3</v>
      </c>
      <c r="L124" s="48">
        <f t="shared" si="6"/>
        <v>1.6948701056524684E-2</v>
      </c>
      <c r="M124" s="35"/>
      <c r="N124" s="40">
        <f t="shared" si="9"/>
        <v>63.398492599999997</v>
      </c>
      <c r="O124" s="41">
        <f t="shared" si="10"/>
        <v>0.41387935415027716</v>
      </c>
      <c r="P124" s="41">
        <f t="shared" si="10"/>
        <v>24.305243488282116</v>
      </c>
      <c r="Q124" s="41">
        <f t="shared" si="10"/>
        <v>9.2077238641147113E-2</v>
      </c>
      <c r="R124" s="41">
        <f t="shared" si="7"/>
        <v>2.9930090846620607</v>
      </c>
      <c r="S124" s="42">
        <f t="shared" si="11"/>
        <v>91.202701765735611</v>
      </c>
      <c r="T124" s="35"/>
      <c r="U124" s="43">
        <v>23328</v>
      </c>
      <c r="V124" s="44">
        <f t="shared" si="12"/>
        <v>2127576.6267910805</v>
      </c>
      <c r="W124" s="140">
        <f t="shared" si="13"/>
        <v>1.6068049681157988E-3</v>
      </c>
      <c r="X124" s="35"/>
      <c r="Y124" s="49">
        <v>825542.09000593412</v>
      </c>
    </row>
    <row r="125" spans="1:25" x14ac:dyDescent="0.35">
      <c r="A125" s="35"/>
      <c r="B125" s="47" t="s">
        <v>117</v>
      </c>
      <c r="C125" s="46">
        <v>785</v>
      </c>
      <c r="D125" s="40">
        <v>0.133978959102627</v>
      </c>
      <c r="E125" s="41">
        <v>2.6266285793910701E-2</v>
      </c>
      <c r="F125" s="41">
        <v>0.177020287597076</v>
      </c>
      <c r="G125" s="48">
        <v>0.249656231241451</v>
      </c>
      <c r="H125" s="35"/>
      <c r="I125" s="40">
        <f t="shared" si="8"/>
        <v>-2.6356640658542513E-2</v>
      </c>
      <c r="J125" s="41">
        <f t="shared" si="8"/>
        <v>-6.4819789494188762E-3</v>
      </c>
      <c r="K125" s="41">
        <f t="shared" si="8"/>
        <v>-3.5189973010643916E-3</v>
      </c>
      <c r="L125" s="48">
        <f t="shared" si="6"/>
        <v>-3.09563185139273E-2</v>
      </c>
      <c r="M125" s="35"/>
      <c r="N125" s="40">
        <f t="shared" si="9"/>
        <v>63.398492599999997</v>
      </c>
      <c r="O125" s="41">
        <f t="shared" si="10"/>
        <v>-0.88453465896163164</v>
      </c>
      <c r="P125" s="41">
        <f t="shared" si="10"/>
        <v>-26.622784070692788</v>
      </c>
      <c r="Q125" s="41">
        <f t="shared" si="10"/>
        <v>-0.26218331619547863</v>
      </c>
      <c r="R125" s="41">
        <f t="shared" si="7"/>
        <v>-5.4666456285278935</v>
      </c>
      <c r="S125" s="42">
        <f t="shared" si="11"/>
        <v>30.162344925622207</v>
      </c>
      <c r="T125" s="35"/>
      <c r="U125" s="43">
        <v>14353</v>
      </c>
      <c r="V125" s="44">
        <f t="shared" si="12"/>
        <v>432920.13671745552</v>
      </c>
      <c r="W125" s="140">
        <f t="shared" si="13"/>
        <v>3.2695331285160118E-4</v>
      </c>
      <c r="X125" s="35"/>
      <c r="Y125" s="49">
        <v>167981.63223405145</v>
      </c>
    </row>
    <row r="126" spans="1:25" x14ac:dyDescent="0.35">
      <c r="A126" s="35"/>
      <c r="B126" s="47" t="s">
        <v>118</v>
      </c>
      <c r="C126" s="46">
        <v>1942</v>
      </c>
      <c r="D126" s="40">
        <v>0.154718533317664</v>
      </c>
      <c r="E126" s="41">
        <v>3.0115172170642902E-2</v>
      </c>
      <c r="F126" s="41">
        <v>0.113366700339274</v>
      </c>
      <c r="G126" s="48">
        <v>0.23338102898191701</v>
      </c>
      <c r="H126" s="35"/>
      <c r="I126" s="40">
        <f t="shared" si="8"/>
        <v>-5.617066443505514E-3</v>
      </c>
      <c r="J126" s="41">
        <f t="shared" si="8"/>
        <v>-2.6330925726866759E-3</v>
      </c>
      <c r="K126" s="41">
        <f t="shared" si="8"/>
        <v>-6.7172584558866391E-2</v>
      </c>
      <c r="L126" s="48">
        <f t="shared" si="6"/>
        <v>-4.7231520773461294E-2</v>
      </c>
      <c r="M126" s="35"/>
      <c r="N126" s="40">
        <f t="shared" si="9"/>
        <v>63.398492599999997</v>
      </c>
      <c r="O126" s="41">
        <f t="shared" si="10"/>
        <v>-0.18850998559866264</v>
      </c>
      <c r="P126" s="41">
        <f t="shared" si="10"/>
        <v>-10.814637867200567</v>
      </c>
      <c r="Q126" s="41">
        <f t="shared" si="10"/>
        <v>-5.0047014732684882</v>
      </c>
      <c r="R126" s="41">
        <f t="shared" si="7"/>
        <v>-8.3407200519920632</v>
      </c>
      <c r="S126" s="42">
        <f t="shared" si="11"/>
        <v>39.049923221940212</v>
      </c>
      <c r="T126" s="35"/>
      <c r="U126" s="43">
        <v>34036</v>
      </c>
      <c r="V126" s="44">
        <f t="shared" si="12"/>
        <v>1329103.186781957</v>
      </c>
      <c r="W126" s="140">
        <f t="shared" si="13"/>
        <v>1.0037756463234062E-3</v>
      </c>
      <c r="X126" s="35"/>
      <c r="Y126" s="49">
        <v>515718.49814143876</v>
      </c>
    </row>
    <row r="127" spans="1:25" x14ac:dyDescent="0.35">
      <c r="A127" s="35"/>
      <c r="B127" s="47" t="s">
        <v>119</v>
      </c>
      <c r="C127" s="46">
        <v>512</v>
      </c>
      <c r="D127" s="40">
        <v>0.17133105802047799</v>
      </c>
      <c r="E127" s="41">
        <v>4.1552901023890802E-2</v>
      </c>
      <c r="F127" s="41">
        <v>0.16770054677702501</v>
      </c>
      <c r="G127" s="48">
        <v>0.25568207885018901</v>
      </c>
      <c r="H127" s="35"/>
      <c r="I127" s="40">
        <f t="shared" si="8"/>
        <v>1.0995458259308477E-2</v>
      </c>
      <c r="J127" s="41">
        <f t="shared" si="8"/>
        <v>8.8046362805612247E-3</v>
      </c>
      <c r="K127" s="41">
        <f t="shared" si="8"/>
        <v>-1.2838738121115384E-2</v>
      </c>
      <c r="L127" s="48">
        <f t="shared" si="6"/>
        <v>-2.4930470905189295E-2</v>
      </c>
      <c r="M127" s="35"/>
      <c r="N127" s="40">
        <f t="shared" si="9"/>
        <v>63.398492599999997</v>
      </c>
      <c r="O127" s="41">
        <f t="shared" si="10"/>
        <v>0.36900999818320956</v>
      </c>
      <c r="P127" s="41">
        <f t="shared" si="10"/>
        <v>36.162402307613789</v>
      </c>
      <c r="Q127" s="41">
        <f t="shared" si="10"/>
        <v>-0.95655172436227631</v>
      </c>
      <c r="R127" s="41">
        <f t="shared" si="7"/>
        <v>-4.4025277014022048</v>
      </c>
      <c r="S127" s="42">
        <f t="shared" si="11"/>
        <v>94.570825480032525</v>
      </c>
      <c r="T127" s="35"/>
      <c r="U127" s="43">
        <v>23440</v>
      </c>
      <c r="V127" s="44">
        <f t="shared" si="12"/>
        <v>2216740.1492519625</v>
      </c>
      <c r="W127" s="140">
        <f t="shared" si="13"/>
        <v>1.6741437370516724E-3</v>
      </c>
      <c r="X127" s="35"/>
      <c r="Y127" s="49">
        <v>860139.31191453699</v>
      </c>
    </row>
    <row r="128" spans="1:25" x14ac:dyDescent="0.35">
      <c r="A128" s="35"/>
      <c r="B128" s="47" t="s">
        <v>120</v>
      </c>
      <c r="C128" s="46">
        <v>513</v>
      </c>
      <c r="D128" s="40">
        <v>0.17427135244752201</v>
      </c>
      <c r="E128" s="41">
        <v>4.7202985783012998E-2</v>
      </c>
      <c r="F128" s="41">
        <v>0.16469894526443701</v>
      </c>
      <c r="G128" s="48">
        <v>0.25667512763424999</v>
      </c>
      <c r="H128" s="35"/>
      <c r="I128" s="40">
        <f t="shared" si="8"/>
        <v>1.3935752686352498E-2</v>
      </c>
      <c r="J128" s="41">
        <f t="shared" si="8"/>
        <v>1.445472103968342E-2</v>
      </c>
      <c r="K128" s="41">
        <f t="shared" si="8"/>
        <v>-1.5840339633703376E-2</v>
      </c>
      <c r="L128" s="48">
        <f t="shared" si="6"/>
        <v>-2.3937422121128316E-2</v>
      </c>
      <c r="M128" s="35"/>
      <c r="N128" s="40">
        <f t="shared" si="9"/>
        <v>63.398492599999997</v>
      </c>
      <c r="O128" s="41">
        <f t="shared" si="10"/>
        <v>0.46768692601958084</v>
      </c>
      <c r="P128" s="41">
        <f t="shared" si="10"/>
        <v>59.368430543282166</v>
      </c>
      <c r="Q128" s="41">
        <f t="shared" si="10"/>
        <v>-1.1801864052498261</v>
      </c>
      <c r="R128" s="41">
        <f t="shared" si="7"/>
        <v>-4.2271629921956011</v>
      </c>
      <c r="S128" s="42">
        <f t="shared" si="11"/>
        <v>117.82726067185631</v>
      </c>
      <c r="T128" s="35"/>
      <c r="U128" s="43">
        <v>46353</v>
      </c>
      <c r="V128" s="44">
        <f t="shared" si="12"/>
        <v>5461647.0139225554</v>
      </c>
      <c r="W128" s="140">
        <f t="shared" si="13"/>
        <v>4.1247875378766924E-3</v>
      </c>
      <c r="X128" s="35"/>
      <c r="Y128" s="49">
        <v>2119227.7796117393</v>
      </c>
    </row>
    <row r="129" spans="1:25" x14ac:dyDescent="0.35">
      <c r="A129" s="35"/>
      <c r="B129" s="47" t="s">
        <v>121</v>
      </c>
      <c r="C129" s="46">
        <v>786</v>
      </c>
      <c r="D129" s="40">
        <v>0.163440860215054</v>
      </c>
      <c r="E129" s="41">
        <v>2.2264389626818499E-2</v>
      </c>
      <c r="F129" s="41">
        <v>0.19633046480850699</v>
      </c>
      <c r="G129" s="48">
        <v>0.28104931778028902</v>
      </c>
      <c r="H129" s="35"/>
      <c r="I129" s="40">
        <f t="shared" si="8"/>
        <v>3.1052604538844841E-3</v>
      </c>
      <c r="J129" s="41">
        <f t="shared" si="8"/>
        <v>-1.0483875116511079E-2</v>
      </c>
      <c r="K129" s="41">
        <f t="shared" si="8"/>
        <v>1.5791179910366604E-2</v>
      </c>
      <c r="L129" s="48">
        <f t="shared" si="6"/>
        <v>4.3676802491071642E-4</v>
      </c>
      <c r="M129" s="35"/>
      <c r="N129" s="40">
        <f t="shared" si="9"/>
        <v>63.398492599999997</v>
      </c>
      <c r="O129" s="41">
        <f t="shared" si="10"/>
        <v>0.10421322398966315</v>
      </c>
      <c r="P129" s="41">
        <f t="shared" si="10"/>
        <v>-43.059372088211809</v>
      </c>
      <c r="Q129" s="41">
        <f t="shared" si="10"/>
        <v>1.1765237541634532</v>
      </c>
      <c r="R129" s="41">
        <f t="shared" si="7"/>
        <v>7.7129843879359214E-2</v>
      </c>
      <c r="S129" s="42">
        <f t="shared" si="11"/>
        <v>21.696987333820662</v>
      </c>
      <c r="T129" s="35"/>
      <c r="U129" s="43">
        <v>7905</v>
      </c>
      <c r="V129" s="44">
        <f t="shared" si="12"/>
        <v>171514.68487385233</v>
      </c>
      <c r="W129" s="140">
        <f t="shared" si="13"/>
        <v>1.2953265433066045E-4</v>
      </c>
      <c r="X129" s="35"/>
      <c r="Y129" s="49">
        <v>66551.112488496539</v>
      </c>
    </row>
    <row r="130" spans="1:25" x14ac:dyDescent="0.35">
      <c r="A130" s="35"/>
      <c r="B130" s="47" t="s">
        <v>122</v>
      </c>
      <c r="C130" s="46">
        <v>14</v>
      </c>
      <c r="D130" s="40">
        <v>0.20981868570009299</v>
      </c>
      <c r="E130" s="41">
        <v>8.0441063048224098E-2</v>
      </c>
      <c r="F130" s="41">
        <v>7.9202933920878293E-2</v>
      </c>
      <c r="G130" s="48">
        <v>0.33406054594273299</v>
      </c>
      <c r="H130" s="35"/>
      <c r="I130" s="40">
        <f t="shared" si="8"/>
        <v>4.9483085938923477E-2</v>
      </c>
      <c r="J130" s="41">
        <f t="shared" si="8"/>
        <v>4.7692798304894521E-2</v>
      </c>
      <c r="K130" s="41">
        <f t="shared" si="8"/>
        <v>-0.1013363509772621</v>
      </c>
      <c r="L130" s="48">
        <f t="shared" si="6"/>
        <v>5.3447996187354685E-2</v>
      </c>
      <c r="M130" s="35"/>
      <c r="N130" s="40">
        <f t="shared" si="9"/>
        <v>63.398492599999997</v>
      </c>
      <c r="O130" s="41">
        <f t="shared" si="10"/>
        <v>1.6606632503891785</v>
      </c>
      <c r="P130" s="41">
        <f t="shared" si="10"/>
        <v>195.88386215171874</v>
      </c>
      <c r="Q130" s="41">
        <f t="shared" si="10"/>
        <v>-7.5500769899230304</v>
      </c>
      <c r="R130" s="41">
        <f t="shared" si="7"/>
        <v>9.4385013702364233</v>
      </c>
      <c r="S130" s="42">
        <f t="shared" si="11"/>
        <v>262.8314423824213</v>
      </c>
      <c r="T130" s="35"/>
      <c r="U130" s="43">
        <v>152994</v>
      </c>
      <c r="V130" s="44">
        <f t="shared" si="12"/>
        <v>40211633.695856161</v>
      </c>
      <c r="W130" s="140">
        <f t="shared" si="13"/>
        <v>3.0368942760950441E-2</v>
      </c>
      <c r="X130" s="35"/>
      <c r="Y130" s="49">
        <v>15602914.464189541</v>
      </c>
    </row>
    <row r="131" spans="1:25" x14ac:dyDescent="0.35">
      <c r="A131" s="35"/>
      <c r="B131" s="47" t="s">
        <v>797</v>
      </c>
      <c r="C131" s="46">
        <v>15</v>
      </c>
      <c r="D131" s="40">
        <v>0.15707879564381799</v>
      </c>
      <c r="E131" s="41">
        <v>2.7162075592568901E-2</v>
      </c>
      <c r="F131" s="41">
        <v>0.266555430792148</v>
      </c>
      <c r="G131" s="48">
        <v>0.35173042429296397</v>
      </c>
      <c r="H131" s="35"/>
      <c r="I131" s="40">
        <f t="shared" si="8"/>
        <v>-3.2568041173515194E-3</v>
      </c>
      <c r="J131" s="41">
        <f t="shared" si="8"/>
        <v>-5.5861891507606766E-3</v>
      </c>
      <c r="K131" s="41">
        <f t="shared" si="8"/>
        <v>8.6016145894007606E-2</v>
      </c>
      <c r="L131" s="48">
        <f t="shared" si="6"/>
        <v>7.1117874537585668E-2</v>
      </c>
      <c r="M131" s="35"/>
      <c r="N131" s="40">
        <f t="shared" si="9"/>
        <v>63.398492599999997</v>
      </c>
      <c r="O131" s="41">
        <f t="shared" si="10"/>
        <v>-0.10929906267522281</v>
      </c>
      <c r="P131" s="41">
        <f t="shared" si="10"/>
        <v>-22.943596191728034</v>
      </c>
      <c r="Q131" s="41">
        <f t="shared" si="10"/>
        <v>6.4086432717705444</v>
      </c>
      <c r="R131" s="41">
        <f t="shared" si="7"/>
        <v>12.558864768631217</v>
      </c>
      <c r="S131" s="42">
        <f t="shared" si="11"/>
        <v>59.313105385998504</v>
      </c>
      <c r="T131" s="35"/>
      <c r="U131" s="43">
        <v>7805</v>
      </c>
      <c r="V131" s="44">
        <f t="shared" si="12"/>
        <v>462938.78753771831</v>
      </c>
      <c r="W131" s="140">
        <f t="shared" si="13"/>
        <v>3.4962423180547253E-4</v>
      </c>
      <c r="X131" s="35"/>
      <c r="Y131" s="49">
        <v>179629.4664061607</v>
      </c>
    </row>
    <row r="132" spans="1:25" x14ac:dyDescent="0.35">
      <c r="A132" s="35"/>
      <c r="B132" s="47" t="s">
        <v>123</v>
      </c>
      <c r="C132" s="46">
        <v>1729</v>
      </c>
      <c r="D132" s="40">
        <v>0.158200939807563</v>
      </c>
      <c r="E132" s="41">
        <v>2.3942716491385099E-2</v>
      </c>
      <c r="F132" s="41">
        <v>0.187982063651462</v>
      </c>
      <c r="G132" s="48">
        <v>0.34028247706067399</v>
      </c>
      <c r="H132" s="35"/>
      <c r="I132" s="40">
        <f t="shared" si="8"/>
        <v>-2.1346599536065103E-3</v>
      </c>
      <c r="J132" s="41">
        <f t="shared" si="8"/>
        <v>-8.805548251944479E-3</v>
      </c>
      <c r="K132" s="41">
        <f t="shared" si="8"/>
        <v>7.4427787533216105E-3</v>
      </c>
      <c r="L132" s="48">
        <f t="shared" si="6"/>
        <v>5.9669927305295689E-2</v>
      </c>
      <c r="M132" s="35"/>
      <c r="N132" s="40">
        <f t="shared" si="9"/>
        <v>63.398492599999997</v>
      </c>
      <c r="O132" s="41">
        <f t="shared" si="10"/>
        <v>-7.1639657668224277E-2</v>
      </c>
      <c r="P132" s="41">
        <f t="shared" si="10"/>
        <v>-36.166147956497333</v>
      </c>
      <c r="Q132" s="41">
        <f t="shared" si="10"/>
        <v>0.55452512414967703</v>
      </c>
      <c r="R132" s="41">
        <f t="shared" si="7"/>
        <v>10.53724612347933</v>
      </c>
      <c r="S132" s="42">
        <f t="shared" si="11"/>
        <v>38.252476233463447</v>
      </c>
      <c r="T132" s="35"/>
      <c r="U132" s="43">
        <v>8938</v>
      </c>
      <c r="V132" s="44">
        <f t="shared" si="12"/>
        <v>341900.63257469627</v>
      </c>
      <c r="W132" s="140">
        <f t="shared" si="13"/>
        <v>2.5821285499434189E-4</v>
      </c>
      <c r="X132" s="35"/>
      <c r="Y132" s="49">
        <v>132664.25248136639</v>
      </c>
    </row>
    <row r="133" spans="1:25" x14ac:dyDescent="0.35">
      <c r="A133" s="35"/>
      <c r="B133" s="47" t="s">
        <v>124</v>
      </c>
      <c r="C133" s="46">
        <v>158</v>
      </c>
      <c r="D133" s="40">
        <v>0.14178855272824401</v>
      </c>
      <c r="E133" s="41">
        <v>3.03880317905563E-2</v>
      </c>
      <c r="F133" s="41">
        <v>0.174359845209584</v>
      </c>
      <c r="G133" s="48">
        <v>0.31017206431921701</v>
      </c>
      <c r="H133" s="35"/>
      <c r="I133" s="40">
        <f t="shared" si="8"/>
        <v>-1.8547047032925507E-2</v>
      </c>
      <c r="J133" s="41">
        <f t="shared" si="8"/>
        <v>-2.3602329527732772E-3</v>
      </c>
      <c r="K133" s="41">
        <f t="shared" si="8"/>
        <v>-6.1794396885563874E-3</v>
      </c>
      <c r="L133" s="48">
        <f t="shared" si="6"/>
        <v>2.9559514563838707E-2</v>
      </c>
      <c r="M133" s="35"/>
      <c r="N133" s="40">
        <f t="shared" si="9"/>
        <v>63.398492599999997</v>
      </c>
      <c r="O133" s="41">
        <f t="shared" si="10"/>
        <v>-0.62244297877532728</v>
      </c>
      <c r="P133" s="41">
        <f t="shared" si="10"/>
        <v>-9.6939488308350636</v>
      </c>
      <c r="Q133" s="41">
        <f t="shared" si="10"/>
        <v>-0.46039989552865629</v>
      </c>
      <c r="R133" s="41">
        <f t="shared" si="7"/>
        <v>5.2199808901409002</v>
      </c>
      <c r="S133" s="42">
        <f t="shared" si="11"/>
        <v>57.84168178500186</v>
      </c>
      <c r="T133" s="35"/>
      <c r="U133" s="43">
        <v>14973</v>
      </c>
      <c r="V133" s="44">
        <f t="shared" si="12"/>
        <v>866063.50136683288</v>
      </c>
      <c r="W133" s="140">
        <f t="shared" si="13"/>
        <v>6.5407521363818782E-4</v>
      </c>
      <c r="X133" s="35"/>
      <c r="Y133" s="49">
        <v>336049.88135002664</v>
      </c>
    </row>
    <row r="134" spans="1:25" x14ac:dyDescent="0.35">
      <c r="A134" s="35"/>
      <c r="B134" s="47" t="s">
        <v>125</v>
      </c>
      <c r="C134" s="46">
        <v>788</v>
      </c>
      <c r="D134" s="40">
        <v>0.14360018091361401</v>
      </c>
      <c r="E134" s="41">
        <v>1.3003165988240599E-2</v>
      </c>
      <c r="F134" s="41">
        <v>0.162829788925163</v>
      </c>
      <c r="G134" s="48">
        <v>0.24841814564339701</v>
      </c>
      <c r="H134" s="35"/>
      <c r="I134" s="40">
        <f t="shared" si="8"/>
        <v>-1.67354188475555E-2</v>
      </c>
      <c r="J134" s="41">
        <f t="shared" si="8"/>
        <v>-1.974509875508898E-2</v>
      </c>
      <c r="K134" s="41">
        <f t="shared" si="8"/>
        <v>-1.7709495972977385E-2</v>
      </c>
      <c r="L134" s="48">
        <f t="shared" si="6"/>
        <v>-3.2194404111981295E-2</v>
      </c>
      <c r="M134" s="35"/>
      <c r="N134" s="40">
        <f t="shared" si="9"/>
        <v>63.398492599999997</v>
      </c>
      <c r="O134" s="41">
        <f t="shared" si="10"/>
        <v>-0.56164433831610905</v>
      </c>
      <c r="P134" s="41">
        <f t="shared" si="10"/>
        <v>-81.097070001803445</v>
      </c>
      <c r="Q134" s="41">
        <f t="shared" si="10"/>
        <v>-1.3194481226061969</v>
      </c>
      <c r="R134" s="41">
        <f t="shared" si="7"/>
        <v>-5.6852819375999877</v>
      </c>
      <c r="S134" s="42">
        <f t="shared" si="11"/>
        <v>-25.26495180032574</v>
      </c>
      <c r="T134" s="35"/>
      <c r="U134" s="43">
        <v>8844</v>
      </c>
      <c r="V134" s="44">
        <f t="shared" si="12"/>
        <v>88440</v>
      </c>
      <c r="W134" s="140">
        <f t="shared" si="13"/>
        <v>6.6792344675497081E-5</v>
      </c>
      <c r="X134" s="35"/>
      <c r="Y134" s="49">
        <v>34316.480788869936</v>
      </c>
    </row>
    <row r="135" spans="1:25" x14ac:dyDescent="0.35">
      <c r="A135" s="35"/>
      <c r="B135" s="47" t="s">
        <v>126</v>
      </c>
      <c r="C135" s="46">
        <v>392</v>
      </c>
      <c r="D135" s="40">
        <v>0.155777368730668</v>
      </c>
      <c r="E135" s="41">
        <v>4.10080270224112E-2</v>
      </c>
      <c r="F135" s="41">
        <v>0.12955183651007399</v>
      </c>
      <c r="G135" s="48">
        <v>0.241654768337073</v>
      </c>
      <c r="H135" s="35"/>
      <c r="I135" s="40">
        <f t="shared" si="8"/>
        <v>-4.5582310305015139E-3</v>
      </c>
      <c r="J135" s="41">
        <f t="shared" si="8"/>
        <v>8.2597622790816227E-3</v>
      </c>
      <c r="K135" s="41">
        <f t="shared" si="8"/>
        <v>-5.0987448388066403E-2</v>
      </c>
      <c r="L135" s="48">
        <f t="shared" si="6"/>
        <v>-3.8957781418305304E-2</v>
      </c>
      <c r="M135" s="35"/>
      <c r="N135" s="40">
        <f t="shared" si="9"/>
        <v>63.398492599999997</v>
      </c>
      <c r="O135" s="41">
        <f t="shared" si="10"/>
        <v>-0.15297523619445752</v>
      </c>
      <c r="P135" s="41">
        <f t="shared" si="10"/>
        <v>33.924495797839292</v>
      </c>
      <c r="Q135" s="41">
        <f t="shared" si="10"/>
        <v>-3.7988259606466941</v>
      </c>
      <c r="R135" s="41">
        <f t="shared" si="7"/>
        <v>-6.879641886088911</v>
      </c>
      <c r="S135" s="42">
        <f t="shared" si="11"/>
        <v>86.491545314909231</v>
      </c>
      <c r="T135" s="35"/>
      <c r="U135" s="43">
        <v>105394</v>
      </c>
      <c r="V135" s="44">
        <f t="shared" si="12"/>
        <v>9115689.9269195441</v>
      </c>
      <c r="W135" s="140">
        <f t="shared" si="13"/>
        <v>6.8844222473288886E-3</v>
      </c>
      <c r="X135" s="35"/>
      <c r="Y135" s="49">
        <v>3537069.1797199203</v>
      </c>
    </row>
    <row r="136" spans="1:25" x14ac:dyDescent="0.35">
      <c r="A136" s="35"/>
      <c r="B136" s="47" t="s">
        <v>811</v>
      </c>
      <c r="C136" s="46">
        <v>393</v>
      </c>
      <c r="D136" s="40">
        <v>0.11418776371308</v>
      </c>
      <c r="E136" s="41">
        <v>1.7141350210970501E-2</v>
      </c>
      <c r="F136" s="41">
        <v>0.174162631208087</v>
      </c>
      <c r="G136" s="48">
        <v>0.24279628004773501</v>
      </c>
      <c r="H136" s="35"/>
      <c r="I136" s="40">
        <f t="shared" si="8"/>
        <v>-4.6147836048089516E-2</v>
      </c>
      <c r="J136" s="41">
        <f t="shared" si="8"/>
        <v>-1.5606914532359076E-2</v>
      </c>
      <c r="K136" s="41">
        <f t="shared" si="8"/>
        <v>-6.3766536900533854E-3</v>
      </c>
      <c r="L136" s="48">
        <f t="shared" si="6"/>
        <v>-3.7816269707643291E-2</v>
      </c>
      <c r="M136" s="35"/>
      <c r="N136" s="40">
        <f t="shared" si="9"/>
        <v>63.398492599999997</v>
      </c>
      <c r="O136" s="41">
        <f t="shared" si="10"/>
        <v>-1.5487315302978149</v>
      </c>
      <c r="P136" s="41">
        <f t="shared" si="10"/>
        <v>-64.100719679443486</v>
      </c>
      <c r="Q136" s="41">
        <f t="shared" si="10"/>
        <v>-0.47509334837587031</v>
      </c>
      <c r="R136" s="41">
        <f t="shared" si="7"/>
        <v>-6.6780597761168741</v>
      </c>
      <c r="S136" s="42">
        <f t="shared" si="11"/>
        <v>-9.4041117342340481</v>
      </c>
      <c r="T136" s="35"/>
      <c r="U136" s="43">
        <v>3792</v>
      </c>
      <c r="V136" s="44">
        <f t="shared" si="12"/>
        <v>37920</v>
      </c>
      <c r="W136" s="140">
        <f t="shared" si="13"/>
        <v>2.8638237337119507E-5</v>
      </c>
      <c r="X136" s="35"/>
      <c r="Y136" s="49">
        <v>14713.714965105699</v>
      </c>
    </row>
    <row r="137" spans="1:25" x14ac:dyDescent="0.35">
      <c r="A137" s="35"/>
      <c r="B137" s="47" t="s">
        <v>127</v>
      </c>
      <c r="C137" s="46">
        <v>394</v>
      </c>
      <c r="D137" s="40">
        <v>0.12888251970466399</v>
      </c>
      <c r="E137" s="41">
        <v>2.4351745121862601E-2</v>
      </c>
      <c r="F137" s="41">
        <v>0.15171492430283401</v>
      </c>
      <c r="G137" s="48">
        <v>0.23559390989604101</v>
      </c>
      <c r="H137" s="35"/>
      <c r="I137" s="40">
        <f t="shared" si="8"/>
        <v>-3.1453080056505517E-2</v>
      </c>
      <c r="J137" s="41">
        <f t="shared" si="8"/>
        <v>-8.3965196214669767E-3</v>
      </c>
      <c r="K137" s="41">
        <f t="shared" si="8"/>
        <v>-2.8824360595306381E-2</v>
      </c>
      <c r="L137" s="48">
        <f t="shared" si="6"/>
        <v>-4.5018639859337295E-2</v>
      </c>
      <c r="M137" s="35"/>
      <c r="N137" s="40">
        <f t="shared" si="9"/>
        <v>63.398492599999997</v>
      </c>
      <c r="O137" s="41">
        <f t="shared" si="10"/>
        <v>-1.0555722863739376</v>
      </c>
      <c r="P137" s="41">
        <f t="shared" si="10"/>
        <v>-34.486185557219564</v>
      </c>
      <c r="Q137" s="41">
        <f t="shared" si="10"/>
        <v>-2.1475624450765736</v>
      </c>
      <c r="R137" s="41">
        <f t="shared" si="7"/>
        <v>-7.9499424545136579</v>
      </c>
      <c r="S137" s="42">
        <f t="shared" si="11"/>
        <v>17.759229856816265</v>
      </c>
      <c r="T137" s="35"/>
      <c r="U137" s="43">
        <v>96297</v>
      </c>
      <c r="V137" s="44">
        <f t="shared" si="12"/>
        <v>1710160.5575218359</v>
      </c>
      <c r="W137" s="140">
        <f t="shared" si="13"/>
        <v>1.2915607576711749E-3</v>
      </c>
      <c r="X137" s="35"/>
      <c r="Y137" s="49">
        <v>663576.34461873793</v>
      </c>
    </row>
    <row r="138" spans="1:25" x14ac:dyDescent="0.35">
      <c r="A138" s="35"/>
      <c r="B138" s="47" t="s">
        <v>128</v>
      </c>
      <c r="C138" s="46">
        <v>1655</v>
      </c>
      <c r="D138" s="40">
        <v>0.166181229773463</v>
      </c>
      <c r="E138" s="41">
        <v>2.97734627831715E-2</v>
      </c>
      <c r="F138" s="41">
        <v>0.19177283629022501</v>
      </c>
      <c r="G138" s="48">
        <v>0.27853316802362099</v>
      </c>
      <c r="H138" s="35"/>
      <c r="I138" s="40">
        <f t="shared" si="8"/>
        <v>5.8456300122934901E-3</v>
      </c>
      <c r="J138" s="41">
        <f t="shared" si="8"/>
        <v>-2.9748019601580772E-3</v>
      </c>
      <c r="K138" s="41">
        <f t="shared" si="8"/>
        <v>1.1233551392084623E-2</v>
      </c>
      <c r="L138" s="48">
        <f t="shared" si="8"/>
        <v>-2.0793817317573127E-3</v>
      </c>
      <c r="M138" s="35"/>
      <c r="N138" s="40">
        <f t="shared" si="9"/>
        <v>63.398492599999997</v>
      </c>
      <c r="O138" s="41">
        <f t="shared" si="10"/>
        <v>0.19618062925117224</v>
      </c>
      <c r="P138" s="41">
        <f t="shared" si="10"/>
        <v>-12.218106670257294</v>
      </c>
      <c r="Q138" s="41">
        <f t="shared" si="10"/>
        <v>0.83695709449343192</v>
      </c>
      <c r="R138" s="41">
        <f t="shared" si="10"/>
        <v>-0.367202677826103</v>
      </c>
      <c r="S138" s="42">
        <f t="shared" si="11"/>
        <v>51.846320975661214</v>
      </c>
      <c r="T138" s="35"/>
      <c r="U138" s="43">
        <v>18540</v>
      </c>
      <c r="V138" s="44">
        <f t="shared" si="12"/>
        <v>961230.79088875896</v>
      </c>
      <c r="W138" s="140">
        <f t="shared" si="13"/>
        <v>7.2594819423046854E-4</v>
      </c>
      <c r="X138" s="35"/>
      <c r="Y138" s="49">
        <v>372976.6844098185</v>
      </c>
    </row>
    <row r="139" spans="1:25" x14ac:dyDescent="0.35">
      <c r="A139" s="35"/>
      <c r="B139" s="47" t="s">
        <v>129</v>
      </c>
      <c r="C139" s="46">
        <v>160</v>
      </c>
      <c r="D139" s="40">
        <v>0.15312321512020399</v>
      </c>
      <c r="E139" s="41">
        <v>2.9233085830001601E-2</v>
      </c>
      <c r="F139" s="41">
        <v>0.236508889962324</v>
      </c>
      <c r="G139" s="48">
        <v>0.33120753366613098</v>
      </c>
      <c r="H139" s="35"/>
      <c r="I139" s="40">
        <f t="shared" ref="I139:L202" si="14">D139-D$4</f>
        <v>-7.212384640965519E-3</v>
      </c>
      <c r="J139" s="41">
        <f t="shared" si="14"/>
        <v>-3.5151789133279765E-3</v>
      </c>
      <c r="K139" s="41">
        <f t="shared" si="14"/>
        <v>5.5969605064183608E-2</v>
      </c>
      <c r="L139" s="48">
        <f t="shared" si="14"/>
        <v>5.0594983910752678E-2</v>
      </c>
      <c r="M139" s="35"/>
      <c r="N139" s="40">
        <f t="shared" ref="N139:N202" si="15">N$8</f>
        <v>63.398492599999997</v>
      </c>
      <c r="O139" s="41">
        <f t="shared" ref="O139:R202" si="16">100*O$8*I139</f>
        <v>-0.24204921527542383</v>
      </c>
      <c r="P139" s="41">
        <f t="shared" si="16"/>
        <v>-14.437542903124244</v>
      </c>
      <c r="Q139" s="41">
        <f t="shared" si="16"/>
        <v>4.1700221416596079</v>
      </c>
      <c r="R139" s="41">
        <f t="shared" si="16"/>
        <v>8.9346815415637764</v>
      </c>
      <c r="S139" s="42">
        <f t="shared" ref="S139:S202" si="17">SUM(N139:R139)</f>
        <v>61.823604164823713</v>
      </c>
      <c r="T139" s="35"/>
      <c r="U139" s="43">
        <v>38518</v>
      </c>
      <c r="V139" s="44">
        <f t="shared" ref="V139:V202" si="18">MAX(S139,10)*U139</f>
        <v>2381321.5852206796</v>
      </c>
      <c r="W139" s="140">
        <f t="shared" ref="W139:W202" si="19">V139/V$10</f>
        <v>1.7984402092182351E-3</v>
      </c>
      <c r="X139" s="35"/>
      <c r="Y139" s="49">
        <v>924000.18579089502</v>
      </c>
    </row>
    <row r="140" spans="1:25" x14ac:dyDescent="0.35">
      <c r="A140" s="35"/>
      <c r="B140" s="47" t="s">
        <v>130</v>
      </c>
      <c r="C140" s="46">
        <v>243</v>
      </c>
      <c r="D140" s="40">
        <v>0.160028186973592</v>
      </c>
      <c r="E140" s="41">
        <v>3.6072615012919002E-2</v>
      </c>
      <c r="F140" s="41">
        <v>0.15470988553791301</v>
      </c>
      <c r="G140" s="48">
        <v>0.25357725222691102</v>
      </c>
      <c r="H140" s="35"/>
      <c r="I140" s="40">
        <f t="shared" si="14"/>
        <v>-3.0741278757751012E-4</v>
      </c>
      <c r="J140" s="41">
        <f t="shared" si="14"/>
        <v>3.3243502695894239E-3</v>
      </c>
      <c r="K140" s="41">
        <f t="shared" si="14"/>
        <v>-2.5829399360227379E-2</v>
      </c>
      <c r="L140" s="48">
        <f t="shared" si="14"/>
        <v>-2.7035297528467284E-2</v>
      </c>
      <c r="M140" s="35"/>
      <c r="N140" s="40">
        <f t="shared" si="15"/>
        <v>63.398492599999997</v>
      </c>
      <c r="O140" s="41">
        <f t="shared" si="16"/>
        <v>-1.0316840781914506E-2</v>
      </c>
      <c r="P140" s="41">
        <f t="shared" si="16"/>
        <v>13.653771493744689</v>
      </c>
      <c r="Q140" s="41">
        <f t="shared" si="16"/>
        <v>-1.9244224988616643</v>
      </c>
      <c r="R140" s="41">
        <f t="shared" si="16"/>
        <v>-4.7742237496185016</v>
      </c>
      <c r="S140" s="42">
        <f t="shared" si="17"/>
        <v>70.343301004482612</v>
      </c>
      <c r="T140" s="35"/>
      <c r="U140" s="43">
        <v>29801</v>
      </c>
      <c r="V140" s="44">
        <f t="shared" si="18"/>
        <v>2096300.7132345864</v>
      </c>
      <c r="W140" s="140">
        <f t="shared" si="19"/>
        <v>1.5831845294194352E-3</v>
      </c>
      <c r="X140" s="35"/>
      <c r="Y140" s="49">
        <v>813406.41286079865</v>
      </c>
    </row>
    <row r="141" spans="1:25" x14ac:dyDescent="0.35">
      <c r="A141" s="35"/>
      <c r="B141" s="47" t="s">
        <v>131</v>
      </c>
      <c r="C141" s="46">
        <v>523</v>
      </c>
      <c r="D141" s="40">
        <v>0.146016903434634</v>
      </c>
      <c r="E141" s="41">
        <v>1.8252112929329298E-2</v>
      </c>
      <c r="F141" s="41">
        <v>0.17881616797699401</v>
      </c>
      <c r="G141" s="48">
        <v>0.26037044835049</v>
      </c>
      <c r="H141" s="35"/>
      <c r="I141" s="40">
        <f t="shared" si="14"/>
        <v>-1.4318696326535513E-2</v>
      </c>
      <c r="J141" s="41">
        <f t="shared" si="14"/>
        <v>-1.4496151814000279E-2</v>
      </c>
      <c r="K141" s="41">
        <f t="shared" si="14"/>
        <v>-1.7231169211463782E-3</v>
      </c>
      <c r="L141" s="48">
        <f t="shared" si="14"/>
        <v>-2.0242101404888302E-2</v>
      </c>
      <c r="M141" s="35"/>
      <c r="N141" s="40">
        <f t="shared" si="15"/>
        <v>63.398492599999997</v>
      </c>
      <c r="O141" s="41">
        <f t="shared" si="16"/>
        <v>-0.48053859883172367</v>
      </c>
      <c r="P141" s="41">
        <f t="shared" si="16"/>
        <v>-59.538595020384989</v>
      </c>
      <c r="Q141" s="41">
        <f t="shared" si="16"/>
        <v>-0.12838103298404144</v>
      </c>
      <c r="R141" s="41">
        <f t="shared" si="16"/>
        <v>-3.5745980293963724</v>
      </c>
      <c r="S141" s="42">
        <f t="shared" si="17"/>
        <v>-0.32362008159712641</v>
      </c>
      <c r="T141" s="35"/>
      <c r="U141" s="43">
        <v>11122</v>
      </c>
      <c r="V141" s="44">
        <f t="shared" si="18"/>
        <v>111220</v>
      </c>
      <c r="W141" s="140">
        <f t="shared" si="19"/>
        <v>8.3996433455549353E-5</v>
      </c>
      <c r="X141" s="35"/>
      <c r="Y141" s="49">
        <v>43155.574325397043</v>
      </c>
    </row>
    <row r="142" spans="1:25" x14ac:dyDescent="0.35">
      <c r="A142" s="35"/>
      <c r="B142" s="47" t="s">
        <v>798</v>
      </c>
      <c r="C142" s="46">
        <v>17</v>
      </c>
      <c r="D142" s="40">
        <v>0.158652980370971</v>
      </c>
      <c r="E142" s="41">
        <v>3.1064289573203702E-2</v>
      </c>
      <c r="F142" s="41">
        <v>7.49248555645705E-2</v>
      </c>
      <c r="G142" s="48">
        <v>0.33023196467425903</v>
      </c>
      <c r="H142" s="35"/>
      <c r="I142" s="40">
        <f t="shared" si="14"/>
        <v>-1.6826193901985087E-3</v>
      </c>
      <c r="J142" s="41">
        <f t="shared" si="14"/>
        <v>-1.6839751701258759E-3</v>
      </c>
      <c r="K142" s="41">
        <f t="shared" si="14"/>
        <v>-0.10561442933356989</v>
      </c>
      <c r="L142" s="48">
        <f t="shared" si="14"/>
        <v>4.9619414918880722E-2</v>
      </c>
      <c r="M142" s="35"/>
      <c r="N142" s="40">
        <f t="shared" si="15"/>
        <v>63.398492599999997</v>
      </c>
      <c r="O142" s="41">
        <f t="shared" si="16"/>
        <v>-5.6469076911327798E-2</v>
      </c>
      <c r="P142" s="41">
        <f t="shared" si="16"/>
        <v>-6.9164228524205011</v>
      </c>
      <c r="Q142" s="41">
        <f t="shared" si="16"/>
        <v>-7.8688157312291453</v>
      </c>
      <c r="R142" s="41">
        <f t="shared" si="16"/>
        <v>8.7624036280145656</v>
      </c>
      <c r="S142" s="42">
        <f t="shared" si="17"/>
        <v>57.319188567453587</v>
      </c>
      <c r="T142" s="35"/>
      <c r="U142" s="43">
        <v>11106</v>
      </c>
      <c r="V142" s="44">
        <f t="shared" si="18"/>
        <v>636586.90823013952</v>
      </c>
      <c r="W142" s="140">
        <f t="shared" si="19"/>
        <v>4.8076811612863526E-4</v>
      </c>
      <c r="X142" s="35"/>
      <c r="Y142" s="49">
        <v>247008.39446772606</v>
      </c>
    </row>
    <row r="143" spans="1:25" x14ac:dyDescent="0.35">
      <c r="A143" s="35"/>
      <c r="B143" s="47" t="s">
        <v>132</v>
      </c>
      <c r="C143" s="46">
        <v>72</v>
      </c>
      <c r="D143" s="40">
        <v>0.21556387848522701</v>
      </c>
      <c r="E143" s="41">
        <v>6.9288389513108603E-2</v>
      </c>
      <c r="F143" s="41">
        <v>0.21026075800939401</v>
      </c>
      <c r="G143" s="48">
        <v>0.32953148940510801</v>
      </c>
      <c r="H143" s="35"/>
      <c r="I143" s="40">
        <f t="shared" si="14"/>
        <v>5.52282787240575E-2</v>
      </c>
      <c r="J143" s="41">
        <f t="shared" si="14"/>
        <v>3.6540124769779025E-2</v>
      </c>
      <c r="K143" s="41">
        <f t="shared" si="14"/>
        <v>2.9721473111253616E-2</v>
      </c>
      <c r="L143" s="48">
        <f t="shared" si="14"/>
        <v>4.8918939649729709E-2</v>
      </c>
      <c r="M143" s="35"/>
      <c r="N143" s="40">
        <f t="shared" si="15"/>
        <v>63.398492599999997</v>
      </c>
      <c r="O143" s="41">
        <f t="shared" si="16"/>
        <v>1.8534731842006891</v>
      </c>
      <c r="P143" s="41">
        <f t="shared" si="16"/>
        <v>150.0776011852389</v>
      </c>
      <c r="Q143" s="41">
        <f t="shared" si="16"/>
        <v>2.2144019207307242</v>
      </c>
      <c r="R143" s="41">
        <f t="shared" si="16"/>
        <v>8.6387051311705854</v>
      </c>
      <c r="S143" s="42">
        <f t="shared" si="17"/>
        <v>226.18267402134092</v>
      </c>
      <c r="T143" s="35"/>
      <c r="U143" s="43">
        <v>9612</v>
      </c>
      <c r="V143" s="44">
        <f t="shared" si="18"/>
        <v>2174067.8626931291</v>
      </c>
      <c r="W143" s="140">
        <f t="shared" si="19"/>
        <v>1.6419164408968876E-3</v>
      </c>
      <c r="X143" s="35"/>
      <c r="Y143" s="49">
        <v>843581.61514934746</v>
      </c>
    </row>
    <row r="144" spans="1:25" x14ac:dyDescent="0.35">
      <c r="A144" s="35"/>
      <c r="B144" s="47" t="s">
        <v>133</v>
      </c>
      <c r="C144" s="46">
        <v>244</v>
      </c>
      <c r="D144" s="40">
        <v>0.14226804123711301</v>
      </c>
      <c r="E144" s="41">
        <v>2.3917525773195902E-2</v>
      </c>
      <c r="F144" s="41">
        <v>0.17392508670054599</v>
      </c>
      <c r="G144" s="48">
        <v>0.26832515755939201</v>
      </c>
      <c r="H144" s="35"/>
      <c r="I144" s="40">
        <f t="shared" si="14"/>
        <v>-1.8067558524056504E-2</v>
      </c>
      <c r="J144" s="41">
        <f t="shared" si="14"/>
        <v>-8.830738970133676E-3</v>
      </c>
      <c r="K144" s="41">
        <f t="shared" si="14"/>
        <v>-6.6141981975944009E-3</v>
      </c>
      <c r="L144" s="48">
        <f t="shared" si="14"/>
        <v>-1.2287392195986291E-2</v>
      </c>
      <c r="M144" s="35"/>
      <c r="N144" s="40">
        <f t="shared" si="15"/>
        <v>63.398492599999997</v>
      </c>
      <c r="O144" s="41">
        <f t="shared" si="16"/>
        <v>-0.60635123893021159</v>
      </c>
      <c r="P144" s="41">
        <f t="shared" si="16"/>
        <v>-36.269611274747817</v>
      </c>
      <c r="Q144" s="41">
        <f t="shared" si="16"/>
        <v>-0.49279163041555457</v>
      </c>
      <c r="R144" s="41">
        <f t="shared" si="16"/>
        <v>-2.1698581116477382</v>
      </c>
      <c r="S144" s="42">
        <f t="shared" si="17"/>
        <v>23.859880344258681</v>
      </c>
      <c r="T144" s="35"/>
      <c r="U144" s="43">
        <v>7275</v>
      </c>
      <c r="V144" s="44">
        <f t="shared" si="18"/>
        <v>173580.62950448191</v>
      </c>
      <c r="W144" s="140">
        <f t="shared" si="19"/>
        <v>1.3109291310326902E-4</v>
      </c>
      <c r="X144" s="35"/>
      <c r="Y144" s="49">
        <v>67352.740136934677</v>
      </c>
    </row>
    <row r="145" spans="1:25" x14ac:dyDescent="0.35">
      <c r="A145" s="35"/>
      <c r="B145" s="47" t="s">
        <v>134</v>
      </c>
      <c r="C145" s="46">
        <v>396</v>
      </c>
      <c r="D145" s="40">
        <v>0.154300880685246</v>
      </c>
      <c r="E145" s="41">
        <v>3.9972654522057303E-2</v>
      </c>
      <c r="F145" s="41">
        <v>0.19202637494151401</v>
      </c>
      <c r="G145" s="48">
        <v>0.26659944036730099</v>
      </c>
      <c r="H145" s="35"/>
      <c r="I145" s="40">
        <f t="shared" si="14"/>
        <v>-6.0347190759235114E-3</v>
      </c>
      <c r="J145" s="41">
        <f t="shared" si="14"/>
        <v>7.2243897787277259E-3</v>
      </c>
      <c r="K145" s="41">
        <f t="shared" si="14"/>
        <v>1.1487090043373616E-2</v>
      </c>
      <c r="L145" s="48">
        <f t="shared" si="14"/>
        <v>-1.4013109388077316E-2</v>
      </c>
      <c r="M145" s="35"/>
      <c r="N145" s="40">
        <f t="shared" si="15"/>
        <v>63.398492599999997</v>
      </c>
      <c r="O145" s="41">
        <f t="shared" si="16"/>
        <v>-0.20252649982618975</v>
      </c>
      <c r="P145" s="41">
        <f t="shared" si="16"/>
        <v>29.672013843678315</v>
      </c>
      <c r="Q145" s="41">
        <f t="shared" si="16"/>
        <v>0.85584702213235653</v>
      </c>
      <c r="R145" s="41">
        <f t="shared" si="16"/>
        <v>-2.4746063762056028</v>
      </c>
      <c r="S145" s="42">
        <f t="shared" si="17"/>
        <v>91.249220589778872</v>
      </c>
      <c r="T145" s="35"/>
      <c r="U145" s="43">
        <v>24867</v>
      </c>
      <c r="V145" s="44">
        <f t="shared" si="18"/>
        <v>2269094.3684060313</v>
      </c>
      <c r="W145" s="140">
        <f t="shared" si="19"/>
        <v>1.713683097645918E-3</v>
      </c>
      <c r="X145" s="35"/>
      <c r="Y145" s="49">
        <v>880453.79128831462</v>
      </c>
    </row>
    <row r="146" spans="1:25" x14ac:dyDescent="0.35">
      <c r="A146" s="35"/>
      <c r="B146" s="47" t="s">
        <v>135</v>
      </c>
      <c r="C146" s="46">
        <v>397</v>
      </c>
      <c r="D146" s="40">
        <v>0.15490899428723301</v>
      </c>
      <c r="E146" s="41">
        <v>2.0459678490766599E-2</v>
      </c>
      <c r="F146" s="41">
        <v>8.7127769852393899E-2</v>
      </c>
      <c r="G146" s="48">
        <v>0.236462668843756</v>
      </c>
      <c r="H146" s="35"/>
      <c r="I146" s="40">
        <f t="shared" si="14"/>
        <v>-5.4266054739365022E-3</v>
      </c>
      <c r="J146" s="41">
        <f t="shared" si="14"/>
        <v>-1.2288586252562978E-2</v>
      </c>
      <c r="K146" s="41">
        <f t="shared" si="14"/>
        <v>-9.341151504574649E-2</v>
      </c>
      <c r="L146" s="48">
        <f t="shared" si="14"/>
        <v>-4.4149880911622308E-2</v>
      </c>
      <c r="M146" s="35"/>
      <c r="N146" s="40">
        <f t="shared" si="15"/>
        <v>63.398492599999997</v>
      </c>
      <c r="O146" s="41">
        <f t="shared" si="16"/>
        <v>-0.18211807355851328</v>
      </c>
      <c r="P146" s="41">
        <f t="shared" si="16"/>
        <v>-50.47168170229839</v>
      </c>
      <c r="Q146" s="41">
        <f t="shared" si="16"/>
        <v>-6.9596361378651483</v>
      </c>
      <c r="R146" s="41">
        <f t="shared" si="16"/>
        <v>-7.796526365916626</v>
      </c>
      <c r="S146" s="42">
        <f t="shared" si="17"/>
        <v>-2.0114696796386804</v>
      </c>
      <c r="T146" s="35"/>
      <c r="U146" s="43">
        <v>15054</v>
      </c>
      <c r="V146" s="44">
        <f t="shared" si="18"/>
        <v>150540</v>
      </c>
      <c r="W146" s="140">
        <f t="shared" si="19"/>
        <v>1.1369198968169754E-4</v>
      </c>
      <c r="X146" s="35"/>
      <c r="Y146" s="49">
        <v>58412.517163687029</v>
      </c>
    </row>
    <row r="147" spans="1:25" x14ac:dyDescent="0.35">
      <c r="A147" s="35"/>
      <c r="B147" s="47" t="s">
        <v>136</v>
      </c>
      <c r="C147" s="46">
        <v>246</v>
      </c>
      <c r="D147" s="40">
        <v>0.15535259506454699</v>
      </c>
      <c r="E147" s="41">
        <v>2.1340124703609398E-2</v>
      </c>
      <c r="F147" s="41">
        <v>0.204542829330951</v>
      </c>
      <c r="G147" s="48">
        <v>0.26993380374107301</v>
      </c>
      <c r="H147" s="35"/>
      <c r="I147" s="40">
        <f t="shared" si="14"/>
        <v>-4.9830046966225228E-3</v>
      </c>
      <c r="J147" s="41">
        <f t="shared" si="14"/>
        <v>-1.1408140039720179E-2</v>
      </c>
      <c r="K147" s="41">
        <f t="shared" si="14"/>
        <v>2.4003544432810608E-2</v>
      </c>
      <c r="L147" s="48">
        <f t="shared" si="14"/>
        <v>-1.0678746014305296E-2</v>
      </c>
      <c r="M147" s="35"/>
      <c r="N147" s="40">
        <f t="shared" si="15"/>
        <v>63.398492599999997</v>
      </c>
      <c r="O147" s="41">
        <f t="shared" si="16"/>
        <v>-0.16723073387968512</v>
      </c>
      <c r="P147" s="41">
        <f t="shared" si="16"/>
        <v>-46.855512999301524</v>
      </c>
      <c r="Q147" s="41">
        <f t="shared" si="16"/>
        <v>1.7883869583918865</v>
      </c>
      <c r="R147" s="41">
        <f t="shared" si="16"/>
        <v>-1.8857836790572442</v>
      </c>
      <c r="S147" s="42">
        <f t="shared" si="17"/>
        <v>16.278352146153431</v>
      </c>
      <c r="T147" s="35"/>
      <c r="U147" s="43">
        <v>11387</v>
      </c>
      <c r="V147" s="44">
        <f t="shared" si="18"/>
        <v>185361.59588824911</v>
      </c>
      <c r="W147" s="140">
        <f t="shared" si="19"/>
        <v>1.3999022616653252E-4</v>
      </c>
      <c r="X147" s="35"/>
      <c r="Y147" s="49">
        <v>71923.989646012807</v>
      </c>
    </row>
    <row r="148" spans="1:25" x14ac:dyDescent="0.35">
      <c r="A148" s="35"/>
      <c r="B148" s="47" t="s">
        <v>137</v>
      </c>
      <c r="C148" s="46">
        <v>74</v>
      </c>
      <c r="D148" s="40">
        <v>0.17783005372413099</v>
      </c>
      <c r="E148" s="41">
        <v>5.4868550720030503E-2</v>
      </c>
      <c r="F148" s="41">
        <v>0.184293583530559</v>
      </c>
      <c r="G148" s="48">
        <v>0.32052292869181997</v>
      </c>
      <c r="H148" s="35"/>
      <c r="I148" s="40">
        <f t="shared" si="14"/>
        <v>1.7494453962961481E-2</v>
      </c>
      <c r="J148" s="41">
        <f t="shared" si="14"/>
        <v>2.2120285976700925E-2</v>
      </c>
      <c r="K148" s="41">
        <f t="shared" si="14"/>
        <v>3.7542986324186067E-3</v>
      </c>
      <c r="L148" s="48">
        <f t="shared" si="14"/>
        <v>3.9910378936441671E-2</v>
      </c>
      <c r="M148" s="35"/>
      <c r="N148" s="40">
        <f t="shared" si="15"/>
        <v>63.398492599999997</v>
      </c>
      <c r="O148" s="41">
        <f t="shared" si="16"/>
        <v>0.58711772377685922</v>
      </c>
      <c r="P148" s="41">
        <f t="shared" si="16"/>
        <v>90.852439005911762</v>
      </c>
      <c r="Q148" s="41">
        <f t="shared" si="16"/>
        <v>0.27971447012418421</v>
      </c>
      <c r="R148" s="41">
        <f t="shared" si="16"/>
        <v>7.0478632156350525</v>
      </c>
      <c r="S148" s="42">
        <f t="shared" si="17"/>
        <v>162.16562701544785</v>
      </c>
      <c r="T148" s="35"/>
      <c r="U148" s="43">
        <v>31457</v>
      </c>
      <c r="V148" s="44">
        <f t="shared" si="18"/>
        <v>5101244.1290249433</v>
      </c>
      <c r="W148" s="140">
        <f t="shared" si="19"/>
        <v>3.8526012679747841E-3</v>
      </c>
      <c r="X148" s="35"/>
      <c r="Y148" s="49">
        <v>1979384.2848600184</v>
      </c>
    </row>
    <row r="149" spans="1:25" x14ac:dyDescent="0.35">
      <c r="A149" s="35"/>
      <c r="B149" s="47" t="s">
        <v>138</v>
      </c>
      <c r="C149" s="46">
        <v>398</v>
      </c>
      <c r="D149" s="40">
        <v>0.159476051715846</v>
      </c>
      <c r="E149" s="41">
        <v>2.7668543299289899E-2</v>
      </c>
      <c r="F149" s="41">
        <v>0.15140569232561099</v>
      </c>
      <c r="G149" s="48">
        <v>0.29316683193455101</v>
      </c>
      <c r="H149" s="35"/>
      <c r="I149" s="40">
        <f t="shared" si="14"/>
        <v>-8.5954804532351048E-4</v>
      </c>
      <c r="J149" s="41">
        <f t="shared" si="14"/>
        <v>-5.0797214440396789E-3</v>
      </c>
      <c r="K149" s="41">
        <f t="shared" si="14"/>
        <v>-2.9133592572529399E-2</v>
      </c>
      <c r="L149" s="48">
        <f t="shared" si="14"/>
        <v>1.2554282179172704E-2</v>
      </c>
      <c r="M149" s="35"/>
      <c r="N149" s="40">
        <f t="shared" si="15"/>
        <v>63.398492599999997</v>
      </c>
      <c r="O149" s="41">
        <f t="shared" si="16"/>
        <v>-2.8846621501626982E-2</v>
      </c>
      <c r="P149" s="41">
        <f t="shared" si="16"/>
        <v>-20.863432016554199</v>
      </c>
      <c r="Q149" s="41">
        <f t="shared" si="16"/>
        <v>-2.1706018106474119</v>
      </c>
      <c r="R149" s="41">
        <f t="shared" si="16"/>
        <v>2.2169888116121892</v>
      </c>
      <c r="S149" s="42">
        <f t="shared" si="17"/>
        <v>42.552600962908947</v>
      </c>
      <c r="T149" s="35"/>
      <c r="U149" s="43">
        <v>35347</v>
      </c>
      <c r="V149" s="44">
        <f t="shared" si="18"/>
        <v>1504106.7862359425</v>
      </c>
      <c r="W149" s="140">
        <f t="shared" si="19"/>
        <v>1.1359432258596254E-3</v>
      </c>
      <c r="X149" s="35"/>
      <c r="Y149" s="49">
        <v>583623.37894928339</v>
      </c>
    </row>
    <row r="150" spans="1:25" x14ac:dyDescent="0.35">
      <c r="A150" s="35"/>
      <c r="B150" s="47" t="s">
        <v>139</v>
      </c>
      <c r="C150" s="46">
        <v>917</v>
      </c>
      <c r="D150" s="40">
        <v>0.25599521438499601</v>
      </c>
      <c r="E150" s="41">
        <v>9.1859176240828996E-2</v>
      </c>
      <c r="F150" s="41">
        <v>0.227593384051374</v>
      </c>
      <c r="G150" s="48">
        <v>0.336166897671967</v>
      </c>
      <c r="H150" s="35"/>
      <c r="I150" s="40">
        <f t="shared" si="14"/>
        <v>9.5659614623826494E-2</v>
      </c>
      <c r="J150" s="41">
        <f t="shared" si="14"/>
        <v>5.9110911497499419E-2</v>
      </c>
      <c r="K150" s="41">
        <f t="shared" si="14"/>
        <v>4.7054099153233608E-2</v>
      </c>
      <c r="L150" s="48">
        <f t="shared" si="14"/>
        <v>5.5554347916588698E-2</v>
      </c>
      <c r="M150" s="35"/>
      <c r="N150" s="40">
        <f t="shared" si="15"/>
        <v>63.398492599999997</v>
      </c>
      <c r="O150" s="41">
        <f t="shared" si="16"/>
        <v>3.2103577118908344</v>
      </c>
      <c r="P150" s="41">
        <f t="shared" si="16"/>
        <v>242.78033688474787</v>
      </c>
      <c r="Q150" s="41">
        <f t="shared" si="16"/>
        <v>3.5057713039035687</v>
      </c>
      <c r="R150" s="41">
        <f t="shared" si="16"/>
        <v>9.8104667403297316</v>
      </c>
      <c r="S150" s="42">
        <f t="shared" si="17"/>
        <v>322.70542524087199</v>
      </c>
      <c r="T150" s="35"/>
      <c r="U150" s="43">
        <v>56837</v>
      </c>
      <c r="V150" s="44">
        <f t="shared" si="18"/>
        <v>18341608.254415441</v>
      </c>
      <c r="W150" s="140">
        <f t="shared" si="19"/>
        <v>1.3852092044684062E-2</v>
      </c>
      <c r="X150" s="35"/>
      <c r="Y150" s="49">
        <v>7116909.1734466963</v>
      </c>
    </row>
    <row r="151" spans="1:25" x14ac:dyDescent="0.35">
      <c r="A151" s="35"/>
      <c r="B151" s="47" t="s">
        <v>140</v>
      </c>
      <c r="C151" s="46">
        <v>1658</v>
      </c>
      <c r="D151" s="40">
        <v>0.13980800653594799</v>
      </c>
      <c r="E151" s="41">
        <v>1.51143790849673E-2</v>
      </c>
      <c r="F151" s="41">
        <v>0.16312009742169201</v>
      </c>
      <c r="G151" s="48">
        <v>0.24613024400524999</v>
      </c>
      <c r="H151" s="35"/>
      <c r="I151" s="40">
        <f t="shared" si="14"/>
        <v>-2.0527593225221519E-2</v>
      </c>
      <c r="J151" s="41">
        <f t="shared" si="14"/>
        <v>-1.7633885658362276E-2</v>
      </c>
      <c r="K151" s="41">
        <f t="shared" si="14"/>
        <v>-1.7419187476448383E-2</v>
      </c>
      <c r="L151" s="48">
        <f t="shared" si="14"/>
        <v>-3.4482305750128311E-2</v>
      </c>
      <c r="M151" s="35"/>
      <c r="N151" s="40">
        <f t="shared" si="15"/>
        <v>63.398492599999997</v>
      </c>
      <c r="O151" s="41">
        <f t="shared" si="16"/>
        <v>-0.68891054470894375</v>
      </c>
      <c r="P151" s="41">
        <f t="shared" si="16"/>
        <v>-72.425895528703265</v>
      </c>
      <c r="Q151" s="41">
        <f t="shared" si="16"/>
        <v>-1.297818653235284</v>
      </c>
      <c r="R151" s="41">
        <f t="shared" si="16"/>
        <v>-6.089307612780039</v>
      </c>
      <c r="S151" s="42">
        <f t="shared" si="17"/>
        <v>-17.103439739427536</v>
      </c>
      <c r="T151" s="35"/>
      <c r="U151" s="43">
        <v>9792</v>
      </c>
      <c r="V151" s="44">
        <f t="shared" si="18"/>
        <v>97920</v>
      </c>
      <c r="W151" s="140">
        <f t="shared" si="19"/>
        <v>7.3951904009776946E-5</v>
      </c>
      <c r="X151" s="35"/>
      <c r="Y151" s="49">
        <v>37994.90953014636</v>
      </c>
    </row>
    <row r="152" spans="1:25" x14ac:dyDescent="0.35">
      <c r="A152" s="35"/>
      <c r="B152" s="47" t="s">
        <v>141</v>
      </c>
      <c r="C152" s="46">
        <v>399</v>
      </c>
      <c r="D152" s="40">
        <v>0.14269603789188801</v>
      </c>
      <c r="E152" s="41">
        <v>2.6013081723178701E-2</v>
      </c>
      <c r="F152" s="41">
        <v>0.10557197999510901</v>
      </c>
      <c r="G152" s="48">
        <v>0.27970386267881803</v>
      </c>
      <c r="H152" s="35"/>
      <c r="I152" s="40">
        <f t="shared" si="14"/>
        <v>-1.7639561869281506E-2</v>
      </c>
      <c r="J152" s="41">
        <f t="shared" si="14"/>
        <v>-6.7351830201508762E-3</v>
      </c>
      <c r="K152" s="41">
        <f t="shared" si="14"/>
        <v>-7.4967304903031384E-2</v>
      </c>
      <c r="L152" s="48">
        <f t="shared" si="14"/>
        <v>-9.0868707656027725E-4</v>
      </c>
      <c r="M152" s="35"/>
      <c r="N152" s="40">
        <f t="shared" si="15"/>
        <v>63.398492599999997</v>
      </c>
      <c r="O152" s="41">
        <f t="shared" si="16"/>
        <v>-0.59198757703669858</v>
      </c>
      <c r="P152" s="41">
        <f t="shared" si="16"/>
        <v>-27.662743835067342</v>
      </c>
      <c r="Q152" s="41">
        <f t="shared" si="16"/>
        <v>-5.5854480478769419</v>
      </c>
      <c r="R152" s="41">
        <f t="shared" si="16"/>
        <v>-0.16046708630883086</v>
      </c>
      <c r="S152" s="42">
        <f t="shared" si="17"/>
        <v>29.39784605371019</v>
      </c>
      <c r="T152" s="35"/>
      <c r="U152" s="43">
        <v>13301</v>
      </c>
      <c r="V152" s="44">
        <f t="shared" si="18"/>
        <v>391020.75036039925</v>
      </c>
      <c r="W152" s="140">
        <f t="shared" si="19"/>
        <v>2.9530973239872549E-4</v>
      </c>
      <c r="X152" s="35"/>
      <c r="Y152" s="49">
        <v>151723.83613514414</v>
      </c>
    </row>
    <row r="153" spans="1:25" x14ac:dyDescent="0.35">
      <c r="A153" s="35"/>
      <c r="B153" s="47" t="s">
        <v>142</v>
      </c>
      <c r="C153" s="46">
        <v>163</v>
      </c>
      <c r="D153" s="40">
        <v>0.140037678299094</v>
      </c>
      <c r="E153" s="41">
        <v>2.7227056607158899E-2</v>
      </c>
      <c r="F153" s="41">
        <v>0.16898073007630399</v>
      </c>
      <c r="G153" s="48">
        <v>0.30021533915745402</v>
      </c>
      <c r="H153" s="35"/>
      <c r="I153" s="40">
        <f t="shared" si="14"/>
        <v>-2.0297921462075513E-2</v>
      </c>
      <c r="J153" s="41">
        <f t="shared" si="14"/>
        <v>-5.5212081361706786E-3</v>
      </c>
      <c r="K153" s="41">
        <f t="shared" si="14"/>
        <v>-1.1558554821836403E-2</v>
      </c>
      <c r="L153" s="48">
        <f t="shared" si="14"/>
        <v>1.9602789402075715E-2</v>
      </c>
      <c r="M153" s="35"/>
      <c r="N153" s="40">
        <f t="shared" si="15"/>
        <v>63.398492599999997</v>
      </c>
      <c r="O153" s="41">
        <f t="shared" si="16"/>
        <v>-0.68120270980997588</v>
      </c>
      <c r="P153" s="41">
        <f t="shared" si="16"/>
        <v>-22.676706167304374</v>
      </c>
      <c r="Q153" s="41">
        <f t="shared" si="16"/>
        <v>-0.86117151402749992</v>
      </c>
      <c r="R153" s="41">
        <f t="shared" si="16"/>
        <v>3.4617004907608111</v>
      </c>
      <c r="S153" s="42">
        <f t="shared" si="17"/>
        <v>42.641112699618965</v>
      </c>
      <c r="T153" s="35"/>
      <c r="U153" s="43">
        <v>22294</v>
      </c>
      <c r="V153" s="44">
        <f t="shared" si="18"/>
        <v>950640.96652530518</v>
      </c>
      <c r="W153" s="140">
        <f t="shared" si="19"/>
        <v>7.1795046470834306E-4</v>
      </c>
      <c r="X153" s="35"/>
      <c r="Y153" s="49">
        <v>368867.62171956559</v>
      </c>
    </row>
    <row r="154" spans="1:25" x14ac:dyDescent="0.35">
      <c r="A154" s="35"/>
      <c r="B154" s="47" t="s">
        <v>143</v>
      </c>
      <c r="C154" s="46">
        <v>530</v>
      </c>
      <c r="D154" s="40">
        <v>0.18084982763295501</v>
      </c>
      <c r="E154" s="41">
        <v>3.9431382422434803E-2</v>
      </c>
      <c r="F154" s="41">
        <v>0.18575645569827101</v>
      </c>
      <c r="G154" s="48">
        <v>0.29630136187927097</v>
      </c>
      <c r="H154" s="35"/>
      <c r="I154" s="40">
        <f t="shared" si="14"/>
        <v>2.0514227871785501E-2</v>
      </c>
      <c r="J154" s="41">
        <f t="shared" si="14"/>
        <v>6.6831176791052258E-3</v>
      </c>
      <c r="K154" s="41">
        <f t="shared" si="14"/>
        <v>5.2171708001306216E-3</v>
      </c>
      <c r="L154" s="48">
        <f t="shared" si="14"/>
        <v>1.568881212389267E-2</v>
      </c>
      <c r="M154" s="35"/>
      <c r="N154" s="40">
        <f t="shared" si="15"/>
        <v>63.398492599999997</v>
      </c>
      <c r="O154" s="41">
        <f t="shared" si="16"/>
        <v>0.68846200050725326</v>
      </c>
      <c r="P154" s="41">
        <f t="shared" si="16"/>
        <v>27.448901065283337</v>
      </c>
      <c r="Q154" s="41">
        <f t="shared" si="16"/>
        <v>0.38870593652422802</v>
      </c>
      <c r="R154" s="41">
        <f t="shared" si="16"/>
        <v>2.7705224758973643</v>
      </c>
      <c r="S154" s="42">
        <f t="shared" si="17"/>
        <v>94.69508407821219</v>
      </c>
      <c r="T154" s="35"/>
      <c r="U154" s="43">
        <v>25817</v>
      </c>
      <c r="V154" s="44">
        <f t="shared" si="18"/>
        <v>2444742.9856472043</v>
      </c>
      <c r="W154" s="140">
        <f t="shared" si="19"/>
        <v>1.8463378125322463E-3</v>
      </c>
      <c r="X154" s="35"/>
      <c r="Y154" s="49">
        <v>948608.95183951617</v>
      </c>
    </row>
    <row r="155" spans="1:25" x14ac:dyDescent="0.35">
      <c r="A155" s="35"/>
      <c r="B155" s="47" t="s">
        <v>144</v>
      </c>
      <c r="C155" s="46">
        <v>794</v>
      </c>
      <c r="D155" s="40">
        <v>0.18700563078160601</v>
      </c>
      <c r="E155" s="41">
        <v>5.4581713366403002E-2</v>
      </c>
      <c r="F155" s="41">
        <v>0.21726099307333199</v>
      </c>
      <c r="G155" s="48">
        <v>0.25184176703627398</v>
      </c>
      <c r="H155" s="35"/>
      <c r="I155" s="40">
        <f t="shared" si="14"/>
        <v>2.6670031020436497E-2</v>
      </c>
      <c r="J155" s="41">
        <f t="shared" si="14"/>
        <v>2.1833448623073425E-2</v>
      </c>
      <c r="K155" s="41">
        <f t="shared" si="14"/>
        <v>3.6721708175191603E-2</v>
      </c>
      <c r="L155" s="48">
        <f t="shared" si="14"/>
        <v>-2.8770782719104326E-2</v>
      </c>
      <c r="M155" s="35"/>
      <c r="N155" s="40">
        <f t="shared" si="15"/>
        <v>63.398492599999997</v>
      </c>
      <c r="O155" s="41">
        <f t="shared" si="16"/>
        <v>0.89505210845267336</v>
      </c>
      <c r="P155" s="41">
        <f t="shared" si="16"/>
        <v>89.674340621356151</v>
      </c>
      <c r="Q155" s="41">
        <f t="shared" si="16"/>
        <v>2.7359552741976314</v>
      </c>
      <c r="R155" s="41">
        <f t="shared" si="16"/>
        <v>-5.0806969669199242</v>
      </c>
      <c r="S155" s="42">
        <f t="shared" si="17"/>
        <v>151.62314363708654</v>
      </c>
      <c r="T155" s="35"/>
      <c r="U155" s="43">
        <v>59672</v>
      </c>
      <c r="V155" s="44">
        <f t="shared" si="18"/>
        <v>9047656.2271122281</v>
      </c>
      <c r="W155" s="140">
        <f t="shared" si="19"/>
        <v>6.8330413074026162E-3</v>
      </c>
      <c r="X155" s="35"/>
      <c r="Y155" s="49">
        <v>3510670.7496833587</v>
      </c>
    </row>
    <row r="156" spans="1:25" x14ac:dyDescent="0.35">
      <c r="A156" s="35"/>
      <c r="B156" s="47" t="s">
        <v>145</v>
      </c>
      <c r="C156" s="46">
        <v>531</v>
      </c>
      <c r="D156" s="40">
        <v>0.12713988587275299</v>
      </c>
      <c r="E156" s="41">
        <v>2.1172204149112001E-2</v>
      </c>
      <c r="F156" s="41">
        <v>0.189766657604752</v>
      </c>
      <c r="G156" s="48">
        <v>0.268729445844271</v>
      </c>
      <c r="H156" s="35"/>
      <c r="I156" s="40">
        <f t="shared" si="14"/>
        <v>-3.3195713888416523E-2</v>
      </c>
      <c r="J156" s="41">
        <f t="shared" si="14"/>
        <v>-1.1576060594217577E-2</v>
      </c>
      <c r="K156" s="41">
        <f t="shared" si="14"/>
        <v>9.227372706611614E-3</v>
      </c>
      <c r="L156" s="48">
        <f t="shared" si="14"/>
        <v>-1.1883103911107307E-2</v>
      </c>
      <c r="M156" s="35"/>
      <c r="N156" s="40">
        <f t="shared" si="15"/>
        <v>63.398492599999997</v>
      </c>
      <c r="O156" s="41">
        <f t="shared" si="16"/>
        <v>-1.1140554611523139</v>
      </c>
      <c r="P156" s="41">
        <f t="shared" si="16"/>
        <v>-47.545196304091647</v>
      </c>
      <c r="Q156" s="41">
        <f t="shared" si="16"/>
        <v>0.68748651079082312</v>
      </c>
      <c r="R156" s="41">
        <f t="shared" si="16"/>
        <v>-2.0984639378152004</v>
      </c>
      <c r="S156" s="42">
        <f t="shared" si="17"/>
        <v>13.328263407731662</v>
      </c>
      <c r="T156" s="35"/>
      <c r="U156" s="43">
        <v>18751</v>
      </c>
      <c r="V156" s="44">
        <f t="shared" si="18"/>
        <v>249918.26715837637</v>
      </c>
      <c r="W156" s="140">
        <f t="shared" si="19"/>
        <v>1.8874521755704699E-4</v>
      </c>
      <c r="X156" s="35"/>
      <c r="Y156" s="49">
        <v>96973.263384532867</v>
      </c>
    </row>
    <row r="157" spans="1:25" x14ac:dyDescent="0.35">
      <c r="A157" s="35"/>
      <c r="B157" s="47" t="s">
        <v>146</v>
      </c>
      <c r="C157" s="46">
        <v>164</v>
      </c>
      <c r="D157" s="40">
        <v>0.18218988751103801</v>
      </c>
      <c r="E157" s="41">
        <v>5.5668599070910298E-2</v>
      </c>
      <c r="F157" s="41">
        <v>0.142516540627349</v>
      </c>
      <c r="G157" s="48">
        <v>0.29574549007348699</v>
      </c>
      <c r="H157" s="35"/>
      <c r="I157" s="40">
        <f t="shared" si="14"/>
        <v>2.1854287749868501E-2</v>
      </c>
      <c r="J157" s="41">
        <f t="shared" si="14"/>
        <v>2.292033432758072E-2</v>
      </c>
      <c r="K157" s="41">
        <f t="shared" si="14"/>
        <v>-3.8022744270791387E-2</v>
      </c>
      <c r="L157" s="48">
        <f t="shared" si="14"/>
        <v>1.513294031810869E-2</v>
      </c>
      <c r="M157" s="35"/>
      <c r="N157" s="40">
        <f t="shared" si="15"/>
        <v>63.398492599999997</v>
      </c>
      <c r="O157" s="41">
        <f t="shared" si="16"/>
        <v>0.73343470482889184</v>
      </c>
      <c r="P157" s="41">
        <f t="shared" si="16"/>
        <v>94.13839760864623</v>
      </c>
      <c r="Q157" s="41">
        <f t="shared" si="16"/>
        <v>-2.8328891246246251</v>
      </c>
      <c r="R157" s="41">
        <f t="shared" si="16"/>
        <v>2.6723598285611261</v>
      </c>
      <c r="S157" s="42">
        <f t="shared" si="17"/>
        <v>158.10979561741163</v>
      </c>
      <c r="T157" s="35"/>
      <c r="U157" s="43">
        <v>52094</v>
      </c>
      <c r="V157" s="44">
        <f t="shared" si="18"/>
        <v>8236571.6928934418</v>
      </c>
      <c r="W157" s="140">
        <f t="shared" si="19"/>
        <v>6.2204877369536546E-3</v>
      </c>
      <c r="X157" s="35"/>
      <c r="Y157" s="49">
        <v>3195953.8021859759</v>
      </c>
    </row>
    <row r="158" spans="1:25" x14ac:dyDescent="0.35">
      <c r="A158" s="35"/>
      <c r="B158" s="47" t="s">
        <v>148</v>
      </c>
      <c r="C158" s="46">
        <v>252</v>
      </c>
      <c r="D158" s="40">
        <v>0.14338629496052199</v>
      </c>
      <c r="E158" s="41">
        <v>3.24593040257335E-2</v>
      </c>
      <c r="F158" s="41">
        <v>9.2702951560525604E-2</v>
      </c>
      <c r="G158" s="48">
        <v>0.28747239570154998</v>
      </c>
      <c r="H158" s="35"/>
      <c r="I158" s="40">
        <f t="shared" si="14"/>
        <v>-1.6949304800647519E-2</v>
      </c>
      <c r="J158" s="41">
        <f t="shared" si="14"/>
        <v>-2.8896071759607761E-4</v>
      </c>
      <c r="K158" s="41">
        <f t="shared" si="14"/>
        <v>-8.7836333337614786E-2</v>
      </c>
      <c r="L158" s="48">
        <f t="shared" si="14"/>
        <v>6.8598459461716721E-3</v>
      </c>
      <c r="M158" s="35"/>
      <c r="N158" s="40">
        <f t="shared" si="15"/>
        <v>63.398492599999997</v>
      </c>
      <c r="O158" s="41">
        <f t="shared" si="16"/>
        <v>-0.56882239795678691</v>
      </c>
      <c r="P158" s="41">
        <f t="shared" si="16"/>
        <v>-1.1868194650898243</v>
      </c>
      <c r="Q158" s="41">
        <f t="shared" si="16"/>
        <v>-6.5442565556789907</v>
      </c>
      <c r="R158" s="41">
        <f t="shared" si="16"/>
        <v>1.211395561689375</v>
      </c>
      <c r="S158" s="42">
        <f t="shared" si="17"/>
        <v>56.309989742963765</v>
      </c>
      <c r="T158" s="35"/>
      <c r="U158" s="43">
        <v>10259</v>
      </c>
      <c r="V158" s="44">
        <f t="shared" si="18"/>
        <v>577684.18477306527</v>
      </c>
      <c r="W158" s="140">
        <f t="shared" si="19"/>
        <v>4.362831431812089E-4</v>
      </c>
      <c r="X158" s="35"/>
      <c r="Y158" s="49">
        <v>224152.96504747722</v>
      </c>
    </row>
    <row r="159" spans="1:25" x14ac:dyDescent="0.35">
      <c r="A159" s="35"/>
      <c r="B159" s="47" t="s">
        <v>149</v>
      </c>
      <c r="C159" s="46">
        <v>797</v>
      </c>
      <c r="D159" s="40">
        <v>0.141609705471853</v>
      </c>
      <c r="E159" s="41">
        <v>2.54088680528218E-2</v>
      </c>
      <c r="F159" s="41">
        <v>0.22172143678254699</v>
      </c>
      <c r="G159" s="48">
        <v>0.25374628722122</v>
      </c>
      <c r="H159" s="35"/>
      <c r="I159" s="40">
        <f t="shared" si="14"/>
        <v>-1.8725894289316508E-2</v>
      </c>
      <c r="J159" s="41">
        <f t="shared" si="14"/>
        <v>-7.3393966905077775E-3</v>
      </c>
      <c r="K159" s="41">
        <f t="shared" si="14"/>
        <v>4.1182151884406604E-2</v>
      </c>
      <c r="L159" s="48">
        <f t="shared" si="14"/>
        <v>-2.6866262534158303E-2</v>
      </c>
      <c r="M159" s="35"/>
      <c r="N159" s="40">
        <f t="shared" si="15"/>
        <v>63.398492599999997</v>
      </c>
      <c r="O159" s="41">
        <f t="shared" si="16"/>
        <v>-0.62844513204620567</v>
      </c>
      <c r="P159" s="41">
        <f t="shared" si="16"/>
        <v>-30.144370234041478</v>
      </c>
      <c r="Q159" s="41">
        <f t="shared" si="16"/>
        <v>3.0682811680059405</v>
      </c>
      <c r="R159" s="41">
        <f t="shared" si="16"/>
        <v>-4.7443734813350913</v>
      </c>
      <c r="S159" s="42">
        <f t="shared" si="17"/>
        <v>30.94958492058316</v>
      </c>
      <c r="T159" s="35"/>
      <c r="U159" s="43">
        <v>27943</v>
      </c>
      <c r="V159" s="44">
        <f t="shared" si="18"/>
        <v>864824.25143585529</v>
      </c>
      <c r="W159" s="140">
        <f t="shared" si="19"/>
        <v>6.5313929766658068E-4</v>
      </c>
      <c r="X159" s="35"/>
      <c r="Y159" s="49">
        <v>335569.02770406328</v>
      </c>
    </row>
    <row r="160" spans="1:25" x14ac:dyDescent="0.35">
      <c r="A160" s="35"/>
      <c r="B160" s="47" t="s">
        <v>150</v>
      </c>
      <c r="C160" s="46">
        <v>534</v>
      </c>
      <c r="D160" s="40">
        <v>0.13187785809116401</v>
      </c>
      <c r="E160" s="41">
        <v>2.19058858238678E-2</v>
      </c>
      <c r="F160" s="41">
        <v>0.16134291180145199</v>
      </c>
      <c r="G160" s="48">
        <v>0.24714995320538799</v>
      </c>
      <c r="H160" s="35"/>
      <c r="I160" s="40">
        <f t="shared" si="14"/>
        <v>-2.8457741670005504E-2</v>
      </c>
      <c r="J160" s="41">
        <f t="shared" si="14"/>
        <v>-1.0842378919461777E-2</v>
      </c>
      <c r="K160" s="41">
        <f t="shared" si="14"/>
        <v>-1.9196373096688396E-2</v>
      </c>
      <c r="L160" s="48">
        <f t="shared" si="14"/>
        <v>-3.3462596549990314E-2</v>
      </c>
      <c r="M160" s="35"/>
      <c r="N160" s="40">
        <f t="shared" si="15"/>
        <v>63.398492599999997</v>
      </c>
      <c r="O160" s="41">
        <f t="shared" si="16"/>
        <v>-0.95504807114855217</v>
      </c>
      <c r="P160" s="41">
        <f t="shared" si="16"/>
        <v>-44.531818914860992</v>
      </c>
      <c r="Q160" s="41">
        <f t="shared" si="16"/>
        <v>-1.4302280811335406</v>
      </c>
      <c r="R160" s="41">
        <f t="shared" si="16"/>
        <v>-5.9092348809790618</v>
      </c>
      <c r="S160" s="42">
        <f t="shared" si="17"/>
        <v>10.572162651877848</v>
      </c>
      <c r="T160" s="35"/>
      <c r="U160" s="43">
        <v>13558</v>
      </c>
      <c r="V160" s="44">
        <f t="shared" si="18"/>
        <v>143337.38123415987</v>
      </c>
      <c r="W160" s="140">
        <f t="shared" si="19"/>
        <v>1.0825237191627242E-4</v>
      </c>
      <c r="X160" s="35"/>
      <c r="Y160" s="49">
        <v>55617.757682598072</v>
      </c>
    </row>
    <row r="161" spans="1:25" x14ac:dyDescent="0.35">
      <c r="A161" s="35"/>
      <c r="B161" s="47" t="s">
        <v>151</v>
      </c>
      <c r="C161" s="46">
        <v>798</v>
      </c>
      <c r="D161" s="40">
        <v>0.11577094335715001</v>
      </c>
      <c r="E161" s="41">
        <v>1.6154085119602399E-2</v>
      </c>
      <c r="F161" s="41">
        <v>0.175587681683223</v>
      </c>
      <c r="G161" s="48">
        <v>0.246969022202606</v>
      </c>
      <c r="H161" s="35"/>
      <c r="I161" s="40">
        <f t="shared" si="14"/>
        <v>-4.4564656404019506E-2</v>
      </c>
      <c r="J161" s="41">
        <f t="shared" si="14"/>
        <v>-1.6594179623727178E-2</v>
      </c>
      <c r="K161" s="41">
        <f t="shared" si="14"/>
        <v>-4.9516032149173883E-3</v>
      </c>
      <c r="L161" s="48">
        <f t="shared" si="14"/>
        <v>-3.3643527552772307E-2</v>
      </c>
      <c r="M161" s="35"/>
      <c r="N161" s="40">
        <f t="shared" si="15"/>
        <v>63.398492599999997</v>
      </c>
      <c r="O161" s="41">
        <f t="shared" si="16"/>
        <v>-1.4955996731433037</v>
      </c>
      <c r="P161" s="41">
        <f t="shared" si="16"/>
        <v>-68.155614882455865</v>
      </c>
      <c r="Q161" s="41">
        <f t="shared" si="16"/>
        <v>-0.36891979171980582</v>
      </c>
      <c r="R161" s="41">
        <f t="shared" si="16"/>
        <v>-5.9411858920457803</v>
      </c>
      <c r="S161" s="42">
        <f t="shared" si="17"/>
        <v>-12.562827639364757</v>
      </c>
      <c r="T161" s="35"/>
      <c r="U161" s="43">
        <v>9657</v>
      </c>
      <c r="V161" s="44">
        <f t="shared" si="18"/>
        <v>96570</v>
      </c>
      <c r="W161" s="140">
        <f t="shared" si="19"/>
        <v>7.2932346509642159E-5</v>
      </c>
      <c r="X161" s="35"/>
      <c r="Y161" s="49">
        <v>37471.082652432946</v>
      </c>
    </row>
    <row r="162" spans="1:25" x14ac:dyDescent="0.35">
      <c r="A162" s="35"/>
      <c r="B162" s="47" t="s">
        <v>152</v>
      </c>
      <c r="C162" s="46">
        <v>402</v>
      </c>
      <c r="D162" s="40">
        <v>0.16923239139603499</v>
      </c>
      <c r="E162" s="41">
        <v>4.3371292000562403E-2</v>
      </c>
      <c r="F162" s="41">
        <v>0.143753742224315</v>
      </c>
      <c r="G162" s="48">
        <v>0.233854521950497</v>
      </c>
      <c r="H162" s="35"/>
      <c r="I162" s="40">
        <f t="shared" si="14"/>
        <v>8.8967916348654807E-3</v>
      </c>
      <c r="J162" s="41">
        <f t="shared" si="14"/>
        <v>1.0623027257232825E-2</v>
      </c>
      <c r="K162" s="41">
        <f t="shared" si="14"/>
        <v>-3.6785542673825389E-2</v>
      </c>
      <c r="L162" s="48">
        <f t="shared" si="14"/>
        <v>-4.6758027804881308E-2</v>
      </c>
      <c r="M162" s="35"/>
      <c r="N162" s="40">
        <f t="shared" si="15"/>
        <v>63.398492599999997</v>
      </c>
      <c r="O162" s="41">
        <f t="shared" si="16"/>
        <v>0.29857828456024521</v>
      </c>
      <c r="P162" s="41">
        <f t="shared" si="16"/>
        <v>43.630897763367209</v>
      </c>
      <c r="Q162" s="41">
        <f t="shared" si="16"/>
        <v>-2.7407112711784816</v>
      </c>
      <c r="R162" s="41">
        <f t="shared" si="16"/>
        <v>-8.2571048680462731</v>
      </c>
      <c r="S162" s="42">
        <f t="shared" si="17"/>
        <v>96.330152508702696</v>
      </c>
      <c r="T162" s="35"/>
      <c r="U162" s="43">
        <v>56904</v>
      </c>
      <c r="V162" s="44">
        <f t="shared" si="18"/>
        <v>5481570.9983552182</v>
      </c>
      <c r="W162" s="140">
        <f t="shared" si="19"/>
        <v>4.139834684366241E-3</v>
      </c>
      <c r="X162" s="35"/>
      <c r="Y162" s="49">
        <v>2126958.6822465337</v>
      </c>
    </row>
    <row r="163" spans="1:25" x14ac:dyDescent="0.35">
      <c r="A163" s="35"/>
      <c r="B163" s="47" t="s">
        <v>154</v>
      </c>
      <c r="C163" s="46">
        <v>1735</v>
      </c>
      <c r="D163" s="40">
        <v>0.13057068434762001</v>
      </c>
      <c r="E163" s="41">
        <v>2.5526876627989602E-2</v>
      </c>
      <c r="F163" s="41">
        <v>0.18202342974079699</v>
      </c>
      <c r="G163" s="48">
        <v>0.29754860955170498</v>
      </c>
      <c r="H163" s="35"/>
      <c r="I163" s="40">
        <f t="shared" si="14"/>
        <v>-2.9764915413549503E-2</v>
      </c>
      <c r="J163" s="41">
        <f t="shared" si="14"/>
        <v>-7.2213881153399759E-3</v>
      </c>
      <c r="K163" s="41">
        <f t="shared" si="14"/>
        <v>1.484144842656604E-3</v>
      </c>
      <c r="L163" s="48">
        <f t="shared" si="14"/>
        <v>1.6936059796326675E-2</v>
      </c>
      <c r="M163" s="35"/>
      <c r="N163" s="40">
        <f t="shared" si="15"/>
        <v>63.398492599999997</v>
      </c>
      <c r="O163" s="41">
        <f t="shared" si="16"/>
        <v>-0.99891710956011237</v>
      </c>
      <c r="P163" s="41">
        <f t="shared" si="16"/>
        <v>-29.659685411752111</v>
      </c>
      <c r="Q163" s="41">
        <f t="shared" si="16"/>
        <v>0.11057638959951141</v>
      </c>
      <c r="R163" s="41">
        <f t="shared" si="16"/>
        <v>2.9907767362072715</v>
      </c>
      <c r="S163" s="42">
        <f t="shared" si="17"/>
        <v>35.84124320449456</v>
      </c>
      <c r="T163" s="35"/>
      <c r="U163" s="43">
        <v>21115</v>
      </c>
      <c r="V163" s="44">
        <f t="shared" si="18"/>
        <v>756787.85026290268</v>
      </c>
      <c r="W163" s="140">
        <f t="shared" si="19"/>
        <v>5.7154720647883614E-4</v>
      </c>
      <c r="X163" s="35"/>
      <c r="Y163" s="49">
        <v>293648.75310715835</v>
      </c>
    </row>
    <row r="164" spans="1:25" x14ac:dyDescent="0.35">
      <c r="A164" s="35"/>
      <c r="B164" s="47" t="s">
        <v>155</v>
      </c>
      <c r="C164" s="46">
        <v>1911</v>
      </c>
      <c r="D164" s="40">
        <v>0.14041377495641899</v>
      </c>
      <c r="E164" s="41">
        <v>2.1872841495905002E-2</v>
      </c>
      <c r="F164" s="41">
        <v>0.195572920266258</v>
      </c>
      <c r="G164" s="48">
        <v>0.31013769876537201</v>
      </c>
      <c r="H164" s="35"/>
      <c r="I164" s="40">
        <f t="shared" si="14"/>
        <v>-1.9921824804750521E-2</v>
      </c>
      <c r="J164" s="41">
        <f t="shared" si="14"/>
        <v>-1.0875423247424576E-2</v>
      </c>
      <c r="K164" s="41">
        <f t="shared" si="14"/>
        <v>1.5033635368117609E-2</v>
      </c>
      <c r="L164" s="48">
        <f t="shared" si="14"/>
        <v>2.9525149009993701E-2</v>
      </c>
      <c r="M164" s="35"/>
      <c r="N164" s="40">
        <f t="shared" si="15"/>
        <v>63.398492599999997</v>
      </c>
      <c r="O164" s="41">
        <f t="shared" si="16"/>
        <v>-0.66858082324888457</v>
      </c>
      <c r="P164" s="41">
        <f t="shared" si="16"/>
        <v>-44.667538579330689</v>
      </c>
      <c r="Q164" s="41">
        <f t="shared" si="16"/>
        <v>1.1200828071378468</v>
      </c>
      <c r="R164" s="41">
        <f t="shared" si="16"/>
        <v>5.2139122000085703</v>
      </c>
      <c r="S164" s="42">
        <f t="shared" si="17"/>
        <v>24.396368204566841</v>
      </c>
      <c r="T164" s="35"/>
      <c r="U164" s="43">
        <v>30403</v>
      </c>
      <c r="V164" s="44">
        <f t="shared" si="18"/>
        <v>741722.78252344567</v>
      </c>
      <c r="W164" s="140">
        <f t="shared" si="19"/>
        <v>5.6016964884639015E-4</v>
      </c>
      <c r="X164" s="35"/>
      <c r="Y164" s="49">
        <v>287803.20688752801</v>
      </c>
    </row>
    <row r="165" spans="1:25" x14ac:dyDescent="0.35">
      <c r="A165" s="35"/>
      <c r="B165" s="47" t="s">
        <v>156</v>
      </c>
      <c r="C165" s="46">
        <v>118</v>
      </c>
      <c r="D165" s="40">
        <v>0.19450341718772701</v>
      </c>
      <c r="E165" s="41">
        <v>4.62120110513305E-2</v>
      </c>
      <c r="F165" s="41">
        <v>0.25323124294883198</v>
      </c>
      <c r="G165" s="48">
        <v>0.31451350306900899</v>
      </c>
      <c r="H165" s="35"/>
      <c r="I165" s="40">
        <f t="shared" si="14"/>
        <v>3.4167817426557501E-2</v>
      </c>
      <c r="J165" s="41">
        <f t="shared" si="14"/>
        <v>1.3463746308000922E-2</v>
      </c>
      <c r="K165" s="41">
        <f t="shared" si="14"/>
        <v>7.2691958050691591E-2</v>
      </c>
      <c r="L165" s="48">
        <f t="shared" si="14"/>
        <v>3.3900953313630688E-2</v>
      </c>
      <c r="M165" s="35"/>
      <c r="N165" s="40">
        <f t="shared" si="15"/>
        <v>63.398492599999997</v>
      </c>
      <c r="O165" s="41">
        <f t="shared" si="16"/>
        <v>1.1466794697551037</v>
      </c>
      <c r="P165" s="41">
        <f t="shared" si="16"/>
        <v>55.298299105496319</v>
      </c>
      <c r="Q165" s="41">
        <f t="shared" si="16"/>
        <v>5.4159230576017432</v>
      </c>
      <c r="R165" s="41">
        <f t="shared" si="16"/>
        <v>5.9866452837894659</v>
      </c>
      <c r="S165" s="42">
        <f t="shared" si="17"/>
        <v>131.24603951664261</v>
      </c>
      <c r="T165" s="35"/>
      <c r="U165" s="43">
        <v>34385</v>
      </c>
      <c r="V165" s="44">
        <f t="shared" si="18"/>
        <v>4512895.0687797563</v>
      </c>
      <c r="W165" s="140">
        <f t="shared" si="19"/>
        <v>3.4082637145894227E-3</v>
      </c>
      <c r="X165" s="35"/>
      <c r="Y165" s="49">
        <v>1751093.1357979011</v>
      </c>
    </row>
    <row r="166" spans="1:25" x14ac:dyDescent="0.35">
      <c r="A166" s="35"/>
      <c r="B166" s="47" t="s">
        <v>157</v>
      </c>
      <c r="C166" s="46">
        <v>405</v>
      </c>
      <c r="D166" s="40">
        <v>0.16474013004122201</v>
      </c>
      <c r="E166" s="41">
        <v>4.2284645786409399E-2</v>
      </c>
      <c r="F166" s="41">
        <v>0.15892665321420901</v>
      </c>
      <c r="G166" s="48">
        <v>0.28217409274042099</v>
      </c>
      <c r="H166" s="35"/>
      <c r="I166" s="40">
        <f t="shared" si="14"/>
        <v>4.4045302800524988E-3</v>
      </c>
      <c r="J166" s="41">
        <f t="shared" si="14"/>
        <v>9.536381043079821E-3</v>
      </c>
      <c r="K166" s="41">
        <f t="shared" si="14"/>
        <v>-2.1612631683931377E-2</v>
      </c>
      <c r="L166" s="48">
        <f t="shared" si="14"/>
        <v>1.5615429850426854E-3</v>
      </c>
      <c r="M166" s="35"/>
      <c r="N166" s="40">
        <f t="shared" si="15"/>
        <v>63.398492599999997</v>
      </c>
      <c r="O166" s="41">
        <f t="shared" si="16"/>
        <v>0.14781700519522348</v>
      </c>
      <c r="P166" s="41">
        <f t="shared" si="16"/>
        <v>39.167824410865066</v>
      </c>
      <c r="Q166" s="41">
        <f t="shared" si="16"/>
        <v>-1.6102517171271093</v>
      </c>
      <c r="R166" s="41">
        <f t="shared" si="16"/>
        <v>0.27575637358497429</v>
      </c>
      <c r="S166" s="42">
        <f t="shared" si="17"/>
        <v>101.37963867251814</v>
      </c>
      <c r="T166" s="35"/>
      <c r="U166" s="43">
        <v>47062</v>
      </c>
      <c r="V166" s="44">
        <f t="shared" si="18"/>
        <v>4771128.5552060483</v>
      </c>
      <c r="W166" s="140">
        <f t="shared" si="19"/>
        <v>3.6032888167167429E-3</v>
      </c>
      <c r="X166" s="35"/>
      <c r="Y166" s="49">
        <v>1851292.8698095558</v>
      </c>
    </row>
    <row r="167" spans="1:25" x14ac:dyDescent="0.35">
      <c r="A167" s="35"/>
      <c r="B167" s="47" t="s">
        <v>158</v>
      </c>
      <c r="C167" s="46">
        <v>1507</v>
      </c>
      <c r="D167" s="40">
        <v>0.112429295526335</v>
      </c>
      <c r="E167" s="41">
        <v>1.8328068757804999E-2</v>
      </c>
      <c r="F167" s="41">
        <v>0.168602319877797</v>
      </c>
      <c r="G167" s="48">
        <v>0.27636526496155001</v>
      </c>
      <c r="H167" s="35"/>
      <c r="I167" s="40">
        <f t="shared" si="14"/>
        <v>-4.790630423483451E-2</v>
      </c>
      <c r="J167" s="41">
        <f t="shared" si="14"/>
        <v>-1.4420195985524579E-2</v>
      </c>
      <c r="K167" s="41">
        <f t="shared" si="14"/>
        <v>-1.1936965020343387E-2</v>
      </c>
      <c r="L167" s="48">
        <f t="shared" si="14"/>
        <v>-4.2472847938282987E-3</v>
      </c>
      <c r="M167" s="35"/>
      <c r="N167" s="40">
        <f t="shared" si="15"/>
        <v>63.398492599999997</v>
      </c>
      <c r="O167" s="41">
        <f t="shared" si="16"/>
        <v>-1.6077461095079779</v>
      </c>
      <c r="P167" s="41">
        <f t="shared" si="16"/>
        <v>-59.226629240150473</v>
      </c>
      <c r="Q167" s="41">
        <f t="shared" si="16"/>
        <v>-0.88936501127648659</v>
      </c>
      <c r="R167" s="41">
        <f t="shared" si="16"/>
        <v>-0.75003753566007747</v>
      </c>
      <c r="S167" s="42">
        <f t="shared" si="17"/>
        <v>0.92471470340498207</v>
      </c>
      <c r="T167" s="35"/>
      <c r="U167" s="43">
        <v>27226</v>
      </c>
      <c r="V167" s="44">
        <f t="shared" si="18"/>
        <v>272260</v>
      </c>
      <c r="W167" s="140">
        <f t="shared" si="19"/>
        <v>2.0561831480496193E-4</v>
      </c>
      <c r="X167" s="35"/>
      <c r="Y167" s="49">
        <v>105642.30053796618</v>
      </c>
    </row>
    <row r="168" spans="1:25" x14ac:dyDescent="0.35">
      <c r="A168" s="35"/>
      <c r="B168" s="47" t="s">
        <v>159</v>
      </c>
      <c r="C168" s="46">
        <v>321</v>
      </c>
      <c r="D168" s="40">
        <v>0.113890917944972</v>
      </c>
      <c r="E168" s="41">
        <v>2.0635500365230101E-2</v>
      </c>
      <c r="F168" s="41">
        <v>0.117858173577925</v>
      </c>
      <c r="G168" s="48">
        <v>0.23263622934984901</v>
      </c>
      <c r="H168" s="35"/>
      <c r="I168" s="40">
        <f t="shared" si="14"/>
        <v>-4.6444681816197514E-2</v>
      </c>
      <c r="J168" s="41">
        <f t="shared" si="14"/>
        <v>-1.2112764378099477E-2</v>
      </c>
      <c r="K168" s="41">
        <f t="shared" si="14"/>
        <v>-6.2681111320215394E-2</v>
      </c>
      <c r="L168" s="48">
        <f t="shared" si="14"/>
        <v>-4.7976320405529294E-2</v>
      </c>
      <c r="M168" s="35"/>
      <c r="N168" s="40">
        <f t="shared" si="15"/>
        <v>63.398492599999997</v>
      </c>
      <c r="O168" s="41">
        <f t="shared" si="16"/>
        <v>-1.5586937395815881</v>
      </c>
      <c r="P168" s="41">
        <f t="shared" si="16"/>
        <v>-49.749546095985458</v>
      </c>
      <c r="Q168" s="41">
        <f t="shared" si="16"/>
        <v>-4.6700637206460067</v>
      </c>
      <c r="R168" s="41">
        <f t="shared" si="16"/>
        <v>-8.4722458873701267</v>
      </c>
      <c r="S168" s="42">
        <f t="shared" si="17"/>
        <v>-1.0520568435831796</v>
      </c>
      <c r="T168" s="35"/>
      <c r="U168" s="43">
        <v>32856</v>
      </c>
      <c r="V168" s="44">
        <f t="shared" si="18"/>
        <v>328560</v>
      </c>
      <c r="W168" s="140">
        <f t="shared" si="19"/>
        <v>2.4813763869947216E-4</v>
      </c>
      <c r="X168" s="35"/>
      <c r="Y168" s="49">
        <v>127487.82143816267</v>
      </c>
    </row>
    <row r="169" spans="1:25" x14ac:dyDescent="0.35">
      <c r="A169" s="35"/>
      <c r="B169" s="47" t="s">
        <v>160</v>
      </c>
      <c r="C169" s="46">
        <v>406</v>
      </c>
      <c r="D169" s="40">
        <v>0.16252175594662499</v>
      </c>
      <c r="E169" s="41">
        <v>3.8019725391607001E-2</v>
      </c>
      <c r="F169" s="41">
        <v>0.16222534097448399</v>
      </c>
      <c r="G169" s="48">
        <v>0.23600342687783199</v>
      </c>
      <c r="H169" s="35"/>
      <c r="I169" s="40">
        <f t="shared" si="14"/>
        <v>2.186156185455479E-3</v>
      </c>
      <c r="J169" s="41">
        <f t="shared" si="14"/>
        <v>5.2714606482774234E-3</v>
      </c>
      <c r="K169" s="41">
        <f t="shared" si="14"/>
        <v>-1.8313943923656401E-2</v>
      </c>
      <c r="L169" s="48">
        <f t="shared" si="14"/>
        <v>-4.4609122877546314E-2</v>
      </c>
      <c r="M169" s="35"/>
      <c r="N169" s="40">
        <f t="shared" si="15"/>
        <v>63.398492599999997</v>
      </c>
      <c r="O169" s="41">
        <f t="shared" si="16"/>
        <v>7.3367882538246679E-2</v>
      </c>
      <c r="P169" s="41">
        <f t="shared" si="16"/>
        <v>21.650943280034248</v>
      </c>
      <c r="Q169" s="41">
        <f t="shared" si="16"/>
        <v>-1.364482589705291</v>
      </c>
      <c r="R169" s="41">
        <f t="shared" si="16"/>
        <v>-7.8776249333811492</v>
      </c>
      <c r="S169" s="42">
        <f t="shared" si="17"/>
        <v>75.880696239486042</v>
      </c>
      <c r="T169" s="35"/>
      <c r="U169" s="43">
        <v>25855</v>
      </c>
      <c r="V169" s="44">
        <f t="shared" si="18"/>
        <v>1961895.4012719116</v>
      </c>
      <c r="W169" s="140">
        <f t="shared" si="19"/>
        <v>1.4816779043309153E-3</v>
      </c>
      <c r="X169" s="35"/>
      <c r="Y169" s="49">
        <v>761254.47588783153</v>
      </c>
    </row>
    <row r="170" spans="1:25" x14ac:dyDescent="0.35">
      <c r="A170" s="35"/>
      <c r="B170" s="47" t="s">
        <v>161</v>
      </c>
      <c r="C170" s="46">
        <v>677</v>
      </c>
      <c r="D170" s="40">
        <v>0.205404461009842</v>
      </c>
      <c r="E170" s="41">
        <v>2.18973851260847E-2</v>
      </c>
      <c r="F170" s="41">
        <v>0.19497313583916501</v>
      </c>
      <c r="G170" s="48">
        <v>0.30299572173084699</v>
      </c>
      <c r="H170" s="35"/>
      <c r="I170" s="40">
        <f t="shared" si="14"/>
        <v>4.5068861248672487E-2</v>
      </c>
      <c r="J170" s="41">
        <f t="shared" si="14"/>
        <v>-1.0850879617244878E-2</v>
      </c>
      <c r="K170" s="41">
        <f t="shared" si="14"/>
        <v>1.4433850941024617E-2</v>
      </c>
      <c r="L170" s="48">
        <f t="shared" si="14"/>
        <v>2.2383171975468685E-2</v>
      </c>
      <c r="M170" s="35"/>
      <c r="N170" s="40">
        <f t="shared" si="15"/>
        <v>63.398492599999997</v>
      </c>
      <c r="O170" s="41">
        <f t="shared" si="16"/>
        <v>1.5125208986549235</v>
      </c>
      <c r="P170" s="41">
        <f t="shared" si="16"/>
        <v>-44.566732980965753</v>
      </c>
      <c r="Q170" s="41">
        <f t="shared" si="16"/>
        <v>1.0753957964231522</v>
      </c>
      <c r="R170" s="41">
        <f t="shared" si="16"/>
        <v>3.9526944774532402</v>
      </c>
      <c r="S170" s="42">
        <f t="shared" si="17"/>
        <v>25.372370791565562</v>
      </c>
      <c r="T170" s="35"/>
      <c r="U170" s="43">
        <v>17171</v>
      </c>
      <c r="V170" s="44">
        <f t="shared" si="18"/>
        <v>435668.97886197228</v>
      </c>
      <c r="W170" s="140">
        <f t="shared" si="19"/>
        <v>3.2902931479614092E-4</v>
      </c>
      <c r="X170" s="35"/>
      <c r="Y170" s="49">
        <v>169048.2377139694</v>
      </c>
    </row>
    <row r="171" spans="1:25" x14ac:dyDescent="0.35">
      <c r="A171" s="35"/>
      <c r="B171" s="47" t="s">
        <v>162</v>
      </c>
      <c r="C171" s="46">
        <v>353</v>
      </c>
      <c r="D171" s="40">
        <v>0.12805068487038801</v>
      </c>
      <c r="E171" s="41">
        <v>2.8911792263418602E-2</v>
      </c>
      <c r="F171" s="41">
        <v>0.15972870028177699</v>
      </c>
      <c r="G171" s="48">
        <v>0.23888193131591001</v>
      </c>
      <c r="H171" s="35"/>
      <c r="I171" s="40">
        <f t="shared" si="14"/>
        <v>-3.2284914890781502E-2</v>
      </c>
      <c r="J171" s="41">
        <f t="shared" si="14"/>
        <v>-3.836472479910976E-3</v>
      </c>
      <c r="K171" s="41">
        <f t="shared" si="14"/>
        <v>-2.0810584616363398E-2</v>
      </c>
      <c r="L171" s="48">
        <f t="shared" si="14"/>
        <v>-4.1730618439468292E-2</v>
      </c>
      <c r="M171" s="35"/>
      <c r="N171" s="40">
        <f t="shared" si="15"/>
        <v>63.398492599999997</v>
      </c>
      <c r="O171" s="41">
        <f t="shared" si="16"/>
        <v>-1.0834888464159032</v>
      </c>
      <c r="P171" s="41">
        <f t="shared" si="16"/>
        <v>-15.75715984621981</v>
      </c>
      <c r="Q171" s="41">
        <f t="shared" si="16"/>
        <v>-1.550495104112309</v>
      </c>
      <c r="R171" s="41">
        <f t="shared" si="16"/>
        <v>-7.3693033868110103</v>
      </c>
      <c r="S171" s="42">
        <f t="shared" si="17"/>
        <v>37.638045416440967</v>
      </c>
      <c r="T171" s="35"/>
      <c r="U171" s="43">
        <v>22413</v>
      </c>
      <c r="V171" s="44">
        <f t="shared" si="18"/>
        <v>843581.51191869134</v>
      </c>
      <c r="W171" s="140">
        <f t="shared" si="19"/>
        <v>6.3709619070499972E-4</v>
      </c>
      <c r="X171" s="35"/>
      <c r="Y171" s="49">
        <v>327326.42184083705</v>
      </c>
    </row>
    <row r="172" spans="1:25" x14ac:dyDescent="0.35">
      <c r="A172" s="35"/>
      <c r="B172" s="47" t="s">
        <v>163</v>
      </c>
      <c r="C172" s="46">
        <v>1884</v>
      </c>
      <c r="D172" s="40">
        <v>0.118776209320182</v>
      </c>
      <c r="E172" s="41">
        <v>2.0140570551060201E-2</v>
      </c>
      <c r="F172" s="41">
        <v>0.183400563864869</v>
      </c>
      <c r="G172" s="48">
        <v>0.244662012462256</v>
      </c>
      <c r="H172" s="35"/>
      <c r="I172" s="40">
        <f t="shared" si="14"/>
        <v>-4.1559390440987512E-2</v>
      </c>
      <c r="J172" s="41">
        <f t="shared" si="14"/>
        <v>-1.2607694192269377E-2</v>
      </c>
      <c r="K172" s="41">
        <f t="shared" si="14"/>
        <v>2.8612789667286087E-3</v>
      </c>
      <c r="L172" s="48">
        <f t="shared" si="14"/>
        <v>-3.5950537293122309E-2</v>
      </c>
      <c r="M172" s="35"/>
      <c r="N172" s="40">
        <f t="shared" si="15"/>
        <v>63.398492599999997</v>
      </c>
      <c r="O172" s="41">
        <f t="shared" si="16"/>
        <v>-1.3947422862654379</v>
      </c>
      <c r="P172" s="41">
        <f t="shared" si="16"/>
        <v>-51.782321838642673</v>
      </c>
      <c r="Q172" s="41">
        <f t="shared" si="16"/>
        <v>0.21317993276959102</v>
      </c>
      <c r="R172" s="41">
        <f t="shared" si="16"/>
        <v>-6.3485859097960056</v>
      </c>
      <c r="S172" s="42">
        <f t="shared" si="17"/>
        <v>4.0860224980654696</v>
      </c>
      <c r="T172" s="35"/>
      <c r="U172" s="43">
        <v>16931</v>
      </c>
      <c r="V172" s="44">
        <f t="shared" si="18"/>
        <v>169310</v>
      </c>
      <c r="W172" s="140">
        <f t="shared" si="19"/>
        <v>1.2786761507246053E-4</v>
      </c>
      <c r="X172" s="35"/>
      <c r="Y172" s="49">
        <v>65695.650863450588</v>
      </c>
    </row>
    <row r="173" spans="1:25" x14ac:dyDescent="0.35">
      <c r="A173" s="35"/>
      <c r="B173" s="47" t="s">
        <v>164</v>
      </c>
      <c r="C173" s="46">
        <v>166</v>
      </c>
      <c r="D173" s="40">
        <v>0.15417815609639099</v>
      </c>
      <c r="E173" s="41">
        <v>3.1021460256564E-2</v>
      </c>
      <c r="F173" s="41">
        <v>0.192548585206197</v>
      </c>
      <c r="G173" s="48">
        <v>0.28079331366223098</v>
      </c>
      <c r="H173" s="35"/>
      <c r="I173" s="40">
        <f t="shared" si="14"/>
        <v>-6.1574436647785225E-3</v>
      </c>
      <c r="J173" s="41">
        <f t="shared" si="14"/>
        <v>-1.7268044867655777E-3</v>
      </c>
      <c r="K173" s="41">
        <f t="shared" si="14"/>
        <v>1.2009300308056609E-2</v>
      </c>
      <c r="L173" s="48">
        <f t="shared" si="14"/>
        <v>1.8076390685267674E-4</v>
      </c>
      <c r="M173" s="35"/>
      <c r="N173" s="40">
        <f t="shared" si="15"/>
        <v>63.398492599999997</v>
      </c>
      <c r="O173" s="41">
        <f t="shared" si="16"/>
        <v>-0.20664516402757346</v>
      </c>
      <c r="P173" s="41">
        <f t="shared" si="16"/>
        <v>-7.0923314225796705</v>
      </c>
      <c r="Q173" s="41">
        <f t="shared" si="16"/>
        <v>0.89475436056779467</v>
      </c>
      <c r="R173" s="41">
        <f t="shared" si="16"/>
        <v>3.1921503222265536E-2</v>
      </c>
      <c r="S173" s="42">
        <f t="shared" si="17"/>
        <v>57.026191877182818</v>
      </c>
      <c r="T173" s="35"/>
      <c r="U173" s="43">
        <v>33364</v>
      </c>
      <c r="V173" s="44">
        <f t="shared" si="18"/>
        <v>1902621.8657903275</v>
      </c>
      <c r="W173" s="140">
        <f t="shared" si="19"/>
        <v>1.4369128838422082E-3</v>
      </c>
      <c r="X173" s="35"/>
      <c r="Y173" s="49">
        <v>738255.16401942167</v>
      </c>
    </row>
    <row r="174" spans="1:25" x14ac:dyDescent="0.35">
      <c r="A174" s="35"/>
      <c r="B174" s="47" t="s">
        <v>165</v>
      </c>
      <c r="C174" s="46">
        <v>678</v>
      </c>
      <c r="D174" s="40">
        <v>0.12736331119059799</v>
      </c>
      <c r="E174" s="41">
        <v>1.43076136944303E-2</v>
      </c>
      <c r="F174" s="41">
        <v>0.13920147475351299</v>
      </c>
      <c r="G174" s="48">
        <v>0.29414510339179101</v>
      </c>
      <c r="H174" s="35"/>
      <c r="I174" s="40">
        <f t="shared" si="14"/>
        <v>-3.2972288570571523E-2</v>
      </c>
      <c r="J174" s="41">
        <f t="shared" si="14"/>
        <v>-1.8440651048899276E-2</v>
      </c>
      <c r="K174" s="41">
        <f t="shared" si="14"/>
        <v>-4.1337810144627396E-2</v>
      </c>
      <c r="L174" s="48">
        <f t="shared" si="14"/>
        <v>1.3532553636412703E-2</v>
      </c>
      <c r="M174" s="35"/>
      <c r="N174" s="40">
        <f t="shared" si="15"/>
        <v>63.398492599999997</v>
      </c>
      <c r="O174" s="41">
        <f t="shared" si="16"/>
        <v>-1.1065572583318659</v>
      </c>
      <c r="P174" s="41">
        <f t="shared" si="16"/>
        <v>-75.739442356852138</v>
      </c>
      <c r="Q174" s="41">
        <f t="shared" si="16"/>
        <v>-3.0798785053626818</v>
      </c>
      <c r="R174" s="41">
        <f t="shared" si="16"/>
        <v>2.3897439595742647</v>
      </c>
      <c r="S174" s="42">
        <f t="shared" si="17"/>
        <v>-14.137641560972426</v>
      </c>
      <c r="T174" s="35"/>
      <c r="U174" s="43">
        <v>7828</v>
      </c>
      <c r="V174" s="44">
        <f t="shared" si="18"/>
        <v>78280</v>
      </c>
      <c r="W174" s="140">
        <f t="shared" si="19"/>
        <v>5.9119230452260411E-5</v>
      </c>
      <c r="X174" s="35"/>
      <c r="Y174" s="49">
        <v>30374.198509189715</v>
      </c>
    </row>
    <row r="175" spans="1:25" x14ac:dyDescent="0.35">
      <c r="A175" s="35"/>
      <c r="B175" s="47" t="s">
        <v>166</v>
      </c>
      <c r="C175" s="46">
        <v>537</v>
      </c>
      <c r="D175" s="40">
        <v>0.1511762997386</v>
      </c>
      <c r="E175" s="41">
        <v>2.5317068448058901E-2</v>
      </c>
      <c r="F175" s="41">
        <v>0.23861756921938601</v>
      </c>
      <c r="G175" s="48">
        <v>0.25388749039710501</v>
      </c>
      <c r="H175" s="35"/>
      <c r="I175" s="40">
        <f t="shared" si="14"/>
        <v>-9.1593000225695109E-3</v>
      </c>
      <c r="J175" s="41">
        <f t="shared" si="14"/>
        <v>-7.431196295270677E-3</v>
      </c>
      <c r="K175" s="41">
        <f t="shared" si="14"/>
        <v>5.8078284321245621E-2</v>
      </c>
      <c r="L175" s="48">
        <f t="shared" si="14"/>
        <v>-2.6725059358273295E-2</v>
      </c>
      <c r="M175" s="35"/>
      <c r="N175" s="40">
        <f t="shared" si="15"/>
        <v>63.398492599999997</v>
      </c>
      <c r="O175" s="41">
        <f t="shared" si="16"/>
        <v>-0.30738812380343777</v>
      </c>
      <c r="P175" s="41">
        <f t="shared" si="16"/>
        <v>-30.521409572559651</v>
      </c>
      <c r="Q175" s="41">
        <f t="shared" si="16"/>
        <v>4.3271295427485237</v>
      </c>
      <c r="R175" s="41">
        <f t="shared" si="16"/>
        <v>-4.7194380962104443</v>
      </c>
      <c r="S175" s="42">
        <f t="shared" si="17"/>
        <v>32.177386350174991</v>
      </c>
      <c r="T175" s="35"/>
      <c r="U175" s="43">
        <v>41316</v>
      </c>
      <c r="V175" s="44">
        <f t="shared" si="18"/>
        <v>1329440.89444383</v>
      </c>
      <c r="W175" s="140">
        <f t="shared" si="19"/>
        <v>1.0040306925304548E-3</v>
      </c>
      <c r="X175" s="35"/>
      <c r="Y175" s="49">
        <v>515849.5354378082</v>
      </c>
    </row>
    <row r="176" spans="1:25" x14ac:dyDescent="0.35">
      <c r="A176" s="35"/>
      <c r="B176" s="47" t="s">
        <v>167</v>
      </c>
      <c r="C176" s="46">
        <v>928</v>
      </c>
      <c r="D176" s="40">
        <v>0.26259437199725499</v>
      </c>
      <c r="E176" s="41">
        <v>7.4708304735758402E-2</v>
      </c>
      <c r="F176" s="41">
        <v>0.222323913230281</v>
      </c>
      <c r="G176" s="48">
        <v>0.35343432798783297</v>
      </c>
      <c r="H176" s="35"/>
      <c r="I176" s="40">
        <f t="shared" si="14"/>
        <v>0.10225877223608548</v>
      </c>
      <c r="J176" s="41">
        <f t="shared" si="14"/>
        <v>4.1960039992428824E-2</v>
      </c>
      <c r="K176" s="41">
        <f t="shared" si="14"/>
        <v>4.1784628332140611E-2</v>
      </c>
      <c r="L176" s="48">
        <f t="shared" si="14"/>
        <v>7.282177823245467E-2</v>
      </c>
      <c r="M176" s="35"/>
      <c r="N176" s="40">
        <f t="shared" si="15"/>
        <v>63.398492599999997</v>
      </c>
      <c r="O176" s="41">
        <f t="shared" si="16"/>
        <v>3.431826893172921</v>
      </c>
      <c r="P176" s="41">
        <f t="shared" si="16"/>
        <v>172.33827709610446</v>
      </c>
      <c r="Q176" s="41">
        <f t="shared" si="16"/>
        <v>3.1131687480415362</v>
      </c>
      <c r="R176" s="41">
        <f t="shared" si="16"/>
        <v>12.859760938852411</v>
      </c>
      <c r="S176" s="42">
        <f t="shared" si="17"/>
        <v>255.14152627617136</v>
      </c>
      <c r="T176" s="35"/>
      <c r="U176" s="43">
        <v>29140</v>
      </c>
      <c r="V176" s="44">
        <f t="shared" si="18"/>
        <v>7434824.0756876338</v>
      </c>
      <c r="W176" s="140">
        <f t="shared" si="19"/>
        <v>5.6149856655926325E-3</v>
      </c>
      <c r="X176" s="35"/>
      <c r="Y176" s="49">
        <v>2884859.7643822068</v>
      </c>
    </row>
    <row r="177" spans="1:25" x14ac:dyDescent="0.35">
      <c r="A177" s="35"/>
      <c r="B177" s="47" t="s">
        <v>168</v>
      </c>
      <c r="C177" s="46">
        <v>1598</v>
      </c>
      <c r="D177" s="40">
        <v>0.11275055679287301</v>
      </c>
      <c r="E177" s="41">
        <v>1.5590200445434301E-2</v>
      </c>
      <c r="F177" s="41">
        <v>0.153066290732077</v>
      </c>
      <c r="G177" s="48">
        <v>0.28745537201535798</v>
      </c>
      <c r="H177" s="35"/>
      <c r="I177" s="40">
        <f t="shared" si="14"/>
        <v>-4.7585042968296506E-2</v>
      </c>
      <c r="J177" s="41">
        <f t="shared" si="14"/>
        <v>-1.7158064297895279E-2</v>
      </c>
      <c r="K177" s="41">
        <f t="shared" si="14"/>
        <v>-2.7472994166063386E-2</v>
      </c>
      <c r="L177" s="48">
        <f t="shared" si="14"/>
        <v>6.8428222599796751E-3</v>
      </c>
      <c r="M177" s="35"/>
      <c r="N177" s="40">
        <f t="shared" si="15"/>
        <v>63.398492599999997</v>
      </c>
      <c r="O177" s="41">
        <f t="shared" si="16"/>
        <v>-1.5969645107254837</v>
      </c>
      <c r="P177" s="41">
        <f t="shared" si="16"/>
        <v>-70.471602027476777</v>
      </c>
      <c r="Q177" s="41">
        <f t="shared" si="16"/>
        <v>-2.0468787271018525</v>
      </c>
      <c r="R177" s="41">
        <f t="shared" si="16"/>
        <v>1.2083893108116732</v>
      </c>
      <c r="S177" s="42">
        <f t="shared" si="17"/>
        <v>-9.5085633544924431</v>
      </c>
      <c r="T177" s="35"/>
      <c r="U177" s="43">
        <v>14368</v>
      </c>
      <c r="V177" s="44">
        <f t="shared" si="18"/>
        <v>143680</v>
      </c>
      <c r="W177" s="140">
        <f t="shared" si="19"/>
        <v>1.0851112712545703E-4</v>
      </c>
      <c r="X177" s="35"/>
      <c r="Y177" s="49">
        <v>55750.700585084043</v>
      </c>
    </row>
    <row r="178" spans="1:25" x14ac:dyDescent="0.35">
      <c r="A178" s="35"/>
      <c r="B178" s="47" t="s">
        <v>806</v>
      </c>
      <c r="C178" s="46">
        <v>79</v>
      </c>
      <c r="D178" s="40">
        <v>0.19608562691131501</v>
      </c>
      <c r="E178" s="41">
        <v>4.6605504587156003E-2</v>
      </c>
      <c r="F178" s="41">
        <v>0.197535022719353</v>
      </c>
      <c r="G178" s="48">
        <v>0.36130760081938601</v>
      </c>
      <c r="H178" s="35"/>
      <c r="I178" s="40">
        <f t="shared" si="14"/>
        <v>3.5750027150145497E-2</v>
      </c>
      <c r="J178" s="41">
        <f t="shared" si="14"/>
        <v>1.3857239843826426E-2</v>
      </c>
      <c r="K178" s="41">
        <f t="shared" si="14"/>
        <v>1.6995737821212609E-2</v>
      </c>
      <c r="L178" s="48">
        <f t="shared" si="14"/>
        <v>8.0695051064007706E-2</v>
      </c>
      <c r="M178" s="35"/>
      <c r="N178" s="40">
        <f t="shared" si="15"/>
        <v>63.398492599999997</v>
      </c>
      <c r="O178" s="41">
        <f t="shared" si="16"/>
        <v>1.199778776164856</v>
      </c>
      <c r="P178" s="41">
        <f t="shared" si="16"/>
        <v>56.914455763708695</v>
      </c>
      <c r="Q178" s="41">
        <f t="shared" si="16"/>
        <v>1.2662694858579839</v>
      </c>
      <c r="R178" s="41">
        <f t="shared" si="16"/>
        <v>14.250119824307504</v>
      </c>
      <c r="S178" s="42">
        <f t="shared" si="17"/>
        <v>137.02911645003906</v>
      </c>
      <c r="T178" s="35"/>
      <c r="U178" s="43">
        <v>8175</v>
      </c>
      <c r="V178" s="44">
        <f t="shared" si="18"/>
        <v>1120213.0269790692</v>
      </c>
      <c r="W178" s="140">
        <f t="shared" si="19"/>
        <v>8.4601599511496947E-4</v>
      </c>
      <c r="X178" s="35"/>
      <c r="Y178" s="49">
        <v>434664.95725654764</v>
      </c>
    </row>
    <row r="179" spans="1:25" x14ac:dyDescent="0.35">
      <c r="A179" s="35"/>
      <c r="B179" s="47" t="s">
        <v>815</v>
      </c>
      <c r="C179" s="46">
        <v>588</v>
      </c>
      <c r="D179" s="40">
        <v>0.139745651220582</v>
      </c>
      <c r="E179" s="41">
        <v>1.5056278321882799E-2</v>
      </c>
      <c r="F179" s="41">
        <v>0.19202167270701201</v>
      </c>
      <c r="G179" s="48">
        <v>0.29190770186977</v>
      </c>
      <c r="H179" s="35"/>
      <c r="I179" s="40">
        <f t="shared" si="14"/>
        <v>-2.0589948540587516E-2</v>
      </c>
      <c r="J179" s="41">
        <f t="shared" si="14"/>
        <v>-1.769198642144678E-2</v>
      </c>
      <c r="K179" s="41">
        <f t="shared" si="14"/>
        <v>1.1482387808871619E-2</v>
      </c>
      <c r="L179" s="48">
        <f t="shared" si="14"/>
        <v>1.1295152114391693E-2</v>
      </c>
      <c r="M179" s="35"/>
      <c r="N179" s="40">
        <f t="shared" si="15"/>
        <v>63.398492599999997</v>
      </c>
      <c r="O179" s="41">
        <f t="shared" si="16"/>
        <v>-0.69100320281079597</v>
      </c>
      <c r="P179" s="41">
        <f t="shared" si="16"/>
        <v>-72.664526984005946</v>
      </c>
      <c r="Q179" s="41">
        <f t="shared" si="16"/>
        <v>0.85549668158651715</v>
      </c>
      <c r="R179" s="41">
        <f t="shared" si="16"/>
        <v>1.9946362130211654</v>
      </c>
      <c r="S179" s="42">
        <f t="shared" si="17"/>
        <v>-7.1069046922090635</v>
      </c>
      <c r="T179" s="35"/>
      <c r="U179" s="43">
        <v>6841</v>
      </c>
      <c r="V179" s="44">
        <f t="shared" si="18"/>
        <v>68410</v>
      </c>
      <c r="W179" s="140">
        <f t="shared" si="19"/>
        <v>5.1665132284608263E-5</v>
      </c>
      <c r="X179" s="35"/>
      <c r="Y179" s="49">
        <v>26544.442003240529</v>
      </c>
    </row>
    <row r="180" spans="1:25" x14ac:dyDescent="0.35">
      <c r="A180" s="35"/>
      <c r="B180" s="47" t="s">
        <v>169</v>
      </c>
      <c r="C180" s="46">
        <v>542</v>
      </c>
      <c r="D180" s="40">
        <v>0.17087649866139001</v>
      </c>
      <c r="E180" s="41">
        <v>3.5094866720987099E-2</v>
      </c>
      <c r="F180" s="41">
        <v>0.164698392273078</v>
      </c>
      <c r="G180" s="48">
        <v>0.261952452886419</v>
      </c>
      <c r="H180" s="35"/>
      <c r="I180" s="40">
        <f t="shared" si="14"/>
        <v>1.0540898900220502E-2</v>
      </c>
      <c r="J180" s="41">
        <f t="shared" si="14"/>
        <v>2.3466019776575212E-3</v>
      </c>
      <c r="K180" s="41">
        <f t="shared" si="14"/>
        <v>-1.5840892625062386E-2</v>
      </c>
      <c r="L180" s="48">
        <f t="shared" si="14"/>
        <v>-1.8660096868959308E-2</v>
      </c>
      <c r="M180" s="35"/>
      <c r="N180" s="40">
        <f t="shared" si="15"/>
        <v>63.398492599999997</v>
      </c>
      <c r="O180" s="41">
        <f t="shared" si="16"/>
        <v>0.35375488608915812</v>
      </c>
      <c r="P180" s="41">
        <f t="shared" si="16"/>
        <v>9.6379636895670107</v>
      </c>
      <c r="Q180" s="41">
        <f t="shared" si="16"/>
        <v>-1.1802276059373882</v>
      </c>
      <c r="R180" s="41">
        <f t="shared" si="16"/>
        <v>-3.295228304706511</v>
      </c>
      <c r="S180" s="42">
        <f t="shared" si="17"/>
        <v>68.914755265012261</v>
      </c>
      <c r="T180" s="35"/>
      <c r="U180" s="43">
        <v>17182</v>
      </c>
      <c r="V180" s="44">
        <f t="shared" si="18"/>
        <v>1184093.3249634407</v>
      </c>
      <c r="W180" s="140">
        <f t="shared" si="19"/>
        <v>8.9426017061186667E-4</v>
      </c>
      <c r="X180" s="35"/>
      <c r="Y180" s="49">
        <v>459451.78469399631</v>
      </c>
    </row>
    <row r="181" spans="1:25" x14ac:dyDescent="0.35">
      <c r="A181" s="35"/>
      <c r="B181" s="47" t="s">
        <v>170</v>
      </c>
      <c r="C181" s="46">
        <v>1931</v>
      </c>
      <c r="D181" s="40">
        <v>0.142576828740441</v>
      </c>
      <c r="E181" s="41">
        <v>2.35175299379599E-2</v>
      </c>
      <c r="F181" s="41">
        <v>0.19238378835367501</v>
      </c>
      <c r="G181" s="48">
        <v>0.26389777186573798</v>
      </c>
      <c r="H181" s="35"/>
      <c r="I181" s="40">
        <f t="shared" si="14"/>
        <v>-1.7758771020728509E-2</v>
      </c>
      <c r="J181" s="41">
        <f t="shared" si="14"/>
        <v>-9.2307348053696781E-3</v>
      </c>
      <c r="K181" s="41">
        <f t="shared" si="14"/>
        <v>1.1844503455534616E-2</v>
      </c>
      <c r="L181" s="48">
        <f t="shared" si="14"/>
        <v>-1.671477788964032E-2</v>
      </c>
      <c r="M181" s="35"/>
      <c r="N181" s="40">
        <f t="shared" si="15"/>
        <v>63.398492599999997</v>
      </c>
      <c r="O181" s="41">
        <f t="shared" si="16"/>
        <v>-0.59598826238527336</v>
      </c>
      <c r="P181" s="41">
        <f t="shared" si="16"/>
        <v>-37.912474177229036</v>
      </c>
      <c r="Q181" s="41">
        <f t="shared" si="16"/>
        <v>0.88247615129502133</v>
      </c>
      <c r="R181" s="41">
        <f t="shared" si="16"/>
        <v>-2.9517000686340569</v>
      </c>
      <c r="S181" s="42">
        <f t="shared" si="17"/>
        <v>22.820806243046647</v>
      </c>
      <c r="T181" s="35"/>
      <c r="U181" s="43">
        <v>34655</v>
      </c>
      <c r="V181" s="44">
        <f t="shared" si="18"/>
        <v>790855.04035278154</v>
      </c>
      <c r="W181" s="140">
        <f t="shared" si="19"/>
        <v>5.9727569474894997E-4</v>
      </c>
      <c r="X181" s="35"/>
      <c r="Y181" s="49">
        <v>306867.50111993653</v>
      </c>
    </row>
    <row r="182" spans="1:25" x14ac:dyDescent="0.35">
      <c r="A182" s="35"/>
      <c r="B182" s="47" t="s">
        <v>171</v>
      </c>
      <c r="C182" s="46">
        <v>1659</v>
      </c>
      <c r="D182" s="40">
        <v>0.13394668212112401</v>
      </c>
      <c r="E182" s="41">
        <v>1.9704433497536901E-2</v>
      </c>
      <c r="F182" s="41">
        <v>0.24098634705028499</v>
      </c>
      <c r="G182" s="48">
        <v>0.258176396522176</v>
      </c>
      <c r="H182" s="35"/>
      <c r="I182" s="40">
        <f t="shared" si="14"/>
        <v>-2.6388917640045501E-2</v>
      </c>
      <c r="J182" s="41">
        <f t="shared" si="14"/>
        <v>-1.3043831245792677E-2</v>
      </c>
      <c r="K182" s="41">
        <f t="shared" si="14"/>
        <v>6.0447062152144598E-2</v>
      </c>
      <c r="L182" s="48">
        <f t="shared" si="14"/>
        <v>-2.2436153233202305E-2</v>
      </c>
      <c r="M182" s="35"/>
      <c r="N182" s="40">
        <f t="shared" si="15"/>
        <v>63.398492599999997</v>
      </c>
      <c r="O182" s="41">
        <f t="shared" si="16"/>
        <v>-0.88561788156180787</v>
      </c>
      <c r="P182" s="41">
        <f t="shared" si="16"/>
        <v>-53.573623953596311</v>
      </c>
      <c r="Q182" s="41">
        <f t="shared" si="16"/>
        <v>4.5036156192929919</v>
      </c>
      <c r="R182" s="41">
        <f t="shared" si="16"/>
        <v>-3.9620505564344377</v>
      </c>
      <c r="S182" s="42">
        <f t="shared" si="17"/>
        <v>9.4808158277004342</v>
      </c>
      <c r="T182" s="35"/>
      <c r="U182" s="43">
        <v>13804</v>
      </c>
      <c r="V182" s="44">
        <f t="shared" si="18"/>
        <v>138040</v>
      </c>
      <c r="W182" s="140">
        <f t="shared" si="19"/>
        <v>1.0425164245822723E-4</v>
      </c>
      <c r="X182" s="35"/>
      <c r="Y182" s="49">
        <v>53562.268295970214</v>
      </c>
    </row>
    <row r="183" spans="1:25" x14ac:dyDescent="0.35">
      <c r="A183" s="35"/>
      <c r="B183" s="47" t="s">
        <v>172</v>
      </c>
      <c r="C183" s="46">
        <v>1685</v>
      </c>
      <c r="D183" s="40">
        <v>0.13129755295085299</v>
      </c>
      <c r="E183" s="41">
        <v>1.8918363150318699E-2</v>
      </c>
      <c r="F183" s="41">
        <v>0.18646738519770301</v>
      </c>
      <c r="G183" s="48">
        <v>0.27484357557780997</v>
      </c>
      <c r="H183" s="35"/>
      <c r="I183" s="40">
        <f t="shared" si="14"/>
        <v>-2.903804681031652E-2</v>
      </c>
      <c r="J183" s="41">
        <f t="shared" si="14"/>
        <v>-1.3829901593010879E-2</v>
      </c>
      <c r="K183" s="41">
        <f t="shared" si="14"/>
        <v>5.9281002995626164E-3</v>
      </c>
      <c r="L183" s="48">
        <f t="shared" si="14"/>
        <v>-5.7689741775683312E-3</v>
      </c>
      <c r="M183" s="35"/>
      <c r="N183" s="40">
        <f t="shared" si="15"/>
        <v>63.398492599999997</v>
      </c>
      <c r="O183" s="41">
        <f t="shared" si="16"/>
        <v>-0.97452323932452067</v>
      </c>
      <c r="P183" s="41">
        <f t="shared" si="16"/>
        <v>-56.802172099412317</v>
      </c>
      <c r="Q183" s="41">
        <f t="shared" si="16"/>
        <v>0.44167382419094869</v>
      </c>
      <c r="R183" s="41">
        <f t="shared" si="16"/>
        <v>-1.0187560725189493</v>
      </c>
      <c r="S183" s="42">
        <f t="shared" si="17"/>
        <v>5.0447150129351606</v>
      </c>
      <c r="T183" s="35"/>
      <c r="U183" s="43">
        <v>9726</v>
      </c>
      <c r="V183" s="44">
        <f t="shared" si="18"/>
        <v>97260</v>
      </c>
      <c r="W183" s="140">
        <f t="shared" si="19"/>
        <v>7.3453453676377718E-5</v>
      </c>
      <c r="X183" s="35"/>
      <c r="Y183" s="49">
        <v>37738.816389930915</v>
      </c>
    </row>
    <row r="184" spans="1:25" x14ac:dyDescent="0.35">
      <c r="A184" s="35"/>
      <c r="B184" s="47" t="s">
        <v>173</v>
      </c>
      <c r="C184" s="46">
        <v>882</v>
      </c>
      <c r="D184" s="40">
        <v>0.21159723675947201</v>
      </c>
      <c r="E184" s="41">
        <v>5.3966924848231103E-2</v>
      </c>
      <c r="F184" s="41">
        <v>0.22031093242595201</v>
      </c>
      <c r="G184" s="48">
        <v>0.34554954984677699</v>
      </c>
      <c r="H184" s="35"/>
      <c r="I184" s="40">
        <f t="shared" si="14"/>
        <v>5.1261636998302496E-2</v>
      </c>
      <c r="J184" s="41">
        <f t="shared" si="14"/>
        <v>2.1218660104901525E-2</v>
      </c>
      <c r="K184" s="41">
        <f t="shared" si="14"/>
        <v>3.9771647527811621E-2</v>
      </c>
      <c r="L184" s="48">
        <f t="shared" si="14"/>
        <v>6.4937000091398689E-2</v>
      </c>
      <c r="M184" s="35"/>
      <c r="N184" s="40">
        <f t="shared" si="15"/>
        <v>63.398492599999997</v>
      </c>
      <c r="O184" s="41">
        <f t="shared" si="16"/>
        <v>1.7203518152231714</v>
      </c>
      <c r="P184" s="41">
        <f t="shared" si="16"/>
        <v>87.149281207224746</v>
      </c>
      <c r="Q184" s="41">
        <f t="shared" si="16"/>
        <v>2.9631913716573082</v>
      </c>
      <c r="R184" s="41">
        <f t="shared" si="16"/>
        <v>11.4673703050203</v>
      </c>
      <c r="S184" s="42">
        <f t="shared" si="17"/>
        <v>166.69868729912551</v>
      </c>
      <c r="T184" s="35"/>
      <c r="U184" s="43">
        <v>23885</v>
      </c>
      <c r="V184" s="44">
        <f t="shared" si="18"/>
        <v>3981598.1461396129</v>
      </c>
      <c r="W184" s="140">
        <f t="shared" si="19"/>
        <v>3.0070135203106876E-3</v>
      </c>
      <c r="X184" s="35"/>
      <c r="Y184" s="49">
        <v>1544939.352001359</v>
      </c>
    </row>
    <row r="185" spans="1:25" x14ac:dyDescent="0.35">
      <c r="A185" s="35"/>
      <c r="B185" s="47" t="s">
        <v>174</v>
      </c>
      <c r="C185" s="46">
        <v>415</v>
      </c>
      <c r="D185" s="40">
        <v>0.12588003379329801</v>
      </c>
      <c r="E185" s="41">
        <v>1.7459870459025601E-2</v>
      </c>
      <c r="F185" s="41">
        <v>0.125471904203109</v>
      </c>
      <c r="G185" s="48">
        <v>0.23751597500988</v>
      </c>
      <c r="H185" s="35"/>
      <c r="I185" s="40">
        <f t="shared" si="14"/>
        <v>-3.4455565967871499E-2</v>
      </c>
      <c r="J185" s="41">
        <f t="shared" si="14"/>
        <v>-1.5288394284303976E-2</v>
      </c>
      <c r="K185" s="41">
        <f t="shared" si="14"/>
        <v>-5.5067380695031393E-2</v>
      </c>
      <c r="L185" s="48">
        <f t="shared" si="14"/>
        <v>-4.3096574745498301E-2</v>
      </c>
      <c r="M185" s="35"/>
      <c r="N185" s="40">
        <f t="shared" si="15"/>
        <v>63.398492599999997</v>
      </c>
      <c r="O185" s="41">
        <f t="shared" si="16"/>
        <v>-1.1563363741062804</v>
      </c>
      <c r="P185" s="41">
        <f t="shared" si="16"/>
        <v>-62.792493310261179</v>
      </c>
      <c r="Q185" s="41">
        <f t="shared" si="16"/>
        <v>-4.1028018067689977</v>
      </c>
      <c r="R185" s="41">
        <f t="shared" si="16"/>
        <v>-7.6105206706349753</v>
      </c>
      <c r="S185" s="42">
        <f t="shared" si="17"/>
        <v>-12.263659561771437</v>
      </c>
      <c r="T185" s="35"/>
      <c r="U185" s="43">
        <v>7102</v>
      </c>
      <c r="V185" s="44">
        <f t="shared" si="18"/>
        <v>71020</v>
      </c>
      <c r="W185" s="140">
        <f t="shared" si="19"/>
        <v>5.3636276784868862E-5</v>
      </c>
      <c r="X185" s="35"/>
      <c r="Y185" s="49">
        <v>27557.173966819799</v>
      </c>
    </row>
    <row r="186" spans="1:25" x14ac:dyDescent="0.35">
      <c r="A186" s="35"/>
      <c r="B186" s="47" t="s">
        <v>175</v>
      </c>
      <c r="C186" s="46">
        <v>416</v>
      </c>
      <c r="D186" s="40">
        <v>0.132286867997498</v>
      </c>
      <c r="E186" s="41">
        <v>2.0872433600637001E-2</v>
      </c>
      <c r="F186" s="41">
        <v>0.183496751601602</v>
      </c>
      <c r="G186" s="48">
        <v>0.29908939120995998</v>
      </c>
      <c r="H186" s="35"/>
      <c r="I186" s="40">
        <f t="shared" si="14"/>
        <v>-2.8048731763671508E-2</v>
      </c>
      <c r="J186" s="41">
        <f t="shared" si="14"/>
        <v>-1.1875831142692576E-2</v>
      </c>
      <c r="K186" s="41">
        <f t="shared" si="14"/>
        <v>2.9574667034616142E-3</v>
      </c>
      <c r="L186" s="48">
        <f t="shared" si="14"/>
        <v>1.8476841454581672E-2</v>
      </c>
      <c r="M186" s="35"/>
      <c r="N186" s="40">
        <f t="shared" si="15"/>
        <v>63.398492599999997</v>
      </c>
      <c r="O186" s="41">
        <f t="shared" si="16"/>
        <v>-0.94132160870980386</v>
      </c>
      <c r="P186" s="41">
        <f t="shared" si="16"/>
        <v>-48.776413906783574</v>
      </c>
      <c r="Q186" s="41">
        <f t="shared" si="16"/>
        <v>0.220346411637412</v>
      </c>
      <c r="R186" s="41">
        <f t="shared" si="16"/>
        <v>3.2628668205894358</v>
      </c>
      <c r="S186" s="42">
        <f t="shared" si="17"/>
        <v>17.163970316733465</v>
      </c>
      <c r="T186" s="35"/>
      <c r="U186" s="43">
        <v>17583</v>
      </c>
      <c r="V186" s="44">
        <f t="shared" si="18"/>
        <v>301794.09007912449</v>
      </c>
      <c r="W186" s="140">
        <f t="shared" si="19"/>
        <v>2.2792328002705671E-4</v>
      </c>
      <c r="X186" s="35"/>
      <c r="Y186" s="49">
        <v>117102.11549519176</v>
      </c>
    </row>
    <row r="187" spans="1:25" x14ac:dyDescent="0.35">
      <c r="A187" s="35"/>
      <c r="B187" s="47" t="s">
        <v>176</v>
      </c>
      <c r="C187" s="46">
        <v>1621</v>
      </c>
      <c r="D187" s="40">
        <v>0.115681972522593</v>
      </c>
      <c r="E187" s="41">
        <v>2.0137909418586401E-2</v>
      </c>
      <c r="F187" s="41">
        <v>0.13700139142378501</v>
      </c>
      <c r="G187" s="48">
        <v>0.25680123349162898</v>
      </c>
      <c r="H187" s="35"/>
      <c r="I187" s="40">
        <f t="shared" si="14"/>
        <v>-4.4653627238576507E-2</v>
      </c>
      <c r="J187" s="41">
        <f t="shared" si="14"/>
        <v>-1.2610355324743177E-2</v>
      </c>
      <c r="K187" s="41">
        <f t="shared" si="14"/>
        <v>-4.3537893474355382E-2</v>
      </c>
      <c r="L187" s="48">
        <f t="shared" si="14"/>
        <v>-2.3811316263749327E-2</v>
      </c>
      <c r="M187" s="35"/>
      <c r="N187" s="40">
        <f t="shared" si="15"/>
        <v>63.398492599999997</v>
      </c>
      <c r="O187" s="41">
        <f t="shared" si="16"/>
        <v>-1.49858555392462</v>
      </c>
      <c r="P187" s="41">
        <f t="shared" si="16"/>
        <v>-51.793251641992285</v>
      </c>
      <c r="Q187" s="41">
        <f t="shared" si="16"/>
        <v>-3.2437959778540648</v>
      </c>
      <c r="R187" s="41">
        <f t="shared" si="16"/>
        <v>-4.2048936763639242</v>
      </c>
      <c r="S187" s="42">
        <f t="shared" si="17"/>
        <v>2.6579657498651033</v>
      </c>
      <c r="T187" s="35"/>
      <c r="U187" s="43">
        <v>38286</v>
      </c>
      <c r="V187" s="44">
        <f t="shared" si="18"/>
        <v>382860</v>
      </c>
      <c r="W187" s="140">
        <f t="shared" si="19"/>
        <v>2.8914650703822716E-4</v>
      </c>
      <c r="X187" s="35"/>
      <c r="Y187" s="49">
        <v>148557.30251952447</v>
      </c>
    </row>
    <row r="188" spans="1:25" x14ac:dyDescent="0.35">
      <c r="A188" s="35"/>
      <c r="B188" s="47" t="s">
        <v>177</v>
      </c>
      <c r="C188" s="46">
        <v>417</v>
      </c>
      <c r="D188" s="40">
        <v>0.20149001015915999</v>
      </c>
      <c r="E188" s="41">
        <v>2.06569590247206E-2</v>
      </c>
      <c r="F188" s="41">
        <v>0.103784157715975</v>
      </c>
      <c r="G188" s="48">
        <v>0.23386147304504701</v>
      </c>
      <c r="H188" s="35"/>
      <c r="I188" s="40">
        <f t="shared" si="14"/>
        <v>4.1154410397990476E-2</v>
      </c>
      <c r="J188" s="41">
        <f t="shared" si="14"/>
        <v>-1.2091305718608978E-2</v>
      </c>
      <c r="K188" s="41">
        <f t="shared" si="14"/>
        <v>-7.6755127182165386E-2</v>
      </c>
      <c r="L188" s="48">
        <f t="shared" si="14"/>
        <v>-4.6751076710331296E-2</v>
      </c>
      <c r="M188" s="35"/>
      <c r="N188" s="40">
        <f t="shared" si="15"/>
        <v>63.398492599999997</v>
      </c>
      <c r="O188" s="41">
        <f t="shared" si="16"/>
        <v>1.3811510669268481</v>
      </c>
      <c r="P188" s="41">
        <f t="shared" si="16"/>
        <v>-49.661411089296912</v>
      </c>
      <c r="Q188" s="41">
        <f t="shared" si="16"/>
        <v>-5.7186499613224946</v>
      </c>
      <c r="R188" s="41">
        <f t="shared" si="16"/>
        <v>-8.2558773586892347</v>
      </c>
      <c r="S188" s="42">
        <f t="shared" si="17"/>
        <v>1.143705257618203</v>
      </c>
      <c r="T188" s="35"/>
      <c r="U188" s="43">
        <v>5906</v>
      </c>
      <c r="V188" s="44">
        <f t="shared" si="18"/>
        <v>59060</v>
      </c>
      <c r="W188" s="140">
        <f t="shared" si="19"/>
        <v>4.4603752561452479E-5</v>
      </c>
      <c r="X188" s="35"/>
      <c r="Y188" s="49">
        <v>22916.455850188358</v>
      </c>
    </row>
    <row r="189" spans="1:25" x14ac:dyDescent="0.35">
      <c r="A189" s="35"/>
      <c r="B189" s="47" t="s">
        <v>799</v>
      </c>
      <c r="C189" s="46">
        <v>22</v>
      </c>
      <c r="D189" s="40">
        <v>0.17620062284871299</v>
      </c>
      <c r="E189" s="41">
        <v>4.1140796590722797E-2</v>
      </c>
      <c r="F189" s="41">
        <v>0.19040031252197301</v>
      </c>
      <c r="G189" s="48">
        <v>0.33873521694992598</v>
      </c>
      <c r="H189" s="35"/>
      <c r="I189" s="40">
        <f t="shared" si="14"/>
        <v>1.5865023087543478E-2</v>
      </c>
      <c r="J189" s="41">
        <f t="shared" si="14"/>
        <v>8.3925318473932198E-3</v>
      </c>
      <c r="K189" s="41">
        <f t="shared" si="14"/>
        <v>9.8610276238326189E-3</v>
      </c>
      <c r="L189" s="48">
        <f t="shared" si="14"/>
        <v>5.8122667194547672E-2</v>
      </c>
      <c r="M189" s="35"/>
      <c r="N189" s="40">
        <f t="shared" si="15"/>
        <v>63.398492599999997</v>
      </c>
      <c r="O189" s="41">
        <f t="shared" si="16"/>
        <v>0.53243366512303836</v>
      </c>
      <c r="P189" s="41">
        <f t="shared" si="16"/>
        <v>34.469806971464074</v>
      </c>
      <c r="Q189" s="41">
        <f t="shared" si="16"/>
        <v>0.73469704643696421</v>
      </c>
      <c r="R189" s="41">
        <f t="shared" si="16"/>
        <v>10.26401199465969</v>
      </c>
      <c r="S189" s="42">
        <f t="shared" si="17"/>
        <v>109.39944227768376</v>
      </c>
      <c r="T189" s="35"/>
      <c r="U189" s="43">
        <v>12202</v>
      </c>
      <c r="V189" s="44">
        <f t="shared" si="18"/>
        <v>1334891.9946722973</v>
      </c>
      <c r="W189" s="140">
        <f t="shared" si="19"/>
        <v>1.0081475148429884E-3</v>
      </c>
      <c r="X189" s="35"/>
      <c r="Y189" s="49">
        <v>517964.67085468303</v>
      </c>
    </row>
    <row r="190" spans="1:25" x14ac:dyDescent="0.35">
      <c r="A190" s="35"/>
      <c r="B190" s="47" t="s">
        <v>816</v>
      </c>
      <c r="C190" s="46">
        <v>545</v>
      </c>
      <c r="D190" s="40">
        <v>0.17202025546066099</v>
      </c>
      <c r="E190" s="41">
        <v>3.4691255385080499E-2</v>
      </c>
      <c r="F190" s="41">
        <v>0.24574853018721801</v>
      </c>
      <c r="G190" s="48">
        <v>0.2492056287627</v>
      </c>
      <c r="H190" s="35"/>
      <c r="I190" s="40">
        <f t="shared" si="14"/>
        <v>1.1684655699491481E-2</v>
      </c>
      <c r="J190" s="41">
        <f t="shared" si="14"/>
        <v>1.9429906417509218E-3</v>
      </c>
      <c r="K190" s="41">
        <f t="shared" si="14"/>
        <v>6.5209245289077622E-2</v>
      </c>
      <c r="L190" s="48">
        <f t="shared" si="14"/>
        <v>-3.1406920992678306E-2</v>
      </c>
      <c r="M190" s="35"/>
      <c r="N190" s="40">
        <f t="shared" si="15"/>
        <v>63.398492599999997</v>
      </c>
      <c r="O190" s="41">
        <f t="shared" si="16"/>
        <v>0.392139615899188</v>
      </c>
      <c r="P190" s="41">
        <f t="shared" si="16"/>
        <v>7.9802512026591996</v>
      </c>
      <c r="Q190" s="41">
        <f t="shared" si="16"/>
        <v>4.8584226453721628</v>
      </c>
      <c r="R190" s="41">
        <f t="shared" si="16"/>
        <v>-5.5462185296000861</v>
      </c>
      <c r="S190" s="42">
        <f t="shared" si="17"/>
        <v>71.08308753433046</v>
      </c>
      <c r="T190" s="35"/>
      <c r="U190" s="43">
        <v>13231</v>
      </c>
      <c r="V190" s="44">
        <f t="shared" si="18"/>
        <v>940500.3311667263</v>
      </c>
      <c r="W190" s="140">
        <f t="shared" si="19"/>
        <v>7.1029197520021631E-4</v>
      </c>
      <c r="X190" s="35"/>
      <c r="Y190" s="49">
        <v>364932.85330629552</v>
      </c>
    </row>
    <row r="191" spans="1:25" x14ac:dyDescent="0.35">
      <c r="A191" s="35"/>
      <c r="B191" s="47" t="s">
        <v>178</v>
      </c>
      <c r="C191" s="46">
        <v>80</v>
      </c>
      <c r="D191" s="40">
        <v>0.21312516797380801</v>
      </c>
      <c r="E191" s="41">
        <v>8.7859463949766695E-2</v>
      </c>
      <c r="F191" s="41">
        <v>0.14159997475196301</v>
      </c>
      <c r="G191" s="48">
        <v>0.33263474194586201</v>
      </c>
      <c r="H191" s="35"/>
      <c r="I191" s="40">
        <f t="shared" si="14"/>
        <v>5.2789568212638499E-2</v>
      </c>
      <c r="J191" s="41">
        <f t="shared" si="14"/>
        <v>5.5111199206437117E-2</v>
      </c>
      <c r="K191" s="41">
        <f t="shared" si="14"/>
        <v>-3.8939310146177381E-2</v>
      </c>
      <c r="L191" s="48">
        <f t="shared" si="14"/>
        <v>5.2022192190483707E-2</v>
      </c>
      <c r="M191" s="35"/>
      <c r="N191" s="40">
        <f t="shared" si="15"/>
        <v>63.398492599999997</v>
      </c>
      <c r="O191" s="41">
        <f t="shared" si="16"/>
        <v>1.7716295229211549</v>
      </c>
      <c r="P191" s="41">
        <f t="shared" si="16"/>
        <v>226.35271848290253</v>
      </c>
      <c r="Q191" s="41">
        <f t="shared" si="16"/>
        <v>-2.9011779751581637</v>
      </c>
      <c r="R191" s="41">
        <f t="shared" si="16"/>
        <v>9.1867154486280249</v>
      </c>
      <c r="S191" s="42">
        <f t="shared" si="17"/>
        <v>297.80837807929356</v>
      </c>
      <c r="T191" s="35"/>
      <c r="U191" s="43">
        <v>81858</v>
      </c>
      <c r="V191" s="44">
        <f t="shared" si="18"/>
        <v>24377998.212814812</v>
      </c>
      <c r="W191" s="140">
        <f t="shared" si="19"/>
        <v>1.8410941419368821E-2</v>
      </c>
      <c r="X191" s="35"/>
      <c r="Y191" s="49">
        <v>9459148.6583125852</v>
      </c>
    </row>
    <row r="192" spans="1:25" x14ac:dyDescent="0.35">
      <c r="A192" s="35"/>
      <c r="B192" s="47" t="s">
        <v>179</v>
      </c>
      <c r="C192" s="46">
        <v>546</v>
      </c>
      <c r="D192" s="40">
        <v>0.18681553201765699</v>
      </c>
      <c r="E192" s="41">
        <v>4.7433982185580002E-2</v>
      </c>
      <c r="F192" s="41">
        <v>9.8269763875414307E-2</v>
      </c>
      <c r="G192" s="48">
        <v>0.25340472479505299</v>
      </c>
      <c r="H192" s="35"/>
      <c r="I192" s="40">
        <f t="shared" si="14"/>
        <v>2.6479932256487482E-2</v>
      </c>
      <c r="J192" s="41">
        <f t="shared" si="14"/>
        <v>1.4685717442250425E-2</v>
      </c>
      <c r="K192" s="41">
        <f t="shared" si="14"/>
        <v>-8.2269521022726083E-2</v>
      </c>
      <c r="L192" s="48">
        <f t="shared" si="14"/>
        <v>-2.7207824960325311E-2</v>
      </c>
      <c r="M192" s="35"/>
      <c r="N192" s="40">
        <f t="shared" si="15"/>
        <v>63.398492599999997</v>
      </c>
      <c r="O192" s="41">
        <f t="shared" si="16"/>
        <v>0.88867235211281637</v>
      </c>
      <c r="P192" s="41">
        <f t="shared" si="16"/>
        <v>60.317178972525298</v>
      </c>
      <c r="Q192" s="41">
        <f t="shared" si="16"/>
        <v>-6.1295005361407302</v>
      </c>
      <c r="R192" s="41">
        <f t="shared" si="16"/>
        <v>-4.8046907552717579</v>
      </c>
      <c r="S192" s="42">
        <f t="shared" si="17"/>
        <v>113.67015263322563</v>
      </c>
      <c r="T192" s="35"/>
      <c r="U192" s="43">
        <v>89029</v>
      </c>
      <c r="V192" s="44">
        <f t="shared" si="18"/>
        <v>10119940.018783445</v>
      </c>
      <c r="W192" s="140">
        <f t="shared" si="19"/>
        <v>7.6428598126406623E-3</v>
      </c>
      <c r="X192" s="35"/>
      <c r="Y192" s="49">
        <v>3926738.2093973104</v>
      </c>
    </row>
    <row r="193" spans="1:25" x14ac:dyDescent="0.35">
      <c r="A193" s="35"/>
      <c r="B193" s="47" t="s">
        <v>180</v>
      </c>
      <c r="C193" s="46">
        <v>547</v>
      </c>
      <c r="D193" s="40">
        <v>0.143367468444868</v>
      </c>
      <c r="E193" s="41">
        <v>2.9114074779709499E-2</v>
      </c>
      <c r="F193" s="41">
        <v>0.104490646887204</v>
      </c>
      <c r="G193" s="48">
        <v>0.24851743302462601</v>
      </c>
      <c r="H193" s="35"/>
      <c r="I193" s="40">
        <f t="shared" si="14"/>
        <v>-1.696813131630151E-2</v>
      </c>
      <c r="J193" s="41">
        <f t="shared" si="14"/>
        <v>-3.634189963620079E-3</v>
      </c>
      <c r="K193" s="41">
        <f t="shared" si="14"/>
        <v>-7.6048638010936392E-2</v>
      </c>
      <c r="L193" s="48">
        <f t="shared" si="14"/>
        <v>-3.2095116730752299E-2</v>
      </c>
      <c r="M193" s="35"/>
      <c r="N193" s="40">
        <f t="shared" si="15"/>
        <v>63.398492599999997</v>
      </c>
      <c r="O193" s="41">
        <f t="shared" si="16"/>
        <v>-0.56945421996396828</v>
      </c>
      <c r="P193" s="41">
        <f t="shared" si="16"/>
        <v>-14.926345091264189</v>
      </c>
      <c r="Q193" s="41">
        <f t="shared" si="16"/>
        <v>-5.6660129008413778</v>
      </c>
      <c r="R193" s="41">
        <f t="shared" si="16"/>
        <v>-5.6677485565450256</v>
      </c>
      <c r="S193" s="42">
        <f t="shared" si="17"/>
        <v>36.568931831385434</v>
      </c>
      <c r="T193" s="35"/>
      <c r="U193" s="43">
        <v>16796</v>
      </c>
      <c r="V193" s="44">
        <f t="shared" si="18"/>
        <v>614211.77903994976</v>
      </c>
      <c r="W193" s="140">
        <f t="shared" si="19"/>
        <v>4.6386979703060352E-4</v>
      </c>
      <c r="X193" s="35"/>
      <c r="Y193" s="49">
        <v>238326.39886614727</v>
      </c>
    </row>
    <row r="194" spans="1:25" x14ac:dyDescent="0.35">
      <c r="A194" s="35"/>
      <c r="B194" s="47" t="s">
        <v>181</v>
      </c>
      <c r="C194" s="46">
        <v>1916</v>
      </c>
      <c r="D194" s="40">
        <v>0.186212031622977</v>
      </c>
      <c r="E194" s="41">
        <v>4.9208330595887299E-2</v>
      </c>
      <c r="F194" s="41">
        <v>0.10152101028917</v>
      </c>
      <c r="G194" s="48">
        <v>0.25250417065757302</v>
      </c>
      <c r="H194" s="35"/>
      <c r="I194" s="40">
        <f t="shared" si="14"/>
        <v>2.5876431861807492E-2</v>
      </c>
      <c r="J194" s="41">
        <f t="shared" si="14"/>
        <v>1.6460065852557722E-2</v>
      </c>
      <c r="K194" s="41">
        <f t="shared" si="14"/>
        <v>-7.9018274608970387E-2</v>
      </c>
      <c r="L194" s="48">
        <f t="shared" si="14"/>
        <v>-2.8108379097805281E-2</v>
      </c>
      <c r="M194" s="35"/>
      <c r="N194" s="40">
        <f t="shared" si="15"/>
        <v>63.398492599999997</v>
      </c>
      <c r="O194" s="41">
        <f t="shared" si="16"/>
        <v>0.8684187460972691</v>
      </c>
      <c r="P194" s="41">
        <f t="shared" si="16"/>
        <v>67.604782798826392</v>
      </c>
      <c r="Q194" s="41">
        <f t="shared" si="16"/>
        <v>-5.887266031934292</v>
      </c>
      <c r="R194" s="41">
        <f t="shared" si="16"/>
        <v>-4.9637216276506138</v>
      </c>
      <c r="S194" s="42">
        <f t="shared" si="17"/>
        <v>121.02070648533875</v>
      </c>
      <c r="T194" s="35"/>
      <c r="U194" s="43">
        <v>45663</v>
      </c>
      <c r="V194" s="44">
        <f t="shared" si="18"/>
        <v>5526168.5202400237</v>
      </c>
      <c r="W194" s="140">
        <f t="shared" si="19"/>
        <v>4.1735159717181513E-3</v>
      </c>
      <c r="X194" s="35"/>
      <c r="Y194" s="49">
        <v>2144263.4086485142</v>
      </c>
    </row>
    <row r="195" spans="1:25" x14ac:dyDescent="0.35">
      <c r="A195" s="35"/>
      <c r="B195" s="47" t="s">
        <v>182</v>
      </c>
      <c r="C195" s="46">
        <v>995</v>
      </c>
      <c r="D195" s="40">
        <v>0.200088003520141</v>
      </c>
      <c r="E195" s="41">
        <v>5.7502300092003703E-2</v>
      </c>
      <c r="F195" s="41">
        <v>0.21127334146558399</v>
      </c>
      <c r="G195" s="48">
        <v>0.26299504101739202</v>
      </c>
      <c r="H195" s="35"/>
      <c r="I195" s="40">
        <f t="shared" si="14"/>
        <v>3.9752403758971488E-2</v>
      </c>
      <c r="J195" s="41">
        <f t="shared" si="14"/>
        <v>2.4754035348674125E-2</v>
      </c>
      <c r="K195" s="41">
        <f t="shared" si="14"/>
        <v>3.0734056567443602E-2</v>
      </c>
      <c r="L195" s="48">
        <f t="shared" si="14"/>
        <v>-1.7617508737986287E-2</v>
      </c>
      <c r="M195" s="35"/>
      <c r="N195" s="40">
        <f t="shared" si="15"/>
        <v>63.398492599999997</v>
      </c>
      <c r="O195" s="41">
        <f t="shared" si="16"/>
        <v>1.3340994156799102</v>
      </c>
      <c r="P195" s="41">
        <f t="shared" si="16"/>
        <v>101.66977447915508</v>
      </c>
      <c r="Q195" s="41">
        <f t="shared" si="16"/>
        <v>2.2898445726441738</v>
      </c>
      <c r="R195" s="41">
        <f t="shared" si="16"/>
        <v>-3.1111153312605717</v>
      </c>
      <c r="S195" s="42">
        <f t="shared" si="17"/>
        <v>165.5810957362186</v>
      </c>
      <c r="T195" s="35"/>
      <c r="U195" s="43">
        <v>49998</v>
      </c>
      <c r="V195" s="44">
        <f t="shared" si="18"/>
        <v>8278723.6246194579</v>
      </c>
      <c r="W195" s="140">
        <f t="shared" si="19"/>
        <v>6.2523220466843433E-3</v>
      </c>
      <c r="X195" s="35"/>
      <c r="Y195" s="49">
        <v>3212309.5909160711</v>
      </c>
    </row>
    <row r="196" spans="1:25" x14ac:dyDescent="0.35">
      <c r="A196" s="35"/>
      <c r="B196" s="47" t="s">
        <v>183</v>
      </c>
      <c r="C196" s="46">
        <v>1640</v>
      </c>
      <c r="D196" s="40">
        <v>0.14754313742664499</v>
      </c>
      <c r="E196" s="41">
        <v>2.2203731277918901E-2</v>
      </c>
      <c r="F196" s="41">
        <v>0.18375764637242001</v>
      </c>
      <c r="G196" s="48">
        <v>0.28200325414528199</v>
      </c>
      <c r="H196" s="35"/>
      <c r="I196" s="40">
        <f t="shared" si="14"/>
        <v>-1.2792462334524524E-2</v>
      </c>
      <c r="J196" s="41">
        <f t="shared" si="14"/>
        <v>-1.0544533465410677E-2</v>
      </c>
      <c r="K196" s="41">
        <f t="shared" si="14"/>
        <v>3.2183614742796185E-3</v>
      </c>
      <c r="L196" s="48">
        <f t="shared" si="14"/>
        <v>1.3907043899036853E-3</v>
      </c>
      <c r="M196" s="35"/>
      <c r="N196" s="40">
        <f t="shared" si="15"/>
        <v>63.398492599999997</v>
      </c>
      <c r="O196" s="41">
        <f t="shared" si="16"/>
        <v>-0.42931785028835662</v>
      </c>
      <c r="P196" s="41">
        <f t="shared" si="16"/>
        <v>-43.308508060025403</v>
      </c>
      <c r="Q196" s="41">
        <f t="shared" si="16"/>
        <v>0.23978440784457991</v>
      </c>
      <c r="R196" s="41">
        <f t="shared" si="16"/>
        <v>0.24558760339092517</v>
      </c>
      <c r="S196" s="42">
        <f t="shared" si="17"/>
        <v>20.146038700921743</v>
      </c>
      <c r="T196" s="35"/>
      <c r="U196" s="43">
        <v>22834</v>
      </c>
      <c r="V196" s="44">
        <f t="shared" si="18"/>
        <v>460014.6476968471</v>
      </c>
      <c r="W196" s="140">
        <f t="shared" si="19"/>
        <v>3.4741584017124796E-4</v>
      </c>
      <c r="X196" s="35"/>
      <c r="Y196" s="49">
        <v>178494.84192998221</v>
      </c>
    </row>
    <row r="197" spans="1:25" x14ac:dyDescent="0.35">
      <c r="A197" s="35"/>
      <c r="B197" s="47" t="s">
        <v>184</v>
      </c>
      <c r="C197" s="46">
        <v>327</v>
      </c>
      <c r="D197" s="40">
        <v>0.124926214113228</v>
      </c>
      <c r="E197" s="41">
        <v>2.1411322779715601E-2</v>
      </c>
      <c r="F197" s="41">
        <v>0.108373917577589</v>
      </c>
      <c r="G197" s="48">
        <v>0.238278041902932</v>
      </c>
      <c r="H197" s="35"/>
      <c r="I197" s="40">
        <f t="shared" si="14"/>
        <v>-3.5409385647941508E-2</v>
      </c>
      <c r="J197" s="41">
        <f t="shared" si="14"/>
        <v>-1.1336941963613976E-2</v>
      </c>
      <c r="K197" s="41">
        <f t="shared" si="14"/>
        <v>-7.2165367320551385E-2</v>
      </c>
      <c r="L197" s="48">
        <f t="shared" si="14"/>
        <v>-4.2334507852446301E-2</v>
      </c>
      <c r="M197" s="35"/>
      <c r="N197" s="40">
        <f t="shared" si="15"/>
        <v>63.398492599999997</v>
      </c>
      <c r="O197" s="41">
        <f t="shared" si="16"/>
        <v>-1.1883467724097596</v>
      </c>
      <c r="P197" s="41">
        <f t="shared" si="16"/>
        <v>-46.563088259694169</v>
      </c>
      <c r="Q197" s="41">
        <f t="shared" si="16"/>
        <v>-5.37668935206176</v>
      </c>
      <c r="R197" s="41">
        <f t="shared" si="16"/>
        <v>-7.4759455709610823</v>
      </c>
      <c r="S197" s="42">
        <f t="shared" si="17"/>
        <v>2.7944226448732277</v>
      </c>
      <c r="T197" s="35"/>
      <c r="U197" s="43">
        <v>18635</v>
      </c>
      <c r="V197" s="44">
        <f t="shared" si="18"/>
        <v>186350</v>
      </c>
      <c r="W197" s="140">
        <f t="shared" si="19"/>
        <v>1.4073669640749526E-4</v>
      </c>
      <c r="X197" s="35"/>
      <c r="Y197" s="49">
        <v>72307.510119922139</v>
      </c>
    </row>
    <row r="198" spans="1:25" x14ac:dyDescent="0.35">
      <c r="A198" s="35"/>
      <c r="B198" s="47" t="s">
        <v>808</v>
      </c>
      <c r="C198" s="46">
        <v>733</v>
      </c>
      <c r="D198" s="40">
        <v>0.135237295254095</v>
      </c>
      <c r="E198" s="41">
        <v>2.0579588408231798E-2</v>
      </c>
      <c r="F198" s="41">
        <v>0.15135919936547099</v>
      </c>
      <c r="G198" s="48">
        <v>0.25232395382621198</v>
      </c>
      <c r="H198" s="35"/>
      <c r="I198" s="40">
        <f t="shared" si="14"/>
        <v>-2.5098304507074509E-2</v>
      </c>
      <c r="J198" s="41">
        <f t="shared" si="14"/>
        <v>-1.2168676335097779E-2</v>
      </c>
      <c r="K198" s="41">
        <f t="shared" si="14"/>
        <v>-2.9180085532669403E-2</v>
      </c>
      <c r="L198" s="48">
        <f t="shared" si="14"/>
        <v>-2.8288595929166327E-2</v>
      </c>
      <c r="M198" s="35"/>
      <c r="N198" s="40">
        <f t="shared" si="15"/>
        <v>63.398492599999997</v>
      </c>
      <c r="O198" s="41">
        <f t="shared" si="16"/>
        <v>-0.84230462088441216</v>
      </c>
      <c r="P198" s="41">
        <f t="shared" si="16"/>
        <v>-49.97918768688713</v>
      </c>
      <c r="Q198" s="41">
        <f t="shared" si="16"/>
        <v>-2.1740657742217979</v>
      </c>
      <c r="R198" s="41">
        <f t="shared" si="16"/>
        <v>-4.9955465215863635</v>
      </c>
      <c r="S198" s="42">
        <f t="shared" si="17"/>
        <v>5.4073879964202929</v>
      </c>
      <c r="T198" s="35"/>
      <c r="U198" s="43">
        <v>7143</v>
      </c>
      <c r="V198" s="44">
        <f t="shared" si="18"/>
        <v>71430</v>
      </c>
      <c r="W198" s="140">
        <f t="shared" si="19"/>
        <v>5.3945920173798688E-5</v>
      </c>
      <c r="X198" s="35"/>
      <c r="Y198" s="49">
        <v>27716.262129680912</v>
      </c>
    </row>
    <row r="199" spans="1:25" x14ac:dyDescent="0.35">
      <c r="A199" s="35"/>
      <c r="B199" s="47" t="s">
        <v>185</v>
      </c>
      <c r="C199" s="46">
        <v>1705</v>
      </c>
      <c r="D199" s="40">
        <v>0.134336010938301</v>
      </c>
      <c r="E199" s="41">
        <v>2.1637326952657701E-2</v>
      </c>
      <c r="F199" s="41">
        <v>0.161754267664108</v>
      </c>
      <c r="G199" s="48">
        <v>0.28125810728657302</v>
      </c>
      <c r="H199" s="35"/>
      <c r="I199" s="40">
        <f t="shared" si="14"/>
        <v>-2.5999588822868513E-2</v>
      </c>
      <c r="J199" s="41">
        <f t="shared" si="14"/>
        <v>-1.1110937790671876E-2</v>
      </c>
      <c r="K199" s="41">
        <f t="shared" si="14"/>
        <v>-1.8785017234032392E-2</v>
      </c>
      <c r="L199" s="48">
        <f t="shared" si="14"/>
        <v>6.4555753119471815E-4</v>
      </c>
      <c r="M199" s="35"/>
      <c r="N199" s="40">
        <f t="shared" si="15"/>
        <v>63.398492599999997</v>
      </c>
      <c r="O199" s="41">
        <f t="shared" si="16"/>
        <v>-0.87255192080500832</v>
      </c>
      <c r="P199" s="41">
        <f t="shared" si="16"/>
        <v>-45.634843916066288</v>
      </c>
      <c r="Q199" s="41">
        <f t="shared" si="16"/>
        <v>-1.3995799632236516</v>
      </c>
      <c r="R199" s="41">
        <f t="shared" si="16"/>
        <v>0.11400045048254516</v>
      </c>
      <c r="S199" s="42">
        <f t="shared" si="17"/>
        <v>15.605517250387594</v>
      </c>
      <c r="T199" s="35"/>
      <c r="U199" s="43">
        <v>29255</v>
      </c>
      <c r="V199" s="44">
        <f t="shared" si="18"/>
        <v>456539.40716008906</v>
      </c>
      <c r="W199" s="140">
        <f t="shared" si="19"/>
        <v>3.447912419830819E-4</v>
      </c>
      <c r="X199" s="35"/>
      <c r="Y199" s="49">
        <v>177146.37941170586</v>
      </c>
    </row>
    <row r="200" spans="1:25" x14ac:dyDescent="0.35">
      <c r="A200" s="35"/>
      <c r="B200" s="47" t="s">
        <v>186</v>
      </c>
      <c r="C200" s="46">
        <v>553</v>
      </c>
      <c r="D200" s="40">
        <v>0.128599522404832</v>
      </c>
      <c r="E200" s="41">
        <v>2.1140609636184901E-2</v>
      </c>
      <c r="F200" s="41">
        <v>0.195728335017372</v>
      </c>
      <c r="G200" s="48">
        <v>0.249760100663319</v>
      </c>
      <c r="H200" s="35"/>
      <c r="I200" s="40">
        <f t="shared" si="14"/>
        <v>-3.1736077356337516E-2</v>
      </c>
      <c r="J200" s="41">
        <f t="shared" si="14"/>
        <v>-1.1607655107144677E-2</v>
      </c>
      <c r="K200" s="41">
        <f t="shared" si="14"/>
        <v>1.5189050119231606E-2</v>
      </c>
      <c r="L200" s="48">
        <f t="shared" si="14"/>
        <v>-3.0852449092059309E-2</v>
      </c>
      <c r="M200" s="35"/>
      <c r="N200" s="40">
        <f t="shared" si="15"/>
        <v>63.398492599999997</v>
      </c>
      <c r="O200" s="41">
        <f t="shared" si="16"/>
        <v>-1.0650697380157055</v>
      </c>
      <c r="P200" s="41">
        <f t="shared" si="16"/>
        <v>-47.674961288217723</v>
      </c>
      <c r="Q200" s="41">
        <f t="shared" si="16"/>
        <v>1.1316620018193653</v>
      </c>
      <c r="R200" s="41">
        <f t="shared" si="16"/>
        <v>-5.4483030946527196</v>
      </c>
      <c r="S200" s="42">
        <f t="shared" si="17"/>
        <v>10.341820480933212</v>
      </c>
      <c r="T200" s="35"/>
      <c r="U200" s="43">
        <v>14238</v>
      </c>
      <c r="V200" s="44">
        <f t="shared" si="18"/>
        <v>147246.84000752706</v>
      </c>
      <c r="W200" s="140">
        <f t="shared" si="19"/>
        <v>1.112049037783867E-4</v>
      </c>
      <c r="X200" s="35"/>
      <c r="Y200" s="49">
        <v>57134.70552171085</v>
      </c>
    </row>
    <row r="201" spans="1:25" x14ac:dyDescent="0.35">
      <c r="A201" s="35"/>
      <c r="B201" s="47" t="s">
        <v>187</v>
      </c>
      <c r="C201" s="46">
        <v>262</v>
      </c>
      <c r="D201" s="40">
        <v>0.15780629391995099</v>
      </c>
      <c r="E201" s="41">
        <v>3.0400244424075799E-2</v>
      </c>
      <c r="F201" s="41">
        <v>0.16982883286776401</v>
      </c>
      <c r="G201" s="48">
        <v>0.28360744796876802</v>
      </c>
      <c r="H201" s="35"/>
      <c r="I201" s="40">
        <f t="shared" si="14"/>
        <v>-2.529305841218521E-3</v>
      </c>
      <c r="J201" s="41">
        <f t="shared" si="14"/>
        <v>-2.3480203192537789E-3</v>
      </c>
      <c r="K201" s="41">
        <f t="shared" si="14"/>
        <v>-1.0710452030376377E-2</v>
      </c>
      <c r="L201" s="48">
        <f t="shared" si="14"/>
        <v>2.9948982133897184E-3</v>
      </c>
      <c r="M201" s="35"/>
      <c r="N201" s="40">
        <f t="shared" si="15"/>
        <v>63.398492599999997</v>
      </c>
      <c r="O201" s="41">
        <f t="shared" si="16"/>
        <v>-8.4884060478578632E-2</v>
      </c>
      <c r="P201" s="41">
        <f t="shared" si="16"/>
        <v>-9.643789102199527</v>
      </c>
      <c r="Q201" s="41">
        <f t="shared" si="16"/>
        <v>-0.7979835137774357</v>
      </c>
      <c r="R201" s="41">
        <f t="shared" si="16"/>
        <v>0.52887578407448843</v>
      </c>
      <c r="S201" s="42">
        <f t="shared" si="17"/>
        <v>53.400711707618939</v>
      </c>
      <c r="T201" s="35"/>
      <c r="U201" s="43">
        <v>19638</v>
      </c>
      <c r="V201" s="44">
        <f t="shared" si="18"/>
        <v>1048683.1765142207</v>
      </c>
      <c r="W201" s="140">
        <f t="shared" si="19"/>
        <v>7.9199466509648306E-4</v>
      </c>
      <c r="X201" s="35"/>
      <c r="Y201" s="49">
        <v>406909.95115854085</v>
      </c>
    </row>
    <row r="202" spans="1:25" x14ac:dyDescent="0.35">
      <c r="A202" s="35"/>
      <c r="B202" s="47" t="s">
        <v>188</v>
      </c>
      <c r="C202" s="46">
        <v>809</v>
      </c>
      <c r="D202" s="40">
        <v>0.13873701476216499</v>
      </c>
      <c r="E202" s="41">
        <v>2.28950246036085E-2</v>
      </c>
      <c r="F202" s="41">
        <v>0.19116789730404901</v>
      </c>
      <c r="G202" s="48">
        <v>0.25564035134798302</v>
      </c>
      <c r="H202" s="35"/>
      <c r="I202" s="40">
        <f t="shared" si="14"/>
        <v>-2.1598584999004522E-2</v>
      </c>
      <c r="J202" s="41">
        <f t="shared" si="14"/>
        <v>-9.8532401397210777E-3</v>
      </c>
      <c r="K202" s="41">
        <f t="shared" si="14"/>
        <v>1.0628612405908622E-2</v>
      </c>
      <c r="L202" s="48">
        <f t="shared" ref="L202:L265" si="20">G202-G$4</f>
        <v>-2.4972198407395285E-2</v>
      </c>
      <c r="M202" s="35"/>
      <c r="N202" s="40">
        <f t="shared" si="15"/>
        <v>63.398492599999997</v>
      </c>
      <c r="O202" s="41">
        <f t="shared" si="16"/>
        <v>-0.72485326425529151</v>
      </c>
      <c r="P202" s="41">
        <f t="shared" si="16"/>
        <v>-40.469228098927218</v>
      </c>
      <c r="Q202" s="41">
        <f t="shared" si="16"/>
        <v>0.79188604273571062</v>
      </c>
      <c r="R202" s="41">
        <f t="shared" ref="R202:R265" si="21">100*R$8*L202</f>
        <v>-4.4098964544863657</v>
      </c>
      <c r="S202" s="42">
        <f t="shared" si="17"/>
        <v>18.586400825066832</v>
      </c>
      <c r="T202" s="35"/>
      <c r="U202" s="43">
        <v>14632</v>
      </c>
      <c r="V202" s="44">
        <f t="shared" si="18"/>
        <v>271956.2168723779</v>
      </c>
      <c r="W202" s="140">
        <f t="shared" si="19"/>
        <v>2.0538888934853119E-4</v>
      </c>
      <c r="X202" s="35"/>
      <c r="Y202" s="49">
        <v>105524.42663630373</v>
      </c>
    </row>
    <row r="203" spans="1:25" x14ac:dyDescent="0.35">
      <c r="A203" s="35"/>
      <c r="B203" s="47" t="s">
        <v>189</v>
      </c>
      <c r="C203" s="46">
        <v>331</v>
      </c>
      <c r="D203" s="40">
        <v>0.122416364798636</v>
      </c>
      <c r="E203" s="41">
        <v>1.6513956957170301E-2</v>
      </c>
      <c r="F203" s="41">
        <v>0.30983161708976498</v>
      </c>
      <c r="G203" s="48">
        <v>0.249632616382022</v>
      </c>
      <c r="H203" s="35"/>
      <c r="I203" s="40">
        <f t="shared" ref="I203:L266" si="22">D203-D$4</f>
        <v>-3.7919234962533507E-2</v>
      </c>
      <c r="J203" s="41">
        <f t="shared" si="22"/>
        <v>-1.6234307786159276E-2</v>
      </c>
      <c r="K203" s="41">
        <f t="shared" si="22"/>
        <v>0.12929233219162459</v>
      </c>
      <c r="L203" s="48">
        <f t="shared" si="20"/>
        <v>-3.0979933373356305E-2</v>
      </c>
      <c r="M203" s="35"/>
      <c r="N203" s="40">
        <f t="shared" ref="N203:N266" si="23">N$8</f>
        <v>63.398492599999997</v>
      </c>
      <c r="O203" s="41">
        <f t="shared" ref="O203:R266" si="24">100*O$8*I203</f>
        <v>-1.2725778675743162</v>
      </c>
      <c r="P203" s="41">
        <f t="shared" si="24"/>
        <v>-66.677549263999538</v>
      </c>
      <c r="Q203" s="41">
        <f t="shared" si="24"/>
        <v>9.6329407250168533</v>
      </c>
      <c r="R203" s="41">
        <f t="shared" si="21"/>
        <v>-5.4708158294517464</v>
      </c>
      <c r="S203" s="42">
        <f t="shared" ref="S203:S266" si="25">SUM(N203:R203)</f>
        <v>-0.38950963600874644</v>
      </c>
      <c r="T203" s="35"/>
      <c r="U203" s="43">
        <v>9386</v>
      </c>
      <c r="V203" s="44">
        <f t="shared" ref="V203:V266" si="26">MAX(S203,10)*U203</f>
        <v>93860</v>
      </c>
      <c r="W203" s="140">
        <f t="shared" ref="W203:W266" si="27">V203/V$10</f>
        <v>7.0885679231593791E-5</v>
      </c>
      <c r="X203" s="35"/>
      <c r="Y203" s="49">
        <v>36419.548697911938</v>
      </c>
    </row>
    <row r="204" spans="1:25" x14ac:dyDescent="0.35">
      <c r="A204" s="35"/>
      <c r="B204" s="47" t="s">
        <v>190</v>
      </c>
      <c r="C204" s="46">
        <v>24</v>
      </c>
      <c r="D204" s="40">
        <v>0.18512000000000001</v>
      </c>
      <c r="E204" s="41">
        <v>4.496E-2</v>
      </c>
      <c r="F204" s="41">
        <v>0.15610784498876401</v>
      </c>
      <c r="G204" s="48">
        <v>0.351980591468328</v>
      </c>
      <c r="H204" s="35"/>
      <c r="I204" s="40">
        <f t="shared" si="22"/>
        <v>2.4784400238830495E-2</v>
      </c>
      <c r="J204" s="41">
        <f t="shared" si="22"/>
        <v>1.2211735256670422E-2</v>
      </c>
      <c r="K204" s="41">
        <f t="shared" si="22"/>
        <v>-2.4431439909376379E-2</v>
      </c>
      <c r="L204" s="48">
        <f t="shared" si="20"/>
        <v>7.1368041712949692E-2</v>
      </c>
      <c r="M204" s="35"/>
      <c r="N204" s="40">
        <f t="shared" si="23"/>
        <v>63.398492599999997</v>
      </c>
      <c r="O204" s="41">
        <f t="shared" si="24"/>
        <v>0.83176992458320398</v>
      </c>
      <c r="P204" s="41">
        <f t="shared" si="24"/>
        <v>50.156039290431465</v>
      </c>
      <c r="Q204" s="41">
        <f t="shared" si="24"/>
        <v>-1.8202673622208763</v>
      </c>
      <c r="R204" s="41">
        <f t="shared" si="21"/>
        <v>12.603042350503223</v>
      </c>
      <c r="S204" s="42">
        <f t="shared" si="25"/>
        <v>125.169076803297</v>
      </c>
      <c r="T204" s="35"/>
      <c r="U204" s="43">
        <v>6250</v>
      </c>
      <c r="V204" s="44">
        <f t="shared" si="26"/>
        <v>782306.73002060631</v>
      </c>
      <c r="W204" s="140">
        <f t="shared" si="27"/>
        <v>5.9081977333217295E-4</v>
      </c>
      <c r="X204" s="35"/>
      <c r="Y204" s="49">
        <v>303550.58651917457</v>
      </c>
    </row>
    <row r="205" spans="1:25" x14ac:dyDescent="0.35">
      <c r="A205" s="35"/>
      <c r="B205" s="47" t="s">
        <v>191</v>
      </c>
      <c r="C205" s="46">
        <v>168</v>
      </c>
      <c r="D205" s="40">
        <v>0.17267321057533899</v>
      </c>
      <c r="E205" s="41">
        <v>3.4534642115067703E-2</v>
      </c>
      <c r="F205" s="41">
        <v>0.18193253583331001</v>
      </c>
      <c r="G205" s="48">
        <v>0.30156367839780601</v>
      </c>
      <c r="H205" s="35"/>
      <c r="I205" s="40">
        <f t="shared" si="22"/>
        <v>1.2337610814169481E-2</v>
      </c>
      <c r="J205" s="41">
        <f t="shared" si="22"/>
        <v>1.7863773717381251E-3</v>
      </c>
      <c r="K205" s="41">
        <f t="shared" si="22"/>
        <v>1.393250935169621E-3</v>
      </c>
      <c r="L205" s="48">
        <f t="shared" si="20"/>
        <v>2.0951128642427708E-2</v>
      </c>
      <c r="M205" s="35"/>
      <c r="N205" s="40">
        <f t="shared" si="23"/>
        <v>63.398492599999997</v>
      </c>
      <c r="O205" s="41">
        <f t="shared" si="24"/>
        <v>0.41405293319790692</v>
      </c>
      <c r="P205" s="41">
        <f t="shared" si="24"/>
        <v>7.3370091769303754</v>
      </c>
      <c r="Q205" s="41">
        <f t="shared" si="24"/>
        <v>0.10380432811492483</v>
      </c>
      <c r="R205" s="41">
        <f t="shared" si="21"/>
        <v>3.6998067374944679</v>
      </c>
      <c r="S205" s="42">
        <f t="shared" si="25"/>
        <v>74.953165775737673</v>
      </c>
      <c r="T205" s="35"/>
      <c r="U205" s="43">
        <v>13957</v>
      </c>
      <c r="V205" s="44">
        <f t="shared" si="26"/>
        <v>1046121.3347319707</v>
      </c>
      <c r="W205" s="140">
        <f t="shared" si="27"/>
        <v>7.9005989102000037E-4</v>
      </c>
      <c r="X205" s="35"/>
      <c r="Y205" s="49">
        <v>405915.90554225066</v>
      </c>
    </row>
    <row r="206" spans="1:25" x14ac:dyDescent="0.35">
      <c r="A206" s="35"/>
      <c r="B206" s="47" t="s">
        <v>192</v>
      </c>
      <c r="C206" s="46">
        <v>263</v>
      </c>
      <c r="D206" s="40">
        <v>0.13499303180032901</v>
      </c>
      <c r="E206" s="41">
        <v>1.7610540985683501E-2</v>
      </c>
      <c r="F206" s="41">
        <v>0.25242634591172702</v>
      </c>
      <c r="G206" s="48">
        <v>0.251423446967528</v>
      </c>
      <c r="H206" s="35"/>
      <c r="I206" s="40">
        <f t="shared" si="22"/>
        <v>-2.5342567960840501E-2</v>
      </c>
      <c r="J206" s="41">
        <f t="shared" si="22"/>
        <v>-1.5137723757646077E-2</v>
      </c>
      <c r="K206" s="41">
        <f t="shared" si="22"/>
        <v>7.1887061013586634E-2</v>
      </c>
      <c r="L206" s="48">
        <f t="shared" si="20"/>
        <v>-2.9189102787850307E-2</v>
      </c>
      <c r="M206" s="35"/>
      <c r="N206" s="40">
        <f t="shared" si="23"/>
        <v>63.398492599999997</v>
      </c>
      <c r="O206" s="41">
        <f t="shared" si="24"/>
        <v>-0.85050215613075864</v>
      </c>
      <c r="P206" s="41">
        <f t="shared" si="24"/>
        <v>-62.173659320158443</v>
      </c>
      <c r="Q206" s="41">
        <f t="shared" si="24"/>
        <v>5.3559541072645942</v>
      </c>
      <c r="R206" s="41">
        <f t="shared" si="21"/>
        <v>-5.1545690448967303</v>
      </c>
      <c r="S206" s="42">
        <f t="shared" si="25"/>
        <v>0.57571618607865993</v>
      </c>
      <c r="T206" s="35"/>
      <c r="U206" s="43">
        <v>15786</v>
      </c>
      <c r="V206" s="44">
        <f t="shared" si="26"/>
        <v>157860</v>
      </c>
      <c r="W206" s="140">
        <f t="shared" si="27"/>
        <v>1.1922025701576174E-4</v>
      </c>
      <c r="X206" s="35"/>
      <c r="Y206" s="49">
        <v>61252.822900621984</v>
      </c>
    </row>
    <row r="207" spans="1:25" x14ac:dyDescent="0.35">
      <c r="A207" s="35"/>
      <c r="B207" s="47" t="s">
        <v>193</v>
      </c>
      <c r="C207" s="46">
        <v>1641</v>
      </c>
      <c r="D207" s="40">
        <v>0.170212765957447</v>
      </c>
      <c r="E207" s="41">
        <v>2.5678650036683799E-2</v>
      </c>
      <c r="F207" s="41">
        <v>0.18073510924421601</v>
      </c>
      <c r="G207" s="48">
        <v>0.28433280032622299</v>
      </c>
      <c r="H207" s="35"/>
      <c r="I207" s="40">
        <f t="shared" si="22"/>
        <v>9.877166196277487E-3</v>
      </c>
      <c r="J207" s="41">
        <f t="shared" si="22"/>
        <v>-7.0696147066457785E-3</v>
      </c>
      <c r="K207" s="41">
        <f t="shared" si="22"/>
        <v>1.9582434607562371E-4</v>
      </c>
      <c r="L207" s="48">
        <f t="shared" si="20"/>
        <v>3.7202505708446854E-3</v>
      </c>
      <c r="M207" s="35"/>
      <c r="N207" s="40">
        <f t="shared" si="23"/>
        <v>63.398492599999997</v>
      </c>
      <c r="O207" s="41">
        <f t="shared" si="24"/>
        <v>0.33147987052363564</v>
      </c>
      <c r="P207" s="41">
        <f t="shared" si="24"/>
        <v>-29.036321664527836</v>
      </c>
      <c r="Q207" s="41">
        <f t="shared" si="24"/>
        <v>1.4589916403285875E-2</v>
      </c>
      <c r="R207" s="41">
        <f t="shared" si="21"/>
        <v>0.65696738166674173</v>
      </c>
      <c r="S207" s="42">
        <f t="shared" si="25"/>
        <v>35.365208104065829</v>
      </c>
      <c r="T207" s="35"/>
      <c r="U207" s="43">
        <v>14993</v>
      </c>
      <c r="V207" s="44">
        <f t="shared" si="26"/>
        <v>530230.56510425895</v>
      </c>
      <c r="W207" s="140">
        <f t="shared" si="27"/>
        <v>4.0044485144648636E-4</v>
      </c>
      <c r="X207" s="35"/>
      <c r="Y207" s="49">
        <v>205740.01584206187</v>
      </c>
    </row>
    <row r="208" spans="1:25" x14ac:dyDescent="0.35">
      <c r="A208" s="35"/>
      <c r="B208" s="47" t="s">
        <v>194</v>
      </c>
      <c r="C208" s="46">
        <v>556</v>
      </c>
      <c r="D208" s="40">
        <v>0.18885232824808099</v>
      </c>
      <c r="E208" s="41">
        <v>5.4940672051051999E-2</v>
      </c>
      <c r="F208" s="41">
        <v>0.21328751489745501</v>
      </c>
      <c r="G208" s="48">
        <v>0.26280303955022699</v>
      </c>
      <c r="H208" s="35"/>
      <c r="I208" s="40">
        <f t="shared" si="22"/>
        <v>2.8516728486911475E-2</v>
      </c>
      <c r="J208" s="41">
        <f t="shared" si="22"/>
        <v>2.2192407307722421E-2</v>
      </c>
      <c r="K208" s="41">
        <f t="shared" si="22"/>
        <v>3.2748229999314621E-2</v>
      </c>
      <c r="L208" s="48">
        <f t="shared" si="20"/>
        <v>-1.7809510205151313E-2</v>
      </c>
      <c r="M208" s="35"/>
      <c r="N208" s="40">
        <f t="shared" si="23"/>
        <v>63.398492599999997</v>
      </c>
      <c r="O208" s="41">
        <f t="shared" si="24"/>
        <v>0.95702768170101626</v>
      </c>
      <c r="P208" s="41">
        <f t="shared" si="24"/>
        <v>91.148655738125683</v>
      </c>
      <c r="Q208" s="41">
        <f t="shared" si="24"/>
        <v>2.439910805886536</v>
      </c>
      <c r="R208" s="41">
        <f t="shared" si="21"/>
        <v>-3.1450213004305301</v>
      </c>
      <c r="S208" s="42">
        <f t="shared" si="25"/>
        <v>154.79906552528271</v>
      </c>
      <c r="T208" s="35"/>
      <c r="U208" s="43">
        <v>20058</v>
      </c>
      <c r="V208" s="44">
        <f t="shared" si="26"/>
        <v>3104959.6563061206</v>
      </c>
      <c r="W208" s="140">
        <f t="shared" si="27"/>
        <v>2.3449517816317429E-3</v>
      </c>
      <c r="X208" s="35"/>
      <c r="Y208" s="49">
        <v>1204786.1645844097</v>
      </c>
    </row>
    <row r="209" spans="1:25" x14ac:dyDescent="0.35">
      <c r="A209" s="35"/>
      <c r="B209" s="47" t="s">
        <v>195</v>
      </c>
      <c r="C209" s="46">
        <v>935</v>
      </c>
      <c r="D209" s="40">
        <v>0.27273803603987601</v>
      </c>
      <c r="E209" s="41">
        <v>5.3586228126257997E-2</v>
      </c>
      <c r="F209" s="41">
        <v>0.157271188397032</v>
      </c>
      <c r="G209" s="48">
        <v>0.31055349174048202</v>
      </c>
      <c r="H209" s="35"/>
      <c r="I209" s="40">
        <f t="shared" si="22"/>
        <v>0.1124024362787065</v>
      </c>
      <c r="J209" s="41">
        <f t="shared" si="22"/>
        <v>2.0837963382928419E-2</v>
      </c>
      <c r="K209" s="41">
        <f t="shared" si="22"/>
        <v>-2.3268096501108393E-2</v>
      </c>
      <c r="L209" s="48">
        <f t="shared" si="20"/>
        <v>2.994094198510372E-2</v>
      </c>
      <c r="M209" s="35"/>
      <c r="N209" s="40">
        <f t="shared" si="23"/>
        <v>63.398492599999997</v>
      </c>
      <c r="O209" s="41">
        <f t="shared" si="24"/>
        <v>3.7722504900493714</v>
      </c>
      <c r="P209" s="41">
        <f t="shared" si="24"/>
        <v>85.585683623122875</v>
      </c>
      <c r="Q209" s="41">
        <f t="shared" si="24"/>
        <v>-1.7335923219866611</v>
      </c>
      <c r="R209" s="41">
        <f t="shared" si="21"/>
        <v>5.2873380128595127</v>
      </c>
      <c r="S209" s="42">
        <f t="shared" si="25"/>
        <v>156.31017240404509</v>
      </c>
      <c r="T209" s="35"/>
      <c r="U209" s="43">
        <v>84462</v>
      </c>
      <c r="V209" s="44">
        <f t="shared" si="26"/>
        <v>13202269.781590456</v>
      </c>
      <c r="W209" s="140">
        <f t="shared" si="27"/>
        <v>9.9707208700914665E-3</v>
      </c>
      <c r="X209" s="35"/>
      <c r="Y209" s="49">
        <v>5122743.5247560721</v>
      </c>
    </row>
    <row r="210" spans="1:25" x14ac:dyDescent="0.35">
      <c r="A210" s="35"/>
      <c r="B210" s="47" t="s">
        <v>800</v>
      </c>
      <c r="C210" s="46">
        <v>25</v>
      </c>
      <c r="D210" s="40">
        <v>0.15272302525916201</v>
      </c>
      <c r="E210" s="41">
        <v>2.99313768433348E-2</v>
      </c>
      <c r="F210" s="41">
        <v>0.15180217985210301</v>
      </c>
      <c r="G210" s="48">
        <v>0.33810803960817898</v>
      </c>
      <c r="H210" s="35"/>
      <c r="I210" s="40">
        <f t="shared" si="22"/>
        <v>-7.612574502007502E-3</v>
      </c>
      <c r="J210" s="41">
        <f t="shared" si="22"/>
        <v>-2.8168878999947772E-3</v>
      </c>
      <c r="K210" s="41">
        <f t="shared" si="22"/>
        <v>-2.8737105046037381E-2</v>
      </c>
      <c r="L210" s="48">
        <f t="shared" si="20"/>
        <v>5.7495489852800674E-2</v>
      </c>
      <c r="M210" s="35"/>
      <c r="N210" s="40">
        <f t="shared" si="23"/>
        <v>63.398492599999997</v>
      </c>
      <c r="O210" s="41">
        <f t="shared" si="24"/>
        <v>-0.25547967505376223</v>
      </c>
      <c r="P210" s="41">
        <f t="shared" si="24"/>
        <v>-11.569522039196308</v>
      </c>
      <c r="Q210" s="41">
        <f t="shared" si="24"/>
        <v>-2.1410614599076205</v>
      </c>
      <c r="R210" s="41">
        <f t="shared" si="21"/>
        <v>10.153257343003341</v>
      </c>
      <c r="S210" s="42">
        <f t="shared" si="25"/>
        <v>59.585686768845648</v>
      </c>
      <c r="T210" s="35"/>
      <c r="U210" s="43">
        <v>6849</v>
      </c>
      <c r="V210" s="44">
        <f t="shared" si="26"/>
        <v>408102.36867982382</v>
      </c>
      <c r="W210" s="140">
        <f t="shared" si="27"/>
        <v>3.0821024504465824E-4</v>
      </c>
      <c r="X210" s="35"/>
      <c r="Y210" s="49">
        <v>158351.84412814892</v>
      </c>
    </row>
    <row r="211" spans="1:25" x14ac:dyDescent="0.35">
      <c r="A211" s="35"/>
      <c r="B211" s="47" t="s">
        <v>196</v>
      </c>
      <c r="C211" s="46">
        <v>420</v>
      </c>
      <c r="D211" s="40">
        <v>0.144995523724261</v>
      </c>
      <c r="E211" s="41">
        <v>2.27036705461056E-2</v>
      </c>
      <c r="F211" s="41">
        <v>0.21063025836925101</v>
      </c>
      <c r="G211" s="48">
        <v>0.29313070770930799</v>
      </c>
      <c r="H211" s="35"/>
      <c r="I211" s="40">
        <f t="shared" si="22"/>
        <v>-1.5340076036908512E-2</v>
      </c>
      <c r="J211" s="41">
        <f t="shared" si="22"/>
        <v>-1.0044594197223977E-2</v>
      </c>
      <c r="K211" s="41">
        <f t="shared" si="22"/>
        <v>3.0090973471110616E-2</v>
      </c>
      <c r="L211" s="48">
        <f t="shared" si="20"/>
        <v>1.2518157953929687E-2</v>
      </c>
      <c r="M211" s="35"/>
      <c r="N211" s="40">
        <f t="shared" si="23"/>
        <v>63.398492599999997</v>
      </c>
      <c r="O211" s="41">
        <f t="shared" si="24"/>
        <v>-0.5148163266153778</v>
      </c>
      <c r="P211" s="41">
        <f t="shared" si="24"/>
        <v>-41.255157487730209</v>
      </c>
      <c r="Q211" s="41">
        <f t="shared" si="24"/>
        <v>2.2419315893819132</v>
      </c>
      <c r="R211" s="41">
        <f t="shared" si="21"/>
        <v>2.2106095537582604</v>
      </c>
      <c r="S211" s="42">
        <f t="shared" si="25"/>
        <v>26.081059928794588</v>
      </c>
      <c r="T211" s="35"/>
      <c r="U211" s="43">
        <v>27925</v>
      </c>
      <c r="V211" s="44">
        <f t="shared" si="26"/>
        <v>728313.59851158888</v>
      </c>
      <c r="W211" s="140">
        <f t="shared" si="27"/>
        <v>5.5004266060196337E-4</v>
      </c>
      <c r="X211" s="35"/>
      <c r="Y211" s="49">
        <v>282600.17652188684</v>
      </c>
    </row>
    <row r="212" spans="1:25" x14ac:dyDescent="0.35">
      <c r="A212" s="35"/>
      <c r="B212" s="47" t="s">
        <v>197</v>
      </c>
      <c r="C212" s="46">
        <v>938</v>
      </c>
      <c r="D212" s="40">
        <v>0.14858168147641801</v>
      </c>
      <c r="E212" s="41">
        <v>2.4606971975393001E-2</v>
      </c>
      <c r="F212" s="41">
        <v>0.14417003865842301</v>
      </c>
      <c r="G212" s="48">
        <v>0.31385324824573801</v>
      </c>
      <c r="H212" s="35"/>
      <c r="I212" s="40">
        <f t="shared" si="22"/>
        <v>-1.1753918284751502E-2</v>
      </c>
      <c r="J212" s="41">
        <f t="shared" si="22"/>
        <v>-8.1412927679365768E-3</v>
      </c>
      <c r="K212" s="41">
        <f t="shared" si="22"/>
        <v>-3.6369246239717379E-2</v>
      </c>
      <c r="L212" s="48">
        <f t="shared" si="20"/>
        <v>3.324069849035971E-2</v>
      </c>
      <c r="M212" s="35"/>
      <c r="N212" s="40">
        <f t="shared" si="23"/>
        <v>63.398492599999997</v>
      </c>
      <c r="O212" s="41">
        <f t="shared" si="24"/>
        <v>-0.39446408349828305</v>
      </c>
      <c r="P212" s="41">
        <f t="shared" si="24"/>
        <v>-33.437917819294967</v>
      </c>
      <c r="Q212" s="41">
        <f t="shared" si="24"/>
        <v>-2.7096950553996924</v>
      </c>
      <c r="R212" s="41">
        <f t="shared" si="21"/>
        <v>5.8700494055772401</v>
      </c>
      <c r="S212" s="42">
        <f t="shared" si="25"/>
        <v>32.726465047384295</v>
      </c>
      <c r="T212" s="35"/>
      <c r="U212" s="43">
        <v>11704</v>
      </c>
      <c r="V212" s="44">
        <f t="shared" si="26"/>
        <v>383030.54691458581</v>
      </c>
      <c r="W212" s="140">
        <f t="shared" si="27"/>
        <v>2.8927530880555369E-4</v>
      </c>
      <c r="X212" s="35"/>
      <c r="Y212" s="49">
        <v>148623.47811787346</v>
      </c>
    </row>
    <row r="213" spans="1:25" x14ac:dyDescent="0.35">
      <c r="A213" s="35"/>
      <c r="B213" s="47" t="s">
        <v>198</v>
      </c>
      <c r="C213" s="46">
        <v>1948</v>
      </c>
      <c r="D213" s="40">
        <v>0.137153182560037</v>
      </c>
      <c r="E213" s="41">
        <v>2.0206730395585602E-2</v>
      </c>
      <c r="F213" s="41">
        <v>0.22434561794729399</v>
      </c>
      <c r="G213" s="48">
        <v>0.24726976953194801</v>
      </c>
      <c r="H213" s="35"/>
      <c r="I213" s="40">
        <f t="shared" si="22"/>
        <v>-2.318241720113251E-2</v>
      </c>
      <c r="J213" s="41">
        <f t="shared" si="22"/>
        <v>-1.2541534347743976E-2</v>
      </c>
      <c r="K213" s="41">
        <f t="shared" si="22"/>
        <v>4.3806333049153601E-2</v>
      </c>
      <c r="L213" s="48">
        <f t="shared" si="20"/>
        <v>-3.3342780223430291E-2</v>
      </c>
      <c r="M213" s="35"/>
      <c r="N213" s="40">
        <f t="shared" si="23"/>
        <v>63.398492599999997</v>
      </c>
      <c r="O213" s="41">
        <f t="shared" si="24"/>
        <v>-0.77800702140179134</v>
      </c>
      <c r="P213" s="41">
        <f t="shared" si="24"/>
        <v>-51.510590123884747</v>
      </c>
      <c r="Q213" s="41">
        <f t="shared" si="24"/>
        <v>3.2637961005871552</v>
      </c>
      <c r="R213" s="41">
        <f t="shared" si="21"/>
        <v>-5.888076247483256</v>
      </c>
      <c r="S213" s="42">
        <f t="shared" si="25"/>
        <v>8.4856153078173584</v>
      </c>
      <c r="T213" s="35"/>
      <c r="U213" s="43">
        <v>51468</v>
      </c>
      <c r="V213" s="44">
        <f t="shared" si="26"/>
        <v>514680</v>
      </c>
      <c r="W213" s="140">
        <f t="shared" si="27"/>
        <v>3.8870063271805559E-4</v>
      </c>
      <c r="X213" s="35"/>
      <c r="Y213" s="49">
        <v>199706.08697891881</v>
      </c>
    </row>
    <row r="214" spans="1:25" x14ac:dyDescent="0.35">
      <c r="A214" s="35"/>
      <c r="B214" s="47" t="s">
        <v>199</v>
      </c>
      <c r="C214" s="46">
        <v>119</v>
      </c>
      <c r="D214" s="40">
        <v>0.16628712401556101</v>
      </c>
      <c r="E214" s="41">
        <v>4.1132934813549703E-2</v>
      </c>
      <c r="F214" s="41">
        <v>0.16939166182066701</v>
      </c>
      <c r="G214" s="48">
        <v>0.29633780316132002</v>
      </c>
      <c r="H214" s="35"/>
      <c r="I214" s="40">
        <f t="shared" si="22"/>
        <v>5.9515242543914937E-3</v>
      </c>
      <c r="J214" s="41">
        <f t="shared" si="22"/>
        <v>8.3846700702201252E-3</v>
      </c>
      <c r="K214" s="41">
        <f t="shared" si="22"/>
        <v>-1.1147623077473384E-2</v>
      </c>
      <c r="L214" s="48">
        <f t="shared" si="20"/>
        <v>1.5725253405941719E-2</v>
      </c>
      <c r="M214" s="35"/>
      <c r="N214" s="40">
        <f t="shared" si="23"/>
        <v>63.398492599999997</v>
      </c>
      <c r="O214" s="41">
        <f t="shared" si="24"/>
        <v>0.19973446331271449</v>
      </c>
      <c r="P214" s="41">
        <f t="shared" si="24"/>
        <v>34.4375170801015</v>
      </c>
      <c r="Q214" s="41">
        <f t="shared" si="24"/>
        <v>-0.83055499510192388</v>
      </c>
      <c r="R214" s="41">
        <f t="shared" si="21"/>
        <v>2.7769577235228775</v>
      </c>
      <c r="S214" s="42">
        <f t="shared" si="25"/>
        <v>99.98214687183517</v>
      </c>
      <c r="T214" s="35"/>
      <c r="U214" s="43">
        <v>21078</v>
      </c>
      <c r="V214" s="44">
        <f t="shared" si="26"/>
        <v>2107423.6917645419</v>
      </c>
      <c r="W214" s="140">
        <f t="shared" si="27"/>
        <v>1.5915849117779941E-3</v>
      </c>
      <c r="X214" s="35"/>
      <c r="Y214" s="49">
        <v>817722.34998244303</v>
      </c>
    </row>
    <row r="215" spans="1:25" x14ac:dyDescent="0.35">
      <c r="A215" s="35"/>
      <c r="B215" s="47" t="s">
        <v>200</v>
      </c>
      <c r="C215" s="46">
        <v>687</v>
      </c>
      <c r="D215" s="40">
        <v>0.188830762053914</v>
      </c>
      <c r="E215" s="41">
        <v>5.4646629569158001E-2</v>
      </c>
      <c r="F215" s="41">
        <v>0.15978800422426001</v>
      </c>
      <c r="G215" s="48">
        <v>0.31355256701450901</v>
      </c>
      <c r="H215" s="35"/>
      <c r="I215" s="40">
        <f t="shared" si="22"/>
        <v>2.8495162292744486E-2</v>
      </c>
      <c r="J215" s="41">
        <f t="shared" si="22"/>
        <v>2.1898364825828423E-2</v>
      </c>
      <c r="K215" s="41">
        <f t="shared" si="22"/>
        <v>-2.0751280673880379E-2</v>
      </c>
      <c r="L215" s="48">
        <f t="shared" si="20"/>
        <v>3.2940017259130705E-2</v>
      </c>
      <c r="M215" s="35"/>
      <c r="N215" s="40">
        <f t="shared" si="23"/>
        <v>63.398492599999997</v>
      </c>
      <c r="O215" s="41">
        <f t="shared" si="24"/>
        <v>0.95630391548020943</v>
      </c>
      <c r="P215" s="41">
        <f t="shared" si="24"/>
        <v>89.940964450609798</v>
      </c>
      <c r="Q215" s="41">
        <f t="shared" si="24"/>
        <v>-1.5460766567611386</v>
      </c>
      <c r="R215" s="41">
        <f t="shared" si="21"/>
        <v>5.8169514334285521</v>
      </c>
      <c r="S215" s="42">
        <f t="shared" si="25"/>
        <v>158.56663574275743</v>
      </c>
      <c r="T215" s="35"/>
      <c r="U215" s="43">
        <v>30011</v>
      </c>
      <c r="V215" s="44">
        <f t="shared" si="26"/>
        <v>4758743.3052758928</v>
      </c>
      <c r="W215" s="140">
        <f t="shared" si="27"/>
        <v>3.5939351319335326E-3</v>
      </c>
      <c r="X215" s="35"/>
      <c r="Y215" s="49">
        <v>1846487.146253546</v>
      </c>
    </row>
    <row r="216" spans="1:25" x14ac:dyDescent="0.35">
      <c r="A216" s="35"/>
      <c r="B216" s="47" t="s">
        <v>202</v>
      </c>
      <c r="C216" s="46">
        <v>1842</v>
      </c>
      <c r="D216" s="40">
        <v>0.100242914979757</v>
      </c>
      <c r="E216" s="41">
        <v>1.28744939271255E-2</v>
      </c>
      <c r="F216" s="41">
        <v>0.19652036874026199</v>
      </c>
      <c r="G216" s="48">
        <v>0.25850801407322399</v>
      </c>
      <c r="H216" s="35"/>
      <c r="I216" s="40">
        <f t="shared" si="22"/>
        <v>-6.0092684781412511E-2</v>
      </c>
      <c r="J216" s="41">
        <f t="shared" si="22"/>
        <v>-1.9873770816204075E-2</v>
      </c>
      <c r="K216" s="41">
        <f t="shared" si="22"/>
        <v>1.5981083842121602E-2</v>
      </c>
      <c r="L216" s="48">
        <f t="shared" si="20"/>
        <v>-2.2104535682154314E-2</v>
      </c>
      <c r="M216" s="35"/>
      <c r="N216" s="40">
        <f t="shared" si="23"/>
        <v>63.398492599999997</v>
      </c>
      <c r="O216" s="41">
        <f t="shared" si="24"/>
        <v>-2.0167237216548557</v>
      </c>
      <c r="P216" s="41">
        <f t="shared" si="24"/>
        <v>-81.625551893788796</v>
      </c>
      <c r="Q216" s="41">
        <f t="shared" si="24"/>
        <v>1.190672569387331</v>
      </c>
      <c r="R216" s="41">
        <f t="shared" si="21"/>
        <v>-3.9034894702715586</v>
      </c>
      <c r="S216" s="42">
        <f t="shared" si="25"/>
        <v>-22.956599916327882</v>
      </c>
      <c r="T216" s="35"/>
      <c r="U216" s="43">
        <v>12350</v>
      </c>
      <c r="V216" s="44">
        <f t="shared" si="26"/>
        <v>123500</v>
      </c>
      <c r="W216" s="140">
        <f t="shared" si="27"/>
        <v>9.3270630567886582E-5</v>
      </c>
      <c r="X216" s="35"/>
      <c r="Y216" s="49">
        <v>47920.458813042038</v>
      </c>
    </row>
    <row r="217" spans="1:25" x14ac:dyDescent="0.35">
      <c r="A217" s="35"/>
      <c r="B217" s="47" t="s">
        <v>701</v>
      </c>
      <c r="C217" s="46">
        <v>1731</v>
      </c>
      <c r="D217" s="40">
        <v>0.161203756948438</v>
      </c>
      <c r="E217" s="41">
        <v>3.1483611270845299E-2</v>
      </c>
      <c r="F217" s="41">
        <v>0.194510094266553</v>
      </c>
      <c r="G217" s="48">
        <v>0.32365412267145</v>
      </c>
      <c r="H217" s="35"/>
      <c r="I217" s="40">
        <f t="shared" si="22"/>
        <v>8.6815718726848679E-4</v>
      </c>
      <c r="J217" s="41">
        <f t="shared" si="22"/>
        <v>-1.2646534724842784E-3</v>
      </c>
      <c r="K217" s="41">
        <f t="shared" si="22"/>
        <v>1.3970809368412607E-2</v>
      </c>
      <c r="L217" s="48">
        <f t="shared" si="20"/>
        <v>4.3041572916071691E-2</v>
      </c>
      <c r="M217" s="35"/>
      <c r="N217" s="40">
        <f t="shared" si="23"/>
        <v>63.398492599999997</v>
      </c>
      <c r="O217" s="41">
        <f t="shared" si="24"/>
        <v>2.9135546199311618E-2</v>
      </c>
      <c r="P217" s="41">
        <f t="shared" si="24"/>
        <v>-5.1941847674804977</v>
      </c>
      <c r="Q217" s="41">
        <f t="shared" si="24"/>
        <v>1.0408968284907056</v>
      </c>
      <c r="R217" s="41">
        <f t="shared" si="21"/>
        <v>7.6008077743724325</v>
      </c>
      <c r="S217" s="42">
        <f t="shared" si="25"/>
        <v>66.875147981581947</v>
      </c>
      <c r="T217" s="35"/>
      <c r="U217" s="43">
        <v>20868</v>
      </c>
      <c r="V217" s="44">
        <f t="shared" si="26"/>
        <v>1395550.5880796521</v>
      </c>
      <c r="W217" s="140">
        <f t="shared" si="27"/>
        <v>1.0539585695512072E-3</v>
      </c>
      <c r="X217" s="35"/>
      <c r="Y217" s="49">
        <v>541501.41277398833</v>
      </c>
    </row>
    <row r="218" spans="1:25" x14ac:dyDescent="0.35">
      <c r="A218" s="35"/>
      <c r="B218" s="47" t="s">
        <v>203</v>
      </c>
      <c r="C218" s="46">
        <v>1952</v>
      </c>
      <c r="D218" s="40">
        <v>0.214045275843462</v>
      </c>
      <c r="E218" s="41">
        <v>5.8329264845697303E-2</v>
      </c>
      <c r="F218" s="41">
        <v>0.19731675904221599</v>
      </c>
      <c r="G218" s="48">
        <v>0.35660499118190803</v>
      </c>
      <c r="H218" s="35"/>
      <c r="I218" s="40">
        <f t="shared" si="22"/>
        <v>5.370967608229249E-2</v>
      </c>
      <c r="J218" s="41">
        <f t="shared" si="22"/>
        <v>2.5581000102367725E-2</v>
      </c>
      <c r="K218" s="41">
        <f t="shared" si="22"/>
        <v>1.6777474144075599E-2</v>
      </c>
      <c r="L218" s="48">
        <f t="shared" si="20"/>
        <v>7.5992441426529722E-2</v>
      </c>
      <c r="M218" s="35"/>
      <c r="N218" s="40">
        <f t="shared" si="23"/>
        <v>63.398492599999997</v>
      </c>
      <c r="O218" s="41">
        <f t="shared" si="24"/>
        <v>1.8025085454504741</v>
      </c>
      <c r="P218" s="41">
        <f t="shared" si="24"/>
        <v>105.06628413206472</v>
      </c>
      <c r="Q218" s="41">
        <f t="shared" si="24"/>
        <v>1.25000772440125</v>
      </c>
      <c r="R218" s="41">
        <f t="shared" si="21"/>
        <v>13.419675454579679</v>
      </c>
      <c r="S218" s="42">
        <f t="shared" si="25"/>
        <v>184.93696845649615</v>
      </c>
      <c r="T218" s="35"/>
      <c r="U218" s="43">
        <v>38917</v>
      </c>
      <c r="V218" s="44">
        <f t="shared" si="26"/>
        <v>7197192.0014214609</v>
      </c>
      <c r="W218" s="140">
        <f t="shared" si="27"/>
        <v>5.4355193221921399E-3</v>
      </c>
      <c r="X218" s="35"/>
      <c r="Y218" s="49">
        <v>2792653.788450791</v>
      </c>
    </row>
    <row r="219" spans="1:25" x14ac:dyDescent="0.35">
      <c r="A219" s="35"/>
      <c r="B219" s="47" t="s">
        <v>204</v>
      </c>
      <c r="C219" s="46">
        <v>815</v>
      </c>
      <c r="D219" s="40">
        <v>0.128304043434776</v>
      </c>
      <c r="E219" s="41">
        <v>1.87169595656522E-2</v>
      </c>
      <c r="F219" s="41">
        <v>0.22380307210750899</v>
      </c>
      <c r="G219" s="48">
        <v>0.28498110800676402</v>
      </c>
      <c r="H219" s="35"/>
      <c r="I219" s="40">
        <f t="shared" si="22"/>
        <v>-3.2031556326393512E-2</v>
      </c>
      <c r="J219" s="41">
        <f t="shared" si="22"/>
        <v>-1.4031305177677377E-2</v>
      </c>
      <c r="K219" s="41">
        <f t="shared" si="22"/>
        <v>4.3263787209368604E-2</v>
      </c>
      <c r="L219" s="48">
        <f t="shared" si="20"/>
        <v>4.3685582513857124E-3</v>
      </c>
      <c r="M219" s="35"/>
      <c r="N219" s="40">
        <f t="shared" si="23"/>
        <v>63.398492599999997</v>
      </c>
      <c r="O219" s="41">
        <f t="shared" si="24"/>
        <v>-1.0749860772561581</v>
      </c>
      <c r="P219" s="41">
        <f t="shared" si="24"/>
        <v>-57.629376906382632</v>
      </c>
      <c r="Q219" s="41">
        <f t="shared" si="24"/>
        <v>3.2233736576884731</v>
      </c>
      <c r="R219" s="41">
        <f t="shared" si="21"/>
        <v>0.77145348718268603</v>
      </c>
      <c r="S219" s="42">
        <f t="shared" si="25"/>
        <v>8.6889567612323688</v>
      </c>
      <c r="T219" s="35"/>
      <c r="U219" s="43">
        <v>6999</v>
      </c>
      <c r="V219" s="44">
        <f t="shared" si="26"/>
        <v>69990</v>
      </c>
      <c r="W219" s="140">
        <f t="shared" si="27"/>
        <v>5.2858392173654907E-5</v>
      </c>
      <c r="X219" s="35"/>
      <c r="Y219" s="49">
        <v>27157.513460119932</v>
      </c>
    </row>
    <row r="220" spans="1:25" x14ac:dyDescent="0.35">
      <c r="A220" s="35"/>
      <c r="B220" s="47" t="s">
        <v>205</v>
      </c>
      <c r="C220" s="46">
        <v>1709</v>
      </c>
      <c r="D220" s="40">
        <v>0.14755217892355599</v>
      </c>
      <c r="E220" s="41">
        <v>2.6462930556148401E-2</v>
      </c>
      <c r="F220" s="41">
        <v>0.17080821783132</v>
      </c>
      <c r="G220" s="48">
        <v>0.27177796622540601</v>
      </c>
      <c r="H220" s="35"/>
      <c r="I220" s="40">
        <f t="shared" si="22"/>
        <v>-1.2783420837613524E-2</v>
      </c>
      <c r="J220" s="41">
        <f t="shared" si="22"/>
        <v>-6.2853341871811769E-3</v>
      </c>
      <c r="K220" s="41">
        <f t="shared" si="22"/>
        <v>-9.7310670668203925E-3</v>
      </c>
      <c r="L220" s="48">
        <f t="shared" si="20"/>
        <v>-8.8345835299722952E-3</v>
      </c>
      <c r="M220" s="35"/>
      <c r="N220" s="40">
        <f t="shared" si="23"/>
        <v>63.398492599999997</v>
      </c>
      <c r="O220" s="41">
        <f t="shared" si="24"/>
        <v>-0.42901441566289417</v>
      </c>
      <c r="P220" s="41">
        <f t="shared" si="24"/>
        <v>-25.815124699297215</v>
      </c>
      <c r="Q220" s="41">
        <f t="shared" si="24"/>
        <v>-0.72501431954150142</v>
      </c>
      <c r="R220" s="41">
        <f t="shared" si="21"/>
        <v>-1.5601188950249147</v>
      </c>
      <c r="S220" s="42">
        <f t="shared" si="25"/>
        <v>34.869220270473477</v>
      </c>
      <c r="T220" s="35"/>
      <c r="U220" s="43">
        <v>23429</v>
      </c>
      <c r="V220" s="44">
        <f t="shared" si="26"/>
        <v>816950.96171692305</v>
      </c>
      <c r="W220" s="140">
        <f t="shared" si="27"/>
        <v>6.1698405945245977E-4</v>
      </c>
      <c r="X220" s="35"/>
      <c r="Y220" s="49">
        <v>316993.23816381284</v>
      </c>
    </row>
    <row r="221" spans="1:25" x14ac:dyDescent="0.35">
      <c r="A221" s="35"/>
      <c r="B221" s="47" t="s">
        <v>817</v>
      </c>
      <c r="C221" s="46">
        <v>1927</v>
      </c>
      <c r="D221" s="40">
        <v>0.13418512831761401</v>
      </c>
      <c r="E221" s="41">
        <v>1.56284272866857E-2</v>
      </c>
      <c r="F221" s="41">
        <v>0.201743529220242</v>
      </c>
      <c r="G221" s="48">
        <v>0.26633922740358301</v>
      </c>
      <c r="H221" s="35"/>
      <c r="I221" s="40">
        <f t="shared" si="22"/>
        <v>-2.6150471443555506E-2</v>
      </c>
      <c r="J221" s="41">
        <f t="shared" si="22"/>
        <v>-1.7119837456643878E-2</v>
      </c>
      <c r="K221" s="41">
        <f t="shared" si="22"/>
        <v>2.1204244322101606E-2</v>
      </c>
      <c r="L221" s="48">
        <f t="shared" si="20"/>
        <v>-1.4273322351795292E-2</v>
      </c>
      <c r="M221" s="35"/>
      <c r="N221" s="40">
        <f t="shared" si="23"/>
        <v>63.398492599999997</v>
      </c>
      <c r="O221" s="41">
        <f t="shared" si="24"/>
        <v>-0.87761557474944041</v>
      </c>
      <c r="P221" s="41">
        <f t="shared" si="24"/>
        <v>-70.31459674432449</v>
      </c>
      <c r="Q221" s="41">
        <f t="shared" si="24"/>
        <v>1.579824767727499</v>
      </c>
      <c r="R221" s="41">
        <f t="shared" si="21"/>
        <v>-2.5205579663455988</v>
      </c>
      <c r="S221" s="42">
        <f t="shared" si="25"/>
        <v>-8.7344529176920336</v>
      </c>
      <c r="T221" s="35"/>
      <c r="U221" s="43">
        <v>18236</v>
      </c>
      <c r="V221" s="44">
        <f t="shared" si="26"/>
        <v>182360</v>
      </c>
      <c r="W221" s="140">
        <f t="shared" si="27"/>
        <v>1.3772333757376353E-4</v>
      </c>
      <c r="X221" s="35"/>
      <c r="Y221" s="49">
        <v>70759.310681346935</v>
      </c>
    </row>
    <row r="222" spans="1:25" x14ac:dyDescent="0.35">
      <c r="A222" s="35"/>
      <c r="B222" s="47" t="s">
        <v>207</v>
      </c>
      <c r="C222" s="46">
        <v>1955</v>
      </c>
      <c r="D222" s="40">
        <v>0.15684346932391999</v>
      </c>
      <c r="E222" s="41">
        <v>2.5961839224272799E-2</v>
      </c>
      <c r="F222" s="41">
        <v>0.24507387343833401</v>
      </c>
      <c r="G222" s="48">
        <v>0.28048357664596202</v>
      </c>
      <c r="H222" s="35"/>
      <c r="I222" s="40">
        <f t="shared" si="22"/>
        <v>-3.4921304372495243E-3</v>
      </c>
      <c r="J222" s="41">
        <f t="shared" si="22"/>
        <v>-6.7864255190567789E-3</v>
      </c>
      <c r="K222" s="41">
        <f t="shared" si="22"/>
        <v>6.4534588540193616E-2</v>
      </c>
      <c r="L222" s="48">
        <f t="shared" si="20"/>
        <v>-1.2897310941628604E-4</v>
      </c>
      <c r="M222" s="35"/>
      <c r="N222" s="40">
        <f t="shared" si="23"/>
        <v>63.398492599999997</v>
      </c>
      <c r="O222" s="41">
        <f t="shared" si="24"/>
        <v>-0.11719666574279024</v>
      </c>
      <c r="P222" s="41">
        <f t="shared" si="24"/>
        <v>-27.873207027598514</v>
      </c>
      <c r="Q222" s="41">
        <f t="shared" si="24"/>
        <v>4.8081572633377503</v>
      </c>
      <c r="R222" s="41">
        <f t="shared" si="21"/>
        <v>-2.2775650291587044E-2</v>
      </c>
      <c r="S222" s="42">
        <f t="shared" si="25"/>
        <v>40.193470519704853</v>
      </c>
      <c r="T222" s="35"/>
      <c r="U222" s="43">
        <v>22379</v>
      </c>
      <c r="V222" s="44">
        <f t="shared" si="26"/>
        <v>899489.67676047492</v>
      </c>
      <c r="W222" s="140">
        <f t="shared" si="27"/>
        <v>6.7931958980367579E-4</v>
      </c>
      <c r="X222" s="35"/>
      <c r="Y222" s="49">
        <v>349019.90289843583</v>
      </c>
    </row>
    <row r="223" spans="1:25" x14ac:dyDescent="0.35">
      <c r="A223" s="35"/>
      <c r="B223" s="47" t="s">
        <v>208</v>
      </c>
      <c r="C223" s="46">
        <v>335</v>
      </c>
      <c r="D223" s="40">
        <v>0.102031447262711</v>
      </c>
      <c r="E223" s="41">
        <v>1.54940892918627E-2</v>
      </c>
      <c r="F223" s="41">
        <v>0.21697175962940399</v>
      </c>
      <c r="G223" s="48">
        <v>0.24144446981364001</v>
      </c>
      <c r="H223" s="35"/>
      <c r="I223" s="40">
        <f t="shared" si="22"/>
        <v>-5.8304152498458509E-2</v>
      </c>
      <c r="J223" s="41">
        <f t="shared" si="22"/>
        <v>-1.7254175451466878E-2</v>
      </c>
      <c r="K223" s="41">
        <f t="shared" si="22"/>
        <v>3.6432474731263598E-2</v>
      </c>
      <c r="L223" s="48">
        <f t="shared" si="20"/>
        <v>-3.9168079941738293E-2</v>
      </c>
      <c r="M223" s="35"/>
      <c r="N223" s="40">
        <f t="shared" si="23"/>
        <v>63.398492599999997</v>
      </c>
      <c r="O223" s="41">
        <f t="shared" si="24"/>
        <v>-1.9567001847618173</v>
      </c>
      <c r="P223" s="41">
        <f t="shared" si="24"/>
        <v>-70.866349759348267</v>
      </c>
      <c r="Q223" s="41">
        <f t="shared" si="24"/>
        <v>2.7144059017497622</v>
      </c>
      <c r="R223" s="41">
        <f t="shared" si="21"/>
        <v>-6.9167789734106346</v>
      </c>
      <c r="S223" s="42">
        <f t="shared" si="25"/>
        <v>-13.626930415770957</v>
      </c>
      <c r="T223" s="35"/>
      <c r="U223" s="43">
        <v>8713</v>
      </c>
      <c r="V223" s="44">
        <f t="shared" si="26"/>
        <v>87130</v>
      </c>
      <c r="W223" s="140">
        <f t="shared" si="27"/>
        <v>6.580299628647738E-5</v>
      </c>
      <c r="X223" s="35"/>
      <c r="Y223" s="49">
        <v>33808.17470753321</v>
      </c>
    </row>
    <row r="224" spans="1:25" x14ac:dyDescent="0.35">
      <c r="A224" s="35"/>
      <c r="B224" s="47" t="s">
        <v>209</v>
      </c>
      <c r="C224" s="46">
        <v>944</v>
      </c>
      <c r="D224" s="40">
        <v>0.136238629151682</v>
      </c>
      <c r="E224" s="41">
        <v>2.6443833298074901E-2</v>
      </c>
      <c r="F224" s="41">
        <v>0.109018422574593</v>
      </c>
      <c r="G224" s="48">
        <v>0.28980159736356798</v>
      </c>
      <c r="H224" s="35"/>
      <c r="I224" s="40">
        <f t="shared" si="22"/>
        <v>-2.4096970609487511E-2</v>
      </c>
      <c r="J224" s="41">
        <f t="shared" si="22"/>
        <v>-6.3044314452546761E-3</v>
      </c>
      <c r="K224" s="41">
        <f t="shared" si="22"/>
        <v>-7.1520862323547388E-2</v>
      </c>
      <c r="L224" s="48">
        <f t="shared" si="20"/>
        <v>9.189047608189671E-3</v>
      </c>
      <c r="M224" s="35"/>
      <c r="N224" s="40">
        <f t="shared" si="23"/>
        <v>63.398492599999997</v>
      </c>
      <c r="O224" s="41">
        <f t="shared" si="24"/>
        <v>-0.80869963498793496</v>
      </c>
      <c r="P224" s="41">
        <f t="shared" si="24"/>
        <v>-25.893560958038638</v>
      </c>
      <c r="Q224" s="41">
        <f t="shared" si="24"/>
        <v>-5.3286704299193772</v>
      </c>
      <c r="R224" s="41">
        <f t="shared" si="21"/>
        <v>1.6227145005968564</v>
      </c>
      <c r="S224" s="42">
        <f t="shared" si="25"/>
        <v>32.990276077650911</v>
      </c>
      <c r="T224" s="35"/>
      <c r="U224" s="43">
        <v>4727</v>
      </c>
      <c r="V224" s="44">
        <f t="shared" si="26"/>
        <v>155945.03501905585</v>
      </c>
      <c r="W224" s="140">
        <f t="shared" si="27"/>
        <v>1.1777402226848983E-4</v>
      </c>
      <c r="X224" s="35"/>
      <c r="Y224" s="49">
        <v>60509.778362178651</v>
      </c>
    </row>
    <row r="225" spans="1:25" x14ac:dyDescent="0.35">
      <c r="A225" s="35"/>
      <c r="B225" s="47" t="s">
        <v>210</v>
      </c>
      <c r="C225" s="46">
        <v>1740</v>
      </c>
      <c r="D225" s="40">
        <v>0.16009296602638601</v>
      </c>
      <c r="E225" s="41">
        <v>2.3036434479458599E-2</v>
      </c>
      <c r="F225" s="41">
        <v>0.27099760032394699</v>
      </c>
      <c r="G225" s="48">
        <v>0.27684247133219603</v>
      </c>
      <c r="H225" s="35"/>
      <c r="I225" s="40">
        <f t="shared" si="22"/>
        <v>-2.4263373478350392E-4</v>
      </c>
      <c r="J225" s="41">
        <f t="shared" si="22"/>
        <v>-9.7118302638709783E-3</v>
      </c>
      <c r="K225" s="41">
        <f t="shared" si="22"/>
        <v>9.0458315425806596E-2</v>
      </c>
      <c r="L225" s="48">
        <f t="shared" si="20"/>
        <v>-3.770078423182277E-3</v>
      </c>
      <c r="M225" s="35"/>
      <c r="N225" s="40">
        <f t="shared" si="23"/>
        <v>63.398492599999997</v>
      </c>
      <c r="O225" s="41">
        <f t="shared" si="24"/>
        <v>-8.1428415187560447E-3</v>
      </c>
      <c r="P225" s="41">
        <f t="shared" si="24"/>
        <v>-39.888429454007486</v>
      </c>
      <c r="Q225" s="41">
        <f t="shared" si="24"/>
        <v>6.7396076457975722</v>
      </c>
      <c r="R225" s="41">
        <f t="shared" si="21"/>
        <v>-0.66576659372542624</v>
      </c>
      <c r="S225" s="42">
        <f t="shared" si="25"/>
        <v>29.575761356545904</v>
      </c>
      <c r="T225" s="35"/>
      <c r="U225" s="43">
        <v>14629</v>
      </c>
      <c r="V225" s="44">
        <f t="shared" si="26"/>
        <v>432663.81288491003</v>
      </c>
      <c r="W225" s="140">
        <f t="shared" si="27"/>
        <v>3.2675972997313075E-4</v>
      </c>
      <c r="X225" s="35"/>
      <c r="Y225" s="49">
        <v>167882.17348376563</v>
      </c>
    </row>
    <row r="226" spans="1:25" x14ac:dyDescent="0.35">
      <c r="A226" s="35"/>
      <c r="B226" s="47" t="s">
        <v>211</v>
      </c>
      <c r="C226" s="46">
        <v>946</v>
      </c>
      <c r="D226" s="40">
        <v>0.12979214780600501</v>
      </c>
      <c r="E226" s="41">
        <v>1.7551963048498799E-2</v>
      </c>
      <c r="F226" s="41">
        <v>0.233117518298988</v>
      </c>
      <c r="G226" s="48">
        <v>0.26535920444434302</v>
      </c>
      <c r="H226" s="35"/>
      <c r="I226" s="40">
        <f t="shared" si="22"/>
        <v>-3.0543451955164502E-2</v>
      </c>
      <c r="J226" s="41">
        <f t="shared" si="22"/>
        <v>-1.5196301694830779E-2</v>
      </c>
      <c r="K226" s="41">
        <f t="shared" si="22"/>
        <v>5.2578233400847607E-2</v>
      </c>
      <c r="L226" s="48">
        <f t="shared" si="20"/>
        <v>-1.5253345311035282E-2</v>
      </c>
      <c r="M226" s="35"/>
      <c r="N226" s="40">
        <f t="shared" si="23"/>
        <v>63.398492599999997</v>
      </c>
      <c r="O226" s="41">
        <f t="shared" si="24"/>
        <v>-1.0250449671747508</v>
      </c>
      <c r="P226" s="41">
        <f t="shared" si="24"/>
        <v>-62.414250624935008</v>
      </c>
      <c r="Q226" s="41">
        <f t="shared" si="24"/>
        <v>3.9173475889181595</v>
      </c>
      <c r="R226" s="41">
        <f t="shared" si="21"/>
        <v>-2.6936224159692173</v>
      </c>
      <c r="S226" s="42">
        <f t="shared" si="25"/>
        <v>1.1829221808391814</v>
      </c>
      <c r="T226" s="35"/>
      <c r="U226" s="43">
        <v>10825</v>
      </c>
      <c r="V226" s="44">
        <f t="shared" si="26"/>
        <v>108250</v>
      </c>
      <c r="W226" s="140">
        <f t="shared" si="27"/>
        <v>8.1753406955252809E-5</v>
      </c>
      <c r="X226" s="35"/>
      <c r="Y226" s="49">
        <v>42003.155194427527</v>
      </c>
    </row>
    <row r="227" spans="1:25" x14ac:dyDescent="0.35">
      <c r="A227" s="35"/>
      <c r="B227" s="47" t="s">
        <v>809</v>
      </c>
      <c r="C227" s="46">
        <v>304</v>
      </c>
      <c r="D227" s="40">
        <v>0.141821419486136</v>
      </c>
      <c r="E227" s="41">
        <v>2.0096667514627301E-2</v>
      </c>
      <c r="F227" s="41">
        <v>0.239134999978663</v>
      </c>
      <c r="G227" s="48">
        <v>0.25153491119468702</v>
      </c>
      <c r="H227" s="35"/>
      <c r="I227" s="40">
        <f t="shared" si="22"/>
        <v>-1.8514180275033515E-2</v>
      </c>
      <c r="J227" s="41">
        <f t="shared" si="22"/>
        <v>-1.2651597228702276E-2</v>
      </c>
      <c r="K227" s="41">
        <f t="shared" si="22"/>
        <v>5.8595715080522609E-2</v>
      </c>
      <c r="L227" s="48">
        <f t="shared" si="20"/>
        <v>-2.9077638560691288E-2</v>
      </c>
      <c r="M227" s="35"/>
      <c r="N227" s="40">
        <f t="shared" si="23"/>
        <v>63.398492599999997</v>
      </c>
      <c r="O227" s="41">
        <f t="shared" si="24"/>
        <v>-0.62133996314978523</v>
      </c>
      <c r="P227" s="41">
        <f t="shared" si="24"/>
        <v>-51.96264039075794</v>
      </c>
      <c r="Q227" s="41">
        <f t="shared" si="24"/>
        <v>4.3656807835601468</v>
      </c>
      <c r="R227" s="41">
        <f t="shared" si="21"/>
        <v>-5.1348853273428503</v>
      </c>
      <c r="S227" s="42">
        <f t="shared" si="25"/>
        <v>10.045307702309568</v>
      </c>
      <c r="T227" s="35"/>
      <c r="U227" s="43">
        <v>7862</v>
      </c>
      <c r="V227" s="44">
        <f t="shared" si="26"/>
        <v>78976.209155557823</v>
      </c>
      <c r="W227" s="140">
        <f t="shared" si="27"/>
        <v>5.9645026945750402E-5</v>
      </c>
      <c r="X227" s="35"/>
      <c r="Y227" s="49">
        <v>30644.341522664788</v>
      </c>
    </row>
    <row r="228" spans="1:25" x14ac:dyDescent="0.35">
      <c r="A228" s="35"/>
      <c r="B228" s="47" t="s">
        <v>212</v>
      </c>
      <c r="C228" s="46">
        <v>356</v>
      </c>
      <c r="D228" s="40">
        <v>0.155803372731319</v>
      </c>
      <c r="E228" s="41">
        <v>3.8227585183719902E-2</v>
      </c>
      <c r="F228" s="41">
        <v>0.18797203464707099</v>
      </c>
      <c r="G228" s="48">
        <v>0.23439181766419101</v>
      </c>
      <c r="H228" s="35"/>
      <c r="I228" s="40">
        <f t="shared" si="22"/>
        <v>-4.5322270298505107E-3</v>
      </c>
      <c r="J228" s="41">
        <f t="shared" si="22"/>
        <v>5.4793204403903242E-3</v>
      </c>
      <c r="K228" s="41">
        <f t="shared" si="22"/>
        <v>7.4327497489306005E-3</v>
      </c>
      <c r="L228" s="48">
        <f t="shared" si="20"/>
        <v>-4.6220732091187294E-2</v>
      </c>
      <c r="M228" s="35"/>
      <c r="N228" s="40">
        <f t="shared" si="23"/>
        <v>63.398492599999997</v>
      </c>
      <c r="O228" s="41">
        <f t="shared" si="24"/>
        <v>-0.1521025362117297</v>
      </c>
      <c r="P228" s="41">
        <f t="shared" si="24"/>
        <v>22.50466502235755</v>
      </c>
      <c r="Q228" s="41">
        <f t="shared" si="24"/>
        <v>0.55377791197404425</v>
      </c>
      <c r="R228" s="41">
        <f t="shared" si="21"/>
        <v>-8.1622226144226495</v>
      </c>
      <c r="S228" s="42">
        <f t="shared" si="25"/>
        <v>78.142610383697203</v>
      </c>
      <c r="T228" s="35"/>
      <c r="U228" s="43">
        <v>40442</v>
      </c>
      <c r="V228" s="44">
        <f t="shared" si="26"/>
        <v>3160243.4491374823</v>
      </c>
      <c r="W228" s="140">
        <f t="shared" si="27"/>
        <v>2.386703637644419E-3</v>
      </c>
      <c r="X228" s="35"/>
      <c r="Y228" s="49">
        <v>1226237.376871082</v>
      </c>
    </row>
    <row r="229" spans="1:25" x14ac:dyDescent="0.35">
      <c r="A229" s="35"/>
      <c r="B229" s="47" t="s">
        <v>213</v>
      </c>
      <c r="C229" s="46">
        <v>569</v>
      </c>
      <c r="D229" s="40">
        <v>0.13829433292669399</v>
      </c>
      <c r="E229" s="41">
        <v>1.7910613286015301E-2</v>
      </c>
      <c r="F229" s="41">
        <v>0.19860439363642199</v>
      </c>
      <c r="G229" s="48">
        <v>0.24563920779957699</v>
      </c>
      <c r="H229" s="35"/>
      <c r="I229" s="40">
        <f t="shared" si="22"/>
        <v>-2.204126683447552E-2</v>
      </c>
      <c r="J229" s="41">
        <f t="shared" si="22"/>
        <v>-1.4837651457314277E-2</v>
      </c>
      <c r="K229" s="41">
        <f t="shared" si="22"/>
        <v>1.8065108738281599E-2</v>
      </c>
      <c r="L229" s="48">
        <f t="shared" si="20"/>
        <v>-3.4973341955801318E-2</v>
      </c>
      <c r="M229" s="35"/>
      <c r="N229" s="40">
        <f t="shared" si="23"/>
        <v>63.398492599999997</v>
      </c>
      <c r="O229" s="41">
        <f t="shared" si="24"/>
        <v>-0.73970976404370203</v>
      </c>
      <c r="P229" s="41">
        <f t="shared" si="24"/>
        <v>-60.941202362234229</v>
      </c>
      <c r="Q229" s="41">
        <f t="shared" si="24"/>
        <v>1.3459430943587192</v>
      </c>
      <c r="R229" s="41">
        <f t="shared" si="21"/>
        <v>-6.1760207962609357</v>
      </c>
      <c r="S229" s="42">
        <f t="shared" si="25"/>
        <v>-3.1124972281801506</v>
      </c>
      <c r="T229" s="35"/>
      <c r="U229" s="43">
        <v>18034</v>
      </c>
      <c r="V229" s="44">
        <f t="shared" si="26"/>
        <v>180340</v>
      </c>
      <c r="W229" s="140">
        <f t="shared" si="27"/>
        <v>1.3619777746245074E-4</v>
      </c>
      <c r="X229" s="35"/>
      <c r="Y229" s="49">
        <v>69975.510464323888</v>
      </c>
    </row>
    <row r="230" spans="1:25" x14ac:dyDescent="0.35">
      <c r="A230" s="35"/>
      <c r="B230" s="47" t="s">
        <v>214</v>
      </c>
      <c r="C230" s="46">
        <v>267</v>
      </c>
      <c r="D230" s="40">
        <v>0.13715568406635201</v>
      </c>
      <c r="E230" s="41">
        <v>1.9555623192816899E-2</v>
      </c>
      <c r="F230" s="41">
        <v>0.20243859018777999</v>
      </c>
      <c r="G230" s="48">
        <v>0.243471531566858</v>
      </c>
      <c r="H230" s="35"/>
      <c r="I230" s="40">
        <f t="shared" si="22"/>
        <v>-2.3179915694817504E-2</v>
      </c>
      <c r="J230" s="41">
        <f t="shared" si="22"/>
        <v>-1.3192641550512679E-2</v>
      </c>
      <c r="K230" s="41">
        <f t="shared" si="22"/>
        <v>2.1899305289639598E-2</v>
      </c>
      <c r="L230" s="48">
        <f t="shared" si="20"/>
        <v>-3.7141018188520308E-2</v>
      </c>
      <c r="M230" s="35"/>
      <c r="N230" s="40">
        <f t="shared" si="23"/>
        <v>63.398492599999997</v>
      </c>
      <c r="O230" s="41">
        <f t="shared" si="24"/>
        <v>-0.77792307029952834</v>
      </c>
      <c r="P230" s="41">
        <f t="shared" si="24"/>
        <v>-54.18481764011851</v>
      </c>
      <c r="Q230" s="41">
        <f t="shared" si="24"/>
        <v>1.6316103685212331</v>
      </c>
      <c r="R230" s="41">
        <f t="shared" si="21"/>
        <v>-6.5588155977915434</v>
      </c>
      <c r="S230" s="42">
        <f t="shared" si="25"/>
        <v>3.508546660311648</v>
      </c>
      <c r="T230" s="35"/>
      <c r="U230" s="43">
        <v>26284</v>
      </c>
      <c r="V230" s="44">
        <f t="shared" si="26"/>
        <v>262840</v>
      </c>
      <c r="W230" s="140">
        <f t="shared" si="27"/>
        <v>1.985040691373547E-4</v>
      </c>
      <c r="X230" s="35"/>
      <c r="Y230" s="49">
        <v>101987.15299125478</v>
      </c>
    </row>
    <row r="231" spans="1:25" x14ac:dyDescent="0.35">
      <c r="A231" s="35"/>
      <c r="B231" s="47" t="s">
        <v>215</v>
      </c>
      <c r="C231" s="46">
        <v>268</v>
      </c>
      <c r="D231" s="40">
        <v>0.20042735737150799</v>
      </c>
      <c r="E231" s="41">
        <v>7.2610129832144404E-2</v>
      </c>
      <c r="F231" s="41">
        <v>9.9776948531890494E-2</v>
      </c>
      <c r="G231" s="48">
        <v>0.28347551773825103</v>
      </c>
      <c r="H231" s="35"/>
      <c r="I231" s="40">
        <f t="shared" si="22"/>
        <v>4.009175761033848E-2</v>
      </c>
      <c r="J231" s="41">
        <f t="shared" si="22"/>
        <v>3.9861865088814827E-2</v>
      </c>
      <c r="K231" s="41">
        <f t="shared" si="22"/>
        <v>-8.0762336366249896E-2</v>
      </c>
      <c r="L231" s="48">
        <f t="shared" si="20"/>
        <v>2.8629679828727217E-3</v>
      </c>
      <c r="M231" s="35"/>
      <c r="N231" s="40">
        <f t="shared" si="23"/>
        <v>63.398492599999997</v>
      </c>
      <c r="O231" s="41">
        <f t="shared" si="24"/>
        <v>1.3454882055896338</v>
      </c>
      <c r="P231" s="41">
        <f t="shared" si="24"/>
        <v>163.72065309001758</v>
      </c>
      <c r="Q231" s="41">
        <f t="shared" si="24"/>
        <v>-6.0172075624478127</v>
      </c>
      <c r="R231" s="41">
        <f t="shared" si="21"/>
        <v>0.50557792914377553</v>
      </c>
      <c r="S231" s="42">
        <f t="shared" si="25"/>
        <v>222.95300426230318</v>
      </c>
      <c r="T231" s="35"/>
      <c r="U231" s="43">
        <v>123082</v>
      </c>
      <c r="V231" s="44">
        <f t="shared" si="26"/>
        <v>27441501.670612801</v>
      </c>
      <c r="W231" s="140">
        <f t="shared" si="27"/>
        <v>2.0724584328322016E-2</v>
      </c>
      <c r="X231" s="35"/>
      <c r="Y231" s="49">
        <v>10647848.992507085</v>
      </c>
    </row>
    <row r="232" spans="1:25" x14ac:dyDescent="0.35">
      <c r="A232" s="35"/>
      <c r="B232" s="47" t="s">
        <v>216</v>
      </c>
      <c r="C232" s="46">
        <v>1930</v>
      </c>
      <c r="D232" s="40">
        <v>0.187821273230526</v>
      </c>
      <c r="E232" s="41">
        <v>4.9049210970919202E-2</v>
      </c>
      <c r="F232" s="41">
        <v>0.18414092239468699</v>
      </c>
      <c r="G232" s="48">
        <v>0.27877279981384001</v>
      </c>
      <c r="H232" s="35"/>
      <c r="I232" s="40">
        <f t="shared" si="22"/>
        <v>2.7485673469356486E-2</v>
      </c>
      <c r="J232" s="41">
        <f t="shared" si="22"/>
        <v>1.6300946227589624E-2</v>
      </c>
      <c r="K232" s="41">
        <f t="shared" si="22"/>
        <v>3.6016374965466003E-3</v>
      </c>
      <c r="L232" s="48">
        <f t="shared" si="20"/>
        <v>-1.8397499415382934E-3</v>
      </c>
      <c r="M232" s="35"/>
      <c r="N232" s="40">
        <f t="shared" si="23"/>
        <v>63.398492599999997</v>
      </c>
      <c r="O232" s="41">
        <f t="shared" si="24"/>
        <v>0.92242524847976692</v>
      </c>
      <c r="P232" s="41">
        <f t="shared" si="24"/>
        <v>66.951246671975028</v>
      </c>
      <c r="Q232" s="41">
        <f t="shared" si="24"/>
        <v>0.26834043387670403</v>
      </c>
      <c r="R232" s="41">
        <f t="shared" si="21"/>
        <v>-0.32488556321611628</v>
      </c>
      <c r="S232" s="42">
        <f t="shared" si="25"/>
        <v>131.21561939111538</v>
      </c>
      <c r="T232" s="35"/>
      <c r="U232" s="43">
        <v>55638</v>
      </c>
      <c r="V232" s="44">
        <f t="shared" si="26"/>
        <v>7300574.6316828774</v>
      </c>
      <c r="W232" s="140">
        <f t="shared" si="27"/>
        <v>5.5135967563156134E-3</v>
      </c>
      <c r="X232" s="35"/>
      <c r="Y232" s="49">
        <v>2832768.3072801521</v>
      </c>
    </row>
    <row r="233" spans="1:25" x14ac:dyDescent="0.35">
      <c r="A233" s="35"/>
      <c r="B233" s="47" t="s">
        <v>218</v>
      </c>
      <c r="C233" s="46">
        <v>1695</v>
      </c>
      <c r="D233" s="40">
        <v>0.157280682073143</v>
      </c>
      <c r="E233" s="41">
        <v>2.8943235360107698E-2</v>
      </c>
      <c r="F233" s="41">
        <v>0.27191615591415302</v>
      </c>
      <c r="G233" s="48">
        <v>0.30688293076740603</v>
      </c>
      <c r="H233" s="35"/>
      <c r="I233" s="40">
        <f t="shared" si="22"/>
        <v>-3.054917688026515E-3</v>
      </c>
      <c r="J233" s="41">
        <f t="shared" si="22"/>
        <v>-3.8050293832218793E-3</v>
      </c>
      <c r="K233" s="41">
        <f t="shared" si="22"/>
        <v>9.1376871016012634E-2</v>
      </c>
      <c r="L233" s="48">
        <f t="shared" si="20"/>
        <v>2.6270381012027721E-2</v>
      </c>
      <c r="M233" s="35"/>
      <c r="N233" s="40">
        <f t="shared" si="23"/>
        <v>63.398492599999997</v>
      </c>
      <c r="O233" s="41">
        <f t="shared" si="24"/>
        <v>-0.10252370969206122</v>
      </c>
      <c r="P233" s="41">
        <f t="shared" si="24"/>
        <v>-15.62801675886949</v>
      </c>
      <c r="Q233" s="41">
        <f t="shared" si="24"/>
        <v>6.8080447402725435</v>
      </c>
      <c r="R233" s="41">
        <f t="shared" si="21"/>
        <v>4.6391454285674421</v>
      </c>
      <c r="S233" s="42">
        <f t="shared" si="25"/>
        <v>59.115142300278436</v>
      </c>
      <c r="T233" s="35"/>
      <c r="U233" s="43">
        <v>4457</v>
      </c>
      <c r="V233" s="44">
        <f t="shared" si="26"/>
        <v>263476.18923234101</v>
      </c>
      <c r="W233" s="140">
        <f t="shared" si="27"/>
        <v>1.989845369176053E-4</v>
      </c>
      <c r="X233" s="35"/>
      <c r="Y233" s="49">
        <v>102234.00707956005</v>
      </c>
    </row>
    <row r="234" spans="1:25" x14ac:dyDescent="0.35">
      <c r="A234" s="35"/>
      <c r="B234" s="47" t="s">
        <v>219</v>
      </c>
      <c r="C234" s="46">
        <v>1699</v>
      </c>
      <c r="D234" s="40">
        <v>0.206234388009992</v>
      </c>
      <c r="E234" s="41">
        <v>3.8821815154038299E-2</v>
      </c>
      <c r="F234" s="41">
        <v>0.125096301825529</v>
      </c>
      <c r="G234" s="48">
        <v>0.33763154309030602</v>
      </c>
      <c r="H234" s="35"/>
      <c r="I234" s="40">
        <f t="shared" si="22"/>
        <v>4.5898788248822486E-2</v>
      </c>
      <c r="J234" s="41">
        <f t="shared" si="22"/>
        <v>6.073550410708721E-3</v>
      </c>
      <c r="K234" s="41">
        <f t="shared" si="22"/>
        <v>-5.544298307261139E-2</v>
      </c>
      <c r="L234" s="48">
        <f t="shared" si="20"/>
        <v>5.7018993334927714E-2</v>
      </c>
      <c r="M234" s="35"/>
      <c r="N234" s="40">
        <f t="shared" si="23"/>
        <v>63.398492599999997</v>
      </c>
      <c r="O234" s="41">
        <f t="shared" si="24"/>
        <v>1.5403734313638975</v>
      </c>
      <c r="P234" s="41">
        <f t="shared" si="24"/>
        <v>24.945286368333868</v>
      </c>
      <c r="Q234" s="41">
        <f t="shared" si="24"/>
        <v>-4.1307861069828808</v>
      </c>
      <c r="R234" s="41">
        <f t="shared" si="21"/>
        <v>10.069111755559955</v>
      </c>
      <c r="S234" s="42">
        <f t="shared" si="25"/>
        <v>95.822478048274846</v>
      </c>
      <c r="T234" s="35"/>
      <c r="U234" s="43">
        <v>19216</v>
      </c>
      <c r="V234" s="44">
        <f t="shared" si="26"/>
        <v>1841324.7381756494</v>
      </c>
      <c r="W234" s="140">
        <f t="shared" si="27"/>
        <v>1.3906195903634936E-3</v>
      </c>
      <c r="X234" s="35"/>
      <c r="Y234" s="49">
        <v>714470.65811483085</v>
      </c>
    </row>
    <row r="235" spans="1:25" x14ac:dyDescent="0.35">
      <c r="A235" s="35"/>
      <c r="B235" s="47" t="s">
        <v>220</v>
      </c>
      <c r="C235" s="46">
        <v>171</v>
      </c>
      <c r="D235" s="40">
        <v>0.169774747677294</v>
      </c>
      <c r="E235" s="41">
        <v>3.8901142971726498E-2</v>
      </c>
      <c r="F235" s="41">
        <v>0.174951458882424</v>
      </c>
      <c r="G235" s="48">
        <v>0.29173636815020698</v>
      </c>
      <c r="H235" s="35"/>
      <c r="I235" s="40">
        <f t="shared" si="22"/>
        <v>9.4391479161244907E-3</v>
      </c>
      <c r="J235" s="41">
        <f t="shared" si="22"/>
        <v>6.1528782283969199E-3</v>
      </c>
      <c r="K235" s="41">
        <f t="shared" si="22"/>
        <v>-5.5878260157163906E-3</v>
      </c>
      <c r="L235" s="48">
        <f t="shared" si="20"/>
        <v>1.1123818394828677E-2</v>
      </c>
      <c r="M235" s="35"/>
      <c r="N235" s="40">
        <f t="shared" si="23"/>
        <v>63.398492599999997</v>
      </c>
      <c r="O235" s="41">
        <f t="shared" si="24"/>
        <v>0.31677988067767948</v>
      </c>
      <c r="P235" s="41">
        <f t="shared" si="24"/>
        <v>25.271101582729397</v>
      </c>
      <c r="Q235" s="41">
        <f t="shared" si="24"/>
        <v>-0.41632164784007158</v>
      </c>
      <c r="R235" s="41">
        <f t="shared" si="21"/>
        <v>1.9643800076960005</v>
      </c>
      <c r="S235" s="42">
        <f t="shared" si="25"/>
        <v>90.534432423262984</v>
      </c>
      <c r="T235" s="35"/>
      <c r="U235" s="43">
        <v>29922</v>
      </c>
      <c r="V235" s="44">
        <f t="shared" si="26"/>
        <v>2708971.2869688752</v>
      </c>
      <c r="W235" s="140">
        <f t="shared" si="27"/>
        <v>2.0458903653917913E-3</v>
      </c>
      <c r="X235" s="35"/>
      <c r="Y235" s="49">
        <v>1051134.79338385</v>
      </c>
    </row>
    <row r="236" spans="1:25" x14ac:dyDescent="0.35">
      <c r="A236" s="35"/>
      <c r="B236" s="47" t="s">
        <v>221</v>
      </c>
      <c r="C236" s="46">
        <v>575</v>
      </c>
      <c r="D236" s="40">
        <v>0.16540808312692601</v>
      </c>
      <c r="E236" s="41">
        <v>2.0721319398296401E-2</v>
      </c>
      <c r="F236" s="41">
        <v>0.16001185694880901</v>
      </c>
      <c r="G236" s="48">
        <v>0.25107311618293199</v>
      </c>
      <c r="H236" s="35"/>
      <c r="I236" s="40">
        <f t="shared" si="22"/>
        <v>5.0724833657564972E-3</v>
      </c>
      <c r="J236" s="41">
        <f t="shared" si="22"/>
        <v>-1.2026945345033176E-2</v>
      </c>
      <c r="K236" s="41">
        <f t="shared" si="22"/>
        <v>-2.0527427949331378E-2</v>
      </c>
      <c r="L236" s="48">
        <f t="shared" si="20"/>
        <v>-2.9539433572446316E-2</v>
      </c>
      <c r="M236" s="35"/>
      <c r="N236" s="40">
        <f t="shared" si="23"/>
        <v>63.398492599999997</v>
      </c>
      <c r="O236" s="41">
        <f t="shared" si="24"/>
        <v>0.17023365770112853</v>
      </c>
      <c r="P236" s="41">
        <f t="shared" si="24"/>
        <v>-49.397070161659173</v>
      </c>
      <c r="Q236" s="41">
        <f t="shared" si="24"/>
        <v>-1.5293984826562883</v>
      </c>
      <c r="R236" s="41">
        <f t="shared" si="21"/>
        <v>-5.216434742889497</v>
      </c>
      <c r="S236" s="42">
        <f t="shared" si="25"/>
        <v>7.4258228704961642</v>
      </c>
      <c r="T236" s="35"/>
      <c r="U236" s="43">
        <v>16553</v>
      </c>
      <c r="V236" s="44">
        <f t="shared" si="26"/>
        <v>165530</v>
      </c>
      <c r="W236" s="140">
        <f t="shared" si="27"/>
        <v>1.250128540720831E-4</v>
      </c>
      <c r="X236" s="35"/>
      <c r="Y236" s="49">
        <v>64228.93560585301</v>
      </c>
    </row>
    <row r="237" spans="1:25" x14ac:dyDescent="0.35">
      <c r="A237" s="35"/>
      <c r="B237" s="47" t="s">
        <v>818</v>
      </c>
      <c r="C237" s="46">
        <v>576</v>
      </c>
      <c r="D237" s="40">
        <v>0.12939266615737199</v>
      </c>
      <c r="E237" s="41">
        <v>2.1008403361344501E-2</v>
      </c>
      <c r="F237" s="41">
        <v>0.15049318103102699</v>
      </c>
      <c r="G237" s="48">
        <v>0.25431841531494498</v>
      </c>
      <c r="H237" s="35"/>
      <c r="I237" s="40">
        <f t="shared" si="22"/>
        <v>-3.0942933603797518E-2</v>
      </c>
      <c r="J237" s="41">
        <f t="shared" si="22"/>
        <v>-1.1739861381985076E-2</v>
      </c>
      <c r="K237" s="41">
        <f t="shared" si="22"/>
        <v>-3.00461038671134E-2</v>
      </c>
      <c r="L237" s="48">
        <f t="shared" si="20"/>
        <v>-2.6294134440433325E-2</v>
      </c>
      <c r="M237" s="35"/>
      <c r="N237" s="40">
        <f t="shared" si="23"/>
        <v>63.398492599999997</v>
      </c>
      <c r="O237" s="41">
        <f t="shared" si="24"/>
        <v>-1.0384516591888375</v>
      </c>
      <c r="P237" s="41">
        <f t="shared" si="24"/>
        <v>-48.217958902886338</v>
      </c>
      <c r="Q237" s="41">
        <f t="shared" si="24"/>
        <v>-2.2385885741517479</v>
      </c>
      <c r="R237" s="41">
        <f t="shared" si="21"/>
        <v>-4.6433400996972676</v>
      </c>
      <c r="S237" s="42">
        <f t="shared" si="25"/>
        <v>7.2601533640758067</v>
      </c>
      <c r="T237" s="35"/>
      <c r="U237" s="43">
        <v>10472</v>
      </c>
      <c r="V237" s="44">
        <f t="shared" si="26"/>
        <v>104720</v>
      </c>
      <c r="W237" s="140">
        <f t="shared" si="27"/>
        <v>7.9087452899344801E-5</v>
      </c>
      <c r="X237" s="35"/>
      <c r="Y237" s="49">
        <v>40633.444914184307</v>
      </c>
    </row>
    <row r="238" spans="1:25" x14ac:dyDescent="0.35">
      <c r="A238" s="35"/>
      <c r="B238" s="47" t="s">
        <v>222</v>
      </c>
      <c r="C238" s="46">
        <v>820</v>
      </c>
      <c r="D238" s="40">
        <v>0.14787808079334999</v>
      </c>
      <c r="E238" s="41">
        <v>3.3104856351174002E-2</v>
      </c>
      <c r="F238" s="41">
        <v>0.11147491663102101</v>
      </c>
      <c r="G238" s="48">
        <v>0.24100890647966799</v>
      </c>
      <c r="H238" s="35"/>
      <c r="I238" s="40">
        <f t="shared" si="22"/>
        <v>-1.245751896781952E-2</v>
      </c>
      <c r="J238" s="41">
        <f t="shared" si="22"/>
        <v>3.5659160784442395E-4</v>
      </c>
      <c r="K238" s="41">
        <f t="shared" si="22"/>
        <v>-6.9064368267119383E-2</v>
      </c>
      <c r="L238" s="48">
        <f t="shared" si="20"/>
        <v>-3.960364327571031E-2</v>
      </c>
      <c r="M238" s="35"/>
      <c r="N238" s="40">
        <f t="shared" si="23"/>
        <v>63.398492599999997</v>
      </c>
      <c r="O238" s="41">
        <f t="shared" si="24"/>
        <v>-0.41807707721419601</v>
      </c>
      <c r="P238" s="41">
        <f t="shared" si="24"/>
        <v>1.4645930588704503</v>
      </c>
      <c r="Q238" s="41">
        <f t="shared" si="24"/>
        <v>-5.1456490454659223</v>
      </c>
      <c r="R238" s="41">
        <f t="shared" si="21"/>
        <v>-6.9936960782186217</v>
      </c>
      <c r="S238" s="42">
        <f t="shared" si="25"/>
        <v>52.305663457971711</v>
      </c>
      <c r="T238" s="35"/>
      <c r="U238" s="43">
        <v>13714</v>
      </c>
      <c r="V238" s="44">
        <f t="shared" si="26"/>
        <v>717319.86866262404</v>
      </c>
      <c r="W238" s="140">
        <f t="shared" si="27"/>
        <v>5.4173989043754267E-4</v>
      </c>
      <c r="X238" s="35"/>
      <c r="Y238" s="49">
        <v>278334.39046173275</v>
      </c>
    </row>
    <row r="239" spans="1:25" x14ac:dyDescent="0.35">
      <c r="A239" s="35"/>
      <c r="B239" s="47" t="s">
        <v>223</v>
      </c>
      <c r="C239" s="46">
        <v>302</v>
      </c>
      <c r="D239" s="40">
        <v>0.165080505177471</v>
      </c>
      <c r="E239" s="41">
        <v>2.16675644939247E-2</v>
      </c>
      <c r="F239" s="41">
        <v>0.244717055273104</v>
      </c>
      <c r="G239" s="48">
        <v>0.255941375416947</v>
      </c>
      <c r="H239" s="35"/>
      <c r="I239" s="40">
        <f t="shared" si="22"/>
        <v>4.744905416301487E-3</v>
      </c>
      <c r="J239" s="41">
        <f t="shared" si="22"/>
        <v>-1.1080700249404878E-2</v>
      </c>
      <c r="K239" s="41">
        <f t="shared" si="22"/>
        <v>6.4177770374963611E-2</v>
      </c>
      <c r="L239" s="48">
        <f t="shared" si="20"/>
        <v>-2.4671174338431301E-2</v>
      </c>
      <c r="M239" s="35"/>
      <c r="N239" s="40">
        <f t="shared" si="23"/>
        <v>63.398492599999997</v>
      </c>
      <c r="O239" s="41">
        <f t="shared" si="24"/>
        <v>0.15924006965026949</v>
      </c>
      <c r="P239" s="41">
        <f t="shared" si="24"/>
        <v>-45.510652285969719</v>
      </c>
      <c r="Q239" s="41">
        <f t="shared" si="24"/>
        <v>4.7815724831191089</v>
      </c>
      <c r="R239" s="41">
        <f t="shared" si="21"/>
        <v>-4.356737939854102</v>
      </c>
      <c r="S239" s="42">
        <f t="shared" si="25"/>
        <v>18.471914926945551</v>
      </c>
      <c r="T239" s="35"/>
      <c r="U239" s="43">
        <v>16707</v>
      </c>
      <c r="V239" s="44">
        <f t="shared" si="26"/>
        <v>308610.28268447932</v>
      </c>
      <c r="W239" s="140">
        <f t="shared" si="27"/>
        <v>2.3307105802198474E-4</v>
      </c>
      <c r="X239" s="35"/>
      <c r="Y239" s="49">
        <v>119746.93393249271</v>
      </c>
    </row>
    <row r="240" spans="1:25" x14ac:dyDescent="0.35">
      <c r="A240" s="35"/>
      <c r="B240" s="47" t="s">
        <v>825</v>
      </c>
      <c r="C240" s="46">
        <v>951</v>
      </c>
      <c r="D240" s="40">
        <v>0.15539891060557501</v>
      </c>
      <c r="E240" s="41">
        <v>2.7341663996582301E-2</v>
      </c>
      <c r="F240" s="41">
        <v>0.17146088889737601</v>
      </c>
      <c r="G240" s="48">
        <v>0.32480166493405999</v>
      </c>
      <c r="H240" s="35"/>
      <c r="I240" s="40">
        <f t="shared" si="22"/>
        <v>-4.9366891555945036E-3</v>
      </c>
      <c r="J240" s="41">
        <f t="shared" si="22"/>
        <v>-5.4066007467472761E-3</v>
      </c>
      <c r="K240" s="41">
        <f t="shared" si="22"/>
        <v>-9.0783960007643771E-3</v>
      </c>
      <c r="L240" s="48">
        <f t="shared" si="20"/>
        <v>4.4189115178681682E-2</v>
      </c>
      <c r="M240" s="35"/>
      <c r="N240" s="40">
        <f t="shared" si="23"/>
        <v>63.398492599999997</v>
      </c>
      <c r="O240" s="41">
        <f t="shared" si="24"/>
        <v>-0.16567637413336578</v>
      </c>
      <c r="P240" s="41">
        <f t="shared" si="24"/>
        <v>-22.205990695172428</v>
      </c>
      <c r="Q240" s="41">
        <f t="shared" si="24"/>
        <v>-0.67638698344447001</v>
      </c>
      <c r="R240" s="41">
        <f t="shared" si="21"/>
        <v>7.8034548330213989</v>
      </c>
      <c r="S240" s="42">
        <f t="shared" si="25"/>
        <v>48.153893380271121</v>
      </c>
      <c r="T240" s="35"/>
      <c r="U240" s="43">
        <v>9363</v>
      </c>
      <c r="V240" s="44">
        <f t="shared" si="26"/>
        <v>450864.90371947852</v>
      </c>
      <c r="W240" s="140">
        <f t="shared" si="27"/>
        <v>3.4050569935907072E-4</v>
      </c>
      <c r="X240" s="35"/>
      <c r="Y240" s="49">
        <v>174944.55910069175</v>
      </c>
    </row>
    <row r="241" spans="1:25" x14ac:dyDescent="0.35">
      <c r="A241" s="35"/>
      <c r="B241" s="47" t="s">
        <v>224</v>
      </c>
      <c r="C241" s="46">
        <v>579</v>
      </c>
      <c r="D241" s="40">
        <v>0.156324991429551</v>
      </c>
      <c r="E241" s="41">
        <v>2.5711347274597202E-2</v>
      </c>
      <c r="F241" s="41">
        <v>9.8004018387433695E-2</v>
      </c>
      <c r="G241" s="48">
        <v>0.25070689821022402</v>
      </c>
      <c r="H241" s="35"/>
      <c r="I241" s="40">
        <f t="shared" si="22"/>
        <v>-4.0106083316185093E-3</v>
      </c>
      <c r="J241" s="41">
        <f t="shared" si="22"/>
        <v>-7.036917468732376E-3</v>
      </c>
      <c r="K241" s="41">
        <f t="shared" si="22"/>
        <v>-8.2535266510706695E-2</v>
      </c>
      <c r="L241" s="48">
        <f t="shared" si="20"/>
        <v>-2.9905651545154288E-2</v>
      </c>
      <c r="M241" s="35"/>
      <c r="N241" s="40">
        <f t="shared" si="23"/>
        <v>63.398492599999997</v>
      </c>
      <c r="O241" s="41">
        <f t="shared" si="24"/>
        <v>-0.13459689794295013</v>
      </c>
      <c r="P241" s="41">
        <f t="shared" si="24"/>
        <v>-28.902027568315965</v>
      </c>
      <c r="Q241" s="41">
        <f t="shared" si="24"/>
        <v>-6.1492999356121842</v>
      </c>
      <c r="R241" s="41">
        <f t="shared" si="21"/>
        <v>-5.2811059950182573</v>
      </c>
      <c r="S241" s="42">
        <f t="shared" si="25"/>
        <v>22.931462203110641</v>
      </c>
      <c r="T241" s="35"/>
      <c r="U241" s="43">
        <v>14585</v>
      </c>
      <c r="V241" s="44">
        <f t="shared" si="26"/>
        <v>334455.3762323687</v>
      </c>
      <c r="W241" s="140">
        <f t="shared" si="27"/>
        <v>2.5258999059119653E-4</v>
      </c>
      <c r="X241" s="35"/>
      <c r="Y241" s="49">
        <v>129775.34478982752</v>
      </c>
    </row>
    <row r="242" spans="1:25" x14ac:dyDescent="0.35">
      <c r="A242" s="35"/>
      <c r="B242" s="47" t="s">
        <v>225</v>
      </c>
      <c r="C242" s="46">
        <v>823</v>
      </c>
      <c r="D242" s="40">
        <v>0.121148693904889</v>
      </c>
      <c r="E242" s="41">
        <v>1.4484259879437401E-2</v>
      </c>
      <c r="F242" s="41">
        <v>0.17645205712666701</v>
      </c>
      <c r="G242" s="48">
        <v>0.23756765154437401</v>
      </c>
      <c r="H242" s="35"/>
      <c r="I242" s="40">
        <f t="shared" si="22"/>
        <v>-3.9186905856280513E-2</v>
      </c>
      <c r="J242" s="41">
        <f t="shared" si="22"/>
        <v>-1.8264004863892177E-2</v>
      </c>
      <c r="K242" s="41">
        <f t="shared" si="22"/>
        <v>-4.087227771473384E-3</v>
      </c>
      <c r="L242" s="48">
        <f t="shared" si="20"/>
        <v>-4.3044898211004295E-2</v>
      </c>
      <c r="M242" s="35"/>
      <c r="N242" s="40">
        <f t="shared" si="23"/>
        <v>63.398492599999997</v>
      </c>
      <c r="O242" s="41">
        <f t="shared" si="24"/>
        <v>-1.3151211816560624</v>
      </c>
      <c r="P242" s="41">
        <f t="shared" si="24"/>
        <v>-75.013921142258056</v>
      </c>
      <c r="Q242" s="41">
        <f t="shared" si="24"/>
        <v>-0.30451939558095709</v>
      </c>
      <c r="R242" s="41">
        <f t="shared" si="21"/>
        <v>-7.6013949956532416</v>
      </c>
      <c r="S242" s="42">
        <f t="shared" si="25"/>
        <v>-20.836464115148317</v>
      </c>
      <c r="T242" s="35"/>
      <c r="U242" s="43">
        <v>11944</v>
      </c>
      <c r="V242" s="44">
        <f t="shared" si="26"/>
        <v>119440</v>
      </c>
      <c r="W242" s="140">
        <f t="shared" si="27"/>
        <v>9.0204405789703427E-5</v>
      </c>
      <c r="X242" s="35"/>
      <c r="Y242" s="49">
        <v>46345.097980807615</v>
      </c>
    </row>
    <row r="243" spans="1:25" x14ac:dyDescent="0.35">
      <c r="A243" s="35"/>
      <c r="B243" s="47" t="s">
        <v>226</v>
      </c>
      <c r="C243" s="46">
        <v>824</v>
      </c>
      <c r="D243" s="40">
        <v>0.15215759849906199</v>
      </c>
      <c r="E243" s="41">
        <v>2.0262664165103202E-2</v>
      </c>
      <c r="F243" s="41">
        <v>0.205368268660618</v>
      </c>
      <c r="G243" s="48">
        <v>0.24759724700039101</v>
      </c>
      <c r="H243" s="35"/>
      <c r="I243" s="40">
        <f t="shared" si="22"/>
        <v>-8.1780012621075204E-3</v>
      </c>
      <c r="J243" s="41">
        <f t="shared" si="22"/>
        <v>-1.2485600578226376E-2</v>
      </c>
      <c r="K243" s="41">
        <f t="shared" si="22"/>
        <v>2.4828983762477608E-2</v>
      </c>
      <c r="L243" s="48">
        <f t="shared" si="20"/>
        <v>-3.3015302754987291E-2</v>
      </c>
      <c r="M243" s="35"/>
      <c r="N243" s="40">
        <f t="shared" si="23"/>
        <v>63.398492599999997</v>
      </c>
      <c r="O243" s="41">
        <f t="shared" si="24"/>
        <v>-0.27445552151660607</v>
      </c>
      <c r="P243" s="41">
        <f t="shared" si="24"/>
        <v>-51.280858944603388</v>
      </c>
      <c r="Q243" s="41">
        <f t="shared" si="24"/>
        <v>1.8498864147014458</v>
      </c>
      <c r="R243" s="41">
        <f t="shared" si="21"/>
        <v>-5.8302462677813773</v>
      </c>
      <c r="S243" s="42">
        <f t="shared" si="25"/>
        <v>7.8628182808000711</v>
      </c>
      <c r="T243" s="35"/>
      <c r="U243" s="43">
        <v>15990</v>
      </c>
      <c r="V243" s="44">
        <f t="shared" si="26"/>
        <v>159900</v>
      </c>
      <c r="W243" s="140">
        <f t="shared" si="27"/>
        <v>1.2076092168263209E-4</v>
      </c>
      <c r="X243" s="35"/>
      <c r="Y243" s="49">
        <v>62044.38351583336</v>
      </c>
    </row>
    <row r="244" spans="1:25" x14ac:dyDescent="0.35">
      <c r="A244" s="35"/>
      <c r="B244" s="47" t="s">
        <v>227</v>
      </c>
      <c r="C244" s="46">
        <v>1895</v>
      </c>
      <c r="D244" s="40">
        <v>0.241257118751318</v>
      </c>
      <c r="E244" s="41">
        <v>7.3950643324193197E-2</v>
      </c>
      <c r="F244" s="41">
        <v>0.25393743468927998</v>
      </c>
      <c r="G244" s="48">
        <v>0.372247271524212</v>
      </c>
      <c r="H244" s="35"/>
      <c r="I244" s="40">
        <f t="shared" si="22"/>
        <v>8.0921518990148489E-2</v>
      </c>
      <c r="J244" s="41">
        <f t="shared" si="22"/>
        <v>4.1202378580863619E-2</v>
      </c>
      <c r="K244" s="41">
        <f t="shared" si="22"/>
        <v>7.3398149791139594E-2</v>
      </c>
      <c r="L244" s="48">
        <f t="shared" si="20"/>
        <v>9.1634721768833693E-2</v>
      </c>
      <c r="M244" s="35"/>
      <c r="N244" s="40">
        <f t="shared" si="23"/>
        <v>63.398492599999997</v>
      </c>
      <c r="O244" s="41">
        <f t="shared" si="24"/>
        <v>2.7157439800435612</v>
      </c>
      <c r="P244" s="41">
        <f t="shared" si="24"/>
        <v>169.22641013137064</v>
      </c>
      <c r="Q244" s="41">
        <f t="shared" si="24"/>
        <v>5.4685379579668307</v>
      </c>
      <c r="R244" s="41">
        <f t="shared" si="21"/>
        <v>16.181980778935106</v>
      </c>
      <c r="S244" s="42">
        <f t="shared" si="25"/>
        <v>256.99116544831611</v>
      </c>
      <c r="T244" s="35"/>
      <c r="U244" s="43">
        <v>23705</v>
      </c>
      <c r="V244" s="44">
        <f t="shared" si="26"/>
        <v>6091975.5769523336</v>
      </c>
      <c r="W244" s="140">
        <f t="shared" si="27"/>
        <v>4.6008291778664679E-3</v>
      </c>
      <c r="X244" s="35"/>
      <c r="Y244" s="49">
        <v>2363807.8115417189</v>
      </c>
    </row>
    <row r="245" spans="1:25" x14ac:dyDescent="0.35">
      <c r="A245" s="35"/>
      <c r="B245" s="47" t="s">
        <v>228</v>
      </c>
      <c r="C245" s="46">
        <v>269</v>
      </c>
      <c r="D245" s="40">
        <v>0.158705597416577</v>
      </c>
      <c r="E245" s="41">
        <v>2.4825080731969901E-2</v>
      </c>
      <c r="F245" s="41">
        <v>0.29033151716816502</v>
      </c>
      <c r="G245" s="48">
        <v>0.26781383822121402</v>
      </c>
      <c r="H245" s="35"/>
      <c r="I245" s="40">
        <f t="shared" si="22"/>
        <v>-1.6300023445925127E-3</v>
      </c>
      <c r="J245" s="41">
        <f t="shared" si="22"/>
        <v>-7.9231840113596769E-3</v>
      </c>
      <c r="K245" s="41">
        <f t="shared" si="22"/>
        <v>0.10979223227002463</v>
      </c>
      <c r="L245" s="48">
        <f t="shared" si="20"/>
        <v>-1.2798711534164287E-2</v>
      </c>
      <c r="M245" s="35"/>
      <c r="N245" s="40">
        <f t="shared" si="23"/>
        <v>63.398492599999997</v>
      </c>
      <c r="O245" s="41">
        <f t="shared" si="24"/>
        <v>-5.4703237285040542E-2</v>
      </c>
      <c r="P245" s="41">
        <f t="shared" si="24"/>
        <v>-32.542101529920146</v>
      </c>
      <c r="Q245" s="41">
        <f t="shared" si="24"/>
        <v>8.1800834403460581</v>
      </c>
      <c r="R245" s="41">
        <f t="shared" si="21"/>
        <v>-2.2601531389319081</v>
      </c>
      <c r="S245" s="42">
        <f t="shared" si="25"/>
        <v>36.721618134208967</v>
      </c>
      <c r="T245" s="35"/>
      <c r="U245" s="43">
        <v>14864</v>
      </c>
      <c r="V245" s="44">
        <f t="shared" si="26"/>
        <v>545830.13194688212</v>
      </c>
      <c r="W245" s="140">
        <f t="shared" si="27"/>
        <v>4.1222607764889412E-4</v>
      </c>
      <c r="X245" s="35"/>
      <c r="Y245" s="49">
        <v>211792.95835528633</v>
      </c>
    </row>
    <row r="246" spans="1:25" x14ac:dyDescent="0.35">
      <c r="A246" s="35"/>
      <c r="B246" s="47" t="s">
        <v>229</v>
      </c>
      <c r="C246" s="46">
        <v>173</v>
      </c>
      <c r="D246" s="40">
        <v>0.15212071778140299</v>
      </c>
      <c r="E246" s="41">
        <v>3.6245921696574201E-2</v>
      </c>
      <c r="F246" s="41">
        <v>0.16391849854125101</v>
      </c>
      <c r="G246" s="48">
        <v>0.3018072702206</v>
      </c>
      <c r="H246" s="35"/>
      <c r="I246" s="40">
        <f t="shared" si="22"/>
        <v>-8.2148819797665251E-3</v>
      </c>
      <c r="J246" s="41">
        <f t="shared" si="22"/>
        <v>3.4976569532446239E-3</v>
      </c>
      <c r="K246" s="41">
        <f t="shared" si="22"/>
        <v>-1.6620786356889378E-2</v>
      </c>
      <c r="L246" s="48">
        <f t="shared" si="20"/>
        <v>2.1194720465221695E-2</v>
      </c>
      <c r="M246" s="35"/>
      <c r="N246" s="40">
        <f t="shared" si="23"/>
        <v>63.398492599999997</v>
      </c>
      <c r="O246" s="41">
        <f t="shared" si="24"/>
        <v>-0.27569324651500016</v>
      </c>
      <c r="P246" s="41">
        <f t="shared" si="24"/>
        <v>14.365576708319459</v>
      </c>
      <c r="Q246" s="41">
        <f t="shared" si="24"/>
        <v>-1.238333682014406</v>
      </c>
      <c r="R246" s="41">
        <f t="shared" si="21"/>
        <v>3.7428231631273414</v>
      </c>
      <c r="S246" s="42">
        <f t="shared" si="25"/>
        <v>79.9928655429174</v>
      </c>
      <c r="T246" s="35"/>
      <c r="U246" s="43">
        <v>19616</v>
      </c>
      <c r="V246" s="44">
        <f t="shared" si="26"/>
        <v>1569140.0504898678</v>
      </c>
      <c r="W246" s="140">
        <f t="shared" si="27"/>
        <v>1.1850581535102456E-3</v>
      </c>
      <c r="X246" s="35"/>
      <c r="Y246" s="49">
        <v>608857.58025420562</v>
      </c>
    </row>
    <row r="247" spans="1:25" x14ac:dyDescent="0.35">
      <c r="A247" s="35"/>
      <c r="B247" s="47" t="s">
        <v>230</v>
      </c>
      <c r="C247" s="46">
        <v>1773</v>
      </c>
      <c r="D247" s="40">
        <v>0.14218051048153699</v>
      </c>
      <c r="E247" s="41">
        <v>2.1840189457065201E-2</v>
      </c>
      <c r="F247" s="41">
        <v>0.13032017289022699</v>
      </c>
      <c r="G247" s="48">
        <v>0.27813076959974398</v>
      </c>
      <c r="H247" s="35"/>
      <c r="I247" s="40">
        <f t="shared" si="22"/>
        <v>-1.8155089279632525E-2</v>
      </c>
      <c r="J247" s="41">
        <f t="shared" si="22"/>
        <v>-1.0908075286264377E-2</v>
      </c>
      <c r="K247" s="41">
        <f t="shared" si="22"/>
        <v>-5.0219112007913402E-2</v>
      </c>
      <c r="L247" s="48">
        <f t="shared" si="20"/>
        <v>-2.4817801556343277E-3</v>
      </c>
      <c r="M247" s="35"/>
      <c r="N247" s="40">
        <f t="shared" si="23"/>
        <v>63.398492599999997</v>
      </c>
      <c r="O247" s="41">
        <f t="shared" si="24"/>
        <v>-0.6092887903441091</v>
      </c>
      <c r="P247" s="41">
        <f t="shared" si="24"/>
        <v>-44.801647033906555</v>
      </c>
      <c r="Q247" s="41">
        <f t="shared" si="24"/>
        <v>-3.7415809664430291</v>
      </c>
      <c r="R247" s="41">
        <f t="shared" si="21"/>
        <v>-0.43826311687101455</v>
      </c>
      <c r="S247" s="42">
        <f t="shared" si="25"/>
        <v>13.807712692435288</v>
      </c>
      <c r="T247" s="35"/>
      <c r="U247" s="43">
        <v>11401</v>
      </c>
      <c r="V247" s="44">
        <f t="shared" si="26"/>
        <v>157421.73240645471</v>
      </c>
      <c r="W247" s="140">
        <f t="shared" si="27"/>
        <v>1.1888926515497276E-4</v>
      </c>
      <c r="X247" s="35"/>
      <c r="Y247" s="49">
        <v>61082.766348673984</v>
      </c>
    </row>
    <row r="248" spans="1:25" x14ac:dyDescent="0.35">
      <c r="A248" s="35"/>
      <c r="B248" s="47" t="s">
        <v>231</v>
      </c>
      <c r="C248" s="46">
        <v>175</v>
      </c>
      <c r="D248" s="40">
        <v>0.16317296149228899</v>
      </c>
      <c r="E248" s="41">
        <v>2.5579462554252499E-2</v>
      </c>
      <c r="F248" s="41">
        <v>0.17165448676803499</v>
      </c>
      <c r="G248" s="48">
        <v>0.30381549660436002</v>
      </c>
      <c r="H248" s="35"/>
      <c r="I248" s="40">
        <f t="shared" si="22"/>
        <v>2.837361731119481E-3</v>
      </c>
      <c r="J248" s="41">
        <f t="shared" si="22"/>
        <v>-7.1688021890770788E-3</v>
      </c>
      <c r="K248" s="41">
        <f t="shared" si="22"/>
        <v>-8.884798130105398E-3</v>
      </c>
      <c r="L248" s="48">
        <f t="shared" si="20"/>
        <v>2.320294684898172E-2</v>
      </c>
      <c r="M248" s="35"/>
      <c r="N248" s="40">
        <f t="shared" si="23"/>
        <v>63.398492599999997</v>
      </c>
      <c r="O248" s="41">
        <f t="shared" si="24"/>
        <v>9.5222483915950631E-2</v>
      </c>
      <c r="P248" s="41">
        <f t="shared" si="24"/>
        <v>-29.443704494353423</v>
      </c>
      <c r="Q248" s="41">
        <f t="shared" si="24"/>
        <v>-0.66196295085927837</v>
      </c>
      <c r="R248" s="41">
        <f t="shared" si="21"/>
        <v>4.0974603586626239</v>
      </c>
      <c r="S248" s="42">
        <f t="shared" si="25"/>
        <v>37.485507997365879</v>
      </c>
      <c r="T248" s="35"/>
      <c r="U248" s="43">
        <v>10829</v>
      </c>
      <c r="V248" s="44">
        <f t="shared" si="26"/>
        <v>405930.56610347511</v>
      </c>
      <c r="W248" s="140">
        <f t="shared" si="27"/>
        <v>3.0657003941093349E-4</v>
      </c>
      <c r="X248" s="35"/>
      <c r="Y248" s="49">
        <v>157509.14148920172</v>
      </c>
    </row>
    <row r="249" spans="1:25" x14ac:dyDescent="0.35">
      <c r="A249" s="35"/>
      <c r="B249" s="47" t="s">
        <v>826</v>
      </c>
      <c r="C249" s="46">
        <v>881</v>
      </c>
      <c r="D249" s="40">
        <v>0.18340868881462599</v>
      </c>
      <c r="E249" s="41">
        <v>3.5974051503833301E-2</v>
      </c>
      <c r="F249" s="41">
        <v>0.27881075872477901</v>
      </c>
      <c r="G249" s="48">
        <v>0.33566659820142403</v>
      </c>
      <c r="H249" s="35"/>
      <c r="I249" s="40">
        <f t="shared" si="22"/>
        <v>2.307308905345648E-2</v>
      </c>
      <c r="J249" s="41">
        <f t="shared" si="22"/>
        <v>3.2257867605037238E-3</v>
      </c>
      <c r="K249" s="41">
        <f t="shared" si="22"/>
        <v>9.8271473826638617E-2</v>
      </c>
      <c r="L249" s="48">
        <f t="shared" si="20"/>
        <v>5.5054048446045722E-2</v>
      </c>
      <c r="M249" s="35"/>
      <c r="N249" s="40">
        <f t="shared" si="23"/>
        <v>63.398492599999997</v>
      </c>
      <c r="O249" s="41">
        <f t="shared" si="24"/>
        <v>0.7743379447135913</v>
      </c>
      <c r="P249" s="41">
        <f t="shared" si="24"/>
        <v>13.24895144725663</v>
      </c>
      <c r="Q249" s="41">
        <f t="shared" si="24"/>
        <v>7.3217279500305699</v>
      </c>
      <c r="R249" s="41">
        <f t="shared" si="21"/>
        <v>9.7221177361557327</v>
      </c>
      <c r="S249" s="42">
        <f t="shared" si="25"/>
        <v>94.465627678156523</v>
      </c>
      <c r="T249" s="35"/>
      <c r="U249" s="43">
        <v>5087</v>
      </c>
      <c r="V249" s="44">
        <f t="shared" si="26"/>
        <v>480546.64799878222</v>
      </c>
      <c r="W249" s="140">
        <f t="shared" si="27"/>
        <v>3.6292217713466111E-4</v>
      </c>
      <c r="X249" s="35"/>
      <c r="Y249" s="49">
        <v>186461.66682729597</v>
      </c>
    </row>
    <row r="250" spans="1:25" x14ac:dyDescent="0.35">
      <c r="A250" s="35"/>
      <c r="B250" s="47" t="s">
        <v>232</v>
      </c>
      <c r="C250" s="46">
        <v>1586</v>
      </c>
      <c r="D250" s="40">
        <v>0.12492702860478699</v>
      </c>
      <c r="E250" s="41">
        <v>2.28732155176989E-2</v>
      </c>
      <c r="F250" s="41">
        <v>0.19162839255714201</v>
      </c>
      <c r="G250" s="48">
        <v>0.30287810990790098</v>
      </c>
      <c r="H250" s="35"/>
      <c r="I250" s="40">
        <f t="shared" si="22"/>
        <v>-3.5408571156382518E-2</v>
      </c>
      <c r="J250" s="41">
        <f t="shared" si="22"/>
        <v>-9.8750492256306777E-3</v>
      </c>
      <c r="K250" s="41">
        <f t="shared" si="22"/>
        <v>1.1089107659001618E-2</v>
      </c>
      <c r="L250" s="48">
        <f t="shared" si="20"/>
        <v>2.2265560152522679E-2</v>
      </c>
      <c r="M250" s="35"/>
      <c r="N250" s="40">
        <f t="shared" si="23"/>
        <v>63.398492599999997</v>
      </c>
      <c r="O250" s="41">
        <f t="shared" si="24"/>
        <v>-1.1883194378938517</v>
      </c>
      <c r="P250" s="41">
        <f t="shared" si="24"/>
        <v>-40.558802377011304</v>
      </c>
      <c r="Q250" s="41">
        <f t="shared" si="24"/>
        <v>0.82619529682683468</v>
      </c>
      <c r="R250" s="41">
        <f t="shared" si="21"/>
        <v>3.9319251421887214</v>
      </c>
      <c r="S250" s="42">
        <f t="shared" si="25"/>
        <v>26.409491224110397</v>
      </c>
      <c r="T250" s="35"/>
      <c r="U250" s="43">
        <v>18843</v>
      </c>
      <c r="V250" s="44">
        <f t="shared" si="26"/>
        <v>497634.04313591222</v>
      </c>
      <c r="W250" s="140">
        <f t="shared" si="27"/>
        <v>3.7582705259379273E-4</v>
      </c>
      <c r="X250" s="35"/>
      <c r="Y250" s="49">
        <v>193091.9163405835</v>
      </c>
    </row>
    <row r="251" spans="1:25" x14ac:dyDescent="0.35">
      <c r="A251" s="35"/>
      <c r="B251" s="47" t="s">
        <v>233</v>
      </c>
      <c r="C251" s="46">
        <v>826</v>
      </c>
      <c r="D251" s="40">
        <v>0.16559158530915899</v>
      </c>
      <c r="E251" s="41">
        <v>3.6233147373314699E-2</v>
      </c>
      <c r="F251" s="41">
        <v>0.17559879559427899</v>
      </c>
      <c r="G251" s="48">
        <v>0.25716083955756602</v>
      </c>
      <c r="H251" s="35"/>
      <c r="I251" s="40">
        <f t="shared" si="22"/>
        <v>5.2559855479894779E-3</v>
      </c>
      <c r="J251" s="41">
        <f t="shared" si="22"/>
        <v>3.4848826299851213E-3</v>
      </c>
      <c r="K251" s="41">
        <f t="shared" si="22"/>
        <v>-4.9404893038614006E-3</v>
      </c>
      <c r="L251" s="48">
        <f t="shared" si="20"/>
        <v>-2.3451710197812281E-2</v>
      </c>
      <c r="M251" s="35"/>
      <c r="N251" s="40">
        <f t="shared" si="23"/>
        <v>63.398492599999997</v>
      </c>
      <c r="O251" s="41">
        <f t="shared" si="24"/>
        <v>0.17639203130734743</v>
      </c>
      <c r="P251" s="41">
        <f t="shared" si="24"/>
        <v>14.313110007572543</v>
      </c>
      <c r="Q251" s="41">
        <f t="shared" si="24"/>
        <v>-0.36809174844291015</v>
      </c>
      <c r="R251" s="41">
        <f t="shared" si="21"/>
        <v>-4.1413900356625142</v>
      </c>
      <c r="S251" s="42">
        <f t="shared" si="25"/>
        <v>73.37851285477447</v>
      </c>
      <c r="T251" s="35"/>
      <c r="U251" s="43">
        <v>34416</v>
      </c>
      <c r="V251" s="44">
        <f t="shared" si="26"/>
        <v>2525394.898409918</v>
      </c>
      <c r="W251" s="140">
        <f t="shared" si="27"/>
        <v>1.9072483773896105E-3</v>
      </c>
      <c r="X251" s="35"/>
      <c r="Y251" s="49">
        <v>979903.49972403992</v>
      </c>
    </row>
    <row r="252" spans="1:25" x14ac:dyDescent="0.35">
      <c r="A252" s="35"/>
      <c r="B252" s="47" t="s">
        <v>234</v>
      </c>
      <c r="C252" s="46">
        <v>85</v>
      </c>
      <c r="D252" s="40">
        <v>0.192074709742554</v>
      </c>
      <c r="E252" s="41">
        <v>4.6378091872791502E-2</v>
      </c>
      <c r="F252" s="41">
        <v>0.187956394461853</v>
      </c>
      <c r="G252" s="48">
        <v>0.34417098532777302</v>
      </c>
      <c r="H252" s="35"/>
      <c r="I252" s="40">
        <f t="shared" si="22"/>
        <v>3.1739109981384489E-2</v>
      </c>
      <c r="J252" s="41">
        <f t="shared" si="22"/>
        <v>1.3629827129461924E-2</v>
      </c>
      <c r="K252" s="41">
        <f t="shared" si="22"/>
        <v>7.4171095637126094E-3</v>
      </c>
      <c r="L252" s="48">
        <f t="shared" si="20"/>
        <v>6.3558435572394711E-2</v>
      </c>
      <c r="M252" s="35"/>
      <c r="N252" s="40">
        <f t="shared" si="23"/>
        <v>63.398492599999997</v>
      </c>
      <c r="O252" s="41">
        <f t="shared" si="24"/>
        <v>1.0651715135794595</v>
      </c>
      <c r="P252" s="41">
        <f t="shared" si="24"/>
        <v>55.980426258722559</v>
      </c>
      <c r="Q252" s="41">
        <f t="shared" si="24"/>
        <v>0.55261263809755568</v>
      </c>
      <c r="R252" s="41">
        <f t="shared" si="21"/>
        <v>11.223926508624864</v>
      </c>
      <c r="S252" s="42">
        <f t="shared" si="25"/>
        <v>132.22062951902444</v>
      </c>
      <c r="T252" s="35"/>
      <c r="U252" s="43">
        <v>15848</v>
      </c>
      <c r="V252" s="44">
        <f t="shared" si="26"/>
        <v>2095432.5366174993</v>
      </c>
      <c r="W252" s="140">
        <f t="shared" si="27"/>
        <v>1.5825288583221071E-3</v>
      </c>
      <c r="X252" s="35"/>
      <c r="Y252" s="49">
        <v>813069.5430484782</v>
      </c>
    </row>
    <row r="253" spans="1:25" x14ac:dyDescent="0.35">
      <c r="A253" s="35"/>
      <c r="B253" s="47" t="s">
        <v>235</v>
      </c>
      <c r="C253" s="46">
        <v>431</v>
      </c>
      <c r="D253" s="40">
        <v>0.11378697268466099</v>
      </c>
      <c r="E253" s="41">
        <v>1.9072248262485901E-2</v>
      </c>
      <c r="F253" s="41">
        <v>0.151611555255</v>
      </c>
      <c r="G253" s="48">
        <v>0.24225156444304899</v>
      </c>
      <c r="H253" s="35"/>
      <c r="I253" s="40">
        <f t="shared" si="22"/>
        <v>-4.6548627076508517E-2</v>
      </c>
      <c r="J253" s="41">
        <f t="shared" si="22"/>
        <v>-1.3676016480843677E-2</v>
      </c>
      <c r="K253" s="41">
        <f t="shared" si="22"/>
        <v>-2.8927729643140387E-2</v>
      </c>
      <c r="L253" s="48">
        <f t="shared" si="20"/>
        <v>-3.8360985312329315E-2</v>
      </c>
      <c r="M253" s="35"/>
      <c r="N253" s="40">
        <f t="shared" si="23"/>
        <v>63.398492599999997</v>
      </c>
      <c r="O253" s="41">
        <f t="shared" si="24"/>
        <v>-1.5621821653855827</v>
      </c>
      <c r="P253" s="41">
        <f t="shared" si="24"/>
        <v>-56.170135163641483</v>
      </c>
      <c r="Q253" s="41">
        <f t="shared" si="24"/>
        <v>-2.1552639683897321</v>
      </c>
      <c r="R253" s="41">
        <f t="shared" si="21"/>
        <v>-6.774252324911334</v>
      </c>
      <c r="S253" s="42">
        <f t="shared" si="25"/>
        <v>-3.2633410223281376</v>
      </c>
      <c r="T253" s="35"/>
      <c r="U253" s="43">
        <v>6187</v>
      </c>
      <c r="V253" s="44">
        <f t="shared" si="26"/>
        <v>61870</v>
      </c>
      <c r="W253" s="140">
        <f t="shared" si="27"/>
        <v>4.6725942617288604E-5</v>
      </c>
      <c r="X253" s="35"/>
      <c r="Y253" s="49">
        <v>24006.791795651097</v>
      </c>
    </row>
    <row r="254" spans="1:25" x14ac:dyDescent="0.35">
      <c r="A254" s="35"/>
      <c r="B254" s="47" t="s">
        <v>236</v>
      </c>
      <c r="C254" s="46">
        <v>432</v>
      </c>
      <c r="D254" s="40">
        <v>0.118707530162252</v>
      </c>
      <c r="E254" s="41">
        <v>1.9276105949244199E-2</v>
      </c>
      <c r="F254" s="41">
        <v>0.233892664027258</v>
      </c>
      <c r="G254" s="48">
        <v>0.29680050624617799</v>
      </c>
      <c r="H254" s="35"/>
      <c r="I254" s="40">
        <f t="shared" si="22"/>
        <v>-4.1628069598917516E-2</v>
      </c>
      <c r="J254" s="41">
        <f t="shared" si="22"/>
        <v>-1.3472158794085379E-2</v>
      </c>
      <c r="K254" s="41">
        <f t="shared" si="22"/>
        <v>5.3353379129117612E-2</v>
      </c>
      <c r="L254" s="48">
        <f t="shared" si="20"/>
        <v>1.6187956490799682E-2</v>
      </c>
      <c r="M254" s="35"/>
      <c r="N254" s="40">
        <f t="shared" si="23"/>
        <v>63.398492599999997</v>
      </c>
      <c r="O254" s="41">
        <f t="shared" si="24"/>
        <v>-1.3970471739149837</v>
      </c>
      <c r="P254" s="41">
        <f t="shared" si="24"/>
        <v>-55.332850868510647</v>
      </c>
      <c r="Q254" s="41">
        <f t="shared" si="24"/>
        <v>3.9750999144204036</v>
      </c>
      <c r="R254" s="41">
        <f t="shared" si="21"/>
        <v>2.8586674977328554</v>
      </c>
      <c r="S254" s="42">
        <f t="shared" si="25"/>
        <v>13.502361969727627</v>
      </c>
      <c r="T254" s="35"/>
      <c r="U254" s="43">
        <v>7211</v>
      </c>
      <c r="V254" s="44">
        <f t="shared" si="26"/>
        <v>97365.53216370591</v>
      </c>
      <c r="W254" s="140">
        <f t="shared" si="27"/>
        <v>7.3533154497867952E-5</v>
      </c>
      <c r="X254" s="35"/>
      <c r="Y254" s="49">
        <v>37779.764970532698</v>
      </c>
    </row>
    <row r="255" spans="1:25" x14ac:dyDescent="0.35">
      <c r="A255" s="35"/>
      <c r="B255" s="47" t="s">
        <v>237</v>
      </c>
      <c r="C255" s="46">
        <v>86</v>
      </c>
      <c r="D255" s="40">
        <v>0.17466945024356301</v>
      </c>
      <c r="E255" s="41">
        <v>4.1325410845243798E-2</v>
      </c>
      <c r="F255" s="41">
        <v>0.151337848939154</v>
      </c>
      <c r="G255" s="48">
        <v>0.33249813775901799</v>
      </c>
      <c r="H255" s="35"/>
      <c r="I255" s="40">
        <f t="shared" si="22"/>
        <v>1.4333850482393495E-2</v>
      </c>
      <c r="J255" s="41">
        <f t="shared" si="22"/>
        <v>8.5771461019142209E-3</v>
      </c>
      <c r="K255" s="41">
        <f t="shared" si="22"/>
        <v>-2.9201435958986388E-2</v>
      </c>
      <c r="L255" s="48">
        <f t="shared" si="20"/>
        <v>5.1885588003639682E-2</v>
      </c>
      <c r="M255" s="35"/>
      <c r="N255" s="40">
        <f t="shared" si="23"/>
        <v>63.398492599999997</v>
      </c>
      <c r="O255" s="41">
        <f t="shared" si="24"/>
        <v>0.48104717563623184</v>
      </c>
      <c r="P255" s="41">
        <f t="shared" si="24"/>
        <v>35.228054641325009</v>
      </c>
      <c r="Q255" s="41">
        <f t="shared" si="24"/>
        <v>-2.1756564902965962</v>
      </c>
      <c r="R255" s="41">
        <f t="shared" si="21"/>
        <v>9.1625922092798593</v>
      </c>
      <c r="S255" s="42">
        <f t="shared" si="25"/>
        <v>106.0945301359445</v>
      </c>
      <c r="T255" s="35"/>
      <c r="U255" s="43">
        <v>18681</v>
      </c>
      <c r="V255" s="44">
        <f t="shared" si="26"/>
        <v>1981951.917469579</v>
      </c>
      <c r="W255" s="140">
        <f t="shared" si="27"/>
        <v>1.4968251424908464E-3</v>
      </c>
      <c r="X255" s="35"/>
      <c r="Y255" s="49">
        <v>769036.80348607805</v>
      </c>
    </row>
    <row r="256" spans="1:25" x14ac:dyDescent="0.35">
      <c r="A256" s="35"/>
      <c r="B256" s="47" t="s">
        <v>238</v>
      </c>
      <c r="C256" s="46">
        <v>828</v>
      </c>
      <c r="D256" s="40">
        <v>0.16528253279549801</v>
      </c>
      <c r="E256" s="41">
        <v>3.3642927358394602E-2</v>
      </c>
      <c r="F256" s="41">
        <v>0.224246924917261</v>
      </c>
      <c r="G256" s="48">
        <v>0.26592739391098302</v>
      </c>
      <c r="H256" s="35"/>
      <c r="I256" s="40">
        <f t="shared" si="22"/>
        <v>4.946933034328499E-3</v>
      </c>
      <c r="J256" s="41">
        <f t="shared" si="22"/>
        <v>8.9466261506502415E-4</v>
      </c>
      <c r="K256" s="41">
        <f t="shared" si="22"/>
        <v>4.3707640019120614E-2</v>
      </c>
      <c r="L256" s="48">
        <f t="shared" si="20"/>
        <v>-1.4685155844395281E-2</v>
      </c>
      <c r="M256" s="35"/>
      <c r="N256" s="40">
        <f t="shared" si="23"/>
        <v>63.398492599999997</v>
      </c>
      <c r="O256" s="41">
        <f t="shared" si="24"/>
        <v>0.16602016095733199</v>
      </c>
      <c r="P256" s="41">
        <f t="shared" si="24"/>
        <v>3.6745583104883197</v>
      </c>
      <c r="Q256" s="41">
        <f t="shared" si="24"/>
        <v>3.2564429645413839</v>
      </c>
      <c r="R256" s="41">
        <f t="shared" si="21"/>
        <v>-2.5932845653108543</v>
      </c>
      <c r="S256" s="42">
        <f t="shared" si="25"/>
        <v>67.902229470676176</v>
      </c>
      <c r="T256" s="35"/>
      <c r="U256" s="43">
        <v>59002</v>
      </c>
      <c r="V256" s="44">
        <f t="shared" si="26"/>
        <v>4006367.3432288356</v>
      </c>
      <c r="W256" s="140">
        <f t="shared" si="27"/>
        <v>3.0257199059881938E-3</v>
      </c>
      <c r="X256" s="35"/>
      <c r="Y256" s="49">
        <v>1554550.2936122592</v>
      </c>
    </row>
    <row r="257" spans="1:25" x14ac:dyDescent="0.35">
      <c r="A257" s="35"/>
      <c r="B257" s="47" t="s">
        <v>819</v>
      </c>
      <c r="C257" s="46">
        <v>584</v>
      </c>
      <c r="D257" s="40">
        <v>0.14848726114649699</v>
      </c>
      <c r="E257" s="41">
        <v>2.24256900212314E-2</v>
      </c>
      <c r="F257" s="41">
        <v>0.14774787139339801</v>
      </c>
      <c r="G257" s="48">
        <v>0.28468030806210698</v>
      </c>
      <c r="H257" s="35"/>
      <c r="I257" s="40">
        <f t="shared" si="22"/>
        <v>-1.1848338614672521E-2</v>
      </c>
      <c r="J257" s="41">
        <f t="shared" si="22"/>
        <v>-1.0322574722098177E-2</v>
      </c>
      <c r="K257" s="41">
        <f t="shared" si="22"/>
        <v>-3.2791413504742378E-2</v>
      </c>
      <c r="L257" s="48">
        <f t="shared" si="20"/>
        <v>4.0677583067286749E-3</v>
      </c>
      <c r="M257" s="35"/>
      <c r="N257" s="40">
        <f t="shared" si="23"/>
        <v>63.398492599999997</v>
      </c>
      <c r="O257" s="41">
        <f t="shared" si="24"/>
        <v>-0.39763285054290504</v>
      </c>
      <c r="P257" s="41">
        <f t="shared" si="24"/>
        <v>-42.396879105053131</v>
      </c>
      <c r="Q257" s="41">
        <f t="shared" si="24"/>
        <v>-2.4431281981404518</v>
      </c>
      <c r="R257" s="41">
        <f t="shared" si="21"/>
        <v>0.71833455116382383</v>
      </c>
      <c r="S257" s="42">
        <f t="shared" si="25"/>
        <v>18.879186997427333</v>
      </c>
      <c r="T257" s="35"/>
      <c r="U257" s="43">
        <v>15072</v>
      </c>
      <c r="V257" s="44">
        <f t="shared" si="26"/>
        <v>284547.10642522475</v>
      </c>
      <c r="W257" s="140">
        <f t="shared" si="27"/>
        <v>2.1489787888703029E-4</v>
      </c>
      <c r="X257" s="35"/>
      <c r="Y257" s="49">
        <v>110409.94246008316</v>
      </c>
    </row>
    <row r="258" spans="1:25" x14ac:dyDescent="0.35">
      <c r="A258" s="35"/>
      <c r="B258" s="47" t="s">
        <v>239</v>
      </c>
      <c r="C258" s="46">
        <v>1509</v>
      </c>
      <c r="D258" s="40">
        <v>0.15094644879469299</v>
      </c>
      <c r="E258" s="41">
        <v>3.4905355120530702E-2</v>
      </c>
      <c r="F258" s="41">
        <v>0.20761075198297399</v>
      </c>
      <c r="G258" s="48">
        <v>0.29195177031224601</v>
      </c>
      <c r="H258" s="35"/>
      <c r="I258" s="40">
        <f t="shared" si="22"/>
        <v>-9.3891509664765227E-3</v>
      </c>
      <c r="J258" s="41">
        <f t="shared" si="22"/>
        <v>2.1570903772011249E-3</v>
      </c>
      <c r="K258" s="41">
        <f t="shared" si="22"/>
        <v>2.70714670848336E-2</v>
      </c>
      <c r="L258" s="48">
        <f t="shared" si="20"/>
        <v>1.1339220556867702E-2</v>
      </c>
      <c r="M258" s="35"/>
      <c r="N258" s="40">
        <f t="shared" si="23"/>
        <v>63.398492599999997</v>
      </c>
      <c r="O258" s="41">
        <f t="shared" si="24"/>
        <v>-0.31510197204816476</v>
      </c>
      <c r="P258" s="41">
        <f t="shared" si="24"/>
        <v>8.8596016403822677</v>
      </c>
      <c r="Q258" s="41">
        <f t="shared" si="24"/>
        <v>2.0169629037315775</v>
      </c>
      <c r="R258" s="41">
        <f t="shared" si="21"/>
        <v>2.0024183579913148</v>
      </c>
      <c r="S258" s="42">
        <f t="shared" si="25"/>
        <v>75.962373530057008</v>
      </c>
      <c r="T258" s="35"/>
      <c r="U258" s="43">
        <v>24724</v>
      </c>
      <c r="V258" s="44">
        <f t="shared" si="26"/>
        <v>1878093.7231571295</v>
      </c>
      <c r="W258" s="140">
        <f t="shared" si="27"/>
        <v>1.4183885491858726E-3</v>
      </c>
      <c r="X258" s="35"/>
      <c r="Y258" s="49">
        <v>728737.75633671239</v>
      </c>
    </row>
    <row r="259" spans="1:25" x14ac:dyDescent="0.35">
      <c r="A259" s="35"/>
      <c r="B259" s="47" t="s">
        <v>240</v>
      </c>
      <c r="C259" s="46">
        <v>437</v>
      </c>
      <c r="D259" s="40">
        <v>0.13040354448569</v>
      </c>
      <c r="E259" s="41">
        <v>2.3949227637408699E-2</v>
      </c>
      <c r="F259" s="41">
        <v>0.110099532619126</v>
      </c>
      <c r="G259" s="48">
        <v>0.228931918143328</v>
      </c>
      <c r="H259" s="35"/>
      <c r="I259" s="40">
        <f t="shared" si="22"/>
        <v>-2.9932055275479513E-2</v>
      </c>
      <c r="J259" s="41">
        <f t="shared" si="22"/>
        <v>-8.7990371059208788E-3</v>
      </c>
      <c r="K259" s="41">
        <f t="shared" si="22"/>
        <v>-7.0439752279014389E-2</v>
      </c>
      <c r="L259" s="48">
        <f t="shared" si="20"/>
        <v>-5.1680631612050304E-2</v>
      </c>
      <c r="M259" s="35"/>
      <c r="N259" s="40">
        <f t="shared" si="23"/>
        <v>63.398492599999997</v>
      </c>
      <c r="O259" s="41">
        <f t="shared" si="24"/>
        <v>-1.0045263600972532</v>
      </c>
      <c r="P259" s="41">
        <f t="shared" si="24"/>
        <v>-36.139405377418974</v>
      </c>
      <c r="Q259" s="41">
        <f t="shared" si="24"/>
        <v>-5.2481221963182412</v>
      </c>
      <c r="R259" s="41">
        <f t="shared" si="21"/>
        <v>-9.1263985009867739</v>
      </c>
      <c r="S259" s="42">
        <f t="shared" si="25"/>
        <v>11.880040165178755</v>
      </c>
      <c r="T259" s="35"/>
      <c r="U259" s="43">
        <v>8351</v>
      </c>
      <c r="V259" s="44">
        <f t="shared" si="26"/>
        <v>99210.215419407788</v>
      </c>
      <c r="W259" s="140">
        <f t="shared" si="27"/>
        <v>7.4926310533959746E-5</v>
      </c>
      <c r="X259" s="35"/>
      <c r="Y259" s="49">
        <v>38495.538800313829</v>
      </c>
    </row>
    <row r="260" spans="1:25" x14ac:dyDescent="0.35">
      <c r="A260" s="35"/>
      <c r="B260" s="47" t="s">
        <v>241</v>
      </c>
      <c r="C260" s="46">
        <v>589</v>
      </c>
      <c r="D260" s="40">
        <v>0.10884246898068201</v>
      </c>
      <c r="E260" s="41">
        <v>1.5863043819695302E-2</v>
      </c>
      <c r="F260" s="41">
        <v>0.231296088150065</v>
      </c>
      <c r="G260" s="48">
        <v>0.24761636772822701</v>
      </c>
      <c r="H260" s="35"/>
      <c r="I260" s="40">
        <f t="shared" si="22"/>
        <v>-5.1493130780487506E-2</v>
      </c>
      <c r="J260" s="41">
        <f t="shared" si="22"/>
        <v>-1.6885220923634276E-2</v>
      </c>
      <c r="K260" s="41">
        <f t="shared" si="22"/>
        <v>5.0756803251924609E-2</v>
      </c>
      <c r="L260" s="48">
        <f t="shared" si="20"/>
        <v>-3.2996182027151294E-2</v>
      </c>
      <c r="M260" s="35"/>
      <c r="N260" s="40">
        <f t="shared" si="23"/>
        <v>63.398492599999997</v>
      </c>
      <c r="O260" s="41">
        <f t="shared" si="24"/>
        <v>-1.7281207974819324</v>
      </c>
      <c r="P260" s="41">
        <f t="shared" si="24"/>
        <v>-69.350979715255122</v>
      </c>
      <c r="Q260" s="41">
        <f t="shared" si="24"/>
        <v>3.7816417171010337</v>
      </c>
      <c r="R260" s="41">
        <f t="shared" si="21"/>
        <v>-5.8268696956223875</v>
      </c>
      <c r="S260" s="42">
        <f t="shared" si="25"/>
        <v>-9.7258358912584129</v>
      </c>
      <c r="T260" s="35"/>
      <c r="U260" s="43">
        <v>6367</v>
      </c>
      <c r="V260" s="44">
        <f t="shared" si="26"/>
        <v>63670</v>
      </c>
      <c r="W260" s="140">
        <f t="shared" si="27"/>
        <v>4.8085352617468324E-5</v>
      </c>
      <c r="X260" s="35"/>
      <c r="Y260" s="49">
        <v>24705.227632602313</v>
      </c>
    </row>
    <row r="261" spans="1:25" x14ac:dyDescent="0.35">
      <c r="A261" s="35"/>
      <c r="B261" s="47" t="s">
        <v>242</v>
      </c>
      <c r="C261" s="46">
        <v>1734</v>
      </c>
      <c r="D261" s="40">
        <v>0.131654700062866</v>
      </c>
      <c r="E261" s="41">
        <v>2.3359692949078501E-2</v>
      </c>
      <c r="F261" s="41">
        <v>0.165341596257958</v>
      </c>
      <c r="G261" s="48">
        <v>0.279847418449375</v>
      </c>
      <c r="H261" s="35"/>
      <c r="I261" s="40">
        <f t="shared" si="22"/>
        <v>-2.8680899698303508E-2</v>
      </c>
      <c r="J261" s="41">
        <f t="shared" si="22"/>
        <v>-9.3885717942510764E-3</v>
      </c>
      <c r="K261" s="41">
        <f t="shared" si="22"/>
        <v>-1.5197688640182394E-2</v>
      </c>
      <c r="L261" s="48">
        <f t="shared" si="20"/>
        <v>-7.6513130600330825E-4</v>
      </c>
      <c r="M261" s="35"/>
      <c r="N261" s="40">
        <f t="shared" si="23"/>
        <v>63.398492599999997</v>
      </c>
      <c r="O261" s="41">
        <f t="shared" si="24"/>
        <v>-0.96253730367299939</v>
      </c>
      <c r="P261" s="41">
        <f t="shared" si="24"/>
        <v>-38.560742261119458</v>
      </c>
      <c r="Q261" s="41">
        <f t="shared" si="24"/>
        <v>-1.1323056158594262</v>
      </c>
      <c r="R261" s="41">
        <f t="shared" si="21"/>
        <v>-0.13511625122124965</v>
      </c>
      <c r="S261" s="42">
        <f t="shared" si="25"/>
        <v>22.607791168126862</v>
      </c>
      <c r="T261" s="35"/>
      <c r="U261" s="43">
        <v>30223</v>
      </c>
      <c r="V261" s="44">
        <f t="shared" si="26"/>
        <v>683275.27247429814</v>
      </c>
      <c r="W261" s="140">
        <f t="shared" si="27"/>
        <v>5.1602846570949232E-4</v>
      </c>
      <c r="X261" s="35"/>
      <c r="Y261" s="49">
        <v>265124.40933258849</v>
      </c>
    </row>
    <row r="262" spans="1:25" x14ac:dyDescent="0.35">
      <c r="A262" s="35"/>
      <c r="B262" s="47" t="s">
        <v>243</v>
      </c>
      <c r="C262" s="46">
        <v>590</v>
      </c>
      <c r="D262" s="40">
        <v>0.14945503409147501</v>
      </c>
      <c r="E262" s="41">
        <v>3.3245408848852798E-2</v>
      </c>
      <c r="F262" s="41">
        <v>0.16228354348294799</v>
      </c>
      <c r="G262" s="48">
        <v>0.266159310891112</v>
      </c>
      <c r="H262" s="35"/>
      <c r="I262" s="40">
        <f t="shared" si="22"/>
        <v>-1.0880565669694503E-2</v>
      </c>
      <c r="J262" s="41">
        <f t="shared" si="22"/>
        <v>4.9714410552322008E-4</v>
      </c>
      <c r="K262" s="41">
        <f t="shared" si="22"/>
        <v>-1.82557414151924E-2</v>
      </c>
      <c r="L262" s="48">
        <f t="shared" si="20"/>
        <v>-1.4453238864266305E-2</v>
      </c>
      <c r="M262" s="35"/>
      <c r="N262" s="40">
        <f t="shared" si="23"/>
        <v>63.398492599999997</v>
      </c>
      <c r="O262" s="41">
        <f t="shared" si="24"/>
        <v>-0.36515417759939489</v>
      </c>
      <c r="P262" s="41">
        <f t="shared" si="24"/>
        <v>2.0418702801478519</v>
      </c>
      <c r="Q262" s="41">
        <f t="shared" si="24"/>
        <v>-1.3601462048278796</v>
      </c>
      <c r="R262" s="41">
        <f t="shared" si="21"/>
        <v>-2.5523298262958427</v>
      </c>
      <c r="S262" s="42">
        <f t="shared" si="25"/>
        <v>61.162732671424735</v>
      </c>
      <c r="T262" s="35"/>
      <c r="U262" s="43">
        <v>20093</v>
      </c>
      <c r="V262" s="44">
        <f t="shared" si="26"/>
        <v>1228942.7875669373</v>
      </c>
      <c r="W262" s="140">
        <f t="shared" si="27"/>
        <v>9.2813173059291105E-4</v>
      </c>
      <c r="X262" s="35"/>
      <c r="Y262" s="49">
        <v>476854.26911082171</v>
      </c>
    </row>
    <row r="263" spans="1:25" x14ac:dyDescent="0.35">
      <c r="A263" s="35"/>
      <c r="B263" s="47" t="s">
        <v>244</v>
      </c>
      <c r="C263" s="46">
        <v>1894</v>
      </c>
      <c r="D263" s="40">
        <v>0.12641902572208699</v>
      </c>
      <c r="E263" s="41">
        <v>1.8896393159936801E-2</v>
      </c>
      <c r="F263" s="41">
        <v>0.19331543352191899</v>
      </c>
      <c r="G263" s="48">
        <v>0.27347088311478901</v>
      </c>
      <c r="H263" s="35"/>
      <c r="I263" s="40">
        <f t="shared" si="22"/>
        <v>-3.391657403908252E-2</v>
      </c>
      <c r="J263" s="41">
        <f t="shared" si="22"/>
        <v>-1.3851871583392777E-2</v>
      </c>
      <c r="K263" s="41">
        <f t="shared" si="22"/>
        <v>1.2776148623778599E-2</v>
      </c>
      <c r="L263" s="48">
        <f t="shared" si="20"/>
        <v>-7.1416666405892948E-3</v>
      </c>
      <c r="M263" s="35"/>
      <c r="N263" s="40">
        <f t="shared" si="23"/>
        <v>63.398492599999997</v>
      </c>
      <c r="O263" s="41">
        <f t="shared" si="24"/>
        <v>-1.1382476863978981</v>
      </c>
      <c r="P263" s="41">
        <f t="shared" si="24"/>
        <v>-56.892407244348249</v>
      </c>
      <c r="Q263" s="41">
        <f t="shared" si="24"/>
        <v>0.95188848635245948</v>
      </c>
      <c r="R263" s="41">
        <f t="shared" si="21"/>
        <v>-1.2611629093949386</v>
      </c>
      <c r="S263" s="42">
        <f t="shared" si="25"/>
        <v>5.0585632462113725</v>
      </c>
      <c r="T263" s="35"/>
      <c r="U263" s="43">
        <v>27836</v>
      </c>
      <c r="V263" s="44">
        <f t="shared" si="26"/>
        <v>278360</v>
      </c>
      <c r="W263" s="140">
        <f t="shared" si="27"/>
        <v>2.1022520425001545E-4</v>
      </c>
      <c r="X263" s="35"/>
      <c r="Y263" s="49">
        <v>108009.22198541199</v>
      </c>
    </row>
    <row r="264" spans="1:25" x14ac:dyDescent="0.35">
      <c r="A264" s="35"/>
      <c r="B264" s="47" t="s">
        <v>245</v>
      </c>
      <c r="C264" s="46">
        <v>765</v>
      </c>
      <c r="D264" s="40">
        <v>0.26344966612069998</v>
      </c>
      <c r="E264" s="41">
        <v>7.0429633362731503E-2</v>
      </c>
      <c r="F264" s="41">
        <v>0.28563668837223699</v>
      </c>
      <c r="G264" s="48">
        <v>0.38772786610629001</v>
      </c>
      <c r="H264" s="35"/>
      <c r="I264" s="40">
        <f t="shared" si="22"/>
        <v>0.10311406635953047</v>
      </c>
      <c r="J264" s="41">
        <f t="shared" si="22"/>
        <v>3.7681368619401925E-2</v>
      </c>
      <c r="K264" s="41">
        <f t="shared" si="22"/>
        <v>0.1050974034740966</v>
      </c>
      <c r="L264" s="48">
        <f t="shared" si="20"/>
        <v>0.1071153163509117</v>
      </c>
      <c r="M264" s="35"/>
      <c r="N264" s="40">
        <f t="shared" si="23"/>
        <v>63.398492599999997</v>
      </c>
      <c r="O264" s="41">
        <f t="shared" si="24"/>
        <v>3.4605307521204418</v>
      </c>
      <c r="P264" s="41">
        <f t="shared" si="24"/>
        <v>154.76491794723498</v>
      </c>
      <c r="Q264" s="41">
        <f t="shared" si="24"/>
        <v>7.8302946575259851</v>
      </c>
      <c r="R264" s="41">
        <f t="shared" si="21"/>
        <v>18.915733652716124</v>
      </c>
      <c r="S264" s="42">
        <f t="shared" si="25"/>
        <v>248.36996960959752</v>
      </c>
      <c r="T264" s="35"/>
      <c r="U264" s="43">
        <v>7937</v>
      </c>
      <c r="V264" s="44">
        <f t="shared" si="26"/>
        <v>1971312.4487913756</v>
      </c>
      <c r="W264" s="140">
        <f t="shared" si="27"/>
        <v>1.4887899202032082E-3</v>
      </c>
      <c r="X264" s="35"/>
      <c r="Y264" s="49">
        <v>764908.4778133129</v>
      </c>
    </row>
    <row r="265" spans="1:25" x14ac:dyDescent="0.35">
      <c r="A265" s="35"/>
      <c r="B265" s="47" t="s">
        <v>246</v>
      </c>
      <c r="C265" s="46">
        <v>1926</v>
      </c>
      <c r="D265" s="40">
        <v>0.123085019295989</v>
      </c>
      <c r="E265" s="41">
        <v>1.6986317389779002E-2</v>
      </c>
      <c r="F265" s="41">
        <v>0.155218480128307</v>
      </c>
      <c r="G265" s="48">
        <v>0.25693570051106301</v>
      </c>
      <c r="H265" s="35"/>
      <c r="I265" s="40">
        <f t="shared" si="22"/>
        <v>-3.7250580465180511E-2</v>
      </c>
      <c r="J265" s="41">
        <f t="shared" si="22"/>
        <v>-1.5761947353550576E-2</v>
      </c>
      <c r="K265" s="41">
        <f t="shared" si="22"/>
        <v>-2.5320804769833394E-2</v>
      </c>
      <c r="L265" s="48">
        <f t="shared" si="20"/>
        <v>-2.367684924431529E-2</v>
      </c>
      <c r="M265" s="35"/>
      <c r="N265" s="40">
        <f t="shared" si="23"/>
        <v>63.398492599999997</v>
      </c>
      <c r="O265" s="41">
        <f t="shared" si="24"/>
        <v>-1.2501376755391602</v>
      </c>
      <c r="P265" s="41">
        <f t="shared" si="24"/>
        <v>-64.737470485741881</v>
      </c>
      <c r="Q265" s="41">
        <f t="shared" si="24"/>
        <v>-1.8865295978730094</v>
      </c>
      <c r="R265" s="41">
        <f t="shared" si="21"/>
        <v>-4.1811478441959444</v>
      </c>
      <c r="S265" s="42">
        <f t="shared" si="25"/>
        <v>-8.6567930033499945</v>
      </c>
      <c r="T265" s="35"/>
      <c r="U265" s="43">
        <v>34204</v>
      </c>
      <c r="V265" s="44">
        <f t="shared" si="26"/>
        <v>342040</v>
      </c>
      <c r="W265" s="140">
        <f t="shared" si="27"/>
        <v>2.5831810914526255E-4</v>
      </c>
      <c r="X265" s="35"/>
      <c r="Y265" s="49">
        <v>132718.32981710846</v>
      </c>
    </row>
    <row r="266" spans="1:25" x14ac:dyDescent="0.35">
      <c r="A266" s="35"/>
      <c r="B266" s="47" t="s">
        <v>247</v>
      </c>
      <c r="C266" s="46">
        <v>439</v>
      </c>
      <c r="D266" s="40">
        <v>0.15119811643185399</v>
      </c>
      <c r="E266" s="41">
        <v>3.8715679945315801E-2</v>
      </c>
      <c r="F266" s="41">
        <v>0.16829409192999101</v>
      </c>
      <c r="G266" s="48">
        <v>0.25699112195462398</v>
      </c>
      <c r="H266" s="35"/>
      <c r="I266" s="40">
        <f t="shared" si="22"/>
        <v>-9.1374833293155211E-3</v>
      </c>
      <c r="J266" s="41">
        <f t="shared" si="22"/>
        <v>5.9674152019862231E-3</v>
      </c>
      <c r="K266" s="41">
        <f t="shared" si="22"/>
        <v>-1.2245192968149382E-2</v>
      </c>
      <c r="L266" s="48">
        <f t="shared" si="22"/>
        <v>-2.3621427800754324E-2</v>
      </c>
      <c r="M266" s="35"/>
      <c r="N266" s="40">
        <f t="shared" si="23"/>
        <v>63.398492599999997</v>
      </c>
      <c r="O266" s="41">
        <f t="shared" si="24"/>
        <v>-0.30665595077816132</v>
      </c>
      <c r="P266" s="41">
        <f t="shared" si="24"/>
        <v>24.509367836946122</v>
      </c>
      <c r="Q266" s="41">
        <f t="shared" si="24"/>
        <v>-0.91232957151512595</v>
      </c>
      <c r="R266" s="41">
        <f t="shared" si="24"/>
        <v>-4.1713608473334798</v>
      </c>
      <c r="S266" s="42">
        <f t="shared" si="25"/>
        <v>82.517514067319354</v>
      </c>
      <c r="T266" s="35"/>
      <c r="U266" s="43">
        <v>52666</v>
      </c>
      <c r="V266" s="44">
        <f t="shared" si="26"/>
        <v>4345867.3958694413</v>
      </c>
      <c r="W266" s="140">
        <f t="shared" si="27"/>
        <v>3.282119776333295E-3</v>
      </c>
      <c r="X266" s="35"/>
      <c r="Y266" s="49">
        <v>1686283.0732850509</v>
      </c>
    </row>
    <row r="267" spans="1:25" x14ac:dyDescent="0.35">
      <c r="A267" s="35"/>
      <c r="B267" s="47" t="s">
        <v>248</v>
      </c>
      <c r="C267" s="46">
        <v>273</v>
      </c>
      <c r="D267" s="40">
        <v>0.146151835881354</v>
      </c>
      <c r="E267" s="41">
        <v>1.9796158369267E-2</v>
      </c>
      <c r="F267" s="41">
        <v>0.234997040129101</v>
      </c>
      <c r="G267" s="48">
        <v>0.24690168407572799</v>
      </c>
      <c r="H267" s="35"/>
      <c r="I267" s="40">
        <f t="shared" ref="I267:L330" si="28">D267-D$4</f>
        <v>-1.4183763879815514E-2</v>
      </c>
      <c r="J267" s="41">
        <f t="shared" si="28"/>
        <v>-1.2952106374062577E-2</v>
      </c>
      <c r="K267" s="41">
        <f t="shared" si="28"/>
        <v>5.4457755230960608E-2</v>
      </c>
      <c r="L267" s="48">
        <f t="shared" si="28"/>
        <v>-3.3710865679650315E-2</v>
      </c>
      <c r="M267" s="35"/>
      <c r="N267" s="40">
        <f t="shared" ref="N267:N330" si="29">N$8</f>
        <v>63.398492599999997</v>
      </c>
      <c r="O267" s="41">
        <f t="shared" ref="O267:R330" si="30">100*O$8*I267</f>
        <v>-0.47601023623466221</v>
      </c>
      <c r="P267" s="41">
        <f t="shared" si="30"/>
        <v>-53.19689155859195</v>
      </c>
      <c r="Q267" s="41">
        <f t="shared" si="30"/>
        <v>4.0573815884133477</v>
      </c>
      <c r="R267" s="41">
        <f t="shared" si="30"/>
        <v>-5.9530772827085716</v>
      </c>
      <c r="S267" s="42">
        <f t="shared" ref="S267:S330" si="31">SUM(N267:R267)</f>
        <v>7.8298951108781587</v>
      </c>
      <c r="T267" s="35"/>
      <c r="U267" s="43">
        <v>15306</v>
      </c>
      <c r="V267" s="44">
        <f t="shared" ref="V267:V330" si="32">MAX(S267,10)*U267</f>
        <v>153060</v>
      </c>
      <c r="W267" s="140">
        <f t="shared" ref="W267:W330" si="33">V267/V$10</f>
        <v>1.1559516368194915E-4</v>
      </c>
      <c r="X267" s="35"/>
      <c r="Y267" s="49">
        <v>59390.327335418733</v>
      </c>
    </row>
    <row r="268" spans="1:25" x14ac:dyDescent="0.35">
      <c r="A268" s="35"/>
      <c r="B268" s="47" t="s">
        <v>249</v>
      </c>
      <c r="C268" s="46">
        <v>177</v>
      </c>
      <c r="D268" s="40">
        <v>0.12653552100335</v>
      </c>
      <c r="E268" s="41">
        <v>2.0960398591186299E-2</v>
      </c>
      <c r="F268" s="41">
        <v>0.188505554340445</v>
      </c>
      <c r="G268" s="48">
        <v>0.28627987201409999</v>
      </c>
      <c r="H268" s="35"/>
      <c r="I268" s="40">
        <f t="shared" si="28"/>
        <v>-3.3800078757819513E-2</v>
      </c>
      <c r="J268" s="41">
        <f t="shared" si="28"/>
        <v>-1.1787866152143278E-2</v>
      </c>
      <c r="K268" s="41">
        <f t="shared" si="28"/>
        <v>7.9662694423046077E-3</v>
      </c>
      <c r="L268" s="48">
        <f t="shared" si="28"/>
        <v>5.6673222587216854E-3</v>
      </c>
      <c r="M268" s="35"/>
      <c r="N268" s="40">
        <f t="shared" si="29"/>
        <v>63.398492599999997</v>
      </c>
      <c r="O268" s="41">
        <f t="shared" si="30"/>
        <v>-1.1343380791297497</v>
      </c>
      <c r="P268" s="41">
        <f t="shared" si="30"/>
        <v>-48.415124095840198</v>
      </c>
      <c r="Q268" s="41">
        <f t="shared" si="30"/>
        <v>0.59352786075123787</v>
      </c>
      <c r="R268" s="41">
        <f t="shared" si="30"/>
        <v>1.000805132469522</v>
      </c>
      <c r="S268" s="42">
        <f t="shared" si="31"/>
        <v>15.44336341825081</v>
      </c>
      <c r="T268" s="35"/>
      <c r="U268" s="43">
        <v>23282</v>
      </c>
      <c r="V268" s="44">
        <f t="shared" si="32"/>
        <v>359552.38710371533</v>
      </c>
      <c r="W268" s="140">
        <f t="shared" si="33"/>
        <v>2.7154395034293424E-4</v>
      </c>
      <c r="X268" s="35"/>
      <c r="Y268" s="49">
        <v>139513.48467477356</v>
      </c>
    </row>
    <row r="269" spans="1:25" x14ac:dyDescent="0.35">
      <c r="A269" s="35"/>
      <c r="B269" s="47" t="s">
        <v>250</v>
      </c>
      <c r="C269" s="46">
        <v>703</v>
      </c>
      <c r="D269" s="40">
        <v>0.15646160495605799</v>
      </c>
      <c r="E269" s="41">
        <v>2.0746290159919301E-2</v>
      </c>
      <c r="F269" s="41">
        <v>0.28585919114193198</v>
      </c>
      <c r="G269" s="48">
        <v>0.29127425347906599</v>
      </c>
      <c r="H269" s="35"/>
      <c r="I269" s="40">
        <f t="shared" si="28"/>
        <v>-3.8739948051115247E-3</v>
      </c>
      <c r="J269" s="41">
        <f t="shared" si="28"/>
        <v>-1.2001974583410277E-2</v>
      </c>
      <c r="K269" s="41">
        <f t="shared" si="28"/>
        <v>0.10531990624379159</v>
      </c>
      <c r="L269" s="48">
        <f t="shared" si="28"/>
        <v>1.0661703723687688E-2</v>
      </c>
      <c r="M269" s="35"/>
      <c r="N269" s="40">
        <f t="shared" si="29"/>
        <v>63.398492599999997</v>
      </c>
      <c r="O269" s="41">
        <f t="shared" si="30"/>
        <v>-0.1300121179383999</v>
      </c>
      <c r="P269" s="41">
        <f t="shared" si="30"/>
        <v>-49.294510249022181</v>
      </c>
      <c r="Q269" s="41">
        <f t="shared" si="30"/>
        <v>7.8468722530824424</v>
      </c>
      <c r="R269" s="41">
        <f t="shared" si="30"/>
        <v>1.8827741427823499</v>
      </c>
      <c r="S269" s="42">
        <f t="shared" si="31"/>
        <v>23.703616628904207</v>
      </c>
      <c r="T269" s="35"/>
      <c r="U269" s="43">
        <v>13882</v>
      </c>
      <c r="V269" s="44">
        <f t="shared" si="32"/>
        <v>329053.6060424482</v>
      </c>
      <c r="W269" s="140">
        <f t="shared" si="33"/>
        <v>2.4851042369405729E-4</v>
      </c>
      <c r="X269" s="35"/>
      <c r="Y269" s="49">
        <v>127679.35041004128</v>
      </c>
    </row>
    <row r="270" spans="1:25" x14ac:dyDescent="0.35">
      <c r="A270" s="35"/>
      <c r="B270" s="47" t="s">
        <v>251</v>
      </c>
      <c r="C270" s="46">
        <v>274</v>
      </c>
      <c r="D270" s="40">
        <v>0.179210296684119</v>
      </c>
      <c r="E270" s="41">
        <v>4.4775305410122201E-2</v>
      </c>
      <c r="F270" s="41">
        <v>0.10610312040851699</v>
      </c>
      <c r="G270" s="48">
        <v>0.26612906851593698</v>
      </c>
      <c r="H270" s="35"/>
      <c r="I270" s="40">
        <f t="shared" si="28"/>
        <v>1.8874696922949491E-2</v>
      </c>
      <c r="J270" s="41">
        <f t="shared" si="28"/>
        <v>1.2027040666792624E-2</v>
      </c>
      <c r="K270" s="41">
        <f t="shared" si="28"/>
        <v>-7.4436164489623396E-2</v>
      </c>
      <c r="L270" s="48">
        <f t="shared" si="28"/>
        <v>-1.448348123944132E-2</v>
      </c>
      <c r="M270" s="35"/>
      <c r="N270" s="40">
        <f t="shared" si="29"/>
        <v>63.398492599999997</v>
      </c>
      <c r="O270" s="41">
        <f t="shared" si="30"/>
        <v>0.63343898116750796</v>
      </c>
      <c r="P270" s="41">
        <f t="shared" si="30"/>
        <v>49.397461667191479</v>
      </c>
      <c r="Q270" s="41">
        <f t="shared" si="30"/>
        <v>-5.5458753676391304</v>
      </c>
      <c r="R270" s="41">
        <f t="shared" si="30"/>
        <v>-2.557670395070919</v>
      </c>
      <c r="S270" s="42">
        <f t="shared" si="31"/>
        <v>105.32584748564894</v>
      </c>
      <c r="T270" s="35"/>
      <c r="U270" s="43">
        <v>18336</v>
      </c>
      <c r="V270" s="44">
        <f t="shared" si="32"/>
        <v>1931254.7394968588</v>
      </c>
      <c r="W270" s="140">
        <f t="shared" si="33"/>
        <v>1.4585372254258425E-3</v>
      </c>
      <c r="X270" s="35"/>
      <c r="Y270" s="49">
        <v>749365.28908138827</v>
      </c>
    </row>
    <row r="271" spans="1:25" x14ac:dyDescent="0.35">
      <c r="A271" s="35"/>
      <c r="B271" s="47" t="s">
        <v>252</v>
      </c>
      <c r="C271" s="46">
        <v>339</v>
      </c>
      <c r="D271" s="40">
        <v>0.10693192415293799</v>
      </c>
      <c r="E271" s="41">
        <v>1.3988187752564499E-2</v>
      </c>
      <c r="F271" s="41">
        <v>0.29567875972770502</v>
      </c>
      <c r="G271" s="48">
        <v>0.25411676331925098</v>
      </c>
      <c r="H271" s="35"/>
      <c r="I271" s="40">
        <f t="shared" si="28"/>
        <v>-5.3403675608231518E-2</v>
      </c>
      <c r="J271" s="41">
        <f t="shared" si="28"/>
        <v>-1.8760076990765078E-2</v>
      </c>
      <c r="K271" s="41">
        <f t="shared" si="28"/>
        <v>0.11513947482956463</v>
      </c>
      <c r="L271" s="48">
        <f t="shared" si="28"/>
        <v>-2.6495786436127322E-2</v>
      </c>
      <c r="M271" s="35"/>
      <c r="N271" s="40">
        <f t="shared" si="29"/>
        <v>63.398492599999997</v>
      </c>
      <c r="O271" s="41">
        <f t="shared" si="30"/>
        <v>-1.7922391022208837</v>
      </c>
      <c r="P271" s="41">
        <f t="shared" si="30"/>
        <v>-77.051388591671866</v>
      </c>
      <c r="Q271" s="41">
        <f t="shared" si="30"/>
        <v>8.5784803889136931</v>
      </c>
      <c r="R271" s="41">
        <f t="shared" si="30"/>
        <v>-4.678950277317341</v>
      </c>
      <c r="S271" s="42">
        <f t="shared" si="31"/>
        <v>-11.5456049822964</v>
      </c>
      <c r="T271" s="35"/>
      <c r="U271" s="43">
        <v>3217</v>
      </c>
      <c r="V271" s="44">
        <f t="shared" si="32"/>
        <v>32170</v>
      </c>
      <c r="W271" s="140">
        <f t="shared" si="33"/>
        <v>2.4295677614323166E-5</v>
      </c>
      <c r="X271" s="35"/>
      <c r="Y271" s="49">
        <v>12482.600485955969</v>
      </c>
    </row>
    <row r="272" spans="1:25" x14ac:dyDescent="0.35">
      <c r="A272" s="35"/>
      <c r="B272" s="47" t="s">
        <v>253</v>
      </c>
      <c r="C272" s="46">
        <v>1667</v>
      </c>
      <c r="D272" s="40">
        <v>0.122651542006381</v>
      </c>
      <c r="E272" s="41">
        <v>1.51246602859506E-2</v>
      </c>
      <c r="F272" s="41">
        <v>0.18905343839866401</v>
      </c>
      <c r="G272" s="48">
        <v>0.24593149573283901</v>
      </c>
      <c r="H272" s="35"/>
      <c r="I272" s="40">
        <f t="shared" si="28"/>
        <v>-3.7684057754788516E-2</v>
      </c>
      <c r="J272" s="41">
        <f t="shared" si="28"/>
        <v>-1.7623604457378976E-2</v>
      </c>
      <c r="K272" s="41">
        <f t="shared" si="28"/>
        <v>8.5141535005236191E-3</v>
      </c>
      <c r="L272" s="48">
        <f t="shared" si="28"/>
        <v>-3.4681054022539293E-2</v>
      </c>
      <c r="M272" s="35"/>
      <c r="N272" s="40">
        <f t="shared" si="29"/>
        <v>63.398492599999997</v>
      </c>
      <c r="O272" s="41">
        <f t="shared" si="30"/>
        <v>-1.2646852687434087</v>
      </c>
      <c r="P272" s="41">
        <f t="shared" si="30"/>
        <v>-72.38366857981903</v>
      </c>
      <c r="Q272" s="41">
        <f t="shared" si="30"/>
        <v>0.63434802825493231</v>
      </c>
      <c r="R272" s="41">
        <f t="shared" si="30"/>
        <v>-6.1244050154012246</v>
      </c>
      <c r="S272" s="42">
        <f t="shared" si="31"/>
        <v>-15.739918235708732</v>
      </c>
      <c r="T272" s="35"/>
      <c r="U272" s="43">
        <v>8463</v>
      </c>
      <c r="V272" s="44">
        <f t="shared" si="32"/>
        <v>84630</v>
      </c>
      <c r="W272" s="140">
        <f t="shared" si="33"/>
        <v>6.3914926841783333E-5</v>
      </c>
      <c r="X272" s="35"/>
      <c r="Y272" s="49">
        <v>32838.124933989864</v>
      </c>
    </row>
    <row r="273" spans="1:25" x14ac:dyDescent="0.35">
      <c r="A273" s="35"/>
      <c r="B273" s="47" t="s">
        <v>254</v>
      </c>
      <c r="C273" s="46">
        <v>275</v>
      </c>
      <c r="D273" s="40">
        <v>0.19807978054634801</v>
      </c>
      <c r="E273" s="41">
        <v>4.71291957176058E-2</v>
      </c>
      <c r="F273" s="41">
        <v>0.17322235498765801</v>
      </c>
      <c r="G273" s="48">
        <v>0.27348946640515498</v>
      </c>
      <c r="H273" s="35"/>
      <c r="I273" s="40">
        <f t="shared" si="28"/>
        <v>3.7744180785178494E-2</v>
      </c>
      <c r="J273" s="41">
        <f t="shared" si="28"/>
        <v>1.4380930974276222E-2</v>
      </c>
      <c r="K273" s="41">
        <f t="shared" si="28"/>
        <v>-7.3169299104823837E-3</v>
      </c>
      <c r="L273" s="48">
        <f t="shared" si="28"/>
        <v>-7.1230833502233248E-3</v>
      </c>
      <c r="M273" s="35"/>
      <c r="N273" s="40">
        <f t="shared" si="29"/>
        <v>63.398492599999997</v>
      </c>
      <c r="O273" s="41">
        <f t="shared" si="30"/>
        <v>1.266703010870363</v>
      </c>
      <c r="P273" s="41">
        <f t="shared" si="30"/>
        <v>59.065359985165919</v>
      </c>
      <c r="Q273" s="41">
        <f t="shared" si="30"/>
        <v>-0.54514874101207933</v>
      </c>
      <c r="R273" s="41">
        <f t="shared" si="30"/>
        <v>-1.2578812445226415</v>
      </c>
      <c r="S273" s="42">
        <f t="shared" si="31"/>
        <v>121.92752561050156</v>
      </c>
      <c r="T273" s="35"/>
      <c r="U273" s="43">
        <v>26247</v>
      </c>
      <c r="V273" s="44">
        <f t="shared" si="32"/>
        <v>3200231.7646988346</v>
      </c>
      <c r="W273" s="140">
        <f t="shared" si="33"/>
        <v>2.4169039243468883E-3</v>
      </c>
      <c r="X273" s="35"/>
      <c r="Y273" s="49">
        <v>1241753.6394529499</v>
      </c>
    </row>
    <row r="274" spans="1:25" x14ac:dyDescent="0.35">
      <c r="A274" s="35"/>
      <c r="B274" s="47" t="s">
        <v>255</v>
      </c>
      <c r="C274" s="46">
        <v>340</v>
      </c>
      <c r="D274" s="40">
        <v>0.17010005885815199</v>
      </c>
      <c r="E274" s="41">
        <v>2.9513159001093098E-2</v>
      </c>
      <c r="F274" s="41">
        <v>0.188814409229762</v>
      </c>
      <c r="G274" s="48">
        <v>0.27124064565263201</v>
      </c>
      <c r="H274" s="35"/>
      <c r="I274" s="40">
        <f t="shared" si="28"/>
        <v>9.7644590969824807E-3</v>
      </c>
      <c r="J274" s="41">
        <f t="shared" si="28"/>
        <v>-3.2351057422364791E-3</v>
      </c>
      <c r="K274" s="41">
        <f t="shared" si="28"/>
        <v>8.2751243316216139E-3</v>
      </c>
      <c r="L274" s="48">
        <f t="shared" si="28"/>
        <v>-9.3719041027462979E-3</v>
      </c>
      <c r="M274" s="35"/>
      <c r="N274" s="40">
        <f t="shared" si="29"/>
        <v>63.398492599999997</v>
      </c>
      <c r="O274" s="41">
        <f t="shared" si="30"/>
        <v>0.3276973954757334</v>
      </c>
      <c r="P274" s="41">
        <f t="shared" si="30"/>
        <v>-13.287226369215782</v>
      </c>
      <c r="Q274" s="41">
        <f t="shared" si="30"/>
        <v>0.61653913134238814</v>
      </c>
      <c r="R274" s="41">
        <f t="shared" si="30"/>
        <v>-1.6550055385691589</v>
      </c>
      <c r="S274" s="42">
        <f t="shared" si="31"/>
        <v>49.400497219033177</v>
      </c>
      <c r="T274" s="35"/>
      <c r="U274" s="43">
        <v>11893</v>
      </c>
      <c r="V274" s="44">
        <f t="shared" si="32"/>
        <v>587520.11342596158</v>
      </c>
      <c r="W274" s="140">
        <f t="shared" si="33"/>
        <v>4.4371150972109862E-4</v>
      </c>
      <c r="X274" s="35"/>
      <c r="Y274" s="49">
        <v>227969.50119240949</v>
      </c>
    </row>
    <row r="275" spans="1:25" x14ac:dyDescent="0.35">
      <c r="A275" s="35"/>
      <c r="B275" s="47" t="s">
        <v>256</v>
      </c>
      <c r="C275" s="46">
        <v>597</v>
      </c>
      <c r="D275" s="40">
        <v>0.16226808571839499</v>
      </c>
      <c r="E275" s="41">
        <v>3.5596145548683997E-2</v>
      </c>
      <c r="F275" s="41">
        <v>0.25815009054813198</v>
      </c>
      <c r="G275" s="48">
        <v>0.26820001403700999</v>
      </c>
      <c r="H275" s="35"/>
      <c r="I275" s="40">
        <f t="shared" si="28"/>
        <v>1.9324859572254771E-3</v>
      </c>
      <c r="J275" s="41">
        <f t="shared" si="28"/>
        <v>2.8478808053544191E-3</v>
      </c>
      <c r="K275" s="41">
        <f t="shared" si="28"/>
        <v>7.7610805649991593E-2</v>
      </c>
      <c r="L275" s="48">
        <f t="shared" si="28"/>
        <v>-1.2412535718368312E-2</v>
      </c>
      <c r="M275" s="35"/>
      <c r="N275" s="40">
        <f t="shared" si="29"/>
        <v>63.398492599999997</v>
      </c>
      <c r="O275" s="41">
        <f t="shared" si="30"/>
        <v>6.4854653871397605E-2</v>
      </c>
      <c r="P275" s="41">
        <f t="shared" si="30"/>
        <v>11.696816100709286</v>
      </c>
      <c r="Q275" s="41">
        <f t="shared" si="30"/>
        <v>5.7824023882493023</v>
      </c>
      <c r="R275" s="41">
        <f t="shared" si="30"/>
        <v>-2.1919574865866696</v>
      </c>
      <c r="S275" s="42">
        <f t="shared" si="31"/>
        <v>78.750608256243325</v>
      </c>
      <c r="T275" s="35"/>
      <c r="U275" s="43">
        <v>27812</v>
      </c>
      <c r="V275" s="44">
        <f t="shared" si="32"/>
        <v>2190211.9168226393</v>
      </c>
      <c r="W275" s="140">
        <f t="shared" si="33"/>
        <v>1.6541088790230536E-3</v>
      </c>
      <c r="X275" s="35"/>
      <c r="Y275" s="49">
        <v>849845.82957030879</v>
      </c>
    </row>
    <row r="276" spans="1:25" x14ac:dyDescent="0.35">
      <c r="A276" s="35"/>
      <c r="B276" s="47" t="s">
        <v>257</v>
      </c>
      <c r="C276" s="46">
        <v>1742</v>
      </c>
      <c r="D276" s="40">
        <v>0.146880082170675</v>
      </c>
      <c r="E276" s="41">
        <v>2.16125995035522E-2</v>
      </c>
      <c r="F276" s="41">
        <v>0.21876139390246799</v>
      </c>
      <c r="G276" s="48">
        <v>0.29646745514419098</v>
      </c>
      <c r="H276" s="35"/>
      <c r="I276" s="40">
        <f t="shared" si="28"/>
        <v>-1.3455517590494515E-2</v>
      </c>
      <c r="J276" s="41">
        <f t="shared" si="28"/>
        <v>-1.1135665239777378E-2</v>
      </c>
      <c r="K276" s="41">
        <f t="shared" si="28"/>
        <v>3.8222109004327598E-2</v>
      </c>
      <c r="L276" s="48">
        <f t="shared" si="28"/>
        <v>1.5854905388812679E-2</v>
      </c>
      <c r="M276" s="35"/>
      <c r="N276" s="40">
        <f t="shared" si="29"/>
        <v>63.398492599999997</v>
      </c>
      <c r="O276" s="41">
        <f t="shared" si="30"/>
        <v>-0.45157013055086581</v>
      </c>
      <c r="P276" s="41">
        <f t="shared" si="30"/>
        <v>-45.736404495526955</v>
      </c>
      <c r="Q276" s="41">
        <f t="shared" si="30"/>
        <v>2.8477428180205084</v>
      </c>
      <c r="R276" s="41">
        <f t="shared" si="30"/>
        <v>2.7998532575985018</v>
      </c>
      <c r="S276" s="42">
        <f t="shared" si="31"/>
        <v>22.858114049541189</v>
      </c>
      <c r="T276" s="35"/>
      <c r="U276" s="43">
        <v>23366</v>
      </c>
      <c r="V276" s="44">
        <f t="shared" si="32"/>
        <v>534102.69288157939</v>
      </c>
      <c r="W276" s="140">
        <f t="shared" si="33"/>
        <v>4.0336918990341032E-4</v>
      </c>
      <c r="X276" s="35"/>
      <c r="Y276" s="49">
        <v>207242.47851147017</v>
      </c>
    </row>
    <row r="277" spans="1:25" x14ac:dyDescent="0.35">
      <c r="A277" s="35"/>
      <c r="B277" s="47" t="s">
        <v>258</v>
      </c>
      <c r="C277" s="46">
        <v>603</v>
      </c>
      <c r="D277" s="40">
        <v>0.19698113207547199</v>
      </c>
      <c r="E277" s="41">
        <v>5.2075471698113197E-2</v>
      </c>
      <c r="F277" s="41">
        <v>0.134359917629161</v>
      </c>
      <c r="G277" s="48">
        <v>0.25147416224986002</v>
      </c>
      <c r="H277" s="35"/>
      <c r="I277" s="40">
        <f t="shared" si="28"/>
        <v>3.6645532314302481E-2</v>
      </c>
      <c r="J277" s="41">
        <f t="shared" si="28"/>
        <v>1.932720695478362E-2</v>
      </c>
      <c r="K277" s="41">
        <f t="shared" si="28"/>
        <v>-4.6179367268979393E-2</v>
      </c>
      <c r="L277" s="48">
        <f t="shared" si="28"/>
        <v>-2.9138387505518282E-2</v>
      </c>
      <c r="M277" s="35"/>
      <c r="N277" s="40">
        <f t="shared" si="29"/>
        <v>63.398492599999997</v>
      </c>
      <c r="O277" s="41">
        <f t="shared" si="30"/>
        <v>1.2298321264851004</v>
      </c>
      <c r="P277" s="41">
        <f t="shared" si="30"/>
        <v>79.380704791231423</v>
      </c>
      <c r="Q277" s="41">
        <f t="shared" si="30"/>
        <v>-3.4405992998993824</v>
      </c>
      <c r="R277" s="41">
        <f t="shared" si="30"/>
        <v>-5.1456131195874857</v>
      </c>
      <c r="S277" s="42">
        <f t="shared" si="31"/>
        <v>135.42281709822964</v>
      </c>
      <c r="T277" s="35"/>
      <c r="U277" s="43">
        <v>31800</v>
      </c>
      <c r="V277" s="44">
        <f t="shared" si="32"/>
        <v>4306445.5837237025</v>
      </c>
      <c r="W277" s="140">
        <f t="shared" si="33"/>
        <v>3.2523473287465595E-3</v>
      </c>
      <c r="X277" s="35"/>
      <c r="Y277" s="49">
        <v>1670986.6253071937</v>
      </c>
    </row>
    <row r="278" spans="1:25" x14ac:dyDescent="0.35">
      <c r="A278" s="35"/>
      <c r="B278" s="47" t="s">
        <v>259</v>
      </c>
      <c r="C278" s="46">
        <v>1669</v>
      </c>
      <c r="D278" s="40">
        <v>0.17087574792136101</v>
      </c>
      <c r="E278" s="41">
        <v>2.7974201569663501E-2</v>
      </c>
      <c r="F278" s="41">
        <v>0.1984788606956</v>
      </c>
      <c r="G278" s="48">
        <v>0.29828970245275599</v>
      </c>
      <c r="H278" s="35"/>
      <c r="I278" s="40">
        <f t="shared" si="28"/>
        <v>1.0540148160191498E-2</v>
      </c>
      <c r="J278" s="41">
        <f t="shared" si="28"/>
        <v>-4.7740631736660766E-3</v>
      </c>
      <c r="K278" s="41">
        <f t="shared" si="28"/>
        <v>1.7939575797459612E-2</v>
      </c>
      <c r="L278" s="48">
        <f t="shared" si="28"/>
        <v>1.7677152697377685E-2</v>
      </c>
      <c r="M278" s="35"/>
      <c r="N278" s="40">
        <f t="shared" si="29"/>
        <v>63.398492599999997</v>
      </c>
      <c r="O278" s="41">
        <f t="shared" si="30"/>
        <v>0.35372969108862196</v>
      </c>
      <c r="P278" s="41">
        <f t="shared" si="30"/>
        <v>-19.608032362362575</v>
      </c>
      <c r="Q278" s="41">
        <f t="shared" si="30"/>
        <v>1.3365902475388241</v>
      </c>
      <c r="R278" s="41">
        <f t="shared" si="30"/>
        <v>3.1216479916519675</v>
      </c>
      <c r="S278" s="42">
        <f t="shared" si="31"/>
        <v>48.602428167916841</v>
      </c>
      <c r="T278" s="35"/>
      <c r="U278" s="43">
        <v>12869</v>
      </c>
      <c r="V278" s="44">
        <f t="shared" si="32"/>
        <v>625464.64809292182</v>
      </c>
      <c r="W278" s="140">
        <f t="shared" si="33"/>
        <v>4.7236827632022747E-4</v>
      </c>
      <c r="X278" s="35"/>
      <c r="Y278" s="49">
        <v>242692.73609676669</v>
      </c>
    </row>
    <row r="279" spans="1:25" x14ac:dyDescent="0.35">
      <c r="A279" s="35"/>
      <c r="B279" s="47" t="s">
        <v>260</v>
      </c>
      <c r="C279" s="46">
        <v>957</v>
      </c>
      <c r="D279" s="40">
        <v>0.199219585204191</v>
      </c>
      <c r="E279" s="41">
        <v>5.9038913833654103E-2</v>
      </c>
      <c r="F279" s="41">
        <v>0.170664882010479</v>
      </c>
      <c r="G279" s="48">
        <v>0.28361536790412301</v>
      </c>
      <c r="H279" s="35"/>
      <c r="I279" s="40">
        <f t="shared" si="28"/>
        <v>3.888398544302149E-2</v>
      </c>
      <c r="J279" s="41">
        <f t="shared" si="28"/>
        <v>2.6290649090324525E-2</v>
      </c>
      <c r="K279" s="41">
        <f t="shared" si="28"/>
        <v>-9.8744028876613932E-3</v>
      </c>
      <c r="L279" s="48">
        <f t="shared" si="28"/>
        <v>3.0028181487447014E-3</v>
      </c>
      <c r="M279" s="35"/>
      <c r="N279" s="40">
        <f t="shared" si="29"/>
        <v>63.398492599999997</v>
      </c>
      <c r="O279" s="41">
        <f t="shared" si="30"/>
        <v>1.3049551059445987</v>
      </c>
      <c r="P279" s="41">
        <f t="shared" si="30"/>
        <v>107.98095446959388</v>
      </c>
      <c r="Q279" s="41">
        <f t="shared" si="30"/>
        <v>-0.73569357207355868</v>
      </c>
      <c r="R279" s="41">
        <f t="shared" si="30"/>
        <v>0.53027438319948006</v>
      </c>
      <c r="S279" s="42">
        <f t="shared" si="31"/>
        <v>172.47898298666439</v>
      </c>
      <c r="T279" s="35"/>
      <c r="U279" s="43">
        <v>37416</v>
      </c>
      <c r="V279" s="44">
        <f t="shared" si="32"/>
        <v>6453473.6274290346</v>
      </c>
      <c r="W279" s="140">
        <f t="shared" si="33"/>
        <v>4.8738425472350799E-3</v>
      </c>
      <c r="X279" s="35"/>
      <c r="Y279" s="49">
        <v>2504076.2523422348</v>
      </c>
    </row>
    <row r="280" spans="1:25" x14ac:dyDescent="0.35">
      <c r="A280" s="35"/>
      <c r="B280" s="47" t="s">
        <v>261</v>
      </c>
      <c r="C280" s="46">
        <v>1674</v>
      </c>
      <c r="D280" s="40">
        <v>0.19221169260739901</v>
      </c>
      <c r="E280" s="41">
        <v>4.7058584792710897E-2</v>
      </c>
      <c r="F280" s="41">
        <v>0.179627612376137</v>
      </c>
      <c r="G280" s="48">
        <v>0.27703427619030901</v>
      </c>
      <c r="H280" s="35"/>
      <c r="I280" s="40">
        <f t="shared" si="28"/>
        <v>3.1876092846229498E-2</v>
      </c>
      <c r="J280" s="41">
        <f t="shared" si="28"/>
        <v>1.431032004938132E-2</v>
      </c>
      <c r="K280" s="41">
        <f t="shared" si="28"/>
        <v>-9.1167252200338722E-4</v>
      </c>
      <c r="L280" s="48">
        <f t="shared" si="28"/>
        <v>-3.5782735650692898E-3</v>
      </c>
      <c r="M280" s="35"/>
      <c r="N280" s="40">
        <f t="shared" si="29"/>
        <v>63.398492599999997</v>
      </c>
      <c r="O280" s="41">
        <f t="shared" si="30"/>
        <v>1.0697686886598881</v>
      </c>
      <c r="P280" s="41">
        <f t="shared" si="30"/>
        <v>58.775346793025363</v>
      </c>
      <c r="Q280" s="41">
        <f t="shared" si="30"/>
        <v>-6.7924270652565011E-2</v>
      </c>
      <c r="R280" s="41">
        <f t="shared" si="30"/>
        <v>-0.63189534418837168</v>
      </c>
      <c r="S280" s="42">
        <f t="shared" si="31"/>
        <v>122.54378846684432</v>
      </c>
      <c r="T280" s="35"/>
      <c r="U280" s="43">
        <v>49279</v>
      </c>
      <c r="V280" s="44">
        <f t="shared" si="32"/>
        <v>6038835.3518576212</v>
      </c>
      <c r="W280" s="140">
        <f t="shared" si="33"/>
        <v>4.5606962037522715E-3</v>
      </c>
      <c r="X280" s="35"/>
      <c r="Y280" s="49">
        <v>2343188.3462140514</v>
      </c>
    </row>
    <row r="281" spans="1:25" x14ac:dyDescent="0.35">
      <c r="A281" s="35"/>
      <c r="B281" s="47" t="s">
        <v>262</v>
      </c>
      <c r="C281" s="46">
        <v>599</v>
      </c>
      <c r="D281" s="40">
        <v>0.24829495840801499</v>
      </c>
      <c r="E281" s="41">
        <v>0.102768969162186</v>
      </c>
      <c r="F281" s="41">
        <v>0.17131785348221401</v>
      </c>
      <c r="G281" s="48">
        <v>0.265736482875573</v>
      </c>
      <c r="H281" s="35"/>
      <c r="I281" s="40">
        <f t="shared" si="28"/>
        <v>8.7959358646845481E-2</v>
      </c>
      <c r="J281" s="41">
        <f t="shared" si="28"/>
        <v>7.0020704418856425E-2</v>
      </c>
      <c r="K281" s="41">
        <f t="shared" si="28"/>
        <v>-9.2214314159263788E-3</v>
      </c>
      <c r="L281" s="48">
        <f t="shared" si="28"/>
        <v>-1.4876066879805305E-2</v>
      </c>
      <c r="M281" s="35"/>
      <c r="N281" s="40">
        <f t="shared" si="29"/>
        <v>63.398492599999997</v>
      </c>
      <c r="O281" s="41">
        <f t="shared" si="30"/>
        <v>2.9519354272470366</v>
      </c>
      <c r="P281" s="41">
        <f t="shared" si="30"/>
        <v>287.58903858954119</v>
      </c>
      <c r="Q281" s="41">
        <f t="shared" si="30"/>
        <v>-0.68704385421536485</v>
      </c>
      <c r="R281" s="41">
        <f t="shared" si="30"/>
        <v>-2.6269979726946295</v>
      </c>
      <c r="S281" s="42">
        <f t="shared" si="31"/>
        <v>350.6254247898782</v>
      </c>
      <c r="T281" s="35"/>
      <c r="U281" s="43">
        <v>435180</v>
      </c>
      <c r="V281" s="44">
        <f t="shared" si="32"/>
        <v>152585172.3600592</v>
      </c>
      <c r="W281" s="140">
        <f t="shared" si="33"/>
        <v>0.11523656065856178</v>
      </c>
      <c r="X281" s="35"/>
      <c r="Y281" s="49">
        <v>59206084.757580049</v>
      </c>
    </row>
    <row r="282" spans="1:25" x14ac:dyDescent="0.35">
      <c r="A282" s="35"/>
      <c r="B282" s="47" t="s">
        <v>263</v>
      </c>
      <c r="C282" s="46">
        <v>277</v>
      </c>
      <c r="D282" s="40">
        <v>0.120381406436234</v>
      </c>
      <c r="E282" s="41">
        <v>8.3432657926102508E-3</v>
      </c>
      <c r="F282" s="41">
        <v>0</v>
      </c>
      <c r="G282" s="48">
        <v>0.269015831245002</v>
      </c>
      <c r="H282" s="35"/>
      <c r="I282" s="40">
        <f t="shared" si="28"/>
        <v>-3.9954193324935508E-2</v>
      </c>
      <c r="J282" s="41">
        <f t="shared" si="28"/>
        <v>-2.4404998950719327E-2</v>
      </c>
      <c r="K282" s="41">
        <f t="shared" si="28"/>
        <v>-0.18053928489814039</v>
      </c>
      <c r="L282" s="48">
        <f t="shared" si="28"/>
        <v>-1.1596718510376303E-2</v>
      </c>
      <c r="M282" s="35"/>
      <c r="N282" s="40">
        <f t="shared" si="29"/>
        <v>63.398492599999997</v>
      </c>
      <c r="O282" s="41">
        <f t="shared" si="30"/>
        <v>-1.3408715179073671</v>
      </c>
      <c r="P282" s="41">
        <f t="shared" si="30"/>
        <v>-100.2362121784944</v>
      </c>
      <c r="Q282" s="41">
        <f t="shared" si="30"/>
        <v>-13.451101086050139</v>
      </c>
      <c r="R282" s="41">
        <f t="shared" si="30"/>
        <v>-2.0478904983968147</v>
      </c>
      <c r="S282" s="42">
        <f t="shared" si="31"/>
        <v>-53.677582680848722</v>
      </c>
      <c r="T282" s="35"/>
      <c r="U282" s="43">
        <v>839</v>
      </c>
      <c r="V282" s="44">
        <f t="shared" si="32"/>
        <v>8390</v>
      </c>
      <c r="W282" s="140">
        <f t="shared" si="33"/>
        <v>6.3363610563932657E-6</v>
      </c>
      <c r="X282" s="35"/>
      <c r="Y282" s="49">
        <v>3255.4870400115192</v>
      </c>
    </row>
    <row r="283" spans="1:25" x14ac:dyDescent="0.35">
      <c r="A283" s="35"/>
      <c r="B283" s="47" t="s">
        <v>264</v>
      </c>
      <c r="C283" s="46">
        <v>840</v>
      </c>
      <c r="D283" s="40">
        <v>0.174616116320152</v>
      </c>
      <c r="E283" s="41">
        <v>2.86723739638538E-2</v>
      </c>
      <c r="F283" s="41">
        <v>0.26842540024740802</v>
      </c>
      <c r="G283" s="48">
        <v>0.273629725818759</v>
      </c>
      <c r="H283" s="35"/>
      <c r="I283" s="40">
        <f t="shared" si="28"/>
        <v>1.4280516558982492E-2</v>
      </c>
      <c r="J283" s="41">
        <f t="shared" si="28"/>
        <v>-4.0758907794757777E-3</v>
      </c>
      <c r="K283" s="41">
        <f t="shared" si="28"/>
        <v>8.7886115349267629E-2</v>
      </c>
      <c r="L283" s="48">
        <f t="shared" si="28"/>
        <v>-6.982823936619309E-3</v>
      </c>
      <c r="M283" s="35"/>
      <c r="N283" s="40">
        <f t="shared" si="29"/>
        <v>63.398492599999997</v>
      </c>
      <c r="O283" s="41">
        <f t="shared" si="30"/>
        <v>0.47925727743309543</v>
      </c>
      <c r="P283" s="41">
        <f t="shared" si="30"/>
        <v>-16.740498690980729</v>
      </c>
      <c r="Q283" s="41">
        <f t="shared" si="30"/>
        <v>6.5479655704310273</v>
      </c>
      <c r="R283" s="41">
        <f t="shared" si="30"/>
        <v>-1.2331125204932218</v>
      </c>
      <c r="S283" s="42">
        <f t="shared" si="31"/>
        <v>52.452104236390163</v>
      </c>
      <c r="T283" s="35"/>
      <c r="U283" s="43">
        <v>14718</v>
      </c>
      <c r="V283" s="44">
        <f t="shared" si="32"/>
        <v>771990.07015119039</v>
      </c>
      <c r="W283" s="140">
        <f t="shared" si="33"/>
        <v>5.8302834522387464E-4</v>
      </c>
      <c r="X283" s="35"/>
      <c r="Y283" s="49">
        <v>299547.51709115424</v>
      </c>
    </row>
    <row r="284" spans="1:25" x14ac:dyDescent="0.35">
      <c r="A284" s="35"/>
      <c r="B284" s="47" t="s">
        <v>265</v>
      </c>
      <c r="C284" s="46">
        <v>441</v>
      </c>
      <c r="D284" s="40">
        <v>0.14574827537660101</v>
      </c>
      <c r="E284" s="41">
        <v>2.2736871744333399E-2</v>
      </c>
      <c r="F284" s="41">
        <v>0.15206949546878801</v>
      </c>
      <c r="G284" s="48">
        <v>0.307477733817764</v>
      </c>
      <c r="H284" s="35"/>
      <c r="I284" s="40">
        <f t="shared" si="28"/>
        <v>-1.4587324384568501E-2</v>
      </c>
      <c r="J284" s="41">
        <f t="shared" si="28"/>
        <v>-1.0011392998996178E-2</v>
      </c>
      <c r="K284" s="41">
        <f t="shared" si="28"/>
        <v>-2.8469789429352382E-2</v>
      </c>
      <c r="L284" s="48">
        <f t="shared" si="28"/>
        <v>2.6865184062385694E-2</v>
      </c>
      <c r="M284" s="35"/>
      <c r="N284" s="40">
        <f t="shared" si="29"/>
        <v>63.398492599999997</v>
      </c>
      <c r="O284" s="41">
        <f t="shared" si="30"/>
        <v>-0.48955381555748351</v>
      </c>
      <c r="P284" s="41">
        <f t="shared" si="30"/>
        <v>-41.118793525704966</v>
      </c>
      <c r="Q284" s="41">
        <f t="shared" si="30"/>
        <v>-2.1211450778086309</v>
      </c>
      <c r="R284" s="41">
        <f t="shared" si="30"/>
        <v>4.7441830315889897</v>
      </c>
      <c r="S284" s="42">
        <f t="shared" si="31"/>
        <v>24.413183212517904</v>
      </c>
      <c r="T284" s="35"/>
      <c r="U284" s="43">
        <v>28412</v>
      </c>
      <c r="V284" s="44">
        <f t="shared" si="32"/>
        <v>693627.36143405864</v>
      </c>
      <c r="W284" s="140">
        <f t="shared" si="33"/>
        <v>5.2384665085096374E-4</v>
      </c>
      <c r="X284" s="35"/>
      <c r="Y284" s="49">
        <v>269141.225953035</v>
      </c>
    </row>
    <row r="285" spans="1:25" x14ac:dyDescent="0.35">
      <c r="A285" s="35"/>
      <c r="B285" s="47" t="s">
        <v>266</v>
      </c>
      <c r="C285" s="46">
        <v>279</v>
      </c>
      <c r="D285" s="40">
        <v>0.124521391709672</v>
      </c>
      <c r="E285" s="41">
        <v>1.5648410188113901E-2</v>
      </c>
      <c r="F285" s="41">
        <v>0.22054870397262799</v>
      </c>
      <c r="G285" s="48">
        <v>0.25002418256147102</v>
      </c>
      <c r="H285" s="35"/>
      <c r="I285" s="40">
        <f t="shared" si="28"/>
        <v>-3.5814208051497515E-2</v>
      </c>
      <c r="J285" s="41">
        <f t="shared" si="28"/>
        <v>-1.7099854555215677E-2</v>
      </c>
      <c r="K285" s="41">
        <f t="shared" si="28"/>
        <v>4.0009419074487601E-2</v>
      </c>
      <c r="L285" s="48">
        <f t="shared" si="28"/>
        <v>-3.0588367193907284E-2</v>
      </c>
      <c r="M285" s="35"/>
      <c r="N285" s="40">
        <f t="shared" si="29"/>
        <v>63.398492599999997</v>
      </c>
      <c r="O285" s="41">
        <f t="shared" si="30"/>
        <v>-1.201932701334028</v>
      </c>
      <c r="P285" s="41">
        <f t="shared" si="30"/>
        <v>-70.232522971178923</v>
      </c>
      <c r="Q285" s="41">
        <f t="shared" si="30"/>
        <v>2.9809065692749876</v>
      </c>
      <c r="R285" s="41">
        <f t="shared" si="30"/>
        <v>-5.4016682807146017</v>
      </c>
      <c r="S285" s="42">
        <f t="shared" si="31"/>
        <v>-10.45672478395257</v>
      </c>
      <c r="T285" s="35"/>
      <c r="U285" s="43">
        <v>6007</v>
      </c>
      <c r="V285" s="44">
        <f t="shared" si="32"/>
        <v>60070</v>
      </c>
      <c r="W285" s="140">
        <f t="shared" si="33"/>
        <v>4.5366532617108877E-5</v>
      </c>
      <c r="X285" s="35"/>
      <c r="Y285" s="49">
        <v>23308.355958699874</v>
      </c>
    </row>
    <row r="286" spans="1:25" x14ac:dyDescent="0.35">
      <c r="A286" s="35"/>
      <c r="B286" s="47" t="s">
        <v>267</v>
      </c>
      <c r="C286" s="46">
        <v>606</v>
      </c>
      <c r="D286" s="40">
        <v>0.213628842972027</v>
      </c>
      <c r="E286" s="41">
        <v>6.2199392050482902E-2</v>
      </c>
      <c r="F286" s="41">
        <v>0.21666661882367499</v>
      </c>
      <c r="G286" s="48">
        <v>0.260159336419373</v>
      </c>
      <c r="H286" s="35"/>
      <c r="I286" s="40">
        <f t="shared" si="28"/>
        <v>5.3293243210857488E-2</v>
      </c>
      <c r="J286" s="41">
        <f t="shared" si="28"/>
        <v>2.9451127307153324E-2</v>
      </c>
      <c r="K286" s="41">
        <f t="shared" si="28"/>
        <v>3.6127333925534605E-2</v>
      </c>
      <c r="L286" s="48">
        <f t="shared" si="28"/>
        <v>-2.0453213336005305E-2</v>
      </c>
      <c r="M286" s="35"/>
      <c r="N286" s="40">
        <f t="shared" si="29"/>
        <v>63.398492599999997</v>
      </c>
      <c r="O286" s="41">
        <f t="shared" si="30"/>
        <v>1.7885329666698837</v>
      </c>
      <c r="P286" s="41">
        <f t="shared" si="30"/>
        <v>120.96167066496268</v>
      </c>
      <c r="Q286" s="41">
        <f t="shared" si="30"/>
        <v>2.6916713494020268</v>
      </c>
      <c r="R286" s="41">
        <f t="shared" si="30"/>
        <v>-3.6118787582030496</v>
      </c>
      <c r="S286" s="42">
        <f t="shared" si="31"/>
        <v>185.22848882283154</v>
      </c>
      <c r="T286" s="35"/>
      <c r="U286" s="43">
        <v>51978</v>
      </c>
      <c r="V286" s="44">
        <f t="shared" si="32"/>
        <v>9627806.3920331374</v>
      </c>
      <c r="W286" s="140">
        <f t="shared" si="33"/>
        <v>7.271186827291172E-3</v>
      </c>
      <c r="X286" s="35"/>
      <c r="Y286" s="49">
        <v>3735780.5641244273</v>
      </c>
    </row>
    <row r="287" spans="1:25" x14ac:dyDescent="0.35">
      <c r="A287" s="35"/>
      <c r="B287" s="47" t="s">
        <v>268</v>
      </c>
      <c r="C287" s="46">
        <v>88</v>
      </c>
      <c r="D287" s="40">
        <v>0.15263157894736801</v>
      </c>
      <c r="E287" s="41">
        <v>1.9298245614035099E-2</v>
      </c>
      <c r="F287" s="41">
        <v>0.28615706500858501</v>
      </c>
      <c r="G287" s="48">
        <v>0.34658076209293498</v>
      </c>
      <c r="H287" s="35"/>
      <c r="I287" s="40">
        <f t="shared" si="28"/>
        <v>-7.7040208138015043E-3</v>
      </c>
      <c r="J287" s="41">
        <f t="shared" si="28"/>
        <v>-1.3450019129294478E-2</v>
      </c>
      <c r="K287" s="41">
        <f t="shared" si="28"/>
        <v>0.10561778011044462</v>
      </c>
      <c r="L287" s="48">
        <f t="shared" si="28"/>
        <v>6.5968212337556675E-2</v>
      </c>
      <c r="M287" s="35"/>
      <c r="N287" s="40">
        <f t="shared" si="29"/>
        <v>63.398492599999997</v>
      </c>
      <c r="O287" s="41">
        <f t="shared" si="30"/>
        <v>-0.25854863339575751</v>
      </c>
      <c r="P287" s="41">
        <f t="shared" si="30"/>
        <v>-55.241918836838664</v>
      </c>
      <c r="Q287" s="41">
        <f t="shared" si="30"/>
        <v>7.8690653812622902</v>
      </c>
      <c r="R287" s="41">
        <f t="shared" si="30"/>
        <v>11.649474385484769</v>
      </c>
      <c r="S287" s="42">
        <f t="shared" si="31"/>
        <v>27.416564896512639</v>
      </c>
      <c r="T287" s="35"/>
      <c r="U287" s="43">
        <v>570</v>
      </c>
      <c r="V287" s="44">
        <f t="shared" si="32"/>
        <v>15627.441991012205</v>
      </c>
      <c r="W287" s="140">
        <f t="shared" si="33"/>
        <v>1.1802278288783622E-5</v>
      </c>
      <c r="X287" s="35"/>
      <c r="Y287" s="49">
        <v>6063.7586257773601</v>
      </c>
    </row>
    <row r="288" spans="1:25" x14ac:dyDescent="0.35">
      <c r="A288" s="35"/>
      <c r="B288" s="47" t="s">
        <v>827</v>
      </c>
      <c r="C288" s="46">
        <v>962</v>
      </c>
      <c r="D288" s="40">
        <v>0.162831635860682</v>
      </c>
      <c r="E288" s="41">
        <v>2.6656607569470601E-2</v>
      </c>
      <c r="F288" s="41">
        <v>0.171314129797314</v>
      </c>
      <c r="G288" s="48">
        <v>0.32156514139077602</v>
      </c>
      <c r="H288" s="35"/>
      <c r="I288" s="40">
        <f t="shared" si="28"/>
        <v>2.4960360995124886E-3</v>
      </c>
      <c r="J288" s="41">
        <f t="shared" si="28"/>
        <v>-6.0916571738589761E-3</v>
      </c>
      <c r="K288" s="41">
        <f t="shared" si="28"/>
        <v>-9.2251551008263877E-3</v>
      </c>
      <c r="L288" s="48">
        <f t="shared" si="28"/>
        <v>4.0952591635397717E-2</v>
      </c>
      <c r="M288" s="35"/>
      <c r="N288" s="40">
        <f t="shared" si="29"/>
        <v>63.398492599999997</v>
      </c>
      <c r="O288" s="41">
        <f t="shared" si="30"/>
        <v>8.3767520627581013E-2</v>
      </c>
      <c r="P288" s="41">
        <f t="shared" si="30"/>
        <v>-25.019654466306733</v>
      </c>
      <c r="Q288" s="41">
        <f t="shared" si="30"/>
        <v>-0.68732128780568214</v>
      </c>
      <c r="R288" s="41">
        <f t="shared" si="30"/>
        <v>7.2319098907001464</v>
      </c>
      <c r="S288" s="42">
        <f t="shared" si="31"/>
        <v>45.007194257215311</v>
      </c>
      <c r="T288" s="35"/>
      <c r="U288" s="43">
        <v>7953</v>
      </c>
      <c r="V288" s="44">
        <f t="shared" si="32"/>
        <v>357942.21592763334</v>
      </c>
      <c r="W288" s="140">
        <f t="shared" si="33"/>
        <v>2.7032790434361925E-4</v>
      </c>
      <c r="X288" s="35"/>
      <c r="Y288" s="49">
        <v>138888.70620088381</v>
      </c>
    </row>
    <row r="289" spans="1:25" x14ac:dyDescent="0.35">
      <c r="A289" s="35"/>
      <c r="B289" s="47" t="s">
        <v>269</v>
      </c>
      <c r="C289" s="46">
        <v>1676</v>
      </c>
      <c r="D289" s="40">
        <v>0.16494538232373401</v>
      </c>
      <c r="E289" s="41">
        <v>2.7855014895729901E-2</v>
      </c>
      <c r="F289" s="41">
        <v>0.20050934900991099</v>
      </c>
      <c r="G289" s="48">
        <v>0.30925234084134201</v>
      </c>
      <c r="H289" s="35"/>
      <c r="I289" s="40">
        <f t="shared" si="28"/>
        <v>4.6097825625645017E-3</v>
      </c>
      <c r="J289" s="41">
        <f t="shared" si="28"/>
        <v>-4.8932498475996768E-3</v>
      </c>
      <c r="K289" s="41">
        <f t="shared" si="28"/>
        <v>1.9970064111770602E-2</v>
      </c>
      <c r="L289" s="48">
        <f t="shared" si="28"/>
        <v>2.8639791085963706E-2</v>
      </c>
      <c r="M289" s="35"/>
      <c r="N289" s="40">
        <f t="shared" si="29"/>
        <v>63.398492599999997</v>
      </c>
      <c r="O289" s="41">
        <f t="shared" si="30"/>
        <v>0.15470531695182846</v>
      </c>
      <c r="P289" s="41">
        <f t="shared" si="30"/>
        <v>-20.097555871926389</v>
      </c>
      <c r="Q289" s="41">
        <f t="shared" si="30"/>
        <v>1.4878720230551623</v>
      </c>
      <c r="R289" s="41">
        <f t="shared" si="30"/>
        <v>5.0575648610023638</v>
      </c>
      <c r="S289" s="42">
        <f t="shared" si="31"/>
        <v>50.001078929082958</v>
      </c>
      <c r="T289" s="35"/>
      <c r="U289" s="43">
        <v>20140</v>
      </c>
      <c r="V289" s="44">
        <f t="shared" si="32"/>
        <v>1007021.7296317308</v>
      </c>
      <c r="W289" s="140">
        <f t="shared" si="33"/>
        <v>7.6053078314425359E-4</v>
      </c>
      <c r="X289" s="35"/>
      <c r="Y289" s="49">
        <v>390744.48031300161</v>
      </c>
    </row>
    <row r="290" spans="1:25" x14ac:dyDescent="0.35">
      <c r="A290" s="35"/>
      <c r="B290" s="47" t="s">
        <v>270</v>
      </c>
      <c r="C290" s="46">
        <v>518</v>
      </c>
      <c r="D290" s="40">
        <v>0.249226645820537</v>
      </c>
      <c r="E290" s="41">
        <v>8.6048913953877898E-2</v>
      </c>
      <c r="F290" s="41">
        <v>0.14610240043028699</v>
      </c>
      <c r="G290" s="48">
        <v>0.25361010226555603</v>
      </c>
      <c r="H290" s="35"/>
      <c r="I290" s="40">
        <f t="shared" si="28"/>
        <v>8.8891046059367484E-2</v>
      </c>
      <c r="J290" s="41">
        <f t="shared" si="28"/>
        <v>5.330064921054832E-2</v>
      </c>
      <c r="K290" s="41">
        <f t="shared" si="28"/>
        <v>-3.4436884467853396E-2</v>
      </c>
      <c r="L290" s="48">
        <f t="shared" si="28"/>
        <v>-2.7002447489822279E-2</v>
      </c>
      <c r="M290" s="35"/>
      <c r="N290" s="40">
        <f t="shared" si="29"/>
        <v>63.398492599999997</v>
      </c>
      <c r="O290" s="41">
        <f t="shared" si="30"/>
        <v>2.9832030617825058</v>
      </c>
      <c r="P290" s="41">
        <f t="shared" si="30"/>
        <v>218.91642750357707</v>
      </c>
      <c r="Q290" s="41">
        <f t="shared" si="30"/>
        <v>-2.5657242097035535</v>
      </c>
      <c r="R290" s="41">
        <f t="shared" si="30"/>
        <v>-4.7684226877100935</v>
      </c>
      <c r="S290" s="42">
        <f t="shared" si="31"/>
        <v>277.96397626794595</v>
      </c>
      <c r="T290" s="35"/>
      <c r="U290" s="43">
        <v>358180</v>
      </c>
      <c r="V290" s="44">
        <f t="shared" si="32"/>
        <v>99561137.019652888</v>
      </c>
      <c r="W290" s="140">
        <f t="shared" si="33"/>
        <v>7.5191336274322104E-2</v>
      </c>
      <c r="X290" s="35"/>
      <c r="Y290" s="49">
        <v>38631703.367853522</v>
      </c>
    </row>
    <row r="291" spans="1:25" x14ac:dyDescent="0.35">
      <c r="A291" s="35"/>
      <c r="B291" s="47" t="s">
        <v>271</v>
      </c>
      <c r="C291" s="46">
        <v>796</v>
      </c>
      <c r="D291" s="40">
        <v>0.16497489362956599</v>
      </c>
      <c r="E291" s="41">
        <v>4.61249717491918E-2</v>
      </c>
      <c r="F291" s="41">
        <v>0.12820766728473501</v>
      </c>
      <c r="G291" s="48">
        <v>0.25301635407414502</v>
      </c>
      <c r="H291" s="35"/>
      <c r="I291" s="40">
        <f t="shared" si="28"/>
        <v>4.6392938683964824E-3</v>
      </c>
      <c r="J291" s="41">
        <f t="shared" si="28"/>
        <v>1.3376707005862222E-2</v>
      </c>
      <c r="K291" s="41">
        <f t="shared" si="28"/>
        <v>-5.2331617613405379E-2</v>
      </c>
      <c r="L291" s="48">
        <f t="shared" si="28"/>
        <v>-2.7596195681233282E-2</v>
      </c>
      <c r="M291" s="35"/>
      <c r="N291" s="40">
        <f t="shared" si="29"/>
        <v>63.398492599999997</v>
      </c>
      <c r="O291" s="41">
        <f t="shared" si="30"/>
        <v>0.15569572286803701</v>
      </c>
      <c r="P291" s="41">
        <f t="shared" si="30"/>
        <v>54.94081128201146</v>
      </c>
      <c r="Q291" s="41">
        <f t="shared" si="30"/>
        <v>-3.8989734500808817</v>
      </c>
      <c r="R291" s="41">
        <f t="shared" si="30"/>
        <v>-4.8732740108273109</v>
      </c>
      <c r="S291" s="42">
        <f t="shared" si="31"/>
        <v>109.72275214397129</v>
      </c>
      <c r="T291" s="35"/>
      <c r="U291" s="43">
        <v>101767</v>
      </c>
      <c r="V291" s="44">
        <f t="shared" si="32"/>
        <v>11166155.317435527</v>
      </c>
      <c r="W291" s="140">
        <f t="shared" si="33"/>
        <v>8.4329906678232494E-3</v>
      </c>
      <c r="X291" s="35"/>
      <c r="Y291" s="49">
        <v>4332690.574811331</v>
      </c>
    </row>
    <row r="292" spans="1:25" x14ac:dyDescent="0.35">
      <c r="A292" s="35"/>
      <c r="B292" s="47" t="s">
        <v>272</v>
      </c>
      <c r="C292" s="46">
        <v>965</v>
      </c>
      <c r="D292" s="40">
        <v>0.163336891871283</v>
      </c>
      <c r="E292" s="41">
        <v>2.72990696965075E-2</v>
      </c>
      <c r="F292" s="41">
        <v>0.14089759032988999</v>
      </c>
      <c r="G292" s="48">
        <v>0.34120082396429902</v>
      </c>
      <c r="H292" s="35"/>
      <c r="I292" s="40">
        <f t="shared" si="28"/>
        <v>3.0012921101134904E-3</v>
      </c>
      <c r="J292" s="41">
        <f t="shared" si="28"/>
        <v>-5.4491950468220779E-3</v>
      </c>
      <c r="K292" s="41">
        <f t="shared" si="28"/>
        <v>-3.9641694568250396E-2</v>
      </c>
      <c r="L292" s="48">
        <f t="shared" si="28"/>
        <v>6.0588274208920712E-2</v>
      </c>
      <c r="M292" s="35"/>
      <c r="N292" s="40">
        <f t="shared" si="29"/>
        <v>63.398492599999997</v>
      </c>
      <c r="O292" s="41">
        <f t="shared" si="30"/>
        <v>0.10072402349967297</v>
      </c>
      <c r="P292" s="41">
        <f t="shared" si="30"/>
        <v>-22.38093400529154</v>
      </c>
      <c r="Q292" s="41">
        <f t="shared" si="30"/>
        <v>-2.9535092108108443</v>
      </c>
      <c r="R292" s="41">
        <f t="shared" si="30"/>
        <v>10.699419060287537</v>
      </c>
      <c r="S292" s="42">
        <f t="shared" si="31"/>
        <v>48.864192467684823</v>
      </c>
      <c r="T292" s="35"/>
      <c r="U292" s="43">
        <v>6557</v>
      </c>
      <c r="V292" s="44">
        <f t="shared" si="32"/>
        <v>320402.5100106094</v>
      </c>
      <c r="W292" s="140">
        <f t="shared" si="33"/>
        <v>2.4197687566172575E-4</v>
      </c>
      <c r="X292" s="35"/>
      <c r="Y292" s="49">
        <v>124322.55291140644</v>
      </c>
    </row>
    <row r="293" spans="1:25" x14ac:dyDescent="0.35">
      <c r="A293" s="35"/>
      <c r="B293" s="47" t="s">
        <v>273</v>
      </c>
      <c r="C293" s="46">
        <v>1702</v>
      </c>
      <c r="D293" s="40">
        <v>0.13173652694610799</v>
      </c>
      <c r="E293" s="41">
        <v>1.49035262807718E-2</v>
      </c>
      <c r="F293" s="41">
        <v>0.13942624284715199</v>
      </c>
      <c r="G293" s="48">
        <v>0.28649173997148702</v>
      </c>
      <c r="H293" s="35"/>
      <c r="I293" s="40">
        <f t="shared" si="28"/>
        <v>-2.8599072815061521E-2</v>
      </c>
      <c r="J293" s="41">
        <f t="shared" si="28"/>
        <v>-1.7844738462557776E-2</v>
      </c>
      <c r="K293" s="41">
        <f t="shared" si="28"/>
        <v>-4.1113042050988396E-2</v>
      </c>
      <c r="L293" s="48">
        <f t="shared" si="28"/>
        <v>5.8791902161087206E-3</v>
      </c>
      <c r="M293" s="35"/>
      <c r="N293" s="40">
        <f t="shared" si="29"/>
        <v>63.398492599999997</v>
      </c>
      <c r="O293" s="41">
        <f t="shared" si="30"/>
        <v>-0.959791175469484</v>
      </c>
      <c r="P293" s="41">
        <f t="shared" si="30"/>
        <v>-73.291910170312065</v>
      </c>
      <c r="Q293" s="41">
        <f t="shared" si="30"/>
        <v>-3.0631321315739366</v>
      </c>
      <c r="R293" s="41">
        <f t="shared" si="30"/>
        <v>1.0382193696487232</v>
      </c>
      <c r="S293" s="42">
        <f t="shared" si="31"/>
        <v>-12.878121507706764</v>
      </c>
      <c r="T293" s="35"/>
      <c r="U293" s="43">
        <v>7515</v>
      </c>
      <c r="V293" s="44">
        <f t="shared" si="32"/>
        <v>75150</v>
      </c>
      <c r="W293" s="140">
        <f t="shared" si="33"/>
        <v>5.6755367507503448E-5</v>
      </c>
      <c r="X293" s="35"/>
      <c r="Y293" s="49">
        <v>29159.696192713429</v>
      </c>
    </row>
    <row r="294" spans="1:25" x14ac:dyDescent="0.35">
      <c r="A294" s="35"/>
      <c r="B294" s="47" t="s">
        <v>274</v>
      </c>
      <c r="C294" s="46">
        <v>845</v>
      </c>
      <c r="D294" s="40">
        <v>0.13555992141453799</v>
      </c>
      <c r="E294" s="41">
        <v>1.7569463934886301E-2</v>
      </c>
      <c r="F294" s="41">
        <v>0.211270159047376</v>
      </c>
      <c r="G294" s="48">
        <v>0.246435864513978</v>
      </c>
      <c r="H294" s="35"/>
      <c r="I294" s="40">
        <f t="shared" si="28"/>
        <v>-2.4775678346631524E-2</v>
      </c>
      <c r="J294" s="41">
        <f t="shared" si="28"/>
        <v>-1.5178800808443277E-2</v>
      </c>
      <c r="K294" s="41">
        <f t="shared" si="28"/>
        <v>3.0730874149235615E-2</v>
      </c>
      <c r="L294" s="48">
        <f t="shared" si="28"/>
        <v>-3.4176685241400301E-2</v>
      </c>
      <c r="M294" s="35"/>
      <c r="N294" s="40">
        <f t="shared" si="29"/>
        <v>63.398492599999997</v>
      </c>
      <c r="O294" s="41">
        <f t="shared" si="30"/>
        <v>-0.83147721596219026</v>
      </c>
      <c r="P294" s="41">
        <f t="shared" si="30"/>
        <v>-62.342370984014245</v>
      </c>
      <c r="Q294" s="41">
        <f t="shared" si="30"/>
        <v>2.2896074661936976</v>
      </c>
      <c r="R294" s="41">
        <f t="shared" si="30"/>
        <v>-6.0353374025538198</v>
      </c>
      <c r="S294" s="42">
        <f t="shared" si="31"/>
        <v>-3.5210855363365581</v>
      </c>
      <c r="T294" s="35"/>
      <c r="U294" s="43">
        <v>17815</v>
      </c>
      <c r="V294" s="44">
        <f t="shared" si="32"/>
        <v>178150</v>
      </c>
      <c r="W294" s="140">
        <f t="shared" si="33"/>
        <v>1.3454382862889872E-4</v>
      </c>
      <c r="X294" s="35"/>
      <c r="Y294" s="49">
        <v>69125.746862699903</v>
      </c>
    </row>
    <row r="295" spans="1:25" x14ac:dyDescent="0.35">
      <c r="A295" s="35"/>
      <c r="B295" s="47" t="s">
        <v>275</v>
      </c>
      <c r="C295" s="46">
        <v>1883</v>
      </c>
      <c r="D295" s="40">
        <v>0.20788227894196701</v>
      </c>
      <c r="E295" s="41">
        <v>5.56659052537491E-2</v>
      </c>
      <c r="F295" s="41">
        <v>0.19077604601336801</v>
      </c>
      <c r="G295" s="48">
        <v>0.313911133318659</v>
      </c>
      <c r="H295" s="35"/>
      <c r="I295" s="40">
        <f t="shared" si="28"/>
        <v>4.7546679180797496E-2</v>
      </c>
      <c r="J295" s="41">
        <f t="shared" si="28"/>
        <v>2.2917640510419522E-2</v>
      </c>
      <c r="K295" s="41">
        <f t="shared" si="28"/>
        <v>1.0236761115227616E-2</v>
      </c>
      <c r="L295" s="48">
        <f t="shared" si="28"/>
        <v>3.3298583563280693E-2</v>
      </c>
      <c r="M295" s="35"/>
      <c r="N295" s="40">
        <f t="shared" si="29"/>
        <v>63.398492599999997</v>
      </c>
      <c r="O295" s="41">
        <f t="shared" si="30"/>
        <v>1.5956770135769838</v>
      </c>
      <c r="P295" s="41">
        <f t="shared" si="30"/>
        <v>94.127333562747879</v>
      </c>
      <c r="Q295" s="41">
        <f t="shared" si="30"/>
        <v>0.76269111530136746</v>
      </c>
      <c r="R295" s="41">
        <f t="shared" si="30"/>
        <v>5.8802714602669193</v>
      </c>
      <c r="S295" s="42">
        <f t="shared" si="31"/>
        <v>165.76446575189317</v>
      </c>
      <c r="T295" s="35"/>
      <c r="U295" s="43">
        <v>60414</v>
      </c>
      <c r="V295" s="44">
        <f t="shared" si="32"/>
        <v>10014494.433934875</v>
      </c>
      <c r="W295" s="140">
        <f t="shared" si="33"/>
        <v>7.5632243779084705E-3</v>
      </c>
      <c r="X295" s="35"/>
      <c r="Y295" s="49">
        <v>3885823.2231159094</v>
      </c>
    </row>
    <row r="296" spans="1:25" x14ac:dyDescent="0.35">
      <c r="A296" s="35"/>
      <c r="B296" s="47" t="s">
        <v>276</v>
      </c>
      <c r="C296" s="46">
        <v>610</v>
      </c>
      <c r="D296" s="40">
        <v>0.19054615138933201</v>
      </c>
      <c r="E296" s="41">
        <v>3.9412328329607199E-2</v>
      </c>
      <c r="F296" s="41">
        <v>0.23663111658848601</v>
      </c>
      <c r="G296" s="48">
        <v>0.26273775517376802</v>
      </c>
      <c r="H296" s="35"/>
      <c r="I296" s="40">
        <f t="shared" si="28"/>
        <v>3.0210551628162496E-2</v>
      </c>
      <c r="J296" s="41">
        <f t="shared" si="28"/>
        <v>6.6640635862776215E-3</v>
      </c>
      <c r="K296" s="41">
        <f t="shared" si="28"/>
        <v>5.6091831690345623E-2</v>
      </c>
      <c r="L296" s="48">
        <f t="shared" si="28"/>
        <v>-1.7874794581610287E-2</v>
      </c>
      <c r="M296" s="35"/>
      <c r="N296" s="40">
        <f t="shared" si="29"/>
        <v>63.398492599999997</v>
      </c>
      <c r="O296" s="41">
        <f t="shared" si="30"/>
        <v>1.0138727589624916</v>
      </c>
      <c r="P296" s="41">
        <f t="shared" si="30"/>
        <v>27.370642094840722</v>
      </c>
      <c r="Q296" s="41">
        <f t="shared" si="30"/>
        <v>4.1791286511090036</v>
      </c>
      <c r="R296" s="41">
        <f t="shared" si="30"/>
        <v>-3.1565500147064234</v>
      </c>
      <c r="S296" s="42">
        <f t="shared" si="31"/>
        <v>92.805586090205793</v>
      </c>
      <c r="T296" s="35"/>
      <c r="U296" s="43">
        <v>15655</v>
      </c>
      <c r="V296" s="44">
        <f t="shared" si="32"/>
        <v>1452871.4502421718</v>
      </c>
      <c r="W296" s="140">
        <f t="shared" si="33"/>
        <v>1.0972488769082364E-3</v>
      </c>
      <c r="X296" s="35"/>
      <c r="Y296" s="49">
        <v>563743.04851801333</v>
      </c>
    </row>
    <row r="297" spans="1:25" x14ac:dyDescent="0.35">
      <c r="A297" s="35"/>
      <c r="B297" s="47" t="s">
        <v>277</v>
      </c>
      <c r="C297" s="46">
        <v>1714</v>
      </c>
      <c r="D297" s="40">
        <v>0.186342837029215</v>
      </c>
      <c r="E297" s="41">
        <v>2.6680746216121098E-2</v>
      </c>
      <c r="F297" s="41">
        <v>0.21827031909772501</v>
      </c>
      <c r="G297" s="48">
        <v>0.3422892736125</v>
      </c>
      <c r="H297" s="35"/>
      <c r="I297" s="40">
        <f t="shared" si="28"/>
        <v>2.6007237268045491E-2</v>
      </c>
      <c r="J297" s="41">
        <f t="shared" si="28"/>
        <v>-6.0675185272084792E-3</v>
      </c>
      <c r="K297" s="41">
        <f t="shared" si="28"/>
        <v>3.7731034199584623E-2</v>
      </c>
      <c r="L297" s="48">
        <f t="shared" si="28"/>
        <v>6.1676723857121696E-2</v>
      </c>
      <c r="M297" s="35"/>
      <c r="N297" s="40">
        <f t="shared" si="29"/>
        <v>63.398492599999997</v>
      </c>
      <c r="O297" s="41">
        <f t="shared" si="30"/>
        <v>0.87280860430780571</v>
      </c>
      <c r="P297" s="41">
        <f t="shared" si="30"/>
        <v>-24.920512216301038</v>
      </c>
      <c r="Q297" s="41">
        <f t="shared" si="30"/>
        <v>2.8111552307641565</v>
      </c>
      <c r="R297" s="41">
        <f t="shared" si="30"/>
        <v>10.89163082179056</v>
      </c>
      <c r="S297" s="42">
        <f t="shared" si="31"/>
        <v>53.053575040561483</v>
      </c>
      <c r="T297" s="35"/>
      <c r="U297" s="43">
        <v>14205</v>
      </c>
      <c r="V297" s="44">
        <f t="shared" si="32"/>
        <v>753626.0334511759</v>
      </c>
      <c r="W297" s="140">
        <f t="shared" si="33"/>
        <v>5.6915931459405953E-4</v>
      </c>
      <c r="X297" s="35"/>
      <c r="Y297" s="49">
        <v>292421.90523427783</v>
      </c>
    </row>
    <row r="298" spans="1:25" x14ac:dyDescent="0.35">
      <c r="A298" s="35"/>
      <c r="B298" s="47" t="s">
        <v>278</v>
      </c>
      <c r="C298" s="46">
        <v>90</v>
      </c>
      <c r="D298" s="40">
        <v>0.208844158065804</v>
      </c>
      <c r="E298" s="41">
        <v>6.66590636939043E-2</v>
      </c>
      <c r="F298" s="41">
        <v>0.20153231290704801</v>
      </c>
      <c r="G298" s="48">
        <v>0.336356873858279</v>
      </c>
      <c r="H298" s="35"/>
      <c r="I298" s="40">
        <f t="shared" si="28"/>
        <v>4.8508558304634491E-2</v>
      </c>
      <c r="J298" s="41">
        <f t="shared" si="28"/>
        <v>3.3910798950574722E-2</v>
      </c>
      <c r="K298" s="41">
        <f t="shared" si="28"/>
        <v>2.0993028008907622E-2</v>
      </c>
      <c r="L298" s="48">
        <f t="shared" si="28"/>
        <v>5.57443241029007E-2</v>
      </c>
      <c r="M298" s="35"/>
      <c r="N298" s="40">
        <f t="shared" si="29"/>
        <v>63.398492599999997</v>
      </c>
      <c r="O298" s="41">
        <f t="shared" si="30"/>
        <v>1.6279578885863606</v>
      </c>
      <c r="P298" s="41">
        <f t="shared" si="30"/>
        <v>139.27843412801647</v>
      </c>
      <c r="Q298" s="41">
        <f t="shared" si="30"/>
        <v>1.5640880709670235</v>
      </c>
      <c r="R298" s="41">
        <f t="shared" si="30"/>
        <v>9.8440150606172256</v>
      </c>
      <c r="S298" s="42">
        <f t="shared" si="31"/>
        <v>215.71298774818709</v>
      </c>
      <c r="T298" s="35"/>
      <c r="U298" s="43">
        <v>35074</v>
      </c>
      <c r="V298" s="44">
        <f t="shared" si="32"/>
        <v>7565917.3322799141</v>
      </c>
      <c r="W298" s="140">
        <f t="shared" si="33"/>
        <v>5.7139909344635607E-3</v>
      </c>
      <c r="X298" s="35"/>
      <c r="Y298" s="49">
        <v>2935726.557930368</v>
      </c>
    </row>
    <row r="299" spans="1:25" x14ac:dyDescent="0.35">
      <c r="A299" s="35"/>
      <c r="B299" s="47" t="s">
        <v>279</v>
      </c>
      <c r="C299" s="46">
        <v>342</v>
      </c>
      <c r="D299" s="40">
        <v>0.15581130193116199</v>
      </c>
      <c r="E299" s="41">
        <v>3.3100548706620103E-2</v>
      </c>
      <c r="F299" s="41">
        <v>0.12627214812738399</v>
      </c>
      <c r="G299" s="48">
        <v>0.23554878826755399</v>
      </c>
      <c r="H299" s="35"/>
      <c r="I299" s="40">
        <f t="shared" si="28"/>
        <v>-4.5242978300075176E-3</v>
      </c>
      <c r="J299" s="41">
        <f t="shared" si="28"/>
        <v>3.5228396329052558E-4</v>
      </c>
      <c r="K299" s="41">
        <f t="shared" si="28"/>
        <v>-5.4267136770756397E-2</v>
      </c>
      <c r="L299" s="48">
        <f t="shared" si="28"/>
        <v>-4.5063761487824316E-2</v>
      </c>
      <c r="M299" s="35"/>
      <c r="N299" s="40">
        <f t="shared" si="29"/>
        <v>63.398492599999997</v>
      </c>
      <c r="O299" s="41">
        <f t="shared" si="30"/>
        <v>-0.15183643052057491</v>
      </c>
      <c r="P299" s="41">
        <f t="shared" si="30"/>
        <v>1.4469007010725261</v>
      </c>
      <c r="Q299" s="41">
        <f t="shared" si="30"/>
        <v>-4.0431795371616177</v>
      </c>
      <c r="R299" s="41">
        <f t="shared" si="30"/>
        <v>-7.9579105839606292</v>
      </c>
      <c r="S299" s="42">
        <f t="shared" si="31"/>
        <v>52.692466749429698</v>
      </c>
      <c r="T299" s="35"/>
      <c r="U299" s="43">
        <v>28066</v>
      </c>
      <c r="V299" s="44">
        <f t="shared" si="32"/>
        <v>1478866.771789494</v>
      </c>
      <c r="W299" s="140">
        <f t="shared" si="33"/>
        <v>1.1168812658356349E-3</v>
      </c>
      <c r="X299" s="35"/>
      <c r="Y299" s="49">
        <v>573829.75083007989</v>
      </c>
    </row>
    <row r="300" spans="1:25" x14ac:dyDescent="0.35">
      <c r="A300" s="35"/>
      <c r="B300" s="47" t="s">
        <v>280</v>
      </c>
      <c r="C300" s="46">
        <v>847</v>
      </c>
      <c r="D300" s="40">
        <v>0.13436404207841901</v>
      </c>
      <c r="E300" s="41">
        <v>2.12782913611731E-2</v>
      </c>
      <c r="F300" s="41">
        <v>0.22013812330124699</v>
      </c>
      <c r="G300" s="48">
        <v>0.25853467303917199</v>
      </c>
      <c r="H300" s="35"/>
      <c r="I300" s="40">
        <f t="shared" si="28"/>
        <v>-2.5971557682750501E-2</v>
      </c>
      <c r="J300" s="41">
        <f t="shared" si="28"/>
        <v>-1.1469973382156478E-2</v>
      </c>
      <c r="K300" s="41">
        <f t="shared" si="28"/>
        <v>3.9598838403106601E-2</v>
      </c>
      <c r="L300" s="48">
        <f t="shared" si="28"/>
        <v>-2.2077876716206313E-2</v>
      </c>
      <c r="M300" s="35"/>
      <c r="N300" s="40">
        <f t="shared" si="29"/>
        <v>63.398492599999997</v>
      </c>
      <c r="O300" s="41">
        <f t="shared" si="30"/>
        <v>-0.87161118957579709</v>
      </c>
      <c r="P300" s="41">
        <f t="shared" si="30"/>
        <v>-47.10947490459256</v>
      </c>
      <c r="Q300" s="41">
        <f t="shared" si="30"/>
        <v>2.9503162070840658</v>
      </c>
      <c r="R300" s="41">
        <f t="shared" si="30"/>
        <v>-3.8987817037587171</v>
      </c>
      <c r="S300" s="42">
        <f t="shared" si="31"/>
        <v>14.468941009156991</v>
      </c>
      <c r="T300" s="35"/>
      <c r="U300" s="43">
        <v>12548</v>
      </c>
      <c r="V300" s="44">
        <f t="shared" si="32"/>
        <v>181556.27178290192</v>
      </c>
      <c r="W300" s="140">
        <f t="shared" si="33"/>
        <v>1.3711633969834701E-4</v>
      </c>
      <c r="X300" s="35"/>
      <c r="Y300" s="49">
        <v>70447.448131352372</v>
      </c>
    </row>
    <row r="301" spans="1:25" x14ac:dyDescent="0.35">
      <c r="A301" s="35"/>
      <c r="B301" s="47" t="s">
        <v>281</v>
      </c>
      <c r="C301" s="46">
        <v>848</v>
      </c>
      <c r="D301" s="40">
        <v>0.134193935755029</v>
      </c>
      <c r="E301" s="41">
        <v>2.6318422896027201E-2</v>
      </c>
      <c r="F301" s="41">
        <v>0.13801553999369601</v>
      </c>
      <c r="G301" s="48">
        <v>0.23641754511080401</v>
      </c>
      <c r="H301" s="35"/>
      <c r="I301" s="40">
        <f t="shared" si="28"/>
        <v>-2.6141664006140514E-2</v>
      </c>
      <c r="J301" s="41">
        <f t="shared" si="28"/>
        <v>-6.4298418473023762E-3</v>
      </c>
      <c r="K301" s="41">
        <f t="shared" si="28"/>
        <v>-4.2523744904444383E-2</v>
      </c>
      <c r="L301" s="48">
        <f t="shared" si="28"/>
        <v>-4.4195004644574293E-2</v>
      </c>
      <c r="M301" s="35"/>
      <c r="N301" s="40">
        <f t="shared" si="29"/>
        <v>63.398492599999997</v>
      </c>
      <c r="O301" s="41">
        <f t="shared" si="30"/>
        <v>-0.87731999521215698</v>
      </c>
      <c r="P301" s="41">
        <f t="shared" si="30"/>
        <v>-26.408646563837159</v>
      </c>
      <c r="Q301" s="41">
        <f t="shared" si="30"/>
        <v>-3.1682367169550174</v>
      </c>
      <c r="R301" s="41">
        <f t="shared" si="30"/>
        <v>-7.8044948669957783</v>
      </c>
      <c r="S301" s="42">
        <f t="shared" si="31"/>
        <v>25.139794456999891</v>
      </c>
      <c r="T301" s="35"/>
      <c r="U301" s="43">
        <v>9993</v>
      </c>
      <c r="V301" s="44">
        <f t="shared" si="32"/>
        <v>251221.96600879991</v>
      </c>
      <c r="W301" s="140">
        <f t="shared" si="33"/>
        <v>1.8972980714287397E-4</v>
      </c>
      <c r="X301" s="35"/>
      <c r="Y301" s="49">
        <v>97479.1244943817</v>
      </c>
    </row>
    <row r="302" spans="1:25" x14ac:dyDescent="0.35">
      <c r="A302" s="35"/>
      <c r="B302" s="47" t="s">
        <v>282</v>
      </c>
      <c r="C302" s="46">
        <v>37</v>
      </c>
      <c r="D302" s="40">
        <v>0.242782219053923</v>
      </c>
      <c r="E302" s="41">
        <v>6.2324965629614502E-2</v>
      </c>
      <c r="F302" s="41">
        <v>0.216727003895471</v>
      </c>
      <c r="G302" s="48">
        <v>0.392999169245909</v>
      </c>
      <c r="H302" s="35"/>
      <c r="I302" s="40">
        <f t="shared" si="28"/>
        <v>8.2446619292753487E-2</v>
      </c>
      <c r="J302" s="41">
        <f t="shared" si="28"/>
        <v>2.9576700886284925E-2</v>
      </c>
      <c r="K302" s="41">
        <f t="shared" si="28"/>
        <v>3.6187718997330615E-2</v>
      </c>
      <c r="L302" s="48">
        <f t="shared" si="28"/>
        <v>0.11238661949053069</v>
      </c>
      <c r="M302" s="35"/>
      <c r="N302" s="40">
        <f t="shared" si="29"/>
        <v>63.398492599999997</v>
      </c>
      <c r="O302" s="41">
        <f t="shared" si="30"/>
        <v>2.7669266817210514</v>
      </c>
      <c r="P302" s="41">
        <f t="shared" si="30"/>
        <v>121.47742647168347</v>
      </c>
      <c r="Q302" s="41">
        <f t="shared" si="30"/>
        <v>2.6961703464223974</v>
      </c>
      <c r="R302" s="41">
        <f t="shared" si="30"/>
        <v>19.846604881860475</v>
      </c>
      <c r="S302" s="42">
        <f t="shared" si="31"/>
        <v>210.18562098168741</v>
      </c>
      <c r="T302" s="35"/>
      <c r="U302" s="43">
        <v>19639</v>
      </c>
      <c r="V302" s="44">
        <f t="shared" si="32"/>
        <v>4127835.4104593592</v>
      </c>
      <c r="W302" s="140">
        <f t="shared" si="33"/>
        <v>3.1174559644857923E-3</v>
      </c>
      <c r="X302" s="35"/>
      <c r="Y302" s="49">
        <v>1601682.322056147</v>
      </c>
    </row>
    <row r="303" spans="1:25" x14ac:dyDescent="0.35">
      <c r="A303" s="35"/>
      <c r="B303" s="47" t="s">
        <v>283</v>
      </c>
      <c r="C303" s="46">
        <v>180</v>
      </c>
      <c r="D303" s="40">
        <v>0.131953177904615</v>
      </c>
      <c r="E303" s="41">
        <v>1.7800135435813099E-2</v>
      </c>
      <c r="F303" s="41">
        <v>0.309065482584371</v>
      </c>
      <c r="G303" s="48">
        <v>0.28889977593307897</v>
      </c>
      <c r="H303" s="35"/>
      <c r="I303" s="40">
        <f t="shared" si="28"/>
        <v>-2.8382421856554513E-2</v>
      </c>
      <c r="J303" s="41">
        <f t="shared" si="28"/>
        <v>-1.4948129307516479E-2</v>
      </c>
      <c r="K303" s="41">
        <f t="shared" si="28"/>
        <v>0.12852619768623061</v>
      </c>
      <c r="L303" s="48">
        <f t="shared" si="28"/>
        <v>8.2872261777006684E-3</v>
      </c>
      <c r="M303" s="35"/>
      <c r="N303" s="40">
        <f t="shared" si="29"/>
        <v>63.398492599999997</v>
      </c>
      <c r="O303" s="41">
        <f t="shared" si="30"/>
        <v>-0.95252032163877787</v>
      </c>
      <c r="P303" s="41">
        <f t="shared" si="30"/>
        <v>-61.39495699079427</v>
      </c>
      <c r="Q303" s="41">
        <f t="shared" si="30"/>
        <v>9.5758597817563338</v>
      </c>
      <c r="R303" s="41">
        <f t="shared" si="30"/>
        <v>1.463459834106799</v>
      </c>
      <c r="S303" s="42">
        <f t="shared" si="31"/>
        <v>12.09033490343008</v>
      </c>
      <c r="T303" s="35"/>
      <c r="U303" s="43">
        <v>10337</v>
      </c>
      <c r="V303" s="44">
        <f t="shared" si="32"/>
        <v>124977.79189675674</v>
      </c>
      <c r="W303" s="140">
        <f t="shared" si="33"/>
        <v>9.4386700058239731E-5</v>
      </c>
      <c r="X303" s="35"/>
      <c r="Y303" s="49">
        <v>48493.871490959267</v>
      </c>
    </row>
    <row r="304" spans="1:25" x14ac:dyDescent="0.35">
      <c r="A304" s="35"/>
      <c r="B304" s="47" t="s">
        <v>284</v>
      </c>
      <c r="C304" s="46">
        <v>532</v>
      </c>
      <c r="D304" s="40">
        <v>0.14796145292809501</v>
      </c>
      <c r="E304" s="41">
        <v>2.61675315048184E-2</v>
      </c>
      <c r="F304" s="41">
        <v>0.27935253715901898</v>
      </c>
      <c r="G304" s="48">
        <v>0.29976969204177201</v>
      </c>
      <c r="H304" s="35"/>
      <c r="I304" s="40">
        <f t="shared" si="28"/>
        <v>-1.2374146833074501E-2</v>
      </c>
      <c r="J304" s="41">
        <f t="shared" si="28"/>
        <v>-6.5807332385111779E-3</v>
      </c>
      <c r="K304" s="41">
        <f t="shared" si="28"/>
        <v>9.8813252260878587E-2</v>
      </c>
      <c r="L304" s="48">
        <f t="shared" si="28"/>
        <v>1.9157142286393702E-2</v>
      </c>
      <c r="M304" s="35"/>
      <c r="N304" s="40">
        <f t="shared" si="29"/>
        <v>63.398492599999997</v>
      </c>
      <c r="O304" s="41">
        <f t="shared" si="30"/>
        <v>-0.41527909003028352</v>
      </c>
      <c r="P304" s="41">
        <f t="shared" si="30"/>
        <v>-27.028387688827777</v>
      </c>
      <c r="Q304" s="41">
        <f t="shared" si="30"/>
        <v>7.3620932172870308</v>
      </c>
      <c r="R304" s="41">
        <f t="shared" si="30"/>
        <v>3.3830026683529857</v>
      </c>
      <c r="S304" s="42">
        <f t="shared" si="31"/>
        <v>46.699921706781957</v>
      </c>
      <c r="T304" s="35"/>
      <c r="U304" s="43">
        <v>13490</v>
      </c>
      <c r="V304" s="44">
        <f t="shared" si="32"/>
        <v>629981.94382448855</v>
      </c>
      <c r="W304" s="140">
        <f t="shared" si="33"/>
        <v>4.7577986353759469E-4</v>
      </c>
      <c r="X304" s="35"/>
      <c r="Y304" s="49">
        <v>244445.53677734057</v>
      </c>
    </row>
    <row r="305" spans="1:25" x14ac:dyDescent="0.35">
      <c r="A305" s="35"/>
      <c r="B305" s="47" t="s">
        <v>285</v>
      </c>
      <c r="C305" s="46">
        <v>851</v>
      </c>
      <c r="D305" s="40">
        <v>0.168885458871953</v>
      </c>
      <c r="E305" s="41">
        <v>2.8619203807318801E-2</v>
      </c>
      <c r="F305" s="41">
        <v>0.21269383159253799</v>
      </c>
      <c r="G305" s="48">
        <v>0.28690135167834602</v>
      </c>
      <c r="H305" s="35"/>
      <c r="I305" s="40">
        <f t="shared" si="28"/>
        <v>8.5498591107834865E-3</v>
      </c>
      <c r="J305" s="41">
        <f t="shared" si="28"/>
        <v>-4.1290609360107762E-3</v>
      </c>
      <c r="K305" s="41">
        <f t="shared" si="28"/>
        <v>3.2154546694397601E-2</v>
      </c>
      <c r="L305" s="48">
        <f t="shared" si="28"/>
        <v>6.2888019229677128E-3</v>
      </c>
      <c r="M305" s="35"/>
      <c r="N305" s="40">
        <f t="shared" si="29"/>
        <v>63.398492599999997</v>
      </c>
      <c r="O305" s="41">
        <f t="shared" si="30"/>
        <v>0.28693515272689818</v>
      </c>
      <c r="P305" s="41">
        <f t="shared" si="30"/>
        <v>-16.958879158964681</v>
      </c>
      <c r="Q305" s="41">
        <f t="shared" si="30"/>
        <v>2.3956783600116967</v>
      </c>
      <c r="R305" s="41">
        <f t="shared" si="30"/>
        <v>1.1105536184931759</v>
      </c>
      <c r="S305" s="42">
        <f t="shared" si="31"/>
        <v>50.232780572267089</v>
      </c>
      <c r="T305" s="35"/>
      <c r="U305" s="43">
        <v>15549</v>
      </c>
      <c r="V305" s="44">
        <f t="shared" si="32"/>
        <v>781069.505118181</v>
      </c>
      <c r="W305" s="140">
        <f t="shared" si="33"/>
        <v>5.8988538671837939E-4</v>
      </c>
      <c r="X305" s="35"/>
      <c r="Y305" s="49">
        <v>303070.5186246066</v>
      </c>
    </row>
    <row r="306" spans="1:25" x14ac:dyDescent="0.35">
      <c r="A306" s="35"/>
      <c r="B306" s="47" t="s">
        <v>286</v>
      </c>
      <c r="C306" s="46">
        <v>1708</v>
      </c>
      <c r="D306" s="40">
        <v>0.173117963058356</v>
      </c>
      <c r="E306" s="41">
        <v>3.7052027375082799E-2</v>
      </c>
      <c r="F306" s="41">
        <v>0.16446584473340001</v>
      </c>
      <c r="G306" s="48">
        <v>0.30642031146153698</v>
      </c>
      <c r="H306" s="35"/>
      <c r="I306" s="40">
        <f t="shared" si="28"/>
        <v>1.2782363297186489E-2</v>
      </c>
      <c r="J306" s="41">
        <f t="shared" si="28"/>
        <v>4.3037626317532218E-3</v>
      </c>
      <c r="K306" s="41">
        <f t="shared" si="28"/>
        <v>-1.6073440164740382E-2</v>
      </c>
      <c r="L306" s="48">
        <f t="shared" si="28"/>
        <v>2.5807761706158672E-2</v>
      </c>
      <c r="M306" s="35"/>
      <c r="N306" s="40">
        <f t="shared" si="29"/>
        <v>63.398492599999997</v>
      </c>
      <c r="O306" s="41">
        <f t="shared" si="30"/>
        <v>0.42897892437350393</v>
      </c>
      <c r="P306" s="41">
        <f t="shared" si="30"/>
        <v>17.676413967212085</v>
      </c>
      <c r="Q306" s="41">
        <f t="shared" si="30"/>
        <v>-1.197553588286802</v>
      </c>
      <c r="R306" s="41">
        <f t="shared" si="30"/>
        <v>4.5574504490767813</v>
      </c>
      <c r="S306" s="42">
        <f t="shared" si="31"/>
        <v>84.863782352375551</v>
      </c>
      <c r="T306" s="35"/>
      <c r="U306" s="43">
        <v>27178</v>
      </c>
      <c r="V306" s="44">
        <f t="shared" si="32"/>
        <v>2306427.8767728629</v>
      </c>
      <c r="W306" s="140">
        <f t="shared" si="33"/>
        <v>1.7418784002101759E-3</v>
      </c>
      <c r="X306" s="35"/>
      <c r="Y306" s="49">
        <v>894939.93582304416</v>
      </c>
    </row>
    <row r="307" spans="1:25" x14ac:dyDescent="0.35">
      <c r="A307" s="35"/>
      <c r="B307" s="47" t="s">
        <v>287</v>
      </c>
      <c r="C307" s="46">
        <v>971</v>
      </c>
      <c r="D307" s="40">
        <v>0.16463022508038599</v>
      </c>
      <c r="E307" s="41">
        <v>2.69453376205788E-2</v>
      </c>
      <c r="F307" s="41">
        <v>0.17704273313719299</v>
      </c>
      <c r="G307" s="48">
        <v>0.31334794151608197</v>
      </c>
      <c r="H307" s="35"/>
      <c r="I307" s="40">
        <f t="shared" si="28"/>
        <v>4.2946253192164829E-3</v>
      </c>
      <c r="J307" s="41">
        <f t="shared" si="28"/>
        <v>-5.8029271227507777E-3</v>
      </c>
      <c r="K307" s="41">
        <f t="shared" si="28"/>
        <v>-3.4965517609474028E-3</v>
      </c>
      <c r="L307" s="48">
        <f t="shared" si="28"/>
        <v>3.2735391760703669E-2</v>
      </c>
      <c r="M307" s="35"/>
      <c r="N307" s="40">
        <f t="shared" si="29"/>
        <v>63.398492599999997</v>
      </c>
      <c r="O307" s="41">
        <f t="shared" si="30"/>
        <v>0.1441285705304754</v>
      </c>
      <c r="P307" s="41">
        <f t="shared" si="30"/>
        <v>-23.833782394620538</v>
      </c>
      <c r="Q307" s="41">
        <f t="shared" si="30"/>
        <v>-0.26051100853559755</v>
      </c>
      <c r="R307" s="41">
        <f t="shared" si="30"/>
        <v>5.7808161583002047</v>
      </c>
      <c r="S307" s="42">
        <f t="shared" si="31"/>
        <v>45.229143925674549</v>
      </c>
      <c r="T307" s="35"/>
      <c r="U307" s="43">
        <v>15550</v>
      </c>
      <c r="V307" s="44">
        <f t="shared" si="32"/>
        <v>703313.18804423918</v>
      </c>
      <c r="W307" s="140">
        <f t="shared" si="33"/>
        <v>5.3116165615867833E-4</v>
      </c>
      <c r="X307" s="35"/>
      <c r="Y307" s="49">
        <v>272899.51951694937</v>
      </c>
    </row>
    <row r="308" spans="1:25" x14ac:dyDescent="0.35">
      <c r="A308" s="35"/>
      <c r="B308" s="47" t="s">
        <v>288</v>
      </c>
      <c r="C308" s="46">
        <v>1904</v>
      </c>
      <c r="D308" s="40">
        <v>0.140168231134951</v>
      </c>
      <c r="E308" s="41">
        <v>2.4332561258076299E-2</v>
      </c>
      <c r="F308" s="41">
        <v>0.16473860260277701</v>
      </c>
      <c r="G308" s="48">
        <v>0.23005585876547399</v>
      </c>
      <c r="H308" s="35"/>
      <c r="I308" s="40">
        <f t="shared" si="28"/>
        <v>-2.0167368626218513E-2</v>
      </c>
      <c r="J308" s="41">
        <f t="shared" si="28"/>
        <v>-8.4157034852532786E-3</v>
      </c>
      <c r="K308" s="41">
        <f t="shared" si="28"/>
        <v>-1.5800682295363383E-2</v>
      </c>
      <c r="L308" s="48">
        <f t="shared" si="28"/>
        <v>-5.0556690989904313E-2</v>
      </c>
      <c r="M308" s="35"/>
      <c r="N308" s="40">
        <f t="shared" si="29"/>
        <v>63.398492599999997</v>
      </c>
      <c r="O308" s="41">
        <f t="shared" si="30"/>
        <v>-0.67682132791699112</v>
      </c>
      <c r="P308" s="41">
        <f t="shared" si="30"/>
        <v>-34.564977522946336</v>
      </c>
      <c r="Q308" s="41">
        <f t="shared" si="30"/>
        <v>-1.1772317304979243</v>
      </c>
      <c r="R308" s="41">
        <f t="shared" si="30"/>
        <v>-8.9279193088950208</v>
      </c>
      <c r="S308" s="42">
        <f t="shared" si="31"/>
        <v>18.051542709743728</v>
      </c>
      <c r="T308" s="35"/>
      <c r="U308" s="43">
        <v>41015</v>
      </c>
      <c r="V308" s="44">
        <f t="shared" si="32"/>
        <v>740384.02424013906</v>
      </c>
      <c r="W308" s="140">
        <f t="shared" si="33"/>
        <v>5.5915858140297321E-4</v>
      </c>
      <c r="X308" s="35"/>
      <c r="Y308" s="49">
        <v>287283.74201970769</v>
      </c>
    </row>
    <row r="309" spans="1:25" x14ac:dyDescent="0.35">
      <c r="A309" s="35"/>
      <c r="B309" s="47" t="s">
        <v>820</v>
      </c>
      <c r="C309" s="46">
        <v>617</v>
      </c>
      <c r="D309" s="40">
        <v>0.140507436570429</v>
      </c>
      <c r="E309" s="41">
        <v>1.8547681539807501E-2</v>
      </c>
      <c r="F309" s="41">
        <v>0.22570441438511299</v>
      </c>
      <c r="G309" s="48">
        <v>0.27762428520852001</v>
      </c>
      <c r="H309" s="35"/>
      <c r="I309" s="40">
        <f t="shared" si="28"/>
        <v>-1.9828163190740516E-2</v>
      </c>
      <c r="J309" s="41">
        <f t="shared" si="28"/>
        <v>-1.4200583203522077E-2</v>
      </c>
      <c r="K309" s="41">
        <f t="shared" si="28"/>
        <v>4.5165129486972599E-2</v>
      </c>
      <c r="L309" s="48">
        <f t="shared" si="28"/>
        <v>-2.9882645468582991E-3</v>
      </c>
      <c r="M309" s="35"/>
      <c r="N309" s="40">
        <f t="shared" si="29"/>
        <v>63.398492599999997</v>
      </c>
      <c r="O309" s="41">
        <f t="shared" si="30"/>
        <v>-0.66543751887715374</v>
      </c>
      <c r="P309" s="41">
        <f t="shared" si="30"/>
        <v>-58.324635617517544</v>
      </c>
      <c r="Q309" s="41">
        <f t="shared" si="30"/>
        <v>3.3650333922424323</v>
      </c>
      <c r="R309" s="41">
        <f t="shared" si="30"/>
        <v>-0.527704330042292</v>
      </c>
      <c r="S309" s="42">
        <f t="shared" si="31"/>
        <v>7.245748525805439</v>
      </c>
      <c r="T309" s="35"/>
      <c r="U309" s="43">
        <v>5715</v>
      </c>
      <c r="V309" s="44">
        <f t="shared" si="32"/>
        <v>57150</v>
      </c>
      <c r="W309" s="140">
        <f t="shared" si="33"/>
        <v>4.3161267505706214E-5</v>
      </c>
      <c r="X309" s="35"/>
      <c r="Y309" s="49">
        <v>22175.337823201229</v>
      </c>
    </row>
    <row r="310" spans="1:25" x14ac:dyDescent="0.35">
      <c r="A310" s="35"/>
      <c r="B310" s="47" t="s">
        <v>289</v>
      </c>
      <c r="C310" s="46">
        <v>1900</v>
      </c>
      <c r="D310" s="40">
        <v>0.17716727056405801</v>
      </c>
      <c r="E310" s="41">
        <v>5.3755881239521901E-2</v>
      </c>
      <c r="F310" s="41">
        <v>0.19312628901128001</v>
      </c>
      <c r="G310" s="48">
        <v>0.33418284609198701</v>
      </c>
      <c r="H310" s="35"/>
      <c r="I310" s="40">
        <f t="shared" si="28"/>
        <v>1.6831670802888499E-2</v>
      </c>
      <c r="J310" s="41">
        <f t="shared" si="28"/>
        <v>2.1007616496192323E-2</v>
      </c>
      <c r="K310" s="41">
        <f t="shared" si="28"/>
        <v>1.2587004113139622E-2</v>
      </c>
      <c r="L310" s="48">
        <f t="shared" si="28"/>
        <v>5.3570296336608703E-2</v>
      </c>
      <c r="M310" s="35"/>
      <c r="N310" s="40">
        <f t="shared" si="29"/>
        <v>63.398492599999997</v>
      </c>
      <c r="O310" s="41">
        <f t="shared" si="30"/>
        <v>0.56487457511251471</v>
      </c>
      <c r="P310" s="41">
        <f t="shared" si="30"/>
        <v>86.282482893313443</v>
      </c>
      <c r="Q310" s="41">
        <f t="shared" si="30"/>
        <v>0.93779625188996119</v>
      </c>
      <c r="R310" s="41">
        <f t="shared" si="30"/>
        <v>9.4600986275455252</v>
      </c>
      <c r="S310" s="42">
        <f t="shared" si="31"/>
        <v>160.64374494786145</v>
      </c>
      <c r="T310" s="35"/>
      <c r="U310" s="43">
        <v>55473</v>
      </c>
      <c r="V310" s="44">
        <f t="shared" si="32"/>
        <v>8911390.4634927176</v>
      </c>
      <c r="W310" s="140">
        <f t="shared" si="33"/>
        <v>6.7301296175434561E-3</v>
      </c>
      <c r="X310" s="35"/>
      <c r="Y310" s="49">
        <v>3457796.9204270313</v>
      </c>
    </row>
    <row r="311" spans="1:25" x14ac:dyDescent="0.35">
      <c r="A311" s="35"/>
      <c r="B311" s="47" t="s">
        <v>801</v>
      </c>
      <c r="C311" s="46">
        <v>9</v>
      </c>
      <c r="D311" s="40">
        <v>0.13684442485676501</v>
      </c>
      <c r="E311" s="41">
        <v>2.6443367122080199E-2</v>
      </c>
      <c r="F311" s="41">
        <v>0.18063425122747701</v>
      </c>
      <c r="G311" s="48">
        <v>0.34355868438132198</v>
      </c>
      <c r="H311" s="35"/>
      <c r="I311" s="40">
        <f t="shared" si="28"/>
        <v>-2.3491174904404499E-2</v>
      </c>
      <c r="J311" s="41">
        <f t="shared" si="28"/>
        <v>-6.3048976212493786E-3</v>
      </c>
      <c r="K311" s="41">
        <f t="shared" si="28"/>
        <v>9.4966329336615418E-5</v>
      </c>
      <c r="L311" s="48">
        <f t="shared" si="28"/>
        <v>6.2946134625943673E-2</v>
      </c>
      <c r="M311" s="35"/>
      <c r="N311" s="40">
        <f t="shared" si="29"/>
        <v>63.398492599999997</v>
      </c>
      <c r="O311" s="41">
        <f t="shared" si="30"/>
        <v>-0.78836899785029402</v>
      </c>
      <c r="P311" s="41">
        <f t="shared" si="30"/>
        <v>-25.895475636093401</v>
      </c>
      <c r="Q311" s="41">
        <f t="shared" si="30"/>
        <v>7.0754777631840526E-3</v>
      </c>
      <c r="R311" s="41">
        <f t="shared" si="30"/>
        <v>11.115798912936956</v>
      </c>
      <c r="S311" s="42">
        <f t="shared" si="31"/>
        <v>47.837522356756438</v>
      </c>
      <c r="T311" s="35"/>
      <c r="U311" s="43">
        <v>4538</v>
      </c>
      <c r="V311" s="44">
        <f t="shared" si="32"/>
        <v>217086.67645496072</v>
      </c>
      <c r="W311" s="140">
        <f t="shared" si="33"/>
        <v>1.6394988826591873E-4</v>
      </c>
      <c r="X311" s="35"/>
      <c r="Y311" s="49">
        <v>84233.95253376622</v>
      </c>
    </row>
    <row r="312" spans="1:25" x14ac:dyDescent="0.35">
      <c r="A312" s="35"/>
      <c r="B312" s="47" t="s">
        <v>290</v>
      </c>
      <c r="C312" s="46">
        <v>715</v>
      </c>
      <c r="D312" s="40">
        <v>0.21236743838685601</v>
      </c>
      <c r="E312" s="41">
        <v>3.8775205377147098E-2</v>
      </c>
      <c r="F312" s="41">
        <v>0.22689426452519301</v>
      </c>
      <c r="G312" s="48">
        <v>0.29937846607864099</v>
      </c>
      <c r="H312" s="35"/>
      <c r="I312" s="40">
        <f t="shared" si="28"/>
        <v>5.20318386256865E-2</v>
      </c>
      <c r="J312" s="41">
        <f t="shared" si="28"/>
        <v>6.0269406338175208E-3</v>
      </c>
      <c r="K312" s="41">
        <f t="shared" si="28"/>
        <v>4.6354979627052623E-2</v>
      </c>
      <c r="L312" s="48">
        <f t="shared" si="28"/>
        <v>1.8765916323262688E-2</v>
      </c>
      <c r="M312" s="35"/>
      <c r="N312" s="40">
        <f t="shared" si="29"/>
        <v>63.398492599999997</v>
      </c>
      <c r="O312" s="41">
        <f t="shared" si="30"/>
        <v>1.7461999512825366</v>
      </c>
      <c r="P312" s="41">
        <f t="shared" si="30"/>
        <v>24.753850691754135</v>
      </c>
      <c r="Q312" s="41">
        <f t="shared" si="30"/>
        <v>3.4536833197111112</v>
      </c>
      <c r="R312" s="41">
        <f t="shared" si="30"/>
        <v>3.3139151991775222</v>
      </c>
      <c r="S312" s="42">
        <f t="shared" si="31"/>
        <v>96.666141761925303</v>
      </c>
      <c r="T312" s="35"/>
      <c r="U312" s="43">
        <v>33475</v>
      </c>
      <c r="V312" s="44">
        <f t="shared" si="32"/>
        <v>3235899.0954804495</v>
      </c>
      <c r="W312" s="140">
        <f t="shared" si="33"/>
        <v>2.4438408833159135E-3</v>
      </c>
      <c r="X312" s="35"/>
      <c r="Y312" s="49">
        <v>1255593.2739119907</v>
      </c>
    </row>
    <row r="313" spans="1:25" x14ac:dyDescent="0.35">
      <c r="A313" s="35"/>
      <c r="B313" s="47" t="s">
        <v>291</v>
      </c>
      <c r="C313" s="46">
        <v>93</v>
      </c>
      <c r="D313" s="40">
        <v>0.109370103415857</v>
      </c>
      <c r="E313" s="41">
        <v>1.0341585709808801E-2</v>
      </c>
      <c r="F313" s="41">
        <v>9.3665295389729605E-2</v>
      </c>
      <c r="G313" s="48">
        <v>0.43901506770068399</v>
      </c>
      <c r="H313" s="35"/>
      <c r="I313" s="40">
        <f t="shared" si="28"/>
        <v>-5.0965496345312514E-2</v>
      </c>
      <c r="J313" s="41">
        <f t="shared" si="28"/>
        <v>-2.2406679033520775E-2</v>
      </c>
      <c r="K313" s="41">
        <f t="shared" si="28"/>
        <v>-8.6873989508410784E-2</v>
      </c>
      <c r="L313" s="48">
        <f t="shared" si="28"/>
        <v>0.15840251794530569</v>
      </c>
      <c r="M313" s="35"/>
      <c r="N313" s="40">
        <f t="shared" si="29"/>
        <v>63.398492599999997</v>
      </c>
      <c r="O313" s="41">
        <f t="shared" si="30"/>
        <v>-1.710413269757884</v>
      </c>
      <c r="P313" s="41">
        <f t="shared" si="30"/>
        <v>-92.028712574610111</v>
      </c>
      <c r="Q313" s="41">
        <f t="shared" si="30"/>
        <v>-6.4725570132028869</v>
      </c>
      <c r="R313" s="41">
        <f t="shared" si="30"/>
        <v>27.972655465601729</v>
      </c>
      <c r="S313" s="42">
        <f t="shared" si="31"/>
        <v>-8.8405347919691586</v>
      </c>
      <c r="T313" s="35"/>
      <c r="U313" s="43">
        <v>3191</v>
      </c>
      <c r="V313" s="44">
        <f t="shared" si="32"/>
        <v>31910</v>
      </c>
      <c r="W313" s="140">
        <f t="shared" si="33"/>
        <v>2.4099318392074984E-5</v>
      </c>
      <c r="X313" s="35"/>
      <c r="Y313" s="49">
        <v>12381.715309507459</v>
      </c>
    </row>
    <row r="314" spans="1:25" x14ac:dyDescent="0.35">
      <c r="A314" s="35"/>
      <c r="B314" s="47" t="s">
        <v>292</v>
      </c>
      <c r="C314" s="46">
        <v>448</v>
      </c>
      <c r="D314" s="40">
        <v>0.14510035419126299</v>
      </c>
      <c r="E314" s="41">
        <v>1.8299881936245599E-2</v>
      </c>
      <c r="F314" s="41">
        <v>0.227791120193024</v>
      </c>
      <c r="G314" s="48">
        <v>0.32465954246983503</v>
      </c>
      <c r="H314" s="35"/>
      <c r="I314" s="40">
        <f t="shared" si="28"/>
        <v>-1.5235245569906519E-2</v>
      </c>
      <c r="J314" s="41">
        <f t="shared" si="28"/>
        <v>-1.4448382807083979E-2</v>
      </c>
      <c r="K314" s="41">
        <f t="shared" si="28"/>
        <v>4.725183529488361E-2</v>
      </c>
      <c r="L314" s="48">
        <f t="shared" si="28"/>
        <v>4.4046992714456723E-2</v>
      </c>
      <c r="M314" s="35"/>
      <c r="N314" s="40">
        <f t="shared" si="29"/>
        <v>63.398492599999997</v>
      </c>
      <c r="O314" s="41">
        <f t="shared" si="30"/>
        <v>-0.51129819308008817</v>
      </c>
      <c r="P314" s="41">
        <f t="shared" si="30"/>
        <v>-59.342398154222977</v>
      </c>
      <c r="Q314" s="41">
        <f t="shared" si="30"/>
        <v>3.5205036588655392</v>
      </c>
      <c r="R314" s="41">
        <f t="shared" si="30"/>
        <v>7.7783571087095931</v>
      </c>
      <c r="S314" s="42">
        <f t="shared" si="31"/>
        <v>14.843657020272065</v>
      </c>
      <c r="T314" s="35"/>
      <c r="U314" s="43">
        <v>8470</v>
      </c>
      <c r="V314" s="44">
        <f t="shared" si="32"/>
        <v>125725.77496170439</v>
      </c>
      <c r="W314" s="140">
        <f t="shared" si="33"/>
        <v>9.4951597646270234E-5</v>
      </c>
      <c r="X314" s="35"/>
      <c r="Y314" s="49">
        <v>48784.103812065958</v>
      </c>
    </row>
    <row r="315" spans="1:25" x14ac:dyDescent="0.35">
      <c r="A315" s="35"/>
      <c r="B315" s="47" t="s">
        <v>293</v>
      </c>
      <c r="C315" s="46">
        <v>1525</v>
      </c>
      <c r="D315" s="40">
        <v>0.12204351939451299</v>
      </c>
      <c r="E315" s="41">
        <v>1.5782231014019099E-2</v>
      </c>
      <c r="F315" s="41">
        <v>0.119084132794248</v>
      </c>
      <c r="G315" s="48">
        <v>0.24780631148132901</v>
      </c>
      <c r="H315" s="35"/>
      <c r="I315" s="40">
        <f t="shared" si="28"/>
        <v>-3.8292080366656517E-2</v>
      </c>
      <c r="J315" s="41">
        <f t="shared" si="28"/>
        <v>-1.6966033729310478E-2</v>
      </c>
      <c r="K315" s="41">
        <f t="shared" si="28"/>
        <v>-6.1455152103892394E-2</v>
      </c>
      <c r="L315" s="48">
        <f t="shared" si="28"/>
        <v>-3.2806238274049299E-2</v>
      </c>
      <c r="M315" s="35"/>
      <c r="N315" s="40">
        <f t="shared" si="29"/>
        <v>63.398492599999997</v>
      </c>
      <c r="O315" s="41">
        <f t="shared" si="30"/>
        <v>-1.2850906413626735</v>
      </c>
      <c r="P315" s="41">
        <f t="shared" si="30"/>
        <v>-69.682894072344681</v>
      </c>
      <c r="Q315" s="41">
        <f t="shared" si="30"/>
        <v>-4.5787234821187557</v>
      </c>
      <c r="R315" s="41">
        <f t="shared" si="30"/>
        <v>-5.7933271027880995</v>
      </c>
      <c r="S315" s="42">
        <f t="shared" si="31"/>
        <v>-17.94154269861421</v>
      </c>
      <c r="T315" s="35"/>
      <c r="U315" s="43">
        <v>23254</v>
      </c>
      <c r="V315" s="44">
        <f t="shared" si="32"/>
        <v>232540</v>
      </c>
      <c r="W315" s="140">
        <f t="shared" si="33"/>
        <v>1.7562066746766271E-4</v>
      </c>
      <c r="X315" s="35"/>
      <c r="Y315" s="49">
        <v>90230.149735909261</v>
      </c>
    </row>
    <row r="316" spans="1:25" x14ac:dyDescent="0.35">
      <c r="A316" s="35"/>
      <c r="B316" s="47" t="s">
        <v>294</v>
      </c>
      <c r="C316" s="46">
        <v>716</v>
      </c>
      <c r="D316" s="40">
        <v>0.164947172156619</v>
      </c>
      <c r="E316" s="41">
        <v>2.6538222498446201E-2</v>
      </c>
      <c r="F316" s="41">
        <v>0.197215759220815</v>
      </c>
      <c r="G316" s="48">
        <v>0.30252262988244399</v>
      </c>
      <c r="H316" s="35"/>
      <c r="I316" s="40">
        <f t="shared" si="28"/>
        <v>4.6115723954494869E-3</v>
      </c>
      <c r="J316" s="41">
        <f t="shared" si="28"/>
        <v>-6.2100422448833764E-3</v>
      </c>
      <c r="K316" s="41">
        <f t="shared" si="28"/>
        <v>1.6676474322674606E-2</v>
      </c>
      <c r="L316" s="48">
        <f t="shared" si="28"/>
        <v>2.191008012706569E-2</v>
      </c>
      <c r="M316" s="35"/>
      <c r="N316" s="40">
        <f t="shared" si="29"/>
        <v>63.398492599999997</v>
      </c>
      <c r="O316" s="41">
        <f t="shared" si="30"/>
        <v>0.15476538413721178</v>
      </c>
      <c r="P316" s="41">
        <f t="shared" si="30"/>
        <v>-25.505885632385851</v>
      </c>
      <c r="Q316" s="41">
        <f t="shared" si="30"/>
        <v>1.2424827205877904</v>
      </c>
      <c r="R316" s="41">
        <f t="shared" si="30"/>
        <v>3.8691501282180147</v>
      </c>
      <c r="S316" s="42">
        <f t="shared" si="31"/>
        <v>43.159005200557168</v>
      </c>
      <c r="T316" s="35"/>
      <c r="U316" s="43">
        <v>16090</v>
      </c>
      <c r="V316" s="44">
        <f t="shared" si="32"/>
        <v>694428.3936769648</v>
      </c>
      <c r="W316" s="140">
        <f t="shared" si="33"/>
        <v>5.2445161265178206E-4</v>
      </c>
      <c r="X316" s="35"/>
      <c r="Y316" s="49">
        <v>269452.04241136782</v>
      </c>
    </row>
    <row r="317" spans="1:25" x14ac:dyDescent="0.35">
      <c r="A317" s="35"/>
      <c r="B317" s="47" t="s">
        <v>295</v>
      </c>
      <c r="C317" s="46">
        <v>281</v>
      </c>
      <c r="D317" s="40">
        <v>0.19734255551510699</v>
      </c>
      <c r="E317" s="41">
        <v>5.8099745176556201E-2</v>
      </c>
      <c r="F317" s="41">
        <v>0.241138071433109</v>
      </c>
      <c r="G317" s="48">
        <v>0.26446819281892198</v>
      </c>
      <c r="H317" s="35"/>
      <c r="I317" s="40">
        <f t="shared" si="28"/>
        <v>3.7006955753937476E-2</v>
      </c>
      <c r="J317" s="41">
        <f t="shared" si="28"/>
        <v>2.5351480433226624E-2</v>
      </c>
      <c r="K317" s="41">
        <f t="shared" si="28"/>
        <v>6.0598786534968613E-2</v>
      </c>
      <c r="L317" s="48">
        <f t="shared" si="28"/>
        <v>-1.6144356936456328E-2</v>
      </c>
      <c r="M317" s="35"/>
      <c r="N317" s="40">
        <f t="shared" si="29"/>
        <v>63.398492599999997</v>
      </c>
      <c r="O317" s="41">
        <f t="shared" si="30"/>
        <v>1.2419615766324077</v>
      </c>
      <c r="P317" s="41">
        <f t="shared" si="30"/>
        <v>104.123600942378</v>
      </c>
      <c r="Q317" s="41">
        <f t="shared" si="30"/>
        <v>4.5149198626422207</v>
      </c>
      <c r="R317" s="41">
        <f t="shared" si="30"/>
        <v>-2.8509681547683607</v>
      </c>
      <c r="S317" s="42">
        <f t="shared" si="31"/>
        <v>170.42800682688426</v>
      </c>
      <c r="T317" s="35"/>
      <c r="U317" s="43">
        <v>27470</v>
      </c>
      <c r="V317" s="44">
        <f t="shared" si="32"/>
        <v>4681657.3475345103</v>
      </c>
      <c r="W317" s="140">
        <f t="shared" si="33"/>
        <v>3.5357176753629399E-3</v>
      </c>
      <c r="X317" s="35"/>
      <c r="Y317" s="49">
        <v>1816576.2599133854</v>
      </c>
    </row>
    <row r="318" spans="1:25" x14ac:dyDescent="0.35">
      <c r="A318" s="35"/>
      <c r="B318" s="47" t="s">
        <v>296</v>
      </c>
      <c r="C318" s="46">
        <v>855</v>
      </c>
      <c r="D318" s="40">
        <v>0.178647078920396</v>
      </c>
      <c r="E318" s="41">
        <v>5.9842842500854102E-2</v>
      </c>
      <c r="F318" s="41">
        <v>0.15913313498633699</v>
      </c>
      <c r="G318" s="48">
        <v>0.24944570914016501</v>
      </c>
      <c r="H318" s="35"/>
      <c r="I318" s="40">
        <f t="shared" si="28"/>
        <v>1.8311479159226485E-2</v>
      </c>
      <c r="J318" s="41">
        <f t="shared" si="28"/>
        <v>2.7094577757524524E-2</v>
      </c>
      <c r="K318" s="41">
        <f t="shared" si="28"/>
        <v>-2.1406149911803396E-2</v>
      </c>
      <c r="L318" s="48">
        <f t="shared" si="28"/>
        <v>-3.1166840615213298E-2</v>
      </c>
      <c r="M318" s="35"/>
      <c r="N318" s="40">
        <f t="shared" si="29"/>
        <v>63.398492599999997</v>
      </c>
      <c r="O318" s="41">
        <f t="shared" si="30"/>
        <v>0.61453726910905593</v>
      </c>
      <c r="P318" s="41">
        <f t="shared" si="30"/>
        <v>111.28285030759629</v>
      </c>
      <c r="Q318" s="41">
        <f t="shared" si="30"/>
        <v>-1.5948677679169014</v>
      </c>
      <c r="R318" s="41">
        <f t="shared" si="30"/>
        <v>-5.5038221979634949</v>
      </c>
      <c r="S318" s="42">
        <f t="shared" si="31"/>
        <v>168.19719021082494</v>
      </c>
      <c r="T318" s="35"/>
      <c r="U318" s="43">
        <v>146350</v>
      </c>
      <c r="V318" s="44">
        <f t="shared" si="32"/>
        <v>24615658.787354231</v>
      </c>
      <c r="W318" s="140">
        <f t="shared" si="33"/>
        <v>1.8590429286967348E-2</v>
      </c>
      <c r="X318" s="35"/>
      <c r="Y318" s="49">
        <v>9551365.6929174475</v>
      </c>
    </row>
    <row r="319" spans="1:25" x14ac:dyDescent="0.35">
      <c r="A319" s="35"/>
      <c r="B319" s="47" t="s">
        <v>297</v>
      </c>
      <c r="C319" s="46">
        <v>183</v>
      </c>
      <c r="D319" s="40">
        <v>0.109171900102235</v>
      </c>
      <c r="E319" s="41">
        <v>1.3728640280414799E-2</v>
      </c>
      <c r="F319" s="41">
        <v>0.214983151797394</v>
      </c>
      <c r="G319" s="48">
        <v>0.32123155872293802</v>
      </c>
      <c r="H319" s="35"/>
      <c r="I319" s="40">
        <f t="shared" si="28"/>
        <v>-5.1163699658934511E-2</v>
      </c>
      <c r="J319" s="41">
        <f t="shared" si="28"/>
        <v>-1.9019624462914778E-2</v>
      </c>
      <c r="K319" s="41">
        <f t="shared" si="28"/>
        <v>3.4443866899253606E-2</v>
      </c>
      <c r="L319" s="48">
        <f t="shared" si="28"/>
        <v>4.0619008967559711E-2</v>
      </c>
      <c r="M319" s="35"/>
      <c r="N319" s="40">
        <f t="shared" si="29"/>
        <v>63.398492599999997</v>
      </c>
      <c r="O319" s="41">
        <f t="shared" si="30"/>
        <v>-1.7170650165677672</v>
      </c>
      <c r="P319" s="41">
        <f t="shared" si="30"/>
        <v>-78.117401974476067</v>
      </c>
      <c r="Q319" s="41">
        <f t="shared" si="30"/>
        <v>2.566244436592918</v>
      </c>
      <c r="R319" s="41">
        <f t="shared" si="30"/>
        <v>7.1730017801614565</v>
      </c>
      <c r="S319" s="42">
        <f t="shared" si="31"/>
        <v>-6.6967281742894613</v>
      </c>
      <c r="T319" s="35"/>
      <c r="U319" s="43">
        <v>13694</v>
      </c>
      <c r="V319" s="44">
        <f t="shared" si="32"/>
        <v>136940</v>
      </c>
      <c r="W319" s="140">
        <f t="shared" si="33"/>
        <v>1.0342089190256184E-4</v>
      </c>
      <c r="X319" s="35"/>
      <c r="Y319" s="49">
        <v>53135.446395611136</v>
      </c>
    </row>
    <row r="320" spans="1:25" x14ac:dyDescent="0.35">
      <c r="A320" s="35"/>
      <c r="B320" s="47" t="s">
        <v>298</v>
      </c>
      <c r="C320" s="46">
        <v>1700</v>
      </c>
      <c r="D320" s="40">
        <v>0.16728311250526701</v>
      </c>
      <c r="E320" s="41">
        <v>3.1321691090406903E-2</v>
      </c>
      <c r="F320" s="41">
        <v>0.234829070186689</v>
      </c>
      <c r="G320" s="48">
        <v>0.31542396503019599</v>
      </c>
      <c r="H320" s="35"/>
      <c r="I320" s="40">
        <f t="shared" si="28"/>
        <v>6.9475127440974949E-3</v>
      </c>
      <c r="J320" s="41">
        <f t="shared" si="28"/>
        <v>-1.4265736529226747E-3</v>
      </c>
      <c r="K320" s="41">
        <f t="shared" si="28"/>
        <v>5.4289785288548609E-2</v>
      </c>
      <c r="L320" s="48">
        <f t="shared" si="28"/>
        <v>3.4811415274817681E-2</v>
      </c>
      <c r="M320" s="35"/>
      <c r="N320" s="40">
        <f t="shared" si="29"/>
        <v>63.398492599999997</v>
      </c>
      <c r="O320" s="41">
        <f t="shared" si="30"/>
        <v>0.23316005614471563</v>
      </c>
      <c r="P320" s="41">
        <f t="shared" si="30"/>
        <v>-5.859223335815483</v>
      </c>
      <c r="Q320" s="41">
        <f t="shared" si="30"/>
        <v>4.0448669676975486</v>
      </c>
      <c r="R320" s="41">
        <f t="shared" si="30"/>
        <v>6.1474258009502698</v>
      </c>
      <c r="S320" s="42">
        <f t="shared" si="31"/>
        <v>67.964722088977055</v>
      </c>
      <c r="T320" s="35"/>
      <c r="U320" s="43">
        <v>21359</v>
      </c>
      <c r="V320" s="44">
        <f t="shared" si="32"/>
        <v>1451658.4990984609</v>
      </c>
      <c r="W320" s="140">
        <f t="shared" si="33"/>
        <v>1.0963328225112976E-3</v>
      </c>
      <c r="X320" s="35"/>
      <c r="Y320" s="49">
        <v>563272.39932510292</v>
      </c>
    </row>
    <row r="321" spans="1:25" x14ac:dyDescent="0.35">
      <c r="A321" s="35"/>
      <c r="B321" s="47" t="s">
        <v>299</v>
      </c>
      <c r="C321" s="46">
        <v>1730</v>
      </c>
      <c r="D321" s="40">
        <v>0.16062490520248701</v>
      </c>
      <c r="E321" s="41">
        <v>3.2357550937863397E-2</v>
      </c>
      <c r="F321" s="41">
        <v>0.104560133380077</v>
      </c>
      <c r="G321" s="48">
        <v>0.34514095520427601</v>
      </c>
      <c r="H321" s="35"/>
      <c r="I321" s="40">
        <f t="shared" si="28"/>
        <v>2.8930544131750002E-4</v>
      </c>
      <c r="J321" s="41">
        <f t="shared" si="28"/>
        <v>-3.9071380546618073E-4</v>
      </c>
      <c r="K321" s="41">
        <f t="shared" si="28"/>
        <v>-7.5979151518063393E-2</v>
      </c>
      <c r="L321" s="48">
        <f t="shared" si="28"/>
        <v>6.4528405448897708E-2</v>
      </c>
      <c r="M321" s="35"/>
      <c r="N321" s="40">
        <f t="shared" si="29"/>
        <v>63.398492599999997</v>
      </c>
      <c r="O321" s="41">
        <f t="shared" si="30"/>
        <v>9.7091542578123906E-3</v>
      </c>
      <c r="P321" s="41">
        <f t="shared" si="30"/>
        <v>-1.6047397496249738</v>
      </c>
      <c r="Q321" s="41">
        <f t="shared" si="30"/>
        <v>-5.6608358013514959</v>
      </c>
      <c r="R321" s="41">
        <f t="shared" si="30"/>
        <v>11.395215661849052</v>
      </c>
      <c r="S321" s="42">
        <f t="shared" si="31"/>
        <v>67.537841865130389</v>
      </c>
      <c r="T321" s="35"/>
      <c r="U321" s="43">
        <v>19779</v>
      </c>
      <c r="V321" s="44">
        <f t="shared" si="32"/>
        <v>1335830.9742504139</v>
      </c>
      <c r="W321" s="140">
        <f t="shared" si="33"/>
        <v>1.0088566583032418E-3</v>
      </c>
      <c r="X321" s="35"/>
      <c r="Y321" s="49">
        <v>518329.01362552855</v>
      </c>
    </row>
    <row r="322" spans="1:25" x14ac:dyDescent="0.35">
      <c r="A322" s="35"/>
      <c r="B322" s="47" t="s">
        <v>300</v>
      </c>
      <c r="C322" s="46">
        <v>737</v>
      </c>
      <c r="D322" s="40">
        <v>0.178205062116604</v>
      </c>
      <c r="E322" s="41">
        <v>3.7218413320274202E-2</v>
      </c>
      <c r="F322" s="41">
        <v>0.19328816496239701</v>
      </c>
      <c r="G322" s="48">
        <v>0.34667742571640497</v>
      </c>
      <c r="H322" s="35"/>
      <c r="I322" s="40">
        <f t="shared" si="28"/>
        <v>1.786946235543449E-2</v>
      </c>
      <c r="J322" s="41">
        <f t="shared" si="28"/>
        <v>4.4701485769446242E-3</v>
      </c>
      <c r="K322" s="41">
        <f t="shared" si="28"/>
        <v>1.2748880064256618E-2</v>
      </c>
      <c r="L322" s="48">
        <f t="shared" si="28"/>
        <v>6.606487596102667E-2</v>
      </c>
      <c r="M322" s="35"/>
      <c r="N322" s="40">
        <f t="shared" si="29"/>
        <v>63.398492599999997</v>
      </c>
      <c r="O322" s="41">
        <f t="shared" si="30"/>
        <v>0.59970308793009974</v>
      </c>
      <c r="P322" s="41">
        <f t="shared" si="30"/>
        <v>18.359794324629934</v>
      </c>
      <c r="Q322" s="41">
        <f t="shared" si="30"/>
        <v>0.94985683905304708</v>
      </c>
      <c r="R322" s="41">
        <f t="shared" si="30"/>
        <v>11.666544431279853</v>
      </c>
      <c r="S322" s="42">
        <f t="shared" si="31"/>
        <v>94.974391282892924</v>
      </c>
      <c r="T322" s="35"/>
      <c r="U322" s="43">
        <v>19399</v>
      </c>
      <c r="V322" s="44">
        <f t="shared" si="32"/>
        <v>1842408.2164968399</v>
      </c>
      <c r="W322" s="140">
        <f t="shared" si="33"/>
        <v>1.3914378632883849E-3</v>
      </c>
      <c r="X322" s="35"/>
      <c r="Y322" s="49">
        <v>714891.06927487475</v>
      </c>
    </row>
    <row r="323" spans="1:25" x14ac:dyDescent="0.35">
      <c r="A323" s="35"/>
      <c r="B323" s="47" t="s">
        <v>301</v>
      </c>
      <c r="C323" s="46">
        <v>856</v>
      </c>
      <c r="D323" s="40">
        <v>0.153155552174078</v>
      </c>
      <c r="E323" s="41">
        <v>3.1041959904135101E-2</v>
      </c>
      <c r="F323" s="41">
        <v>0.20193950276083</v>
      </c>
      <c r="G323" s="48">
        <v>0.26478334401752701</v>
      </c>
      <c r="H323" s="35"/>
      <c r="I323" s="40">
        <f t="shared" si="28"/>
        <v>-7.1800475870915093E-3</v>
      </c>
      <c r="J323" s="41">
        <f t="shared" si="28"/>
        <v>-1.7063048391944766E-3</v>
      </c>
      <c r="K323" s="41">
        <f t="shared" si="28"/>
        <v>2.1400217862689613E-2</v>
      </c>
      <c r="L323" s="48">
        <f t="shared" si="28"/>
        <v>-1.5829205737851293E-2</v>
      </c>
      <c r="M323" s="35"/>
      <c r="N323" s="40">
        <f t="shared" si="29"/>
        <v>63.398492599999997</v>
      </c>
      <c r="O323" s="41">
        <f t="shared" si="30"/>
        <v>-0.24096397663326022</v>
      </c>
      <c r="P323" s="41">
        <f t="shared" si="30"/>
        <v>-7.0081352696656509</v>
      </c>
      <c r="Q323" s="41">
        <f t="shared" si="30"/>
        <v>1.5944257998858333</v>
      </c>
      <c r="R323" s="41">
        <f t="shared" si="30"/>
        <v>-2.7953148986680127</v>
      </c>
      <c r="S323" s="42">
        <f t="shared" si="31"/>
        <v>54.948504254918909</v>
      </c>
      <c r="T323" s="35"/>
      <c r="U323" s="43">
        <v>26287</v>
      </c>
      <c r="V323" s="44">
        <f t="shared" si="32"/>
        <v>1444431.3313490534</v>
      </c>
      <c r="W323" s="140">
        <f t="shared" si="33"/>
        <v>1.0908746646715638E-3</v>
      </c>
      <c r="X323" s="35"/>
      <c r="Y323" s="49">
        <v>560468.1143496338</v>
      </c>
    </row>
    <row r="324" spans="1:25" x14ac:dyDescent="0.35">
      <c r="A324" s="35"/>
      <c r="B324" s="47" t="s">
        <v>302</v>
      </c>
      <c r="C324" s="46">
        <v>450</v>
      </c>
      <c r="D324" s="40">
        <v>0.11045588568836499</v>
      </c>
      <c r="E324" s="41">
        <v>1.91653436153323E-2</v>
      </c>
      <c r="F324" s="41">
        <v>0.150743420193031</v>
      </c>
      <c r="G324" s="48">
        <v>0.265446033819487</v>
      </c>
      <c r="H324" s="35"/>
      <c r="I324" s="40">
        <f t="shared" si="28"/>
        <v>-4.9879714072804518E-2</v>
      </c>
      <c r="J324" s="41">
        <f t="shared" si="28"/>
        <v>-1.3582921127997277E-2</v>
      </c>
      <c r="K324" s="41">
        <f t="shared" si="28"/>
        <v>-2.9795864705109393E-2</v>
      </c>
      <c r="L324" s="48">
        <f t="shared" si="28"/>
        <v>-1.51665159358913E-2</v>
      </c>
      <c r="M324" s="35"/>
      <c r="N324" s="40">
        <f t="shared" si="29"/>
        <v>63.398492599999997</v>
      </c>
      <c r="O324" s="41">
        <f t="shared" si="30"/>
        <v>-1.6739741778204158</v>
      </c>
      <c r="P324" s="41">
        <f t="shared" si="30"/>
        <v>-55.787773928568839</v>
      </c>
      <c r="Q324" s="41">
        <f t="shared" si="30"/>
        <v>-2.21994447535794</v>
      </c>
      <c r="R324" s="41">
        <f t="shared" si="30"/>
        <v>-2.6782890221147411</v>
      </c>
      <c r="S324" s="42">
        <f t="shared" si="31"/>
        <v>1.0385109961380579</v>
      </c>
      <c r="T324" s="35"/>
      <c r="U324" s="43">
        <v>8818</v>
      </c>
      <c r="V324" s="44">
        <f t="shared" si="32"/>
        <v>88180</v>
      </c>
      <c r="W324" s="140">
        <f t="shared" si="33"/>
        <v>6.6595985453248892E-5</v>
      </c>
      <c r="X324" s="35"/>
      <c r="Y324" s="49">
        <v>34215.595612421428</v>
      </c>
    </row>
    <row r="325" spans="1:25" x14ac:dyDescent="0.35">
      <c r="A325" s="35"/>
      <c r="B325" s="47" t="s">
        <v>303</v>
      </c>
      <c r="C325" s="46">
        <v>451</v>
      </c>
      <c r="D325" s="40">
        <v>0.12699672061779299</v>
      </c>
      <c r="E325" s="41">
        <v>2.0363905638421699E-2</v>
      </c>
      <c r="F325" s="41">
        <v>0.16026409833848099</v>
      </c>
      <c r="G325" s="48">
        <v>0.231341835248004</v>
      </c>
      <c r="H325" s="35"/>
      <c r="I325" s="40">
        <f t="shared" si="28"/>
        <v>-3.3338879143376521E-2</v>
      </c>
      <c r="J325" s="41">
        <f t="shared" si="28"/>
        <v>-1.2384359104907879E-2</v>
      </c>
      <c r="K325" s="41">
        <f t="shared" si="28"/>
        <v>-2.0275186559659403E-2</v>
      </c>
      <c r="L325" s="48">
        <f t="shared" si="28"/>
        <v>-4.9270714507374302E-2</v>
      </c>
      <c r="M325" s="35"/>
      <c r="N325" s="40">
        <f t="shared" si="29"/>
        <v>63.398492599999997</v>
      </c>
      <c r="O325" s="41">
        <f t="shared" si="30"/>
        <v>-1.1188601186051277</v>
      </c>
      <c r="P325" s="41">
        <f t="shared" si="30"/>
        <v>-50.865039963364822</v>
      </c>
      <c r="Q325" s="41">
        <f t="shared" si="30"/>
        <v>-1.5106052076498111</v>
      </c>
      <c r="R325" s="41">
        <f t="shared" si="30"/>
        <v>-8.7008258412577248</v>
      </c>
      <c r="S325" s="42">
        <f t="shared" si="31"/>
        <v>1.203161469122513</v>
      </c>
      <c r="T325" s="35"/>
      <c r="U325" s="43">
        <v>18906</v>
      </c>
      <c r="V325" s="44">
        <f t="shared" si="32"/>
        <v>189060</v>
      </c>
      <c r="W325" s="140">
        <f t="shared" si="33"/>
        <v>1.427833636855436E-4</v>
      </c>
      <c r="X325" s="35"/>
      <c r="Y325" s="49">
        <v>73359.044074443111</v>
      </c>
    </row>
    <row r="326" spans="1:25" x14ac:dyDescent="0.35">
      <c r="A326" s="35"/>
      <c r="B326" s="47" t="s">
        <v>304</v>
      </c>
      <c r="C326" s="46">
        <v>184</v>
      </c>
      <c r="D326" s="40">
        <v>0.15131264916467799</v>
      </c>
      <c r="E326" s="41">
        <v>1.3046937151949101E-2</v>
      </c>
      <c r="F326" s="41">
        <v>0.26623623019930598</v>
      </c>
      <c r="G326" s="48">
        <v>0.281984314505064</v>
      </c>
      <c r="H326" s="35"/>
      <c r="I326" s="40">
        <f t="shared" si="28"/>
        <v>-9.0229505964915246E-3</v>
      </c>
      <c r="J326" s="41">
        <f t="shared" si="28"/>
        <v>-1.9701327591380477E-2</v>
      </c>
      <c r="K326" s="41">
        <f t="shared" si="28"/>
        <v>8.5696945301165589E-2</v>
      </c>
      <c r="L326" s="48">
        <f t="shared" si="28"/>
        <v>1.3717647496856999E-3</v>
      </c>
      <c r="M326" s="35"/>
      <c r="N326" s="40">
        <f t="shared" si="29"/>
        <v>63.398492599999997</v>
      </c>
      <c r="O326" s="41">
        <f t="shared" si="30"/>
        <v>-0.30281220706738682</v>
      </c>
      <c r="P326" s="41">
        <f t="shared" si="30"/>
        <v>-80.917293077344453</v>
      </c>
      <c r="Q326" s="41">
        <f t="shared" si="30"/>
        <v>6.3848611932967785</v>
      </c>
      <c r="R326" s="41">
        <f t="shared" si="30"/>
        <v>0.24224300990003705</v>
      </c>
      <c r="S326" s="42">
        <f t="shared" si="31"/>
        <v>-11.194508481215031</v>
      </c>
      <c r="T326" s="35"/>
      <c r="U326" s="43">
        <v>12570</v>
      </c>
      <c r="V326" s="44">
        <f t="shared" si="32"/>
        <v>125700</v>
      </c>
      <c r="W326" s="140">
        <f t="shared" si="33"/>
        <v>9.4932131679217353E-5</v>
      </c>
      <c r="X326" s="35"/>
      <c r="Y326" s="49">
        <v>48774.102613760188</v>
      </c>
    </row>
    <row r="327" spans="1:25" x14ac:dyDescent="0.35">
      <c r="A327" s="35"/>
      <c r="B327" s="47" t="s">
        <v>305</v>
      </c>
      <c r="C327" s="46">
        <v>344</v>
      </c>
      <c r="D327" s="40">
        <v>0.159316347956204</v>
      </c>
      <c r="E327" s="41">
        <v>5.0513664191531998E-2</v>
      </c>
      <c r="F327" s="41">
        <v>7.3779154555236995E-2</v>
      </c>
      <c r="G327" s="48">
        <v>0.229071892137444</v>
      </c>
      <c r="H327" s="35"/>
      <c r="I327" s="40">
        <f t="shared" si="28"/>
        <v>-1.0192518049655097E-3</v>
      </c>
      <c r="J327" s="41">
        <f t="shared" si="28"/>
        <v>1.7765399448202421E-2</v>
      </c>
      <c r="K327" s="41">
        <f t="shared" si="28"/>
        <v>-0.10676013034290339</v>
      </c>
      <c r="L327" s="48">
        <f t="shared" si="28"/>
        <v>-5.1540657617934305E-2</v>
      </c>
      <c r="M327" s="35"/>
      <c r="N327" s="40">
        <f t="shared" si="29"/>
        <v>63.398492599999997</v>
      </c>
      <c r="O327" s="41">
        <f t="shared" si="30"/>
        <v>-3.4206314810039599E-2</v>
      </c>
      <c r="P327" s="41">
        <f t="shared" si="30"/>
        <v>72.966048968964969</v>
      </c>
      <c r="Q327" s="41">
        <f t="shared" si="30"/>
        <v>-7.9541763224136588</v>
      </c>
      <c r="R327" s="41">
        <f t="shared" si="30"/>
        <v>-9.1016801798240827</v>
      </c>
      <c r="S327" s="42">
        <f t="shared" si="31"/>
        <v>119.27447875191717</v>
      </c>
      <c r="T327" s="35"/>
      <c r="U327" s="43">
        <v>248606</v>
      </c>
      <c r="V327" s="44">
        <f t="shared" si="32"/>
        <v>29652351.064599119</v>
      </c>
      <c r="W327" s="140">
        <f t="shared" si="33"/>
        <v>2.2394279203364394E-2</v>
      </c>
      <c r="X327" s="35"/>
      <c r="Y327" s="49">
        <v>11505702.574097045</v>
      </c>
    </row>
    <row r="328" spans="1:25" x14ac:dyDescent="0.35">
      <c r="A328" s="35"/>
      <c r="B328" s="47" t="s">
        <v>306</v>
      </c>
      <c r="C328" s="46">
        <v>1581</v>
      </c>
      <c r="D328" s="40">
        <v>0.173882233845116</v>
      </c>
      <c r="E328" s="41">
        <v>2.66576682976211E-2</v>
      </c>
      <c r="F328" s="41">
        <v>0.113270394955982</v>
      </c>
      <c r="G328" s="48">
        <v>0.243854206734746</v>
      </c>
      <c r="H328" s="35"/>
      <c r="I328" s="40">
        <f t="shared" si="28"/>
        <v>1.354663408394649E-2</v>
      </c>
      <c r="J328" s="41">
        <f t="shared" si="28"/>
        <v>-6.0905964457084773E-3</v>
      </c>
      <c r="K328" s="41">
        <f t="shared" si="28"/>
        <v>-6.7268889942158391E-2</v>
      </c>
      <c r="L328" s="48">
        <f t="shared" si="28"/>
        <v>-3.67583430206323E-2</v>
      </c>
      <c r="M328" s="35"/>
      <c r="N328" s="40">
        <f t="shared" si="29"/>
        <v>63.398492599999997</v>
      </c>
      <c r="O328" s="41">
        <f t="shared" si="30"/>
        <v>0.45462802011674269</v>
      </c>
      <c r="P328" s="41">
        <f t="shared" si="30"/>
        <v>-25.015297843625788</v>
      </c>
      <c r="Q328" s="41">
        <f t="shared" si="30"/>
        <v>-5.0118767174073042</v>
      </c>
      <c r="R328" s="41">
        <f t="shared" si="30"/>
        <v>-6.4912381327018247</v>
      </c>
      <c r="S328" s="42">
        <f t="shared" si="31"/>
        <v>27.334707926381824</v>
      </c>
      <c r="T328" s="35"/>
      <c r="U328" s="43">
        <v>29635</v>
      </c>
      <c r="V328" s="44">
        <f t="shared" si="32"/>
        <v>810064.0693983254</v>
      </c>
      <c r="W328" s="140">
        <f t="shared" si="33"/>
        <v>6.1178288707020273E-4</v>
      </c>
      <c r="X328" s="35"/>
      <c r="Y328" s="49">
        <v>314320.98683018354</v>
      </c>
    </row>
    <row r="329" spans="1:25" x14ac:dyDescent="0.35">
      <c r="A329" s="35"/>
      <c r="B329" s="47" t="s">
        <v>307</v>
      </c>
      <c r="C329" s="46">
        <v>981</v>
      </c>
      <c r="D329" s="40">
        <v>0.30593080724876398</v>
      </c>
      <c r="E329" s="41">
        <v>5.8319604612850101E-2</v>
      </c>
      <c r="F329" s="41">
        <v>0.17760709299873001</v>
      </c>
      <c r="G329" s="48">
        <v>0.34759165130448699</v>
      </c>
      <c r="H329" s="35"/>
      <c r="I329" s="40">
        <f t="shared" si="28"/>
        <v>0.14559520748759447</v>
      </c>
      <c r="J329" s="41">
        <f t="shared" si="28"/>
        <v>2.5571339869520524E-2</v>
      </c>
      <c r="K329" s="41">
        <f t="shared" si="28"/>
        <v>-2.9321918994103802E-3</v>
      </c>
      <c r="L329" s="48">
        <f t="shared" si="28"/>
        <v>6.6979101549108688E-2</v>
      </c>
      <c r="M329" s="35"/>
      <c r="N329" s="40">
        <f t="shared" si="29"/>
        <v>63.398492599999997</v>
      </c>
      <c r="O329" s="41">
        <f t="shared" si="30"/>
        <v>4.8862071942293177</v>
      </c>
      <c r="P329" s="41">
        <f t="shared" si="30"/>
        <v>105.0266076235215</v>
      </c>
      <c r="Q329" s="41">
        <f t="shared" si="30"/>
        <v>-0.21846330932859831</v>
      </c>
      <c r="R329" s="41">
        <f t="shared" si="30"/>
        <v>11.827989575744574</v>
      </c>
      <c r="S329" s="42">
        <f t="shared" si="31"/>
        <v>184.92083368416678</v>
      </c>
      <c r="T329" s="35"/>
      <c r="U329" s="43">
        <v>6070</v>
      </c>
      <c r="V329" s="44">
        <f t="shared" si="32"/>
        <v>1122469.4604628924</v>
      </c>
      <c r="W329" s="140">
        <f t="shared" si="33"/>
        <v>8.4772011636088593E-4</v>
      </c>
      <c r="X329" s="35"/>
      <c r="Y329" s="49">
        <v>435540.49837254692</v>
      </c>
    </row>
    <row r="330" spans="1:25" x14ac:dyDescent="0.35">
      <c r="A330" s="35"/>
      <c r="B330" s="47" t="s">
        <v>308</v>
      </c>
      <c r="C330" s="46">
        <v>994</v>
      </c>
      <c r="D330" s="40">
        <v>0.17010412494994001</v>
      </c>
      <c r="E330" s="41">
        <v>3.6043251902282698E-2</v>
      </c>
      <c r="F330" s="41">
        <v>0.1479047592395</v>
      </c>
      <c r="G330" s="48">
        <v>0.328111906390811</v>
      </c>
      <c r="H330" s="35"/>
      <c r="I330" s="40">
        <f t="shared" si="28"/>
        <v>9.7685251887704994E-3</v>
      </c>
      <c r="J330" s="41">
        <f t="shared" si="28"/>
        <v>3.2949871589531207E-3</v>
      </c>
      <c r="K330" s="41">
        <f t="shared" si="28"/>
        <v>-3.263452565864039E-2</v>
      </c>
      <c r="L330" s="48">
        <f t="shared" ref="L330:L390" si="34">G330-G$4</f>
        <v>4.7499356635432699E-2</v>
      </c>
      <c r="M330" s="35"/>
      <c r="N330" s="40">
        <f t="shared" si="29"/>
        <v>63.398492599999997</v>
      </c>
      <c r="O330" s="41">
        <f t="shared" si="30"/>
        <v>0.32783385441067947</v>
      </c>
      <c r="P330" s="41">
        <f t="shared" si="30"/>
        <v>13.533171325152001</v>
      </c>
      <c r="Q330" s="41">
        <f t="shared" si="30"/>
        <v>-2.4314392503400812</v>
      </c>
      <c r="R330" s="41">
        <f t="shared" ref="R330:R390" si="35">100*R$8*L330</f>
        <v>8.3880177868099235</v>
      </c>
      <c r="S330" s="42">
        <f t="shared" si="31"/>
        <v>83.216076316032527</v>
      </c>
      <c r="T330" s="35"/>
      <c r="U330" s="43">
        <v>9988</v>
      </c>
      <c r="V330" s="44">
        <f t="shared" si="32"/>
        <v>831162.17024453287</v>
      </c>
      <c r="W330" s="140">
        <f t="shared" si="33"/>
        <v>6.2771675888972206E-4</v>
      </c>
      <c r="X330" s="35"/>
      <c r="Y330" s="49">
        <v>322507.47000940697</v>
      </c>
    </row>
    <row r="331" spans="1:25" x14ac:dyDescent="0.35">
      <c r="A331" s="35"/>
      <c r="B331" s="47" t="s">
        <v>309</v>
      </c>
      <c r="C331" s="46">
        <v>858</v>
      </c>
      <c r="D331" s="40">
        <v>0.15500503952045</v>
      </c>
      <c r="E331" s="41">
        <v>3.4427881809983601E-2</v>
      </c>
      <c r="F331" s="41">
        <v>0.21708266762780801</v>
      </c>
      <c r="G331" s="48">
        <v>0.24058665537777299</v>
      </c>
      <c r="H331" s="35"/>
      <c r="I331" s="40">
        <f t="shared" ref="I331:K390" si="36">D331-D$4</f>
        <v>-5.3305602407195118E-3</v>
      </c>
      <c r="J331" s="41">
        <f t="shared" si="36"/>
        <v>1.6796170666540239E-3</v>
      </c>
      <c r="K331" s="41">
        <f t="shared" si="36"/>
        <v>3.6543382729667617E-2</v>
      </c>
      <c r="L331" s="48">
        <f t="shared" si="34"/>
        <v>-4.0025894377605314E-2</v>
      </c>
      <c r="M331" s="35"/>
      <c r="N331" s="40">
        <f t="shared" ref="N331:N390" si="37">N$8</f>
        <v>63.398492599999997</v>
      </c>
      <c r="O331" s="41">
        <f t="shared" ref="O331:Q390" si="38">100*O$8*I331</f>
        <v>-0.17889477440179979</v>
      </c>
      <c r="P331" s="41">
        <f t="shared" si="38"/>
        <v>6.8985232497537483</v>
      </c>
      <c r="Q331" s="41">
        <f t="shared" si="38"/>
        <v>2.7226691154798135</v>
      </c>
      <c r="R331" s="41">
        <f t="shared" si="35"/>
        <v>-7.0682623461447287</v>
      </c>
      <c r="S331" s="42">
        <f t="shared" ref="S331:S390" si="39">SUM(N331:R331)</f>
        <v>65.772527844687033</v>
      </c>
      <c r="T331" s="35"/>
      <c r="U331" s="43">
        <v>18851</v>
      </c>
      <c r="V331" s="44">
        <f t="shared" ref="V331:V390" si="40">MAX(S331,10)*U331</f>
        <v>1239877.9224001952</v>
      </c>
      <c r="W331" s="140">
        <f t="shared" ref="W331:W390" si="41">V331/V$10</f>
        <v>9.3639024817382464E-4</v>
      </c>
      <c r="X331" s="35"/>
      <c r="Y331" s="49">
        <v>481097.31913828885</v>
      </c>
    </row>
    <row r="332" spans="1:25" x14ac:dyDescent="0.35">
      <c r="A332" s="35"/>
      <c r="B332" s="47" t="s">
        <v>310</v>
      </c>
      <c r="C332" s="46">
        <v>47</v>
      </c>
      <c r="D332" s="40">
        <v>0.23174108688127401</v>
      </c>
      <c r="E332" s="41">
        <v>6.6228221991461902E-2</v>
      </c>
      <c r="F332" s="41">
        <v>0.22228737972881199</v>
      </c>
      <c r="G332" s="48">
        <v>0.37478043627438601</v>
      </c>
      <c r="H332" s="35"/>
      <c r="I332" s="40">
        <f t="shared" si="36"/>
        <v>7.1405487120104499E-2</v>
      </c>
      <c r="J332" s="41">
        <f t="shared" si="36"/>
        <v>3.3479957248132325E-2</v>
      </c>
      <c r="K332" s="41">
        <f t="shared" si="36"/>
        <v>4.17480948306716E-2</v>
      </c>
      <c r="L332" s="48">
        <f t="shared" si="34"/>
        <v>9.4167886519007704E-2</v>
      </c>
      <c r="M332" s="35"/>
      <c r="N332" s="40">
        <f t="shared" si="37"/>
        <v>63.398492599999997</v>
      </c>
      <c r="O332" s="41">
        <f t="shared" si="38"/>
        <v>2.3963838569578737</v>
      </c>
      <c r="P332" s="41">
        <f t="shared" si="38"/>
        <v>137.50888107912823</v>
      </c>
      <c r="Q332" s="41">
        <f t="shared" si="38"/>
        <v>3.1104468151305675</v>
      </c>
      <c r="R332" s="41">
        <f t="shared" si="35"/>
        <v>16.629318016457372</v>
      </c>
      <c r="S332" s="42">
        <f t="shared" si="39"/>
        <v>223.04352236767403</v>
      </c>
      <c r="T332" s="35"/>
      <c r="U332" s="43">
        <v>17334</v>
      </c>
      <c r="V332" s="44">
        <f t="shared" si="40"/>
        <v>3866236.4167212616</v>
      </c>
      <c r="W332" s="140">
        <f t="shared" si="41"/>
        <v>2.9198891377499462E-3</v>
      </c>
      <c r="X332" s="35"/>
      <c r="Y332" s="49">
        <v>1500176.7042022219</v>
      </c>
    </row>
    <row r="333" spans="1:25" x14ac:dyDescent="0.35">
      <c r="A333" s="35"/>
      <c r="B333" s="47" t="s">
        <v>311</v>
      </c>
      <c r="C333" s="46">
        <v>345</v>
      </c>
      <c r="D333" s="40">
        <v>0.16749355513400499</v>
      </c>
      <c r="E333" s="41">
        <v>4.0079770416849098E-2</v>
      </c>
      <c r="F333" s="41">
        <v>0.17532969187421699</v>
      </c>
      <c r="G333" s="48">
        <v>0.25579474772983302</v>
      </c>
      <c r="H333" s="35"/>
      <c r="I333" s="40">
        <f t="shared" si="36"/>
        <v>7.1579553728354783E-3</v>
      </c>
      <c r="J333" s="41">
        <f t="shared" si="36"/>
        <v>7.33150567351952E-3</v>
      </c>
      <c r="K333" s="41">
        <f t="shared" si="36"/>
        <v>-5.2095930239234034E-3</v>
      </c>
      <c r="L333" s="48">
        <f t="shared" si="34"/>
        <v>-2.4817802025545288E-2</v>
      </c>
      <c r="M333" s="35"/>
      <c r="N333" s="40">
        <f t="shared" si="37"/>
        <v>63.398492599999997</v>
      </c>
      <c r="O333" s="41">
        <f t="shared" si="38"/>
        <v>0.2402225570625407</v>
      </c>
      <c r="P333" s="41">
        <f t="shared" si="38"/>
        <v>30.111960248909487</v>
      </c>
      <c r="Q333" s="41">
        <f t="shared" si="38"/>
        <v>-0.38814135339857608</v>
      </c>
      <c r="R333" s="41">
        <f t="shared" si="35"/>
        <v>-4.38263125156758</v>
      </c>
      <c r="S333" s="42">
        <f t="shared" si="39"/>
        <v>88.979902801005863</v>
      </c>
      <c r="T333" s="35"/>
      <c r="U333" s="43">
        <v>41118</v>
      </c>
      <c r="V333" s="44">
        <f t="shared" si="40"/>
        <v>3658675.643371759</v>
      </c>
      <c r="W333" s="140">
        <f t="shared" si="41"/>
        <v>2.7631334761186403E-3</v>
      </c>
      <c r="X333" s="35"/>
      <c r="Y333" s="49">
        <v>1419638.991728554</v>
      </c>
    </row>
    <row r="334" spans="1:25" x14ac:dyDescent="0.35">
      <c r="A334" s="35"/>
      <c r="B334" s="47" t="s">
        <v>312</v>
      </c>
      <c r="C334" s="46">
        <v>717</v>
      </c>
      <c r="D334" s="40">
        <v>0.15315453776992199</v>
      </c>
      <c r="E334" s="41">
        <v>2.1286405901790501E-2</v>
      </c>
      <c r="F334" s="41">
        <v>0.17430646227987701</v>
      </c>
      <c r="G334" s="48">
        <v>0.32291051990806302</v>
      </c>
      <c r="H334" s="35"/>
      <c r="I334" s="40">
        <f t="shared" si="36"/>
        <v>-7.1810619912475171E-3</v>
      </c>
      <c r="J334" s="41">
        <f t="shared" si="36"/>
        <v>-1.1461858841539076E-2</v>
      </c>
      <c r="K334" s="41">
        <f t="shared" si="36"/>
        <v>-6.2328226182633839E-3</v>
      </c>
      <c r="L334" s="48">
        <f t="shared" si="34"/>
        <v>4.2297970152684716E-2</v>
      </c>
      <c r="M334" s="35"/>
      <c r="N334" s="40">
        <f t="shared" si="37"/>
        <v>63.398492599999997</v>
      </c>
      <c r="O334" s="41">
        <f t="shared" si="38"/>
        <v>-0.24099802025990474</v>
      </c>
      <c r="P334" s="41">
        <f t="shared" si="38"/>
        <v>-47.076146863206475</v>
      </c>
      <c r="Q334" s="41">
        <f t="shared" si="38"/>
        <v>-0.46437719711242764</v>
      </c>
      <c r="R334" s="41">
        <f t="shared" si="35"/>
        <v>7.4694932967157364</v>
      </c>
      <c r="S334" s="42">
        <f t="shared" si="39"/>
        <v>23.086463816136927</v>
      </c>
      <c r="T334" s="35"/>
      <c r="U334" s="43">
        <v>13013</v>
      </c>
      <c r="V334" s="44">
        <f t="shared" si="40"/>
        <v>300424.15363938984</v>
      </c>
      <c r="W334" s="140">
        <f t="shared" si="41"/>
        <v>2.2688866597384233E-4</v>
      </c>
      <c r="X334" s="35"/>
      <c r="Y334" s="49">
        <v>116570.55288193841</v>
      </c>
    </row>
    <row r="335" spans="1:25" x14ac:dyDescent="0.35">
      <c r="A335" s="35"/>
      <c r="B335" s="47" t="s">
        <v>313</v>
      </c>
      <c r="C335" s="46">
        <v>861</v>
      </c>
      <c r="D335" s="40">
        <v>0.14563582298408301</v>
      </c>
      <c r="E335" s="41">
        <v>2.49081686199055E-2</v>
      </c>
      <c r="F335" s="41">
        <v>0.13855131334524801</v>
      </c>
      <c r="G335" s="48">
        <v>0.235816977238435</v>
      </c>
      <c r="H335" s="35"/>
      <c r="I335" s="40">
        <f t="shared" si="36"/>
        <v>-1.4699776777086504E-2</v>
      </c>
      <c r="J335" s="41">
        <f t="shared" si="36"/>
        <v>-7.8400961234240778E-3</v>
      </c>
      <c r="K335" s="41">
        <f t="shared" si="36"/>
        <v>-4.1987971552892384E-2</v>
      </c>
      <c r="L335" s="48">
        <f t="shared" si="34"/>
        <v>-4.4795572516943299E-2</v>
      </c>
      <c r="M335" s="35"/>
      <c r="N335" s="40">
        <f t="shared" si="37"/>
        <v>63.398492599999997</v>
      </c>
      <c r="O335" s="41">
        <f t="shared" si="38"/>
        <v>-0.49332774258991408</v>
      </c>
      <c r="P335" s="41">
        <f t="shared" si="38"/>
        <v>-32.2008429549293</v>
      </c>
      <c r="Q335" s="41">
        <f t="shared" si="38"/>
        <v>-3.1283188591048336</v>
      </c>
      <c r="R335" s="41">
        <f t="shared" si="35"/>
        <v>-7.9105504928494552</v>
      </c>
      <c r="S335" s="42">
        <f t="shared" si="39"/>
        <v>19.665452550526496</v>
      </c>
      <c r="T335" s="35"/>
      <c r="U335" s="43">
        <v>28585</v>
      </c>
      <c r="V335" s="44">
        <f t="shared" si="40"/>
        <v>562136.96115679992</v>
      </c>
      <c r="W335" s="140">
        <f t="shared" si="41"/>
        <v>4.2454144803733029E-4</v>
      </c>
      <c r="X335" s="35"/>
      <c r="Y335" s="49">
        <v>218120.33274820275</v>
      </c>
    </row>
    <row r="336" spans="1:25" x14ac:dyDescent="0.35">
      <c r="A336" s="35"/>
      <c r="B336" s="47" t="s">
        <v>314</v>
      </c>
      <c r="C336" s="46">
        <v>453</v>
      </c>
      <c r="D336" s="40">
        <v>0.14571213469303901</v>
      </c>
      <c r="E336" s="41">
        <v>3.6502178723792598E-2</v>
      </c>
      <c r="F336" s="41">
        <v>0.193799524250684</v>
      </c>
      <c r="G336" s="48">
        <v>0.250880560178455</v>
      </c>
      <c r="H336" s="35"/>
      <c r="I336" s="40">
        <f t="shared" si="36"/>
        <v>-1.4623465068130503E-2</v>
      </c>
      <c r="J336" s="41">
        <f t="shared" si="36"/>
        <v>3.7539139804630209E-3</v>
      </c>
      <c r="K336" s="41">
        <f t="shared" si="36"/>
        <v>1.3260239352543612E-2</v>
      </c>
      <c r="L336" s="48">
        <f t="shared" si="34"/>
        <v>-2.9731989576923301E-2</v>
      </c>
      <c r="M336" s="35"/>
      <c r="N336" s="40">
        <f t="shared" si="37"/>
        <v>63.398492599999997</v>
      </c>
      <c r="O336" s="41">
        <f t="shared" si="38"/>
        <v>-0.49076670484877472</v>
      </c>
      <c r="P336" s="41">
        <f t="shared" si="38"/>
        <v>15.418075575635999</v>
      </c>
      <c r="Q336" s="41">
        <f t="shared" si="38"/>
        <v>0.98795572418998423</v>
      </c>
      <c r="R336" s="41">
        <f t="shared" si="35"/>
        <v>-5.2504386390455382</v>
      </c>
      <c r="S336" s="42">
        <f t="shared" si="39"/>
        <v>74.063318555931673</v>
      </c>
      <c r="T336" s="35"/>
      <c r="U336" s="43">
        <v>43833</v>
      </c>
      <c r="V336" s="44">
        <f t="shared" si="40"/>
        <v>3246417.4422621531</v>
      </c>
      <c r="W336" s="140">
        <f t="shared" si="41"/>
        <v>2.4517846309828058E-3</v>
      </c>
      <c r="X336" s="35"/>
      <c r="Y336" s="49">
        <v>1259674.6018774475</v>
      </c>
    </row>
    <row r="337" spans="1:25" x14ac:dyDescent="0.35">
      <c r="A337" s="35"/>
      <c r="B337" s="47" t="s">
        <v>315</v>
      </c>
      <c r="C337" s="46">
        <v>983</v>
      </c>
      <c r="D337" s="40">
        <v>0.19452608376194</v>
      </c>
      <c r="E337" s="41">
        <v>5.9897746754837097E-2</v>
      </c>
      <c r="F337" s="41">
        <v>0.22397478642026999</v>
      </c>
      <c r="G337" s="48">
        <v>0.271701383101841</v>
      </c>
      <c r="H337" s="35"/>
      <c r="I337" s="40">
        <f t="shared" si="36"/>
        <v>3.4190484000770488E-2</v>
      </c>
      <c r="J337" s="41">
        <f t="shared" si="36"/>
        <v>2.714948201150752E-2</v>
      </c>
      <c r="K337" s="41">
        <f t="shared" si="36"/>
        <v>4.3435501522129605E-2</v>
      </c>
      <c r="L337" s="48">
        <f t="shared" si="34"/>
        <v>-8.9111666535373057E-3</v>
      </c>
      <c r="M337" s="35"/>
      <c r="N337" s="40">
        <f t="shared" si="37"/>
        <v>63.398492599999997</v>
      </c>
      <c r="O337" s="41">
        <f t="shared" si="38"/>
        <v>1.1474401649723378</v>
      </c>
      <c r="P337" s="41">
        <f t="shared" si="38"/>
        <v>111.50835306065333</v>
      </c>
      <c r="Q337" s="41">
        <f t="shared" si="38"/>
        <v>3.2361672531664492</v>
      </c>
      <c r="R337" s="41">
        <f t="shared" si="35"/>
        <v>-1.5736428803614568</v>
      </c>
      <c r="S337" s="42">
        <f t="shared" si="39"/>
        <v>177.71681019843066</v>
      </c>
      <c r="T337" s="35"/>
      <c r="U337" s="43">
        <v>65328</v>
      </c>
      <c r="V337" s="44">
        <f t="shared" si="40"/>
        <v>11609883.776643079</v>
      </c>
      <c r="W337" s="140">
        <f t="shared" si="41"/>
        <v>8.7681067260516315E-3</v>
      </c>
      <c r="X337" s="35"/>
      <c r="Y337" s="49">
        <v>4504866.0513589438</v>
      </c>
    </row>
    <row r="338" spans="1:25" x14ac:dyDescent="0.35">
      <c r="A338" s="35"/>
      <c r="B338" s="47" t="s">
        <v>316</v>
      </c>
      <c r="C338" s="46">
        <v>984</v>
      </c>
      <c r="D338" s="40">
        <v>0.163633793858874</v>
      </c>
      <c r="E338" s="41">
        <v>3.8231864598424099E-2</v>
      </c>
      <c r="F338" s="41">
        <v>0.175179506892121</v>
      </c>
      <c r="G338" s="48">
        <v>0.28232414346593099</v>
      </c>
      <c r="H338" s="35"/>
      <c r="I338" s="40">
        <f t="shared" si="36"/>
        <v>3.2981940977044877E-3</v>
      </c>
      <c r="J338" s="41">
        <f t="shared" si="36"/>
        <v>5.4835998550945217E-3</v>
      </c>
      <c r="K338" s="41">
        <f t="shared" si="36"/>
        <v>-5.3597780060193889E-3</v>
      </c>
      <c r="L338" s="48">
        <f t="shared" si="34"/>
        <v>1.7115937105526835E-3</v>
      </c>
      <c r="M338" s="35"/>
      <c r="N338" s="40">
        <f t="shared" si="37"/>
        <v>63.398492599999997</v>
      </c>
      <c r="O338" s="41">
        <f t="shared" si="38"/>
        <v>0.1106881195216641</v>
      </c>
      <c r="P338" s="41">
        <f t="shared" si="38"/>
        <v>22.522241434516218</v>
      </c>
      <c r="Q338" s="41">
        <f t="shared" si="38"/>
        <v>-0.39933090351183531</v>
      </c>
      <c r="R338" s="41">
        <f t="shared" si="35"/>
        <v>0.30225416731641003</v>
      </c>
      <c r="S338" s="42">
        <f t="shared" si="39"/>
        <v>85.934345417842437</v>
      </c>
      <c r="T338" s="35"/>
      <c r="U338" s="43">
        <v>28301</v>
      </c>
      <c r="V338" s="44">
        <f t="shared" si="40"/>
        <v>2432027.909670359</v>
      </c>
      <c r="W338" s="140">
        <f t="shared" si="41"/>
        <v>1.8367350339567083E-3</v>
      </c>
      <c r="X338" s="35"/>
      <c r="Y338" s="49">
        <v>943675.24921074603</v>
      </c>
    </row>
    <row r="339" spans="1:25" x14ac:dyDescent="0.35">
      <c r="A339" s="35"/>
      <c r="B339" s="47" t="s">
        <v>810</v>
      </c>
      <c r="C339" s="46">
        <v>620</v>
      </c>
      <c r="D339" s="40">
        <v>0.134043067989354</v>
      </c>
      <c r="E339" s="41">
        <v>2.6776352931688001E-2</v>
      </c>
      <c r="F339" s="41">
        <v>0.20565564139084799</v>
      </c>
      <c r="G339" s="48">
        <v>0.24120554910283901</v>
      </c>
      <c r="H339" s="35"/>
      <c r="I339" s="40">
        <f t="shared" si="36"/>
        <v>-2.6292531771815508E-2</v>
      </c>
      <c r="J339" s="41">
        <f t="shared" si="36"/>
        <v>-5.9719118116415768E-3</v>
      </c>
      <c r="K339" s="41">
        <f t="shared" si="36"/>
        <v>2.5116356492707603E-2</v>
      </c>
      <c r="L339" s="48">
        <f t="shared" si="34"/>
        <v>-3.9407000652539298E-2</v>
      </c>
      <c r="M339" s="35"/>
      <c r="N339" s="40">
        <f t="shared" si="37"/>
        <v>63.398492599999997</v>
      </c>
      <c r="O339" s="41">
        <f t="shared" si="38"/>
        <v>-0.88238315061911832</v>
      </c>
      <c r="P339" s="41">
        <f t="shared" si="38"/>
        <v>-24.527836312212521</v>
      </c>
      <c r="Q339" s="41">
        <f t="shared" si="38"/>
        <v>1.8712971544519592</v>
      </c>
      <c r="R339" s="41">
        <f t="shared" si="35"/>
        <v>-6.9589705169133769</v>
      </c>
      <c r="S339" s="42">
        <f t="shared" si="39"/>
        <v>32.90059977470694</v>
      </c>
      <c r="T339" s="35"/>
      <c r="U339" s="43">
        <v>12399</v>
      </c>
      <c r="V339" s="44">
        <f t="shared" si="40"/>
        <v>407934.53660659137</v>
      </c>
      <c r="W339" s="140">
        <f t="shared" si="41"/>
        <v>3.0808349360093428E-4</v>
      </c>
      <c r="X339" s="35"/>
      <c r="Y339" s="49">
        <v>158286.72194229593</v>
      </c>
    </row>
    <row r="340" spans="1:25" x14ac:dyDescent="0.35">
      <c r="A340" s="35"/>
      <c r="B340" s="47" t="s">
        <v>318</v>
      </c>
      <c r="C340" s="46">
        <v>622</v>
      </c>
      <c r="D340" s="40">
        <v>0.202564215341309</v>
      </c>
      <c r="E340" s="41">
        <v>6.6348522167487697E-2</v>
      </c>
      <c r="F340" s="41">
        <v>0.21846946197262801</v>
      </c>
      <c r="G340" s="48">
        <v>0.26262576577882701</v>
      </c>
      <c r="H340" s="35"/>
      <c r="I340" s="40">
        <f t="shared" si="36"/>
        <v>4.2228615580139489E-2</v>
      </c>
      <c r="J340" s="41">
        <f t="shared" si="36"/>
        <v>3.360025742415812E-2</v>
      </c>
      <c r="K340" s="41">
        <f t="shared" si="36"/>
        <v>3.793017707448762E-2</v>
      </c>
      <c r="L340" s="48">
        <f t="shared" si="34"/>
        <v>-1.798678397655129E-2</v>
      </c>
      <c r="M340" s="35"/>
      <c r="N340" s="40">
        <f t="shared" si="37"/>
        <v>63.398492599999997</v>
      </c>
      <c r="O340" s="41">
        <f t="shared" si="38"/>
        <v>1.417201629164909</v>
      </c>
      <c r="P340" s="41">
        <f t="shared" si="38"/>
        <v>138.00297796450738</v>
      </c>
      <c r="Q340" s="41">
        <f t="shared" si="38"/>
        <v>2.8259923945559491</v>
      </c>
      <c r="R340" s="41">
        <f t="shared" si="35"/>
        <v>-3.1763264728152998</v>
      </c>
      <c r="S340" s="42">
        <f t="shared" si="39"/>
        <v>202.46833811541293</v>
      </c>
      <c r="T340" s="35"/>
      <c r="U340" s="43">
        <v>45472</v>
      </c>
      <c r="V340" s="44">
        <f t="shared" si="40"/>
        <v>9206640.2707840577</v>
      </c>
      <c r="W340" s="140">
        <f t="shared" si="41"/>
        <v>6.9531104734228914E-3</v>
      </c>
      <c r="X340" s="35"/>
      <c r="Y340" s="49">
        <v>3572359.7239077049</v>
      </c>
    </row>
    <row r="341" spans="1:25" x14ac:dyDescent="0.35">
      <c r="A341" s="35"/>
      <c r="B341" s="47" t="s">
        <v>319</v>
      </c>
      <c r="C341" s="46">
        <v>96</v>
      </c>
      <c r="D341" s="40">
        <v>0.113055181695828</v>
      </c>
      <c r="E341" s="41">
        <v>1.4804845222072699E-2</v>
      </c>
      <c r="F341" s="41">
        <v>0.27578128718697997</v>
      </c>
      <c r="G341" s="48">
        <v>0.25191889361129799</v>
      </c>
      <c r="H341" s="35"/>
      <c r="I341" s="40">
        <f t="shared" si="36"/>
        <v>-4.7280418065341515E-2</v>
      </c>
      <c r="J341" s="41">
        <f t="shared" si="36"/>
        <v>-1.794341952125688E-2</v>
      </c>
      <c r="K341" s="41">
        <f t="shared" si="36"/>
        <v>9.5242002288839583E-2</v>
      </c>
      <c r="L341" s="48">
        <f t="shared" si="34"/>
        <v>-2.8693656144080315E-2</v>
      </c>
      <c r="M341" s="35"/>
      <c r="N341" s="40">
        <f t="shared" si="37"/>
        <v>63.398492599999997</v>
      </c>
      <c r="O341" s="41">
        <f t="shared" si="38"/>
        <v>-1.5867412319648357</v>
      </c>
      <c r="P341" s="41">
        <f t="shared" si="38"/>
        <v>-73.697213016574651</v>
      </c>
      <c r="Q341" s="41">
        <f t="shared" si="38"/>
        <v>7.0960168095702683</v>
      </c>
      <c r="R341" s="41">
        <f t="shared" si="35"/>
        <v>-5.0670770122729056</v>
      </c>
      <c r="S341" s="42">
        <f t="shared" si="39"/>
        <v>-9.8565218512421282</v>
      </c>
      <c r="T341" s="35"/>
      <c r="U341" s="43">
        <v>743</v>
      </c>
      <c r="V341" s="44">
        <f t="shared" si="40"/>
        <v>7430</v>
      </c>
      <c r="W341" s="140">
        <f t="shared" si="41"/>
        <v>5.6113423896307468E-6</v>
      </c>
      <c r="X341" s="35"/>
      <c r="Y341" s="49">
        <v>2882.9879269708686</v>
      </c>
    </row>
    <row r="342" spans="1:25" x14ac:dyDescent="0.35">
      <c r="A342" s="35"/>
      <c r="B342" s="47" t="s">
        <v>320</v>
      </c>
      <c r="C342" s="46">
        <v>718</v>
      </c>
      <c r="D342" s="40">
        <v>0.21828411697247699</v>
      </c>
      <c r="E342" s="41">
        <v>8.0526089449541302E-2</v>
      </c>
      <c r="F342" s="41">
        <v>0.21406349370963601</v>
      </c>
      <c r="G342" s="48">
        <v>0.310397305753912</v>
      </c>
      <c r="H342" s="35"/>
      <c r="I342" s="40">
        <f t="shared" si="36"/>
        <v>5.7948517211307476E-2</v>
      </c>
      <c r="J342" s="41">
        <f t="shared" si="36"/>
        <v>4.7777824706211725E-2</v>
      </c>
      <c r="K342" s="41">
        <f t="shared" si="36"/>
        <v>3.352420881149562E-2</v>
      </c>
      <c r="L342" s="48">
        <f t="shared" si="34"/>
        <v>2.9784755998533696E-2</v>
      </c>
      <c r="M342" s="35"/>
      <c r="N342" s="40">
        <f t="shared" si="37"/>
        <v>63.398492599999997</v>
      </c>
      <c r="O342" s="41">
        <f t="shared" si="38"/>
        <v>1.9447649862852654</v>
      </c>
      <c r="P342" s="41">
        <f t="shared" si="38"/>
        <v>196.2330825889093</v>
      </c>
      <c r="Q342" s="41">
        <f t="shared" si="38"/>
        <v>2.4977252004055388</v>
      </c>
      <c r="R342" s="41">
        <f t="shared" si="35"/>
        <v>5.2597567796345022</v>
      </c>
      <c r="S342" s="42">
        <f t="shared" si="39"/>
        <v>269.3338221552346</v>
      </c>
      <c r="T342" s="35"/>
      <c r="U342" s="43">
        <v>27904</v>
      </c>
      <c r="V342" s="44">
        <f t="shared" si="40"/>
        <v>7515490.9734196663</v>
      </c>
      <c r="W342" s="140">
        <f t="shared" si="41"/>
        <v>5.6759075475150767E-3</v>
      </c>
      <c r="X342" s="35"/>
      <c r="Y342" s="49">
        <v>2916160.1267331685</v>
      </c>
    </row>
    <row r="343" spans="1:25" x14ac:dyDescent="0.35">
      <c r="A343" s="35"/>
      <c r="B343" s="47" t="s">
        <v>321</v>
      </c>
      <c r="C343" s="46">
        <v>986</v>
      </c>
      <c r="D343" s="40">
        <v>0.13705179282868499</v>
      </c>
      <c r="E343" s="41">
        <v>1.9123505976095599E-2</v>
      </c>
      <c r="F343" s="41">
        <v>0.13112001359908501</v>
      </c>
      <c r="G343" s="48">
        <v>0.33181331785978702</v>
      </c>
      <c r="H343" s="35"/>
      <c r="I343" s="40">
        <f t="shared" si="36"/>
        <v>-2.3283806932484524E-2</v>
      </c>
      <c r="J343" s="41">
        <f t="shared" si="36"/>
        <v>-1.3624758767233978E-2</v>
      </c>
      <c r="K343" s="41">
        <f t="shared" si="36"/>
        <v>-4.9419271299055378E-2</v>
      </c>
      <c r="L343" s="48">
        <f t="shared" si="34"/>
        <v>5.1200768104408712E-2</v>
      </c>
      <c r="M343" s="35"/>
      <c r="N343" s="40">
        <f t="shared" si="37"/>
        <v>63.398492599999997</v>
      </c>
      <c r="O343" s="41">
        <f t="shared" si="38"/>
        <v>-0.78140968309170578</v>
      </c>
      <c r="P343" s="41">
        <f t="shared" si="38"/>
        <v>-55.959609481278576</v>
      </c>
      <c r="Q343" s="41">
        <f t="shared" si="38"/>
        <v>-3.6819887384486769</v>
      </c>
      <c r="R343" s="41">
        <f t="shared" si="35"/>
        <v>9.0416583292780892</v>
      </c>
      <c r="S343" s="42">
        <f t="shared" si="39"/>
        <v>12.017143026459131</v>
      </c>
      <c r="T343" s="35"/>
      <c r="U343" s="43">
        <v>7530</v>
      </c>
      <c r="V343" s="44">
        <f t="shared" si="40"/>
        <v>90489.086989237258</v>
      </c>
      <c r="W343" s="140">
        <f t="shared" si="41"/>
        <v>6.8339872089056674E-5</v>
      </c>
      <c r="X343" s="35"/>
      <c r="Y343" s="49">
        <v>35111.56733682203</v>
      </c>
    </row>
    <row r="344" spans="1:25" x14ac:dyDescent="0.35">
      <c r="A344" s="35"/>
      <c r="B344" s="47" t="s">
        <v>322</v>
      </c>
      <c r="C344" s="46">
        <v>626</v>
      </c>
      <c r="D344" s="40">
        <v>0.15181233847988901</v>
      </c>
      <c r="E344" s="41">
        <v>2.55781591677159E-2</v>
      </c>
      <c r="F344" s="41">
        <v>0.100176142153713</v>
      </c>
      <c r="G344" s="48">
        <v>0.25276022906124901</v>
      </c>
      <c r="H344" s="35"/>
      <c r="I344" s="40">
        <f t="shared" si="36"/>
        <v>-8.5232612812805031E-3</v>
      </c>
      <c r="J344" s="41">
        <f t="shared" si="36"/>
        <v>-7.1701055756136778E-3</v>
      </c>
      <c r="K344" s="41">
        <f t="shared" si="36"/>
        <v>-8.0363142744427393E-2</v>
      </c>
      <c r="L344" s="48">
        <f t="shared" si="34"/>
        <v>-2.7852320694129296E-2</v>
      </c>
      <c r="M344" s="35"/>
      <c r="N344" s="40">
        <f t="shared" si="37"/>
        <v>63.398492599999997</v>
      </c>
      <c r="O344" s="41">
        <f t="shared" si="38"/>
        <v>-0.28604252371725558</v>
      </c>
      <c r="P344" s="41">
        <f t="shared" si="38"/>
        <v>-29.44905776356261</v>
      </c>
      <c r="Q344" s="41">
        <f t="shared" si="38"/>
        <v>-5.9874655937506924</v>
      </c>
      <c r="R344" s="41">
        <f t="shared" si="35"/>
        <v>-4.9185037005746475</v>
      </c>
      <c r="S344" s="42">
        <f t="shared" si="39"/>
        <v>22.757423018394796</v>
      </c>
      <c r="T344" s="35"/>
      <c r="U344" s="43">
        <v>15091</v>
      </c>
      <c r="V344" s="44">
        <f t="shared" si="40"/>
        <v>343432.27077059587</v>
      </c>
      <c r="W344" s="140">
        <f t="shared" si="41"/>
        <v>2.5936959070554363E-4</v>
      </c>
      <c r="X344" s="35"/>
      <c r="Y344" s="49">
        <v>133258.55859539952</v>
      </c>
    </row>
    <row r="345" spans="1:25" x14ac:dyDescent="0.35">
      <c r="A345" s="35"/>
      <c r="B345" s="47" t="s">
        <v>323</v>
      </c>
      <c r="C345" s="46">
        <v>285</v>
      </c>
      <c r="D345" s="40">
        <v>0.14793493540397601</v>
      </c>
      <c r="E345" s="41">
        <v>2.4499631836133601E-2</v>
      </c>
      <c r="F345" s="41">
        <v>0.155211496770226</v>
      </c>
      <c r="G345" s="48">
        <v>0.265162063512006</v>
      </c>
      <c r="H345" s="35"/>
      <c r="I345" s="40">
        <f t="shared" si="36"/>
        <v>-1.2400664357193503E-2</v>
      </c>
      <c r="J345" s="41">
        <f t="shared" si="36"/>
        <v>-8.2486329071959769E-3</v>
      </c>
      <c r="K345" s="41">
        <f t="shared" si="36"/>
        <v>-2.5327788127914391E-2</v>
      </c>
      <c r="L345" s="48">
        <f t="shared" si="34"/>
        <v>-1.5450486243372308E-2</v>
      </c>
      <c r="M345" s="35"/>
      <c r="N345" s="40">
        <f t="shared" si="37"/>
        <v>63.398492599999997</v>
      </c>
      <c r="O345" s="41">
        <f t="shared" si="38"/>
        <v>-0.41616902397357253</v>
      </c>
      <c r="P345" s="41">
        <f t="shared" si="38"/>
        <v>-33.878785241407975</v>
      </c>
      <c r="Q345" s="41">
        <f t="shared" si="38"/>
        <v>-1.8870498938048372</v>
      </c>
      <c r="R345" s="41">
        <f t="shared" si="35"/>
        <v>-2.7284359748063012</v>
      </c>
      <c r="S345" s="42">
        <f t="shared" si="39"/>
        <v>24.488052466007311</v>
      </c>
      <c r="T345" s="35"/>
      <c r="U345" s="43">
        <v>14939</v>
      </c>
      <c r="V345" s="44">
        <f t="shared" si="40"/>
        <v>365827.01578968321</v>
      </c>
      <c r="W345" s="140">
        <f t="shared" si="41"/>
        <v>2.7628272422244496E-4</v>
      </c>
      <c r="X345" s="35"/>
      <c r="Y345" s="49">
        <v>141948.16552913029</v>
      </c>
    </row>
    <row r="346" spans="1:25" x14ac:dyDescent="0.35">
      <c r="A346" s="35"/>
      <c r="B346" s="47" t="s">
        <v>324</v>
      </c>
      <c r="C346" s="46">
        <v>865</v>
      </c>
      <c r="D346" s="40">
        <v>0.165257587737972</v>
      </c>
      <c r="E346" s="41">
        <v>2.4451067453317901E-2</v>
      </c>
      <c r="F346" s="41">
        <v>0.114123361812795</v>
      </c>
      <c r="G346" s="48">
        <v>0.24736695409252399</v>
      </c>
      <c r="H346" s="35"/>
      <c r="I346" s="40">
        <f t="shared" si="36"/>
        <v>4.9219879768024888E-3</v>
      </c>
      <c r="J346" s="41">
        <f t="shared" si="36"/>
        <v>-8.2971972900116771E-3</v>
      </c>
      <c r="K346" s="41">
        <f t="shared" si="36"/>
        <v>-6.6415923085345385E-2</v>
      </c>
      <c r="L346" s="48">
        <f t="shared" si="34"/>
        <v>-3.3245595662854316E-2</v>
      </c>
      <c r="M346" s="35"/>
      <c r="N346" s="40">
        <f t="shared" si="37"/>
        <v>63.398492599999997</v>
      </c>
      <c r="O346" s="41">
        <f t="shared" si="38"/>
        <v>0.16518299933884642</v>
      </c>
      <c r="P346" s="41">
        <f t="shared" si="38"/>
        <v>-34.078248875479908</v>
      </c>
      <c r="Q346" s="41">
        <f t="shared" si="38"/>
        <v>-4.9483263193844289</v>
      </c>
      <c r="R346" s="41">
        <f t="shared" si="35"/>
        <v>-5.8709142082377284</v>
      </c>
      <c r="S346" s="42">
        <f t="shared" si="39"/>
        <v>18.666186196236779</v>
      </c>
      <c r="T346" s="35"/>
      <c r="U346" s="43">
        <v>16441</v>
      </c>
      <c r="V346" s="44">
        <f t="shared" si="40"/>
        <v>306890.76725232886</v>
      </c>
      <c r="W346" s="140">
        <f t="shared" si="41"/>
        <v>2.3177243220313547E-4</v>
      </c>
      <c r="X346" s="35"/>
      <c r="Y346" s="49">
        <v>119079.72771026797</v>
      </c>
    </row>
    <row r="347" spans="1:25" x14ac:dyDescent="0.35">
      <c r="A347" s="35"/>
      <c r="B347" s="47" t="s">
        <v>325</v>
      </c>
      <c r="C347" s="46">
        <v>1949</v>
      </c>
      <c r="D347" s="40">
        <v>0.17349873522991099</v>
      </c>
      <c r="E347" s="41">
        <v>4.5289164558716503E-2</v>
      </c>
      <c r="F347" s="41">
        <v>0.20305606221630601</v>
      </c>
      <c r="G347" s="48">
        <v>0.33242594229492201</v>
      </c>
      <c r="H347" s="35"/>
      <c r="I347" s="40">
        <f t="shared" si="36"/>
        <v>1.3163135468741483E-2</v>
      </c>
      <c r="J347" s="41">
        <f t="shared" si="36"/>
        <v>1.2540899815386926E-2</v>
      </c>
      <c r="K347" s="41">
        <f t="shared" si="36"/>
        <v>2.2516777318165621E-2</v>
      </c>
      <c r="L347" s="48">
        <f t="shared" si="34"/>
        <v>5.1813392539543701E-2</v>
      </c>
      <c r="M347" s="35"/>
      <c r="N347" s="40">
        <f t="shared" si="37"/>
        <v>63.398492599999997</v>
      </c>
      <c r="O347" s="41">
        <f t="shared" si="38"/>
        <v>0.44175772222076731</v>
      </c>
      <c r="P347" s="41">
        <f t="shared" si="38"/>
        <v>51.507983972575182</v>
      </c>
      <c r="Q347" s="41">
        <f t="shared" si="38"/>
        <v>1.6776151961032078</v>
      </c>
      <c r="R347" s="41">
        <f t="shared" si="35"/>
        <v>9.1498430505573118</v>
      </c>
      <c r="S347" s="42">
        <f t="shared" si="39"/>
        <v>126.17569254145646</v>
      </c>
      <c r="T347" s="35"/>
      <c r="U347" s="43">
        <v>28859</v>
      </c>
      <c r="V347" s="44">
        <f t="shared" si="40"/>
        <v>3641304.3110538917</v>
      </c>
      <c r="W347" s="140">
        <f t="shared" si="41"/>
        <v>2.7500141634134436E-3</v>
      </c>
      <c r="X347" s="35"/>
      <c r="Y347" s="49">
        <v>1412898.5689361168</v>
      </c>
    </row>
    <row r="348" spans="1:25" x14ac:dyDescent="0.35">
      <c r="A348" s="35"/>
      <c r="B348" s="47" t="s">
        <v>326</v>
      </c>
      <c r="C348" s="46">
        <v>866</v>
      </c>
      <c r="D348" s="40">
        <v>0.14237254315075301</v>
      </c>
      <c r="E348" s="41">
        <v>2.3046991918587299E-2</v>
      </c>
      <c r="F348" s="41">
        <v>0.114096260308894</v>
      </c>
      <c r="G348" s="48">
        <v>0.24001316846986001</v>
      </c>
      <c r="H348" s="35"/>
      <c r="I348" s="40">
        <f t="shared" si="36"/>
        <v>-1.79630566104165E-2</v>
      </c>
      <c r="J348" s="41">
        <f t="shared" si="36"/>
        <v>-9.7012728247422783E-3</v>
      </c>
      <c r="K348" s="41">
        <f t="shared" si="36"/>
        <v>-6.6443024589246391E-2</v>
      </c>
      <c r="L348" s="48">
        <f t="shared" si="34"/>
        <v>-4.0599381285518293E-2</v>
      </c>
      <c r="M348" s="35"/>
      <c r="N348" s="40">
        <f t="shared" si="37"/>
        <v>63.398492599999997</v>
      </c>
      <c r="O348" s="41">
        <f t="shared" si="38"/>
        <v>-0.60284413171803208</v>
      </c>
      <c r="P348" s="41">
        <f t="shared" si="38"/>
        <v>-39.845067939806945</v>
      </c>
      <c r="Q348" s="41">
        <f t="shared" si="38"/>
        <v>-4.9503455201847535</v>
      </c>
      <c r="R348" s="41">
        <f t="shared" si="35"/>
        <v>-7.1695356838237547</v>
      </c>
      <c r="S348" s="42">
        <f t="shared" si="39"/>
        <v>10.830699324466513</v>
      </c>
      <c r="T348" s="35"/>
      <c r="U348" s="43">
        <v>10023</v>
      </c>
      <c r="V348" s="44">
        <f t="shared" si="40"/>
        <v>108556.09932912786</v>
      </c>
      <c r="W348" s="140">
        <f t="shared" si="41"/>
        <v>8.1984581671399868E-5</v>
      </c>
      <c r="X348" s="35"/>
      <c r="Y348" s="49">
        <v>42121.927828388434</v>
      </c>
    </row>
    <row r="349" spans="1:25" x14ac:dyDescent="0.35">
      <c r="A349" s="35"/>
      <c r="B349" s="47" t="s">
        <v>327</v>
      </c>
      <c r="C349" s="46">
        <v>867</v>
      </c>
      <c r="D349" s="40">
        <v>0.155940594059406</v>
      </c>
      <c r="E349" s="41">
        <v>3.2673267326732702E-2</v>
      </c>
      <c r="F349" s="41">
        <v>0.236401033667238</v>
      </c>
      <c r="G349" s="48">
        <v>0.25686340167909799</v>
      </c>
      <c r="H349" s="35"/>
      <c r="I349" s="40">
        <f t="shared" si="36"/>
        <v>-4.3950057017635158E-3</v>
      </c>
      <c r="J349" s="41">
        <f t="shared" si="36"/>
        <v>-7.499741659687531E-5</v>
      </c>
      <c r="K349" s="41">
        <f t="shared" si="36"/>
        <v>5.5861748769097608E-2</v>
      </c>
      <c r="L349" s="48">
        <f t="shared" si="34"/>
        <v>-2.3749148076280313E-2</v>
      </c>
      <c r="M349" s="35"/>
      <c r="N349" s="40">
        <f t="shared" si="37"/>
        <v>63.398492599999997</v>
      </c>
      <c r="O349" s="41">
        <f t="shared" si="38"/>
        <v>-0.14749735825243798</v>
      </c>
      <c r="P349" s="41">
        <f t="shared" si="38"/>
        <v>-0.30802939094663462</v>
      </c>
      <c r="Q349" s="41">
        <f t="shared" si="38"/>
        <v>4.1619862954514701</v>
      </c>
      <c r="R349" s="41">
        <f t="shared" si="35"/>
        <v>-4.1939152568820317</v>
      </c>
      <c r="S349" s="42">
        <f t="shared" si="39"/>
        <v>62.911036889370372</v>
      </c>
      <c r="T349" s="35"/>
      <c r="U349" s="43">
        <v>30300</v>
      </c>
      <c r="V349" s="44">
        <f t="shared" si="40"/>
        <v>1906204.4177479222</v>
      </c>
      <c r="W349" s="140">
        <f t="shared" si="41"/>
        <v>1.4396185265962737E-3</v>
      </c>
      <c r="X349" s="35"/>
      <c r="Y349" s="49">
        <v>739645.26550549048</v>
      </c>
    </row>
    <row r="350" spans="1:25" x14ac:dyDescent="0.35">
      <c r="A350" s="35"/>
      <c r="B350" s="47" t="s">
        <v>328</v>
      </c>
      <c r="C350" s="46">
        <v>627</v>
      </c>
      <c r="D350" s="40">
        <v>0.150737269416751</v>
      </c>
      <c r="E350" s="41">
        <v>2.4953734105426499E-2</v>
      </c>
      <c r="F350" s="41">
        <v>0.15661644400960301</v>
      </c>
      <c r="G350" s="48">
        <v>0.25646375191755799</v>
      </c>
      <c r="H350" s="35"/>
      <c r="I350" s="40">
        <f t="shared" si="36"/>
        <v>-9.5983303444185097E-3</v>
      </c>
      <c r="J350" s="41">
        <f t="shared" si="36"/>
        <v>-7.7945306379030785E-3</v>
      </c>
      <c r="K350" s="41">
        <f t="shared" si="36"/>
        <v>-2.3922840888537383E-2</v>
      </c>
      <c r="L350" s="48">
        <f t="shared" si="34"/>
        <v>-2.4148797837820313E-2</v>
      </c>
      <c r="M350" s="35"/>
      <c r="N350" s="40">
        <f t="shared" si="37"/>
        <v>63.398492599999997</v>
      </c>
      <c r="O350" s="41">
        <f t="shared" si="38"/>
        <v>-0.32212207799136094</v>
      </c>
      <c r="P350" s="41">
        <f t="shared" si="38"/>
        <v>-32.013696391886135</v>
      </c>
      <c r="Q350" s="41">
        <f t="shared" si="38"/>
        <v>-1.7823741311413845</v>
      </c>
      <c r="R350" s="41">
        <f t="shared" si="35"/>
        <v>-4.2644903034878459</v>
      </c>
      <c r="S350" s="42">
        <f t="shared" si="39"/>
        <v>25.015809695493271</v>
      </c>
      <c r="T350" s="35"/>
      <c r="U350" s="43">
        <v>16751</v>
      </c>
      <c r="V350" s="44">
        <f t="shared" si="40"/>
        <v>419039.8282092078</v>
      </c>
      <c r="W350" s="140">
        <f t="shared" si="41"/>
        <v>3.1647051830066135E-4</v>
      </c>
      <c r="X350" s="35"/>
      <c r="Y350" s="49">
        <v>162595.79618399637</v>
      </c>
    </row>
    <row r="351" spans="1:25" x14ac:dyDescent="0.35">
      <c r="A351" s="35"/>
      <c r="B351" s="47" t="s">
        <v>329</v>
      </c>
      <c r="C351" s="46">
        <v>289</v>
      </c>
      <c r="D351" s="40">
        <v>0.17833014198489799</v>
      </c>
      <c r="E351" s="41">
        <v>3.1034358177679799E-2</v>
      </c>
      <c r="F351" s="41">
        <v>8.0509964955713095E-2</v>
      </c>
      <c r="G351" s="48">
        <v>0.27247604641183798</v>
      </c>
      <c r="H351" s="35"/>
      <c r="I351" s="40">
        <f t="shared" si="36"/>
        <v>1.7994542223728482E-2</v>
      </c>
      <c r="J351" s="41">
        <f t="shared" si="36"/>
        <v>-1.7139065656497782E-3</v>
      </c>
      <c r="K351" s="41">
        <f t="shared" si="36"/>
        <v>-0.10002931994242729</v>
      </c>
      <c r="L351" s="48">
        <f t="shared" si="34"/>
        <v>-8.1365033435403245E-3</v>
      </c>
      <c r="M351" s="35"/>
      <c r="N351" s="40">
        <f t="shared" si="37"/>
        <v>63.398492599999997</v>
      </c>
      <c r="O351" s="41">
        <f t="shared" si="38"/>
        <v>0.60390079582761713</v>
      </c>
      <c r="P351" s="41">
        <f t="shared" si="38"/>
        <v>-7.0393570807149004</v>
      </c>
      <c r="Q351" s="41">
        <f t="shared" si="38"/>
        <v>-7.4526964858289393</v>
      </c>
      <c r="R351" s="41">
        <f t="shared" si="35"/>
        <v>-1.4368433512032754</v>
      </c>
      <c r="S351" s="42">
        <f t="shared" si="39"/>
        <v>48.0734964780805</v>
      </c>
      <c r="T351" s="35"/>
      <c r="U351" s="43">
        <v>27679</v>
      </c>
      <c r="V351" s="44">
        <f t="shared" si="40"/>
        <v>1330626.3090167902</v>
      </c>
      <c r="W351" s="140">
        <f t="shared" si="41"/>
        <v>1.0049259505442553E-3</v>
      </c>
      <c r="X351" s="35"/>
      <c r="Y351" s="49">
        <v>516309.49989303033</v>
      </c>
    </row>
    <row r="352" spans="1:25" x14ac:dyDescent="0.35">
      <c r="A352" s="35"/>
      <c r="B352" s="47" t="s">
        <v>330</v>
      </c>
      <c r="C352" s="46">
        <v>629</v>
      </c>
      <c r="D352" s="40">
        <v>0.262497497163452</v>
      </c>
      <c r="E352" s="41">
        <v>3.2436761663218301E-2</v>
      </c>
      <c r="F352" s="41">
        <v>0.105785995730254</v>
      </c>
      <c r="G352" s="48">
        <v>0.25202526682002502</v>
      </c>
      <c r="H352" s="35"/>
      <c r="I352" s="40">
        <f t="shared" si="36"/>
        <v>0.10216189740228249</v>
      </c>
      <c r="J352" s="41">
        <f t="shared" si="36"/>
        <v>-3.1150308011127642E-4</v>
      </c>
      <c r="K352" s="41">
        <f t="shared" si="36"/>
        <v>-7.4753289167886386E-2</v>
      </c>
      <c r="L352" s="48">
        <f t="shared" si="34"/>
        <v>-2.8587282935353286E-2</v>
      </c>
      <c r="M352" s="35"/>
      <c r="N352" s="40">
        <f t="shared" si="37"/>
        <v>63.398492599999997</v>
      </c>
      <c r="O352" s="41">
        <f t="shared" si="38"/>
        <v>3.4285757524380287</v>
      </c>
      <c r="P352" s="41">
        <f t="shared" si="38"/>
        <v>-1.2794054568630961</v>
      </c>
      <c r="Q352" s="41">
        <f t="shared" si="38"/>
        <v>-5.5695027798480758</v>
      </c>
      <c r="R352" s="41">
        <f t="shared" si="35"/>
        <v>-5.0482923290678121</v>
      </c>
      <c r="S352" s="42">
        <f t="shared" si="39"/>
        <v>54.929867786659038</v>
      </c>
      <c r="T352" s="35"/>
      <c r="U352" s="43">
        <v>14983</v>
      </c>
      <c r="V352" s="44">
        <f t="shared" si="40"/>
        <v>823014.20904751238</v>
      </c>
      <c r="W352" s="140">
        <f t="shared" si="41"/>
        <v>6.2156319226066312E-4</v>
      </c>
      <c r="X352" s="35"/>
      <c r="Y352" s="49">
        <v>319345.89884380304</v>
      </c>
    </row>
    <row r="353" spans="1:25" x14ac:dyDescent="0.35">
      <c r="A353" s="35"/>
      <c r="B353" s="47" t="s">
        <v>331</v>
      </c>
      <c r="C353" s="46">
        <v>852</v>
      </c>
      <c r="D353" s="40">
        <v>0.119992369324685</v>
      </c>
      <c r="E353" s="41">
        <v>1.7359786341091199E-2</v>
      </c>
      <c r="F353" s="41">
        <v>9.5368586892661797E-2</v>
      </c>
      <c r="G353" s="48">
        <v>0.23772968201308201</v>
      </c>
      <c r="H353" s="35"/>
      <c r="I353" s="40">
        <f t="shared" si="36"/>
        <v>-4.0343230436484509E-2</v>
      </c>
      <c r="J353" s="41">
        <f t="shared" si="36"/>
        <v>-1.5388478402238379E-2</v>
      </c>
      <c r="K353" s="41">
        <f t="shared" si="36"/>
        <v>-8.5170698005478593E-2</v>
      </c>
      <c r="L353" s="48">
        <f t="shared" si="34"/>
        <v>-4.2882867742296299E-2</v>
      </c>
      <c r="M353" s="35"/>
      <c r="N353" s="40">
        <f t="shared" si="37"/>
        <v>63.398492599999997</v>
      </c>
      <c r="O353" s="41">
        <f t="shared" si="38"/>
        <v>-1.3539276889591161</v>
      </c>
      <c r="P353" s="41">
        <f t="shared" si="38"/>
        <v>-63.203558801443037</v>
      </c>
      <c r="Q353" s="41">
        <f t="shared" si="38"/>
        <v>-6.3456530753819438</v>
      </c>
      <c r="R353" s="41">
        <f t="shared" si="35"/>
        <v>-7.5727816722358465</v>
      </c>
      <c r="S353" s="42">
        <f t="shared" si="39"/>
        <v>-15.077428638019949</v>
      </c>
      <c r="T353" s="35"/>
      <c r="U353" s="43">
        <v>10484</v>
      </c>
      <c r="V353" s="44">
        <f t="shared" si="40"/>
        <v>104840</v>
      </c>
      <c r="W353" s="140">
        <f t="shared" si="41"/>
        <v>7.9178080232690114E-5</v>
      </c>
      <c r="X353" s="35"/>
      <c r="Y353" s="49">
        <v>40680.007303314385</v>
      </c>
    </row>
    <row r="354" spans="1:25" x14ac:dyDescent="0.35">
      <c r="A354" s="35"/>
      <c r="B354" s="47" t="s">
        <v>332</v>
      </c>
      <c r="C354" s="46">
        <v>988</v>
      </c>
      <c r="D354" s="40">
        <v>0.17705490320533199</v>
      </c>
      <c r="E354" s="41">
        <v>3.9416058394160597E-2</v>
      </c>
      <c r="F354" s="41">
        <v>0.177694500337642</v>
      </c>
      <c r="G354" s="48">
        <v>0.25883942484588401</v>
      </c>
      <c r="H354" s="35"/>
      <c r="I354" s="40">
        <f t="shared" si="36"/>
        <v>1.6719303444162475E-2</v>
      </c>
      <c r="J354" s="41">
        <f t="shared" si="36"/>
        <v>6.6677936508310193E-3</v>
      </c>
      <c r="K354" s="41">
        <f t="shared" si="36"/>
        <v>-2.8447845604983868E-3</v>
      </c>
      <c r="L354" s="48">
        <f t="shared" si="34"/>
        <v>-2.177312490949429E-2</v>
      </c>
      <c r="M354" s="35"/>
      <c r="N354" s="40">
        <f t="shared" si="37"/>
        <v>63.398492599999997</v>
      </c>
      <c r="O354" s="41">
        <f t="shared" si="38"/>
        <v>0.5611035018328504</v>
      </c>
      <c r="P354" s="41">
        <f t="shared" si="38"/>
        <v>27.385962216049037</v>
      </c>
      <c r="Q354" s="41">
        <f t="shared" si="38"/>
        <v>-0.21195101505407959</v>
      </c>
      <c r="R354" s="41">
        <f t="shared" si="35"/>
        <v>-3.844964899567394</v>
      </c>
      <c r="S354" s="42">
        <f t="shared" si="39"/>
        <v>87.288642403260411</v>
      </c>
      <c r="T354" s="35"/>
      <c r="U354" s="43">
        <v>31510</v>
      </c>
      <c r="V354" s="44">
        <f t="shared" si="40"/>
        <v>2750465.1221267357</v>
      </c>
      <c r="W354" s="140">
        <f t="shared" si="41"/>
        <v>2.0772276623136827E-3</v>
      </c>
      <c r="X354" s="35"/>
      <c r="Y354" s="49">
        <v>1067235.227543181</v>
      </c>
    </row>
    <row r="355" spans="1:25" x14ac:dyDescent="0.35">
      <c r="A355" s="35"/>
      <c r="B355" s="47" t="s">
        <v>333</v>
      </c>
      <c r="C355" s="46">
        <v>457</v>
      </c>
      <c r="D355" s="40">
        <v>0.15204191965399699</v>
      </c>
      <c r="E355" s="41">
        <v>4.1004740913249599E-2</v>
      </c>
      <c r="F355" s="41">
        <v>0.18769439497422899</v>
      </c>
      <c r="G355" s="48">
        <v>0.233885222074833</v>
      </c>
      <c r="H355" s="35"/>
      <c r="I355" s="40">
        <f t="shared" si="36"/>
        <v>-8.2936801071725186E-3</v>
      </c>
      <c r="J355" s="41">
        <f t="shared" si="36"/>
        <v>8.2564761699200212E-3</v>
      </c>
      <c r="K355" s="41">
        <f t="shared" si="36"/>
        <v>7.1551100760885999E-3</v>
      </c>
      <c r="L355" s="48">
        <f t="shared" si="34"/>
        <v>-4.67273276805453E-2</v>
      </c>
      <c r="M355" s="35"/>
      <c r="N355" s="40">
        <f t="shared" si="37"/>
        <v>63.398492599999997</v>
      </c>
      <c r="O355" s="41">
        <f t="shared" si="38"/>
        <v>-0.2783377290063333</v>
      </c>
      <c r="P355" s="41">
        <f t="shared" si="38"/>
        <v>33.910999090225033</v>
      </c>
      <c r="Q355" s="41">
        <f t="shared" si="38"/>
        <v>0.53309233483219032</v>
      </c>
      <c r="R355" s="41">
        <f t="shared" si="35"/>
        <v>-8.2516834643214985</v>
      </c>
      <c r="S355" s="42">
        <f t="shared" si="39"/>
        <v>89.312562831729394</v>
      </c>
      <c r="T355" s="35"/>
      <c r="U355" s="43">
        <v>12023</v>
      </c>
      <c r="V355" s="44">
        <f t="shared" si="40"/>
        <v>1073804.9429258825</v>
      </c>
      <c r="W355" s="140">
        <f t="shared" si="41"/>
        <v>8.1096732091992323E-4</v>
      </c>
      <c r="X355" s="35"/>
      <c r="Y355" s="49">
        <v>416657.69668599759</v>
      </c>
    </row>
    <row r="356" spans="1:25" x14ac:dyDescent="0.35">
      <c r="A356" s="35"/>
      <c r="B356" s="47" t="s">
        <v>823</v>
      </c>
      <c r="C356" s="46">
        <v>870</v>
      </c>
      <c r="D356" s="40">
        <v>0.15179736623561499</v>
      </c>
      <c r="E356" s="41">
        <v>2.0168466010202901E-2</v>
      </c>
      <c r="F356" s="41">
        <v>0.241980839640176</v>
      </c>
      <c r="G356" s="48">
        <v>0.25649578501796699</v>
      </c>
      <c r="H356" s="35"/>
      <c r="I356" s="40">
        <f t="shared" si="36"/>
        <v>-8.5382335255545228E-3</v>
      </c>
      <c r="J356" s="41">
        <f t="shared" si="36"/>
        <v>-1.2579798733126677E-2</v>
      </c>
      <c r="K356" s="41">
        <f t="shared" si="36"/>
        <v>6.1441554742035609E-2</v>
      </c>
      <c r="L356" s="48">
        <f t="shared" si="34"/>
        <v>-2.4116764737411311E-2</v>
      </c>
      <c r="M356" s="35"/>
      <c r="N356" s="40">
        <f t="shared" si="37"/>
        <v>63.398492599999997</v>
      </c>
      <c r="O356" s="41">
        <f t="shared" si="38"/>
        <v>-0.28654499552898544</v>
      </c>
      <c r="P356" s="41">
        <f t="shared" si="38"/>
        <v>-51.667749608293867</v>
      </c>
      <c r="Q356" s="41">
        <f t="shared" si="38"/>
        <v>4.5777104090419325</v>
      </c>
      <c r="R356" s="41">
        <f t="shared" si="35"/>
        <v>-4.2588335065324756</v>
      </c>
      <c r="S356" s="42">
        <f t="shared" si="39"/>
        <v>11.763074898686604</v>
      </c>
      <c r="T356" s="35"/>
      <c r="U356" s="43">
        <v>16858</v>
      </c>
      <c r="V356" s="44">
        <f t="shared" si="40"/>
        <v>198301.91664205876</v>
      </c>
      <c r="W356" s="140">
        <f t="shared" si="41"/>
        <v>1.4976311585445588E-4</v>
      </c>
      <c r="X356" s="35"/>
      <c r="Y356" s="49">
        <v>76945.091732737419</v>
      </c>
    </row>
    <row r="357" spans="1:25" x14ac:dyDescent="0.35">
      <c r="A357" s="35"/>
      <c r="B357" s="47" t="s">
        <v>335</v>
      </c>
      <c r="C357" s="46">
        <v>668</v>
      </c>
      <c r="D357" s="40">
        <v>0.144291193993308</v>
      </c>
      <c r="E357" s="41">
        <v>2.5707989880029401E-2</v>
      </c>
      <c r="F357" s="41">
        <v>0.18314214133501999</v>
      </c>
      <c r="G357" s="48">
        <v>0.27478836014705399</v>
      </c>
      <c r="H357" s="35"/>
      <c r="I357" s="40">
        <f t="shared" si="36"/>
        <v>-1.6044405767861508E-2</v>
      </c>
      <c r="J357" s="41">
        <f t="shared" si="36"/>
        <v>-7.040274863300177E-3</v>
      </c>
      <c r="K357" s="41">
        <f t="shared" si="36"/>
        <v>2.6028564368796026E-3</v>
      </c>
      <c r="L357" s="48">
        <f t="shared" si="34"/>
        <v>-5.824189608324315E-3</v>
      </c>
      <c r="M357" s="35"/>
      <c r="N357" s="40">
        <f t="shared" si="37"/>
        <v>63.398492599999997</v>
      </c>
      <c r="O357" s="41">
        <f t="shared" si="38"/>
        <v>-0.5384537873387012</v>
      </c>
      <c r="P357" s="41">
        <f t="shared" si="38"/>
        <v>-28.915817059351987</v>
      </c>
      <c r="Q357" s="41">
        <f t="shared" si="38"/>
        <v>0.19392613117248722</v>
      </c>
      <c r="R357" s="41">
        <f t="shared" si="35"/>
        <v>-1.0285066891187133</v>
      </c>
      <c r="S357" s="42">
        <f t="shared" si="39"/>
        <v>33.109641195363082</v>
      </c>
      <c r="T357" s="35"/>
      <c r="U357" s="43">
        <v>12253</v>
      </c>
      <c r="V357" s="44">
        <f t="shared" si="40"/>
        <v>405692.43356678385</v>
      </c>
      <c r="W357" s="140">
        <f t="shared" si="41"/>
        <v>3.0639019510440781E-4</v>
      </c>
      <c r="X357" s="35"/>
      <c r="Y357" s="49">
        <v>157416.74132388548</v>
      </c>
    </row>
    <row r="358" spans="1:25" x14ac:dyDescent="0.35">
      <c r="A358" s="35"/>
      <c r="B358" s="47" t="s">
        <v>337</v>
      </c>
      <c r="C358" s="46">
        <v>1701</v>
      </c>
      <c r="D358" s="40">
        <v>0.18275862068965501</v>
      </c>
      <c r="E358" s="41">
        <v>2.7939876215738301E-2</v>
      </c>
      <c r="F358" s="41">
        <v>0.174399690166917</v>
      </c>
      <c r="G358" s="48">
        <v>0.30341025525035997</v>
      </c>
      <c r="H358" s="35"/>
      <c r="I358" s="40">
        <f t="shared" si="36"/>
        <v>2.2423020928485499E-2</v>
      </c>
      <c r="J358" s="41">
        <f t="shared" si="36"/>
        <v>-4.8083885275912765E-3</v>
      </c>
      <c r="K358" s="41">
        <f t="shared" si="36"/>
        <v>-6.1395947312233856E-3</v>
      </c>
      <c r="L358" s="48">
        <f t="shared" si="34"/>
        <v>2.2797705494981668E-2</v>
      </c>
      <c r="M358" s="35"/>
      <c r="N358" s="40">
        <f t="shared" si="37"/>
        <v>63.398492599999997</v>
      </c>
      <c r="O358" s="41">
        <f t="shared" si="38"/>
        <v>0.75252151542457768</v>
      </c>
      <c r="P358" s="41">
        <f t="shared" si="38"/>
        <v>-19.749013456690662</v>
      </c>
      <c r="Q358" s="41">
        <f t="shared" si="38"/>
        <v>-0.4574312422011661</v>
      </c>
      <c r="R358" s="41">
        <f t="shared" si="35"/>
        <v>4.0258978802191212</v>
      </c>
      <c r="S358" s="42">
        <f t="shared" si="39"/>
        <v>47.970467296751863</v>
      </c>
      <c r="T358" s="35"/>
      <c r="U358" s="43">
        <v>11310</v>
      </c>
      <c r="V358" s="44">
        <f t="shared" si="40"/>
        <v>542545.98512626358</v>
      </c>
      <c r="W358" s="140">
        <f t="shared" si="41"/>
        <v>4.0974579874333454E-4</v>
      </c>
      <c r="X358" s="35"/>
      <c r="Y358" s="49">
        <v>210518.64400343667</v>
      </c>
    </row>
    <row r="359" spans="1:25" x14ac:dyDescent="0.35">
      <c r="A359" s="35"/>
      <c r="B359" s="47" t="s">
        <v>338</v>
      </c>
      <c r="C359" s="46">
        <v>293</v>
      </c>
      <c r="D359" s="40">
        <v>0.17727901918133299</v>
      </c>
      <c r="E359" s="41">
        <v>4.8546569112121803E-2</v>
      </c>
      <c r="F359" s="41">
        <v>0.21148043548666201</v>
      </c>
      <c r="G359" s="48">
        <v>0.27361618084092498</v>
      </c>
      <c r="H359" s="35"/>
      <c r="I359" s="40">
        <f t="shared" si="36"/>
        <v>1.6943419420163475E-2</v>
      </c>
      <c r="J359" s="41">
        <f t="shared" si="36"/>
        <v>1.5798304368792225E-2</v>
      </c>
      <c r="K359" s="41">
        <f t="shared" si="36"/>
        <v>3.0941150588521621E-2</v>
      </c>
      <c r="L359" s="48">
        <f t="shared" si="34"/>
        <v>-6.9963689144533214E-3</v>
      </c>
      <c r="M359" s="35"/>
      <c r="N359" s="40">
        <f t="shared" si="37"/>
        <v>63.398492599999997</v>
      </c>
      <c r="O359" s="41">
        <f t="shared" si="38"/>
        <v>0.56862488329295868</v>
      </c>
      <c r="P359" s="41">
        <f t="shared" si="38"/>
        <v>64.886796019469514</v>
      </c>
      <c r="Q359" s="41">
        <f t="shared" si="38"/>
        <v>2.3052741375358741</v>
      </c>
      <c r="R359" s="41">
        <f t="shared" si="35"/>
        <v>-1.2355044584696804</v>
      </c>
      <c r="S359" s="42">
        <f t="shared" si="39"/>
        <v>129.92368318182866</v>
      </c>
      <c r="T359" s="35"/>
      <c r="U359" s="43">
        <v>10114</v>
      </c>
      <c r="V359" s="44">
        <f t="shared" si="40"/>
        <v>1314048.1317010152</v>
      </c>
      <c r="W359" s="140">
        <f t="shared" si="41"/>
        <v>9.9240565052880121E-4</v>
      </c>
      <c r="X359" s="35"/>
      <c r="Y359" s="49">
        <v>509876.83703265851</v>
      </c>
    </row>
    <row r="360" spans="1:25" x14ac:dyDescent="0.35">
      <c r="A360" s="35"/>
      <c r="B360" s="47" t="s">
        <v>339</v>
      </c>
      <c r="C360" s="46">
        <v>1950</v>
      </c>
      <c r="D360" s="40">
        <v>0.234059511158342</v>
      </c>
      <c r="E360" s="41">
        <v>4.4699787460148799E-2</v>
      </c>
      <c r="F360" s="41">
        <v>0.245163397251209</v>
      </c>
      <c r="G360" s="48">
        <v>0.393717550796643</v>
      </c>
      <c r="H360" s="35"/>
      <c r="I360" s="40">
        <f t="shared" si="36"/>
        <v>7.3723911397172492E-2</v>
      </c>
      <c r="J360" s="41">
        <f t="shared" si="36"/>
        <v>1.1951522716819221E-2</v>
      </c>
      <c r="K360" s="41">
        <f t="shared" si="36"/>
        <v>6.4624112353068613E-2</v>
      </c>
      <c r="L360" s="48">
        <f t="shared" si="34"/>
        <v>0.1131050010412647</v>
      </c>
      <c r="M360" s="35"/>
      <c r="N360" s="40">
        <f t="shared" si="37"/>
        <v>63.398492599999997</v>
      </c>
      <c r="O360" s="41">
        <f t="shared" si="38"/>
        <v>2.4741906857496163</v>
      </c>
      <c r="P360" s="41">
        <f t="shared" si="38"/>
        <v>49.087294341550361</v>
      </c>
      <c r="Q360" s="41">
        <f t="shared" si="38"/>
        <v>4.8148272457588597</v>
      </c>
      <c r="R360" s="41">
        <f t="shared" si="35"/>
        <v>19.973465489079267</v>
      </c>
      <c r="S360" s="42">
        <f t="shared" si="39"/>
        <v>139.7482703621381</v>
      </c>
      <c r="T360" s="35"/>
      <c r="U360" s="43">
        <v>15056</v>
      </c>
      <c r="V360" s="44">
        <f t="shared" si="40"/>
        <v>2104049.9585723514</v>
      </c>
      <c r="W360" s="140">
        <f t="shared" si="41"/>
        <v>1.589036974756104E-3</v>
      </c>
      <c r="X360" s="35"/>
      <c r="Y360" s="49">
        <v>816413.27433481102</v>
      </c>
    </row>
    <row r="361" spans="1:25" x14ac:dyDescent="0.35">
      <c r="A361" s="35"/>
      <c r="B361" s="47" t="s">
        <v>340</v>
      </c>
      <c r="C361" s="46">
        <v>1783</v>
      </c>
      <c r="D361" s="40">
        <v>0.12621359223301001</v>
      </c>
      <c r="E361" s="41">
        <v>2.2668365329701699E-2</v>
      </c>
      <c r="F361" s="41">
        <v>0.17846820729201601</v>
      </c>
      <c r="G361" s="48">
        <v>0.25712488230604003</v>
      </c>
      <c r="H361" s="35"/>
      <c r="I361" s="40">
        <f t="shared" si="36"/>
        <v>-3.4122007528159498E-2</v>
      </c>
      <c r="J361" s="41">
        <f t="shared" si="36"/>
        <v>-1.0079899413627878E-2</v>
      </c>
      <c r="K361" s="41">
        <f t="shared" si="36"/>
        <v>-2.0710776061243774E-3</v>
      </c>
      <c r="L361" s="48">
        <f t="shared" si="34"/>
        <v>-2.3487667449338279E-2</v>
      </c>
      <c r="M361" s="35"/>
      <c r="N361" s="40">
        <f t="shared" si="37"/>
        <v>63.398492599999997</v>
      </c>
      <c r="O361" s="41">
        <f t="shared" si="38"/>
        <v>-1.1451420794866889</v>
      </c>
      <c r="P361" s="41">
        <f t="shared" si="38"/>
        <v>-41.400163073250411</v>
      </c>
      <c r="Q361" s="41">
        <f t="shared" si="38"/>
        <v>-0.1543058855736095</v>
      </c>
      <c r="R361" s="41">
        <f t="shared" si="35"/>
        <v>-4.1477398072537328</v>
      </c>
      <c r="S361" s="42">
        <f t="shared" si="39"/>
        <v>16.551141754435555</v>
      </c>
      <c r="T361" s="35"/>
      <c r="U361" s="43">
        <v>68289</v>
      </c>
      <c r="V361" s="44">
        <f t="shared" si="40"/>
        <v>1130260.9192686495</v>
      </c>
      <c r="W361" s="140">
        <f t="shared" si="41"/>
        <v>8.5360444248118287E-4</v>
      </c>
      <c r="X361" s="35"/>
      <c r="Y361" s="49">
        <v>438563.73951258574</v>
      </c>
    </row>
    <row r="362" spans="1:25" x14ac:dyDescent="0.35">
      <c r="A362" s="35"/>
      <c r="B362" s="47" t="s">
        <v>341</v>
      </c>
      <c r="C362" s="46">
        <v>98</v>
      </c>
      <c r="D362" s="40">
        <v>0.17927454579983501</v>
      </c>
      <c r="E362" s="41">
        <v>4.0324112173197403E-2</v>
      </c>
      <c r="F362" s="41">
        <v>0.213750832641358</v>
      </c>
      <c r="G362" s="48">
        <v>0.31710010585499698</v>
      </c>
      <c r="H362" s="35"/>
      <c r="I362" s="40">
        <f t="shared" si="36"/>
        <v>1.89389460386655E-2</v>
      </c>
      <c r="J362" s="41">
        <f t="shared" si="36"/>
        <v>7.5758474298678255E-3</v>
      </c>
      <c r="K362" s="41">
        <f t="shared" si="36"/>
        <v>3.3211547743217606E-2</v>
      </c>
      <c r="L362" s="48">
        <f t="shared" si="34"/>
        <v>3.6487556099618679E-2</v>
      </c>
      <c r="M362" s="35"/>
      <c r="N362" s="40">
        <f t="shared" si="37"/>
        <v>63.398492599999997</v>
      </c>
      <c r="O362" s="41">
        <f t="shared" si="38"/>
        <v>0.63559519562574274</v>
      </c>
      <c r="P362" s="41">
        <f t="shared" si="38"/>
        <v>31.115520715470083</v>
      </c>
      <c r="Q362" s="41">
        <f t="shared" si="38"/>
        <v>2.4744303499941571</v>
      </c>
      <c r="R362" s="41">
        <f t="shared" si="35"/>
        <v>6.4434192637573258</v>
      </c>
      <c r="S362" s="42">
        <f t="shared" si="39"/>
        <v>104.06745812484729</v>
      </c>
      <c r="T362" s="35"/>
      <c r="U362" s="43">
        <v>15797</v>
      </c>
      <c r="V362" s="44">
        <f t="shared" si="40"/>
        <v>1643953.6359982127</v>
      </c>
      <c r="W362" s="140">
        <f t="shared" si="41"/>
        <v>1.2415594514487707E-3</v>
      </c>
      <c r="X362" s="35"/>
      <c r="Y362" s="49">
        <v>637886.74092634046</v>
      </c>
    </row>
    <row r="363" spans="1:25" x14ac:dyDescent="0.35">
      <c r="A363" s="35"/>
      <c r="B363" s="47" t="s">
        <v>342</v>
      </c>
      <c r="C363" s="46">
        <v>614</v>
      </c>
      <c r="D363" s="40">
        <v>0.17035065385950701</v>
      </c>
      <c r="E363" s="41">
        <v>1.9210739497743299E-2</v>
      </c>
      <c r="F363" s="41">
        <v>0.145747816057687</v>
      </c>
      <c r="G363" s="48">
        <v>0.29329671282250702</v>
      </c>
      <c r="H363" s="35"/>
      <c r="I363" s="40">
        <f t="shared" si="36"/>
        <v>1.00150540983375E-2</v>
      </c>
      <c r="J363" s="41">
        <f t="shared" si="36"/>
        <v>-1.3537525245586279E-2</v>
      </c>
      <c r="K363" s="41">
        <f t="shared" si="36"/>
        <v>-3.4791468840453393E-2</v>
      </c>
      <c r="L363" s="48">
        <f t="shared" si="34"/>
        <v>1.2684163067128718E-2</v>
      </c>
      <c r="M363" s="35"/>
      <c r="N363" s="40">
        <f t="shared" si="37"/>
        <v>63.398492599999997</v>
      </c>
      <c r="O363" s="41">
        <f t="shared" si="38"/>
        <v>0.33610741885210815</v>
      </c>
      <c r="P363" s="41">
        <f t="shared" si="38"/>
        <v>-55.601323959422473</v>
      </c>
      <c r="Q363" s="41">
        <f t="shared" si="38"/>
        <v>-2.5921425609342412</v>
      </c>
      <c r="R363" s="41">
        <f t="shared" si="35"/>
        <v>2.2399247685495305</v>
      </c>
      <c r="S363" s="42">
        <f t="shared" si="39"/>
        <v>7.7810582670449229</v>
      </c>
      <c r="T363" s="35"/>
      <c r="U363" s="43">
        <v>8641</v>
      </c>
      <c r="V363" s="44">
        <f t="shared" si="40"/>
        <v>86410</v>
      </c>
      <c r="W363" s="140">
        <f t="shared" si="41"/>
        <v>6.5259232286405503E-5</v>
      </c>
      <c r="X363" s="35"/>
      <c r="Y363" s="49">
        <v>33528.800372752732</v>
      </c>
    </row>
    <row r="364" spans="1:25" x14ac:dyDescent="0.35">
      <c r="A364" s="35"/>
      <c r="B364" s="47" t="s">
        <v>343</v>
      </c>
      <c r="C364" s="46">
        <v>189</v>
      </c>
      <c r="D364" s="40">
        <v>0.121875</v>
      </c>
      <c r="E364" s="41">
        <v>1.88829787234043E-2</v>
      </c>
      <c r="F364" s="41">
        <v>0.15201700219266001</v>
      </c>
      <c r="G364" s="48">
        <v>0.30183377511493997</v>
      </c>
      <c r="H364" s="35"/>
      <c r="I364" s="40">
        <f t="shared" si="36"/>
        <v>-3.8460599761169514E-2</v>
      </c>
      <c r="J364" s="41">
        <f t="shared" si="36"/>
        <v>-1.3865286019925278E-2</v>
      </c>
      <c r="K364" s="41">
        <f t="shared" si="36"/>
        <v>-2.8522282705480378E-2</v>
      </c>
      <c r="L364" s="48">
        <f t="shared" si="34"/>
        <v>2.1221225359561668E-2</v>
      </c>
      <c r="M364" s="35"/>
      <c r="N364" s="40">
        <f t="shared" si="37"/>
        <v>63.398492599999997</v>
      </c>
      <c r="O364" s="41">
        <f t="shared" si="38"/>
        <v>-1.2907461893167964</v>
      </c>
      <c r="P364" s="41">
        <f t="shared" si="38"/>
        <v>-56.947503018342822</v>
      </c>
      <c r="Q364" s="41">
        <f t="shared" si="38"/>
        <v>-2.1250560956457405</v>
      </c>
      <c r="R364" s="41">
        <f t="shared" si="35"/>
        <v>3.7475037217898004</v>
      </c>
      <c r="S364" s="42">
        <f t="shared" si="39"/>
        <v>6.7826910184844369</v>
      </c>
      <c r="T364" s="35"/>
      <c r="U364" s="43">
        <v>15040</v>
      </c>
      <c r="V364" s="44">
        <f t="shared" si="40"/>
        <v>150400</v>
      </c>
      <c r="W364" s="140">
        <f t="shared" si="41"/>
        <v>1.1358625779279466E-4</v>
      </c>
      <c r="X364" s="35"/>
      <c r="Y364" s="49">
        <v>58358.194376368592</v>
      </c>
    </row>
    <row r="365" spans="1:25" x14ac:dyDescent="0.35">
      <c r="A365" s="35"/>
      <c r="B365" s="47" t="s">
        <v>344</v>
      </c>
      <c r="C365" s="46">
        <v>296</v>
      </c>
      <c r="D365" s="40">
        <v>0.145453849686209</v>
      </c>
      <c r="E365" s="41">
        <v>3.3943058319302E-2</v>
      </c>
      <c r="F365" s="41">
        <v>0.14469457366692001</v>
      </c>
      <c r="G365" s="48">
        <v>0.282772677720386</v>
      </c>
      <c r="H365" s="35"/>
      <c r="I365" s="40">
        <f t="shared" si="36"/>
        <v>-1.4881750074960509E-2</v>
      </c>
      <c r="J365" s="41">
        <f t="shared" si="36"/>
        <v>1.1947935759724221E-3</v>
      </c>
      <c r="K365" s="41">
        <f t="shared" si="36"/>
        <v>-3.5844711231220378E-2</v>
      </c>
      <c r="L365" s="48">
        <f t="shared" si="34"/>
        <v>2.1601279650076965E-3</v>
      </c>
      <c r="M365" s="35"/>
      <c r="N365" s="40">
        <f t="shared" si="37"/>
        <v>63.398492599999997</v>
      </c>
      <c r="O365" s="41">
        <f t="shared" si="38"/>
        <v>-0.49943480650069122</v>
      </c>
      <c r="P365" s="41">
        <f t="shared" si="38"/>
        <v>4.9072561991298036</v>
      </c>
      <c r="Q365" s="41">
        <f t="shared" si="38"/>
        <v>-2.6706145116474223</v>
      </c>
      <c r="R365" s="41">
        <f t="shared" si="35"/>
        <v>0.38146183602735079</v>
      </c>
      <c r="S365" s="42">
        <f t="shared" si="39"/>
        <v>65.517161317009027</v>
      </c>
      <c r="T365" s="35"/>
      <c r="U365" s="43">
        <v>26132</v>
      </c>
      <c r="V365" s="44">
        <f t="shared" si="40"/>
        <v>1712094.4595360798</v>
      </c>
      <c r="W365" s="140">
        <f t="shared" si="41"/>
        <v>1.2930212941920252E-3</v>
      </c>
      <c r="X365" s="35"/>
      <c r="Y365" s="49">
        <v>664326.73710312683</v>
      </c>
    </row>
    <row r="366" spans="1:25" x14ac:dyDescent="0.35">
      <c r="A366" s="35"/>
      <c r="B366" s="47" t="s">
        <v>345</v>
      </c>
      <c r="C366" s="46">
        <v>1696</v>
      </c>
      <c r="D366" s="40">
        <v>0.13405618531296201</v>
      </c>
      <c r="E366" s="41">
        <v>2.0418221502499501E-2</v>
      </c>
      <c r="F366" s="41">
        <v>0.13327360040080899</v>
      </c>
      <c r="G366" s="48">
        <v>0.22876948829851401</v>
      </c>
      <c r="H366" s="35"/>
      <c r="I366" s="40">
        <f t="shared" si="36"/>
        <v>-2.62794144482075E-2</v>
      </c>
      <c r="J366" s="41">
        <f t="shared" si="36"/>
        <v>-1.2330043240830077E-2</v>
      </c>
      <c r="K366" s="41">
        <f t="shared" si="36"/>
        <v>-4.7265684497331401E-2</v>
      </c>
      <c r="L366" s="48">
        <f t="shared" si="34"/>
        <v>-5.1843061456864292E-2</v>
      </c>
      <c r="M366" s="35"/>
      <c r="N366" s="40">
        <f t="shared" si="37"/>
        <v>63.398492599999997</v>
      </c>
      <c r="O366" s="41">
        <f t="shared" si="38"/>
        <v>-0.88194293035302229</v>
      </c>
      <c r="P366" s="41">
        <f t="shared" si="38"/>
        <v>-50.641953845338158</v>
      </c>
      <c r="Q366" s="41">
        <f t="shared" si="38"/>
        <v>-3.521535495355816</v>
      </c>
      <c r="R366" s="41">
        <f t="shared" si="35"/>
        <v>-9.1550823511253281</v>
      </c>
      <c r="S366" s="42">
        <f t="shared" si="39"/>
        <v>-0.80202202217232532</v>
      </c>
      <c r="T366" s="35"/>
      <c r="U366" s="43">
        <v>14203</v>
      </c>
      <c r="V366" s="44">
        <f t="shared" si="40"/>
        <v>142030</v>
      </c>
      <c r="W366" s="140">
        <f t="shared" si="41"/>
        <v>1.0726500129195895E-4</v>
      </c>
      <c r="X366" s="35"/>
      <c r="Y366" s="49">
        <v>55110.467734545426</v>
      </c>
    </row>
    <row r="367" spans="1:25" x14ac:dyDescent="0.35">
      <c r="A367" s="35"/>
      <c r="B367" s="47" t="s">
        <v>346</v>
      </c>
      <c r="C367" s="46">
        <v>352</v>
      </c>
      <c r="D367" s="40">
        <v>0.12492695279527299</v>
      </c>
      <c r="E367" s="41">
        <v>2.1102525810012301E-2</v>
      </c>
      <c r="F367" s="41">
        <v>0.14523238357306001</v>
      </c>
      <c r="G367" s="48">
        <v>0.24688974695166399</v>
      </c>
      <c r="H367" s="35"/>
      <c r="I367" s="40">
        <f t="shared" si="36"/>
        <v>-3.5408646965896518E-2</v>
      </c>
      <c r="J367" s="41">
        <f t="shared" si="36"/>
        <v>-1.1645738933317277E-2</v>
      </c>
      <c r="K367" s="41">
        <f t="shared" si="36"/>
        <v>-3.5306901325080381E-2</v>
      </c>
      <c r="L367" s="48">
        <f t="shared" si="34"/>
        <v>-3.3722802803714313E-2</v>
      </c>
      <c r="M367" s="35"/>
      <c r="N367" s="40">
        <f t="shared" si="37"/>
        <v>63.398492599999997</v>
      </c>
      <c r="O367" s="41">
        <f t="shared" si="38"/>
        <v>-1.1883219820778197</v>
      </c>
      <c r="P367" s="41">
        <f t="shared" si="38"/>
        <v>-47.831379179835501</v>
      </c>
      <c r="Q367" s="41">
        <f t="shared" si="38"/>
        <v>-2.6305449200532731</v>
      </c>
      <c r="R367" s="41">
        <f t="shared" si="35"/>
        <v>-5.9551852861861914</v>
      </c>
      <c r="S367" s="42">
        <f t="shared" si="39"/>
        <v>5.793061231847215</v>
      </c>
      <c r="T367" s="35"/>
      <c r="U367" s="43">
        <v>15401</v>
      </c>
      <c r="V367" s="44">
        <f t="shared" si="40"/>
        <v>154010</v>
      </c>
      <c r="W367" s="140">
        <f t="shared" si="41"/>
        <v>1.1631263007093288E-4</v>
      </c>
      <c r="X367" s="35"/>
      <c r="Y367" s="49">
        <v>59758.946249365203</v>
      </c>
    </row>
    <row r="368" spans="1:25" x14ac:dyDescent="0.35">
      <c r="A368" s="35"/>
      <c r="B368" s="47" t="s">
        <v>802</v>
      </c>
      <c r="C368" s="46">
        <v>53</v>
      </c>
      <c r="D368" s="40">
        <v>0.16246532384513299</v>
      </c>
      <c r="E368" s="41">
        <v>3.9802195151368999E-2</v>
      </c>
      <c r="F368" s="41">
        <v>0.176364538772777</v>
      </c>
      <c r="G368" s="48">
        <v>0.34421075272159202</v>
      </c>
      <c r="H368" s="35"/>
      <c r="I368" s="40">
        <f t="shared" si="36"/>
        <v>2.1297240839634746E-3</v>
      </c>
      <c r="J368" s="41">
        <f t="shared" si="36"/>
        <v>7.0539304080394216E-3</v>
      </c>
      <c r="K368" s="41">
        <f t="shared" si="36"/>
        <v>-4.1747461253633933E-3</v>
      </c>
      <c r="L368" s="48">
        <f t="shared" si="34"/>
        <v>6.3598202966213713E-2</v>
      </c>
      <c r="M368" s="35"/>
      <c r="N368" s="40">
        <f t="shared" si="37"/>
        <v>63.398492599999997</v>
      </c>
      <c r="O368" s="41">
        <f t="shared" si="38"/>
        <v>7.1474008797112687E-2</v>
      </c>
      <c r="P368" s="41">
        <f t="shared" si="38"/>
        <v>28.971903112978122</v>
      </c>
      <c r="Q368" s="41">
        <f t="shared" si="38"/>
        <v>-0.31103996103973469</v>
      </c>
      <c r="R368" s="41">
        <f t="shared" si="35"/>
        <v>11.230949121778323</v>
      </c>
      <c r="S368" s="42">
        <f t="shared" si="39"/>
        <v>103.36177888251382</v>
      </c>
      <c r="T368" s="35"/>
      <c r="U368" s="43">
        <v>8291</v>
      </c>
      <c r="V368" s="44">
        <f t="shared" si="40"/>
        <v>856972.50871492201</v>
      </c>
      <c r="W368" s="140">
        <f t="shared" si="41"/>
        <v>6.4720944345898345E-4</v>
      </c>
      <c r="X368" s="35"/>
      <c r="Y368" s="49">
        <v>332522.39520471846</v>
      </c>
    </row>
    <row r="369" spans="1:25" x14ac:dyDescent="0.35">
      <c r="A369" s="35"/>
      <c r="B369" s="47" t="s">
        <v>347</v>
      </c>
      <c r="C369" s="46">
        <v>294</v>
      </c>
      <c r="D369" s="40">
        <v>0.17805039787798399</v>
      </c>
      <c r="E369" s="41">
        <v>4.2053492484527E-2</v>
      </c>
      <c r="F369" s="41">
        <v>0.200225504835011</v>
      </c>
      <c r="G369" s="48">
        <v>0.31005285270058303</v>
      </c>
      <c r="H369" s="35"/>
      <c r="I369" s="40">
        <f t="shared" si="36"/>
        <v>1.7714798116814479E-2</v>
      </c>
      <c r="J369" s="41">
        <f t="shared" si="36"/>
        <v>9.3052277411974221E-3</v>
      </c>
      <c r="K369" s="41">
        <f t="shared" si="36"/>
        <v>1.9686219936870614E-2</v>
      </c>
      <c r="L369" s="48">
        <f t="shared" si="34"/>
        <v>2.9440302945204722E-2</v>
      </c>
      <c r="M369" s="35"/>
      <c r="N369" s="40">
        <f t="shared" si="37"/>
        <v>63.398492599999997</v>
      </c>
      <c r="O369" s="41">
        <f t="shared" si="38"/>
        <v>0.59451252205587957</v>
      </c>
      <c r="P369" s="41">
        <f t="shared" si="38"/>
        <v>38.21843156475061</v>
      </c>
      <c r="Q369" s="41">
        <f t="shared" si="38"/>
        <v>1.4667241787429377</v>
      </c>
      <c r="R369" s="41">
        <f t="shared" si="35"/>
        <v>5.1989290433722992</v>
      </c>
      <c r="S369" s="42">
        <f t="shared" si="39"/>
        <v>108.87708990892172</v>
      </c>
      <c r="T369" s="35"/>
      <c r="U369" s="43">
        <v>18096</v>
      </c>
      <c r="V369" s="44">
        <f t="shared" si="40"/>
        <v>1970239.8189918473</v>
      </c>
      <c r="W369" s="140">
        <f t="shared" si="41"/>
        <v>1.4879798403832252E-3</v>
      </c>
      <c r="X369" s="35"/>
      <c r="Y369" s="49">
        <v>764492.27609566157</v>
      </c>
    </row>
    <row r="370" spans="1:25" x14ac:dyDescent="0.35">
      <c r="A370" s="35"/>
      <c r="B370" s="47" t="s">
        <v>348</v>
      </c>
      <c r="C370" s="46">
        <v>873</v>
      </c>
      <c r="D370" s="40">
        <v>0.19283928833995001</v>
      </c>
      <c r="E370" s="41">
        <v>2.56579914718424E-2</v>
      </c>
      <c r="F370" s="41">
        <v>0.17288021360082301</v>
      </c>
      <c r="G370" s="48">
        <v>0.28588526047393498</v>
      </c>
      <c r="H370" s="35"/>
      <c r="I370" s="40">
        <f t="shared" si="36"/>
        <v>3.2503688578780499E-2</v>
      </c>
      <c r="J370" s="41">
        <f t="shared" si="36"/>
        <v>-7.0902732714871776E-3</v>
      </c>
      <c r="K370" s="41">
        <f t="shared" si="36"/>
        <v>-7.6590712973173825E-3</v>
      </c>
      <c r="L370" s="48">
        <f t="shared" si="34"/>
        <v>5.2727107185566724E-3</v>
      </c>
      <c r="M370" s="35"/>
      <c r="N370" s="40">
        <f t="shared" si="37"/>
        <v>63.398492599999997</v>
      </c>
      <c r="O370" s="41">
        <f t="shared" si="38"/>
        <v>1.0908309395153608</v>
      </c>
      <c r="P370" s="41">
        <f t="shared" si="38"/>
        <v>-29.121170522457604</v>
      </c>
      <c r="Q370" s="41">
        <f t="shared" si="38"/>
        <v>-0.57064002609518727</v>
      </c>
      <c r="R370" s="41">
        <f t="shared" si="35"/>
        <v>0.93111979666193234</v>
      </c>
      <c r="S370" s="42">
        <f t="shared" si="39"/>
        <v>35.728632787624498</v>
      </c>
      <c r="T370" s="35"/>
      <c r="U370" s="43">
        <v>13602</v>
      </c>
      <c r="V370" s="44">
        <f t="shared" si="40"/>
        <v>485980.86317726842</v>
      </c>
      <c r="W370" s="140">
        <f t="shared" si="41"/>
        <v>3.6702624738841808E-4</v>
      </c>
      <c r="X370" s="35"/>
      <c r="Y370" s="49">
        <v>188570.25050860652</v>
      </c>
    </row>
    <row r="371" spans="1:25" x14ac:dyDescent="0.35">
      <c r="A371" s="35"/>
      <c r="B371" s="47" t="s">
        <v>349</v>
      </c>
      <c r="C371" s="46">
        <v>632</v>
      </c>
      <c r="D371" s="40">
        <v>0.12686771552904699</v>
      </c>
      <c r="E371" s="41">
        <v>2.2306077112686801E-2</v>
      </c>
      <c r="F371" s="41">
        <v>0.13898629323339701</v>
      </c>
      <c r="G371" s="48">
        <v>0.243042398299983</v>
      </c>
      <c r="H371" s="35"/>
      <c r="I371" s="40">
        <f t="shared" si="36"/>
        <v>-3.3467884232122519E-2</v>
      </c>
      <c r="J371" s="41">
        <f t="shared" si="36"/>
        <v>-1.0442187630642776E-2</v>
      </c>
      <c r="K371" s="41">
        <f t="shared" si="36"/>
        <v>-4.1552991664743383E-2</v>
      </c>
      <c r="L371" s="48">
        <f t="shared" si="34"/>
        <v>-3.7570151455395301E-2</v>
      </c>
      <c r="M371" s="35"/>
      <c r="N371" s="40">
        <f t="shared" si="37"/>
        <v>63.398492599999997</v>
      </c>
      <c r="O371" s="41">
        <f t="shared" si="38"/>
        <v>-1.1231895577645628</v>
      </c>
      <c r="P371" s="41">
        <f t="shared" si="38"/>
        <v>-42.888153245419765</v>
      </c>
      <c r="Q371" s="41">
        <f t="shared" si="38"/>
        <v>-3.0959106303407058</v>
      </c>
      <c r="R371" s="41">
        <f t="shared" si="35"/>
        <v>-6.6345972026475168</v>
      </c>
      <c r="S371" s="42">
        <f t="shared" si="39"/>
        <v>9.6566419638274503</v>
      </c>
      <c r="T371" s="35"/>
      <c r="U371" s="43">
        <v>32861</v>
      </c>
      <c r="V371" s="44">
        <f t="shared" si="40"/>
        <v>328610</v>
      </c>
      <c r="W371" s="140">
        <f t="shared" si="41"/>
        <v>2.4817540008836603E-4</v>
      </c>
      <c r="X371" s="35"/>
      <c r="Y371" s="49">
        <v>127507.22243363352</v>
      </c>
    </row>
    <row r="372" spans="1:25" x14ac:dyDescent="0.35">
      <c r="A372" s="35"/>
      <c r="B372" s="47" t="s">
        <v>350</v>
      </c>
      <c r="C372" s="46">
        <v>880</v>
      </c>
      <c r="D372" s="40">
        <v>0.124785980461275</v>
      </c>
      <c r="E372" s="41">
        <v>2.51787692617585E-2</v>
      </c>
      <c r="F372" s="41">
        <v>0.17666841428789101</v>
      </c>
      <c r="G372" s="48">
        <v>0.25735286103936</v>
      </c>
      <c r="H372" s="35"/>
      <c r="I372" s="40">
        <f t="shared" si="36"/>
        <v>-3.5549619299894517E-2</v>
      </c>
      <c r="J372" s="41">
        <f t="shared" si="36"/>
        <v>-7.5694954815710772E-3</v>
      </c>
      <c r="K372" s="41">
        <f t="shared" si="36"/>
        <v>-3.8708706102493773E-3</v>
      </c>
      <c r="L372" s="48">
        <f t="shared" si="34"/>
        <v>-2.3259688716018301E-2</v>
      </c>
      <c r="M372" s="35"/>
      <c r="N372" s="40">
        <f t="shared" si="37"/>
        <v>63.398492599999997</v>
      </c>
      <c r="O372" s="41">
        <f t="shared" si="38"/>
        <v>-1.1930530446207059</v>
      </c>
      <c r="P372" s="41">
        <f t="shared" si="38"/>
        <v>-31.089431993298639</v>
      </c>
      <c r="Q372" s="41">
        <f t="shared" si="38"/>
        <v>-0.28839967932110311</v>
      </c>
      <c r="R372" s="41">
        <f t="shared" si="35"/>
        <v>-4.1074805320643959</v>
      </c>
      <c r="S372" s="42">
        <f t="shared" si="39"/>
        <v>26.720127350695154</v>
      </c>
      <c r="T372" s="35"/>
      <c r="U372" s="43">
        <v>9929</v>
      </c>
      <c r="V372" s="44">
        <f t="shared" si="40"/>
        <v>265304.14446505217</v>
      </c>
      <c r="W372" s="140">
        <f t="shared" si="41"/>
        <v>2.0036505948606552E-4</v>
      </c>
      <c r="X372" s="35"/>
      <c r="Y372" s="49">
        <v>102943.29010337559</v>
      </c>
    </row>
    <row r="373" spans="1:25" x14ac:dyDescent="0.35">
      <c r="A373" s="35"/>
      <c r="B373" s="47" t="s">
        <v>351</v>
      </c>
      <c r="C373" s="46">
        <v>351</v>
      </c>
      <c r="D373" s="40">
        <v>0.14111296748489899</v>
      </c>
      <c r="E373" s="41">
        <v>2.00488369104228E-2</v>
      </c>
      <c r="F373" s="41">
        <v>0.176217911300976</v>
      </c>
      <c r="G373" s="48">
        <v>0.24599733965769599</v>
      </c>
      <c r="H373" s="35"/>
      <c r="I373" s="40">
        <f t="shared" si="36"/>
        <v>-1.9222632276270524E-2</v>
      </c>
      <c r="J373" s="41">
        <f t="shared" si="36"/>
        <v>-1.2699427832906778E-2</v>
      </c>
      <c r="K373" s="41">
        <f t="shared" si="36"/>
        <v>-4.3213735971643907E-3</v>
      </c>
      <c r="L373" s="48">
        <f t="shared" si="34"/>
        <v>-3.4615210097682314E-2</v>
      </c>
      <c r="M373" s="35"/>
      <c r="N373" s="40">
        <f t="shared" si="37"/>
        <v>63.398492599999997</v>
      </c>
      <c r="O373" s="41">
        <f t="shared" si="38"/>
        <v>-0.64511576817073957</v>
      </c>
      <c r="P373" s="41">
        <f t="shared" si="38"/>
        <v>-52.159090249303276</v>
      </c>
      <c r="Q373" s="41">
        <f t="shared" si="38"/>
        <v>-0.32196445842156463</v>
      </c>
      <c r="R373" s="41">
        <f t="shared" si="35"/>
        <v>-6.1127774892203384</v>
      </c>
      <c r="S373" s="42">
        <f t="shared" si="39"/>
        <v>4.1595446348840781</v>
      </c>
      <c r="T373" s="35"/>
      <c r="U373" s="43">
        <v>7781</v>
      </c>
      <c r="V373" s="44">
        <f t="shared" si="40"/>
        <v>77810</v>
      </c>
      <c r="W373" s="140">
        <f t="shared" si="41"/>
        <v>5.8764273396657928E-5</v>
      </c>
      <c r="X373" s="35"/>
      <c r="Y373" s="49">
        <v>30191.829151763563</v>
      </c>
    </row>
    <row r="374" spans="1:25" x14ac:dyDescent="0.35">
      <c r="A374" s="35"/>
      <c r="B374" s="47" t="s">
        <v>824</v>
      </c>
      <c r="C374" s="46">
        <v>874</v>
      </c>
      <c r="D374" s="40">
        <v>0.141802388707926</v>
      </c>
      <c r="E374" s="41">
        <v>2.00868621064061E-2</v>
      </c>
      <c r="F374" s="41">
        <v>0.21405623905044999</v>
      </c>
      <c r="G374" s="48">
        <v>0.257499270349758</v>
      </c>
      <c r="H374" s="35"/>
      <c r="I374" s="40">
        <f t="shared" si="36"/>
        <v>-1.8533211053243515E-2</v>
      </c>
      <c r="J374" s="41">
        <f t="shared" si="36"/>
        <v>-1.2661402636923478E-2</v>
      </c>
      <c r="K374" s="41">
        <f t="shared" si="36"/>
        <v>3.3516954152309597E-2</v>
      </c>
      <c r="L374" s="48">
        <f t="shared" si="34"/>
        <v>-2.3113279405620302E-2</v>
      </c>
      <c r="M374" s="35"/>
      <c r="N374" s="40">
        <f t="shared" si="37"/>
        <v>63.398492599999997</v>
      </c>
      <c r="O374" s="41">
        <f t="shared" si="38"/>
        <v>-0.62197864025328409</v>
      </c>
      <c r="P374" s="41">
        <f t="shared" si="38"/>
        <v>-52.002913163600162</v>
      </c>
      <c r="Q374" s="41">
        <f t="shared" si="38"/>
        <v>2.497184691152325</v>
      </c>
      <c r="R374" s="41">
        <f t="shared" si="35"/>
        <v>-4.0816257839843582</v>
      </c>
      <c r="S374" s="42">
        <f t="shared" si="39"/>
        <v>9.1891597033145196</v>
      </c>
      <c r="T374" s="35"/>
      <c r="U374" s="43">
        <v>9210</v>
      </c>
      <c r="V374" s="44">
        <f t="shared" si="40"/>
        <v>92100</v>
      </c>
      <c r="W374" s="140">
        <f t="shared" si="41"/>
        <v>6.9556478342529184E-5</v>
      </c>
      <c r="X374" s="35"/>
      <c r="Y374" s="49">
        <v>35736.633657337421</v>
      </c>
    </row>
    <row r="375" spans="1:25" x14ac:dyDescent="0.35">
      <c r="A375" s="35"/>
      <c r="B375" s="47" t="s">
        <v>352</v>
      </c>
      <c r="C375" s="46">
        <v>479</v>
      </c>
      <c r="D375" s="40">
        <v>0.16606422703510099</v>
      </c>
      <c r="E375" s="41">
        <v>4.77869056509833E-2</v>
      </c>
      <c r="F375" s="41">
        <v>0.19400299575892599</v>
      </c>
      <c r="G375" s="48">
        <v>0.24699395577793901</v>
      </c>
      <c r="H375" s="35"/>
      <c r="I375" s="40">
        <f t="shared" si="36"/>
        <v>5.7286272739314748E-3</v>
      </c>
      <c r="J375" s="41">
        <f t="shared" si="36"/>
        <v>1.5038640907653722E-2</v>
      </c>
      <c r="K375" s="41">
        <f t="shared" si="36"/>
        <v>1.3463710860785599E-2</v>
      </c>
      <c r="L375" s="48">
        <f t="shared" si="34"/>
        <v>-3.3618593977439298E-2</v>
      </c>
      <c r="M375" s="35"/>
      <c r="N375" s="40">
        <f t="shared" si="37"/>
        <v>63.398492599999997</v>
      </c>
      <c r="O375" s="41">
        <f t="shared" si="38"/>
        <v>0.19225399161114057</v>
      </c>
      <c r="P375" s="41">
        <f t="shared" si="38"/>
        <v>61.766706236688186</v>
      </c>
      <c r="Q375" s="41">
        <f t="shared" si="38"/>
        <v>1.0031153933281345</v>
      </c>
      <c r="R375" s="41">
        <f t="shared" si="35"/>
        <v>-5.9367828161265157</v>
      </c>
      <c r="S375" s="42">
        <f t="shared" si="39"/>
        <v>120.42378540550095</v>
      </c>
      <c r="T375" s="35"/>
      <c r="U375" s="43">
        <v>100425</v>
      </c>
      <c r="V375" s="44">
        <f t="shared" si="40"/>
        <v>12093558.649347434</v>
      </c>
      <c r="W375" s="140">
        <f t="shared" si="41"/>
        <v>9.1333914253793839E-3</v>
      </c>
      <c r="X375" s="35"/>
      <c r="Y375" s="49">
        <v>4692541.5316531332</v>
      </c>
    </row>
    <row r="376" spans="1:25" x14ac:dyDescent="0.35">
      <c r="A376" s="35"/>
      <c r="B376" s="47" t="s">
        <v>353</v>
      </c>
      <c r="C376" s="46">
        <v>297</v>
      </c>
      <c r="D376" s="40">
        <v>0.14990588101078101</v>
      </c>
      <c r="E376" s="41">
        <v>2.3900519080485998E-2</v>
      </c>
      <c r="F376" s="41">
        <v>0.21882359479225699</v>
      </c>
      <c r="G376" s="48">
        <v>0.25113606859338999</v>
      </c>
      <c r="H376" s="35"/>
      <c r="I376" s="40">
        <f t="shared" si="36"/>
        <v>-1.0429718750388506E-2</v>
      </c>
      <c r="J376" s="41">
        <f t="shared" si="36"/>
        <v>-8.8477456628435792E-3</v>
      </c>
      <c r="K376" s="41">
        <f t="shared" si="36"/>
        <v>3.8284309894116603E-2</v>
      </c>
      <c r="L376" s="48">
        <f t="shared" si="34"/>
        <v>-2.947648116198831E-2</v>
      </c>
      <c r="M376" s="35"/>
      <c r="N376" s="40">
        <f t="shared" si="37"/>
        <v>63.398492599999997</v>
      </c>
      <c r="O376" s="41">
        <f t="shared" si="38"/>
        <v>-0.35002365580116335</v>
      </c>
      <c r="P376" s="41">
        <f t="shared" si="38"/>
        <v>-36.339461163386062</v>
      </c>
      <c r="Q376" s="41">
        <f t="shared" si="38"/>
        <v>2.8523771027783451</v>
      </c>
      <c r="R376" s="41">
        <f t="shared" si="35"/>
        <v>-5.205317835713319</v>
      </c>
      <c r="S376" s="42">
        <f t="shared" si="39"/>
        <v>24.356067047877794</v>
      </c>
      <c r="T376" s="35"/>
      <c r="U376" s="43">
        <v>17531</v>
      </c>
      <c r="V376" s="44">
        <f t="shared" si="40"/>
        <v>426986.21141634561</v>
      </c>
      <c r="W376" s="140">
        <f t="shared" si="41"/>
        <v>3.2247184763235212E-4</v>
      </c>
      <c r="X376" s="35"/>
      <c r="Y376" s="49">
        <v>165679.15107622551</v>
      </c>
    </row>
    <row r="377" spans="1:25" x14ac:dyDescent="0.35">
      <c r="A377" s="35"/>
      <c r="B377" s="47" t="s">
        <v>354</v>
      </c>
      <c r="C377" s="46">
        <v>473</v>
      </c>
      <c r="D377" s="40">
        <v>0.188425433078486</v>
      </c>
      <c r="E377" s="41">
        <v>4.6936997967676398E-2</v>
      </c>
      <c r="F377" s="41">
        <v>0.18505136974504899</v>
      </c>
      <c r="G377" s="48">
        <v>0.24479759567397699</v>
      </c>
      <c r="H377" s="35"/>
      <c r="I377" s="40">
        <f t="shared" si="36"/>
        <v>2.8089833317316487E-2</v>
      </c>
      <c r="J377" s="41">
        <f t="shared" si="36"/>
        <v>1.4188733224346821E-2</v>
      </c>
      <c r="K377" s="41">
        <f t="shared" si="36"/>
        <v>4.5120848469085983E-3</v>
      </c>
      <c r="L377" s="48">
        <f t="shared" si="34"/>
        <v>-3.5814954081401312E-2</v>
      </c>
      <c r="M377" s="35"/>
      <c r="N377" s="40">
        <f t="shared" si="37"/>
        <v>63.398492599999997</v>
      </c>
      <c r="O377" s="41">
        <f t="shared" si="38"/>
        <v>0.9427009858924712</v>
      </c>
      <c r="P377" s="41">
        <f t="shared" si="38"/>
        <v>58.275965382811933</v>
      </c>
      <c r="Q377" s="41">
        <f t="shared" si="38"/>
        <v>0.33617342296910679</v>
      </c>
      <c r="R377" s="41">
        <f t="shared" si="35"/>
        <v>-6.3246429667318003</v>
      </c>
      <c r="S377" s="42">
        <f t="shared" si="39"/>
        <v>116.62868942494171</v>
      </c>
      <c r="T377" s="35"/>
      <c r="U377" s="43">
        <v>10333</v>
      </c>
      <c r="V377" s="44">
        <f t="shared" si="40"/>
        <v>1205124.2478279227</v>
      </c>
      <c r="W377" s="140">
        <f t="shared" si="41"/>
        <v>9.1014330775352522E-4</v>
      </c>
      <c r="X377" s="35"/>
      <c r="Y377" s="49">
        <v>467612.20147883589</v>
      </c>
    </row>
    <row r="378" spans="1:25" x14ac:dyDescent="0.35">
      <c r="A378" s="35"/>
      <c r="B378" s="47" t="s">
        <v>821</v>
      </c>
      <c r="C378" s="46">
        <v>707</v>
      </c>
      <c r="D378" s="40">
        <v>0.12567489948305599</v>
      </c>
      <c r="E378" s="41">
        <v>1.52785755313038E-2</v>
      </c>
      <c r="F378" s="41">
        <v>0.197969525492421</v>
      </c>
      <c r="G378" s="48">
        <v>0.24810365383084601</v>
      </c>
      <c r="H378" s="35"/>
      <c r="I378" s="40">
        <f t="shared" si="36"/>
        <v>-3.4660700278113521E-2</v>
      </c>
      <c r="J378" s="41">
        <f t="shared" si="36"/>
        <v>-1.7469689212025775E-2</v>
      </c>
      <c r="K378" s="41">
        <f t="shared" si="36"/>
        <v>1.743024059428061E-2</v>
      </c>
      <c r="L378" s="48">
        <f t="shared" si="34"/>
        <v>-3.2508895924532294E-2</v>
      </c>
      <c r="M378" s="35"/>
      <c r="N378" s="40">
        <f t="shared" si="37"/>
        <v>63.398492599999997</v>
      </c>
      <c r="O378" s="41">
        <f t="shared" si="38"/>
        <v>-1.1632207266875509</v>
      </c>
      <c r="P378" s="41">
        <f t="shared" si="38"/>
        <v>-71.751507881026058</v>
      </c>
      <c r="Q378" s="41">
        <f t="shared" si="38"/>
        <v>1.2986421671057482</v>
      </c>
      <c r="R378" s="41">
        <f t="shared" si="35"/>
        <v>-5.7408187512400293</v>
      </c>
      <c r="S378" s="42">
        <f t="shared" si="39"/>
        <v>-13.958412591847889</v>
      </c>
      <c r="T378" s="35"/>
      <c r="U378" s="43">
        <v>8705</v>
      </c>
      <c r="V378" s="44">
        <f t="shared" si="40"/>
        <v>87050</v>
      </c>
      <c r="W378" s="140">
        <f t="shared" si="41"/>
        <v>6.5742578064247181E-5</v>
      </c>
      <c r="X378" s="35"/>
      <c r="Y378" s="49">
        <v>33777.133114779834</v>
      </c>
    </row>
    <row r="379" spans="1:25" x14ac:dyDescent="0.35">
      <c r="A379" s="35"/>
      <c r="B379" s="47" t="s">
        <v>355</v>
      </c>
      <c r="C379" s="46">
        <v>50</v>
      </c>
      <c r="D379" s="40">
        <v>0.13482137130395699</v>
      </c>
      <c r="E379" s="41">
        <v>2.33468026425502E-2</v>
      </c>
      <c r="F379" s="41">
        <v>0.12429432373225401</v>
      </c>
      <c r="G379" s="48">
        <v>0.251840540702718</v>
      </c>
      <c r="H379" s="35"/>
      <c r="I379" s="40">
        <f t="shared" si="36"/>
        <v>-2.5514228457212518E-2</v>
      </c>
      <c r="J379" s="41">
        <f t="shared" si="36"/>
        <v>-9.4014621007793772E-3</v>
      </c>
      <c r="K379" s="41">
        <f t="shared" si="36"/>
        <v>-5.6244961165886384E-2</v>
      </c>
      <c r="L379" s="48">
        <f t="shared" si="34"/>
        <v>-2.8772009052660308E-2</v>
      </c>
      <c r="M379" s="35"/>
      <c r="N379" s="40">
        <f t="shared" si="37"/>
        <v>63.398492599999997</v>
      </c>
      <c r="O379" s="41">
        <f t="shared" si="38"/>
        <v>-0.85626312015431272</v>
      </c>
      <c r="P379" s="41">
        <f t="shared" si="38"/>
        <v>-38.6136853283503</v>
      </c>
      <c r="Q379" s="41">
        <f t="shared" si="38"/>
        <v>-4.1905375810597052</v>
      </c>
      <c r="R379" s="41">
        <f t="shared" si="35"/>
        <v>-5.0809135279095621</v>
      </c>
      <c r="S379" s="42">
        <f t="shared" si="39"/>
        <v>14.657093042526121</v>
      </c>
      <c r="T379" s="35"/>
      <c r="U379" s="43">
        <v>15591</v>
      </c>
      <c r="V379" s="44">
        <f t="shared" si="40"/>
        <v>228518.73762602475</v>
      </c>
      <c r="W379" s="140">
        <f t="shared" si="41"/>
        <v>1.7258369842070248E-4</v>
      </c>
      <c r="X379" s="35"/>
      <c r="Y379" s="49">
        <v>88669.819873816014</v>
      </c>
    </row>
    <row r="380" spans="1:25" x14ac:dyDescent="0.35">
      <c r="A380" s="35"/>
      <c r="B380" s="47" t="s">
        <v>356</v>
      </c>
      <c r="C380" s="46">
        <v>355</v>
      </c>
      <c r="D380" s="40">
        <v>0.18991120833869499</v>
      </c>
      <c r="E380" s="41">
        <v>4.3778149530304997E-2</v>
      </c>
      <c r="F380" s="41">
        <v>0.13462550472712601</v>
      </c>
      <c r="G380" s="48">
        <v>0.23607618033083999</v>
      </c>
      <c r="H380" s="35"/>
      <c r="I380" s="40">
        <f t="shared" si="36"/>
        <v>2.9575608577525475E-2</v>
      </c>
      <c r="J380" s="41">
        <f t="shared" si="36"/>
        <v>1.1029884786975419E-2</v>
      </c>
      <c r="K380" s="41">
        <f t="shared" si="36"/>
        <v>-4.5913780171014384E-2</v>
      </c>
      <c r="L380" s="48">
        <f t="shared" si="34"/>
        <v>-4.4536369424538313E-2</v>
      </c>
      <c r="M380" s="35"/>
      <c r="N380" s="40">
        <f t="shared" si="37"/>
        <v>63.398492599999997</v>
      </c>
      <c r="O380" s="41">
        <f t="shared" si="38"/>
        <v>0.99256393049564207</v>
      </c>
      <c r="P380" s="41">
        <f t="shared" si="38"/>
        <v>45.301943017663142</v>
      </c>
      <c r="Q380" s="41">
        <f t="shared" si="38"/>
        <v>-3.4208117012950474</v>
      </c>
      <c r="R380" s="41">
        <f t="shared" si="35"/>
        <v>-7.8647772381467318</v>
      </c>
      <c r="S380" s="42">
        <f t="shared" si="39"/>
        <v>98.407410608717001</v>
      </c>
      <c r="T380" s="35"/>
      <c r="U380" s="43">
        <v>38855</v>
      </c>
      <c r="V380" s="44">
        <f t="shared" si="40"/>
        <v>3823619.9392016991</v>
      </c>
      <c r="W380" s="140">
        <f t="shared" si="41"/>
        <v>2.8877039901318755E-3</v>
      </c>
      <c r="X380" s="35"/>
      <c r="Y380" s="49">
        <v>1483640.6624553953</v>
      </c>
    </row>
    <row r="381" spans="1:25" x14ac:dyDescent="0.35">
      <c r="A381" s="35"/>
      <c r="B381" s="47" t="s">
        <v>357</v>
      </c>
      <c r="C381" s="46">
        <v>299</v>
      </c>
      <c r="D381" s="40">
        <v>0.16643070044709399</v>
      </c>
      <c r="E381" s="41">
        <v>4.11326378539493E-2</v>
      </c>
      <c r="F381" s="41">
        <v>0.18662083331913901</v>
      </c>
      <c r="G381" s="48">
        <v>0.27939578542131599</v>
      </c>
      <c r="H381" s="35"/>
      <c r="I381" s="40">
        <f t="shared" si="36"/>
        <v>6.0951006859244761E-3</v>
      </c>
      <c r="J381" s="41">
        <f t="shared" si="36"/>
        <v>8.3843731106197222E-3</v>
      </c>
      <c r="K381" s="41">
        <f t="shared" si="36"/>
        <v>6.081548420998617E-3</v>
      </c>
      <c r="L381" s="48">
        <f t="shared" si="34"/>
        <v>-1.2167643340623147E-3</v>
      </c>
      <c r="M381" s="35"/>
      <c r="N381" s="40">
        <f t="shared" si="37"/>
        <v>63.398492599999997</v>
      </c>
      <c r="O381" s="41">
        <f t="shared" si="38"/>
        <v>0.20455291994177632</v>
      </c>
      <c r="P381" s="41">
        <f t="shared" si="38"/>
        <v>34.436297407624785</v>
      </c>
      <c r="Q381" s="41">
        <f t="shared" si="38"/>
        <v>0.45310649489231253</v>
      </c>
      <c r="R381" s="41">
        <f t="shared" si="35"/>
        <v>-0.21487113930417245</v>
      </c>
      <c r="S381" s="42">
        <f t="shared" si="39"/>
        <v>98.277578283154696</v>
      </c>
      <c r="T381" s="35"/>
      <c r="U381" s="43">
        <v>26840</v>
      </c>
      <c r="V381" s="44">
        <f t="shared" si="40"/>
        <v>2637770.2011198723</v>
      </c>
      <c r="W381" s="140">
        <f t="shared" si="41"/>
        <v>1.9921173275435746E-3</v>
      </c>
      <c r="X381" s="35"/>
      <c r="Y381" s="49">
        <v>1023507.3545023031</v>
      </c>
    </row>
    <row r="382" spans="1:25" x14ac:dyDescent="0.35">
      <c r="A382" s="35"/>
      <c r="B382" s="47" t="s">
        <v>358</v>
      </c>
      <c r="C382" s="46">
        <v>637</v>
      </c>
      <c r="D382" s="40">
        <v>0.166806994423497</v>
      </c>
      <c r="E382" s="41">
        <v>4.6405779063098701E-2</v>
      </c>
      <c r="F382" s="41">
        <v>0.15230530719302199</v>
      </c>
      <c r="G382" s="48">
        <v>0.25393197293904601</v>
      </c>
      <c r="H382" s="35"/>
      <c r="I382" s="40">
        <f t="shared" si="36"/>
        <v>6.4713946623274898E-3</v>
      </c>
      <c r="J382" s="41">
        <f t="shared" si="36"/>
        <v>1.3657514319769123E-2</v>
      </c>
      <c r="K382" s="41">
        <f t="shared" si="36"/>
        <v>-2.8233977705118402E-2</v>
      </c>
      <c r="L382" s="48">
        <f t="shared" si="34"/>
        <v>-2.6680576816332291E-2</v>
      </c>
      <c r="M382" s="35"/>
      <c r="N382" s="40">
        <f t="shared" si="37"/>
        <v>63.398492599999997</v>
      </c>
      <c r="O382" s="41">
        <f t="shared" si="38"/>
        <v>0.21718142857453629</v>
      </c>
      <c r="P382" s="41">
        <f t="shared" si="38"/>
        <v>56.09414308730603</v>
      </c>
      <c r="Q382" s="41">
        <f t="shared" si="38"/>
        <v>-2.1035758969971714</v>
      </c>
      <c r="R382" s="41">
        <f t="shared" si="35"/>
        <v>-4.7115828244881879</v>
      </c>
      <c r="S382" s="42">
        <f t="shared" si="39"/>
        <v>112.89465839439519</v>
      </c>
      <c r="T382" s="35"/>
      <c r="U382" s="43">
        <v>81951</v>
      </c>
      <c r="V382" s="44">
        <f t="shared" si="40"/>
        <v>9251830.1500790808</v>
      </c>
      <c r="W382" s="140">
        <f t="shared" si="41"/>
        <v>6.9872391255454292E-3</v>
      </c>
      <c r="X382" s="35"/>
      <c r="Y382" s="49">
        <v>3589894.2967783404</v>
      </c>
    </row>
    <row r="383" spans="1:25" x14ac:dyDescent="0.35">
      <c r="A383" s="35"/>
      <c r="B383" s="47" t="s">
        <v>359</v>
      </c>
      <c r="C383" s="46">
        <v>638</v>
      </c>
      <c r="D383" s="40">
        <v>0.152037037037037</v>
      </c>
      <c r="E383" s="41">
        <v>1.38888888888889E-2</v>
      </c>
      <c r="F383" s="41">
        <v>0.18106006312700901</v>
      </c>
      <c r="G383" s="48">
        <v>0.25085080153782102</v>
      </c>
      <c r="H383" s="35"/>
      <c r="I383" s="40">
        <f t="shared" si="36"/>
        <v>-8.2985627241325133E-3</v>
      </c>
      <c r="J383" s="41">
        <f t="shared" si="36"/>
        <v>-1.8859375854440676E-2</v>
      </c>
      <c r="K383" s="41">
        <f t="shared" si="36"/>
        <v>5.2077822886861802E-4</v>
      </c>
      <c r="L383" s="48">
        <f t="shared" si="34"/>
        <v>-2.9761748217557282E-2</v>
      </c>
      <c r="M383" s="35"/>
      <c r="N383" s="40">
        <f t="shared" si="37"/>
        <v>63.398492599999997</v>
      </c>
      <c r="O383" s="41">
        <f t="shared" si="38"/>
        <v>-0.27850159070568647</v>
      </c>
      <c r="P383" s="41">
        <f t="shared" si="38"/>
        <v>-77.459228886546271</v>
      </c>
      <c r="Q383" s="41">
        <f t="shared" si="38"/>
        <v>3.880064443524385E-2</v>
      </c>
      <c r="R383" s="41">
        <f t="shared" si="35"/>
        <v>-5.255693784054448</v>
      </c>
      <c r="S383" s="42">
        <f t="shared" si="39"/>
        <v>-19.556131016871166</v>
      </c>
      <c r="T383" s="35"/>
      <c r="U383" s="43">
        <v>5400</v>
      </c>
      <c r="V383" s="44">
        <f t="shared" si="40"/>
        <v>54000</v>
      </c>
      <c r="W383" s="140">
        <f t="shared" si="41"/>
        <v>4.0782300005391701E-5</v>
      </c>
      <c r="X383" s="35"/>
      <c r="Y383" s="49">
        <v>20953.075108536599</v>
      </c>
    </row>
    <row r="384" spans="1:25" x14ac:dyDescent="0.35">
      <c r="A384" s="35"/>
      <c r="B384" s="47" t="s">
        <v>803</v>
      </c>
      <c r="C384" s="46">
        <v>56</v>
      </c>
      <c r="D384" s="40">
        <v>0.138946638946639</v>
      </c>
      <c r="E384" s="41">
        <v>2.6074151074151099E-2</v>
      </c>
      <c r="F384" s="41">
        <v>0.125418362679769</v>
      </c>
      <c r="G384" s="48">
        <v>0.34193711352767803</v>
      </c>
      <c r="H384" s="35"/>
      <c r="I384" s="40">
        <f t="shared" si="36"/>
        <v>-2.1388960814530511E-2</v>
      </c>
      <c r="J384" s="41">
        <f t="shared" si="36"/>
        <v>-6.6741136691784789E-3</v>
      </c>
      <c r="K384" s="41">
        <f t="shared" si="36"/>
        <v>-5.5120922218371393E-2</v>
      </c>
      <c r="L384" s="48">
        <f t="shared" si="34"/>
        <v>6.1324563772299723E-2</v>
      </c>
      <c r="M384" s="35"/>
      <c r="N384" s="40">
        <f t="shared" si="37"/>
        <v>63.398492599999997</v>
      </c>
      <c r="O384" s="41">
        <f t="shared" si="38"/>
        <v>-0.7178182305070232</v>
      </c>
      <c r="P384" s="41">
        <f t="shared" si="38"/>
        <v>-27.411919795532125</v>
      </c>
      <c r="Q384" s="41">
        <f t="shared" si="38"/>
        <v>-4.1067909243904275</v>
      </c>
      <c r="R384" s="41">
        <f t="shared" si="35"/>
        <v>10.829442083573259</v>
      </c>
      <c r="S384" s="42">
        <f t="shared" si="39"/>
        <v>41.991405733143679</v>
      </c>
      <c r="T384" s="35"/>
      <c r="U384" s="43">
        <v>11544</v>
      </c>
      <c r="V384" s="44">
        <f t="shared" si="40"/>
        <v>484748.78778341063</v>
      </c>
      <c r="W384" s="140">
        <f t="shared" si="41"/>
        <v>3.6609574982653716E-4</v>
      </c>
      <c r="X384" s="35"/>
      <c r="Y384" s="49">
        <v>188092.18072588649</v>
      </c>
    </row>
    <row r="385" spans="1:25" x14ac:dyDescent="0.35">
      <c r="A385" s="35"/>
      <c r="B385" s="47" t="s">
        <v>360</v>
      </c>
      <c r="C385" s="46">
        <v>1892</v>
      </c>
      <c r="D385" s="40">
        <v>0.13965542959427199</v>
      </c>
      <c r="E385" s="41">
        <v>2.47986276849642E-2</v>
      </c>
      <c r="F385" s="41">
        <v>0.15893365812159299</v>
      </c>
      <c r="G385" s="48">
        <v>0.25752892725714399</v>
      </c>
      <c r="H385" s="35"/>
      <c r="I385" s="40">
        <f t="shared" si="36"/>
        <v>-2.0680170166897521E-2</v>
      </c>
      <c r="J385" s="41">
        <f t="shared" si="36"/>
        <v>-7.9496370583653775E-3</v>
      </c>
      <c r="K385" s="41">
        <f t="shared" si="36"/>
        <v>-2.1605626776547399E-2</v>
      </c>
      <c r="L385" s="48">
        <f t="shared" si="34"/>
        <v>-2.3083622498234313E-2</v>
      </c>
      <c r="M385" s="35"/>
      <c r="N385" s="40">
        <f t="shared" si="37"/>
        <v>63.398492599999997</v>
      </c>
      <c r="O385" s="41">
        <f t="shared" si="38"/>
        <v>-0.69403106043851759</v>
      </c>
      <c r="P385" s="41">
        <f t="shared" si="38"/>
        <v>-32.650749485111021</v>
      </c>
      <c r="Q385" s="41">
        <f t="shared" si="38"/>
        <v>-1.6097298156618773</v>
      </c>
      <c r="R385" s="41">
        <f t="shared" si="35"/>
        <v>-4.0763886042775939</v>
      </c>
      <c r="S385" s="42">
        <f t="shared" si="39"/>
        <v>24.367593634510985</v>
      </c>
      <c r="T385" s="35"/>
      <c r="U385" s="43">
        <v>26816</v>
      </c>
      <c r="V385" s="44">
        <f t="shared" si="40"/>
        <v>653441.39090304659</v>
      </c>
      <c r="W385" s="140">
        <f t="shared" si="41"/>
        <v>4.934970896249718E-4</v>
      </c>
      <c r="X385" s="35"/>
      <c r="Y385" s="49">
        <v>253548.26930774367</v>
      </c>
    </row>
    <row r="386" spans="1:25" x14ac:dyDescent="0.35">
      <c r="A386" s="35"/>
      <c r="B386" s="47" t="s">
        <v>361</v>
      </c>
      <c r="C386" s="46">
        <v>879</v>
      </c>
      <c r="D386" s="40">
        <v>0.159893310872464</v>
      </c>
      <c r="E386" s="41">
        <v>1.9161928827121501E-2</v>
      </c>
      <c r="F386" s="41">
        <v>0.23118076520216399</v>
      </c>
      <c r="G386" s="48">
        <v>0.26499817969499401</v>
      </c>
      <c r="H386" s="35"/>
      <c r="I386" s="40">
        <f t="shared" si="36"/>
        <v>-4.4228888870551097E-4</v>
      </c>
      <c r="J386" s="41">
        <f t="shared" si="36"/>
        <v>-1.3586335916208076E-2</v>
      </c>
      <c r="K386" s="41">
        <f t="shared" si="36"/>
        <v>5.0641480304023601E-2</v>
      </c>
      <c r="L386" s="48">
        <f t="shared" si="34"/>
        <v>-1.5614370060384297E-2</v>
      </c>
      <c r="M386" s="35"/>
      <c r="N386" s="40">
        <f t="shared" si="37"/>
        <v>63.398492599999997</v>
      </c>
      <c r="O386" s="41">
        <f t="shared" si="38"/>
        <v>-1.4843312408512464E-2</v>
      </c>
      <c r="P386" s="41">
        <f t="shared" si="38"/>
        <v>-55.801799146776531</v>
      </c>
      <c r="Q386" s="41">
        <f t="shared" si="38"/>
        <v>3.7730495670289153</v>
      </c>
      <c r="R386" s="41">
        <f t="shared" si="35"/>
        <v>-2.7573765851521985</v>
      </c>
      <c r="S386" s="42">
        <f t="shared" si="39"/>
        <v>8.5975231226916655</v>
      </c>
      <c r="T386" s="35"/>
      <c r="U386" s="43">
        <v>14247</v>
      </c>
      <c r="V386" s="44">
        <f t="shared" si="40"/>
        <v>142470</v>
      </c>
      <c r="W386" s="140">
        <f t="shared" si="41"/>
        <v>1.0759730151422511E-4</v>
      </c>
      <c r="X386" s="35"/>
      <c r="Y386" s="49">
        <v>55281.196494689058</v>
      </c>
    </row>
    <row r="387" spans="1:25" x14ac:dyDescent="0.35">
      <c r="A387" s="35"/>
      <c r="B387" s="47" t="s">
        <v>362</v>
      </c>
      <c r="C387" s="46">
        <v>301</v>
      </c>
      <c r="D387" s="40">
        <v>0.214912135552834</v>
      </c>
      <c r="E387" s="41">
        <v>6.4036800476552899E-2</v>
      </c>
      <c r="F387" s="41">
        <v>0.16647919840084299</v>
      </c>
      <c r="G387" s="48">
        <v>0.27506421508255402</v>
      </c>
      <c r="H387" s="35"/>
      <c r="I387" s="40">
        <f t="shared" si="36"/>
        <v>5.4576535791664493E-2</v>
      </c>
      <c r="J387" s="41">
        <f t="shared" si="36"/>
        <v>3.1288535733223322E-2</v>
      </c>
      <c r="K387" s="41">
        <f t="shared" si="36"/>
        <v>-1.4060086497297397E-2</v>
      </c>
      <c r="L387" s="48">
        <f t="shared" si="34"/>
        <v>-5.5483346728242844E-3</v>
      </c>
      <c r="M387" s="35"/>
      <c r="N387" s="40">
        <f t="shared" si="37"/>
        <v>63.398492599999997</v>
      </c>
      <c r="O387" s="41">
        <f t="shared" si="38"/>
        <v>1.8316005480061346</v>
      </c>
      <c r="P387" s="41">
        <f t="shared" si="38"/>
        <v>128.50827458926554</v>
      </c>
      <c r="Q387" s="41">
        <f t="shared" si="38"/>
        <v>-1.0475484316915222</v>
      </c>
      <c r="R387" s="41">
        <f t="shared" si="35"/>
        <v>-0.97979284814370748</v>
      </c>
      <c r="S387" s="42">
        <f t="shared" si="39"/>
        <v>191.71102645743645</v>
      </c>
      <c r="T387" s="35"/>
      <c r="U387" s="43">
        <v>30217</v>
      </c>
      <c r="V387" s="44">
        <f t="shared" si="40"/>
        <v>5792932.0864643576</v>
      </c>
      <c r="W387" s="140">
        <f t="shared" si="41"/>
        <v>4.3749832270564655E-3</v>
      </c>
      <c r="X387" s="35"/>
      <c r="Y387" s="49">
        <v>2247772.983450728</v>
      </c>
    </row>
    <row r="388" spans="1:25" x14ac:dyDescent="0.35">
      <c r="A388" s="35"/>
      <c r="B388" s="47" t="s">
        <v>363</v>
      </c>
      <c r="C388" s="46">
        <v>1896</v>
      </c>
      <c r="D388" s="40">
        <v>0.141325327042676</v>
      </c>
      <c r="E388" s="41">
        <v>1.8943455572235299E-2</v>
      </c>
      <c r="F388" s="41">
        <v>0.25374720371616</v>
      </c>
      <c r="G388" s="48">
        <v>0.28093574210210598</v>
      </c>
      <c r="H388" s="35"/>
      <c r="I388" s="40">
        <f t="shared" si="36"/>
        <v>-1.9010272718493509E-2</v>
      </c>
      <c r="J388" s="41">
        <f t="shared" si="36"/>
        <v>-1.3804809171094279E-2</v>
      </c>
      <c r="K388" s="41">
        <f t="shared" si="36"/>
        <v>7.3207918818019607E-2</v>
      </c>
      <c r="L388" s="48">
        <f t="shared" si="34"/>
        <v>3.2319234672767427E-4</v>
      </c>
      <c r="M388" s="35"/>
      <c r="N388" s="40">
        <f t="shared" si="37"/>
        <v>63.398492599999997</v>
      </c>
      <c r="O388" s="41">
        <f t="shared" si="38"/>
        <v>-0.63798893469264029</v>
      </c>
      <c r="P388" s="41">
        <f t="shared" si="38"/>
        <v>-56.699112503614607</v>
      </c>
      <c r="Q388" s="41">
        <f t="shared" si="38"/>
        <v>5.4543647764868091</v>
      </c>
      <c r="R388" s="41">
        <f t="shared" si="35"/>
        <v>5.7073260459496671E-2</v>
      </c>
      <c r="S388" s="42">
        <f t="shared" si="39"/>
        <v>11.572829198639052</v>
      </c>
      <c r="T388" s="35"/>
      <c r="U388" s="43">
        <v>13989</v>
      </c>
      <c r="V388" s="44">
        <f t="shared" si="40"/>
        <v>161892.30765976169</v>
      </c>
      <c r="W388" s="140">
        <f t="shared" si="41"/>
        <v>1.2226556776936249E-4</v>
      </c>
      <c r="X388" s="35"/>
      <c r="Y388" s="49">
        <v>62817.438553505577</v>
      </c>
    </row>
    <row r="389" spans="1:25" x14ac:dyDescent="0.35">
      <c r="A389" s="35"/>
      <c r="B389" s="47" t="s">
        <v>364</v>
      </c>
      <c r="C389" s="46">
        <v>642</v>
      </c>
      <c r="D389" s="40">
        <v>0.17615522083227</v>
      </c>
      <c r="E389" s="41">
        <v>4.6245304350997503E-2</v>
      </c>
      <c r="F389" s="41">
        <v>0.19692424728403299</v>
      </c>
      <c r="G389" s="48">
        <v>0.269160950793078</v>
      </c>
      <c r="H389" s="35"/>
      <c r="I389" s="40">
        <f t="shared" si="36"/>
        <v>1.5819621071100493E-2</v>
      </c>
      <c r="J389" s="41">
        <f t="shared" si="36"/>
        <v>1.3497039607667925E-2</v>
      </c>
      <c r="K389" s="41">
        <f t="shared" si="36"/>
        <v>1.6384962385892599E-2</v>
      </c>
      <c r="L389" s="48">
        <f t="shared" si="34"/>
        <v>-1.1451598962300302E-2</v>
      </c>
      <c r="M389" s="35"/>
      <c r="N389" s="40">
        <f t="shared" si="37"/>
        <v>63.398492599999997</v>
      </c>
      <c r="O389" s="41">
        <f t="shared" si="38"/>
        <v>0.5309099634627682</v>
      </c>
      <c r="P389" s="41">
        <f t="shared" si="38"/>
        <v>55.435041346554499</v>
      </c>
      <c r="Q389" s="41">
        <f t="shared" si="38"/>
        <v>1.2207635887564146</v>
      </c>
      <c r="R389" s="41">
        <f t="shared" si="35"/>
        <v>-2.0222635123342858</v>
      </c>
      <c r="S389" s="42">
        <f t="shared" si="39"/>
        <v>118.56294398643938</v>
      </c>
      <c r="T389" s="35"/>
      <c r="U389" s="43">
        <v>27419</v>
      </c>
      <c r="V389" s="44">
        <f t="shared" si="40"/>
        <v>3250877.3611641815</v>
      </c>
      <c r="W389" s="140">
        <f t="shared" si="41"/>
        <v>2.4551528856246994E-3</v>
      </c>
      <c r="X389" s="35"/>
      <c r="Y389" s="49">
        <v>1261405.1392058213</v>
      </c>
    </row>
    <row r="390" spans="1:25" x14ac:dyDescent="0.35">
      <c r="A390" s="35"/>
      <c r="B390" s="47" t="s">
        <v>365</v>
      </c>
      <c r="C390" s="46">
        <v>193</v>
      </c>
      <c r="D390" s="50">
        <v>0.16142812820696401</v>
      </c>
      <c r="E390" s="51">
        <v>5.1192095654041703E-2</v>
      </c>
      <c r="F390" s="51">
        <v>0.11375511924588801</v>
      </c>
      <c r="G390" s="52">
        <v>0.27071291447887103</v>
      </c>
      <c r="H390" s="35"/>
      <c r="I390" s="50">
        <f t="shared" si="36"/>
        <v>1.0925284457944939E-3</v>
      </c>
      <c r="J390" s="51">
        <f t="shared" si="36"/>
        <v>1.8443830910712125E-2</v>
      </c>
      <c r="K390" s="51">
        <f t="shared" si="36"/>
        <v>-6.6784165652252384E-2</v>
      </c>
      <c r="L390" s="52">
        <f t="shared" si="34"/>
        <v>-9.8996352765072793E-3</v>
      </c>
      <c r="M390" s="35"/>
      <c r="N390" s="50">
        <f t="shared" si="37"/>
        <v>63.398492599999997</v>
      </c>
      <c r="O390" s="51">
        <f t="shared" si="38"/>
        <v>3.6665494997121295E-2</v>
      </c>
      <c r="P390" s="51">
        <f t="shared" si="38"/>
        <v>75.752502685353463</v>
      </c>
      <c r="Q390" s="51">
        <f t="shared" si="38"/>
        <v>-4.9757622760209426</v>
      </c>
      <c r="R390" s="51">
        <f t="shared" si="35"/>
        <v>-1.7481987686614398</v>
      </c>
      <c r="S390" s="53">
        <f t="shared" si="39"/>
        <v>132.46369973566823</v>
      </c>
      <c r="T390" s="35"/>
      <c r="U390" s="54">
        <v>83802</v>
      </c>
      <c r="V390" s="55">
        <f t="shared" si="40"/>
        <v>11100722.965248469</v>
      </c>
      <c r="W390" s="141">
        <f t="shared" si="41"/>
        <v>8.3835743378797116E-3</v>
      </c>
      <c r="X390" s="35"/>
      <c r="Y390" s="56">
        <v>4307301.5194427455</v>
      </c>
    </row>
    <row r="391" spans="1:25" x14ac:dyDescent="0.35">
      <c r="A391" s="35"/>
      <c r="B391" s="35"/>
      <c r="D391" s="35"/>
      <c r="E391" s="35"/>
      <c r="F391" s="35"/>
      <c r="G391" s="35"/>
      <c r="H391" s="35"/>
      <c r="I391" s="35"/>
      <c r="J391" s="35"/>
      <c r="K391" s="35"/>
      <c r="L391" s="35"/>
      <c r="M391" s="35"/>
      <c r="N391" s="35"/>
      <c r="O391" s="35"/>
      <c r="P391" s="35"/>
      <c r="Q391" s="35"/>
      <c r="R391" s="35"/>
      <c r="S391" s="35"/>
      <c r="T391" s="35"/>
      <c r="U391" s="35"/>
      <c r="V391" s="35"/>
      <c r="W391" s="137"/>
      <c r="X391" s="35"/>
      <c r="Y391" s="35"/>
    </row>
    <row r="392" spans="1:25" x14ac:dyDescent="0.35">
      <c r="A392" s="35"/>
    </row>
    <row r="393" spans="1:25" x14ac:dyDescent="0.35">
      <c r="A393" s="35"/>
    </row>
    <row r="394" spans="1:25" x14ac:dyDescent="0.35">
      <c r="A394" s="35"/>
      <c r="B394" s="35"/>
      <c r="D394" s="35"/>
      <c r="E394" s="35"/>
      <c r="F394" s="35"/>
      <c r="G394" s="35"/>
      <c r="H394" s="35"/>
      <c r="I394" s="35"/>
      <c r="J394" s="35"/>
      <c r="K394" s="35"/>
      <c r="L394" s="35"/>
      <c r="M394" s="35"/>
      <c r="N394" s="35"/>
      <c r="O394" s="35"/>
      <c r="P394" s="35"/>
      <c r="Q394" s="35"/>
      <c r="R394" s="35"/>
      <c r="S394" s="35"/>
      <c r="T394" s="35"/>
      <c r="U394" s="35"/>
      <c r="V394" s="35"/>
      <c r="W394" s="137"/>
      <c r="X394" s="35"/>
      <c r="Y394" s="35"/>
    </row>
    <row r="395" spans="1:25" x14ac:dyDescent="0.35">
      <c r="A395" s="35"/>
    </row>
    <row r="396" spans="1:25" x14ac:dyDescent="0.35">
      <c r="A396" s="35"/>
    </row>
    <row r="397" spans="1:25" x14ac:dyDescent="0.35">
      <c r="A397" s="35"/>
      <c r="B397" s="35"/>
      <c r="D397" s="35"/>
      <c r="E397" s="35"/>
      <c r="F397" s="35"/>
      <c r="G397" s="35"/>
      <c r="H397" s="35"/>
      <c r="I397" s="35"/>
      <c r="J397" s="35"/>
      <c r="K397" s="35"/>
      <c r="L397" s="35"/>
      <c r="M397" s="35"/>
      <c r="N397" s="35"/>
      <c r="O397" s="35"/>
      <c r="P397" s="35"/>
      <c r="Q397" s="35"/>
      <c r="R397" s="35"/>
      <c r="S397" s="35"/>
      <c r="T397" s="35"/>
      <c r="U397" s="35"/>
      <c r="V397" s="35"/>
      <c r="W397" s="137"/>
      <c r="X397" s="35"/>
      <c r="Y397" s="35"/>
    </row>
    <row r="398" spans="1:25" x14ac:dyDescent="0.35">
      <c r="A398" s="35"/>
    </row>
    <row r="399" spans="1:25" x14ac:dyDescent="0.35">
      <c r="A399" s="35"/>
    </row>
    <row r="400" spans="1:25" x14ac:dyDescent="0.35">
      <c r="A400" s="35"/>
      <c r="B400" s="35"/>
      <c r="D400" s="35"/>
      <c r="E400" s="35"/>
      <c r="F400" s="35"/>
      <c r="G400" s="35"/>
      <c r="H400" s="35"/>
      <c r="I400" s="35"/>
      <c r="J400" s="35"/>
      <c r="K400" s="35"/>
      <c r="L400" s="35"/>
      <c r="M400" s="35"/>
      <c r="N400" s="35"/>
      <c r="O400" s="35"/>
      <c r="P400" s="35"/>
      <c r="Q400" s="35"/>
      <c r="R400" s="35"/>
      <c r="S400" s="35"/>
      <c r="T400" s="35"/>
      <c r="U400" s="35"/>
      <c r="V400" s="35"/>
      <c r="W400" s="137"/>
      <c r="X400" s="35"/>
      <c r="Y400" s="35"/>
    </row>
    <row r="401" spans="1:25" x14ac:dyDescent="0.35">
      <c r="A401" s="35"/>
      <c r="B401" s="35"/>
      <c r="D401" s="35"/>
      <c r="E401" s="35"/>
      <c r="F401" s="35"/>
      <c r="G401" s="35"/>
      <c r="H401" s="35"/>
      <c r="I401" s="35"/>
      <c r="J401" s="35"/>
      <c r="K401" s="35"/>
      <c r="L401" s="35"/>
      <c r="M401" s="35"/>
      <c r="N401" s="35"/>
      <c r="O401" s="35"/>
      <c r="P401" s="35"/>
      <c r="Q401" s="35"/>
      <c r="R401" s="35"/>
      <c r="S401" s="35"/>
      <c r="T401" s="35"/>
      <c r="U401" s="35"/>
      <c r="V401" s="35"/>
      <c r="W401" s="137"/>
      <c r="X401" s="35"/>
      <c r="Y401" s="35"/>
    </row>
    <row r="402" spans="1:25" x14ac:dyDescent="0.35">
      <c r="A402" s="35"/>
    </row>
    <row r="403" spans="1:25" x14ac:dyDescent="0.35">
      <c r="A403" s="35"/>
    </row>
  </sheetData>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391A-0CF3-48ED-844A-A11836211801}">
  <sheetPr codeName="Blad8">
    <tabColor rgb="FF002060"/>
  </sheetPr>
  <dimension ref="A1:I394"/>
  <sheetViews>
    <sheetView topLeftCell="A370" workbookViewId="0">
      <selection activeCell="B395" sqref="B395"/>
    </sheetView>
  </sheetViews>
  <sheetFormatPr defaultRowHeight="14.5" x14ac:dyDescent="0.35"/>
  <cols>
    <col min="2" max="2" width="8.54296875" customWidth="1"/>
    <col min="3" max="3" width="22.90625" customWidth="1"/>
    <col min="4" max="4" width="13.08984375" customWidth="1"/>
    <col min="5" max="6" width="19.1796875" customWidth="1"/>
    <col min="7" max="9" width="9.453125" style="3" customWidth="1"/>
    <col min="10" max="10" width="9.453125" customWidth="1"/>
  </cols>
  <sheetData>
    <row r="1" spans="1:9" ht="18.5" x14ac:dyDescent="0.45">
      <c r="A1" s="283" t="s">
        <v>1036</v>
      </c>
    </row>
    <row r="2" spans="1:9" ht="18.5" x14ac:dyDescent="0.45">
      <c r="A2" s="283" t="s">
        <v>1039</v>
      </c>
      <c r="B2" t="s">
        <v>1172</v>
      </c>
    </row>
    <row r="3" spans="1:9" x14ac:dyDescent="0.35">
      <c r="B3" s="2" t="s">
        <v>1025</v>
      </c>
      <c r="C3" s="3"/>
      <c r="G3" s="284"/>
      <c r="H3" s="284"/>
    </row>
    <row r="4" spans="1:9" x14ac:dyDescent="0.35">
      <c r="B4" s="5" t="s">
        <v>6</v>
      </c>
      <c r="C4" s="3"/>
      <c r="G4" s="285"/>
      <c r="H4" s="285"/>
    </row>
    <row r="5" spans="1:9" x14ac:dyDescent="0.35">
      <c r="B5" s="88" t="s">
        <v>1026</v>
      </c>
      <c r="C5" s="3"/>
      <c r="D5" s="286" t="s">
        <v>1027</v>
      </c>
      <c r="I5" s="2" t="s">
        <v>1042</v>
      </c>
    </row>
    <row r="6" spans="1:9" x14ac:dyDescent="0.35">
      <c r="B6" s="288"/>
      <c r="C6" s="3"/>
      <c r="D6" t="s">
        <v>1028</v>
      </c>
      <c r="G6" s="287"/>
      <c r="H6" s="287"/>
    </row>
    <row r="7" spans="1:9" x14ac:dyDescent="0.35">
      <c r="B7" s="3"/>
      <c r="C7" s="3"/>
      <c r="D7" s="289" t="s">
        <v>1029</v>
      </c>
      <c r="E7" s="290" t="s">
        <v>1028</v>
      </c>
      <c r="F7" s="291" t="s">
        <v>1030</v>
      </c>
      <c r="G7" s="287"/>
      <c r="H7" s="287"/>
    </row>
    <row r="8" spans="1:9" x14ac:dyDescent="0.35">
      <c r="B8" s="292"/>
      <c r="C8" s="3"/>
      <c r="D8" s="293" t="s">
        <v>1031</v>
      </c>
      <c r="E8" s="294" t="s">
        <v>1031</v>
      </c>
      <c r="F8" s="295" t="s">
        <v>1032</v>
      </c>
      <c r="G8" s="287"/>
      <c r="H8" s="287"/>
    </row>
    <row r="9" spans="1:9" x14ac:dyDescent="0.35">
      <c r="B9" s="292"/>
      <c r="C9" s="3"/>
      <c r="D9" s="296"/>
      <c r="E9" s="294"/>
      <c r="F9" s="149"/>
      <c r="G9" s="287"/>
      <c r="H9" s="287"/>
    </row>
    <row r="10" spans="1:9" x14ac:dyDescent="0.35">
      <c r="B10" s="292"/>
      <c r="C10" s="3"/>
      <c r="D10" s="297"/>
      <c r="E10" s="298"/>
      <c r="F10" s="151"/>
      <c r="G10" s="287"/>
      <c r="H10" s="287"/>
    </row>
    <row r="11" spans="1:9" x14ac:dyDescent="0.35">
      <c r="B11" s="299" t="s">
        <v>8</v>
      </c>
      <c r="C11" s="300" t="s">
        <v>9</v>
      </c>
      <c r="D11" s="301" t="s">
        <v>1033</v>
      </c>
      <c r="E11" s="302" t="s">
        <v>1034</v>
      </c>
      <c r="F11" s="303" t="s">
        <v>1035</v>
      </c>
      <c r="G11" s="193"/>
      <c r="H11" s="193"/>
    </row>
    <row r="12" spans="1:9" x14ac:dyDescent="0.35">
      <c r="B12" s="46">
        <v>1680</v>
      </c>
      <c r="C12" s="240" t="s">
        <v>0</v>
      </c>
      <c r="D12" s="304">
        <v>388406.40111338469</v>
      </c>
      <c r="E12" s="305">
        <v>431299.30338781042</v>
      </c>
      <c r="F12" s="306">
        <f>+D12-E12</f>
        <v>-42892.902274425724</v>
      </c>
      <c r="G12" s="193">
        <f>IF(F12&lt;0,MROUND(F12,-1000),MROUND(F12,1000))</f>
        <v>-43000</v>
      </c>
      <c r="H12" s="193"/>
    </row>
    <row r="13" spans="1:9" x14ac:dyDescent="0.35">
      <c r="B13" s="46">
        <v>358</v>
      </c>
      <c r="C13" s="240" t="s">
        <v>12</v>
      </c>
      <c r="D13" s="43">
        <v>77455.216811490653</v>
      </c>
      <c r="E13" s="306">
        <v>81889.052479746926</v>
      </c>
      <c r="F13" s="306">
        <f t="shared" ref="F13:F76" si="0">+D13-E13</f>
        <v>-4433.8356682562735</v>
      </c>
      <c r="G13" s="193">
        <f t="shared" ref="G13:G76" si="1">IF(F13&lt;0,MROUND(F13,-1000),MROUND(F13,1000))</f>
        <v>-4000</v>
      </c>
      <c r="H13" s="193"/>
    </row>
    <row r="14" spans="1:9" x14ac:dyDescent="0.35">
      <c r="B14" s="46">
        <v>197</v>
      </c>
      <c r="C14" s="240" t="s">
        <v>13</v>
      </c>
      <c r="D14" s="43">
        <v>198955.02309862082</v>
      </c>
      <c r="E14" s="306">
        <v>213682.19544795912</v>
      </c>
      <c r="F14" s="306">
        <f t="shared" si="0"/>
        <v>-14727.172349338303</v>
      </c>
      <c r="G14" s="193">
        <f t="shared" si="1"/>
        <v>-15000</v>
      </c>
      <c r="H14" s="193"/>
    </row>
    <row r="15" spans="1:9" x14ac:dyDescent="0.35">
      <c r="B15" s="46">
        <v>59</v>
      </c>
      <c r="C15" s="240" t="s">
        <v>14</v>
      </c>
      <c r="D15" s="43">
        <v>1098396.1292316462</v>
      </c>
      <c r="E15" s="306">
        <v>1019708.3268405666</v>
      </c>
      <c r="F15" s="306">
        <f t="shared" si="0"/>
        <v>78687.802391079604</v>
      </c>
      <c r="G15" s="193">
        <f t="shared" si="1"/>
        <v>79000</v>
      </c>
      <c r="H15" s="193"/>
    </row>
    <row r="16" spans="1:9" x14ac:dyDescent="0.35">
      <c r="B16" s="46">
        <v>482</v>
      </c>
      <c r="C16" s="240" t="s">
        <v>15</v>
      </c>
      <c r="D16" s="43">
        <v>287761.59032214637</v>
      </c>
      <c r="E16" s="306">
        <v>343888.22573516436</v>
      </c>
      <c r="F16" s="306">
        <f t="shared" si="0"/>
        <v>-56126.635413017997</v>
      </c>
      <c r="G16" s="193">
        <f t="shared" si="1"/>
        <v>-56000</v>
      </c>
      <c r="H16" s="193"/>
    </row>
    <row r="17" spans="2:9" x14ac:dyDescent="0.35">
      <c r="B17" s="46">
        <v>613</v>
      </c>
      <c r="C17" s="240" t="s">
        <v>16</v>
      </c>
      <c r="D17" s="43">
        <v>155663.43734526614</v>
      </c>
      <c r="E17" s="306">
        <v>200172.25547093363</v>
      </c>
      <c r="F17" s="306">
        <f t="shared" si="0"/>
        <v>-44508.818125667487</v>
      </c>
      <c r="G17" s="193">
        <f t="shared" si="1"/>
        <v>-45000</v>
      </c>
      <c r="H17" s="193"/>
    </row>
    <row r="18" spans="2:9" x14ac:dyDescent="0.35">
      <c r="B18" s="46">
        <v>361</v>
      </c>
      <c r="C18" s="240" t="s">
        <v>17</v>
      </c>
      <c r="D18" s="43">
        <v>2644599.2468792661</v>
      </c>
      <c r="E18" s="306">
        <v>2733983.5486794617</v>
      </c>
      <c r="F18" s="306">
        <f t="shared" si="0"/>
        <v>-89384.301800195593</v>
      </c>
      <c r="G18" s="193">
        <f t="shared" si="1"/>
        <v>-89000</v>
      </c>
      <c r="H18" s="193"/>
    </row>
    <row r="19" spans="2:9" x14ac:dyDescent="0.35">
      <c r="B19" s="46">
        <v>141</v>
      </c>
      <c r="C19" s="240" t="s">
        <v>18</v>
      </c>
      <c r="D19" s="43">
        <v>4487177.4335556785</v>
      </c>
      <c r="E19" s="306">
        <v>4483687.6898981854</v>
      </c>
      <c r="F19" s="306">
        <f t="shared" si="0"/>
        <v>3489.7436574930325</v>
      </c>
      <c r="G19" s="193">
        <f t="shared" si="1"/>
        <v>3000</v>
      </c>
      <c r="H19" s="193"/>
      <c r="I19" s="2" t="s">
        <v>1180</v>
      </c>
    </row>
    <row r="20" spans="2:9" x14ac:dyDescent="0.35">
      <c r="B20" s="46">
        <v>34</v>
      </c>
      <c r="C20" s="240" t="s">
        <v>19</v>
      </c>
      <c r="D20" s="43">
        <v>7105869.318030227</v>
      </c>
      <c r="E20" s="306">
        <v>6759577.5295215715</v>
      </c>
      <c r="F20" s="306">
        <f t="shared" si="0"/>
        <v>346291.7885086555</v>
      </c>
      <c r="G20" s="193">
        <f t="shared" si="1"/>
        <v>346000</v>
      </c>
      <c r="H20" s="193"/>
    </row>
    <row r="21" spans="2:9" x14ac:dyDescent="0.35">
      <c r="B21" s="46">
        <v>484</v>
      </c>
      <c r="C21" s="240" t="s">
        <v>20</v>
      </c>
      <c r="D21" s="43">
        <v>1148317.1143130437</v>
      </c>
      <c r="E21" s="306">
        <v>1192595.215175516</v>
      </c>
      <c r="F21" s="306">
        <f t="shared" si="0"/>
        <v>-44278.100862472318</v>
      </c>
      <c r="G21" s="193">
        <f t="shared" si="1"/>
        <v>-44000</v>
      </c>
      <c r="H21" s="193"/>
    </row>
    <row r="22" spans="2:9" x14ac:dyDescent="0.35">
      <c r="B22" s="46">
        <v>1723</v>
      </c>
      <c r="C22" s="240" t="s">
        <v>21</v>
      </c>
      <c r="D22" s="43">
        <v>24891.009100631105</v>
      </c>
      <c r="E22" s="306">
        <v>25789.206951641158</v>
      </c>
      <c r="F22" s="306">
        <f t="shared" si="0"/>
        <v>-898.19785101005255</v>
      </c>
      <c r="G22" s="193">
        <f t="shared" si="1"/>
        <v>-1000</v>
      </c>
      <c r="H22" s="193"/>
    </row>
    <row r="23" spans="2:9" x14ac:dyDescent="0.35">
      <c r="B23" s="46">
        <v>1959</v>
      </c>
      <c r="C23" s="240" t="s">
        <v>22</v>
      </c>
      <c r="D23" s="43">
        <v>134679.88543083184</v>
      </c>
      <c r="E23" s="306">
        <v>141260.23902186321</v>
      </c>
      <c r="F23" s="306">
        <f t="shared" si="0"/>
        <v>-6580.3535910313658</v>
      </c>
      <c r="G23" s="193">
        <f t="shared" si="1"/>
        <v>-7000</v>
      </c>
      <c r="H23" s="193"/>
    </row>
    <row r="24" spans="2:9" x14ac:dyDescent="0.35">
      <c r="B24" s="46">
        <v>60</v>
      </c>
      <c r="C24" s="240" t="s">
        <v>23</v>
      </c>
      <c r="D24" s="43">
        <v>8612.6569769673097</v>
      </c>
      <c r="E24" s="306">
        <v>9172.7427936274817</v>
      </c>
      <c r="F24" s="306">
        <f t="shared" si="0"/>
        <v>-560.08581666017199</v>
      </c>
      <c r="G24" s="193">
        <f t="shared" si="1"/>
        <v>-1000</v>
      </c>
      <c r="H24" s="193"/>
    </row>
    <row r="25" spans="2:9" x14ac:dyDescent="0.35">
      <c r="B25" s="46">
        <v>307</v>
      </c>
      <c r="C25" s="240" t="s">
        <v>24</v>
      </c>
      <c r="D25" s="43">
        <v>3230224.6594249639</v>
      </c>
      <c r="E25" s="306">
        <v>3572286.9273366462</v>
      </c>
      <c r="F25" s="306">
        <f t="shared" si="0"/>
        <v>-342062.26791168237</v>
      </c>
      <c r="G25" s="193">
        <f t="shared" si="1"/>
        <v>-342000</v>
      </c>
      <c r="H25" s="193"/>
    </row>
    <row r="26" spans="2:9" x14ac:dyDescent="0.35">
      <c r="B26" s="46">
        <v>362</v>
      </c>
      <c r="C26" s="240" t="s">
        <v>25</v>
      </c>
      <c r="D26" s="43">
        <v>222019.50547895103</v>
      </c>
      <c r="E26" s="306">
        <v>308312.02697751572</v>
      </c>
      <c r="F26" s="306">
        <f t="shared" si="0"/>
        <v>-86292.521498564689</v>
      </c>
      <c r="G26" s="193">
        <f t="shared" si="1"/>
        <v>-86000</v>
      </c>
      <c r="H26" s="193"/>
    </row>
    <row r="28" spans="2:9" x14ac:dyDescent="0.35">
      <c r="B28" s="46">
        <v>200</v>
      </c>
      <c r="C28" s="240" t="s">
        <v>27</v>
      </c>
      <c r="D28" s="43">
        <v>4116939.6093772193</v>
      </c>
      <c r="E28" s="306">
        <v>4316885.8097543512</v>
      </c>
      <c r="F28" s="306">
        <f t="shared" si="0"/>
        <v>-199946.20037713181</v>
      </c>
      <c r="G28" s="193">
        <f t="shared" si="1"/>
        <v>-200000</v>
      </c>
      <c r="H28" s="193"/>
    </row>
    <row r="30" spans="2:9" x14ac:dyDescent="0.35">
      <c r="B30" s="46">
        <v>202</v>
      </c>
      <c r="C30" s="240" t="s">
        <v>29</v>
      </c>
      <c r="D30" s="43">
        <v>11719046.376717588</v>
      </c>
      <c r="E30" s="306">
        <v>12083698.550931506</v>
      </c>
      <c r="F30" s="306">
        <f t="shared" si="0"/>
        <v>-364652.17421391793</v>
      </c>
      <c r="G30" s="193">
        <f t="shared" si="1"/>
        <v>-365000</v>
      </c>
      <c r="H30" s="193"/>
    </row>
    <row r="31" spans="2:9" x14ac:dyDescent="0.35">
      <c r="B31" s="46">
        <v>106</v>
      </c>
      <c r="C31" s="240" t="s">
        <v>30</v>
      </c>
      <c r="D31" s="43">
        <v>2972283.9514564453</v>
      </c>
      <c r="E31" s="306">
        <v>3100840.1531109237</v>
      </c>
      <c r="F31" s="306">
        <f t="shared" si="0"/>
        <v>-128556.20165447844</v>
      </c>
      <c r="G31" s="193">
        <f t="shared" si="1"/>
        <v>-129000</v>
      </c>
      <c r="H31" s="193"/>
    </row>
    <row r="32" spans="2:9" x14ac:dyDescent="0.35">
      <c r="B32" s="46">
        <v>743</v>
      </c>
      <c r="C32" s="240" t="s">
        <v>31</v>
      </c>
      <c r="D32" s="43">
        <v>79923.506047347357</v>
      </c>
      <c r="E32" s="306">
        <v>141608.92243726953</v>
      </c>
      <c r="F32" s="306">
        <f t="shared" si="0"/>
        <v>-61685.416389922175</v>
      </c>
      <c r="G32" s="193">
        <f t="shared" si="1"/>
        <v>-62000</v>
      </c>
      <c r="H32" s="193"/>
    </row>
    <row r="33" spans="2:9" x14ac:dyDescent="0.35">
      <c r="B33" s="46">
        <v>744</v>
      </c>
      <c r="C33" s="240" t="s">
        <v>32</v>
      </c>
      <c r="D33" s="43">
        <v>73693.463130778415</v>
      </c>
      <c r="E33" s="306">
        <v>74302.936370305557</v>
      </c>
      <c r="F33" s="306">
        <f t="shared" si="0"/>
        <v>-609.47323952714214</v>
      </c>
      <c r="G33" s="193">
        <f t="shared" si="1"/>
        <v>-1000</v>
      </c>
      <c r="H33" s="193"/>
    </row>
    <row r="34" spans="2:9" x14ac:dyDescent="0.35">
      <c r="B34" s="46">
        <v>308</v>
      </c>
      <c r="C34" s="240" t="s">
        <v>33</v>
      </c>
      <c r="D34" s="43">
        <v>234720.7363369271</v>
      </c>
      <c r="E34" s="306">
        <v>312576.66182070581</v>
      </c>
      <c r="F34" s="306">
        <f t="shared" si="0"/>
        <v>-77855.925483778701</v>
      </c>
      <c r="G34" s="193">
        <f t="shared" si="1"/>
        <v>-78000</v>
      </c>
      <c r="H34" s="193"/>
    </row>
    <row r="35" spans="2:9" x14ac:dyDescent="0.35">
      <c r="B35" s="46">
        <v>489</v>
      </c>
      <c r="C35" s="240" t="s">
        <v>34</v>
      </c>
      <c r="D35" s="43">
        <v>121891.98765676134</v>
      </c>
      <c r="E35" s="306">
        <v>239588.94866682048</v>
      </c>
      <c r="F35" s="306">
        <f t="shared" si="0"/>
        <v>-117696.96101005914</v>
      </c>
      <c r="G35" s="193">
        <f t="shared" si="1"/>
        <v>-118000</v>
      </c>
      <c r="H35" s="193"/>
    </row>
    <row r="36" spans="2:9" x14ac:dyDescent="0.35">
      <c r="B36" s="46">
        <v>203</v>
      </c>
      <c r="C36" s="240" t="s">
        <v>35</v>
      </c>
      <c r="D36" s="43">
        <v>137876.85987434947</v>
      </c>
      <c r="E36" s="306">
        <v>146341.77618010284</v>
      </c>
      <c r="F36" s="306">
        <f t="shared" si="0"/>
        <v>-8464.9163057533733</v>
      </c>
      <c r="G36" s="193">
        <f t="shared" si="1"/>
        <v>-8000</v>
      </c>
      <c r="H36" s="193"/>
    </row>
    <row r="37" spans="2:9" x14ac:dyDescent="0.35">
      <c r="B37" s="46">
        <v>888</v>
      </c>
      <c r="C37" s="240" t="s">
        <v>36</v>
      </c>
      <c r="D37" s="43">
        <v>270648.85338081658</v>
      </c>
      <c r="E37" s="306">
        <v>269274.50199278846</v>
      </c>
      <c r="F37" s="306">
        <f t="shared" si="0"/>
        <v>1374.3513880281243</v>
      </c>
      <c r="G37" s="193">
        <f t="shared" si="1"/>
        <v>1000</v>
      </c>
      <c r="H37" s="193"/>
      <c r="I37" s="2" t="s">
        <v>1181</v>
      </c>
    </row>
    <row r="38" spans="2:9" x14ac:dyDescent="0.35">
      <c r="B38" s="46">
        <v>1954</v>
      </c>
      <c r="C38" s="240" t="s">
        <v>37</v>
      </c>
      <c r="D38" s="43">
        <v>494593.42767068994</v>
      </c>
      <c r="E38" s="306">
        <v>493381.01149530767</v>
      </c>
      <c r="F38" s="306">
        <f t="shared" si="0"/>
        <v>1212.41617538227</v>
      </c>
      <c r="G38" s="193">
        <f t="shared" si="1"/>
        <v>1000</v>
      </c>
      <c r="H38" s="193"/>
    </row>
    <row r="40" spans="2:9" x14ac:dyDescent="0.35">
      <c r="B40" s="46">
        <v>889</v>
      </c>
      <c r="C40" s="240" t="s">
        <v>39</v>
      </c>
      <c r="D40" s="43">
        <v>210788.00374173876</v>
      </c>
      <c r="E40" s="306">
        <v>157680.6179529748</v>
      </c>
      <c r="F40" s="306">
        <f t="shared" si="0"/>
        <v>53107.385788763961</v>
      </c>
      <c r="G40" s="193">
        <f t="shared" si="1"/>
        <v>53000</v>
      </c>
      <c r="H40" s="193"/>
    </row>
    <row r="41" spans="2:9" x14ac:dyDescent="0.35">
      <c r="B41" s="46">
        <v>1945</v>
      </c>
      <c r="C41" s="240" t="s">
        <v>40</v>
      </c>
      <c r="D41" s="43">
        <v>988097.87222615769</v>
      </c>
      <c r="E41" s="306">
        <v>946191.27774747286</v>
      </c>
      <c r="F41" s="306">
        <f t="shared" si="0"/>
        <v>41906.594478684827</v>
      </c>
      <c r="G41" s="193">
        <f t="shared" si="1"/>
        <v>42000</v>
      </c>
      <c r="H41" s="193"/>
    </row>
    <row r="42" spans="2:9" x14ac:dyDescent="0.35">
      <c r="B42" s="46">
        <v>1724</v>
      </c>
      <c r="C42" s="240" t="s">
        <v>41</v>
      </c>
      <c r="D42" s="43">
        <v>45614.603534987706</v>
      </c>
      <c r="E42" s="306">
        <v>47576.500454381123</v>
      </c>
      <c r="F42" s="306">
        <f t="shared" si="0"/>
        <v>-1961.8969193934172</v>
      </c>
      <c r="G42" s="193">
        <f t="shared" si="1"/>
        <v>-2000</v>
      </c>
      <c r="H42" s="193"/>
    </row>
    <row r="43" spans="2:9" x14ac:dyDescent="0.35">
      <c r="B43" s="46">
        <v>893</v>
      </c>
      <c r="C43" s="240" t="s">
        <v>42</v>
      </c>
      <c r="D43" s="43">
        <v>142259.17175556763</v>
      </c>
      <c r="E43" s="306">
        <v>154045.11717377644</v>
      </c>
      <c r="F43" s="306">
        <f t="shared" si="0"/>
        <v>-11785.945418208808</v>
      </c>
      <c r="G43" s="193">
        <f t="shared" si="1"/>
        <v>-12000</v>
      </c>
      <c r="H43" s="193"/>
    </row>
    <row r="44" spans="2:9" x14ac:dyDescent="0.35">
      <c r="B44" s="46">
        <v>373</v>
      </c>
      <c r="C44" s="240" t="s">
        <v>43</v>
      </c>
      <c r="D44" s="43">
        <v>77065.053091845257</v>
      </c>
      <c r="E44" s="306">
        <v>164800.54168574876</v>
      </c>
      <c r="F44" s="306">
        <f t="shared" si="0"/>
        <v>-87735.488593903501</v>
      </c>
      <c r="G44" s="193">
        <f t="shared" si="1"/>
        <v>-88000</v>
      </c>
      <c r="H44" s="193"/>
    </row>
    <row r="45" spans="2:9" x14ac:dyDescent="0.35">
      <c r="B45" s="46">
        <v>748</v>
      </c>
      <c r="C45" s="240" t="s">
        <v>44</v>
      </c>
      <c r="D45" s="43">
        <v>2369858.9492186722</v>
      </c>
      <c r="E45" s="306">
        <v>2579572.9058916662</v>
      </c>
      <c r="F45" s="306">
        <f t="shared" si="0"/>
        <v>-209713.95667299395</v>
      </c>
      <c r="G45" s="193">
        <f t="shared" si="1"/>
        <v>-210000</v>
      </c>
      <c r="H45" s="193"/>
    </row>
    <row r="46" spans="2:9" x14ac:dyDescent="0.35">
      <c r="B46" s="46">
        <v>1859</v>
      </c>
      <c r="C46" s="240" t="s">
        <v>45</v>
      </c>
      <c r="D46" s="43">
        <v>503961.47678273107</v>
      </c>
      <c r="E46" s="306">
        <v>543569.6833668258</v>
      </c>
      <c r="F46" s="306">
        <f t="shared" si="0"/>
        <v>-39608.206584094733</v>
      </c>
      <c r="G46" s="193">
        <f t="shared" si="1"/>
        <v>-40000</v>
      </c>
      <c r="H46" s="193"/>
    </row>
    <row r="47" spans="2:9" x14ac:dyDescent="0.35">
      <c r="B47" s="46">
        <v>1721</v>
      </c>
      <c r="C47" s="240" t="s">
        <v>46</v>
      </c>
      <c r="D47" s="43">
        <v>75330.422291502808</v>
      </c>
      <c r="E47" s="306">
        <v>79441.63482286314</v>
      </c>
      <c r="F47" s="306">
        <f t="shared" si="0"/>
        <v>-4111.2125313603319</v>
      </c>
      <c r="G47" s="193">
        <f t="shared" si="1"/>
        <v>-4000</v>
      </c>
      <c r="H47" s="193"/>
    </row>
    <row r="48" spans="2:9" x14ac:dyDescent="0.35">
      <c r="B48" s="46">
        <v>753</v>
      </c>
      <c r="C48" s="240" t="s">
        <v>47</v>
      </c>
      <c r="D48" s="43">
        <v>220863.28115870667</v>
      </c>
      <c r="E48" s="306">
        <v>220306.97635097912</v>
      </c>
      <c r="F48" s="306">
        <f t="shared" si="0"/>
        <v>556.30480772754527</v>
      </c>
      <c r="G48" s="193">
        <f t="shared" si="1"/>
        <v>1000</v>
      </c>
      <c r="H48" s="193"/>
    </row>
    <row r="49" spans="2:8" x14ac:dyDescent="0.35">
      <c r="B49" s="46">
        <v>209</v>
      </c>
      <c r="C49" s="240" t="s">
        <v>48</v>
      </c>
      <c r="D49" s="43">
        <v>324040.46276762255</v>
      </c>
      <c r="E49" s="306">
        <v>290296.18927894859</v>
      </c>
      <c r="F49" s="306">
        <f t="shared" si="0"/>
        <v>33744.273488673964</v>
      </c>
      <c r="G49" s="193">
        <f t="shared" si="1"/>
        <v>34000</v>
      </c>
      <c r="H49" s="193"/>
    </row>
    <row r="50" spans="2:8" x14ac:dyDescent="0.35">
      <c r="B50" s="46">
        <v>375</v>
      </c>
      <c r="C50" s="240" t="s">
        <v>49</v>
      </c>
      <c r="D50" s="43">
        <v>1049210.6860026778</v>
      </c>
      <c r="E50" s="306">
        <v>998027.19875564054</v>
      </c>
      <c r="F50" s="306">
        <f t="shared" si="0"/>
        <v>51183.487247037236</v>
      </c>
      <c r="G50" s="193">
        <f t="shared" si="1"/>
        <v>51000</v>
      </c>
      <c r="H50" s="193"/>
    </row>
    <row r="51" spans="2:8" x14ac:dyDescent="0.35">
      <c r="B51" s="46">
        <v>1728</v>
      </c>
      <c r="C51" s="240" t="s">
        <v>50</v>
      </c>
      <c r="D51" s="43">
        <v>49922.888556178528</v>
      </c>
      <c r="E51" s="306">
        <v>51789.468162250734</v>
      </c>
      <c r="F51" s="306">
        <f t="shared" si="0"/>
        <v>-1866.5796060722059</v>
      </c>
      <c r="G51" s="193">
        <f t="shared" si="1"/>
        <v>-2000</v>
      </c>
      <c r="H51" s="193"/>
    </row>
    <row r="52" spans="2:8" x14ac:dyDescent="0.35">
      <c r="B52" s="46">
        <v>376</v>
      </c>
      <c r="C52" s="240" t="s">
        <v>51</v>
      </c>
      <c r="D52" s="43">
        <v>27719.286326390702</v>
      </c>
      <c r="E52" s="306">
        <v>31522.030304110289</v>
      </c>
      <c r="F52" s="306">
        <f t="shared" si="0"/>
        <v>-3802.7439777195868</v>
      </c>
      <c r="G52" s="193">
        <f t="shared" si="1"/>
        <v>-4000</v>
      </c>
      <c r="H52" s="193"/>
    </row>
    <row r="53" spans="2:8" x14ac:dyDescent="0.35">
      <c r="B53" s="46">
        <v>377</v>
      </c>
      <c r="C53" s="240" t="s">
        <v>52</v>
      </c>
      <c r="D53" s="43">
        <v>50149.846350210377</v>
      </c>
      <c r="E53" s="306">
        <v>53051.734980311863</v>
      </c>
      <c r="F53" s="306">
        <f t="shared" si="0"/>
        <v>-2901.8886301014863</v>
      </c>
      <c r="G53" s="193">
        <f t="shared" si="1"/>
        <v>-3000</v>
      </c>
      <c r="H53" s="193"/>
    </row>
    <row r="54" spans="2:8" x14ac:dyDescent="0.35">
      <c r="B54" s="46">
        <v>1901</v>
      </c>
      <c r="C54" s="240" t="s">
        <v>53</v>
      </c>
      <c r="D54" s="43">
        <v>82424.809887705327</v>
      </c>
      <c r="E54" s="306">
        <v>87319.640912434363</v>
      </c>
      <c r="F54" s="306">
        <f t="shared" si="0"/>
        <v>-4894.8310247290356</v>
      </c>
      <c r="G54" s="193">
        <f t="shared" si="1"/>
        <v>-5000</v>
      </c>
      <c r="H54" s="193"/>
    </row>
    <row r="55" spans="2:8" x14ac:dyDescent="0.35">
      <c r="B55" s="46">
        <v>755</v>
      </c>
      <c r="C55" s="240" t="s">
        <v>54</v>
      </c>
      <c r="D55" s="43">
        <v>26479.71365885406</v>
      </c>
      <c r="E55" s="306">
        <v>34788.528660129261</v>
      </c>
      <c r="F55" s="306">
        <f t="shared" si="0"/>
        <v>-8308.8150012752012</v>
      </c>
      <c r="G55" s="193">
        <f t="shared" si="1"/>
        <v>-8000</v>
      </c>
      <c r="H55" s="193"/>
    </row>
    <row r="56" spans="2:8" x14ac:dyDescent="0.35">
      <c r="B56" s="46">
        <v>1681</v>
      </c>
      <c r="C56" s="240" t="s">
        <v>55</v>
      </c>
      <c r="D56" s="43">
        <v>708002.15242404235</v>
      </c>
      <c r="E56" s="306">
        <v>717311.00634632527</v>
      </c>
      <c r="F56" s="306">
        <f t="shared" si="0"/>
        <v>-9308.8539222829277</v>
      </c>
      <c r="G56" s="193">
        <f t="shared" si="1"/>
        <v>-9000</v>
      </c>
      <c r="H56" s="193"/>
    </row>
    <row r="57" spans="2:8" x14ac:dyDescent="0.35">
      <c r="B57" s="46">
        <v>147</v>
      </c>
      <c r="C57" s="240" t="s">
        <v>56</v>
      </c>
      <c r="D57" s="43">
        <v>269278.60306365922</v>
      </c>
      <c r="E57" s="306">
        <v>292262.10270996415</v>
      </c>
      <c r="F57" s="306">
        <f t="shared" si="0"/>
        <v>-22983.499646304932</v>
      </c>
      <c r="G57" s="193">
        <f t="shared" si="1"/>
        <v>-23000</v>
      </c>
      <c r="H57" s="193"/>
    </row>
    <row r="58" spans="2:8" x14ac:dyDescent="0.35">
      <c r="B58" s="46">
        <v>654</v>
      </c>
      <c r="C58" s="240" t="s">
        <v>57</v>
      </c>
      <c r="D58" s="43">
        <v>81366.495895885892</v>
      </c>
      <c r="E58" s="306">
        <v>82218.551930323272</v>
      </c>
      <c r="F58" s="306">
        <f t="shared" si="0"/>
        <v>-852.05603443738073</v>
      </c>
      <c r="G58" s="193">
        <f t="shared" si="1"/>
        <v>-1000</v>
      </c>
      <c r="H58" s="193"/>
    </row>
    <row r="60" spans="2:8" x14ac:dyDescent="0.35">
      <c r="B60" s="46">
        <v>757</v>
      </c>
      <c r="C60" s="240" t="s">
        <v>59</v>
      </c>
      <c r="D60" s="43">
        <v>201056.84616818524</v>
      </c>
      <c r="E60" s="306">
        <v>291389.75788755598</v>
      </c>
      <c r="F60" s="306">
        <f t="shared" si="0"/>
        <v>-90332.91171937075</v>
      </c>
      <c r="G60" s="193">
        <f t="shared" si="1"/>
        <v>-90000</v>
      </c>
      <c r="H60" s="193"/>
    </row>
    <row r="61" spans="2:8" x14ac:dyDescent="0.35">
      <c r="B61" s="46">
        <v>758</v>
      </c>
      <c r="C61" s="240" t="s">
        <v>60</v>
      </c>
      <c r="D61" s="43">
        <v>5628418.5804133955</v>
      </c>
      <c r="E61" s="306">
        <v>5693097.2830169285</v>
      </c>
      <c r="F61" s="306">
        <f t="shared" si="0"/>
        <v>-64678.702603532933</v>
      </c>
      <c r="G61" s="193">
        <f t="shared" si="1"/>
        <v>-65000</v>
      </c>
      <c r="H61" s="193"/>
    </row>
    <row r="62" spans="2:8" x14ac:dyDescent="0.35">
      <c r="B62" s="46">
        <v>501</v>
      </c>
      <c r="C62" s="240" t="s">
        <v>61</v>
      </c>
      <c r="D62" s="43">
        <v>132993.01235822047</v>
      </c>
      <c r="E62" s="306">
        <v>138995.13369356521</v>
      </c>
      <c r="F62" s="306">
        <f t="shared" si="0"/>
        <v>-6002.1213353447383</v>
      </c>
      <c r="G62" s="193">
        <f t="shared" si="1"/>
        <v>-6000</v>
      </c>
      <c r="H62" s="193"/>
    </row>
    <row r="63" spans="2:8" x14ac:dyDescent="0.35">
      <c r="B63" s="46">
        <v>1876</v>
      </c>
      <c r="C63" s="240" t="s">
        <v>62</v>
      </c>
      <c r="D63" s="43">
        <v>105977.32324449105</v>
      </c>
      <c r="E63" s="306">
        <v>128639.65847443488</v>
      </c>
      <c r="F63" s="306">
        <f t="shared" si="0"/>
        <v>-22662.335229943827</v>
      </c>
      <c r="G63" s="193">
        <f t="shared" si="1"/>
        <v>-23000</v>
      </c>
      <c r="H63" s="193"/>
    </row>
    <row r="64" spans="2:8" x14ac:dyDescent="0.35">
      <c r="B64" s="46">
        <v>213</v>
      </c>
      <c r="C64" s="240" t="s">
        <v>63</v>
      </c>
      <c r="D64" s="43">
        <v>266689.49972830107</v>
      </c>
      <c r="E64" s="306">
        <v>377617.69594571402</v>
      </c>
      <c r="F64" s="306">
        <f t="shared" si="0"/>
        <v>-110928.19621741294</v>
      </c>
      <c r="G64" s="193">
        <f t="shared" si="1"/>
        <v>-111000</v>
      </c>
      <c r="H64" s="193"/>
    </row>
    <row r="65" spans="2:8" x14ac:dyDescent="0.35">
      <c r="B65" s="46">
        <v>899</v>
      </c>
      <c r="C65" s="240" t="s">
        <v>64</v>
      </c>
      <c r="D65" s="43">
        <v>1296046.3730081148</v>
      </c>
      <c r="E65" s="306">
        <v>1190254.5358693153</v>
      </c>
      <c r="F65" s="306">
        <f t="shared" si="0"/>
        <v>105791.83713879948</v>
      </c>
      <c r="G65" s="193">
        <f t="shared" si="1"/>
        <v>106000</v>
      </c>
      <c r="H65" s="193"/>
    </row>
    <row r="66" spans="2:8" x14ac:dyDescent="0.35">
      <c r="B66" s="46">
        <v>312</v>
      </c>
      <c r="C66" s="240" t="s">
        <v>65</v>
      </c>
      <c r="D66" s="43">
        <v>35784.983214159947</v>
      </c>
      <c r="E66" s="306">
        <v>36877.673018981994</v>
      </c>
      <c r="F66" s="306">
        <f t="shared" si="0"/>
        <v>-1092.6898048220464</v>
      </c>
      <c r="G66" s="193">
        <f t="shared" si="1"/>
        <v>-1000</v>
      </c>
      <c r="H66" s="193"/>
    </row>
    <row r="67" spans="2:8" x14ac:dyDescent="0.35">
      <c r="B67" s="46">
        <v>313</v>
      </c>
      <c r="C67" s="240" t="s">
        <v>66</v>
      </c>
      <c r="D67" s="43">
        <v>53143.341392182207</v>
      </c>
      <c r="E67" s="306">
        <v>56286.547372577843</v>
      </c>
      <c r="F67" s="306">
        <f t="shared" si="0"/>
        <v>-3143.2059803956363</v>
      </c>
      <c r="G67" s="193">
        <f t="shared" si="1"/>
        <v>-3000</v>
      </c>
      <c r="H67" s="193"/>
    </row>
    <row r="68" spans="2:8" x14ac:dyDescent="0.35">
      <c r="B68" s="46">
        <v>214</v>
      </c>
      <c r="C68" s="240" t="s">
        <v>67</v>
      </c>
      <c r="D68" s="43">
        <v>66725.591445364174</v>
      </c>
      <c r="E68" s="306">
        <v>69375.970164369268</v>
      </c>
      <c r="F68" s="306">
        <f t="shared" si="0"/>
        <v>-2650.3787190050934</v>
      </c>
      <c r="G68" s="193">
        <f t="shared" si="1"/>
        <v>-3000</v>
      </c>
      <c r="H68" s="193"/>
    </row>
    <row r="69" spans="2:8" x14ac:dyDescent="0.35">
      <c r="B69" s="46">
        <v>502</v>
      </c>
      <c r="C69" s="240" t="s">
        <v>68</v>
      </c>
      <c r="D69" s="43">
        <v>2895742.3789069289</v>
      </c>
      <c r="E69" s="306">
        <v>2719230.4920398244</v>
      </c>
      <c r="F69" s="306">
        <f t="shared" si="0"/>
        <v>176511.88686710456</v>
      </c>
      <c r="G69" s="193">
        <f t="shared" si="1"/>
        <v>177000</v>
      </c>
      <c r="H69" s="193"/>
    </row>
    <row r="70" spans="2:8" x14ac:dyDescent="0.35">
      <c r="B70" s="46">
        <v>383</v>
      </c>
      <c r="C70" s="240" t="s">
        <v>69</v>
      </c>
      <c r="D70" s="43">
        <v>84193.515454988024</v>
      </c>
      <c r="E70" s="306">
        <v>88350.559792780099</v>
      </c>
      <c r="F70" s="306">
        <f t="shared" si="0"/>
        <v>-4157.0443377920747</v>
      </c>
      <c r="G70" s="193">
        <f t="shared" si="1"/>
        <v>-4000</v>
      </c>
      <c r="H70" s="193"/>
    </row>
    <row r="71" spans="2:8" x14ac:dyDescent="0.35">
      <c r="B71" s="46">
        <v>109</v>
      </c>
      <c r="C71" s="240" t="s">
        <v>70</v>
      </c>
      <c r="D71" s="43">
        <v>1231820.6215456838</v>
      </c>
      <c r="E71" s="306">
        <v>1164763.4739847125</v>
      </c>
      <c r="F71" s="306">
        <f t="shared" si="0"/>
        <v>67057.147560971323</v>
      </c>
      <c r="G71" s="193">
        <f t="shared" si="1"/>
        <v>67000</v>
      </c>
      <c r="H71" s="193"/>
    </row>
    <row r="72" spans="2:8" x14ac:dyDescent="0.35">
      <c r="B72" s="46">
        <v>1706</v>
      </c>
      <c r="C72" s="240" t="s">
        <v>71</v>
      </c>
      <c r="D72" s="43">
        <v>139046.75869406486</v>
      </c>
      <c r="E72" s="306">
        <v>217077.81638150197</v>
      </c>
      <c r="F72" s="306">
        <f t="shared" si="0"/>
        <v>-78031.057687437104</v>
      </c>
      <c r="G72" s="193">
        <f t="shared" si="1"/>
        <v>-78000</v>
      </c>
      <c r="H72" s="193"/>
    </row>
    <row r="74" spans="2:8" x14ac:dyDescent="0.35">
      <c r="B74" s="46">
        <v>216</v>
      </c>
      <c r="C74" s="240" t="s">
        <v>73</v>
      </c>
      <c r="D74" s="43">
        <v>626796.14117589174</v>
      </c>
      <c r="E74" s="306">
        <v>559351.48520031071</v>
      </c>
      <c r="F74" s="306">
        <f t="shared" si="0"/>
        <v>67444.65597558103</v>
      </c>
      <c r="G74" s="193">
        <f t="shared" si="1"/>
        <v>67000</v>
      </c>
      <c r="H74" s="193"/>
    </row>
    <row r="75" spans="2:8" x14ac:dyDescent="0.35">
      <c r="B75" s="46">
        <v>148</v>
      </c>
      <c r="C75" s="240" t="s">
        <v>74</v>
      </c>
      <c r="D75" s="43">
        <v>68404.296508117011</v>
      </c>
      <c r="E75" s="306">
        <v>71949.20862948423</v>
      </c>
      <c r="F75" s="306">
        <f t="shared" si="0"/>
        <v>-3544.9121213672188</v>
      </c>
      <c r="G75" s="193">
        <f t="shared" si="1"/>
        <v>-4000</v>
      </c>
      <c r="H75" s="193"/>
    </row>
    <row r="76" spans="2:8" x14ac:dyDescent="0.35">
      <c r="B76" s="46">
        <v>1891</v>
      </c>
      <c r="C76" s="240" t="s">
        <v>75</v>
      </c>
      <c r="D76" s="43">
        <v>791961.56161926023</v>
      </c>
      <c r="E76" s="306">
        <v>771342.26082556311</v>
      </c>
      <c r="F76" s="306">
        <f t="shared" si="0"/>
        <v>20619.300793697126</v>
      </c>
      <c r="G76" s="193">
        <f t="shared" si="1"/>
        <v>21000</v>
      </c>
      <c r="H76" s="193"/>
    </row>
    <row r="77" spans="2:8" x14ac:dyDescent="0.35">
      <c r="B77" s="46">
        <v>310</v>
      </c>
      <c r="C77" s="240" t="s">
        <v>76</v>
      </c>
      <c r="D77" s="43">
        <v>397648.72869826388</v>
      </c>
      <c r="E77" s="306">
        <v>414533.51044408337</v>
      </c>
      <c r="F77" s="306">
        <f t="shared" ref="F77:F140" si="2">+D77-E77</f>
        <v>-16884.781745819491</v>
      </c>
      <c r="G77" s="193">
        <f t="shared" ref="G77:G140" si="3">IF(F77&lt;0,MROUND(F77,-1000),MROUND(F77,1000))</f>
        <v>-17000</v>
      </c>
      <c r="H77" s="193"/>
    </row>
    <row r="78" spans="2:8" x14ac:dyDescent="0.35">
      <c r="B78" s="46">
        <v>1940</v>
      </c>
      <c r="C78" s="240" t="s">
        <v>77</v>
      </c>
      <c r="D78" s="43">
        <v>1041219.1279029993</v>
      </c>
      <c r="E78" s="306">
        <v>925194.20994283073</v>
      </c>
      <c r="F78" s="306">
        <f t="shared" si="2"/>
        <v>116024.91796016856</v>
      </c>
      <c r="G78" s="193">
        <f t="shared" si="3"/>
        <v>116000</v>
      </c>
      <c r="H78" s="193"/>
    </row>
    <row r="79" spans="2:8" x14ac:dyDescent="0.35">
      <c r="B79" s="46">
        <v>736</v>
      </c>
      <c r="C79" s="240" t="s">
        <v>78</v>
      </c>
      <c r="D79" s="43">
        <v>107061.46973640418</v>
      </c>
      <c r="E79" s="306">
        <v>114440.11318987631</v>
      </c>
      <c r="F79" s="306">
        <f t="shared" si="2"/>
        <v>-7378.6434534721338</v>
      </c>
      <c r="G79" s="193">
        <f t="shared" si="3"/>
        <v>-7000</v>
      </c>
      <c r="H79" s="193"/>
    </row>
    <row r="80" spans="2:8" x14ac:dyDescent="0.35">
      <c r="B80" s="46">
        <v>1690</v>
      </c>
      <c r="C80" s="240" t="s">
        <v>79</v>
      </c>
      <c r="D80" s="43">
        <v>81150.979740233233</v>
      </c>
      <c r="E80" s="306">
        <v>160706.480849496</v>
      </c>
      <c r="F80" s="306">
        <f t="shared" si="2"/>
        <v>-79555.501109262768</v>
      </c>
      <c r="G80" s="193">
        <f t="shared" si="3"/>
        <v>-80000</v>
      </c>
      <c r="H80" s="193"/>
    </row>
    <row r="81" spans="2:8" x14ac:dyDescent="0.35">
      <c r="B81" s="46">
        <v>503</v>
      </c>
      <c r="C81" s="240" t="s">
        <v>80</v>
      </c>
      <c r="D81" s="43">
        <v>3682921.6291025453</v>
      </c>
      <c r="E81" s="306">
        <v>3747663.0497433492</v>
      </c>
      <c r="F81" s="306">
        <f t="shared" si="2"/>
        <v>-64741.420640803874</v>
      </c>
      <c r="G81" s="193">
        <f t="shared" si="3"/>
        <v>-65000</v>
      </c>
      <c r="H81" s="193"/>
    </row>
    <row r="83" spans="2:8" x14ac:dyDescent="0.35">
      <c r="B83" s="46">
        <v>400</v>
      </c>
      <c r="C83" s="240" t="s">
        <v>82</v>
      </c>
      <c r="D83" s="43">
        <v>2332111.1499472153</v>
      </c>
      <c r="E83" s="306">
        <v>2220053.4311164222</v>
      </c>
      <c r="F83" s="306">
        <f t="shared" si="2"/>
        <v>112057.71883079316</v>
      </c>
      <c r="G83" s="193">
        <f t="shared" si="3"/>
        <v>112000</v>
      </c>
      <c r="H83" s="193"/>
    </row>
    <row r="84" spans="2:8" x14ac:dyDescent="0.35">
      <c r="B84" s="46">
        <v>762</v>
      </c>
      <c r="C84" s="240" t="s">
        <v>83</v>
      </c>
      <c r="D84" s="43">
        <v>278804.40879231249</v>
      </c>
      <c r="E84" s="306">
        <v>300003.51891764568</v>
      </c>
      <c r="F84" s="306">
        <f t="shared" si="2"/>
        <v>-21199.110125333187</v>
      </c>
      <c r="G84" s="193">
        <f t="shared" si="3"/>
        <v>-21000</v>
      </c>
      <c r="H84" s="193"/>
    </row>
    <row r="85" spans="2:8" x14ac:dyDescent="0.35">
      <c r="B85" s="46">
        <v>150</v>
      </c>
      <c r="C85" s="240" t="s">
        <v>84</v>
      </c>
      <c r="D85" s="43">
        <v>3839397.9508001278</v>
      </c>
      <c r="E85" s="306">
        <v>3762546.8524545967</v>
      </c>
      <c r="F85" s="306">
        <f t="shared" si="2"/>
        <v>76851.098345531151</v>
      </c>
      <c r="G85" s="193">
        <f t="shared" si="3"/>
        <v>77000</v>
      </c>
      <c r="H85" s="193"/>
    </row>
    <row r="86" spans="2:8" x14ac:dyDescent="0.35">
      <c r="B86" s="46">
        <v>384</v>
      </c>
      <c r="C86" s="240" t="s">
        <v>85</v>
      </c>
      <c r="D86" s="43">
        <v>336341.21290986671</v>
      </c>
      <c r="E86" s="306">
        <v>303301.1904919456</v>
      </c>
      <c r="F86" s="306">
        <f t="shared" si="2"/>
        <v>33040.022417921107</v>
      </c>
      <c r="G86" s="193">
        <f t="shared" si="3"/>
        <v>33000</v>
      </c>
      <c r="H86" s="193"/>
    </row>
    <row r="87" spans="2:8" x14ac:dyDescent="0.35">
      <c r="B87" s="46">
        <v>1774</v>
      </c>
      <c r="C87" s="240" t="s">
        <v>86</v>
      </c>
      <c r="D87" s="43">
        <v>64827.754719408185</v>
      </c>
      <c r="E87" s="306">
        <v>67504.892983899234</v>
      </c>
      <c r="F87" s="306">
        <f t="shared" si="2"/>
        <v>-2677.1382644910482</v>
      </c>
      <c r="G87" s="193">
        <f t="shared" si="3"/>
        <v>-3000</v>
      </c>
      <c r="H87" s="193"/>
    </row>
    <row r="88" spans="2:8" x14ac:dyDescent="0.35">
      <c r="B88" s="46">
        <v>221</v>
      </c>
      <c r="C88" s="240" t="s">
        <v>87</v>
      </c>
      <c r="D88" s="43">
        <v>436622.33346333588</v>
      </c>
      <c r="E88" s="306">
        <v>373976.48727948189</v>
      </c>
      <c r="F88" s="306">
        <f t="shared" si="2"/>
        <v>62645.846183853981</v>
      </c>
      <c r="G88" s="193">
        <f t="shared" si="3"/>
        <v>63000</v>
      </c>
      <c r="H88" s="193"/>
    </row>
    <row r="89" spans="2:8" x14ac:dyDescent="0.35">
      <c r="B89" s="46">
        <v>222</v>
      </c>
      <c r="C89" s="240" t="s">
        <v>88</v>
      </c>
      <c r="D89" s="43">
        <v>1475257.8186773064</v>
      </c>
      <c r="E89" s="306">
        <v>1456925.172976474</v>
      </c>
      <c r="F89" s="306">
        <f t="shared" si="2"/>
        <v>18332.645700832363</v>
      </c>
      <c r="G89" s="193">
        <f t="shared" si="3"/>
        <v>18000</v>
      </c>
      <c r="H89" s="193"/>
    </row>
    <row r="90" spans="2:8" x14ac:dyDescent="0.35">
      <c r="B90" s="46">
        <v>766</v>
      </c>
      <c r="C90" s="240" t="s">
        <v>89</v>
      </c>
      <c r="D90" s="43">
        <v>139245.91389900446</v>
      </c>
      <c r="E90" s="306">
        <v>185809.43517328793</v>
      </c>
      <c r="F90" s="306">
        <f t="shared" si="2"/>
        <v>-46563.52127428347</v>
      </c>
      <c r="G90" s="193">
        <f t="shared" si="3"/>
        <v>-47000</v>
      </c>
      <c r="H90" s="193"/>
    </row>
    <row r="91" spans="2:8" x14ac:dyDescent="0.35">
      <c r="B91" s="46">
        <v>505</v>
      </c>
      <c r="C91" s="240" t="s">
        <v>90</v>
      </c>
      <c r="D91" s="43">
        <v>5597690.5507303625</v>
      </c>
      <c r="E91" s="306">
        <v>5520778.4437355036</v>
      </c>
      <c r="F91" s="306">
        <f t="shared" si="2"/>
        <v>76912.106994858943</v>
      </c>
      <c r="G91" s="193">
        <f t="shared" si="3"/>
        <v>77000</v>
      </c>
      <c r="H91" s="193"/>
    </row>
    <row r="92" spans="2:8" x14ac:dyDescent="0.35">
      <c r="B92" s="46">
        <v>498</v>
      </c>
      <c r="C92" s="240" t="s">
        <v>91</v>
      </c>
      <c r="D92" s="43">
        <v>47974.181979836081</v>
      </c>
      <c r="E92" s="306">
        <v>49764.159023303786</v>
      </c>
      <c r="F92" s="306">
        <f t="shared" si="2"/>
        <v>-1789.9770434677048</v>
      </c>
      <c r="G92" s="193">
        <f t="shared" si="3"/>
        <v>-2000</v>
      </c>
      <c r="H92" s="193"/>
    </row>
    <row r="93" spans="2:8" x14ac:dyDescent="0.35">
      <c r="B93" s="46">
        <v>1719</v>
      </c>
      <c r="C93" s="240" t="s">
        <v>92</v>
      </c>
      <c r="D93" s="43">
        <v>67453.421612431848</v>
      </c>
      <c r="E93" s="306">
        <v>70110.601335009342</v>
      </c>
      <c r="F93" s="306">
        <f t="shared" si="2"/>
        <v>-2657.1797225774935</v>
      </c>
      <c r="G93" s="193">
        <f t="shared" si="3"/>
        <v>-3000</v>
      </c>
      <c r="H93" s="193"/>
    </row>
    <row r="94" spans="2:8" x14ac:dyDescent="0.35">
      <c r="B94" s="46">
        <v>303</v>
      </c>
      <c r="C94" s="240" t="s">
        <v>93</v>
      </c>
      <c r="D94" s="43">
        <v>572393.2006338262</v>
      </c>
      <c r="E94" s="306">
        <v>664266.25724563445</v>
      </c>
      <c r="F94" s="306">
        <f t="shared" si="2"/>
        <v>-91873.05661180825</v>
      </c>
      <c r="G94" s="193">
        <f t="shared" si="3"/>
        <v>-92000</v>
      </c>
      <c r="H94" s="193"/>
    </row>
    <row r="95" spans="2:8" x14ac:dyDescent="0.35">
      <c r="B95" s="46">
        <v>225</v>
      </c>
      <c r="C95" s="240" t="s">
        <v>94</v>
      </c>
      <c r="D95" s="43">
        <v>211502.0011226456</v>
      </c>
      <c r="E95" s="306">
        <v>259400.2139817866</v>
      </c>
      <c r="F95" s="306">
        <f t="shared" si="2"/>
        <v>-47898.212859141</v>
      </c>
      <c r="G95" s="193">
        <f t="shared" si="3"/>
        <v>-48000</v>
      </c>
      <c r="H95" s="193"/>
    </row>
    <row r="96" spans="2:8" x14ac:dyDescent="0.35">
      <c r="B96" s="46">
        <v>226</v>
      </c>
      <c r="C96" s="240" t="s">
        <v>95</v>
      </c>
      <c r="D96" s="43">
        <v>385483.74937946966</v>
      </c>
      <c r="E96" s="306">
        <v>410550.69811364816</v>
      </c>
      <c r="F96" s="306">
        <f t="shared" si="2"/>
        <v>-25066.948734178499</v>
      </c>
      <c r="G96" s="193">
        <f t="shared" si="3"/>
        <v>-25000</v>
      </c>
      <c r="H96" s="193"/>
    </row>
    <row r="97" spans="2:8" x14ac:dyDescent="0.35">
      <c r="B97" s="46">
        <v>1711</v>
      </c>
      <c r="C97" s="240" t="s">
        <v>96</v>
      </c>
      <c r="D97" s="43">
        <v>397820.85151358892</v>
      </c>
      <c r="E97" s="306">
        <v>482517.62850071758</v>
      </c>
      <c r="F97" s="306">
        <f t="shared" si="2"/>
        <v>-84696.776987128658</v>
      </c>
      <c r="G97" s="193">
        <f t="shared" si="3"/>
        <v>-85000</v>
      </c>
      <c r="H97" s="193"/>
    </row>
    <row r="98" spans="2:8" x14ac:dyDescent="0.35">
      <c r="B98" s="46">
        <v>385</v>
      </c>
      <c r="C98" s="240" t="s">
        <v>97</v>
      </c>
      <c r="D98" s="43">
        <v>88963.542195071233</v>
      </c>
      <c r="E98" s="306">
        <v>92567.586236399104</v>
      </c>
      <c r="F98" s="306">
        <f t="shared" si="2"/>
        <v>-3604.0440413278702</v>
      </c>
      <c r="G98" s="193">
        <f t="shared" si="3"/>
        <v>-4000</v>
      </c>
      <c r="H98" s="193"/>
    </row>
    <row r="99" spans="2:8" x14ac:dyDescent="0.35">
      <c r="B99" s="46">
        <v>228</v>
      </c>
      <c r="C99" s="240" t="s">
        <v>98</v>
      </c>
      <c r="D99" s="43">
        <v>1569748.8728347262</v>
      </c>
      <c r="E99" s="306">
        <v>1518242.332896726</v>
      </c>
      <c r="F99" s="306">
        <f t="shared" si="2"/>
        <v>51506.539938000264</v>
      </c>
      <c r="G99" s="193">
        <f t="shared" si="3"/>
        <v>52000</v>
      </c>
      <c r="H99" s="193"/>
    </row>
    <row r="100" spans="2:8" x14ac:dyDescent="0.35">
      <c r="B100" s="46">
        <v>317</v>
      </c>
      <c r="C100" s="240" t="s">
        <v>99</v>
      </c>
      <c r="D100" s="43">
        <v>22355.342712137321</v>
      </c>
      <c r="E100" s="306">
        <v>23487.903781735502</v>
      </c>
      <c r="F100" s="306">
        <f t="shared" si="2"/>
        <v>-1132.5610695981813</v>
      </c>
      <c r="G100" s="193">
        <f t="shared" si="3"/>
        <v>-1000</v>
      </c>
      <c r="H100" s="193"/>
    </row>
    <row r="101" spans="2:8" x14ac:dyDescent="0.35">
      <c r="B101" s="46">
        <v>770</v>
      </c>
      <c r="C101" s="240" t="s">
        <v>100</v>
      </c>
      <c r="D101" s="43">
        <v>46150.693496752596</v>
      </c>
      <c r="E101" s="306">
        <v>48814.414857945892</v>
      </c>
      <c r="F101" s="306">
        <f t="shared" si="2"/>
        <v>-2663.7213611932966</v>
      </c>
      <c r="G101" s="193">
        <f t="shared" si="3"/>
        <v>-3000</v>
      </c>
      <c r="H101" s="193"/>
    </row>
    <row r="102" spans="2:8" x14ac:dyDescent="0.35">
      <c r="B102" s="46">
        <v>1903</v>
      </c>
      <c r="C102" s="240" t="s">
        <v>101</v>
      </c>
      <c r="D102" s="43">
        <v>62264.696873014007</v>
      </c>
      <c r="E102" s="306">
        <v>88236.728071535937</v>
      </c>
      <c r="F102" s="306">
        <f t="shared" si="2"/>
        <v>-25972.03119852193</v>
      </c>
      <c r="G102" s="193">
        <f t="shared" si="3"/>
        <v>-26000</v>
      </c>
      <c r="H102" s="193"/>
    </row>
    <row r="103" spans="2:8" x14ac:dyDescent="0.35">
      <c r="B103" s="46">
        <v>772</v>
      </c>
      <c r="C103" s="240" t="s">
        <v>102</v>
      </c>
      <c r="D103" s="43">
        <v>8748163.3902281206</v>
      </c>
      <c r="E103" s="306">
        <v>8333925.1143561918</v>
      </c>
      <c r="F103" s="306">
        <f t="shared" si="2"/>
        <v>414238.27587192878</v>
      </c>
      <c r="G103" s="193">
        <f t="shared" si="3"/>
        <v>414000</v>
      </c>
      <c r="H103" s="193"/>
    </row>
    <row r="104" spans="2:8" x14ac:dyDescent="0.35">
      <c r="B104" s="46">
        <v>230</v>
      </c>
      <c r="C104" s="240" t="s">
        <v>103</v>
      </c>
      <c r="D104" s="43">
        <v>119546.58547459351</v>
      </c>
      <c r="E104" s="306">
        <v>139865.49567666801</v>
      </c>
      <c r="F104" s="306">
        <f t="shared" si="2"/>
        <v>-20318.910202074505</v>
      </c>
      <c r="G104" s="193">
        <f t="shared" si="3"/>
        <v>-20000</v>
      </c>
      <c r="H104" s="193"/>
    </row>
    <row r="105" spans="2:8" x14ac:dyDescent="0.35">
      <c r="B105" s="46">
        <v>114</v>
      </c>
      <c r="C105" s="240" t="s">
        <v>104</v>
      </c>
      <c r="D105" s="43">
        <v>5908024.4930524742</v>
      </c>
      <c r="E105" s="306">
        <v>5682329.7558316588</v>
      </c>
      <c r="F105" s="306">
        <f t="shared" si="2"/>
        <v>225694.73722081538</v>
      </c>
      <c r="G105" s="193">
        <f t="shared" si="3"/>
        <v>226000</v>
      </c>
      <c r="H105" s="193"/>
    </row>
    <row r="106" spans="2:8" x14ac:dyDescent="0.35">
      <c r="B106" s="46">
        <v>388</v>
      </c>
      <c r="C106" s="240" t="s">
        <v>105</v>
      </c>
      <c r="D106" s="43">
        <v>341491.28938856703</v>
      </c>
      <c r="E106" s="306">
        <v>349007.94365433604</v>
      </c>
      <c r="F106" s="306">
        <f t="shared" si="2"/>
        <v>-7516.6542657690006</v>
      </c>
      <c r="G106" s="193">
        <f t="shared" si="3"/>
        <v>-8000</v>
      </c>
      <c r="H106" s="193"/>
    </row>
    <row r="107" spans="2:8" x14ac:dyDescent="0.35">
      <c r="B107" s="46">
        <v>153</v>
      </c>
      <c r="C107" s="240" t="s">
        <v>106</v>
      </c>
      <c r="D107" s="43">
        <v>10894896.845202208</v>
      </c>
      <c r="E107" s="306">
        <v>10381223.040936599</v>
      </c>
      <c r="F107" s="306">
        <f t="shared" si="2"/>
        <v>513673.80426560901</v>
      </c>
      <c r="G107" s="193">
        <f t="shared" si="3"/>
        <v>514000</v>
      </c>
      <c r="H107" s="193"/>
    </row>
    <row r="108" spans="2:8" x14ac:dyDescent="0.35">
      <c r="B108" s="46">
        <v>232</v>
      </c>
      <c r="C108" s="240" t="s">
        <v>107</v>
      </c>
      <c r="D108" s="43">
        <v>329311.43729713943</v>
      </c>
      <c r="E108" s="306">
        <v>414139.26365010941</v>
      </c>
      <c r="F108" s="306">
        <f t="shared" si="2"/>
        <v>-84827.826352969976</v>
      </c>
      <c r="G108" s="193">
        <f t="shared" si="3"/>
        <v>-85000</v>
      </c>
      <c r="H108" s="193"/>
    </row>
    <row r="109" spans="2:8" x14ac:dyDescent="0.35">
      <c r="B109" s="46">
        <v>233</v>
      </c>
      <c r="C109" s="240" t="s">
        <v>108</v>
      </c>
      <c r="D109" s="43">
        <v>179835.81956934975</v>
      </c>
      <c r="E109" s="306">
        <v>268262.30321976863</v>
      </c>
      <c r="F109" s="306">
        <f t="shared" si="2"/>
        <v>-88426.483650418872</v>
      </c>
      <c r="G109" s="193">
        <f t="shared" si="3"/>
        <v>-88000</v>
      </c>
      <c r="H109" s="193"/>
    </row>
    <row r="110" spans="2:8" x14ac:dyDescent="0.35">
      <c r="B110" s="46">
        <v>777</v>
      </c>
      <c r="C110" s="240" t="s">
        <v>109</v>
      </c>
      <c r="D110" s="43">
        <v>590685.68810505467</v>
      </c>
      <c r="E110" s="306">
        <v>689739.29663901334</v>
      </c>
      <c r="F110" s="306">
        <f t="shared" si="2"/>
        <v>-99053.608533958672</v>
      </c>
      <c r="G110" s="193">
        <f t="shared" si="3"/>
        <v>-99000</v>
      </c>
      <c r="H110" s="193"/>
    </row>
    <row r="111" spans="2:8" x14ac:dyDescent="0.35">
      <c r="B111" s="46">
        <v>779</v>
      </c>
      <c r="C111" s="240" t="s">
        <v>110</v>
      </c>
      <c r="D111" s="43">
        <v>252099.49107155253</v>
      </c>
      <c r="E111" s="306">
        <v>275380.73179219506</v>
      </c>
      <c r="F111" s="306">
        <f t="shared" si="2"/>
        <v>-23281.240720642527</v>
      </c>
      <c r="G111" s="193">
        <f t="shared" si="3"/>
        <v>-23000</v>
      </c>
      <c r="H111" s="193"/>
    </row>
    <row r="112" spans="2:8" x14ac:dyDescent="0.35">
      <c r="B112" s="46">
        <v>1771</v>
      </c>
      <c r="C112" s="240" t="s">
        <v>111</v>
      </c>
      <c r="D112" s="43">
        <v>671454.40248834703</v>
      </c>
      <c r="E112" s="306">
        <v>720156.45087668067</v>
      </c>
      <c r="F112" s="306">
        <f t="shared" si="2"/>
        <v>-48702.048388333642</v>
      </c>
      <c r="G112" s="193">
        <f t="shared" si="3"/>
        <v>-49000</v>
      </c>
      <c r="H112" s="193"/>
    </row>
    <row r="113" spans="2:8" x14ac:dyDescent="0.35">
      <c r="B113" s="46">
        <v>1652</v>
      </c>
      <c r="C113" s="240" t="s">
        <v>112</v>
      </c>
      <c r="D113" s="43">
        <v>216891.82386664377</v>
      </c>
      <c r="E113" s="306">
        <v>259030.07900363801</v>
      </c>
      <c r="F113" s="306">
        <f t="shared" si="2"/>
        <v>-42138.255136994238</v>
      </c>
      <c r="G113" s="193">
        <f t="shared" si="3"/>
        <v>-42000</v>
      </c>
      <c r="H113" s="193"/>
    </row>
    <row r="114" spans="2:8" x14ac:dyDescent="0.35">
      <c r="B114" s="46">
        <v>907</v>
      </c>
      <c r="C114" s="240" t="s">
        <v>113</v>
      </c>
      <c r="D114" s="43">
        <v>279488.41175789875</v>
      </c>
      <c r="E114" s="306">
        <v>243559.07466079871</v>
      </c>
      <c r="F114" s="306">
        <f t="shared" si="2"/>
        <v>35929.33709710004</v>
      </c>
      <c r="G114" s="193">
        <f t="shared" si="3"/>
        <v>36000</v>
      </c>
      <c r="H114" s="193"/>
    </row>
    <row r="115" spans="2:8" x14ac:dyDescent="0.35">
      <c r="B115" s="46">
        <v>784</v>
      </c>
      <c r="C115" s="240" t="s">
        <v>114</v>
      </c>
      <c r="D115" s="43">
        <v>423811.49960562249</v>
      </c>
      <c r="E115" s="306">
        <v>428545.12773569196</v>
      </c>
      <c r="F115" s="306">
        <f t="shared" si="2"/>
        <v>-4733.6281300694682</v>
      </c>
      <c r="G115" s="193">
        <f t="shared" si="3"/>
        <v>-5000</v>
      </c>
      <c r="H115" s="193"/>
    </row>
    <row r="116" spans="2:8" x14ac:dyDescent="0.35">
      <c r="B116" s="46">
        <v>1924</v>
      </c>
      <c r="C116" s="240" t="s">
        <v>115</v>
      </c>
      <c r="D116" s="43">
        <v>133681.87654149139</v>
      </c>
      <c r="E116" s="306">
        <v>313049.78846234031</v>
      </c>
      <c r="F116" s="306">
        <f t="shared" si="2"/>
        <v>-179367.91192084891</v>
      </c>
      <c r="G116" s="193">
        <f t="shared" si="3"/>
        <v>-179000</v>
      </c>
      <c r="H116" s="193"/>
    </row>
    <row r="117" spans="2:8" x14ac:dyDescent="0.35">
      <c r="B117" s="46">
        <v>664</v>
      </c>
      <c r="C117" s="240" t="s">
        <v>116</v>
      </c>
      <c r="D117" s="43">
        <v>822507.96414026688</v>
      </c>
      <c r="E117" s="306">
        <v>833938.33530432812</v>
      </c>
      <c r="F117" s="306">
        <f t="shared" si="2"/>
        <v>-11430.371164061246</v>
      </c>
      <c r="G117" s="193">
        <f t="shared" si="3"/>
        <v>-11000</v>
      </c>
      <c r="H117" s="193"/>
    </row>
    <row r="118" spans="2:8" x14ac:dyDescent="0.35">
      <c r="B118" s="46">
        <v>785</v>
      </c>
      <c r="C118" s="240" t="s">
        <v>117</v>
      </c>
      <c r="D118" s="43">
        <v>163235.36948262568</v>
      </c>
      <c r="E118" s="306">
        <v>143746.85974387053</v>
      </c>
      <c r="F118" s="306">
        <f t="shared" si="2"/>
        <v>19488.50973875515</v>
      </c>
      <c r="G118" s="193">
        <f t="shared" si="3"/>
        <v>19000</v>
      </c>
      <c r="H118" s="193"/>
    </row>
    <row r="119" spans="2:8" x14ac:dyDescent="0.35">
      <c r="B119" s="46">
        <v>1942</v>
      </c>
      <c r="C119" s="240" t="s">
        <v>118</v>
      </c>
      <c r="D119" s="43">
        <v>505457.64186432649</v>
      </c>
      <c r="E119" s="306">
        <v>589519.21656731784</v>
      </c>
      <c r="F119" s="306">
        <f t="shared" si="2"/>
        <v>-84061.574702991347</v>
      </c>
      <c r="G119" s="193">
        <f t="shared" si="3"/>
        <v>-84000</v>
      </c>
      <c r="H119" s="193"/>
    </row>
    <row r="120" spans="2:8" x14ac:dyDescent="0.35">
      <c r="B120" s="46">
        <v>512</v>
      </c>
      <c r="C120" s="240" t="s">
        <v>119</v>
      </c>
      <c r="D120" s="43">
        <v>857350.09463414096</v>
      </c>
      <c r="E120" s="306">
        <v>1009447.2323899156</v>
      </c>
      <c r="F120" s="306">
        <f t="shared" si="2"/>
        <v>-152097.13775577466</v>
      </c>
      <c r="G120" s="193">
        <f t="shared" si="3"/>
        <v>-152000</v>
      </c>
      <c r="H120" s="193"/>
    </row>
    <row r="121" spans="2:8" x14ac:dyDescent="0.35">
      <c r="B121" s="46">
        <v>513</v>
      </c>
      <c r="C121" s="240" t="s">
        <v>120</v>
      </c>
      <c r="D121" s="43">
        <v>2117255.0623657997</v>
      </c>
      <c r="E121" s="306">
        <v>2068113.1607132345</v>
      </c>
      <c r="F121" s="306">
        <f t="shared" si="2"/>
        <v>49141.901652565226</v>
      </c>
      <c r="G121" s="193">
        <f t="shared" si="3"/>
        <v>49000</v>
      </c>
      <c r="H121" s="193"/>
    </row>
    <row r="123" spans="2:8" x14ac:dyDescent="0.35">
      <c r="B123" s="46">
        <v>14</v>
      </c>
      <c r="C123" s="240" t="s">
        <v>122</v>
      </c>
      <c r="D123" s="43">
        <v>15999919.225257274</v>
      </c>
      <c r="E123" s="306">
        <v>16040112.832200984</v>
      </c>
      <c r="F123" s="306">
        <f t="shared" si="2"/>
        <v>-40193.606943709776</v>
      </c>
      <c r="G123" s="193">
        <f t="shared" si="3"/>
        <v>-40000</v>
      </c>
      <c r="H123" s="193"/>
    </row>
    <row r="124" spans="2:8" x14ac:dyDescent="0.35">
      <c r="B124" s="46">
        <v>1729</v>
      </c>
      <c r="C124" s="240" t="s">
        <v>123</v>
      </c>
      <c r="D124" s="43">
        <v>129946.28175116927</v>
      </c>
      <c r="E124" s="306">
        <v>180026.88067492147</v>
      </c>
      <c r="F124" s="306">
        <f t="shared" si="2"/>
        <v>-50080.598923752201</v>
      </c>
      <c r="G124" s="193">
        <f t="shared" si="3"/>
        <v>-50000</v>
      </c>
      <c r="H124" s="193"/>
    </row>
    <row r="125" spans="2:8" x14ac:dyDescent="0.35">
      <c r="B125" s="46">
        <v>158</v>
      </c>
      <c r="C125" s="240" t="s">
        <v>124</v>
      </c>
      <c r="D125" s="43">
        <v>332460.71713197476</v>
      </c>
      <c r="E125" s="306">
        <v>330824.21016265597</v>
      </c>
      <c r="F125" s="306">
        <f t="shared" si="2"/>
        <v>1636.5069693187834</v>
      </c>
      <c r="G125" s="193">
        <f t="shared" si="3"/>
        <v>2000</v>
      </c>
      <c r="H125" s="193"/>
    </row>
    <row r="126" spans="2:8" x14ac:dyDescent="0.35">
      <c r="B126" s="46">
        <v>788</v>
      </c>
      <c r="C126" s="240" t="s">
        <v>125</v>
      </c>
      <c r="D126" s="43">
        <v>34607.150524442928</v>
      </c>
      <c r="E126" s="306">
        <v>36548.915423281185</v>
      </c>
      <c r="F126" s="306">
        <f t="shared" si="2"/>
        <v>-1941.7648988382571</v>
      </c>
      <c r="G126" s="193">
        <f t="shared" si="3"/>
        <v>-2000</v>
      </c>
      <c r="H126" s="193"/>
    </row>
    <row r="127" spans="2:8" x14ac:dyDescent="0.35">
      <c r="B127" s="46">
        <v>392</v>
      </c>
      <c r="C127" s="240" t="s">
        <v>126</v>
      </c>
      <c r="D127" s="43">
        <v>3521729.3431171617</v>
      </c>
      <c r="E127" s="306">
        <v>3802520.1155138323</v>
      </c>
      <c r="F127" s="306">
        <f t="shared" si="2"/>
        <v>-280790.77239667065</v>
      </c>
      <c r="G127" s="193">
        <f t="shared" si="3"/>
        <v>-281000</v>
      </c>
      <c r="H127" s="193"/>
    </row>
    <row r="128" spans="2:8" x14ac:dyDescent="0.35">
      <c r="B128" s="46">
        <v>394</v>
      </c>
      <c r="C128" s="240" t="s">
        <v>127</v>
      </c>
      <c r="D128" s="43">
        <v>612067.48112023668</v>
      </c>
      <c r="E128" s="306">
        <v>899147.70631807705</v>
      </c>
      <c r="F128" s="306">
        <f t="shared" si="2"/>
        <v>-287080.22519784037</v>
      </c>
      <c r="G128" s="193">
        <f t="shared" si="3"/>
        <v>-287000</v>
      </c>
      <c r="H128" s="193"/>
    </row>
    <row r="129" spans="2:8" x14ac:dyDescent="0.35">
      <c r="B129" s="46">
        <v>1655</v>
      </c>
      <c r="C129" s="240" t="s">
        <v>128</v>
      </c>
      <c r="D129" s="43">
        <v>368167.15560414171</v>
      </c>
      <c r="E129" s="306">
        <v>371433.09644647548</v>
      </c>
      <c r="F129" s="306">
        <f t="shared" si="2"/>
        <v>-3265.9408423337736</v>
      </c>
      <c r="G129" s="193">
        <f t="shared" si="3"/>
        <v>-3000</v>
      </c>
      <c r="H129" s="193"/>
    </row>
    <row r="130" spans="2:8" x14ac:dyDescent="0.35">
      <c r="B130" s="46">
        <v>160</v>
      </c>
      <c r="C130" s="240" t="s">
        <v>129</v>
      </c>
      <c r="D130" s="43">
        <v>915271.16046855447</v>
      </c>
      <c r="E130" s="306">
        <v>927045.61446537427</v>
      </c>
      <c r="F130" s="306">
        <f t="shared" si="2"/>
        <v>-11774.453996819793</v>
      </c>
      <c r="G130" s="193">
        <f t="shared" si="3"/>
        <v>-12000</v>
      </c>
      <c r="H130" s="193"/>
    </row>
    <row r="131" spans="2:8" x14ac:dyDescent="0.35">
      <c r="B131" s="46">
        <v>243</v>
      </c>
      <c r="C131" s="240" t="s">
        <v>130</v>
      </c>
      <c r="D131" s="43">
        <v>807487.31234638777</v>
      </c>
      <c r="E131" s="306">
        <v>893225.98048254801</v>
      </c>
      <c r="F131" s="306">
        <f t="shared" si="2"/>
        <v>-85738.668136160239</v>
      </c>
      <c r="G131" s="193">
        <f t="shared" si="3"/>
        <v>-86000</v>
      </c>
      <c r="H131" s="193"/>
    </row>
    <row r="132" spans="2:8" x14ac:dyDescent="0.35">
      <c r="B132" s="46">
        <v>523</v>
      </c>
      <c r="C132" s="240" t="s">
        <v>131</v>
      </c>
      <c r="D132" s="43">
        <v>43521.113538314596</v>
      </c>
      <c r="E132" s="306">
        <v>45470.016600446317</v>
      </c>
      <c r="F132" s="306">
        <f t="shared" si="2"/>
        <v>-1948.9030621317215</v>
      </c>
      <c r="G132" s="193">
        <f t="shared" si="3"/>
        <v>-2000</v>
      </c>
      <c r="H132" s="193"/>
    </row>
    <row r="133" spans="2:8" x14ac:dyDescent="0.35">
      <c r="B133" s="46">
        <v>72</v>
      </c>
      <c r="C133" s="240" t="s">
        <v>132</v>
      </c>
      <c r="D133" s="43">
        <v>846595.60965679109</v>
      </c>
      <c r="E133" s="306">
        <v>796904.40859914885</v>
      </c>
      <c r="F133" s="306">
        <f t="shared" si="2"/>
        <v>49691.201057642233</v>
      </c>
      <c r="G133" s="193">
        <f t="shared" si="3"/>
        <v>50000</v>
      </c>
      <c r="H133" s="193"/>
    </row>
    <row r="134" spans="2:8" x14ac:dyDescent="0.35">
      <c r="B134" s="46">
        <v>244</v>
      </c>
      <c r="C134" s="240" t="s">
        <v>133</v>
      </c>
      <c r="D134" s="43">
        <v>64796.343203322234</v>
      </c>
      <c r="E134" s="306">
        <v>42031.822580831402</v>
      </c>
      <c r="F134" s="306">
        <f t="shared" si="2"/>
        <v>22764.520622490832</v>
      </c>
      <c r="G134" s="193">
        <f t="shared" si="3"/>
        <v>23000</v>
      </c>
      <c r="H134" s="193"/>
    </row>
    <row r="135" spans="2:8" x14ac:dyDescent="0.35">
      <c r="B135" s="46">
        <v>396</v>
      </c>
      <c r="C135" s="240" t="s">
        <v>134</v>
      </c>
      <c r="D135" s="43">
        <v>877223.29931879544</v>
      </c>
      <c r="E135" s="306">
        <v>938852.71185790782</v>
      </c>
      <c r="F135" s="306">
        <f t="shared" si="2"/>
        <v>-61629.412539112382</v>
      </c>
      <c r="G135" s="193">
        <f t="shared" si="3"/>
        <v>-62000</v>
      </c>
      <c r="H135" s="193"/>
    </row>
    <row r="136" spans="2:8" x14ac:dyDescent="0.35">
      <c r="B136" s="46">
        <v>397</v>
      </c>
      <c r="C136" s="240" t="s">
        <v>135</v>
      </c>
      <c r="D136" s="43">
        <v>58907.286747508355</v>
      </c>
      <c r="E136" s="306">
        <v>61644.078561776194</v>
      </c>
      <c r="F136" s="306">
        <f t="shared" si="2"/>
        <v>-2736.7918142678391</v>
      </c>
      <c r="G136" s="193">
        <f t="shared" si="3"/>
        <v>-3000</v>
      </c>
      <c r="H136" s="193"/>
    </row>
    <row r="137" spans="2:8" x14ac:dyDescent="0.35">
      <c r="B137" s="46">
        <v>246</v>
      </c>
      <c r="C137" s="240" t="s">
        <v>136</v>
      </c>
      <c r="D137" s="43">
        <v>67638.91965465949</v>
      </c>
      <c r="E137" s="306">
        <v>82142.850793384248</v>
      </c>
      <c r="F137" s="306">
        <f t="shared" si="2"/>
        <v>-14503.931138724758</v>
      </c>
      <c r="G137" s="193">
        <f t="shared" si="3"/>
        <v>-15000</v>
      </c>
      <c r="H137" s="193"/>
    </row>
    <row r="138" spans="2:8" x14ac:dyDescent="0.35">
      <c r="B138" s="46">
        <v>74</v>
      </c>
      <c r="C138" s="240" t="s">
        <v>137</v>
      </c>
      <c r="D138" s="43">
        <v>1982629.5565710035</v>
      </c>
      <c r="E138" s="306">
        <v>1866799.9479035644</v>
      </c>
      <c r="F138" s="306">
        <f t="shared" si="2"/>
        <v>115829.60866743908</v>
      </c>
      <c r="G138" s="193">
        <f t="shared" si="3"/>
        <v>116000</v>
      </c>
      <c r="H138" s="193"/>
    </row>
    <row r="140" spans="2:8" x14ac:dyDescent="0.35">
      <c r="B140" s="46">
        <v>917</v>
      </c>
      <c r="C140" s="240" t="s">
        <v>139</v>
      </c>
      <c r="D140" s="43">
        <v>7152761.9853558419</v>
      </c>
      <c r="E140" s="306">
        <v>6706754.8465743111</v>
      </c>
      <c r="F140" s="306">
        <f t="shared" si="2"/>
        <v>446007.13878153078</v>
      </c>
      <c r="G140" s="193">
        <f t="shared" si="3"/>
        <v>446000</v>
      </c>
      <c r="H140" s="193"/>
    </row>
    <row r="141" spans="2:8" x14ac:dyDescent="0.35">
      <c r="B141" s="46">
        <v>1658</v>
      </c>
      <c r="C141" s="240" t="s">
        <v>140</v>
      </c>
      <c r="D141" s="43">
        <v>38316.736537239391</v>
      </c>
      <c r="E141" s="306">
        <v>40096.250468250393</v>
      </c>
      <c r="F141" s="306">
        <f t="shared" ref="F141:F204" si="4">+D141-E141</f>
        <v>-1779.5139310110026</v>
      </c>
      <c r="G141" s="193">
        <f t="shared" ref="G141:G204" si="5">IF(F141&lt;0,MROUND(F141,-1000),MROUND(F141,1000))</f>
        <v>-2000</v>
      </c>
      <c r="H141" s="193"/>
    </row>
    <row r="142" spans="2:8" x14ac:dyDescent="0.35">
      <c r="B142" s="46">
        <v>399</v>
      </c>
      <c r="C142" s="240" t="s">
        <v>141</v>
      </c>
      <c r="D142" s="43">
        <v>147292.02923073139</v>
      </c>
      <c r="E142" s="306">
        <v>119342.99826321003</v>
      </c>
      <c r="F142" s="306">
        <f t="shared" si="4"/>
        <v>27949.030967521365</v>
      </c>
      <c r="G142" s="193">
        <f t="shared" si="5"/>
        <v>28000</v>
      </c>
      <c r="H142" s="193"/>
    </row>
    <row r="143" spans="2:8" x14ac:dyDescent="0.35">
      <c r="B143" s="46">
        <v>163</v>
      </c>
      <c r="C143" s="240" t="s">
        <v>142</v>
      </c>
      <c r="D143" s="43">
        <v>362409.76850130636</v>
      </c>
      <c r="E143" s="306">
        <v>381245.54242391681</v>
      </c>
      <c r="F143" s="306">
        <f t="shared" si="4"/>
        <v>-18835.773922610446</v>
      </c>
      <c r="G143" s="193">
        <f t="shared" si="5"/>
        <v>-19000</v>
      </c>
      <c r="H143" s="193"/>
    </row>
    <row r="144" spans="2:8" x14ac:dyDescent="0.35">
      <c r="B144" s="46">
        <v>530</v>
      </c>
      <c r="C144" s="240" t="s">
        <v>143</v>
      </c>
      <c r="D144" s="43">
        <v>945547.42949568597</v>
      </c>
      <c r="E144" s="306">
        <v>943765.75501971797</v>
      </c>
      <c r="F144" s="306">
        <f t="shared" si="4"/>
        <v>1781.6744759680005</v>
      </c>
      <c r="G144" s="193">
        <f t="shared" si="5"/>
        <v>2000</v>
      </c>
      <c r="H144" s="193"/>
    </row>
    <row r="145" spans="2:8" x14ac:dyDescent="0.35">
      <c r="B145" s="46">
        <v>794</v>
      </c>
      <c r="C145" s="240" t="s">
        <v>144</v>
      </c>
      <c r="D145" s="43">
        <v>3514759.2402670518</v>
      </c>
      <c r="E145" s="306">
        <v>3539373.9279947248</v>
      </c>
      <c r="F145" s="306">
        <f t="shared" si="4"/>
        <v>-24614.687727672979</v>
      </c>
      <c r="G145" s="193">
        <f t="shared" si="5"/>
        <v>-25000</v>
      </c>
      <c r="H145" s="193"/>
    </row>
    <row r="146" spans="2:8" x14ac:dyDescent="0.35">
      <c r="B146" s="46">
        <v>531</v>
      </c>
      <c r="C146" s="240" t="s">
        <v>145</v>
      </c>
      <c r="D146" s="43">
        <v>89735.221433966202</v>
      </c>
      <c r="E146" s="306">
        <v>172877.86432842372</v>
      </c>
      <c r="F146" s="306">
        <f t="shared" si="4"/>
        <v>-83142.642894457516</v>
      </c>
      <c r="G146" s="193">
        <f t="shared" si="5"/>
        <v>-83000</v>
      </c>
      <c r="H146" s="193"/>
    </row>
    <row r="147" spans="2:8" x14ac:dyDescent="0.35">
      <c r="B147" s="46">
        <v>164</v>
      </c>
      <c r="C147" s="240" t="s">
        <v>146</v>
      </c>
      <c r="D147" s="43">
        <v>3200633.6824236535</v>
      </c>
      <c r="E147" s="306">
        <v>3213631.7983901463</v>
      </c>
      <c r="F147" s="306">
        <f t="shared" si="4"/>
        <v>-12998.115966492798</v>
      </c>
      <c r="G147" s="193">
        <f t="shared" si="5"/>
        <v>-13000</v>
      </c>
      <c r="H147" s="193"/>
    </row>
    <row r="148" spans="2:8" x14ac:dyDescent="0.35">
      <c r="B148" s="46">
        <v>1966</v>
      </c>
      <c r="C148" s="240" t="s">
        <v>147</v>
      </c>
      <c r="D148" s="43">
        <v>1535193.1788188759</v>
      </c>
      <c r="E148" s="306">
        <v>1500148.5282159508</v>
      </c>
      <c r="F148" s="306">
        <f t="shared" si="4"/>
        <v>35044.650602925103</v>
      </c>
      <c r="G148" s="193">
        <f t="shared" si="5"/>
        <v>35000</v>
      </c>
      <c r="H148" s="193"/>
    </row>
    <row r="149" spans="2:8" x14ac:dyDescent="0.35">
      <c r="B149" s="46">
        <v>252</v>
      </c>
      <c r="C149" s="240" t="s">
        <v>148</v>
      </c>
      <c r="D149" s="43">
        <v>221642.14456887697</v>
      </c>
      <c r="E149" s="306">
        <v>199933.46396583351</v>
      </c>
      <c r="F149" s="306">
        <f t="shared" si="4"/>
        <v>21708.680603043467</v>
      </c>
      <c r="G149" s="193">
        <f t="shared" si="5"/>
        <v>22000</v>
      </c>
      <c r="H149" s="193"/>
    </row>
    <row r="150" spans="2:8" x14ac:dyDescent="0.35">
      <c r="B150" s="46">
        <v>797</v>
      </c>
      <c r="C150" s="240" t="s">
        <v>149</v>
      </c>
      <c r="D150" s="43">
        <v>326401.11054578784</v>
      </c>
      <c r="E150" s="306">
        <v>264192.03483981889</v>
      </c>
      <c r="F150" s="306">
        <f t="shared" si="4"/>
        <v>62209.075705968949</v>
      </c>
      <c r="G150" s="193">
        <f t="shared" si="5"/>
        <v>62000</v>
      </c>
      <c r="H150" s="193"/>
    </row>
    <row r="151" spans="2:8" x14ac:dyDescent="0.35">
      <c r="B151" s="46">
        <v>534</v>
      </c>
      <c r="C151" s="240" t="s">
        <v>150</v>
      </c>
      <c r="D151" s="43">
        <v>53053.340887652332</v>
      </c>
      <c r="E151" s="306">
        <v>107376.63558594274</v>
      </c>
      <c r="F151" s="306">
        <f t="shared" si="4"/>
        <v>-54323.29469829041</v>
      </c>
      <c r="G151" s="193">
        <f t="shared" si="5"/>
        <v>-54000</v>
      </c>
      <c r="H151" s="193"/>
    </row>
    <row r="152" spans="2:8" x14ac:dyDescent="0.35">
      <c r="B152" s="46">
        <v>798</v>
      </c>
      <c r="C152" s="240" t="s">
        <v>151</v>
      </c>
      <c r="D152" s="43">
        <v>37788.47270630319</v>
      </c>
      <c r="E152" s="306">
        <v>39028.802966160118</v>
      </c>
      <c r="F152" s="306">
        <f t="shared" si="4"/>
        <v>-1240.330259856928</v>
      </c>
      <c r="G152" s="193">
        <f t="shared" si="5"/>
        <v>-1000</v>
      </c>
      <c r="H152" s="193"/>
    </row>
    <row r="153" spans="2:8" x14ac:dyDescent="0.35">
      <c r="B153" s="46">
        <v>402</v>
      </c>
      <c r="C153" s="240" t="s">
        <v>152</v>
      </c>
      <c r="D153" s="43">
        <v>2120516.4864728767</v>
      </c>
      <c r="E153" s="306">
        <v>2390575.8894438753</v>
      </c>
      <c r="F153" s="306">
        <f t="shared" si="4"/>
        <v>-270059.40297099855</v>
      </c>
      <c r="G153" s="193">
        <f t="shared" si="5"/>
        <v>-270000</v>
      </c>
      <c r="H153" s="193"/>
    </row>
    <row r="154" spans="2:8" x14ac:dyDescent="0.35">
      <c r="B154" s="46">
        <v>1963</v>
      </c>
      <c r="C154" s="240" t="s">
        <v>153</v>
      </c>
      <c r="D154" s="43">
        <v>209607.26198465738</v>
      </c>
      <c r="E154" s="306">
        <v>308992.59428968839</v>
      </c>
      <c r="F154" s="306">
        <f t="shared" si="4"/>
        <v>-99385.332305031014</v>
      </c>
      <c r="G154" s="193">
        <f t="shared" si="5"/>
        <v>-99000</v>
      </c>
      <c r="H154" s="193"/>
    </row>
    <row r="155" spans="2:8" x14ac:dyDescent="0.35">
      <c r="B155" s="46">
        <v>1735</v>
      </c>
      <c r="C155" s="240" t="s">
        <v>154</v>
      </c>
      <c r="D155" s="43">
        <v>287060.52604571963</v>
      </c>
      <c r="E155" s="306">
        <v>369683.57951418293</v>
      </c>
      <c r="F155" s="306">
        <f t="shared" si="4"/>
        <v>-82623.053468463302</v>
      </c>
      <c r="G155" s="193">
        <f t="shared" si="5"/>
        <v>-83000</v>
      </c>
      <c r="H155" s="193"/>
    </row>
    <row r="156" spans="2:8" x14ac:dyDescent="0.35">
      <c r="B156" s="46">
        <v>1911</v>
      </c>
      <c r="C156" s="240" t="s">
        <v>155</v>
      </c>
      <c r="D156" s="43">
        <v>277173.35950135341</v>
      </c>
      <c r="E156" s="306">
        <v>308073.67508456099</v>
      </c>
      <c r="F156" s="306">
        <f t="shared" si="4"/>
        <v>-30900.315583207586</v>
      </c>
      <c r="G156" s="193">
        <f t="shared" si="5"/>
        <v>-31000</v>
      </c>
      <c r="H156" s="193"/>
    </row>
    <row r="157" spans="2:8" x14ac:dyDescent="0.35">
      <c r="B157" s="46">
        <v>118</v>
      </c>
      <c r="C157" s="240" t="s">
        <v>156</v>
      </c>
      <c r="D157" s="43">
        <v>1751146.2269737066</v>
      </c>
      <c r="E157" s="306">
        <v>1851339.3506445501</v>
      </c>
      <c r="F157" s="306">
        <f t="shared" si="4"/>
        <v>-100193.12367084343</v>
      </c>
      <c r="G157" s="193">
        <f t="shared" si="5"/>
        <v>-100000</v>
      </c>
      <c r="H157" s="193"/>
    </row>
    <row r="158" spans="2:8" x14ac:dyDescent="0.35">
      <c r="B158" s="46">
        <v>405</v>
      </c>
      <c r="C158" s="240" t="s">
        <v>157</v>
      </c>
      <c r="D158" s="43">
        <v>1846745.934778308</v>
      </c>
      <c r="E158" s="306">
        <v>1770297.8650687011</v>
      </c>
      <c r="F158" s="306">
        <f t="shared" si="4"/>
        <v>76448.069709606934</v>
      </c>
      <c r="G158" s="193">
        <f t="shared" si="5"/>
        <v>76000</v>
      </c>
      <c r="H158" s="193"/>
    </row>
    <row r="159" spans="2:8" x14ac:dyDescent="0.35">
      <c r="B159" s="46">
        <v>1507</v>
      </c>
      <c r="C159" s="240" t="s">
        <v>158</v>
      </c>
      <c r="D159" s="43">
        <v>106537.11897088232</v>
      </c>
      <c r="E159" s="306">
        <v>110430.08226947633</v>
      </c>
      <c r="F159" s="306">
        <f t="shared" si="4"/>
        <v>-3892.9632985940116</v>
      </c>
      <c r="G159" s="193">
        <f t="shared" si="5"/>
        <v>-4000</v>
      </c>
      <c r="H159" s="193"/>
    </row>
    <row r="160" spans="2:8" x14ac:dyDescent="0.35">
      <c r="B160" s="46">
        <v>321</v>
      </c>
      <c r="C160" s="240" t="s">
        <v>159</v>
      </c>
      <c r="D160" s="43">
        <v>128567.67725362923</v>
      </c>
      <c r="E160" s="306">
        <v>133934.22099420941</v>
      </c>
      <c r="F160" s="306">
        <f t="shared" si="4"/>
        <v>-5366.5437405801786</v>
      </c>
      <c r="G160" s="193">
        <f t="shared" si="5"/>
        <v>-5000</v>
      </c>
      <c r="H160" s="193"/>
    </row>
    <row r="161" spans="2:8" x14ac:dyDescent="0.35">
      <c r="B161" s="46">
        <v>406</v>
      </c>
      <c r="C161" s="240" t="s">
        <v>160</v>
      </c>
      <c r="D161" s="43">
        <v>756589.67830418143</v>
      </c>
      <c r="E161" s="306">
        <v>755826.50514076068</v>
      </c>
      <c r="F161" s="306">
        <f t="shared" si="4"/>
        <v>763.17316342075355</v>
      </c>
      <c r="G161" s="193">
        <f t="shared" si="5"/>
        <v>1000</v>
      </c>
      <c r="H161" s="193"/>
    </row>
    <row r="162" spans="2:8" x14ac:dyDescent="0.35">
      <c r="B162" s="46">
        <v>677</v>
      </c>
      <c r="C162" s="240" t="s">
        <v>161</v>
      </c>
      <c r="D162" s="43">
        <v>163099.79519402742</v>
      </c>
      <c r="E162" s="306">
        <v>227560.6949085813</v>
      </c>
      <c r="F162" s="306">
        <f t="shared" si="4"/>
        <v>-64460.899714553874</v>
      </c>
      <c r="G162" s="193">
        <f t="shared" si="5"/>
        <v>-64000</v>
      </c>
      <c r="H162" s="193"/>
    </row>
    <row r="163" spans="2:8" x14ac:dyDescent="0.35">
      <c r="B163" s="46">
        <v>353</v>
      </c>
      <c r="C163" s="240" t="s">
        <v>162</v>
      </c>
      <c r="D163" s="43">
        <v>320465.55579507211</v>
      </c>
      <c r="E163" s="306">
        <v>350859.13075770705</v>
      </c>
      <c r="F163" s="306">
        <f t="shared" si="4"/>
        <v>-30393.574962634942</v>
      </c>
      <c r="G163" s="193">
        <f t="shared" si="5"/>
        <v>-30000</v>
      </c>
      <c r="H163" s="193"/>
    </row>
    <row r="164" spans="2:8" x14ac:dyDescent="0.35">
      <c r="B164" s="46">
        <v>1884</v>
      </c>
      <c r="C164" s="240" t="s">
        <v>163</v>
      </c>
      <c r="D164" s="43">
        <v>66252.110530228776</v>
      </c>
      <c r="E164" s="306">
        <v>69672.25787407493</v>
      </c>
      <c r="F164" s="306">
        <f t="shared" si="4"/>
        <v>-3420.1473438461544</v>
      </c>
      <c r="G164" s="193">
        <f t="shared" si="5"/>
        <v>-3000</v>
      </c>
      <c r="H164" s="193"/>
    </row>
    <row r="165" spans="2:8" x14ac:dyDescent="0.35">
      <c r="B165" s="46">
        <v>166</v>
      </c>
      <c r="C165" s="240" t="s">
        <v>164</v>
      </c>
      <c r="D165" s="43">
        <v>730168.08720933681</v>
      </c>
      <c r="E165" s="306">
        <v>853253.84142835264</v>
      </c>
      <c r="F165" s="306">
        <f t="shared" si="4"/>
        <v>-123085.75421901583</v>
      </c>
      <c r="G165" s="193">
        <f t="shared" si="5"/>
        <v>-123000</v>
      </c>
      <c r="H165" s="193"/>
    </row>
    <row r="166" spans="2:8" x14ac:dyDescent="0.35">
      <c r="B166" s="46">
        <v>678</v>
      </c>
      <c r="C166" s="240" t="s">
        <v>165</v>
      </c>
      <c r="D166" s="43">
        <v>30631.476063471197</v>
      </c>
      <c r="E166" s="306">
        <v>31901.662990226549</v>
      </c>
      <c r="F166" s="306">
        <f t="shared" si="4"/>
        <v>-1270.186926755352</v>
      </c>
      <c r="G166" s="193">
        <f t="shared" si="5"/>
        <v>-1000</v>
      </c>
      <c r="H166" s="193"/>
    </row>
    <row r="167" spans="2:8" x14ac:dyDescent="0.35">
      <c r="B167" s="46">
        <v>537</v>
      </c>
      <c r="C167" s="240" t="s">
        <v>166</v>
      </c>
      <c r="D167" s="43">
        <v>502460.74742638663</v>
      </c>
      <c r="E167" s="306">
        <v>619792.76041040965</v>
      </c>
      <c r="F167" s="306">
        <f t="shared" si="4"/>
        <v>-117332.01298402302</v>
      </c>
      <c r="G167" s="193">
        <f t="shared" si="5"/>
        <v>-117000</v>
      </c>
      <c r="H167" s="193"/>
    </row>
    <row r="168" spans="2:8" x14ac:dyDescent="0.35">
      <c r="B168" s="46">
        <v>928</v>
      </c>
      <c r="C168" s="240" t="s">
        <v>167</v>
      </c>
      <c r="D168" s="43">
        <v>2896770.5323404665</v>
      </c>
      <c r="E168" s="306">
        <v>2662354.3980634711</v>
      </c>
      <c r="F168" s="306">
        <f t="shared" si="4"/>
        <v>234416.13427699544</v>
      </c>
      <c r="G168" s="193">
        <f t="shared" si="5"/>
        <v>234000</v>
      </c>
      <c r="H168" s="193"/>
    </row>
    <row r="169" spans="2:8" x14ac:dyDescent="0.35">
      <c r="B169" s="46">
        <v>1598</v>
      </c>
      <c r="C169" s="240" t="s">
        <v>168</v>
      </c>
      <c r="D169" s="43">
        <v>56222.923873269567</v>
      </c>
      <c r="E169" s="306">
        <v>58563.498127987135</v>
      </c>
      <c r="F169" s="306">
        <f t="shared" si="4"/>
        <v>-2340.5742547175687</v>
      </c>
      <c r="G169" s="193">
        <f t="shared" si="5"/>
        <v>-2000</v>
      </c>
      <c r="H169" s="193"/>
    </row>
    <row r="170" spans="2:8" x14ac:dyDescent="0.35">
      <c r="B170" s="46">
        <v>542</v>
      </c>
      <c r="C170" s="240" t="s">
        <v>169</v>
      </c>
      <c r="D170" s="43">
        <v>455958.4096446092</v>
      </c>
      <c r="E170" s="306">
        <v>535612.81823130767</v>
      </c>
      <c r="F170" s="306">
        <f t="shared" si="4"/>
        <v>-79654.408586698468</v>
      </c>
      <c r="G170" s="193">
        <f t="shared" si="5"/>
        <v>-80000</v>
      </c>
      <c r="H170" s="193"/>
    </row>
    <row r="171" spans="2:8" x14ac:dyDescent="0.35">
      <c r="B171" s="46">
        <v>1931</v>
      </c>
      <c r="C171" s="240" t="s">
        <v>170</v>
      </c>
      <c r="D171" s="43">
        <v>294571.56674837484</v>
      </c>
      <c r="E171" s="306">
        <v>420744.68576563912</v>
      </c>
      <c r="F171" s="306">
        <f t="shared" si="4"/>
        <v>-126173.11901726428</v>
      </c>
      <c r="G171" s="193">
        <f t="shared" si="5"/>
        <v>-126000</v>
      </c>
      <c r="H171" s="193"/>
    </row>
    <row r="172" spans="2:8" x14ac:dyDescent="0.35">
      <c r="B172" s="46">
        <v>1659</v>
      </c>
      <c r="C172" s="240" t="s">
        <v>171</v>
      </c>
      <c r="D172" s="43">
        <v>54015.954979580529</v>
      </c>
      <c r="E172" s="306">
        <v>114532.62324464328</v>
      </c>
      <c r="F172" s="306">
        <f t="shared" si="4"/>
        <v>-60516.668265062755</v>
      </c>
      <c r="G172" s="193">
        <f t="shared" si="5"/>
        <v>-61000</v>
      </c>
      <c r="H172" s="193"/>
    </row>
    <row r="174" spans="2:8" x14ac:dyDescent="0.35">
      <c r="B174" s="46">
        <v>882</v>
      </c>
      <c r="C174" s="240" t="s">
        <v>173</v>
      </c>
      <c r="D174" s="43">
        <v>1547759.3065494797</v>
      </c>
      <c r="E174" s="306">
        <v>1582424.8161320372</v>
      </c>
      <c r="F174" s="306">
        <f t="shared" si="4"/>
        <v>-34665.509582557483</v>
      </c>
      <c r="G174" s="193">
        <f t="shared" si="5"/>
        <v>-35000</v>
      </c>
      <c r="H174" s="193"/>
    </row>
    <row r="175" spans="2:8" x14ac:dyDescent="0.35">
      <c r="B175" s="46">
        <v>415</v>
      </c>
      <c r="C175" s="240" t="s">
        <v>174</v>
      </c>
      <c r="D175" s="43">
        <v>27790.590572658715</v>
      </c>
      <c r="E175" s="306">
        <v>33737.72409572258</v>
      </c>
      <c r="F175" s="306">
        <f t="shared" si="4"/>
        <v>-5947.1335230638651</v>
      </c>
      <c r="G175" s="193">
        <f t="shared" si="5"/>
        <v>-6000</v>
      </c>
      <c r="H175" s="193"/>
    </row>
    <row r="177" spans="2:8" x14ac:dyDescent="0.35">
      <c r="B177" s="46">
        <v>1621</v>
      </c>
      <c r="C177" s="240" t="s">
        <v>176</v>
      </c>
      <c r="D177" s="43">
        <v>149815.62245350768</v>
      </c>
      <c r="E177" s="306">
        <v>158651.92170801089</v>
      </c>
      <c r="F177" s="306">
        <f t="shared" si="4"/>
        <v>-8836.2992545032175</v>
      </c>
      <c r="G177" s="193">
        <f t="shared" si="5"/>
        <v>-9000</v>
      </c>
      <c r="H177" s="193"/>
    </row>
    <row r="178" spans="2:8" x14ac:dyDescent="0.35">
      <c r="B178" s="46">
        <v>417</v>
      </c>
      <c r="C178" s="240" t="s">
        <v>177</v>
      </c>
      <c r="D178" s="43">
        <v>23110.564337105374</v>
      </c>
      <c r="E178" s="306">
        <v>49349.963129717144</v>
      </c>
      <c r="F178" s="306">
        <f t="shared" si="4"/>
        <v>-26239.39879261177</v>
      </c>
      <c r="G178" s="193">
        <f t="shared" si="5"/>
        <v>-26000</v>
      </c>
      <c r="H178" s="193"/>
    </row>
    <row r="179" spans="2:8" x14ac:dyDescent="0.35">
      <c r="B179" s="46">
        <v>80</v>
      </c>
      <c r="C179" s="240" t="s">
        <v>178</v>
      </c>
      <c r="D179" s="43">
        <v>9504086.5012895614</v>
      </c>
      <c r="E179" s="306">
        <v>9471682.0282647405</v>
      </c>
      <c r="F179" s="306">
        <f t="shared" si="4"/>
        <v>32404.473024820909</v>
      </c>
      <c r="G179" s="193">
        <f t="shared" si="5"/>
        <v>32000</v>
      </c>
      <c r="H179" s="193"/>
    </row>
    <row r="180" spans="2:8" x14ac:dyDescent="0.35">
      <c r="B180" s="46">
        <v>546</v>
      </c>
      <c r="C180" s="240" t="s">
        <v>179</v>
      </c>
      <c r="D180" s="43">
        <v>3921732.8698222442</v>
      </c>
      <c r="E180" s="306">
        <v>3960179.2664193795</v>
      </c>
      <c r="F180" s="306">
        <f t="shared" si="4"/>
        <v>-38446.396597135346</v>
      </c>
      <c r="G180" s="193">
        <f t="shared" si="5"/>
        <v>-38000</v>
      </c>
      <c r="H180" s="193"/>
    </row>
    <row r="181" spans="2:8" x14ac:dyDescent="0.35">
      <c r="B181" s="46">
        <v>547</v>
      </c>
      <c r="C181" s="240" t="s">
        <v>180</v>
      </c>
      <c r="D181" s="43">
        <v>233125.94085996583</v>
      </c>
      <c r="E181" s="306">
        <v>276055.17242217105</v>
      </c>
      <c r="F181" s="306">
        <f t="shared" si="4"/>
        <v>-42929.231562205212</v>
      </c>
      <c r="G181" s="193">
        <f t="shared" si="5"/>
        <v>-43000</v>
      </c>
      <c r="H181" s="193"/>
    </row>
    <row r="182" spans="2:8" x14ac:dyDescent="0.35">
      <c r="B182" s="46">
        <v>1916</v>
      </c>
      <c r="C182" s="240" t="s">
        <v>181</v>
      </c>
      <c r="D182" s="43">
        <v>2142799.3211067887</v>
      </c>
      <c r="E182" s="306">
        <v>2265347.3064975278</v>
      </c>
      <c r="F182" s="306">
        <f t="shared" si="4"/>
        <v>-122547.98539073905</v>
      </c>
      <c r="G182" s="193">
        <f t="shared" si="5"/>
        <v>-123000</v>
      </c>
      <c r="H182" s="193"/>
    </row>
    <row r="183" spans="2:8" x14ac:dyDescent="0.35">
      <c r="B183" s="46">
        <v>995</v>
      </c>
      <c r="C183" s="240" t="s">
        <v>182</v>
      </c>
      <c r="D183" s="43">
        <v>3218028.8979582228</v>
      </c>
      <c r="E183" s="306">
        <v>3002259.56673451</v>
      </c>
      <c r="F183" s="306">
        <f t="shared" si="4"/>
        <v>215769.33122371277</v>
      </c>
      <c r="G183" s="193">
        <f t="shared" si="5"/>
        <v>216000</v>
      </c>
      <c r="H183" s="193"/>
    </row>
    <row r="184" spans="2:8" x14ac:dyDescent="0.35">
      <c r="B184" s="46">
        <v>1640</v>
      </c>
      <c r="C184" s="240" t="s">
        <v>183</v>
      </c>
      <c r="D184" s="43">
        <v>170192.38130028738</v>
      </c>
      <c r="E184" s="306">
        <v>176939.09920965123</v>
      </c>
      <c r="F184" s="306">
        <f t="shared" si="4"/>
        <v>-6746.7179093638551</v>
      </c>
      <c r="G184" s="193">
        <f t="shared" si="5"/>
        <v>-7000</v>
      </c>
      <c r="H184" s="193"/>
    </row>
    <row r="185" spans="2:8" x14ac:dyDescent="0.35">
      <c r="B185" s="46">
        <v>327</v>
      </c>
      <c r="C185" s="240" t="s">
        <v>184</v>
      </c>
      <c r="D185" s="43">
        <v>72919.973996267974</v>
      </c>
      <c r="E185" s="306">
        <v>75415.368959465588</v>
      </c>
      <c r="F185" s="306">
        <f t="shared" si="4"/>
        <v>-2495.3949631976138</v>
      </c>
      <c r="G185" s="193">
        <f t="shared" si="5"/>
        <v>-2000</v>
      </c>
      <c r="H185" s="193"/>
    </row>
    <row r="186" spans="2:8" x14ac:dyDescent="0.35">
      <c r="B186" s="46">
        <v>1705</v>
      </c>
      <c r="C186" s="240" t="s">
        <v>185</v>
      </c>
      <c r="D186" s="43">
        <v>166072.6650128414</v>
      </c>
      <c r="E186" s="306">
        <v>294818.17073671089</v>
      </c>
      <c r="F186" s="306">
        <f t="shared" si="4"/>
        <v>-128745.50572386949</v>
      </c>
      <c r="G186" s="193">
        <f t="shared" si="5"/>
        <v>-129000</v>
      </c>
      <c r="H186" s="193"/>
    </row>
    <row r="187" spans="2:8" x14ac:dyDescent="0.35">
      <c r="B187" s="46">
        <v>553</v>
      </c>
      <c r="C187" s="240" t="s">
        <v>186</v>
      </c>
      <c r="D187" s="43">
        <v>55714.225369405074</v>
      </c>
      <c r="E187" s="306">
        <v>66828.005717224951</v>
      </c>
      <c r="F187" s="306">
        <f t="shared" si="4"/>
        <v>-11113.780347819877</v>
      </c>
      <c r="G187" s="193">
        <f t="shared" si="5"/>
        <v>-11000</v>
      </c>
      <c r="H187" s="193"/>
    </row>
    <row r="188" spans="2:8" x14ac:dyDescent="0.35">
      <c r="B188" s="46">
        <v>262</v>
      </c>
      <c r="C188" s="240" t="s">
        <v>187</v>
      </c>
      <c r="D188" s="43">
        <v>401915.91103465995</v>
      </c>
      <c r="E188" s="306">
        <v>436737.09819677757</v>
      </c>
      <c r="F188" s="306">
        <f t="shared" si="4"/>
        <v>-34821.187162117625</v>
      </c>
      <c r="G188" s="193">
        <f t="shared" si="5"/>
        <v>-35000</v>
      </c>
      <c r="H188" s="193"/>
    </row>
    <row r="189" spans="2:8" x14ac:dyDescent="0.35">
      <c r="B189" s="46">
        <v>809</v>
      </c>
      <c r="C189" s="240" t="s">
        <v>188</v>
      </c>
      <c r="D189" s="43">
        <v>100129.21676980027</v>
      </c>
      <c r="E189" s="306">
        <v>59768.942645556766</v>
      </c>
      <c r="F189" s="306">
        <f t="shared" si="4"/>
        <v>40360.274124243508</v>
      </c>
      <c r="G189" s="193">
        <f t="shared" si="5"/>
        <v>40000</v>
      </c>
      <c r="H189" s="193"/>
    </row>
    <row r="190" spans="2:8" x14ac:dyDescent="0.35">
      <c r="B190" s="46">
        <v>331</v>
      </c>
      <c r="C190" s="240" t="s">
        <v>189</v>
      </c>
      <c r="D190" s="43">
        <v>36728.031979016429</v>
      </c>
      <c r="E190" s="306">
        <v>38785.278821196553</v>
      </c>
      <c r="F190" s="306">
        <f t="shared" si="4"/>
        <v>-2057.2468421801241</v>
      </c>
      <c r="G190" s="193">
        <f t="shared" si="5"/>
        <v>-2000</v>
      </c>
      <c r="H190" s="193"/>
    </row>
    <row r="192" spans="2:8" x14ac:dyDescent="0.35">
      <c r="B192" s="46">
        <v>168</v>
      </c>
      <c r="C192" s="240" t="s">
        <v>191</v>
      </c>
      <c r="D192" s="43">
        <v>403355.21559301892</v>
      </c>
      <c r="E192" s="306">
        <v>334567.42312764941</v>
      </c>
      <c r="F192" s="306">
        <f t="shared" si="4"/>
        <v>68787.792465369508</v>
      </c>
      <c r="G192" s="193">
        <f t="shared" si="5"/>
        <v>69000</v>
      </c>
      <c r="H192" s="193"/>
    </row>
    <row r="193" spans="2:8" x14ac:dyDescent="0.35">
      <c r="B193" s="46">
        <v>263</v>
      </c>
      <c r="C193" s="240" t="s">
        <v>192</v>
      </c>
      <c r="D193" s="43">
        <v>61771.650630806878</v>
      </c>
      <c r="E193" s="306">
        <v>65390.291658465641</v>
      </c>
      <c r="F193" s="306">
        <f t="shared" si="4"/>
        <v>-3618.6410276587631</v>
      </c>
      <c r="G193" s="193">
        <f t="shared" si="5"/>
        <v>-4000</v>
      </c>
      <c r="H193" s="193"/>
    </row>
    <row r="194" spans="2:8" x14ac:dyDescent="0.35">
      <c r="B194" s="46">
        <v>1641</v>
      </c>
      <c r="C194" s="240" t="s">
        <v>193</v>
      </c>
      <c r="D194" s="43">
        <v>201038.49607508277</v>
      </c>
      <c r="E194" s="306">
        <v>212810.96731898375</v>
      </c>
      <c r="F194" s="306">
        <f t="shared" si="4"/>
        <v>-11772.471243900975</v>
      </c>
      <c r="G194" s="193">
        <f t="shared" si="5"/>
        <v>-12000</v>
      </c>
      <c r="H194" s="193"/>
    </row>
    <row r="195" spans="2:8" x14ac:dyDescent="0.35">
      <c r="B195" s="46">
        <v>556</v>
      </c>
      <c r="C195" s="240" t="s">
        <v>194</v>
      </c>
      <c r="D195" s="43">
        <v>1206369.8269406236</v>
      </c>
      <c r="E195" s="306">
        <v>1174849.3976537462</v>
      </c>
      <c r="F195" s="306">
        <f t="shared" si="4"/>
        <v>31520.429286877392</v>
      </c>
      <c r="G195" s="193">
        <f t="shared" si="5"/>
        <v>32000</v>
      </c>
      <c r="H195" s="193"/>
    </row>
    <row r="196" spans="2:8" x14ac:dyDescent="0.35">
      <c r="B196" s="46">
        <v>935</v>
      </c>
      <c r="C196" s="240" t="s">
        <v>195</v>
      </c>
      <c r="D196" s="43">
        <v>5129831.6267285263</v>
      </c>
      <c r="E196" s="306">
        <v>5203877.9895108622</v>
      </c>
      <c r="F196" s="306">
        <f t="shared" si="4"/>
        <v>-74046.36278233584</v>
      </c>
      <c r="G196" s="193">
        <f t="shared" si="5"/>
        <v>-74000</v>
      </c>
      <c r="H196" s="193"/>
    </row>
    <row r="197" spans="2:8" x14ac:dyDescent="0.35">
      <c r="B197" s="46">
        <v>420</v>
      </c>
      <c r="C197" s="240" t="s">
        <v>196</v>
      </c>
      <c r="D197" s="43">
        <v>272991.33572252019</v>
      </c>
      <c r="E197" s="306">
        <v>343455.73491348559</v>
      </c>
      <c r="F197" s="306">
        <f t="shared" si="4"/>
        <v>-70464.3991909654</v>
      </c>
      <c r="G197" s="193">
        <f t="shared" si="5"/>
        <v>-70000</v>
      </c>
      <c r="H197" s="193"/>
    </row>
    <row r="198" spans="2:8" x14ac:dyDescent="0.35">
      <c r="B198" s="46">
        <v>938</v>
      </c>
      <c r="C198" s="240" t="s">
        <v>197</v>
      </c>
      <c r="D198" s="43">
        <v>144851.82237741628</v>
      </c>
      <c r="E198" s="306">
        <v>162398.26495219106</v>
      </c>
      <c r="F198" s="306">
        <f t="shared" si="4"/>
        <v>-17546.442574774788</v>
      </c>
      <c r="G198" s="193">
        <f t="shared" si="5"/>
        <v>-18000</v>
      </c>
      <c r="H198" s="193"/>
    </row>
    <row r="199" spans="2:8" x14ac:dyDescent="0.35">
      <c r="B199" s="46">
        <v>1948</v>
      </c>
      <c r="C199" s="240" t="s">
        <v>198</v>
      </c>
      <c r="D199" s="43">
        <v>201397.65074536731</v>
      </c>
      <c r="E199" s="306">
        <v>343081.64881470043</v>
      </c>
      <c r="F199" s="306">
        <f t="shared" si="4"/>
        <v>-141683.99806933312</v>
      </c>
      <c r="G199" s="193">
        <f t="shared" si="5"/>
        <v>-142000</v>
      </c>
      <c r="H199" s="193"/>
    </row>
    <row r="200" spans="2:8" x14ac:dyDescent="0.35">
      <c r="B200" s="46">
        <v>119</v>
      </c>
      <c r="C200" s="240" t="s">
        <v>199</v>
      </c>
      <c r="D200" s="43">
        <v>815589.06901715521</v>
      </c>
      <c r="E200" s="306">
        <v>847241.00589139247</v>
      </c>
      <c r="F200" s="306">
        <f t="shared" si="4"/>
        <v>-31651.936874237261</v>
      </c>
      <c r="G200" s="193">
        <f t="shared" si="5"/>
        <v>-32000</v>
      </c>
      <c r="H200" s="193"/>
    </row>
    <row r="201" spans="2:8" x14ac:dyDescent="0.35">
      <c r="B201" s="46">
        <v>687</v>
      </c>
      <c r="C201" s="240" t="s">
        <v>200</v>
      </c>
      <c r="D201" s="43">
        <v>1849228.253988272</v>
      </c>
      <c r="E201" s="306">
        <v>1862478.4167404978</v>
      </c>
      <c r="F201" s="306">
        <f t="shared" si="4"/>
        <v>-13250.162752225762</v>
      </c>
      <c r="G201" s="193">
        <f t="shared" si="5"/>
        <v>-13000</v>
      </c>
      <c r="H201" s="193"/>
    </row>
    <row r="202" spans="2:8" x14ac:dyDescent="0.35">
      <c r="B202" s="46">
        <v>1731</v>
      </c>
      <c r="C202" s="240" t="s">
        <v>201</v>
      </c>
      <c r="D202" s="43">
        <v>537118.72769114783</v>
      </c>
      <c r="E202" s="306">
        <v>553262.05451343337</v>
      </c>
      <c r="F202" s="306">
        <f t="shared" si="4"/>
        <v>-16143.32682228554</v>
      </c>
      <c r="G202" s="193">
        <f t="shared" si="5"/>
        <v>-16000</v>
      </c>
      <c r="H202" s="193"/>
    </row>
    <row r="203" spans="2:8" x14ac:dyDescent="0.35">
      <c r="B203" s="46">
        <v>1842</v>
      </c>
      <c r="C203" s="240" t="s">
        <v>202</v>
      </c>
      <c r="D203" s="43">
        <v>48326.357867126884</v>
      </c>
      <c r="E203" s="306">
        <v>50584.023644681103</v>
      </c>
      <c r="F203" s="306">
        <f t="shared" si="4"/>
        <v>-2257.6657775542189</v>
      </c>
      <c r="G203" s="193">
        <f t="shared" si="5"/>
        <v>-2000</v>
      </c>
      <c r="H203" s="193"/>
    </row>
    <row r="204" spans="2:8" x14ac:dyDescent="0.35">
      <c r="B204" s="46">
        <v>1952</v>
      </c>
      <c r="C204" s="240" t="s">
        <v>203</v>
      </c>
      <c r="D204" s="43">
        <v>2799581.2614752357</v>
      </c>
      <c r="E204" s="306">
        <v>2876431.5113750831</v>
      </c>
      <c r="F204" s="306">
        <f t="shared" si="4"/>
        <v>-76850.249899847433</v>
      </c>
      <c r="G204" s="193">
        <f t="shared" si="5"/>
        <v>-77000</v>
      </c>
      <c r="H204" s="193"/>
    </row>
    <row r="206" spans="2:8" x14ac:dyDescent="0.35">
      <c r="B206" s="46">
        <v>1709</v>
      </c>
      <c r="C206" s="240" t="s">
        <v>205</v>
      </c>
      <c r="D206" s="43">
        <v>309608.15687033575</v>
      </c>
      <c r="E206" s="306">
        <v>349703.00138255279</v>
      </c>
      <c r="F206" s="306">
        <f t="shared" ref="F206:F268" si="6">+D206-E206</f>
        <v>-40094.844512217038</v>
      </c>
      <c r="G206" s="193">
        <f t="shared" ref="G206:G268" si="7">IF(F206&lt;0,MROUND(F206,-1000),MROUND(F206,1000))</f>
        <v>-40000</v>
      </c>
      <c r="H206" s="193"/>
    </row>
    <row r="207" spans="2:8" x14ac:dyDescent="0.35">
      <c r="B207" s="46">
        <v>1978</v>
      </c>
      <c r="C207" s="240" t="s">
        <v>206</v>
      </c>
      <c r="D207" s="43">
        <v>107460.6024086671</v>
      </c>
      <c r="E207" s="306">
        <v>111684.23161603868</v>
      </c>
      <c r="F207" s="306">
        <f t="shared" si="6"/>
        <v>-4223.6292073715886</v>
      </c>
      <c r="G207" s="193">
        <f t="shared" si="7"/>
        <v>-4000</v>
      </c>
      <c r="H207" s="193"/>
    </row>
    <row r="208" spans="2:8" x14ac:dyDescent="0.35">
      <c r="B208" s="46">
        <v>1955</v>
      </c>
      <c r="C208" s="240" t="s">
        <v>207</v>
      </c>
      <c r="D208" s="43">
        <v>342357.40007332677</v>
      </c>
      <c r="E208" s="306">
        <v>239576.66887640741</v>
      </c>
      <c r="F208" s="306">
        <f t="shared" si="6"/>
        <v>102780.73119691937</v>
      </c>
      <c r="G208" s="193">
        <f t="shared" si="7"/>
        <v>103000</v>
      </c>
      <c r="H208" s="193"/>
    </row>
    <row r="209" spans="2:8" x14ac:dyDescent="0.35">
      <c r="B209" s="46">
        <v>335</v>
      </c>
      <c r="C209" s="240" t="s">
        <v>208</v>
      </c>
      <c r="D209" s="43">
        <v>34094.538955164091</v>
      </c>
      <c r="E209" s="306">
        <v>35850.812874385636</v>
      </c>
      <c r="F209" s="306">
        <f t="shared" si="6"/>
        <v>-1756.2739192215449</v>
      </c>
      <c r="G209" s="193">
        <f t="shared" si="7"/>
        <v>-2000</v>
      </c>
      <c r="H209" s="193"/>
    </row>
    <row r="210" spans="2:8" x14ac:dyDescent="0.35">
      <c r="B210" s="46">
        <v>944</v>
      </c>
      <c r="C210" s="240" t="s">
        <v>209</v>
      </c>
      <c r="D210" s="43">
        <v>58990.584298386762</v>
      </c>
      <c r="E210" s="306">
        <v>60543.083914001341</v>
      </c>
      <c r="F210" s="306">
        <f t="shared" si="6"/>
        <v>-1552.4996156145789</v>
      </c>
      <c r="G210" s="193">
        <f t="shared" si="7"/>
        <v>-2000</v>
      </c>
      <c r="H210" s="193"/>
    </row>
    <row r="211" spans="2:8" x14ac:dyDescent="0.35">
      <c r="B211" s="46">
        <v>1740</v>
      </c>
      <c r="C211" s="240" t="s">
        <v>210</v>
      </c>
      <c r="D211" s="43">
        <v>163016.43978791547</v>
      </c>
      <c r="E211" s="306">
        <v>181086.3399133546</v>
      </c>
      <c r="F211" s="306">
        <f t="shared" si="6"/>
        <v>-18069.900125439133</v>
      </c>
      <c r="G211" s="193">
        <f t="shared" si="7"/>
        <v>-18000</v>
      </c>
      <c r="H211" s="193"/>
    </row>
    <row r="212" spans="2:8" x14ac:dyDescent="0.35">
      <c r="B212" s="46">
        <v>946</v>
      </c>
      <c r="C212" s="240" t="s">
        <v>211</v>
      </c>
      <c r="D212" s="43">
        <v>42358.93311025494</v>
      </c>
      <c r="E212" s="306">
        <v>43789.700000197743</v>
      </c>
      <c r="F212" s="306">
        <f t="shared" si="6"/>
        <v>-1430.7668899428027</v>
      </c>
      <c r="G212" s="193">
        <f t="shared" si="7"/>
        <v>-1000</v>
      </c>
      <c r="H212" s="193"/>
    </row>
    <row r="213" spans="2:8" x14ac:dyDescent="0.35">
      <c r="B213" s="46">
        <v>356</v>
      </c>
      <c r="C213" s="240" t="s">
        <v>212</v>
      </c>
      <c r="D213" s="43">
        <v>1219241.4200764855</v>
      </c>
      <c r="E213" s="306">
        <v>1211021.9238011679</v>
      </c>
      <c r="F213" s="306">
        <f t="shared" si="6"/>
        <v>8219.4962753176223</v>
      </c>
      <c r="G213" s="193">
        <f t="shared" si="7"/>
        <v>8000</v>
      </c>
      <c r="H213" s="193"/>
    </row>
    <row r="214" spans="2:8" x14ac:dyDescent="0.35">
      <c r="B214" s="46">
        <v>569</v>
      </c>
      <c r="C214" s="240" t="s">
        <v>213</v>
      </c>
      <c r="D214" s="43">
        <v>70568.221682248288</v>
      </c>
      <c r="E214" s="306">
        <v>74425.037436613769</v>
      </c>
      <c r="F214" s="306">
        <f t="shared" si="6"/>
        <v>-3856.8157543654816</v>
      </c>
      <c r="G214" s="193">
        <f t="shared" si="7"/>
        <v>-4000</v>
      </c>
      <c r="H214" s="193"/>
    </row>
    <row r="215" spans="2:8" x14ac:dyDescent="0.35">
      <c r="B215" s="46">
        <v>267</v>
      </c>
      <c r="C215" s="240" t="s">
        <v>214</v>
      </c>
      <c r="D215" s="43">
        <v>102851.01135057192</v>
      </c>
      <c r="E215" s="306">
        <v>159424.60420516238</v>
      </c>
      <c r="F215" s="306">
        <f t="shared" si="6"/>
        <v>-56573.592854590461</v>
      </c>
      <c r="G215" s="193">
        <f t="shared" si="7"/>
        <v>-57000</v>
      </c>
      <c r="H215" s="193"/>
    </row>
    <row r="216" spans="2:8" x14ac:dyDescent="0.35">
      <c r="B216" s="46">
        <v>268</v>
      </c>
      <c r="C216" s="240" t="s">
        <v>215</v>
      </c>
      <c r="D216" s="43">
        <v>10685136.815846732</v>
      </c>
      <c r="E216" s="306">
        <v>10503465.708815774</v>
      </c>
      <c r="F216" s="306">
        <f t="shared" si="6"/>
        <v>181671.10703095794</v>
      </c>
      <c r="G216" s="193">
        <f t="shared" si="7"/>
        <v>182000</v>
      </c>
      <c r="H216" s="193"/>
    </row>
    <row r="217" spans="2:8" x14ac:dyDescent="0.35">
      <c r="B217" s="46">
        <v>1930</v>
      </c>
      <c r="C217" s="240" t="s">
        <v>216</v>
      </c>
      <c r="D217" s="43">
        <v>2832848.6508689472</v>
      </c>
      <c r="E217" s="306">
        <v>3168112.4017275213</v>
      </c>
      <c r="F217" s="306">
        <f t="shared" si="6"/>
        <v>-335263.75085857417</v>
      </c>
      <c r="G217" s="193">
        <f t="shared" si="7"/>
        <v>-335000</v>
      </c>
      <c r="H217" s="193"/>
    </row>
    <row r="218" spans="2:8" x14ac:dyDescent="0.35">
      <c r="B218" s="46">
        <v>1970</v>
      </c>
      <c r="C218" s="240" t="s">
        <v>217</v>
      </c>
      <c r="D218" s="43">
        <v>1654564.9484987482</v>
      </c>
      <c r="E218" s="306">
        <v>1529874.0080798096</v>
      </c>
      <c r="F218" s="306">
        <f t="shared" si="6"/>
        <v>124690.94041893864</v>
      </c>
      <c r="G218" s="193">
        <f t="shared" si="7"/>
        <v>125000</v>
      </c>
      <c r="H218" s="193"/>
    </row>
    <row r="219" spans="2:8" x14ac:dyDescent="0.35">
      <c r="B219" s="46">
        <v>1695</v>
      </c>
      <c r="C219" s="240" t="s">
        <v>218</v>
      </c>
      <c r="D219" s="43">
        <v>101184.27797184237</v>
      </c>
      <c r="E219" s="306">
        <v>93030.639028197518</v>
      </c>
      <c r="F219" s="306">
        <f t="shared" si="6"/>
        <v>8153.6389436448517</v>
      </c>
      <c r="G219" s="193">
        <f t="shared" si="7"/>
        <v>8000</v>
      </c>
      <c r="H219" s="193"/>
    </row>
    <row r="220" spans="2:8" x14ac:dyDescent="0.35">
      <c r="B220" s="46">
        <v>1699</v>
      </c>
      <c r="C220" s="240" t="s">
        <v>219</v>
      </c>
      <c r="D220" s="43">
        <v>712263.12038619502</v>
      </c>
      <c r="E220" s="306">
        <v>694815.37392026011</v>
      </c>
      <c r="F220" s="306">
        <f t="shared" si="6"/>
        <v>17447.746465934906</v>
      </c>
      <c r="G220" s="193">
        <f t="shared" si="7"/>
        <v>17000</v>
      </c>
      <c r="H220" s="193"/>
    </row>
    <row r="221" spans="2:8" x14ac:dyDescent="0.35">
      <c r="B221" s="46">
        <v>171</v>
      </c>
      <c r="C221" s="240" t="s">
        <v>220</v>
      </c>
      <c r="D221" s="43">
        <v>1047177.3081697611</v>
      </c>
      <c r="E221" s="306">
        <v>1035024.8473976689</v>
      </c>
      <c r="F221" s="306">
        <f t="shared" si="6"/>
        <v>12152.460772092221</v>
      </c>
      <c r="G221" s="193">
        <f t="shared" si="7"/>
        <v>12000</v>
      </c>
      <c r="H221" s="193"/>
    </row>
    <row r="222" spans="2:8" x14ac:dyDescent="0.35">
      <c r="B222" s="46">
        <v>575</v>
      </c>
      <c r="C222" s="240" t="s">
        <v>221</v>
      </c>
      <c r="D222" s="43">
        <v>105750.59282259952</v>
      </c>
      <c r="E222" s="306">
        <v>182435.19852850318</v>
      </c>
      <c r="F222" s="306">
        <f t="shared" si="6"/>
        <v>-76684.605705903668</v>
      </c>
      <c r="G222" s="193">
        <f t="shared" si="7"/>
        <v>-77000</v>
      </c>
      <c r="H222" s="193"/>
    </row>
    <row r="223" spans="2:8" x14ac:dyDescent="0.35">
      <c r="B223" s="46">
        <v>820</v>
      </c>
      <c r="C223" s="240" t="s">
        <v>222</v>
      </c>
      <c r="D223" s="43">
        <v>274797.49574656197</v>
      </c>
      <c r="E223" s="306">
        <v>309674.78981251642</v>
      </c>
      <c r="F223" s="306">
        <f t="shared" si="6"/>
        <v>-34877.294065954455</v>
      </c>
      <c r="G223" s="193">
        <f t="shared" si="7"/>
        <v>-35000</v>
      </c>
      <c r="H223" s="193"/>
    </row>
    <row r="224" spans="2:8" x14ac:dyDescent="0.35">
      <c r="B224" s="46">
        <v>302</v>
      </c>
      <c r="C224" s="240" t="s">
        <v>223</v>
      </c>
      <c r="D224" s="43">
        <v>113580.32965784331</v>
      </c>
      <c r="E224" s="306">
        <v>124773.97111269504</v>
      </c>
      <c r="F224" s="306">
        <f t="shared" si="6"/>
        <v>-11193.641454851735</v>
      </c>
      <c r="G224" s="193">
        <f t="shared" si="7"/>
        <v>-11000</v>
      </c>
      <c r="H224" s="193"/>
    </row>
    <row r="225" spans="2:8" x14ac:dyDescent="0.35">
      <c r="B225" s="46">
        <v>579</v>
      </c>
      <c r="C225" s="240" t="s">
        <v>224</v>
      </c>
      <c r="D225" s="43">
        <v>124605.74789197056</v>
      </c>
      <c r="E225" s="306">
        <v>166020.92524940733</v>
      </c>
      <c r="F225" s="306">
        <f t="shared" si="6"/>
        <v>-41415.177357436769</v>
      </c>
      <c r="G225" s="193">
        <f t="shared" si="7"/>
        <v>-41000</v>
      </c>
      <c r="H225" s="193"/>
    </row>
    <row r="226" spans="2:8" x14ac:dyDescent="0.35">
      <c r="B226" s="46">
        <v>823</v>
      </c>
      <c r="C226" s="240" t="s">
        <v>225</v>
      </c>
      <c r="D226" s="43">
        <v>46737.653308903929</v>
      </c>
      <c r="E226" s="306">
        <v>48591.184391729301</v>
      </c>
      <c r="F226" s="306">
        <f t="shared" si="6"/>
        <v>-1853.5310828253714</v>
      </c>
      <c r="G226" s="193">
        <f t="shared" si="7"/>
        <v>-2000</v>
      </c>
      <c r="H226" s="193"/>
    </row>
    <row r="227" spans="2:8" x14ac:dyDescent="0.35">
      <c r="B227" s="46">
        <v>824</v>
      </c>
      <c r="C227" s="240" t="s">
        <v>226</v>
      </c>
      <c r="D227" s="43">
        <v>62569.915975332704</v>
      </c>
      <c r="E227" s="306">
        <v>120216.57429335052</v>
      </c>
      <c r="F227" s="306">
        <f t="shared" si="6"/>
        <v>-57646.65831801782</v>
      </c>
      <c r="G227" s="193">
        <f t="shared" si="7"/>
        <v>-58000</v>
      </c>
      <c r="H227" s="193"/>
    </row>
    <row r="228" spans="2:8" x14ac:dyDescent="0.35">
      <c r="B228" s="46">
        <v>1895</v>
      </c>
      <c r="C228" s="240" t="s">
        <v>227</v>
      </c>
      <c r="D228" s="43">
        <v>2373641.1665362022</v>
      </c>
      <c r="E228" s="306">
        <v>2388284.0683699497</v>
      </c>
      <c r="F228" s="306">
        <f t="shared" si="6"/>
        <v>-14642.901833747514</v>
      </c>
      <c r="G228" s="193">
        <f t="shared" si="7"/>
        <v>-15000</v>
      </c>
      <c r="H228" s="193"/>
    </row>
    <row r="229" spans="2:8" x14ac:dyDescent="0.35">
      <c r="B229" s="46">
        <v>269</v>
      </c>
      <c r="C229" s="240" t="s">
        <v>228</v>
      </c>
      <c r="D229" s="43">
        <v>207198.15455456902</v>
      </c>
      <c r="E229" s="306">
        <v>259012.74894182163</v>
      </c>
      <c r="F229" s="306">
        <f t="shared" si="6"/>
        <v>-51814.594387252611</v>
      </c>
      <c r="G229" s="193">
        <f t="shared" si="7"/>
        <v>-52000</v>
      </c>
      <c r="H229" s="193"/>
    </row>
    <row r="230" spans="2:8" x14ac:dyDescent="0.35">
      <c r="B230" s="46">
        <v>173</v>
      </c>
      <c r="C230" s="240" t="s">
        <v>229</v>
      </c>
      <c r="D230" s="43">
        <v>605583.54625085066</v>
      </c>
      <c r="E230" s="306">
        <v>633639.7518868153</v>
      </c>
      <c r="F230" s="306">
        <f t="shared" si="6"/>
        <v>-28056.205635964638</v>
      </c>
      <c r="G230" s="193">
        <f t="shared" si="7"/>
        <v>-28000</v>
      </c>
      <c r="H230" s="193"/>
    </row>
    <row r="231" spans="2:8" x14ac:dyDescent="0.35">
      <c r="B231" s="46">
        <v>1773</v>
      </c>
      <c r="C231" s="240" t="s">
        <v>230</v>
      </c>
      <c r="D231" s="43">
        <v>56699.850919655786</v>
      </c>
      <c r="E231" s="306">
        <v>93775.376587646475</v>
      </c>
      <c r="F231" s="306">
        <f t="shared" si="6"/>
        <v>-37075.525667990689</v>
      </c>
      <c r="G231" s="193">
        <f t="shared" si="7"/>
        <v>-37000</v>
      </c>
      <c r="H231" s="193"/>
    </row>
    <row r="232" spans="2:8" x14ac:dyDescent="0.35">
      <c r="B232" s="46">
        <v>175</v>
      </c>
      <c r="C232" s="240" t="s">
        <v>231</v>
      </c>
      <c r="D232" s="43">
        <v>154188.83642239249</v>
      </c>
      <c r="E232" s="306">
        <v>199946.5070894082</v>
      </c>
      <c r="F232" s="306">
        <f t="shared" si="6"/>
        <v>-45757.670667015715</v>
      </c>
      <c r="G232" s="193">
        <f t="shared" si="7"/>
        <v>-46000</v>
      </c>
      <c r="H232" s="193"/>
    </row>
    <row r="233" spans="2:8" x14ac:dyDescent="0.35">
      <c r="B233" s="46">
        <v>1586</v>
      </c>
      <c r="C233" s="240" t="s">
        <v>232</v>
      </c>
      <c r="D233" s="43">
        <v>186628.48215632801</v>
      </c>
      <c r="E233" s="306">
        <v>176872.81495541439</v>
      </c>
      <c r="F233" s="306">
        <f t="shared" si="6"/>
        <v>9755.6672009136237</v>
      </c>
      <c r="G233" s="193">
        <f t="shared" si="7"/>
        <v>10000</v>
      </c>
      <c r="H233" s="193"/>
    </row>
    <row r="234" spans="2:8" x14ac:dyDescent="0.35">
      <c r="B234" s="46">
        <v>826</v>
      </c>
      <c r="C234" s="240" t="s">
        <v>233</v>
      </c>
      <c r="D234" s="43">
        <v>973411.0849905113</v>
      </c>
      <c r="E234" s="306">
        <v>951009.50677684206</v>
      </c>
      <c r="F234" s="306">
        <f t="shared" si="6"/>
        <v>22401.578213669243</v>
      </c>
      <c r="G234" s="193">
        <f t="shared" si="7"/>
        <v>22000</v>
      </c>
      <c r="H234" s="193"/>
    </row>
    <row r="235" spans="2:8" x14ac:dyDescent="0.35">
      <c r="B235" s="46">
        <v>85</v>
      </c>
      <c r="C235" s="240" t="s">
        <v>234</v>
      </c>
      <c r="D235" s="43">
        <v>813144.7757248492</v>
      </c>
      <c r="E235" s="306">
        <v>721989.82947229687</v>
      </c>
      <c r="F235" s="306">
        <f t="shared" si="6"/>
        <v>91154.946252552327</v>
      </c>
      <c r="G235" s="193">
        <f t="shared" si="7"/>
        <v>91000</v>
      </c>
      <c r="H235" s="193"/>
    </row>
    <row r="236" spans="2:8" x14ac:dyDescent="0.35">
      <c r="B236" s="46">
        <v>431</v>
      </c>
      <c r="C236" s="240" t="s">
        <v>235</v>
      </c>
      <c r="D236" s="43">
        <v>24210.135718535552</v>
      </c>
      <c r="E236" s="306">
        <v>30460.834264802219</v>
      </c>
      <c r="F236" s="306">
        <f t="shared" si="6"/>
        <v>-6250.6985462666671</v>
      </c>
      <c r="G236" s="193">
        <f t="shared" si="7"/>
        <v>-6000</v>
      </c>
      <c r="H236" s="193"/>
    </row>
    <row r="237" spans="2:8" x14ac:dyDescent="0.35">
      <c r="B237" s="46">
        <v>432</v>
      </c>
      <c r="C237" s="240" t="s">
        <v>236</v>
      </c>
      <c r="D237" s="43">
        <v>35000.385116336889</v>
      </c>
      <c r="E237" s="306">
        <v>30403.989498700648</v>
      </c>
      <c r="F237" s="306">
        <f t="shared" si="6"/>
        <v>4596.3956176362408</v>
      </c>
      <c r="G237" s="193">
        <f t="shared" si="7"/>
        <v>5000</v>
      </c>
      <c r="H237" s="193"/>
    </row>
    <row r="238" spans="2:8" x14ac:dyDescent="0.35">
      <c r="B238" s="46">
        <v>86</v>
      </c>
      <c r="C238" s="240" t="s">
        <v>237</v>
      </c>
      <c r="D238" s="43">
        <v>767521.40572393185</v>
      </c>
      <c r="E238" s="306">
        <v>703461.23757031525</v>
      </c>
      <c r="F238" s="306">
        <f t="shared" si="6"/>
        <v>64060.1681536166</v>
      </c>
      <c r="G238" s="193">
        <f t="shared" si="7"/>
        <v>64000</v>
      </c>
      <c r="H238" s="193"/>
    </row>
    <row r="239" spans="2:8" x14ac:dyDescent="0.35">
      <c r="B239" s="46">
        <v>828</v>
      </c>
      <c r="C239" s="240" t="s">
        <v>238</v>
      </c>
      <c r="D239" s="43">
        <v>1542357.8977313247</v>
      </c>
      <c r="E239" s="306">
        <v>1630169.2503671662</v>
      </c>
      <c r="F239" s="306">
        <f t="shared" si="6"/>
        <v>-87811.352635841584</v>
      </c>
      <c r="G239" s="193">
        <f t="shared" si="7"/>
        <v>-88000</v>
      </c>
      <c r="H239" s="193"/>
    </row>
    <row r="240" spans="2:8" x14ac:dyDescent="0.35">
      <c r="B240" s="46">
        <v>1509</v>
      </c>
      <c r="C240" s="240" t="s">
        <v>239</v>
      </c>
      <c r="D240" s="43">
        <v>724283.65244612249</v>
      </c>
      <c r="E240" s="306">
        <v>733816.9550728075</v>
      </c>
      <c r="F240" s="306">
        <f t="shared" si="6"/>
        <v>-9533.3026266850065</v>
      </c>
      <c r="G240" s="193">
        <f t="shared" si="7"/>
        <v>-10000</v>
      </c>
      <c r="H240" s="193"/>
    </row>
    <row r="241" spans="2:8" x14ac:dyDescent="0.35">
      <c r="B241" s="46">
        <v>437</v>
      </c>
      <c r="C241" s="240" t="s">
        <v>240</v>
      </c>
      <c r="D241" s="43">
        <v>35232.234449018826</v>
      </c>
      <c r="E241" s="306">
        <v>62693.367743266281</v>
      </c>
      <c r="F241" s="306">
        <f t="shared" si="6"/>
        <v>-27461.133294247455</v>
      </c>
      <c r="G241" s="193">
        <f t="shared" si="7"/>
        <v>-27000</v>
      </c>
      <c r="H241" s="193"/>
    </row>
    <row r="242" spans="2:8" x14ac:dyDescent="0.35">
      <c r="B242" s="46">
        <v>589</v>
      </c>
      <c r="C242" s="240" t="s">
        <v>241</v>
      </c>
      <c r="D242" s="43">
        <v>24914.487493117154</v>
      </c>
      <c r="E242" s="306">
        <v>26008.378682108367</v>
      </c>
      <c r="F242" s="306">
        <f t="shared" si="6"/>
        <v>-1093.8911889912124</v>
      </c>
      <c r="G242" s="193">
        <f t="shared" si="7"/>
        <v>-1000</v>
      </c>
      <c r="H242" s="193"/>
    </row>
    <row r="243" spans="2:8" x14ac:dyDescent="0.35">
      <c r="B243" s="46">
        <v>1734</v>
      </c>
      <c r="C243" s="240" t="s">
        <v>242</v>
      </c>
      <c r="D243" s="43">
        <v>254379.83290312911</v>
      </c>
      <c r="E243" s="306">
        <v>393716.21308913123</v>
      </c>
      <c r="F243" s="306">
        <f t="shared" si="6"/>
        <v>-139336.38018600212</v>
      </c>
      <c r="G243" s="193">
        <f t="shared" si="7"/>
        <v>-139000</v>
      </c>
      <c r="H243" s="193"/>
    </row>
    <row r="244" spans="2:8" x14ac:dyDescent="0.35">
      <c r="B244" s="46">
        <v>590</v>
      </c>
      <c r="C244" s="240" t="s">
        <v>243</v>
      </c>
      <c r="D244" s="43">
        <v>472257.11089253193</v>
      </c>
      <c r="E244" s="306">
        <v>450387.34129040519</v>
      </c>
      <c r="F244" s="306">
        <f t="shared" si="6"/>
        <v>21869.769602126733</v>
      </c>
      <c r="G244" s="193">
        <f t="shared" si="7"/>
        <v>22000</v>
      </c>
      <c r="H244" s="193"/>
    </row>
    <row r="245" spans="2:8" x14ac:dyDescent="0.35">
      <c r="B245" s="46">
        <v>1894</v>
      </c>
      <c r="C245" s="240" t="s">
        <v>244</v>
      </c>
      <c r="D245" s="43">
        <v>108924.08887363109</v>
      </c>
      <c r="E245" s="306">
        <v>111720.76023778321</v>
      </c>
      <c r="F245" s="306">
        <f t="shared" si="6"/>
        <v>-2796.6713641521201</v>
      </c>
      <c r="G245" s="193">
        <f t="shared" si="7"/>
        <v>-3000</v>
      </c>
      <c r="H245" s="193"/>
    </row>
    <row r="246" spans="2:8" x14ac:dyDescent="0.35">
      <c r="B246" s="46">
        <v>765</v>
      </c>
      <c r="C246" s="240" t="s">
        <v>245</v>
      </c>
      <c r="D246" s="43">
        <v>767976.02735455788</v>
      </c>
      <c r="E246" s="306">
        <v>854382.57468780119</v>
      </c>
      <c r="F246" s="306">
        <f t="shared" si="6"/>
        <v>-86406.547333243303</v>
      </c>
      <c r="G246" s="193">
        <f t="shared" si="7"/>
        <v>-86000</v>
      </c>
      <c r="H246" s="193"/>
    </row>
    <row r="247" spans="2:8" x14ac:dyDescent="0.35">
      <c r="B247" s="46">
        <v>1926</v>
      </c>
      <c r="C247" s="240" t="s">
        <v>246</v>
      </c>
      <c r="D247" s="43">
        <v>133842.48943216258</v>
      </c>
      <c r="E247" s="306">
        <v>143736.06782899276</v>
      </c>
      <c r="F247" s="306">
        <f t="shared" si="6"/>
        <v>-9893.5783968301839</v>
      </c>
      <c r="G247" s="193">
        <f t="shared" si="7"/>
        <v>-10000</v>
      </c>
      <c r="H247" s="193"/>
    </row>
    <row r="249" spans="2:8" x14ac:dyDescent="0.35">
      <c r="B249" s="46">
        <v>273</v>
      </c>
      <c r="C249" s="240" t="s">
        <v>248</v>
      </c>
      <c r="D249" s="43">
        <v>59893.379231922605</v>
      </c>
      <c r="E249" s="306">
        <v>60966.269691627611</v>
      </c>
      <c r="F249" s="306">
        <f t="shared" si="6"/>
        <v>-1072.8904597050059</v>
      </c>
      <c r="G249" s="193">
        <f t="shared" si="7"/>
        <v>-1000</v>
      </c>
      <c r="H249" s="193"/>
    </row>
    <row r="250" spans="2:8" x14ac:dyDescent="0.35">
      <c r="B250" s="46">
        <v>177</v>
      </c>
      <c r="C250" s="240" t="s">
        <v>249</v>
      </c>
      <c r="D250" s="43">
        <v>130688.28515337907</v>
      </c>
      <c r="E250" s="306">
        <v>211432.63966537299</v>
      </c>
      <c r="F250" s="306">
        <f t="shared" si="6"/>
        <v>-80744.354511993923</v>
      </c>
      <c r="G250" s="193">
        <f t="shared" si="7"/>
        <v>-81000</v>
      </c>
      <c r="H250" s="193"/>
    </row>
    <row r="251" spans="2:8" x14ac:dyDescent="0.35">
      <c r="B251" s="46">
        <v>703</v>
      </c>
      <c r="C251" s="240" t="s">
        <v>250</v>
      </c>
      <c r="D251" s="43">
        <v>122794.15871148846</v>
      </c>
      <c r="E251" s="306">
        <v>181227.75175949719</v>
      </c>
      <c r="F251" s="306">
        <f t="shared" si="6"/>
        <v>-58433.593048008726</v>
      </c>
      <c r="G251" s="193">
        <f t="shared" si="7"/>
        <v>-58000</v>
      </c>
      <c r="H251" s="193"/>
    </row>
    <row r="252" spans="2:8" x14ac:dyDescent="0.35">
      <c r="B252" s="46">
        <v>274</v>
      </c>
      <c r="C252" s="240" t="s">
        <v>251</v>
      </c>
      <c r="D252" s="43">
        <v>747831.55397883826</v>
      </c>
      <c r="E252" s="306">
        <v>812584.07904784684</v>
      </c>
      <c r="F252" s="306">
        <f t="shared" si="6"/>
        <v>-64752.525069008581</v>
      </c>
      <c r="G252" s="193">
        <f t="shared" si="7"/>
        <v>-65000</v>
      </c>
      <c r="H252" s="193"/>
    </row>
    <row r="253" spans="2:8" x14ac:dyDescent="0.35">
      <c r="B253" s="46">
        <v>339</v>
      </c>
      <c r="C253" s="240" t="s">
        <v>252</v>
      </c>
      <c r="D253" s="43">
        <v>12588.331437939043</v>
      </c>
      <c r="E253" s="306">
        <v>13495.296366730698</v>
      </c>
      <c r="F253" s="306">
        <f t="shared" si="6"/>
        <v>-906.96492879165453</v>
      </c>
      <c r="G253" s="193">
        <f t="shared" si="7"/>
        <v>-1000</v>
      </c>
      <c r="H253" s="193"/>
    </row>
    <row r="254" spans="2:8" x14ac:dyDescent="0.35">
      <c r="B254" s="46">
        <v>1667</v>
      </c>
      <c r="C254" s="240" t="s">
        <v>253</v>
      </c>
      <c r="D254" s="43">
        <v>33116.27260157853</v>
      </c>
      <c r="E254" s="306">
        <v>33837.67994268686</v>
      </c>
      <c r="F254" s="306">
        <f t="shared" si="6"/>
        <v>-721.40734110833</v>
      </c>
      <c r="G254" s="193">
        <f t="shared" si="7"/>
        <v>-1000</v>
      </c>
      <c r="H254" s="193"/>
    </row>
    <row r="255" spans="2:8" x14ac:dyDescent="0.35">
      <c r="B255" s="46">
        <v>275</v>
      </c>
      <c r="C255" s="240" t="s">
        <v>254</v>
      </c>
      <c r="D255" s="43">
        <v>1240990.3109506546</v>
      </c>
      <c r="E255" s="306">
        <v>1251197.3192161564</v>
      </c>
      <c r="F255" s="306">
        <f t="shared" si="6"/>
        <v>-10207.00826550182</v>
      </c>
      <c r="G255" s="193">
        <f t="shared" si="7"/>
        <v>-10000</v>
      </c>
      <c r="H255" s="193"/>
    </row>
    <row r="256" spans="2:8" x14ac:dyDescent="0.35">
      <c r="B256" s="46">
        <v>340</v>
      </c>
      <c r="C256" s="240" t="s">
        <v>255</v>
      </c>
      <c r="D256" s="43">
        <v>224788.69267308965</v>
      </c>
      <c r="E256" s="306">
        <v>176603.11780323237</v>
      </c>
      <c r="F256" s="306">
        <f t="shared" si="6"/>
        <v>48185.574869857286</v>
      </c>
      <c r="G256" s="193">
        <f t="shared" si="7"/>
        <v>48000</v>
      </c>
      <c r="H256" s="193"/>
    </row>
    <row r="257" spans="2:8" x14ac:dyDescent="0.35">
      <c r="B257" s="46">
        <v>597</v>
      </c>
      <c r="C257" s="240" t="s">
        <v>256</v>
      </c>
      <c r="D257" s="43">
        <v>845090.27950512886</v>
      </c>
      <c r="E257" s="306">
        <v>1018367.5253688106</v>
      </c>
      <c r="F257" s="306">
        <f t="shared" si="6"/>
        <v>-173277.24586368178</v>
      </c>
      <c r="G257" s="193">
        <f t="shared" si="7"/>
        <v>-173000</v>
      </c>
      <c r="H257" s="193"/>
    </row>
    <row r="258" spans="2:8" x14ac:dyDescent="0.35">
      <c r="B258" s="46">
        <v>1742</v>
      </c>
      <c r="C258" s="240" t="s">
        <v>257</v>
      </c>
      <c r="D258" s="43">
        <v>198954.85728681172</v>
      </c>
      <c r="E258" s="306">
        <v>286163.3662397294</v>
      </c>
      <c r="F258" s="306">
        <f t="shared" si="6"/>
        <v>-87208.508952917677</v>
      </c>
      <c r="G258" s="193">
        <f t="shared" si="7"/>
        <v>-87000</v>
      </c>
      <c r="H258" s="193"/>
    </row>
    <row r="259" spans="2:8" x14ac:dyDescent="0.35">
      <c r="B259" s="46">
        <v>603</v>
      </c>
      <c r="C259" s="240" t="s">
        <v>258</v>
      </c>
      <c r="D259" s="43">
        <v>1671472.2606711625</v>
      </c>
      <c r="E259" s="306">
        <v>1694064.6933399676</v>
      </c>
      <c r="F259" s="306">
        <f t="shared" si="6"/>
        <v>-22592.432668805122</v>
      </c>
      <c r="G259" s="193">
        <f t="shared" si="7"/>
        <v>-23000</v>
      </c>
      <c r="H259" s="193"/>
    </row>
    <row r="260" spans="2:8" x14ac:dyDescent="0.35">
      <c r="B260" s="46">
        <v>1669</v>
      </c>
      <c r="C260" s="240" t="s">
        <v>259</v>
      </c>
      <c r="D260" s="43">
        <v>239217.13940772353</v>
      </c>
      <c r="E260" s="306">
        <v>224992.22248824991</v>
      </c>
      <c r="F260" s="306">
        <f t="shared" si="6"/>
        <v>14224.916919473617</v>
      </c>
      <c r="G260" s="193">
        <f t="shared" si="7"/>
        <v>14000</v>
      </c>
      <c r="H260" s="193"/>
    </row>
    <row r="261" spans="2:8" x14ac:dyDescent="0.35">
      <c r="B261" s="46">
        <v>957</v>
      </c>
      <c r="C261" s="240" t="s">
        <v>260</v>
      </c>
      <c r="D261" s="43">
        <v>2509204.5466818358</v>
      </c>
      <c r="E261" s="306">
        <v>2414695.4420464514</v>
      </c>
      <c r="F261" s="306">
        <f t="shared" si="6"/>
        <v>94509.104635384399</v>
      </c>
      <c r="G261" s="193">
        <f t="shared" si="7"/>
        <v>95000</v>
      </c>
      <c r="H261" s="193"/>
    </row>
    <row r="262" spans="2:8" x14ac:dyDescent="0.35">
      <c r="B262" s="46">
        <v>1674</v>
      </c>
      <c r="C262" s="240" t="s">
        <v>261</v>
      </c>
      <c r="D262" s="43">
        <v>2341855.0005894909</v>
      </c>
      <c r="E262" s="306">
        <v>2310136.8799294806</v>
      </c>
      <c r="F262" s="306">
        <f t="shared" si="6"/>
        <v>31718.12066001026</v>
      </c>
      <c r="G262" s="193">
        <f t="shared" si="7"/>
        <v>32000</v>
      </c>
      <c r="H262" s="193"/>
    </row>
    <row r="263" spans="2:8" x14ac:dyDescent="0.35">
      <c r="B263" s="46">
        <v>599</v>
      </c>
      <c r="C263" s="240" t="s">
        <v>262</v>
      </c>
      <c r="D263" s="43">
        <v>59520529.868783563</v>
      </c>
      <c r="E263" s="306">
        <v>56238836.010299698</v>
      </c>
      <c r="F263" s="306">
        <f t="shared" si="6"/>
        <v>3281693.8584838659</v>
      </c>
      <c r="G263" s="193">
        <f t="shared" si="7"/>
        <v>3282000</v>
      </c>
      <c r="H263" s="193"/>
    </row>
    <row r="264" spans="2:8" x14ac:dyDescent="0.35">
      <c r="B264" s="46">
        <v>277</v>
      </c>
      <c r="C264" s="240" t="s">
        <v>263</v>
      </c>
      <c r="D264" s="43">
        <v>3283.0618826331547</v>
      </c>
      <c r="E264" s="306">
        <v>3782.7417184339879</v>
      </c>
      <c r="F264" s="306">
        <f t="shared" si="6"/>
        <v>-499.67983580083319</v>
      </c>
      <c r="G264" s="193">
        <f t="shared" si="7"/>
        <v>0</v>
      </c>
      <c r="H264" s="193"/>
    </row>
    <row r="265" spans="2:8" x14ac:dyDescent="0.35">
      <c r="B265" s="46">
        <v>840</v>
      </c>
      <c r="C265" s="240" t="s">
        <v>264</v>
      </c>
      <c r="D265" s="43">
        <v>295758.77054274332</v>
      </c>
      <c r="E265" s="306">
        <v>251480.50564255478</v>
      </c>
      <c r="F265" s="306">
        <f t="shared" si="6"/>
        <v>44278.264900188544</v>
      </c>
      <c r="G265" s="193">
        <f t="shared" si="7"/>
        <v>44000</v>
      </c>
      <c r="H265" s="193"/>
    </row>
    <row r="266" spans="2:8" x14ac:dyDescent="0.35">
      <c r="B266" s="46">
        <v>441</v>
      </c>
      <c r="C266" s="240" t="s">
        <v>265</v>
      </c>
      <c r="D266" s="43">
        <v>259209.06512364576</v>
      </c>
      <c r="E266" s="306">
        <v>360328.09766203706</v>
      </c>
      <c r="F266" s="306">
        <f t="shared" si="6"/>
        <v>-101119.0325383913</v>
      </c>
      <c r="G266" s="193">
        <f t="shared" si="7"/>
        <v>-101000</v>
      </c>
      <c r="H266" s="193"/>
    </row>
    <row r="267" spans="2:8" x14ac:dyDescent="0.35">
      <c r="B267" s="46">
        <v>279</v>
      </c>
      <c r="C267" s="240" t="s">
        <v>266</v>
      </c>
      <c r="D267" s="43">
        <v>23505.783943953946</v>
      </c>
      <c r="E267" s="306">
        <v>24628.408527314852</v>
      </c>
      <c r="F267" s="306">
        <f t="shared" si="6"/>
        <v>-1122.6245833609064</v>
      </c>
      <c r="G267" s="193">
        <f t="shared" si="7"/>
        <v>-1000</v>
      </c>
      <c r="H267" s="193"/>
    </row>
    <row r="268" spans="2:8" x14ac:dyDescent="0.35">
      <c r="B268" s="46">
        <v>606</v>
      </c>
      <c r="C268" s="240" t="s">
        <v>267</v>
      </c>
      <c r="D268" s="43">
        <v>3745082.7792233373</v>
      </c>
      <c r="E268" s="306">
        <v>3486899.5728710033</v>
      </c>
      <c r="F268" s="306">
        <f t="shared" si="6"/>
        <v>258183.206352334</v>
      </c>
      <c r="G268" s="193">
        <f t="shared" si="7"/>
        <v>258000</v>
      </c>
      <c r="H268" s="193"/>
    </row>
    <row r="269" spans="2:8" x14ac:dyDescent="0.35">
      <c r="B269" s="46">
        <v>88</v>
      </c>
      <c r="C269" s="240" t="s">
        <v>268</v>
      </c>
      <c r="D269" s="43">
        <v>5870.1266308927752</v>
      </c>
      <c r="E269" s="306">
        <v>3885.9025787724536</v>
      </c>
      <c r="F269" s="306">
        <f t="shared" ref="F269:F332" si="8">+D269-E269</f>
        <v>1984.2240521203216</v>
      </c>
      <c r="G269" s="193">
        <f t="shared" ref="G269:G332" si="9">IF(F269&lt;0,MROUND(F269,-1000),MROUND(F269,1000))</f>
        <v>2000</v>
      </c>
      <c r="H269" s="193"/>
    </row>
    <row r="270" spans="2:8" x14ac:dyDescent="0.35">
      <c r="B270" s="46">
        <v>1676</v>
      </c>
      <c r="C270" s="240" t="s">
        <v>269</v>
      </c>
      <c r="D270" s="43">
        <v>385397.74801001622</v>
      </c>
      <c r="E270" s="306">
        <v>409827.41848551331</v>
      </c>
      <c r="F270" s="306">
        <f t="shared" si="8"/>
        <v>-24429.670475497085</v>
      </c>
      <c r="G270" s="193">
        <f t="shared" si="9"/>
        <v>-24000</v>
      </c>
      <c r="H270" s="193"/>
    </row>
    <row r="271" spans="2:8" x14ac:dyDescent="0.35">
      <c r="B271" s="46">
        <v>518</v>
      </c>
      <c r="C271" s="240" t="s">
        <v>270</v>
      </c>
      <c r="D271" s="43">
        <v>38804973.619733714</v>
      </c>
      <c r="E271" s="306">
        <v>37569289.868624941</v>
      </c>
      <c r="F271" s="306">
        <f t="shared" si="8"/>
        <v>1235683.7511087731</v>
      </c>
      <c r="G271" s="193">
        <f t="shared" si="9"/>
        <v>1236000</v>
      </c>
      <c r="H271" s="193"/>
    </row>
    <row r="272" spans="2:8" x14ac:dyDescent="0.35">
      <c r="B272" s="46">
        <v>796</v>
      </c>
      <c r="C272" s="240" t="s">
        <v>271</v>
      </c>
      <c r="D272" s="43">
        <v>4325648.7966637304</v>
      </c>
      <c r="E272" s="306">
        <v>3793213.9465747606</v>
      </c>
      <c r="F272" s="306">
        <f t="shared" si="8"/>
        <v>532434.8500889698</v>
      </c>
      <c r="G272" s="193">
        <f t="shared" si="9"/>
        <v>532000</v>
      </c>
      <c r="H272" s="193"/>
    </row>
    <row r="273" spans="2:8" x14ac:dyDescent="0.35">
      <c r="B273" s="46">
        <v>965</v>
      </c>
      <c r="C273" s="240" t="s">
        <v>272</v>
      </c>
      <c r="D273" s="43">
        <v>122557.31150241481</v>
      </c>
      <c r="E273" s="306">
        <v>98030.39239957463</v>
      </c>
      <c r="F273" s="306">
        <f t="shared" si="8"/>
        <v>24526.919102840184</v>
      </c>
      <c r="G273" s="193">
        <f t="shared" si="9"/>
        <v>25000</v>
      </c>
      <c r="H273" s="193"/>
    </row>
    <row r="274" spans="2:8" x14ac:dyDescent="0.35">
      <c r="B274" s="46">
        <v>1702</v>
      </c>
      <c r="C274" s="240" t="s">
        <v>273</v>
      </c>
      <c r="D274" s="43">
        <v>29406.686588782068</v>
      </c>
      <c r="E274" s="306">
        <v>30213.228918479192</v>
      </c>
      <c r="F274" s="306">
        <f t="shared" si="8"/>
        <v>-806.54232969712393</v>
      </c>
      <c r="G274" s="193">
        <f t="shared" si="9"/>
        <v>-1000</v>
      </c>
      <c r="H274" s="193"/>
    </row>
    <row r="275" spans="2:8" x14ac:dyDescent="0.35">
      <c r="B275" s="46">
        <v>845</v>
      </c>
      <c r="C275" s="240" t="s">
        <v>274</v>
      </c>
      <c r="D275" s="43">
        <v>69711.260356507322</v>
      </c>
      <c r="E275" s="306">
        <v>73264.239012287464</v>
      </c>
      <c r="F275" s="306">
        <f t="shared" si="8"/>
        <v>-3552.9786557801417</v>
      </c>
      <c r="G275" s="193">
        <f t="shared" si="9"/>
        <v>-4000</v>
      </c>
      <c r="H275" s="193"/>
    </row>
    <row r="276" spans="2:8" x14ac:dyDescent="0.35">
      <c r="B276" s="46">
        <v>1883</v>
      </c>
      <c r="C276" s="240" t="s">
        <v>275</v>
      </c>
      <c r="D276" s="43">
        <v>3892770.4335519788</v>
      </c>
      <c r="E276" s="306">
        <v>3918769.6402868093</v>
      </c>
      <c r="F276" s="306">
        <f t="shared" si="8"/>
        <v>-25999.206734830514</v>
      </c>
      <c r="G276" s="193">
        <f t="shared" si="9"/>
        <v>-26000</v>
      </c>
      <c r="H276" s="193"/>
    </row>
    <row r="277" spans="2:8" x14ac:dyDescent="0.35">
      <c r="B277" s="46">
        <v>610</v>
      </c>
      <c r="C277" s="240" t="s">
        <v>276</v>
      </c>
      <c r="D277" s="43">
        <v>561789.37334403489</v>
      </c>
      <c r="E277" s="306">
        <v>535456.09629442927</v>
      </c>
      <c r="F277" s="306">
        <f t="shared" si="8"/>
        <v>26333.277049605618</v>
      </c>
      <c r="G277" s="193">
        <f t="shared" si="9"/>
        <v>26000</v>
      </c>
      <c r="H277" s="193"/>
    </row>
    <row r="278" spans="2:8" x14ac:dyDescent="0.35">
      <c r="B278" s="46">
        <v>1714</v>
      </c>
      <c r="C278" s="240" t="s">
        <v>277</v>
      </c>
      <c r="D278" s="43">
        <v>288793.29713635618</v>
      </c>
      <c r="E278" s="306">
        <v>234661.591412546</v>
      </c>
      <c r="F278" s="306">
        <f t="shared" si="8"/>
        <v>54131.705723810184</v>
      </c>
      <c r="G278" s="193">
        <f t="shared" si="9"/>
        <v>54000</v>
      </c>
      <c r="H278" s="193"/>
    </row>
    <row r="279" spans="2:8" x14ac:dyDescent="0.35">
      <c r="B279" s="46">
        <v>90</v>
      </c>
      <c r="C279" s="240" t="s">
        <v>278</v>
      </c>
      <c r="D279" s="43">
        <v>2945517.6683832849</v>
      </c>
      <c r="E279" s="306">
        <v>2820469.0921942387</v>
      </c>
      <c r="F279" s="306">
        <f t="shared" si="8"/>
        <v>125048.57618904626</v>
      </c>
      <c r="G279" s="193">
        <f t="shared" si="9"/>
        <v>125000</v>
      </c>
      <c r="H279" s="193"/>
    </row>
    <row r="280" spans="2:8" x14ac:dyDescent="0.35">
      <c r="B280" s="46">
        <v>342</v>
      </c>
      <c r="C280" s="240" t="s">
        <v>279</v>
      </c>
      <c r="D280" s="43">
        <v>566627.09842898301</v>
      </c>
      <c r="E280" s="306">
        <v>514041.48230195016</v>
      </c>
      <c r="F280" s="306">
        <f t="shared" si="8"/>
        <v>52585.616127032845</v>
      </c>
      <c r="G280" s="193">
        <f t="shared" si="9"/>
        <v>53000</v>
      </c>
      <c r="H280" s="193"/>
    </row>
    <row r="281" spans="2:8" x14ac:dyDescent="0.35">
      <c r="B281" s="46">
        <v>847</v>
      </c>
      <c r="C281" s="240" t="s">
        <v>280</v>
      </c>
      <c r="D281" s="43">
        <v>65650.858066113957</v>
      </c>
      <c r="E281" s="306">
        <v>74327.027661614367</v>
      </c>
      <c r="F281" s="306">
        <f t="shared" si="8"/>
        <v>-8676.1695955004107</v>
      </c>
      <c r="G281" s="193">
        <f t="shared" si="9"/>
        <v>-9000</v>
      </c>
      <c r="H281" s="193"/>
    </row>
    <row r="282" spans="2:8" x14ac:dyDescent="0.35">
      <c r="B282" s="46">
        <v>848</v>
      </c>
      <c r="C282" s="240" t="s">
        <v>281</v>
      </c>
      <c r="D282" s="43">
        <v>94009.673203456652</v>
      </c>
      <c r="E282" s="306">
        <v>103278.74547125562</v>
      </c>
      <c r="F282" s="306">
        <f t="shared" si="8"/>
        <v>-9269.0722677989688</v>
      </c>
      <c r="G282" s="193">
        <f t="shared" si="9"/>
        <v>-9000</v>
      </c>
      <c r="H282" s="193"/>
    </row>
    <row r="283" spans="2:8" x14ac:dyDescent="0.35">
      <c r="B283" s="46">
        <v>37</v>
      </c>
      <c r="C283" s="240" t="s">
        <v>282</v>
      </c>
      <c r="D283" s="43">
        <v>1606807.8924357879</v>
      </c>
      <c r="E283" s="306">
        <v>1560505.0601990735</v>
      </c>
      <c r="F283" s="306">
        <f t="shared" si="8"/>
        <v>46302.832236714428</v>
      </c>
      <c r="G283" s="193">
        <f t="shared" si="9"/>
        <v>46000</v>
      </c>
      <c r="H283" s="193"/>
    </row>
    <row r="284" spans="2:8" x14ac:dyDescent="0.35">
      <c r="B284" s="46">
        <v>180</v>
      </c>
      <c r="C284" s="240" t="s">
        <v>283</v>
      </c>
      <c r="D284" s="43">
        <v>44461.646240979964</v>
      </c>
      <c r="E284" s="306">
        <v>42957.659171572239</v>
      </c>
      <c r="F284" s="306">
        <f t="shared" si="8"/>
        <v>1503.9870694077254</v>
      </c>
      <c r="G284" s="193">
        <f t="shared" si="9"/>
        <v>2000</v>
      </c>
      <c r="H284" s="193"/>
    </row>
    <row r="285" spans="2:8" x14ac:dyDescent="0.35">
      <c r="B285" s="46">
        <v>532</v>
      </c>
      <c r="C285" s="240" t="s">
        <v>284</v>
      </c>
      <c r="D285" s="43">
        <v>240717.87264688194</v>
      </c>
      <c r="E285" s="306">
        <v>249151.63069875227</v>
      </c>
      <c r="F285" s="306">
        <f t="shared" si="8"/>
        <v>-8433.7580518703326</v>
      </c>
      <c r="G285" s="193">
        <f t="shared" si="9"/>
        <v>-8000</v>
      </c>
      <c r="H285" s="193"/>
    </row>
    <row r="286" spans="2:8" x14ac:dyDescent="0.35">
      <c r="B286" s="46">
        <v>851</v>
      </c>
      <c r="C286" s="240" t="s">
        <v>285</v>
      </c>
      <c r="D286" s="43">
        <v>298954.43789068202</v>
      </c>
      <c r="E286" s="306">
        <v>261919.75549698374</v>
      </c>
      <c r="F286" s="306">
        <f t="shared" si="8"/>
        <v>37034.682393698284</v>
      </c>
      <c r="G286" s="193">
        <f t="shared" si="9"/>
        <v>37000</v>
      </c>
      <c r="H286" s="193"/>
    </row>
    <row r="287" spans="2:8" x14ac:dyDescent="0.35">
      <c r="B287" s="46">
        <v>1708</v>
      </c>
      <c r="C287" s="240" t="s">
        <v>286</v>
      </c>
      <c r="D287" s="43">
        <v>890838.84655729029</v>
      </c>
      <c r="E287" s="306">
        <v>839420.31613797287</v>
      </c>
      <c r="F287" s="306">
        <f t="shared" si="8"/>
        <v>51418.530419317423</v>
      </c>
      <c r="G287" s="193">
        <f t="shared" si="9"/>
        <v>51000</v>
      </c>
      <c r="H287" s="193"/>
    </row>
    <row r="288" spans="2:8" x14ac:dyDescent="0.35">
      <c r="B288" s="46">
        <v>971</v>
      </c>
      <c r="C288" s="240" t="s">
        <v>287</v>
      </c>
      <c r="D288" s="43">
        <v>268527.45256840059</v>
      </c>
      <c r="E288" s="306">
        <v>254882.97137808593</v>
      </c>
      <c r="F288" s="306">
        <f t="shared" si="8"/>
        <v>13644.481190314662</v>
      </c>
      <c r="G288" s="193">
        <f t="shared" si="9"/>
        <v>14000</v>
      </c>
      <c r="H288" s="193"/>
    </row>
    <row r="289" spans="2:8" x14ac:dyDescent="0.35">
      <c r="B289" s="46">
        <v>1904</v>
      </c>
      <c r="C289" s="240" t="s">
        <v>288</v>
      </c>
      <c r="D289" s="43">
        <v>272088.31467657437</v>
      </c>
      <c r="E289" s="306">
        <v>393185.58161941275</v>
      </c>
      <c r="F289" s="306">
        <f t="shared" si="8"/>
        <v>-121097.26694283838</v>
      </c>
      <c r="G289" s="193">
        <f t="shared" si="9"/>
        <v>-121000</v>
      </c>
      <c r="H289" s="193"/>
    </row>
    <row r="290" spans="2:8" x14ac:dyDescent="0.35">
      <c r="B290" s="46">
        <v>1900</v>
      </c>
      <c r="C290" s="240" t="s">
        <v>289</v>
      </c>
      <c r="D290" s="43">
        <v>3463242.3421152877</v>
      </c>
      <c r="E290" s="306">
        <v>3367844.4752197089</v>
      </c>
      <c r="F290" s="306">
        <f t="shared" si="8"/>
        <v>95397.866895578802</v>
      </c>
      <c r="G290" s="193">
        <f t="shared" si="9"/>
        <v>95000</v>
      </c>
      <c r="H290" s="193"/>
    </row>
    <row r="291" spans="2:8" x14ac:dyDescent="0.35">
      <c r="B291" s="46">
        <v>715</v>
      </c>
      <c r="C291" s="240" t="s">
        <v>290</v>
      </c>
      <c r="D291" s="43">
        <v>1251840.479443412</v>
      </c>
      <c r="E291" s="306">
        <v>1246288.376805926</v>
      </c>
      <c r="F291" s="306">
        <f t="shared" si="8"/>
        <v>5552.1026374860667</v>
      </c>
      <c r="G291" s="193">
        <f t="shared" si="9"/>
        <v>6000</v>
      </c>
      <c r="H291" s="193"/>
    </row>
    <row r="292" spans="2:8" x14ac:dyDescent="0.35">
      <c r="B292" s="46">
        <v>93</v>
      </c>
      <c r="C292" s="240" t="s">
        <v>291</v>
      </c>
      <c r="D292" s="43">
        <v>12486.591737166145</v>
      </c>
      <c r="E292" s="306">
        <v>12910.83841881815</v>
      </c>
      <c r="F292" s="306">
        <f t="shared" si="8"/>
        <v>-424.24668165200455</v>
      </c>
      <c r="G292" s="193">
        <f t="shared" si="9"/>
        <v>0</v>
      </c>
      <c r="H292" s="193"/>
    </row>
    <row r="293" spans="2:8" x14ac:dyDescent="0.35">
      <c r="B293" s="46">
        <v>448</v>
      </c>
      <c r="C293" s="240" t="s">
        <v>292</v>
      </c>
      <c r="D293" s="43">
        <v>45556.798551422529</v>
      </c>
      <c r="E293" s="306">
        <v>46453.367766366297</v>
      </c>
      <c r="F293" s="306">
        <f t="shared" si="8"/>
        <v>-896.56921494376729</v>
      </c>
      <c r="G293" s="193">
        <f t="shared" si="9"/>
        <v>-1000</v>
      </c>
      <c r="H293" s="193"/>
    </row>
    <row r="294" spans="2:8" x14ac:dyDescent="0.35">
      <c r="B294" s="46">
        <v>1525</v>
      </c>
      <c r="C294" s="240" t="s">
        <v>293</v>
      </c>
      <c r="D294" s="43">
        <v>90994.423145114866</v>
      </c>
      <c r="E294" s="306">
        <v>96999.725674735921</v>
      </c>
      <c r="F294" s="306">
        <f t="shared" si="8"/>
        <v>-6005.3025296210544</v>
      </c>
      <c r="G294" s="193">
        <f t="shared" si="9"/>
        <v>-6000</v>
      </c>
      <c r="H294" s="193"/>
    </row>
    <row r="295" spans="2:8" x14ac:dyDescent="0.35">
      <c r="B295" s="46">
        <v>716</v>
      </c>
      <c r="C295" s="240" t="s">
        <v>294</v>
      </c>
      <c r="D295" s="43">
        <v>264818.675169539</v>
      </c>
      <c r="E295" s="306">
        <v>263065.61501453986</v>
      </c>
      <c r="F295" s="306">
        <f t="shared" si="8"/>
        <v>1753.0601549991407</v>
      </c>
      <c r="G295" s="193">
        <f t="shared" si="9"/>
        <v>2000</v>
      </c>
      <c r="H295" s="193"/>
    </row>
    <row r="296" spans="2:8" x14ac:dyDescent="0.35">
      <c r="B296" s="46">
        <v>281</v>
      </c>
      <c r="C296" s="240" t="s">
        <v>295</v>
      </c>
      <c r="D296" s="43">
        <v>1820156.1703567407</v>
      </c>
      <c r="E296" s="306">
        <v>1582887.9519306326</v>
      </c>
      <c r="F296" s="306">
        <f t="shared" si="8"/>
        <v>237268.21842610813</v>
      </c>
      <c r="G296" s="193">
        <f t="shared" si="9"/>
        <v>237000</v>
      </c>
      <c r="H296" s="193"/>
    </row>
    <row r="297" spans="2:8" x14ac:dyDescent="0.35">
      <c r="B297" s="46">
        <v>855</v>
      </c>
      <c r="C297" s="240" t="s">
        <v>296</v>
      </c>
      <c r="D297" s="43">
        <v>9569365.1120415069</v>
      </c>
      <c r="E297" s="306">
        <v>9249161.1589807142</v>
      </c>
      <c r="F297" s="306">
        <f t="shared" si="8"/>
        <v>320203.95306079276</v>
      </c>
      <c r="G297" s="193">
        <f t="shared" si="9"/>
        <v>320000</v>
      </c>
      <c r="H297" s="193"/>
    </row>
    <row r="298" spans="2:8" x14ac:dyDescent="0.35">
      <c r="B298" s="46">
        <v>183</v>
      </c>
      <c r="C298" s="240" t="s">
        <v>297</v>
      </c>
      <c r="D298" s="43">
        <v>53585.517784002885</v>
      </c>
      <c r="E298" s="306">
        <v>55836.027704395252</v>
      </c>
      <c r="F298" s="306">
        <f t="shared" si="8"/>
        <v>-2250.5099203923673</v>
      </c>
      <c r="G298" s="193">
        <f t="shared" si="9"/>
        <v>-2000</v>
      </c>
      <c r="H298" s="193"/>
    </row>
    <row r="299" spans="2:8" x14ac:dyDescent="0.35">
      <c r="B299" s="46">
        <v>1700</v>
      </c>
      <c r="C299" s="240" t="s">
        <v>298</v>
      </c>
      <c r="D299" s="43">
        <v>558863.08191266202</v>
      </c>
      <c r="E299" s="306">
        <v>553934.66662640218</v>
      </c>
      <c r="F299" s="306">
        <f t="shared" si="8"/>
        <v>4928.4152862598421</v>
      </c>
      <c r="G299" s="193">
        <f t="shared" si="9"/>
        <v>5000</v>
      </c>
      <c r="H299" s="193"/>
    </row>
    <row r="300" spans="2:8" x14ac:dyDescent="0.35">
      <c r="B300" s="46">
        <v>1730</v>
      </c>
      <c r="C300" s="240" t="s">
        <v>299</v>
      </c>
      <c r="D300" s="43">
        <v>514218.11895586696</v>
      </c>
      <c r="E300" s="306">
        <v>571683.3290623083</v>
      </c>
      <c r="F300" s="306">
        <f t="shared" si="8"/>
        <v>-57465.210106441344</v>
      </c>
      <c r="G300" s="193">
        <f t="shared" si="9"/>
        <v>-57000</v>
      </c>
      <c r="H300" s="193"/>
    </row>
    <row r="301" spans="2:8" x14ac:dyDescent="0.35">
      <c r="B301" s="46">
        <v>737</v>
      </c>
      <c r="C301" s="240" t="s">
        <v>300</v>
      </c>
      <c r="D301" s="43">
        <v>712608.43668598682</v>
      </c>
      <c r="E301" s="306">
        <v>816398.82042844826</v>
      </c>
      <c r="F301" s="306">
        <f t="shared" si="8"/>
        <v>-103790.38374246145</v>
      </c>
      <c r="G301" s="193">
        <f t="shared" si="9"/>
        <v>-104000</v>
      </c>
      <c r="H301" s="193"/>
    </row>
    <row r="303" spans="2:8" x14ac:dyDescent="0.35">
      <c r="B303" s="46">
        <v>450</v>
      </c>
      <c r="C303" s="240" t="s">
        <v>302</v>
      </c>
      <c r="D303" s="43">
        <v>34505.410823670034</v>
      </c>
      <c r="E303" s="306">
        <v>67110.556029078376</v>
      </c>
      <c r="F303" s="306">
        <f t="shared" si="8"/>
        <v>-32605.145205408342</v>
      </c>
      <c r="G303" s="193">
        <f t="shared" si="9"/>
        <v>-33000</v>
      </c>
      <c r="H303" s="193"/>
    </row>
    <row r="304" spans="2:8" x14ac:dyDescent="0.35">
      <c r="B304" s="46">
        <v>451</v>
      </c>
      <c r="C304" s="240" t="s">
        <v>303</v>
      </c>
      <c r="D304" s="43">
        <v>73980.414723554728</v>
      </c>
      <c r="E304" s="306">
        <v>77558.381435144925</v>
      </c>
      <c r="F304" s="306">
        <f t="shared" si="8"/>
        <v>-3577.9667115901975</v>
      </c>
      <c r="G304" s="193">
        <f t="shared" si="9"/>
        <v>-4000</v>
      </c>
      <c r="H304" s="193"/>
    </row>
    <row r="305" spans="2:8" x14ac:dyDescent="0.35">
      <c r="B305" s="46">
        <v>184</v>
      </c>
      <c r="C305" s="240" t="s">
        <v>304</v>
      </c>
      <c r="D305" s="43">
        <v>49187.23225828218</v>
      </c>
      <c r="E305" s="306">
        <v>52463.218296649917</v>
      </c>
      <c r="F305" s="306">
        <f t="shared" si="8"/>
        <v>-3275.9860383677369</v>
      </c>
      <c r="G305" s="193">
        <f t="shared" si="9"/>
        <v>-3000</v>
      </c>
      <c r="H305" s="193"/>
    </row>
    <row r="306" spans="2:8" x14ac:dyDescent="0.35">
      <c r="B306" s="46">
        <v>344</v>
      </c>
      <c r="C306" s="240" t="s">
        <v>305</v>
      </c>
      <c r="D306" s="43">
        <v>11496304.746839797</v>
      </c>
      <c r="E306" s="306">
        <v>11661719.634822039</v>
      </c>
      <c r="F306" s="306">
        <f t="shared" si="8"/>
        <v>-165414.88798224181</v>
      </c>
      <c r="G306" s="193">
        <f t="shared" si="9"/>
        <v>-165000</v>
      </c>
      <c r="H306" s="193"/>
    </row>
    <row r="307" spans="2:8" x14ac:dyDescent="0.35">
      <c r="B307" s="46">
        <v>1581</v>
      </c>
      <c r="C307" s="240" t="s">
        <v>306</v>
      </c>
      <c r="D307" s="43">
        <v>304245.84880760568</v>
      </c>
      <c r="E307" s="306">
        <v>517367.35276658193</v>
      </c>
      <c r="F307" s="306">
        <f t="shared" si="8"/>
        <v>-213121.50395897625</v>
      </c>
      <c r="G307" s="193">
        <f t="shared" si="9"/>
        <v>-213000</v>
      </c>
      <c r="H307" s="193"/>
    </row>
    <row r="308" spans="2:8" x14ac:dyDescent="0.35">
      <c r="B308" s="46">
        <v>981</v>
      </c>
      <c r="C308" s="240" t="s">
        <v>307</v>
      </c>
      <c r="D308" s="43">
        <v>436620.67501529277</v>
      </c>
      <c r="E308" s="306">
        <v>449100.06397424353</v>
      </c>
      <c r="F308" s="306">
        <f t="shared" si="8"/>
        <v>-12479.38895895076</v>
      </c>
      <c r="G308" s="193">
        <f t="shared" si="9"/>
        <v>-12000</v>
      </c>
      <c r="H308" s="193"/>
    </row>
    <row r="309" spans="2:8" x14ac:dyDescent="0.35">
      <c r="B309" s="46">
        <v>994</v>
      </c>
      <c r="C309" s="240" t="s">
        <v>308</v>
      </c>
      <c r="D309" s="43">
        <v>320946.21782867069</v>
      </c>
      <c r="E309" s="306">
        <v>354149.05413600907</v>
      </c>
      <c r="F309" s="306">
        <f t="shared" si="8"/>
        <v>-33202.836307338381</v>
      </c>
      <c r="G309" s="193">
        <f t="shared" si="9"/>
        <v>-33000</v>
      </c>
      <c r="H309" s="193"/>
    </row>
    <row r="310" spans="2:8" x14ac:dyDescent="0.35">
      <c r="B310" s="46">
        <v>858</v>
      </c>
      <c r="C310" s="240" t="s">
        <v>309</v>
      </c>
      <c r="D310" s="43">
        <v>477069.92894464429</v>
      </c>
      <c r="E310" s="306">
        <v>496296.76367209968</v>
      </c>
      <c r="F310" s="306">
        <f t="shared" si="8"/>
        <v>-19226.834727455396</v>
      </c>
      <c r="G310" s="193">
        <f t="shared" si="9"/>
        <v>-19000</v>
      </c>
      <c r="H310" s="193"/>
    </row>
    <row r="311" spans="2:8" x14ac:dyDescent="0.35">
      <c r="B311" s="46">
        <v>47</v>
      </c>
      <c r="C311" s="240" t="s">
        <v>310</v>
      </c>
      <c r="D311" s="43">
        <v>1505433.2148731104</v>
      </c>
      <c r="E311" s="306">
        <v>1566723.9215464951</v>
      </c>
      <c r="F311" s="306">
        <f t="shared" si="8"/>
        <v>-61290.706673384644</v>
      </c>
      <c r="G311" s="193">
        <f t="shared" si="9"/>
        <v>-61000</v>
      </c>
      <c r="H311" s="193"/>
    </row>
    <row r="312" spans="2:8" x14ac:dyDescent="0.35">
      <c r="B312" s="46">
        <v>345</v>
      </c>
      <c r="C312" s="240" t="s">
        <v>311</v>
      </c>
      <c r="D312" s="43">
        <v>1413990.6442737964</v>
      </c>
      <c r="E312" s="306">
        <v>1101091.9031082857</v>
      </c>
      <c r="F312" s="306">
        <f t="shared" si="8"/>
        <v>312898.74116551061</v>
      </c>
      <c r="G312" s="193">
        <f t="shared" si="9"/>
        <v>313000</v>
      </c>
      <c r="H312" s="193"/>
    </row>
    <row r="313" spans="2:8" x14ac:dyDescent="0.35">
      <c r="B313" s="46">
        <v>717</v>
      </c>
      <c r="C313" s="240" t="s">
        <v>312</v>
      </c>
      <c r="D313" s="43">
        <v>111964.77456540153</v>
      </c>
      <c r="E313" s="306">
        <v>51947.758856477056</v>
      </c>
      <c r="F313" s="306">
        <f t="shared" si="8"/>
        <v>60017.015708924475</v>
      </c>
      <c r="G313" s="193">
        <f t="shared" si="9"/>
        <v>60000</v>
      </c>
      <c r="H313" s="193"/>
    </row>
    <row r="314" spans="2:8" x14ac:dyDescent="0.35">
      <c r="B314" s="46">
        <v>861</v>
      </c>
      <c r="C314" s="240" t="s">
        <v>313</v>
      </c>
      <c r="D314" s="43">
        <v>207681.65363869906</v>
      </c>
      <c r="E314" s="306">
        <v>146564.31701746382</v>
      </c>
      <c r="F314" s="306">
        <f t="shared" si="8"/>
        <v>61117.336621235241</v>
      </c>
      <c r="G314" s="193">
        <f t="shared" si="9"/>
        <v>61000</v>
      </c>
      <c r="H314" s="193"/>
    </row>
    <row r="315" spans="2:8" x14ac:dyDescent="0.35">
      <c r="B315" s="46">
        <v>453</v>
      </c>
      <c r="C315" s="240" t="s">
        <v>314</v>
      </c>
      <c r="D315" s="43">
        <v>1251504.3700002425</v>
      </c>
      <c r="E315" s="306">
        <v>1457986.3966398404</v>
      </c>
      <c r="F315" s="306">
        <f t="shared" si="8"/>
        <v>-206482.02663959796</v>
      </c>
      <c r="G315" s="193">
        <f t="shared" si="9"/>
        <v>-206000</v>
      </c>
      <c r="H315" s="193"/>
    </row>
    <row r="316" spans="2:8" x14ac:dyDescent="0.35">
      <c r="B316" s="46">
        <v>983</v>
      </c>
      <c r="C316" s="240" t="s">
        <v>315</v>
      </c>
      <c r="D316" s="43">
        <v>4514944.6163709424</v>
      </c>
      <c r="E316" s="306">
        <v>4311022.2737981826</v>
      </c>
      <c r="F316" s="306">
        <f t="shared" si="8"/>
        <v>203922.34257275984</v>
      </c>
      <c r="G316" s="193">
        <f t="shared" si="9"/>
        <v>204000</v>
      </c>
      <c r="H316" s="193"/>
    </row>
    <row r="317" spans="2:8" x14ac:dyDescent="0.35">
      <c r="B317" s="46">
        <v>984</v>
      </c>
      <c r="C317" s="240" t="s">
        <v>316</v>
      </c>
      <c r="D317" s="43">
        <v>939504.28057032661</v>
      </c>
      <c r="E317" s="306">
        <v>945967.64548283652</v>
      </c>
      <c r="F317" s="306">
        <f t="shared" si="8"/>
        <v>-6463.3649125099182</v>
      </c>
      <c r="G317" s="193">
        <f t="shared" si="9"/>
        <v>-6000</v>
      </c>
      <c r="H317" s="193"/>
    </row>
    <row r="318" spans="2:8" x14ac:dyDescent="0.35">
      <c r="B318" s="46">
        <v>1961</v>
      </c>
      <c r="C318" s="240" t="s">
        <v>317</v>
      </c>
      <c r="D318" s="43">
        <v>463368.33968575613</v>
      </c>
      <c r="E318" s="306">
        <v>490271.27129113663</v>
      </c>
      <c r="F318" s="306">
        <f t="shared" si="8"/>
        <v>-26902.931605380494</v>
      </c>
      <c r="G318" s="193">
        <f t="shared" si="9"/>
        <v>-27000</v>
      </c>
      <c r="H318" s="193"/>
    </row>
    <row r="319" spans="2:8" x14ac:dyDescent="0.35">
      <c r="B319" s="46">
        <v>622</v>
      </c>
      <c r="C319" s="240" t="s">
        <v>318</v>
      </c>
      <c r="D319" s="43">
        <v>3583074.087020651</v>
      </c>
      <c r="E319" s="306">
        <v>3503297.0369996936</v>
      </c>
      <c r="F319" s="306">
        <f t="shared" si="8"/>
        <v>79777.050020957366</v>
      </c>
      <c r="G319" s="193">
        <f t="shared" si="9"/>
        <v>80000</v>
      </c>
      <c r="H319" s="193"/>
    </row>
    <row r="320" spans="2:8" x14ac:dyDescent="0.35">
      <c r="B320" s="46">
        <v>96</v>
      </c>
      <c r="C320" s="240" t="s">
        <v>319</v>
      </c>
      <c r="D320" s="43">
        <v>2907.4076028562977</v>
      </c>
      <c r="E320" s="306">
        <v>3267.2822782611165</v>
      </c>
      <c r="F320" s="306">
        <f t="shared" si="8"/>
        <v>-359.87467540481884</v>
      </c>
      <c r="G320" s="193">
        <f t="shared" si="9"/>
        <v>0</v>
      </c>
      <c r="H320" s="193"/>
    </row>
    <row r="321" spans="2:8" x14ac:dyDescent="0.35">
      <c r="B321" s="46">
        <v>718</v>
      </c>
      <c r="C321" s="240" t="s">
        <v>320</v>
      </c>
      <c r="D321" s="43">
        <v>2928867.2664801255</v>
      </c>
      <c r="E321" s="306">
        <v>2665740.8297492187</v>
      </c>
      <c r="F321" s="306">
        <f t="shared" si="8"/>
        <v>263126.43673090683</v>
      </c>
      <c r="G321" s="193">
        <f t="shared" si="9"/>
        <v>263000</v>
      </c>
      <c r="H321" s="193"/>
    </row>
    <row r="322" spans="2:8" x14ac:dyDescent="0.35">
      <c r="B322" s="46">
        <v>986</v>
      </c>
      <c r="C322" s="240" t="s">
        <v>321</v>
      </c>
      <c r="D322" s="43">
        <v>32172.476658634769</v>
      </c>
      <c r="E322" s="306">
        <v>59023.948777624624</v>
      </c>
      <c r="F322" s="306">
        <f t="shared" si="8"/>
        <v>-26851.472118989856</v>
      </c>
      <c r="G322" s="193">
        <f t="shared" si="9"/>
        <v>-27000</v>
      </c>
      <c r="H322" s="193"/>
    </row>
    <row r="323" spans="2:8" x14ac:dyDescent="0.35">
      <c r="B323" s="46">
        <v>626</v>
      </c>
      <c r="C323" s="240" t="s">
        <v>322</v>
      </c>
      <c r="D323" s="43">
        <v>127900.97985897635</v>
      </c>
      <c r="E323" s="306">
        <v>163300.79934849645</v>
      </c>
      <c r="F323" s="306">
        <f t="shared" si="8"/>
        <v>-35399.819489520101</v>
      </c>
      <c r="G323" s="193">
        <f t="shared" si="9"/>
        <v>-35000</v>
      </c>
      <c r="H323" s="193"/>
    </row>
    <row r="324" spans="2:8" x14ac:dyDescent="0.35">
      <c r="B324" s="46">
        <v>285</v>
      </c>
      <c r="C324" s="240" t="s">
        <v>323</v>
      </c>
      <c r="D324" s="43">
        <v>136729.52171764994</v>
      </c>
      <c r="E324" s="306">
        <v>141476.6891165775</v>
      </c>
      <c r="F324" s="306">
        <f t="shared" si="8"/>
        <v>-4747.1673989275587</v>
      </c>
      <c r="G324" s="193">
        <f t="shared" si="9"/>
        <v>-5000</v>
      </c>
      <c r="H324" s="193"/>
    </row>
    <row r="325" spans="2:8" x14ac:dyDescent="0.35">
      <c r="B325" s="46">
        <v>865</v>
      </c>
      <c r="C325" s="240" t="s">
        <v>324</v>
      </c>
      <c r="D325" s="43">
        <v>113021.80238931363</v>
      </c>
      <c r="E325" s="306">
        <v>66372.505709818681</v>
      </c>
      <c r="F325" s="306">
        <f t="shared" si="8"/>
        <v>46649.296679494946</v>
      </c>
      <c r="G325" s="193">
        <f t="shared" si="9"/>
        <v>47000</v>
      </c>
      <c r="H325" s="193"/>
    </row>
    <row r="326" spans="2:8" x14ac:dyDescent="0.35">
      <c r="B326" s="46">
        <v>1949</v>
      </c>
      <c r="C326" s="240" t="s">
        <v>325</v>
      </c>
      <c r="D326" s="43">
        <v>1412462.2109486395</v>
      </c>
      <c r="E326" s="306">
        <v>1522409.229384342</v>
      </c>
      <c r="F326" s="306">
        <f t="shared" si="8"/>
        <v>-109947.01843570243</v>
      </c>
      <c r="G326" s="193">
        <f t="shared" si="9"/>
        <v>-110000</v>
      </c>
      <c r="H326" s="193"/>
    </row>
    <row r="327" spans="2:8" x14ac:dyDescent="0.35">
      <c r="B327" s="46">
        <v>866</v>
      </c>
      <c r="C327" s="240" t="s">
        <v>326</v>
      </c>
      <c r="D327" s="43">
        <v>39220.654647952455</v>
      </c>
      <c r="E327" s="306">
        <v>55622.604851491909</v>
      </c>
      <c r="F327" s="306">
        <f t="shared" si="8"/>
        <v>-16401.950203539454</v>
      </c>
      <c r="G327" s="193">
        <f t="shared" si="9"/>
        <v>-16000</v>
      </c>
      <c r="H327" s="193"/>
    </row>
    <row r="328" spans="2:8" x14ac:dyDescent="0.35">
      <c r="B328" s="46">
        <v>867</v>
      </c>
      <c r="C328" s="240" t="s">
        <v>327</v>
      </c>
      <c r="D328" s="43">
        <v>732886.91152637394</v>
      </c>
      <c r="E328" s="306">
        <v>650170.89957007673</v>
      </c>
      <c r="F328" s="306">
        <f t="shared" si="8"/>
        <v>82716.01195629721</v>
      </c>
      <c r="G328" s="193">
        <f t="shared" si="9"/>
        <v>83000</v>
      </c>
      <c r="H328" s="193"/>
    </row>
    <row r="329" spans="2:8" x14ac:dyDescent="0.35">
      <c r="B329" s="46">
        <v>627</v>
      </c>
      <c r="C329" s="240" t="s">
        <v>328</v>
      </c>
      <c r="D329" s="43">
        <v>156773.22139905486</v>
      </c>
      <c r="E329" s="306">
        <v>161219.65893160069</v>
      </c>
      <c r="F329" s="306">
        <f t="shared" si="8"/>
        <v>-4446.4375325458241</v>
      </c>
      <c r="G329" s="193">
        <f t="shared" si="9"/>
        <v>-4000</v>
      </c>
      <c r="H329" s="193"/>
    </row>
    <row r="330" spans="2:8" x14ac:dyDescent="0.35">
      <c r="B330" s="46">
        <v>289</v>
      </c>
      <c r="C330" s="240" t="s">
        <v>329</v>
      </c>
      <c r="D330" s="43">
        <v>508785.97343206912</v>
      </c>
      <c r="E330" s="306">
        <v>597005.24898586131</v>
      </c>
      <c r="F330" s="306">
        <f t="shared" si="8"/>
        <v>-88219.275553792191</v>
      </c>
      <c r="G330" s="193">
        <f t="shared" si="9"/>
        <v>-88000</v>
      </c>
      <c r="H330" s="193"/>
    </row>
    <row r="331" spans="2:8" x14ac:dyDescent="0.35">
      <c r="B331" s="46">
        <v>629</v>
      </c>
      <c r="C331" s="240" t="s">
        <v>330</v>
      </c>
      <c r="D331" s="43">
        <v>315610.94930916885</v>
      </c>
      <c r="E331" s="306">
        <v>341534.98259142315</v>
      </c>
      <c r="F331" s="306">
        <f t="shared" si="8"/>
        <v>-25924.033282254299</v>
      </c>
      <c r="G331" s="193">
        <f t="shared" si="9"/>
        <v>-26000</v>
      </c>
      <c r="H331" s="193"/>
    </row>
    <row r="332" spans="2:8" x14ac:dyDescent="0.35">
      <c r="B332" s="46">
        <v>852</v>
      </c>
      <c r="C332" s="240" t="s">
        <v>331</v>
      </c>
      <c r="D332" s="43">
        <v>41024.577803964232</v>
      </c>
      <c r="E332" s="306">
        <v>41983.562591718</v>
      </c>
      <c r="F332" s="306">
        <f t="shared" si="8"/>
        <v>-958.98478775376861</v>
      </c>
      <c r="G332" s="193">
        <f t="shared" si="9"/>
        <v>-1000</v>
      </c>
      <c r="H332" s="193"/>
    </row>
    <row r="333" spans="2:8" x14ac:dyDescent="0.35">
      <c r="B333" s="46">
        <v>988</v>
      </c>
      <c r="C333" s="240" t="s">
        <v>332</v>
      </c>
      <c r="D333" s="43">
        <v>1062731.5735945308</v>
      </c>
      <c r="E333" s="306">
        <v>1005298.2261963569</v>
      </c>
      <c r="F333" s="306">
        <f t="shared" ref="F333:F366" si="10">+D333-E333</f>
        <v>57433.347398173879</v>
      </c>
      <c r="G333" s="193">
        <f t="shared" ref="G333:G366" si="11">IF(F333&lt;0,MROUND(F333,-1000),MROUND(F333,1000))</f>
        <v>57000</v>
      </c>
      <c r="H333" s="193"/>
    </row>
    <row r="335" spans="2:8" x14ac:dyDescent="0.35">
      <c r="B335" s="46">
        <v>1960</v>
      </c>
      <c r="C335" s="240" t="s">
        <v>334</v>
      </c>
      <c r="D335" s="43">
        <v>124908.96109121921</v>
      </c>
      <c r="E335" s="306">
        <v>131145.86953437663</v>
      </c>
      <c r="F335" s="306">
        <f t="shared" si="10"/>
        <v>-6236.9084431574156</v>
      </c>
      <c r="G335" s="193">
        <f t="shared" si="11"/>
        <v>-6000</v>
      </c>
      <c r="H335" s="193"/>
    </row>
    <row r="336" spans="2:8" x14ac:dyDescent="0.35">
      <c r="B336" s="46">
        <v>668</v>
      </c>
      <c r="C336" s="240" t="s">
        <v>335</v>
      </c>
      <c r="D336" s="43">
        <v>153483.59930128561</v>
      </c>
      <c r="E336" s="306">
        <v>121432.39202446531</v>
      </c>
      <c r="F336" s="306">
        <f t="shared" si="10"/>
        <v>32051.207276820292</v>
      </c>
      <c r="G336" s="193">
        <f t="shared" si="11"/>
        <v>32000</v>
      </c>
      <c r="H336" s="193"/>
    </row>
    <row r="337" spans="2:8" x14ac:dyDescent="0.35">
      <c r="B337" s="46">
        <v>1969</v>
      </c>
      <c r="C337" s="240" t="s">
        <v>336</v>
      </c>
      <c r="D337" s="43">
        <v>1074005.3414594117</v>
      </c>
      <c r="E337" s="306">
        <v>1139358.1980212857</v>
      </c>
      <c r="F337" s="306">
        <f t="shared" si="10"/>
        <v>-65352.856561874039</v>
      </c>
      <c r="G337" s="193">
        <f t="shared" si="11"/>
        <v>-65000</v>
      </c>
      <c r="H337" s="193"/>
    </row>
    <row r="338" spans="2:8" x14ac:dyDescent="0.35">
      <c r="B338" s="46">
        <v>1701</v>
      </c>
      <c r="C338" s="240" t="s">
        <v>337</v>
      </c>
      <c r="D338" s="43">
        <v>207440.60329457396</v>
      </c>
      <c r="E338" s="306">
        <v>232842.98647836328</v>
      </c>
      <c r="F338" s="306">
        <f t="shared" si="10"/>
        <v>-25402.383183789323</v>
      </c>
      <c r="G338" s="193">
        <f t="shared" si="11"/>
        <v>-25000</v>
      </c>
      <c r="H338" s="193"/>
    </row>
    <row r="339" spans="2:8" x14ac:dyDescent="0.35">
      <c r="B339" s="46">
        <v>293</v>
      </c>
      <c r="C339" s="240" t="s">
        <v>338</v>
      </c>
      <c r="D339" s="43">
        <v>509848.49682316283</v>
      </c>
      <c r="E339" s="306">
        <v>470882.43717189232</v>
      </c>
      <c r="F339" s="306">
        <f t="shared" si="10"/>
        <v>38966.059651270509</v>
      </c>
      <c r="G339" s="193">
        <f t="shared" si="11"/>
        <v>39000</v>
      </c>
      <c r="H339" s="193"/>
    </row>
    <row r="340" spans="2:8" x14ac:dyDescent="0.35">
      <c r="B340" s="46">
        <v>1950</v>
      </c>
      <c r="C340" s="240" t="s">
        <v>339</v>
      </c>
      <c r="D340" s="43">
        <v>816857.24153010058</v>
      </c>
      <c r="E340" s="306">
        <v>830084.63595399528</v>
      </c>
      <c r="F340" s="306">
        <f t="shared" si="10"/>
        <v>-13227.394423894701</v>
      </c>
      <c r="G340" s="193">
        <f t="shared" si="11"/>
        <v>-13000</v>
      </c>
      <c r="H340" s="193"/>
    </row>
    <row r="341" spans="2:8" x14ac:dyDescent="0.35">
      <c r="B341" s="46">
        <v>1783</v>
      </c>
      <c r="C341" s="240" t="s">
        <v>340</v>
      </c>
      <c r="D341" s="43">
        <v>412926.96299735218</v>
      </c>
      <c r="E341" s="306">
        <v>561281.36865997629</v>
      </c>
      <c r="F341" s="306">
        <f t="shared" si="10"/>
        <v>-148354.40566262411</v>
      </c>
      <c r="G341" s="193">
        <f t="shared" si="11"/>
        <v>-148000</v>
      </c>
      <c r="H341" s="193"/>
    </row>
    <row r="342" spans="2:8" x14ac:dyDescent="0.35">
      <c r="B342" s="46">
        <v>98</v>
      </c>
      <c r="C342" s="240" t="s">
        <v>341</v>
      </c>
      <c r="D342" s="43">
        <v>636500.04907711211</v>
      </c>
      <c r="E342" s="306">
        <v>600182.84126928926</v>
      </c>
      <c r="F342" s="306">
        <f t="shared" si="10"/>
        <v>36317.207807822851</v>
      </c>
      <c r="G342" s="193">
        <f t="shared" si="11"/>
        <v>36000</v>
      </c>
      <c r="H342" s="193"/>
    </row>
    <row r="343" spans="2:8" x14ac:dyDescent="0.35">
      <c r="B343" s="46">
        <v>614</v>
      </c>
      <c r="C343" s="240" t="s">
        <v>342</v>
      </c>
      <c r="D343" s="43">
        <v>33812.798245331454</v>
      </c>
      <c r="E343" s="306">
        <v>36021.27977586013</v>
      </c>
      <c r="F343" s="306">
        <f t="shared" si="10"/>
        <v>-2208.4815305286756</v>
      </c>
      <c r="G343" s="193">
        <f t="shared" si="11"/>
        <v>-2000</v>
      </c>
      <c r="H343" s="193"/>
    </row>
    <row r="344" spans="2:8" x14ac:dyDescent="0.35">
      <c r="B344" s="46">
        <v>189</v>
      </c>
      <c r="C344" s="240" t="s">
        <v>343</v>
      </c>
      <c r="D344" s="43">
        <v>58852.50383170756</v>
      </c>
      <c r="E344" s="306">
        <v>61019.033256369716</v>
      </c>
      <c r="F344" s="306">
        <f t="shared" si="10"/>
        <v>-2166.5294246621561</v>
      </c>
      <c r="G344" s="193">
        <f t="shared" si="11"/>
        <v>-2000</v>
      </c>
      <c r="H344" s="193"/>
    </row>
    <row r="345" spans="2:8" x14ac:dyDescent="0.35">
      <c r="B345" s="46">
        <v>296</v>
      </c>
      <c r="C345" s="240" t="s">
        <v>344</v>
      </c>
      <c r="D345" s="43">
        <v>658721.87743079674</v>
      </c>
      <c r="E345" s="306">
        <v>725108.83482144075</v>
      </c>
      <c r="F345" s="306">
        <f t="shared" si="10"/>
        <v>-66386.957390644005</v>
      </c>
      <c r="G345" s="193">
        <f t="shared" si="11"/>
        <v>-66000</v>
      </c>
      <c r="H345" s="193"/>
    </row>
    <row r="346" spans="2:8" x14ac:dyDescent="0.35">
      <c r="B346" s="46">
        <v>1696</v>
      </c>
      <c r="C346" s="240" t="s">
        <v>345</v>
      </c>
      <c r="D346" s="43">
        <v>55577.268079903093</v>
      </c>
      <c r="E346" s="306">
        <v>59326.540448872962</v>
      </c>
      <c r="F346" s="306">
        <f t="shared" si="10"/>
        <v>-3749.2723689698687</v>
      </c>
      <c r="G346" s="193">
        <f t="shared" si="11"/>
        <v>-4000</v>
      </c>
      <c r="H346" s="193"/>
    </row>
    <row r="347" spans="2:8" x14ac:dyDescent="0.35">
      <c r="B347" s="46">
        <v>352</v>
      </c>
      <c r="C347" s="240" t="s">
        <v>346</v>
      </c>
      <c r="D347" s="43">
        <v>60265.120446285116</v>
      </c>
      <c r="E347" s="306">
        <v>122851.45449405158</v>
      </c>
      <c r="F347" s="306">
        <f t="shared" si="10"/>
        <v>-62586.334047766461</v>
      </c>
      <c r="G347" s="193">
        <f t="shared" si="11"/>
        <v>-63000</v>
      </c>
      <c r="H347" s="193"/>
    </row>
    <row r="348" spans="2:8" x14ac:dyDescent="0.35">
      <c r="B348" s="46">
        <v>294</v>
      </c>
      <c r="C348" s="240" t="s">
        <v>347</v>
      </c>
      <c r="D348" s="43">
        <v>763189.82582296035</v>
      </c>
      <c r="E348" s="306">
        <v>760707.58560352679</v>
      </c>
      <c r="F348" s="306">
        <f t="shared" si="10"/>
        <v>2482.2402194335591</v>
      </c>
      <c r="G348" s="193">
        <f t="shared" si="11"/>
        <v>2000</v>
      </c>
      <c r="H348" s="193"/>
    </row>
    <row r="349" spans="2:8" x14ac:dyDescent="0.35">
      <c r="B349" s="46">
        <v>873</v>
      </c>
      <c r="C349" s="240" t="s">
        <v>348</v>
      </c>
      <c r="D349" s="43">
        <v>184321.16871364063</v>
      </c>
      <c r="E349" s="306">
        <v>225960.22678680936</v>
      </c>
      <c r="F349" s="306">
        <f t="shared" si="10"/>
        <v>-41639.058073168737</v>
      </c>
      <c r="G349" s="193">
        <f t="shared" si="11"/>
        <v>-42000</v>
      </c>
      <c r="H349" s="193"/>
    </row>
    <row r="350" spans="2:8" x14ac:dyDescent="0.35">
      <c r="B350" s="46">
        <v>632</v>
      </c>
      <c r="C350" s="240" t="s">
        <v>349</v>
      </c>
      <c r="D350" s="43">
        <v>128587.24258070093</v>
      </c>
      <c r="E350" s="306">
        <v>201254.32686890222</v>
      </c>
      <c r="F350" s="306">
        <f t="shared" si="10"/>
        <v>-72667.084288201295</v>
      </c>
      <c r="G350" s="193">
        <f t="shared" si="11"/>
        <v>-73000</v>
      </c>
      <c r="H350" s="193"/>
    </row>
    <row r="351" spans="2:8" x14ac:dyDescent="0.35">
      <c r="B351" s="46">
        <v>880</v>
      </c>
      <c r="C351" s="240" t="s">
        <v>350</v>
      </c>
      <c r="D351" s="43">
        <v>99547.629809538834</v>
      </c>
      <c r="E351" s="306">
        <v>127359.42331727975</v>
      </c>
      <c r="F351" s="306">
        <f t="shared" si="10"/>
        <v>-27811.79350774092</v>
      </c>
      <c r="G351" s="193">
        <f t="shared" si="11"/>
        <v>-28000</v>
      </c>
      <c r="H351" s="193"/>
    </row>
    <row r="352" spans="2:8" x14ac:dyDescent="0.35">
      <c r="B352" s="46">
        <v>351</v>
      </c>
      <c r="C352" s="240" t="s">
        <v>351</v>
      </c>
      <c r="D352" s="43">
        <v>30447.561988997109</v>
      </c>
      <c r="E352" s="306">
        <v>32912.288191825326</v>
      </c>
      <c r="F352" s="306">
        <f t="shared" si="10"/>
        <v>-2464.7262028282166</v>
      </c>
      <c r="G352" s="193">
        <f t="shared" si="11"/>
        <v>-2000</v>
      </c>
      <c r="H352" s="193"/>
    </row>
    <row r="353" spans="2:8" x14ac:dyDescent="0.35">
      <c r="B353" s="46">
        <v>479</v>
      </c>
      <c r="C353" s="240" t="s">
        <v>352</v>
      </c>
      <c r="D353" s="43">
        <v>4689124.5965905646</v>
      </c>
      <c r="E353" s="306">
        <v>4538441.4448617361</v>
      </c>
      <c r="F353" s="306">
        <f t="shared" si="10"/>
        <v>150683.15172882844</v>
      </c>
      <c r="G353" s="193">
        <f t="shared" si="11"/>
        <v>151000</v>
      </c>
      <c r="H353" s="193"/>
    </row>
    <row r="354" spans="2:8" x14ac:dyDescent="0.35">
      <c r="B354" s="46">
        <v>297</v>
      </c>
      <c r="C354" s="240" t="s">
        <v>353</v>
      </c>
      <c r="D354" s="43">
        <v>159547.4386657021</v>
      </c>
      <c r="E354" s="306">
        <v>123452.42985994309</v>
      </c>
      <c r="F354" s="306">
        <f t="shared" si="10"/>
        <v>36095.008805759004</v>
      </c>
      <c r="G354" s="193">
        <f t="shared" si="11"/>
        <v>36000</v>
      </c>
      <c r="H354" s="193"/>
    </row>
    <row r="355" spans="2:8" x14ac:dyDescent="0.35">
      <c r="B355" s="46">
        <v>473</v>
      </c>
      <c r="C355" s="240" t="s">
        <v>354</v>
      </c>
      <c r="D355" s="43">
        <v>467131.73940749746</v>
      </c>
      <c r="E355" s="306">
        <v>496151.6841604581</v>
      </c>
      <c r="F355" s="306">
        <f t="shared" si="10"/>
        <v>-29019.94475296064</v>
      </c>
      <c r="G355" s="193">
        <f t="shared" si="11"/>
        <v>-29000</v>
      </c>
      <c r="H355" s="193"/>
    </row>
    <row r="356" spans="2:8" x14ac:dyDescent="0.35">
      <c r="B356" s="46">
        <v>50</v>
      </c>
      <c r="C356" s="240" t="s">
        <v>355</v>
      </c>
      <c r="D356" s="43">
        <v>82719.655933104354</v>
      </c>
      <c r="E356" s="306">
        <v>125867.00081523387</v>
      </c>
      <c r="F356" s="306">
        <f t="shared" si="10"/>
        <v>-43147.344882129517</v>
      </c>
      <c r="G356" s="193">
        <f t="shared" si="11"/>
        <v>-43000</v>
      </c>
      <c r="H356" s="193"/>
    </row>
    <row r="357" spans="2:8" x14ac:dyDescent="0.35">
      <c r="B357" s="46">
        <v>355</v>
      </c>
      <c r="C357" s="240" t="s">
        <v>356</v>
      </c>
      <c r="D357" s="43">
        <v>1479507.0939605702</v>
      </c>
      <c r="E357" s="306">
        <v>1488979.336144838</v>
      </c>
      <c r="F357" s="306">
        <f t="shared" si="10"/>
        <v>-9472.242184267845</v>
      </c>
      <c r="G357" s="193">
        <f t="shared" si="11"/>
        <v>-9000</v>
      </c>
      <c r="H357" s="193"/>
    </row>
    <row r="358" spans="2:8" x14ac:dyDescent="0.35">
      <c r="B358" s="46">
        <v>299</v>
      </c>
      <c r="C358" s="240" t="s">
        <v>357</v>
      </c>
      <c r="D358" s="43">
        <v>1020640.5424622835</v>
      </c>
      <c r="E358" s="306">
        <v>1003538.0499510509</v>
      </c>
      <c r="F358" s="306">
        <f t="shared" si="10"/>
        <v>17102.492511232616</v>
      </c>
      <c r="G358" s="193">
        <f t="shared" si="11"/>
        <v>17000</v>
      </c>
      <c r="H358" s="193"/>
    </row>
    <row r="359" spans="2:8" x14ac:dyDescent="0.35">
      <c r="B359" s="46">
        <v>637</v>
      </c>
      <c r="C359" s="240" t="s">
        <v>358</v>
      </c>
      <c r="D359" s="43">
        <v>3585078.0188600817</v>
      </c>
      <c r="E359" s="306">
        <v>3534723.3490196122</v>
      </c>
      <c r="F359" s="306">
        <f t="shared" si="10"/>
        <v>50354.669840469491</v>
      </c>
      <c r="G359" s="193">
        <f t="shared" si="11"/>
        <v>50000</v>
      </c>
      <c r="H359" s="193"/>
    </row>
    <row r="360" spans="2:8" x14ac:dyDescent="0.35">
      <c r="B360" s="46">
        <v>638</v>
      </c>
      <c r="C360" s="240" t="s">
        <v>359</v>
      </c>
      <c r="D360" s="43">
        <v>21130.553237448192</v>
      </c>
      <c r="E360" s="306">
        <v>22095.757419693811</v>
      </c>
      <c r="F360" s="306">
        <f t="shared" si="10"/>
        <v>-965.20418224561945</v>
      </c>
      <c r="G360" s="193">
        <f t="shared" si="11"/>
        <v>-1000</v>
      </c>
      <c r="H360" s="193"/>
    </row>
    <row r="361" spans="2:8" x14ac:dyDescent="0.35">
      <c r="B361" s="46">
        <v>1892</v>
      </c>
      <c r="C361" s="240" t="s">
        <v>360</v>
      </c>
      <c r="D361" s="43">
        <v>244170.01418998538</v>
      </c>
      <c r="E361" s="306">
        <v>317007.57337220118</v>
      </c>
      <c r="F361" s="306">
        <f t="shared" si="10"/>
        <v>-72837.559182215802</v>
      </c>
      <c r="G361" s="193">
        <f t="shared" si="11"/>
        <v>-73000</v>
      </c>
      <c r="H361" s="193"/>
    </row>
    <row r="362" spans="2:8" x14ac:dyDescent="0.35">
      <c r="B362" s="46">
        <v>879</v>
      </c>
      <c r="C362" s="240" t="s">
        <v>361</v>
      </c>
      <c r="D362" s="43">
        <v>55749.442958134146</v>
      </c>
      <c r="E362" s="306">
        <v>56915.651413733707</v>
      </c>
      <c r="F362" s="306">
        <f t="shared" si="10"/>
        <v>-1166.2084555995607</v>
      </c>
      <c r="G362" s="193">
        <f t="shared" si="11"/>
        <v>-1000</v>
      </c>
      <c r="H362" s="193"/>
    </row>
    <row r="363" spans="2:8" x14ac:dyDescent="0.35">
      <c r="B363" s="46">
        <v>301</v>
      </c>
      <c r="C363" s="240" t="s">
        <v>362</v>
      </c>
      <c r="D363" s="43">
        <v>2253824.5475818892</v>
      </c>
      <c r="E363" s="306">
        <v>2269116.7599799056</v>
      </c>
      <c r="F363" s="306">
        <f t="shared" si="10"/>
        <v>-15292.21239801636</v>
      </c>
      <c r="G363" s="193">
        <f t="shared" si="11"/>
        <v>-15000</v>
      </c>
      <c r="H363" s="193"/>
    </row>
    <row r="364" spans="2:8" x14ac:dyDescent="0.35">
      <c r="B364" s="46">
        <v>1896</v>
      </c>
      <c r="C364" s="240" t="s">
        <v>363</v>
      </c>
      <c r="D364" s="43">
        <v>57336.85914438912</v>
      </c>
      <c r="E364" s="306">
        <v>121824.89670103521</v>
      </c>
      <c r="F364" s="306">
        <f t="shared" si="10"/>
        <v>-64488.037556646086</v>
      </c>
      <c r="G364" s="193">
        <f t="shared" si="11"/>
        <v>-64000</v>
      </c>
      <c r="H364" s="193"/>
    </row>
    <row r="365" spans="2:8" x14ac:dyDescent="0.35">
      <c r="B365" s="46">
        <v>642</v>
      </c>
      <c r="C365" s="240" t="s">
        <v>364</v>
      </c>
      <c r="D365" s="43">
        <v>1260304.522820981</v>
      </c>
      <c r="E365" s="306">
        <v>1481114.5046802829</v>
      </c>
      <c r="F365" s="306">
        <f t="shared" si="10"/>
        <v>-220809.98185930192</v>
      </c>
      <c r="G365" s="193">
        <f t="shared" si="11"/>
        <v>-221000</v>
      </c>
      <c r="H365" s="193"/>
    </row>
    <row r="366" spans="2:8" x14ac:dyDescent="0.35">
      <c r="B366" s="241">
        <v>193</v>
      </c>
      <c r="C366" s="242" t="s">
        <v>365</v>
      </c>
      <c r="D366" s="54">
        <v>4307766.2872169837</v>
      </c>
      <c r="E366" s="307">
        <v>4509216.2305792067</v>
      </c>
      <c r="F366" s="306">
        <f t="shared" si="10"/>
        <v>-201449.94336222298</v>
      </c>
      <c r="G366" s="193">
        <f t="shared" si="11"/>
        <v>-201000</v>
      </c>
      <c r="H366" s="193"/>
    </row>
    <row r="367" spans="2:8" x14ac:dyDescent="0.35">
      <c r="F367" s="308"/>
    </row>
    <row r="368" spans="2:8" x14ac:dyDescent="0.35">
      <c r="B368" s="46">
        <v>3</v>
      </c>
      <c r="C368" s="240" t="s">
        <v>28</v>
      </c>
      <c r="D368" s="43">
        <v>710041.59427439352</v>
      </c>
      <c r="E368" s="306">
        <v>723383.51979972003</v>
      </c>
      <c r="F368" s="306">
        <f>+D368-E368</f>
        <v>-13341.925525326515</v>
      </c>
      <c r="G368" s="193">
        <f>IF(F368&lt;0,MROUND(F368,-1000),MROUND(F368,1000))</f>
        <v>-13000</v>
      </c>
      <c r="H368" s="193"/>
    </row>
    <row r="369" spans="2:8" x14ac:dyDescent="0.35">
      <c r="B369" s="46">
        <v>10</v>
      </c>
      <c r="C369" s="240" t="s">
        <v>81</v>
      </c>
      <c r="D369" s="43">
        <v>1556368.2987434745</v>
      </c>
      <c r="E369" s="306">
        <v>1513105.8316444948</v>
      </c>
      <c r="F369" s="306">
        <f>+D369-E369</f>
        <v>43262.467098979745</v>
      </c>
      <c r="G369" s="193">
        <f>IF(F369&lt;0,MROUND(F369,-1000),MROUND(F369,1000))</f>
        <v>43000</v>
      </c>
      <c r="H369" s="193"/>
    </row>
    <row r="370" spans="2:8" x14ac:dyDescent="0.35">
      <c r="B370" s="46">
        <v>24</v>
      </c>
      <c r="C370" s="240" t="s">
        <v>190</v>
      </c>
      <c r="D370" s="43">
        <v>303435.40702654922</v>
      </c>
      <c r="E370" s="306">
        <v>284189.31512379827</v>
      </c>
      <c r="F370" s="306">
        <f>+D370-E370</f>
        <v>19246.091902750952</v>
      </c>
      <c r="G370" s="193">
        <f>IF(F370&lt;0,MROUND(F370,-1000),MROUND(F370,1000))</f>
        <v>19000</v>
      </c>
      <c r="H370" s="193"/>
    </row>
    <row r="371" spans="2:8" x14ac:dyDescent="0.35">
      <c r="B371" s="47">
        <v>1979</v>
      </c>
      <c r="C371" t="s">
        <v>1285</v>
      </c>
      <c r="D371" s="81">
        <f>SUM(D368:D370)</f>
        <v>2569845.3000444174</v>
      </c>
      <c r="E371" s="81">
        <f t="shared" ref="E371:G371" si="12">SUM(E368:E370)</f>
        <v>2520678.6665680129</v>
      </c>
      <c r="F371" s="81">
        <f t="shared" si="12"/>
        <v>49166.633476404182</v>
      </c>
      <c r="G371" s="81">
        <f t="shared" si="12"/>
        <v>49000</v>
      </c>
    </row>
    <row r="373" spans="2:8" x14ac:dyDescent="0.35">
      <c r="B373" s="46">
        <v>1685</v>
      </c>
      <c r="C373" s="240" t="s">
        <v>172</v>
      </c>
      <c r="D373" s="43">
        <v>38058.4742198928</v>
      </c>
      <c r="E373" s="306">
        <v>52728.351749673471</v>
      </c>
      <c r="F373" s="306">
        <f>+D373-E373</f>
        <v>-14669.877529780671</v>
      </c>
      <c r="G373" s="193">
        <f>IF(F373&lt;0,MROUND(F373,-1000),MROUND(F373,1000))</f>
        <v>-15000</v>
      </c>
      <c r="H373" s="193"/>
    </row>
    <row r="374" spans="2:8" x14ac:dyDescent="0.35">
      <c r="B374" s="46">
        <v>856</v>
      </c>
      <c r="C374" s="240" t="s">
        <v>301</v>
      </c>
      <c r="D374" s="43">
        <v>553916.92339126987</v>
      </c>
      <c r="E374" s="306">
        <v>569396.25139889761</v>
      </c>
      <c r="F374" s="306">
        <f>+D374-E374</f>
        <v>-15479.328007627744</v>
      </c>
      <c r="G374" s="193">
        <f>IF(F374&lt;0,MROUND(F374,-1000),MROUND(F374,1000))</f>
        <v>-15000</v>
      </c>
      <c r="H374" s="193"/>
    </row>
    <row r="375" spans="2:8" x14ac:dyDescent="0.35">
      <c r="B375" s="47">
        <v>1991</v>
      </c>
      <c r="C375" t="s">
        <v>1301</v>
      </c>
      <c r="D375" s="81">
        <f>SUM(D373:D374)</f>
        <v>591975.39761116263</v>
      </c>
      <c r="E375" s="81">
        <f t="shared" ref="E375:G375" si="13">SUM(E373:E374)</f>
        <v>622124.6031485711</v>
      </c>
      <c r="F375" s="81">
        <f t="shared" si="13"/>
        <v>-30149.205537408416</v>
      </c>
      <c r="G375" s="81">
        <f t="shared" si="13"/>
        <v>-30000</v>
      </c>
    </row>
    <row r="377" spans="2:8" x14ac:dyDescent="0.35">
      <c r="B377" s="46">
        <v>756</v>
      </c>
      <c r="C377" s="240" t="s">
        <v>58</v>
      </c>
      <c r="D377" s="43">
        <v>172194.95996102813</v>
      </c>
      <c r="E377" s="306">
        <v>177378.95139819002</v>
      </c>
      <c r="F377" s="306">
        <f>+D377-E377</f>
        <v>-5183.9914371618943</v>
      </c>
      <c r="G377" s="193">
        <f>IF(F377&lt;0,MROUND(F377,-1000),MROUND(F377,1000))</f>
        <v>-5000</v>
      </c>
      <c r="H377" s="193"/>
    </row>
    <row r="378" spans="2:8" x14ac:dyDescent="0.35">
      <c r="B378" s="46">
        <v>1684</v>
      </c>
      <c r="C378" s="240" t="s">
        <v>72</v>
      </c>
      <c r="D378" s="43">
        <v>373420.31242358783</v>
      </c>
      <c r="E378" s="306">
        <v>402976.09605042345</v>
      </c>
      <c r="F378" s="306">
        <f>+D378-E378</f>
        <v>-29555.783626835619</v>
      </c>
      <c r="G378" s="193">
        <f>IF(F378&lt;0,MROUND(F378,-1000),MROUND(F378,1000))</f>
        <v>-30000</v>
      </c>
      <c r="H378" s="193"/>
    </row>
    <row r="379" spans="2:8" x14ac:dyDescent="0.35">
      <c r="B379" s="46">
        <v>786</v>
      </c>
      <c r="C379" s="240" t="s">
        <v>121</v>
      </c>
      <c r="D379" s="43">
        <v>63717.143104191869</v>
      </c>
      <c r="E379" s="306">
        <v>92520.773782756878</v>
      </c>
      <c r="F379" s="306">
        <f>+D379-E379</f>
        <v>-28803.630678565009</v>
      </c>
      <c r="G379" s="193">
        <f>IF(F379&lt;0,MROUND(F379,-1000),MROUND(F379,1000))</f>
        <v>-29000</v>
      </c>
      <c r="H379" s="193"/>
    </row>
    <row r="380" spans="2:8" x14ac:dyDescent="0.35">
      <c r="B380" s="46">
        <v>815</v>
      </c>
      <c r="C380" s="240" t="s">
        <v>204</v>
      </c>
      <c r="D380" s="43">
        <v>27387.544834981461</v>
      </c>
      <c r="E380" s="306">
        <v>47883.373787521297</v>
      </c>
      <c r="F380" s="306">
        <f>+D380-E380</f>
        <v>-20495.828952539836</v>
      </c>
      <c r="G380" s="193">
        <f>IF(F380&lt;0,MROUND(F380,-1000),MROUND(F380,1000))</f>
        <v>-20000</v>
      </c>
      <c r="H380" s="193"/>
    </row>
    <row r="381" spans="2:8" x14ac:dyDescent="0.35">
      <c r="B381" s="46">
        <v>1702</v>
      </c>
      <c r="C381" s="240" t="s">
        <v>273</v>
      </c>
      <c r="D381" s="43">
        <v>29406.686588782068</v>
      </c>
      <c r="E381" s="306">
        <v>30213.228918479192</v>
      </c>
      <c r="F381" s="306">
        <f t="shared" ref="F381" si="14">+D381-E381</f>
        <v>-806.54232969712393</v>
      </c>
      <c r="G381" s="193">
        <f t="shared" ref="G381" si="15">IF(F381&lt;0,MROUND(F381,-1000),MROUND(F381,1000))</f>
        <v>-1000</v>
      </c>
      <c r="H381" s="193"/>
    </row>
    <row r="382" spans="2:8" x14ac:dyDescent="0.35">
      <c r="B382" s="46">
        <v>1982</v>
      </c>
      <c r="C382" t="s">
        <v>1302</v>
      </c>
      <c r="D382" s="81">
        <f>SUM(D377:D381)</f>
        <v>666126.64691257139</v>
      </c>
      <c r="E382" s="81">
        <f t="shared" ref="E382:G382" si="16">SUM(E377:E381)</f>
        <v>750972.42393737077</v>
      </c>
      <c r="F382" s="81">
        <f t="shared" si="16"/>
        <v>-84845.777024799478</v>
      </c>
      <c r="G382" s="81">
        <f t="shared" si="16"/>
        <v>-85000</v>
      </c>
    </row>
    <row r="384" spans="2:8" x14ac:dyDescent="0.35">
      <c r="B384" s="46">
        <v>398</v>
      </c>
      <c r="C384" s="240" t="s">
        <v>138</v>
      </c>
      <c r="D384" s="43">
        <v>573374.20971923543</v>
      </c>
      <c r="E384" s="306">
        <v>583226.3031552101</v>
      </c>
      <c r="F384" s="306">
        <f>+D384-E384</f>
        <v>-9852.0934359746752</v>
      </c>
      <c r="G384" s="193">
        <f>IF(F384&lt;0,MROUND(F384,-1000),MROUND(F384,1000))</f>
        <v>-10000</v>
      </c>
      <c r="H384" s="193"/>
    </row>
    <row r="385" spans="2:8" x14ac:dyDescent="0.35">
      <c r="B385" s="46">
        <v>416</v>
      </c>
      <c r="C385" s="240" t="s">
        <v>175</v>
      </c>
      <c r="D385" s="43">
        <v>110536.59235288357</v>
      </c>
      <c r="E385" s="306">
        <v>183789.1053036805</v>
      </c>
      <c r="F385" s="306">
        <f>+D385-E385</f>
        <v>-73252.512950796925</v>
      </c>
      <c r="G385" s="193">
        <f>IF(F385&lt;0,MROUND(F385,-1000),MROUND(F385,1000))</f>
        <v>-73000</v>
      </c>
      <c r="H385" s="193"/>
    </row>
    <row r="386" spans="2:8" x14ac:dyDescent="0.35">
      <c r="B386" s="47">
        <v>1980</v>
      </c>
      <c r="C386" t="s">
        <v>1303</v>
      </c>
      <c r="D386" s="81">
        <f>SUM(D384:D385)</f>
        <v>683910.80207211897</v>
      </c>
      <c r="E386" s="81">
        <f t="shared" ref="E386:G386" si="17">SUM(E384:E385)</f>
        <v>767015.40845889063</v>
      </c>
      <c r="F386" s="81">
        <f t="shared" si="17"/>
        <v>-83104.6063867716</v>
      </c>
      <c r="G386" s="81">
        <f t="shared" si="17"/>
        <v>-83000</v>
      </c>
    </row>
    <row r="388" spans="2:8" x14ac:dyDescent="0.35">
      <c r="B388" s="46">
        <v>370</v>
      </c>
      <c r="C388" s="240" t="s">
        <v>38</v>
      </c>
      <c r="D388" s="43">
        <v>22820.997496444048</v>
      </c>
      <c r="E388" s="306">
        <v>25001.812216258979</v>
      </c>
      <c r="F388" s="306">
        <f>+D388-E388</f>
        <v>-2180.8147198149309</v>
      </c>
      <c r="G388" s="193">
        <f>IF(F388&lt;0,MROUND(F388,-1000),MROUND(F388,1000))</f>
        <v>-2000</v>
      </c>
      <c r="H388" s="193"/>
    </row>
    <row r="389" spans="2:8" x14ac:dyDescent="0.35">
      <c r="B389" s="46"/>
      <c r="C389" s="240" t="s">
        <v>1322</v>
      </c>
      <c r="D389" s="43">
        <v>1677929.7869390089</v>
      </c>
      <c r="E389" s="306">
        <v>1633838.2858386673</v>
      </c>
      <c r="F389" s="306">
        <f>+D389-E389</f>
        <v>44091.501100341557</v>
      </c>
      <c r="G389" s="193">
        <f>IF(F389&lt;0,MROUND(F389,-1000),MROUND(F389,1000))</f>
        <v>44000</v>
      </c>
      <c r="H389" s="193"/>
    </row>
    <row r="390" spans="2:8" x14ac:dyDescent="0.35">
      <c r="B390" s="47">
        <v>439</v>
      </c>
      <c r="C390" t="s">
        <v>247</v>
      </c>
      <c r="D390" s="81">
        <f>SUM(D388:D389)</f>
        <v>1700750.7844354529</v>
      </c>
      <c r="E390" s="81">
        <f t="shared" ref="E390:G390" si="18">SUM(E388:E389)</f>
        <v>1658840.0980549264</v>
      </c>
      <c r="F390" s="81">
        <f t="shared" si="18"/>
        <v>41910.686380526626</v>
      </c>
      <c r="G390" s="81">
        <f t="shared" si="18"/>
        <v>42000</v>
      </c>
    </row>
    <row r="392" spans="2:8" x14ac:dyDescent="0.35">
      <c r="B392" s="46"/>
      <c r="C392" s="240" t="s">
        <v>26</v>
      </c>
      <c r="D392" s="43">
        <v>55867892.432406992</v>
      </c>
      <c r="E392" s="306">
        <v>57430590.347422414</v>
      </c>
      <c r="F392" s="306">
        <f>+D392-E392</f>
        <v>-1562697.9150154218</v>
      </c>
      <c r="G392" s="193">
        <f>IF(F392&lt;0,MROUND(F392,-1000),MROUND(F392,1000))</f>
        <v>-1563000</v>
      </c>
      <c r="H392" s="193"/>
    </row>
    <row r="393" spans="2:8" x14ac:dyDescent="0.35">
      <c r="B393" s="46">
        <v>457</v>
      </c>
      <c r="C393" s="240" t="s">
        <v>333</v>
      </c>
      <c r="D393" s="43">
        <v>415019.25171279436</v>
      </c>
      <c r="E393" s="306">
        <v>394379.88050383999</v>
      </c>
      <c r="F393" s="306">
        <f>+D393-E393</f>
        <v>20639.37120895437</v>
      </c>
      <c r="G393" s="193">
        <f>IF(F393&lt;0,MROUND(F393,-1000),MROUND(F393,1000))</f>
        <v>21000</v>
      </c>
      <c r="H393" s="193"/>
    </row>
    <row r="394" spans="2:8" x14ac:dyDescent="0.35">
      <c r="B394">
        <v>363</v>
      </c>
      <c r="C394" t="s">
        <v>26</v>
      </c>
      <c r="D394" s="81">
        <f>SUM(D392:D393)</f>
        <v>56282911.684119783</v>
      </c>
      <c r="E394" s="81">
        <f t="shared" ref="E394:G394" si="19">SUM(E392:E393)</f>
        <v>57824970.227926254</v>
      </c>
      <c r="F394" s="81">
        <f t="shared" si="19"/>
        <v>-1542058.5438064674</v>
      </c>
      <c r="G394" s="81">
        <f t="shared" si="19"/>
        <v>-1542000</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F0020-9A37-4EFD-A5C5-45C60664E4F3}">
  <sheetPr codeName="Blad9">
    <tabColor rgb="FF002060"/>
  </sheetPr>
  <dimension ref="A1:M237"/>
  <sheetViews>
    <sheetView showGridLines="0" topLeftCell="D14" workbookViewId="0">
      <selection activeCell="H26" sqref="H26"/>
    </sheetView>
  </sheetViews>
  <sheetFormatPr defaultRowHeight="14.5" x14ac:dyDescent="0.35"/>
  <cols>
    <col min="1" max="1" width="81.90625" customWidth="1"/>
    <col min="2" max="2" width="46.36328125" style="263" customWidth="1"/>
    <col min="3" max="3" width="17.08984375" customWidth="1"/>
    <col min="4" max="4" width="15.6328125" customWidth="1"/>
    <col min="5" max="5" width="17" bestFit="1" customWidth="1"/>
    <col min="6" max="6" width="17.36328125" customWidth="1"/>
    <col min="7" max="7" width="16.90625" customWidth="1"/>
    <col min="8" max="8" width="17.6328125" customWidth="1"/>
    <col min="9" max="9" width="18.36328125" customWidth="1"/>
    <col min="10" max="10" width="13.6328125" customWidth="1"/>
    <col min="11" max="11" width="13.453125" bestFit="1" customWidth="1"/>
    <col min="12" max="12" width="13.36328125" bestFit="1" customWidth="1"/>
    <col min="13" max="13" width="13.54296875" customWidth="1"/>
  </cols>
  <sheetData>
    <row r="1" spans="1:13" s="69" customFormat="1" x14ac:dyDescent="0.35">
      <c r="A1" s="69" t="s">
        <v>749</v>
      </c>
      <c r="B1" s="69" t="s">
        <v>1012</v>
      </c>
      <c r="C1" s="69">
        <v>2017</v>
      </c>
      <c r="D1" s="69">
        <v>2018</v>
      </c>
      <c r="E1" s="69">
        <v>2019</v>
      </c>
      <c r="F1" s="69">
        <v>2020</v>
      </c>
      <c r="G1" s="69">
        <v>2021</v>
      </c>
      <c r="H1" s="69">
        <v>2022</v>
      </c>
      <c r="I1" s="69">
        <v>2023</v>
      </c>
      <c r="J1" s="69">
        <v>2024</v>
      </c>
      <c r="K1" s="69">
        <v>2025</v>
      </c>
      <c r="L1" s="69">
        <v>2026</v>
      </c>
    </row>
    <row r="2" spans="1:13" x14ac:dyDescent="0.35">
      <c r="A2" t="s">
        <v>750</v>
      </c>
    </row>
    <row r="3" spans="1:13" s="130" customFormat="1" x14ac:dyDescent="0.35">
      <c r="A3" s="130" t="s">
        <v>751</v>
      </c>
      <c r="B3" s="130" t="s">
        <v>1014</v>
      </c>
      <c r="C3" s="132">
        <v>522855578.52500802</v>
      </c>
      <c r="D3" s="132">
        <v>511135974.26038003</v>
      </c>
      <c r="E3" s="132">
        <v>513778651.66423798</v>
      </c>
      <c r="F3" s="260">
        <v>513774916.50739098</v>
      </c>
      <c r="G3" s="260">
        <v>513771600.14654899</v>
      </c>
      <c r="H3" s="260">
        <v>513771600.14654899</v>
      </c>
      <c r="I3" s="260">
        <v>513771600.14654899</v>
      </c>
    </row>
    <row r="4" spans="1:13" x14ac:dyDescent="0.35">
      <c r="E4" s="59"/>
      <c r="F4" s="59"/>
      <c r="G4" s="59"/>
      <c r="H4" s="59"/>
      <c r="I4" s="59"/>
    </row>
    <row r="5" spans="1:13" s="130" customFormat="1" ht="43.5" x14ac:dyDescent="0.35">
      <c r="A5" s="69" t="s">
        <v>752</v>
      </c>
      <c r="B5" s="265" t="s">
        <v>1290</v>
      </c>
      <c r="C5" s="69">
        <v>2017</v>
      </c>
      <c r="D5" s="69">
        <v>2018</v>
      </c>
      <c r="E5" s="69">
        <v>2019</v>
      </c>
      <c r="F5" s="69">
        <v>2020</v>
      </c>
      <c r="G5" s="69">
        <v>2021</v>
      </c>
      <c r="H5" s="69">
        <v>2022</v>
      </c>
      <c r="I5" s="69">
        <v>2023</v>
      </c>
      <c r="J5" s="69">
        <v>2024</v>
      </c>
      <c r="K5" s="69">
        <v>2025</v>
      </c>
      <c r="L5" s="69">
        <v>2026</v>
      </c>
    </row>
    <row r="6" spans="1:13" x14ac:dyDescent="0.35">
      <c r="A6" t="s">
        <v>753</v>
      </c>
      <c r="E6" s="58">
        <v>326766.88</v>
      </c>
      <c r="F6" s="59">
        <v>326764.58</v>
      </c>
      <c r="G6" s="59">
        <v>326762.58</v>
      </c>
      <c r="H6" s="59">
        <v>326762.58</v>
      </c>
      <c r="I6" s="59">
        <v>326762.58</v>
      </c>
      <c r="J6" s="58"/>
    </row>
    <row r="7" spans="1:13" x14ac:dyDescent="0.35">
      <c r="A7" t="s">
        <v>754</v>
      </c>
      <c r="E7" s="58">
        <v>326766.88</v>
      </c>
      <c r="F7" s="59">
        <v>326764.58</v>
      </c>
      <c r="G7" s="59">
        <v>326764.58</v>
      </c>
      <c r="H7" s="59">
        <v>326762.58</v>
      </c>
      <c r="I7" s="59">
        <v>326762.58</v>
      </c>
      <c r="J7" s="58"/>
    </row>
    <row r="8" spans="1:13" x14ac:dyDescent="0.35">
      <c r="A8" t="s">
        <v>755</v>
      </c>
      <c r="E8" s="58">
        <v>334628.82</v>
      </c>
      <c r="F8" s="59">
        <v>334300.78000000003</v>
      </c>
      <c r="G8" s="59">
        <v>334140.69</v>
      </c>
      <c r="H8" s="59">
        <v>333993.39</v>
      </c>
      <c r="I8" s="59">
        <v>333853.88</v>
      </c>
      <c r="J8" s="58">
        <v>333709.96000000002</v>
      </c>
    </row>
    <row r="9" spans="1:13" x14ac:dyDescent="0.35">
      <c r="A9" t="s">
        <v>756</v>
      </c>
      <c r="E9" s="58">
        <v>334628.82</v>
      </c>
      <c r="F9" s="59">
        <v>334300.78000000003</v>
      </c>
      <c r="G9" s="59">
        <v>334140.69</v>
      </c>
      <c r="H9" s="59">
        <v>333993.39</v>
      </c>
      <c r="I9" s="59">
        <v>333853.88</v>
      </c>
      <c r="J9" s="58">
        <v>333709.96000000002</v>
      </c>
    </row>
    <row r="10" spans="1:13" x14ac:dyDescent="0.35">
      <c r="A10" t="s">
        <v>1015</v>
      </c>
      <c r="E10" s="58"/>
      <c r="F10" s="59">
        <v>334300.78000000003</v>
      </c>
      <c r="G10" s="59">
        <v>334140.69</v>
      </c>
      <c r="H10" s="59">
        <v>333993.39</v>
      </c>
      <c r="I10" s="59">
        <v>333853.88</v>
      </c>
      <c r="J10" s="58">
        <v>333709.96000000002</v>
      </c>
      <c r="K10" s="58">
        <v>333709.96000000002</v>
      </c>
    </row>
    <row r="11" spans="1:13" x14ac:dyDescent="0.35">
      <c r="A11" t="s">
        <v>1275</v>
      </c>
      <c r="E11" s="58"/>
      <c r="F11" s="58">
        <v>334300.78000000003</v>
      </c>
      <c r="G11" s="59">
        <v>334140.69</v>
      </c>
      <c r="H11" s="59">
        <v>333993.39</v>
      </c>
      <c r="I11" s="59">
        <v>333853.88</v>
      </c>
      <c r="J11" s="58">
        <v>333709.96000000002</v>
      </c>
      <c r="K11" s="58">
        <v>333709.96000000002</v>
      </c>
    </row>
    <row r="12" spans="1:13" x14ac:dyDescent="0.35">
      <c r="A12" t="s">
        <v>1289</v>
      </c>
      <c r="E12" s="58"/>
      <c r="F12" s="58"/>
      <c r="G12" s="59">
        <v>417700</v>
      </c>
      <c r="H12" s="59">
        <v>333993.39</v>
      </c>
      <c r="I12" s="59">
        <v>333853.88</v>
      </c>
      <c r="J12" s="58">
        <v>333709.96000000002</v>
      </c>
      <c r="K12" s="58">
        <v>333709.96000000002</v>
      </c>
      <c r="L12" s="58">
        <v>333709.96000000002</v>
      </c>
    </row>
    <row r="13" spans="1:13" x14ac:dyDescent="0.35">
      <c r="A13" t="s">
        <v>1305</v>
      </c>
      <c r="E13" s="58"/>
      <c r="F13" s="58"/>
      <c r="G13" s="59">
        <v>417700.17</v>
      </c>
      <c r="H13" s="59">
        <v>367155.38</v>
      </c>
      <c r="I13" s="59">
        <v>333853.88</v>
      </c>
      <c r="J13" s="58">
        <v>333709.96000000002</v>
      </c>
      <c r="K13" s="58">
        <v>333709.96000000002</v>
      </c>
      <c r="L13" s="58">
        <v>333709.96000000002</v>
      </c>
    </row>
    <row r="14" spans="1:13" x14ac:dyDescent="0.35">
      <c r="A14" t="s">
        <v>1325</v>
      </c>
      <c r="E14" s="58"/>
      <c r="F14" s="58"/>
      <c r="G14" s="59"/>
      <c r="H14" s="59">
        <v>367155.38</v>
      </c>
      <c r="I14" s="59"/>
      <c r="J14" s="58"/>
      <c r="K14" s="58"/>
      <c r="L14" s="58"/>
    </row>
    <row r="15" spans="1:13" x14ac:dyDescent="0.35">
      <c r="A15" t="s">
        <v>1335</v>
      </c>
      <c r="E15" s="58"/>
      <c r="F15" s="58"/>
      <c r="G15" s="59"/>
      <c r="H15" s="59">
        <v>367155</v>
      </c>
      <c r="I15" s="59"/>
      <c r="J15" s="58"/>
      <c r="K15" s="58"/>
      <c r="L15" s="58"/>
    </row>
    <row r="16" spans="1:13" s="130" customFormat="1" ht="43.5" x14ac:dyDescent="0.35">
      <c r="A16" s="69" t="s">
        <v>757</v>
      </c>
      <c r="B16" s="265" t="s">
        <v>1291</v>
      </c>
      <c r="C16" s="69">
        <v>2017</v>
      </c>
      <c r="D16" s="69">
        <v>2018</v>
      </c>
      <c r="E16" s="69">
        <v>2019</v>
      </c>
      <c r="F16" s="69">
        <v>2020</v>
      </c>
      <c r="G16" s="69">
        <v>2021</v>
      </c>
      <c r="H16" s="69">
        <v>2022</v>
      </c>
      <c r="I16" s="69">
        <v>2023</v>
      </c>
      <c r="J16" s="69">
        <v>2024</v>
      </c>
      <c r="K16" s="69">
        <v>2025</v>
      </c>
      <c r="L16" s="69">
        <v>2026</v>
      </c>
      <c r="M16" s="69">
        <v>2027</v>
      </c>
    </row>
    <row r="17" spans="1:13" x14ac:dyDescent="0.35">
      <c r="A17" t="s">
        <v>758</v>
      </c>
      <c r="E17">
        <v>1.5720000000000001</v>
      </c>
      <c r="F17" s="61">
        <v>1.621</v>
      </c>
      <c r="G17" s="61">
        <v>1.659</v>
      </c>
      <c r="H17" s="61">
        <v>1.7</v>
      </c>
      <c r="I17" s="61">
        <v>1.746</v>
      </c>
      <c r="K17" s="57"/>
    </row>
    <row r="18" spans="1:13" x14ac:dyDescent="0.35">
      <c r="A18" t="s">
        <v>754</v>
      </c>
      <c r="E18">
        <v>1.5669999999999999</v>
      </c>
      <c r="F18" s="60">
        <v>1.587</v>
      </c>
      <c r="G18" s="60">
        <v>1.595</v>
      </c>
      <c r="H18" s="60">
        <v>1.607</v>
      </c>
      <c r="I18">
        <v>1.621</v>
      </c>
    </row>
    <row r="19" spans="1:13" x14ac:dyDescent="0.35">
      <c r="A19" t="s">
        <v>755</v>
      </c>
      <c r="E19">
        <v>1.554</v>
      </c>
      <c r="F19">
        <v>1.6060000000000001</v>
      </c>
      <c r="G19" s="60">
        <v>1.6319999999999999</v>
      </c>
      <c r="H19" s="60">
        <v>1.663</v>
      </c>
      <c r="I19">
        <v>1.706</v>
      </c>
      <c r="J19">
        <v>1.744</v>
      </c>
    </row>
    <row r="20" spans="1:13" x14ac:dyDescent="0.35">
      <c r="A20" t="s">
        <v>756</v>
      </c>
      <c r="E20">
        <v>1.548</v>
      </c>
      <c r="F20">
        <v>1.619</v>
      </c>
      <c r="G20">
        <v>1.661</v>
      </c>
      <c r="H20">
        <v>1.696</v>
      </c>
      <c r="I20">
        <v>1.7350000000000001</v>
      </c>
      <c r="J20">
        <v>1.774</v>
      </c>
    </row>
    <row r="21" spans="1:13" x14ac:dyDescent="0.35">
      <c r="A21" t="s">
        <v>1015</v>
      </c>
      <c r="F21">
        <v>1.6120000000000001</v>
      </c>
      <c r="G21">
        <v>1.6559999999999999</v>
      </c>
      <c r="H21">
        <v>1.7</v>
      </c>
      <c r="I21">
        <v>1.726</v>
      </c>
      <c r="J21">
        <v>1.7509999999999999</v>
      </c>
      <c r="K21">
        <v>1.786</v>
      </c>
    </row>
    <row r="22" spans="1:13" x14ac:dyDescent="0.35">
      <c r="A22" t="s">
        <v>1275</v>
      </c>
      <c r="F22" s="60">
        <v>1.621</v>
      </c>
      <c r="G22">
        <v>1.659</v>
      </c>
      <c r="H22">
        <v>1.6890000000000001</v>
      </c>
      <c r="I22" s="403">
        <v>1.712</v>
      </c>
      <c r="J22">
        <v>1.738</v>
      </c>
      <c r="K22">
        <v>1.774</v>
      </c>
    </row>
    <row r="23" spans="1:13" x14ac:dyDescent="0.35">
      <c r="A23" t="s">
        <v>1289</v>
      </c>
      <c r="F23" s="60"/>
      <c r="G23">
        <v>1.6759999999999999</v>
      </c>
      <c r="H23">
        <v>1.704</v>
      </c>
      <c r="I23" s="403">
        <v>1.7210000000000001</v>
      </c>
      <c r="J23">
        <v>1.7410000000000001</v>
      </c>
      <c r="K23">
        <v>1.774</v>
      </c>
      <c r="L23">
        <v>1.8149999999999999</v>
      </c>
    </row>
    <row r="24" spans="1:13" x14ac:dyDescent="0.35">
      <c r="A24" t="s">
        <v>1305</v>
      </c>
      <c r="F24" s="60"/>
      <c r="G24">
        <v>1.69</v>
      </c>
      <c r="H24">
        <v>1.754</v>
      </c>
      <c r="I24" s="403">
        <v>1.762</v>
      </c>
      <c r="J24">
        <v>1.782</v>
      </c>
      <c r="K24">
        <v>1.82</v>
      </c>
      <c r="L24">
        <v>1.8640000000000001</v>
      </c>
    </row>
    <row r="25" spans="1:13" x14ac:dyDescent="0.35">
      <c r="A25" t="s">
        <v>1325</v>
      </c>
      <c r="F25" s="60"/>
      <c r="G25" s="121"/>
      <c r="H25">
        <v>1.8129999999999999</v>
      </c>
      <c r="I25" s="403">
        <v>1.2849999999999999</v>
      </c>
      <c r="J25">
        <v>1.3560000000000001</v>
      </c>
      <c r="K25" s="121">
        <v>1.419</v>
      </c>
      <c r="L25">
        <v>1.345</v>
      </c>
      <c r="M25">
        <v>1.3720000000000001</v>
      </c>
    </row>
    <row r="26" spans="1:13" x14ac:dyDescent="0.35">
      <c r="A26" t="s">
        <v>1335</v>
      </c>
      <c r="F26" s="60"/>
      <c r="G26" s="121"/>
      <c r="H26">
        <v>1.823</v>
      </c>
      <c r="I26" s="403">
        <v>1.3069999999999999</v>
      </c>
      <c r="J26">
        <v>1.387</v>
      </c>
      <c r="K26" s="121">
        <v>1.44</v>
      </c>
      <c r="L26">
        <v>1.399</v>
      </c>
      <c r="M26">
        <v>1.39</v>
      </c>
    </row>
    <row r="27" spans="1:13" s="130" customFormat="1" ht="43.5" x14ac:dyDescent="0.35">
      <c r="A27" s="69" t="s">
        <v>759</v>
      </c>
      <c r="B27" s="265" t="s">
        <v>1016</v>
      </c>
      <c r="C27" s="69">
        <v>2017</v>
      </c>
      <c r="D27" s="69">
        <v>2018</v>
      </c>
      <c r="E27" s="69">
        <v>2019</v>
      </c>
      <c r="F27" s="69">
        <v>2020</v>
      </c>
      <c r="G27" s="69">
        <v>2021</v>
      </c>
      <c r="H27" s="69">
        <v>2022</v>
      </c>
      <c r="I27" s="69">
        <v>2023</v>
      </c>
      <c r="J27" s="69">
        <v>2024</v>
      </c>
      <c r="K27" s="69">
        <v>2025</v>
      </c>
      <c r="L27" s="69">
        <v>2026</v>
      </c>
    </row>
    <row r="28" spans="1:13" x14ac:dyDescent="0.35">
      <c r="A28" t="s">
        <v>758</v>
      </c>
      <c r="E28" s="58">
        <f t="shared" ref="E28:J30" si="0">+E6*E17*1000</f>
        <v>513677535.36000001</v>
      </c>
      <c r="F28" s="58">
        <f t="shared" si="0"/>
        <v>529685384.18000007</v>
      </c>
      <c r="G28" s="58">
        <f t="shared" si="0"/>
        <v>542099120.22000003</v>
      </c>
      <c r="H28" s="58">
        <f t="shared" si="0"/>
        <v>555496386</v>
      </c>
      <c r="I28" s="58">
        <f t="shared" si="0"/>
        <v>570527464.67999995</v>
      </c>
      <c r="J28" s="58">
        <f t="shared" si="0"/>
        <v>0</v>
      </c>
    </row>
    <row r="29" spans="1:13" x14ac:dyDescent="0.35">
      <c r="A29" t="s">
        <v>754</v>
      </c>
      <c r="E29" s="58">
        <f t="shared" si="0"/>
        <v>512043700.95999998</v>
      </c>
      <c r="F29" s="58">
        <f t="shared" si="0"/>
        <v>518575388.45999998</v>
      </c>
      <c r="G29" s="58">
        <f t="shared" si="0"/>
        <v>521189505.10000002</v>
      </c>
      <c r="H29" s="58">
        <f t="shared" si="0"/>
        <v>525107466.06</v>
      </c>
      <c r="I29" s="58">
        <f t="shared" si="0"/>
        <v>529682142.18000007</v>
      </c>
      <c r="J29" s="58">
        <f t="shared" si="0"/>
        <v>0</v>
      </c>
    </row>
    <row r="30" spans="1:13" x14ac:dyDescent="0.35">
      <c r="A30" t="s">
        <v>760</v>
      </c>
      <c r="E30" s="58">
        <f t="shared" si="0"/>
        <v>520013186.28000003</v>
      </c>
      <c r="F30" s="58">
        <f t="shared" si="0"/>
        <v>536887052.68000007</v>
      </c>
      <c r="G30" s="58">
        <f t="shared" si="0"/>
        <v>545317606.07999992</v>
      </c>
      <c r="H30" s="58">
        <f t="shared" si="0"/>
        <v>555431007.57000005</v>
      </c>
      <c r="I30" s="58">
        <f t="shared" si="0"/>
        <v>569554719.27999997</v>
      </c>
      <c r="J30" s="58">
        <f t="shared" si="0"/>
        <v>581990170.24000001</v>
      </c>
    </row>
    <row r="31" spans="1:13" s="116" customFormat="1" ht="12" x14ac:dyDescent="0.3">
      <c r="A31" s="113" t="s">
        <v>761</v>
      </c>
      <c r="B31" s="264"/>
      <c r="C31" s="113"/>
      <c r="D31" s="113"/>
      <c r="E31" s="115">
        <v>12214000</v>
      </c>
      <c r="F31" s="115">
        <v>11691000</v>
      </c>
      <c r="G31" s="115">
        <v>11433000</v>
      </c>
      <c r="H31" s="115">
        <v>11188000</v>
      </c>
      <c r="I31" s="115">
        <v>10950000</v>
      </c>
      <c r="J31" s="115">
        <v>10699000</v>
      </c>
    </row>
    <row r="32" spans="1:13" x14ac:dyDescent="0.35">
      <c r="A32" t="s">
        <v>756</v>
      </c>
      <c r="E32" s="58">
        <f t="shared" ref="E32:J33" si="1">+E9*E20*1000</f>
        <v>518005413.36000001</v>
      </c>
      <c r="F32" s="58">
        <f t="shared" si="1"/>
        <v>541232962.82000005</v>
      </c>
      <c r="G32" s="58">
        <f t="shared" si="1"/>
        <v>555007686.08999991</v>
      </c>
      <c r="H32" s="58">
        <f t="shared" si="1"/>
        <v>566452789.43999994</v>
      </c>
      <c r="I32" s="58">
        <f t="shared" si="1"/>
        <v>579236481.80000007</v>
      </c>
      <c r="J32" s="58">
        <f t="shared" si="1"/>
        <v>592001469.03999996</v>
      </c>
    </row>
    <row r="33" spans="1:13" x14ac:dyDescent="0.35">
      <c r="A33" t="s">
        <v>1015</v>
      </c>
      <c r="E33" s="58">
        <f t="shared" si="1"/>
        <v>0</v>
      </c>
      <c r="F33" s="58">
        <f t="shared" si="1"/>
        <v>538892857.36000001</v>
      </c>
      <c r="G33" s="58">
        <f t="shared" si="1"/>
        <v>553336982.63999999</v>
      </c>
      <c r="H33" s="58">
        <f t="shared" si="1"/>
        <v>567788763</v>
      </c>
      <c r="I33" s="58">
        <f t="shared" si="1"/>
        <v>576231796.88</v>
      </c>
      <c r="J33" s="58">
        <f t="shared" si="1"/>
        <v>584326139.95999992</v>
      </c>
      <c r="K33" s="58">
        <f>+K10*K21*1000</f>
        <v>596005988.56000006</v>
      </c>
    </row>
    <row r="34" spans="1:13" x14ac:dyDescent="0.35">
      <c r="A34" t="s">
        <v>1275</v>
      </c>
      <c r="E34" s="58"/>
      <c r="F34" s="58">
        <f t="shared" ref="F34:J36" si="2">+F11*F22*1000</f>
        <v>541901564.38</v>
      </c>
      <c r="G34" s="58">
        <f t="shared" si="2"/>
        <v>554339404.71000004</v>
      </c>
      <c r="H34" s="58">
        <f t="shared" si="2"/>
        <v>564114835.71000004</v>
      </c>
      <c r="I34" s="58">
        <f t="shared" si="2"/>
        <v>571557842.56000006</v>
      </c>
      <c r="J34" s="58">
        <f t="shared" si="2"/>
        <v>579987910.48000002</v>
      </c>
      <c r="K34" s="58">
        <f>+K11*K22*1000</f>
        <v>592001469.03999996</v>
      </c>
    </row>
    <row r="35" spans="1:13" x14ac:dyDescent="0.35">
      <c r="A35" t="s">
        <v>1289</v>
      </c>
      <c r="E35" s="58"/>
      <c r="F35" s="58">
        <f t="shared" si="2"/>
        <v>0</v>
      </c>
      <c r="G35" s="58">
        <f t="shared" si="2"/>
        <v>700065200</v>
      </c>
      <c r="H35" s="58">
        <f t="shared" si="2"/>
        <v>569124736.55999994</v>
      </c>
      <c r="I35" s="58">
        <f t="shared" si="2"/>
        <v>574562527.48000002</v>
      </c>
      <c r="J35" s="58">
        <f t="shared" si="2"/>
        <v>580989040.36000013</v>
      </c>
      <c r="K35" s="58">
        <f>+K12*K23*1000</f>
        <v>592001469.03999996</v>
      </c>
      <c r="L35" s="58">
        <f>+L12*L23*1000</f>
        <v>605683577.4000001</v>
      </c>
    </row>
    <row r="36" spans="1:13" x14ac:dyDescent="0.35">
      <c r="A36" t="s">
        <v>1305</v>
      </c>
      <c r="E36" s="58"/>
      <c r="F36" s="58">
        <f t="shared" si="2"/>
        <v>0</v>
      </c>
      <c r="G36" s="58">
        <f t="shared" si="2"/>
        <v>705913287.29999995</v>
      </c>
      <c r="H36" s="58">
        <f t="shared" si="2"/>
        <v>643990536.51999998</v>
      </c>
      <c r="I36" s="58">
        <f t="shared" si="2"/>
        <v>588250536.56000006</v>
      </c>
      <c r="J36" s="58">
        <f t="shared" si="2"/>
        <v>594671148.72000003</v>
      </c>
      <c r="K36" s="58">
        <f>+K13*K24*1000</f>
        <v>607352127.20000005</v>
      </c>
      <c r="L36" s="58">
        <f>+L13*L24*1000</f>
        <v>622035365.44000006</v>
      </c>
    </row>
    <row r="37" spans="1:13" x14ac:dyDescent="0.35">
      <c r="A37" t="s">
        <v>1325</v>
      </c>
      <c r="E37" s="58"/>
      <c r="F37" s="58"/>
      <c r="G37" s="58"/>
      <c r="H37" s="58">
        <f t="shared" ref="H37:M38" si="3">+H14*H25*1000</f>
        <v>665652703.94000006</v>
      </c>
      <c r="I37" s="58">
        <f t="shared" si="3"/>
        <v>0</v>
      </c>
      <c r="J37" s="58">
        <f t="shared" si="3"/>
        <v>0</v>
      </c>
      <c r="K37" s="58">
        <f t="shared" si="3"/>
        <v>0</v>
      </c>
      <c r="L37" s="58">
        <f t="shared" si="3"/>
        <v>0</v>
      </c>
      <c r="M37" s="58">
        <f t="shared" si="3"/>
        <v>0</v>
      </c>
    </row>
    <row r="38" spans="1:13" x14ac:dyDescent="0.35">
      <c r="A38" t="s">
        <v>1335</v>
      </c>
      <c r="E38" s="58"/>
      <c r="F38" s="58"/>
      <c r="G38" s="58"/>
      <c r="H38" s="58">
        <f t="shared" si="3"/>
        <v>669323565</v>
      </c>
      <c r="I38" s="58">
        <f t="shared" si="3"/>
        <v>0</v>
      </c>
      <c r="J38" s="58">
        <f t="shared" si="3"/>
        <v>0</v>
      </c>
      <c r="K38" s="58">
        <f t="shared" si="3"/>
        <v>0</v>
      </c>
      <c r="L38" s="58">
        <f t="shared" si="3"/>
        <v>0</v>
      </c>
      <c r="M38" s="58">
        <f t="shared" si="3"/>
        <v>0</v>
      </c>
    </row>
    <row r="39" spans="1:13" s="69" customFormat="1" ht="116" x14ac:dyDescent="0.35">
      <c r="A39" s="69" t="s">
        <v>762</v>
      </c>
      <c r="B39" s="265" t="s">
        <v>1017</v>
      </c>
      <c r="E39" s="69">
        <v>2019</v>
      </c>
      <c r="F39" s="69">
        <v>2020</v>
      </c>
      <c r="G39" s="69">
        <v>2021</v>
      </c>
      <c r="H39" s="69">
        <v>2022</v>
      </c>
      <c r="I39" s="69">
        <v>2023</v>
      </c>
      <c r="J39" s="69">
        <v>2024</v>
      </c>
    </row>
    <row r="40" spans="1:13" x14ac:dyDescent="0.35">
      <c r="F40" s="60"/>
      <c r="G40" s="60"/>
      <c r="H40" s="60"/>
    </row>
    <row r="41" spans="1:13" x14ac:dyDescent="0.35">
      <c r="A41" t="s">
        <v>763</v>
      </c>
      <c r="F41" s="63">
        <f>(+F17-E17)/E17</f>
        <v>3.1170483460559752E-2</v>
      </c>
      <c r="G41" s="63">
        <f>(+G17-F17)/F17</f>
        <v>2.3442319555829757E-2</v>
      </c>
      <c r="H41" s="63">
        <f>(+H17-G17)/G17</f>
        <v>2.4713682941530996E-2</v>
      </c>
      <c r="I41" s="63">
        <f>(+I17-H17)/H17</f>
        <v>2.7058823529411788E-2</v>
      </c>
      <c r="J41" s="63">
        <f>(+J17-I17)/I17</f>
        <v>-1</v>
      </c>
    </row>
    <row r="42" spans="1:13" x14ac:dyDescent="0.35">
      <c r="A42" t="s">
        <v>764</v>
      </c>
      <c r="F42" s="64">
        <f>(+F28-E28)/E28</f>
        <v>3.1163225405178154E-2</v>
      </c>
      <c r="G42" s="64">
        <f>(+G28-F28)/F28</f>
        <v>2.3436055460011467E-2</v>
      </c>
      <c r="H42" s="64">
        <f>(+H28-G28)/G28</f>
        <v>2.4713682941530989E-2</v>
      </c>
      <c r="I42" s="64">
        <f>(+I28-H28)/H28</f>
        <v>2.705882352941167E-2</v>
      </c>
      <c r="J42" s="64">
        <f>(+J28-I28)/I28</f>
        <v>-1</v>
      </c>
    </row>
    <row r="43" spans="1:13" x14ac:dyDescent="0.35">
      <c r="A43" s="336" t="s">
        <v>765</v>
      </c>
      <c r="B43" s="337"/>
      <c r="C43" s="336"/>
      <c r="D43" s="336"/>
      <c r="E43" s="338"/>
      <c r="F43" s="64"/>
      <c r="G43" s="64"/>
      <c r="H43" s="64"/>
      <c r="I43" s="64"/>
      <c r="J43" s="64"/>
    </row>
    <row r="44" spans="1:13" x14ac:dyDescent="0.35">
      <c r="A44" t="s">
        <v>766</v>
      </c>
      <c r="F44" s="63">
        <f>(+F18-E18)/E18</f>
        <v>1.2763241863433325E-2</v>
      </c>
      <c r="G44" s="63">
        <f>(+G18-F18)/F18</f>
        <v>5.0409577819785804E-3</v>
      </c>
      <c r="H44" s="63">
        <f>(+H18-G18)/G18</f>
        <v>7.5235109717868408E-3</v>
      </c>
      <c r="I44" s="63">
        <f>(+I18-H18)/H18</f>
        <v>8.711885500933424E-3</v>
      </c>
      <c r="J44" s="63">
        <f>(+J18-I18)/I18</f>
        <v>-1</v>
      </c>
    </row>
    <row r="45" spans="1:13" x14ac:dyDescent="0.35">
      <c r="A45" t="s">
        <v>767</v>
      </c>
      <c r="F45" s="64">
        <f>(+F29-E29)/E29</f>
        <v>1.2756113370312204E-2</v>
      </c>
      <c r="G45" s="64">
        <f>(+G29-F29)/F29</f>
        <v>5.0409577819786637E-3</v>
      </c>
      <c r="H45" s="64">
        <f>(+H29-G29)/G29</f>
        <v>7.5173443088579536E-3</v>
      </c>
      <c r="I45" s="64">
        <f>(+I29-H29)/H29</f>
        <v>8.7118855009335385E-3</v>
      </c>
      <c r="J45" s="64">
        <f>(+J29-I29)/I29</f>
        <v>-1</v>
      </c>
    </row>
    <row r="46" spans="1:13" x14ac:dyDescent="0.35">
      <c r="A46" s="336" t="s">
        <v>768</v>
      </c>
      <c r="B46" s="337"/>
      <c r="C46" s="336"/>
      <c r="D46" s="336"/>
      <c r="E46" s="338"/>
      <c r="F46" s="64"/>
      <c r="G46" s="64"/>
      <c r="H46" s="64"/>
      <c r="I46" s="64"/>
      <c r="J46" s="64"/>
    </row>
    <row r="47" spans="1:13" x14ac:dyDescent="0.35">
      <c r="A47" t="s">
        <v>769</v>
      </c>
      <c r="F47" s="65">
        <f>(+F19-E19)/E19</f>
        <v>3.346203346203349E-2</v>
      </c>
      <c r="G47" s="65">
        <f>(+G19-F19)/F19</f>
        <v>1.6189290161892776E-2</v>
      </c>
      <c r="H47" s="65">
        <f>(+H19-G19)/G19</f>
        <v>1.8995098039215771E-2</v>
      </c>
      <c r="I47" s="65">
        <f>(+I19-H19)/H19</f>
        <v>2.5856885147324069E-2</v>
      </c>
      <c r="J47" s="65">
        <f>(+J19-I19)/I19</f>
        <v>2.2274325908558049E-2</v>
      </c>
    </row>
    <row r="48" spans="1:13" x14ac:dyDescent="0.35">
      <c r="A48" t="s">
        <v>770</v>
      </c>
      <c r="F48" s="65">
        <f>(+F30-E30)/E30</f>
        <v>3.2448920229715746E-2</v>
      </c>
      <c r="G48" s="65">
        <f>(+G30-F30)/F30</f>
        <v>1.5702657305510972E-2</v>
      </c>
      <c r="H48" s="65">
        <f>(+H30-G30)/G30</f>
        <v>1.8545892113588678E-2</v>
      </c>
      <c r="I48" s="65">
        <f>(+I30-H30)/H30</f>
        <v>2.5428381774706611E-2</v>
      </c>
      <c r="J48" s="65">
        <f>(+J30-I30)/I30</f>
        <v>2.1833636943119808E-2</v>
      </c>
    </row>
    <row r="49" spans="1:10" x14ac:dyDescent="0.35">
      <c r="A49" s="336" t="s">
        <v>771</v>
      </c>
      <c r="B49" s="337"/>
      <c r="C49" s="336"/>
      <c r="D49" s="336"/>
      <c r="E49" s="338"/>
      <c r="F49" s="117"/>
      <c r="G49" s="65"/>
      <c r="H49" s="65"/>
      <c r="I49" s="65"/>
      <c r="J49" s="65"/>
    </row>
    <row r="50" spans="1:10" x14ac:dyDescent="0.35">
      <c r="A50" t="s">
        <v>772</v>
      </c>
      <c r="F50" s="66">
        <f>(+F20-E20)/E20</f>
        <v>4.5865633074935366E-2</v>
      </c>
      <c r="G50" s="66">
        <f>(+G20-F20)/F20</f>
        <v>2.5941939468807931E-2</v>
      </c>
      <c r="H50" s="66">
        <f>(+H20-G20)/G20</f>
        <v>2.107164358819983E-2</v>
      </c>
      <c r="I50" s="66">
        <f>(+I20-H20)/H20</f>
        <v>2.299528301886801E-2</v>
      </c>
      <c r="J50" s="66">
        <f>(+J20-I20)/I20</f>
        <v>2.2478386167146928E-2</v>
      </c>
    </row>
    <row r="51" spans="1:10" x14ac:dyDescent="0.35">
      <c r="A51" t="s">
        <v>773</v>
      </c>
      <c r="F51" s="65">
        <f>(+F32-E32)/E32</f>
        <v>4.4840360469085502E-2</v>
      </c>
      <c r="G51" s="65">
        <f>(+G32-F32)/F32</f>
        <v>2.5450636262486798E-2</v>
      </c>
      <c r="H51" s="65">
        <f>(+H32-G32)/G32</f>
        <v>2.0621522254277554E-2</v>
      </c>
      <c r="I51" s="65">
        <f>(+I32-H32)/H32</f>
        <v>2.2567974945693535E-2</v>
      </c>
      <c r="J51" s="65">
        <f>(+J32-I32)/I32</f>
        <v>2.2037609234025094E-2</v>
      </c>
    </row>
    <row r="52" spans="1:10" x14ac:dyDescent="0.35">
      <c r="A52" s="336" t="s">
        <v>774</v>
      </c>
      <c r="B52" s="337"/>
      <c r="C52" s="336"/>
      <c r="D52" s="336"/>
      <c r="E52" s="338"/>
      <c r="F52" s="65"/>
      <c r="G52" s="65"/>
      <c r="H52" s="65"/>
      <c r="I52" s="65"/>
      <c r="J52" s="65"/>
    </row>
    <row r="53" spans="1:10" x14ac:dyDescent="0.35">
      <c r="A53" t="s">
        <v>775</v>
      </c>
      <c r="E53" s="63">
        <f>(+E18-E17)/E17</f>
        <v>-3.180661577608216E-3</v>
      </c>
      <c r="F53" s="63">
        <f>(+F18-F17)/F17</f>
        <v>-2.097470697100557E-2</v>
      </c>
      <c r="G53" s="63">
        <f>(+G18-G17)/G17</f>
        <v>-3.857745629897532E-2</v>
      </c>
      <c r="H53" s="63">
        <f>(+H18-H17)/H17</f>
        <v>-5.470588235294116E-2</v>
      </c>
      <c r="I53" s="63">
        <f>(+I18-I17)/I17</f>
        <v>-7.1592210767468495E-2</v>
      </c>
      <c r="J53" s="62"/>
    </row>
    <row r="54" spans="1:10" x14ac:dyDescent="0.35">
      <c r="A54" t="s">
        <v>776</v>
      </c>
      <c r="E54" s="63">
        <f>(+E29-E28)/E28</f>
        <v>-3.1806615776082121E-3</v>
      </c>
      <c r="F54" s="63">
        <f>(+F29-F28)/F28</f>
        <v>-2.0974706971005716E-2</v>
      </c>
      <c r="G54" s="63">
        <f>(+G29-G28)/G28</f>
        <v>-3.8571571766274508E-2</v>
      </c>
      <c r="H54" s="63">
        <f>(+H29-H28)/H28</f>
        <v>-5.4705882352941174E-2</v>
      </c>
      <c r="I54" s="63">
        <f>(+I29-I28)/I28</f>
        <v>-7.1592210767468301E-2</v>
      </c>
      <c r="J54" s="62"/>
    </row>
    <row r="55" spans="1:10" x14ac:dyDescent="0.35">
      <c r="A55" t="s">
        <v>777</v>
      </c>
      <c r="E55" s="66">
        <f>(+E19-E18)/E18</f>
        <v>-8.29610721123159E-3</v>
      </c>
      <c r="F55" s="66">
        <f>(+F19-F18)/F18</f>
        <v>1.1972274732199199E-2</v>
      </c>
      <c r="G55" s="66">
        <f>(+G19-G18)/G18</f>
        <v>2.3197492163009356E-2</v>
      </c>
      <c r="H55" s="66">
        <f>(+H19-H18)/H18</f>
        <v>3.4847542003733696E-2</v>
      </c>
      <c r="I55" s="66">
        <f>(+I19-I18)/I18</f>
        <v>5.243676742751386E-2</v>
      </c>
      <c r="J55" s="67"/>
    </row>
    <row r="56" spans="1:10" x14ac:dyDescent="0.35">
      <c r="A56" t="s">
        <v>778</v>
      </c>
      <c r="E56" s="66">
        <f>(+E30-E29)/E29</f>
        <v>1.5564072568529879E-2</v>
      </c>
      <c r="F56" s="66">
        <f>(+F30-F29)/F29</f>
        <v>3.5311479540862452E-2</v>
      </c>
      <c r="G56" s="66">
        <f>(+G30-G29)/G29</f>
        <v>4.6294295537225888E-2</v>
      </c>
      <c r="H56" s="66">
        <f>(+H30-H29)/H29</f>
        <v>5.7747305970574814E-2</v>
      </c>
      <c r="I56" s="66">
        <f>(+I30-I29)/I29</f>
        <v>7.5276423207128143E-2</v>
      </c>
      <c r="J56" s="62"/>
    </row>
    <row r="57" spans="1:10" x14ac:dyDescent="0.35">
      <c r="A57" s="113" t="s">
        <v>779</v>
      </c>
      <c r="B57" s="264"/>
      <c r="C57" s="113"/>
      <c r="D57" s="113"/>
      <c r="E57" s="114">
        <f>(+E30-E31-E29)/E29</f>
        <v>-8.2893602089863846E-3</v>
      </c>
      <c r="F57" s="114">
        <f>+F55</f>
        <v>1.1972274732199199E-2</v>
      </c>
      <c r="G57" s="114">
        <f>+G55</f>
        <v>2.3197492163009356E-2</v>
      </c>
      <c r="H57" s="114">
        <f>+H55</f>
        <v>3.4847542003733696E-2</v>
      </c>
      <c r="I57" s="114">
        <f>+I55</f>
        <v>5.243676742751386E-2</v>
      </c>
      <c r="J57" s="62"/>
    </row>
    <row r="58" spans="1:10" x14ac:dyDescent="0.35">
      <c r="A58" s="113" t="s">
        <v>780</v>
      </c>
      <c r="B58" s="264"/>
      <c r="C58" s="113"/>
      <c r="D58" s="113"/>
      <c r="E58" s="114">
        <f>+E56-E57</f>
        <v>2.3853432777516264E-2</v>
      </c>
      <c r="F58" s="114">
        <f t="shared" ref="F58:I58" si="4">+F56-F57</f>
        <v>2.3339204808663253E-2</v>
      </c>
      <c r="G58" s="114">
        <f t="shared" si="4"/>
        <v>2.3096803374216532E-2</v>
      </c>
      <c r="H58" s="114">
        <f t="shared" si="4"/>
        <v>2.2899763966841118E-2</v>
      </c>
      <c r="I58" s="114">
        <f t="shared" si="4"/>
        <v>2.2839655779614283E-2</v>
      </c>
      <c r="J58" s="62"/>
    </row>
    <row r="59" spans="1:10" x14ac:dyDescent="0.35">
      <c r="A59" s="113" t="s">
        <v>781</v>
      </c>
      <c r="B59" s="264"/>
      <c r="C59" s="113"/>
      <c r="D59" s="113"/>
      <c r="E59" s="114">
        <v>2.3E-2</v>
      </c>
      <c r="F59" s="114"/>
      <c r="G59" s="114"/>
      <c r="H59" s="114"/>
      <c r="I59" s="114"/>
      <c r="J59" s="62"/>
    </row>
    <row r="60" spans="1:10" x14ac:dyDescent="0.35">
      <c r="A60" t="s">
        <v>782</v>
      </c>
      <c r="E60" s="63">
        <f>(+E20-E19)/E19</f>
        <v>-3.8610038610038641E-3</v>
      </c>
      <c r="F60" s="63">
        <f>(+F20-F19)/F19</f>
        <v>8.0946450809463878E-3</v>
      </c>
      <c r="G60" s="63">
        <f>(+G20-G19)/G19</f>
        <v>1.7769607843137341E-2</v>
      </c>
      <c r="H60" s="63">
        <f>(+H20-H19)/H19</f>
        <v>1.9843656043295198E-2</v>
      </c>
      <c r="I60" s="63">
        <f>(+I20-I19)/I19</f>
        <v>1.6998827667057525E-2</v>
      </c>
      <c r="J60" s="62"/>
    </row>
    <row r="61" spans="1:10" x14ac:dyDescent="0.35">
      <c r="A61" t="s">
        <v>783</v>
      </c>
      <c r="E61" s="63">
        <f>(+E32-E30)/E30</f>
        <v>-3.8610038610038928E-3</v>
      </c>
      <c r="F61" s="63">
        <f>(+F32-F30)/F30</f>
        <v>8.0946450809464224E-3</v>
      </c>
      <c r="G61" s="63">
        <f>(+G32-G30)/G30</f>
        <v>1.776960784313724E-2</v>
      </c>
      <c r="H61" s="63">
        <f>(+H32-H30)/H30</f>
        <v>1.9843656043295042E-2</v>
      </c>
      <c r="I61" s="63">
        <f>(+I32-I30)/I30</f>
        <v>1.6998827667057622E-2</v>
      </c>
      <c r="J61" s="62"/>
    </row>
    <row r="62" spans="1:10" x14ac:dyDescent="0.35">
      <c r="E62" s="112"/>
      <c r="F62" s="112"/>
      <c r="G62" s="112"/>
      <c r="H62" s="112"/>
      <c r="I62" s="112"/>
    </row>
    <row r="63" spans="1:10" x14ac:dyDescent="0.35">
      <c r="E63" s="112"/>
      <c r="F63" s="112"/>
      <c r="G63" s="112"/>
      <c r="H63" s="112"/>
      <c r="I63" s="112"/>
    </row>
    <row r="64" spans="1:10" x14ac:dyDescent="0.35">
      <c r="A64" s="1" t="s">
        <v>784</v>
      </c>
      <c r="B64" s="262"/>
      <c r="C64" s="1"/>
      <c r="D64" s="1"/>
      <c r="E64" s="58"/>
      <c r="F64" s="58"/>
      <c r="G64" s="58"/>
      <c r="H64" s="58"/>
      <c r="I64" s="58"/>
    </row>
    <row r="65" spans="1:10" x14ac:dyDescent="0.35">
      <c r="A65" t="s">
        <v>785</v>
      </c>
      <c r="E65" s="58"/>
      <c r="F65" s="58"/>
      <c r="G65" s="58"/>
      <c r="H65" s="58"/>
      <c r="I65" s="58"/>
    </row>
    <row r="66" spans="1:10" x14ac:dyDescent="0.35">
      <c r="E66" s="59"/>
      <c r="F66" s="59"/>
      <c r="G66" s="59"/>
      <c r="H66" s="59"/>
      <c r="I66" s="59"/>
    </row>
    <row r="67" spans="1:10" x14ac:dyDescent="0.35">
      <c r="E67" s="59"/>
      <c r="F67" s="59"/>
      <c r="G67" s="59"/>
      <c r="H67" s="59"/>
      <c r="I67" s="59"/>
    </row>
    <row r="68" spans="1:10" x14ac:dyDescent="0.35">
      <c r="E68" s="62"/>
      <c r="F68" s="118"/>
      <c r="G68" s="62"/>
      <c r="H68" s="62"/>
      <c r="I68" s="62"/>
      <c r="J68" s="62"/>
    </row>
    <row r="71" spans="1:10" x14ac:dyDescent="0.35">
      <c r="E71" s="59"/>
      <c r="F71" s="59"/>
      <c r="G71" s="59"/>
      <c r="H71" s="59"/>
      <c r="I71" s="59"/>
    </row>
    <row r="72" spans="1:10" x14ac:dyDescent="0.35">
      <c r="E72" s="59"/>
      <c r="F72" s="59"/>
      <c r="G72" s="59"/>
      <c r="H72" s="59"/>
      <c r="I72" s="59"/>
    </row>
    <row r="73" spans="1:10" x14ac:dyDescent="0.35">
      <c r="E73" s="59"/>
      <c r="F73" s="59"/>
      <c r="G73" s="59"/>
      <c r="H73" s="59"/>
      <c r="I73" s="59"/>
    </row>
    <row r="74" spans="1:10" x14ac:dyDescent="0.35">
      <c r="E74" s="59"/>
      <c r="F74" s="59"/>
      <c r="G74" s="59"/>
      <c r="H74" s="59"/>
      <c r="I74" s="59"/>
    </row>
    <row r="75" spans="1:10" x14ac:dyDescent="0.35">
      <c r="E75" s="59"/>
      <c r="F75" s="59"/>
      <c r="G75" s="59"/>
      <c r="H75" s="59"/>
      <c r="I75" s="59"/>
    </row>
    <row r="81" spans="6:9" x14ac:dyDescent="0.35">
      <c r="F81" s="60"/>
      <c r="I81" s="403"/>
    </row>
    <row r="167" spans="6:9" x14ac:dyDescent="0.35">
      <c r="F167" s="60"/>
      <c r="I167" s="403"/>
    </row>
    <row r="186" spans="6:9" x14ac:dyDescent="0.35">
      <c r="F186" s="60"/>
      <c r="I186" s="403"/>
    </row>
    <row r="237" spans="6:9" x14ac:dyDescent="0.35">
      <c r="F237" s="60"/>
      <c r="I237" s="403"/>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1ED71-2F42-49B0-8B3D-F272D23711A9}">
  <sheetPr codeName="Blad10">
    <tabColor rgb="FF002060"/>
  </sheetPr>
  <dimension ref="A1:EF396"/>
  <sheetViews>
    <sheetView topLeftCell="BY1" workbookViewId="0">
      <selection activeCell="CO9" sqref="CO9"/>
    </sheetView>
  </sheetViews>
  <sheetFormatPr defaultRowHeight="14.5" x14ac:dyDescent="0.35"/>
  <cols>
    <col min="4" max="4" width="23.6328125" customWidth="1"/>
    <col min="5" max="5" width="38.6328125" customWidth="1"/>
    <col min="6" max="6" width="27.36328125" customWidth="1"/>
    <col min="7" max="7" width="26.54296875" customWidth="1"/>
    <col min="8" max="66" width="13.08984375" customWidth="1"/>
    <col min="89" max="89" width="16" customWidth="1"/>
    <col min="90" max="91" width="9.453125" customWidth="1"/>
    <col min="92" max="92" width="14.90625" customWidth="1"/>
    <col min="105" max="105" width="11.453125" customWidth="1"/>
  </cols>
  <sheetData>
    <row r="1" spans="1:136" x14ac:dyDescent="0.35">
      <c r="A1" s="70">
        <v>1</v>
      </c>
      <c r="B1" s="70">
        <f t="shared" ref="B1:BM1" si="0">A1+1</f>
        <v>2</v>
      </c>
      <c r="C1" s="70">
        <f t="shared" si="0"/>
        <v>3</v>
      </c>
      <c r="D1" s="70">
        <f t="shared" si="0"/>
        <v>4</v>
      </c>
      <c r="E1" s="70">
        <f t="shared" si="0"/>
        <v>5</v>
      </c>
      <c r="F1" s="70">
        <f t="shared" si="0"/>
        <v>6</v>
      </c>
      <c r="G1" s="70">
        <f t="shared" si="0"/>
        <v>7</v>
      </c>
      <c r="H1" s="70">
        <f t="shared" si="0"/>
        <v>8</v>
      </c>
      <c r="I1" s="70">
        <f t="shared" si="0"/>
        <v>9</v>
      </c>
      <c r="J1" s="70">
        <f t="shared" si="0"/>
        <v>10</v>
      </c>
      <c r="K1" s="70">
        <f t="shared" si="0"/>
        <v>11</v>
      </c>
      <c r="L1" s="70">
        <f t="shared" si="0"/>
        <v>12</v>
      </c>
      <c r="M1" s="70">
        <f t="shared" si="0"/>
        <v>13</v>
      </c>
      <c r="N1" s="70">
        <f t="shared" si="0"/>
        <v>14</v>
      </c>
      <c r="O1" s="70">
        <f t="shared" si="0"/>
        <v>15</v>
      </c>
      <c r="P1" s="70">
        <f t="shared" si="0"/>
        <v>16</v>
      </c>
      <c r="Q1" s="70">
        <f t="shared" si="0"/>
        <v>17</v>
      </c>
      <c r="R1" s="70">
        <f t="shared" si="0"/>
        <v>18</v>
      </c>
      <c r="S1" s="70">
        <f t="shared" si="0"/>
        <v>19</v>
      </c>
      <c r="T1" s="70">
        <f t="shared" si="0"/>
        <v>20</v>
      </c>
      <c r="U1" s="70">
        <f t="shared" si="0"/>
        <v>21</v>
      </c>
      <c r="V1" s="70">
        <f t="shared" si="0"/>
        <v>22</v>
      </c>
      <c r="W1" s="70">
        <f t="shared" si="0"/>
        <v>23</v>
      </c>
      <c r="X1" s="70">
        <f t="shared" si="0"/>
        <v>24</v>
      </c>
      <c r="Y1" s="70">
        <f t="shared" si="0"/>
        <v>25</v>
      </c>
      <c r="Z1" s="70">
        <f t="shared" si="0"/>
        <v>26</v>
      </c>
      <c r="AA1" s="70">
        <f t="shared" si="0"/>
        <v>27</v>
      </c>
      <c r="AB1" s="70">
        <f t="shared" si="0"/>
        <v>28</v>
      </c>
      <c r="AC1" s="70">
        <f t="shared" si="0"/>
        <v>29</v>
      </c>
      <c r="AD1" s="70">
        <f t="shared" si="0"/>
        <v>30</v>
      </c>
      <c r="AE1" s="70">
        <f t="shared" si="0"/>
        <v>31</v>
      </c>
      <c r="AF1" s="70">
        <f t="shared" si="0"/>
        <v>32</v>
      </c>
      <c r="AG1" s="70">
        <f t="shared" si="0"/>
        <v>33</v>
      </c>
      <c r="AH1" s="70">
        <f t="shared" si="0"/>
        <v>34</v>
      </c>
      <c r="AI1" s="70">
        <f t="shared" si="0"/>
        <v>35</v>
      </c>
      <c r="AJ1" s="70">
        <f t="shared" si="0"/>
        <v>36</v>
      </c>
      <c r="AK1" s="70">
        <f t="shared" si="0"/>
        <v>37</v>
      </c>
      <c r="AL1" s="70">
        <f t="shared" si="0"/>
        <v>38</v>
      </c>
      <c r="AM1" s="70">
        <f t="shared" si="0"/>
        <v>39</v>
      </c>
      <c r="AN1" s="70">
        <f t="shared" si="0"/>
        <v>40</v>
      </c>
      <c r="AO1" s="70">
        <f t="shared" si="0"/>
        <v>41</v>
      </c>
      <c r="AP1" s="70">
        <f t="shared" si="0"/>
        <v>42</v>
      </c>
      <c r="AQ1" s="70">
        <f t="shared" si="0"/>
        <v>43</v>
      </c>
      <c r="AR1" s="70">
        <f t="shared" si="0"/>
        <v>44</v>
      </c>
      <c r="AS1" s="70">
        <f t="shared" si="0"/>
        <v>45</v>
      </c>
      <c r="AT1" s="70">
        <f t="shared" si="0"/>
        <v>46</v>
      </c>
      <c r="AU1" s="70">
        <f t="shared" si="0"/>
        <v>47</v>
      </c>
      <c r="AV1" s="70">
        <f t="shared" si="0"/>
        <v>48</v>
      </c>
      <c r="AW1" s="70">
        <f t="shared" si="0"/>
        <v>49</v>
      </c>
      <c r="AX1" s="70">
        <f t="shared" si="0"/>
        <v>50</v>
      </c>
      <c r="AY1" s="70">
        <f t="shared" si="0"/>
        <v>51</v>
      </c>
      <c r="AZ1" s="70">
        <f t="shared" si="0"/>
        <v>52</v>
      </c>
      <c r="BA1" s="70">
        <f t="shared" si="0"/>
        <v>53</v>
      </c>
      <c r="BB1" s="70">
        <f t="shared" si="0"/>
        <v>54</v>
      </c>
      <c r="BC1" s="70">
        <f t="shared" si="0"/>
        <v>55</v>
      </c>
      <c r="BD1" s="70">
        <f t="shared" si="0"/>
        <v>56</v>
      </c>
      <c r="BE1" s="70">
        <f t="shared" si="0"/>
        <v>57</v>
      </c>
      <c r="BF1" s="70">
        <f t="shared" si="0"/>
        <v>58</v>
      </c>
      <c r="BG1" s="70">
        <f t="shared" si="0"/>
        <v>59</v>
      </c>
      <c r="BH1" s="70">
        <f t="shared" si="0"/>
        <v>60</v>
      </c>
      <c r="BI1" s="70">
        <f t="shared" si="0"/>
        <v>61</v>
      </c>
      <c r="BJ1" s="70">
        <f t="shared" si="0"/>
        <v>62</v>
      </c>
      <c r="BK1" s="70">
        <f t="shared" si="0"/>
        <v>63</v>
      </c>
      <c r="BL1" s="70">
        <f t="shared" si="0"/>
        <v>64</v>
      </c>
      <c r="BM1" s="70">
        <f t="shared" si="0"/>
        <v>65</v>
      </c>
      <c r="BN1" s="70">
        <f t="shared" ref="BN1:DA1" si="1">BM1+1</f>
        <v>66</v>
      </c>
      <c r="BO1" s="70">
        <f t="shared" si="1"/>
        <v>67</v>
      </c>
      <c r="BP1" s="70">
        <f t="shared" si="1"/>
        <v>68</v>
      </c>
      <c r="BQ1" s="70">
        <f t="shared" si="1"/>
        <v>69</v>
      </c>
      <c r="BR1" s="70">
        <f t="shared" si="1"/>
        <v>70</v>
      </c>
      <c r="BS1" s="70">
        <f t="shared" si="1"/>
        <v>71</v>
      </c>
      <c r="BT1" s="70">
        <f t="shared" si="1"/>
        <v>72</v>
      </c>
      <c r="BU1" s="70">
        <f t="shared" si="1"/>
        <v>73</v>
      </c>
      <c r="BV1" s="70">
        <f t="shared" si="1"/>
        <v>74</v>
      </c>
      <c r="BW1" s="70">
        <f t="shared" si="1"/>
        <v>75</v>
      </c>
      <c r="BX1" s="70">
        <f t="shared" si="1"/>
        <v>76</v>
      </c>
      <c r="BY1" s="70">
        <f t="shared" si="1"/>
        <v>77</v>
      </c>
      <c r="BZ1" s="70">
        <f t="shared" si="1"/>
        <v>78</v>
      </c>
      <c r="CA1" s="70">
        <f t="shared" si="1"/>
        <v>79</v>
      </c>
      <c r="CB1" s="70">
        <f t="shared" si="1"/>
        <v>80</v>
      </c>
      <c r="CC1" s="70">
        <f t="shared" si="1"/>
        <v>81</v>
      </c>
      <c r="CD1" s="70">
        <f t="shared" si="1"/>
        <v>82</v>
      </c>
      <c r="CE1" s="70">
        <f t="shared" si="1"/>
        <v>83</v>
      </c>
      <c r="CF1" s="70">
        <f t="shared" si="1"/>
        <v>84</v>
      </c>
      <c r="CG1" s="70">
        <f t="shared" si="1"/>
        <v>85</v>
      </c>
      <c r="CH1" s="70">
        <f t="shared" si="1"/>
        <v>86</v>
      </c>
      <c r="CI1" s="70">
        <f t="shared" si="1"/>
        <v>87</v>
      </c>
      <c r="CJ1" s="70">
        <f t="shared" si="1"/>
        <v>88</v>
      </c>
      <c r="CK1" s="70">
        <f t="shared" si="1"/>
        <v>89</v>
      </c>
      <c r="CL1" s="70">
        <f t="shared" si="1"/>
        <v>90</v>
      </c>
      <c r="CM1" s="70">
        <f t="shared" si="1"/>
        <v>91</v>
      </c>
      <c r="CN1" s="70">
        <f t="shared" si="1"/>
        <v>92</v>
      </c>
      <c r="CO1" s="70">
        <f t="shared" si="1"/>
        <v>93</v>
      </c>
      <c r="CP1" s="70">
        <f t="shared" si="1"/>
        <v>94</v>
      </c>
      <c r="CQ1" s="70">
        <f t="shared" si="1"/>
        <v>95</v>
      </c>
      <c r="CR1" s="70">
        <f t="shared" si="1"/>
        <v>96</v>
      </c>
      <c r="CS1" s="70">
        <f t="shared" si="1"/>
        <v>97</v>
      </c>
      <c r="CT1" s="70">
        <f t="shared" si="1"/>
        <v>98</v>
      </c>
      <c r="CU1" s="70">
        <f t="shared" si="1"/>
        <v>99</v>
      </c>
      <c r="CV1" s="70">
        <f t="shared" si="1"/>
        <v>100</v>
      </c>
      <c r="CW1" s="70">
        <f t="shared" si="1"/>
        <v>101</v>
      </c>
      <c r="CX1" s="70">
        <f t="shared" si="1"/>
        <v>102</v>
      </c>
      <c r="CY1" s="70">
        <f t="shared" si="1"/>
        <v>103</v>
      </c>
      <c r="CZ1" s="70">
        <f t="shared" si="1"/>
        <v>104</v>
      </c>
      <c r="DA1" s="70">
        <f t="shared" si="1"/>
        <v>105</v>
      </c>
      <c r="DB1" s="70"/>
    </row>
    <row r="2" spans="1:136" x14ac:dyDescent="0.35">
      <c r="E2" s="71"/>
      <c r="F2" s="72"/>
      <c r="G2" s="72"/>
      <c r="H2" s="72"/>
      <c r="I2" s="72"/>
      <c r="J2" s="72"/>
      <c r="K2" s="72"/>
      <c r="L2" s="72"/>
      <c r="M2" s="72"/>
      <c r="N2" s="73"/>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136" x14ac:dyDescent="0.35">
      <c r="A3" s="70" t="s">
        <v>828</v>
      </c>
      <c r="B3" s="70" t="s">
        <v>829</v>
      </c>
      <c r="C3" s="70" t="s">
        <v>830</v>
      </c>
      <c r="D3" s="70" t="s">
        <v>831</v>
      </c>
      <c r="E3" s="74" t="s">
        <v>834</v>
      </c>
      <c r="F3" s="74" t="s">
        <v>835</v>
      </c>
      <c r="G3" s="74" t="s">
        <v>836</v>
      </c>
      <c r="H3" s="74" t="s">
        <v>837</v>
      </c>
      <c r="I3" s="74" t="s">
        <v>838</v>
      </c>
      <c r="J3" s="74" t="s">
        <v>839</v>
      </c>
      <c r="K3" s="74" t="s">
        <v>840</v>
      </c>
      <c r="L3" s="74" t="s">
        <v>841</v>
      </c>
      <c r="M3" s="74" t="s">
        <v>842</v>
      </c>
      <c r="N3" s="74" t="s">
        <v>843</v>
      </c>
      <c r="O3" s="74" t="s">
        <v>844</v>
      </c>
      <c r="P3" s="74" t="s">
        <v>845</v>
      </c>
      <c r="Q3" s="74" t="s">
        <v>846</v>
      </c>
      <c r="R3" s="74" t="s">
        <v>847</v>
      </c>
      <c r="S3" s="74" t="s">
        <v>848</v>
      </c>
      <c r="T3" s="74" t="s">
        <v>849</v>
      </c>
      <c r="U3" s="74" t="s">
        <v>850</v>
      </c>
      <c r="V3" s="74" t="s">
        <v>851</v>
      </c>
      <c r="W3" s="74" t="s">
        <v>852</v>
      </c>
      <c r="X3" s="74" t="s">
        <v>853</v>
      </c>
      <c r="Y3" s="74" t="s">
        <v>854</v>
      </c>
      <c r="Z3" s="74" t="s">
        <v>855</v>
      </c>
      <c r="AA3" s="74" t="s">
        <v>856</v>
      </c>
      <c r="AB3" s="74" t="s">
        <v>857</v>
      </c>
      <c r="AC3" s="74" t="s">
        <v>858</v>
      </c>
      <c r="AD3" s="74" t="s">
        <v>859</v>
      </c>
      <c r="AE3" s="74" t="s">
        <v>860</v>
      </c>
      <c r="AF3" s="74" t="s">
        <v>861</v>
      </c>
      <c r="AG3" s="74" t="s">
        <v>862</v>
      </c>
      <c r="AH3" s="74" t="s">
        <v>863</v>
      </c>
      <c r="AI3" s="74" t="s">
        <v>864</v>
      </c>
      <c r="AJ3" s="74" t="s">
        <v>865</v>
      </c>
      <c r="AK3" s="74" t="s">
        <v>866</v>
      </c>
      <c r="AL3" s="74" t="s">
        <v>867</v>
      </c>
      <c r="AM3" s="74" t="s">
        <v>868</v>
      </c>
      <c r="AN3" s="74" t="s">
        <v>869</v>
      </c>
      <c r="AO3" s="74" t="s">
        <v>870</v>
      </c>
      <c r="AP3" s="74" t="s">
        <v>871</v>
      </c>
      <c r="AQ3" s="74" t="s">
        <v>872</v>
      </c>
      <c r="AR3" s="74" t="s">
        <v>873</v>
      </c>
      <c r="AS3" s="74" t="s">
        <v>874</v>
      </c>
      <c r="AT3" s="74" t="s">
        <v>875</v>
      </c>
      <c r="AU3" s="74" t="s">
        <v>876</v>
      </c>
      <c r="AV3" s="74" t="s">
        <v>877</v>
      </c>
      <c r="AW3" s="74" t="s">
        <v>878</v>
      </c>
      <c r="AX3" s="74" t="s">
        <v>879</v>
      </c>
      <c r="AY3" s="74" t="s">
        <v>880</v>
      </c>
      <c r="AZ3" s="74" t="s">
        <v>881</v>
      </c>
      <c r="BA3" s="74" t="s">
        <v>882</v>
      </c>
      <c r="BB3" s="74" t="s">
        <v>883</v>
      </c>
      <c r="BC3" s="74" t="s">
        <v>884</v>
      </c>
      <c r="BD3" s="74" t="s">
        <v>885</v>
      </c>
      <c r="BE3" s="74" t="s">
        <v>886</v>
      </c>
      <c r="BF3" s="74" t="s">
        <v>887</v>
      </c>
      <c r="BG3" s="74" t="s">
        <v>888</v>
      </c>
      <c r="BH3" s="74" t="s">
        <v>889</v>
      </c>
      <c r="BI3" s="74" t="s">
        <v>890</v>
      </c>
      <c r="BJ3" s="74" t="s">
        <v>891</v>
      </c>
      <c r="BK3" s="74" t="s">
        <v>892</v>
      </c>
      <c r="BL3" s="74" t="s">
        <v>893</v>
      </c>
      <c r="BM3" s="74" t="s">
        <v>894</v>
      </c>
      <c r="BN3" s="74" t="s">
        <v>895</v>
      </c>
      <c r="BO3" s="74" t="s">
        <v>896</v>
      </c>
      <c r="BP3" s="74" t="s">
        <v>897</v>
      </c>
      <c r="BQ3" s="74" t="s">
        <v>898</v>
      </c>
      <c r="BR3" s="74" t="s">
        <v>899</v>
      </c>
      <c r="BS3" s="74" t="s">
        <v>900</v>
      </c>
      <c r="BT3" s="74" t="s">
        <v>901</v>
      </c>
      <c r="BU3" s="74" t="s">
        <v>902</v>
      </c>
      <c r="BV3" s="74" t="s">
        <v>903</v>
      </c>
      <c r="BW3" s="74" t="s">
        <v>904</v>
      </c>
      <c r="BX3" s="74" t="s">
        <v>905</v>
      </c>
      <c r="BY3" s="74" t="s">
        <v>906</v>
      </c>
      <c r="BZ3" s="74" t="s">
        <v>907</v>
      </c>
      <c r="CB3" t="s">
        <v>908</v>
      </c>
      <c r="CC3" t="s">
        <v>909</v>
      </c>
      <c r="CD3" t="s">
        <v>910</v>
      </c>
      <c r="CE3" t="s">
        <v>911</v>
      </c>
      <c r="CF3" t="s">
        <v>912</v>
      </c>
      <c r="CG3" t="s">
        <v>913</v>
      </c>
      <c r="CH3" t="s">
        <v>914</v>
      </c>
      <c r="CI3" t="s">
        <v>915</v>
      </c>
      <c r="CJ3" t="s">
        <v>916</v>
      </c>
      <c r="CK3" t="s">
        <v>917</v>
      </c>
      <c r="CL3" t="s">
        <v>918</v>
      </c>
      <c r="CM3" t="s">
        <v>919</v>
      </c>
      <c r="CN3" t="s">
        <v>920</v>
      </c>
      <c r="CO3" t="s">
        <v>921</v>
      </c>
      <c r="CP3" t="s">
        <v>922</v>
      </c>
      <c r="CQ3" t="s">
        <v>923</v>
      </c>
      <c r="CR3" t="s">
        <v>924</v>
      </c>
      <c r="CS3" t="s">
        <v>925</v>
      </c>
      <c r="CT3" t="s">
        <v>926</v>
      </c>
      <c r="CU3" t="s">
        <v>927</v>
      </c>
      <c r="CV3" t="s">
        <v>928</v>
      </c>
      <c r="CW3" t="s">
        <v>929</v>
      </c>
      <c r="CX3" t="s">
        <v>930</v>
      </c>
      <c r="CY3" t="s">
        <v>931</v>
      </c>
      <c r="CZ3" t="s">
        <v>932</v>
      </c>
      <c r="DA3" t="s">
        <v>933</v>
      </c>
      <c r="DE3" t="s">
        <v>828</v>
      </c>
      <c r="DF3" t="s">
        <v>9</v>
      </c>
      <c r="DG3" t="s">
        <v>934</v>
      </c>
      <c r="DH3" t="s">
        <v>935</v>
      </c>
      <c r="DI3" t="s">
        <v>936</v>
      </c>
      <c r="DJ3" t="s">
        <v>937</v>
      </c>
      <c r="DK3" t="s">
        <v>938</v>
      </c>
      <c r="DO3" t="s">
        <v>828</v>
      </c>
      <c r="DP3" t="s">
        <v>9</v>
      </c>
      <c r="DQ3" t="s">
        <v>939</v>
      </c>
      <c r="DR3" t="s">
        <v>940</v>
      </c>
      <c r="DS3" t="s">
        <v>941</v>
      </c>
      <c r="DV3" t="s">
        <v>828</v>
      </c>
      <c r="DW3" t="s">
        <v>9</v>
      </c>
      <c r="DX3" t="s">
        <v>942</v>
      </c>
      <c r="DY3" t="s">
        <v>924</v>
      </c>
      <c r="DZ3" t="s">
        <v>925</v>
      </c>
      <c r="EA3" t="s">
        <v>926</v>
      </c>
      <c r="EB3" s="75" t="s">
        <v>943</v>
      </c>
      <c r="EC3" s="75" t="s">
        <v>944</v>
      </c>
      <c r="ED3" s="76" t="s">
        <v>945</v>
      </c>
      <c r="EE3" s="77" t="s">
        <v>946</v>
      </c>
      <c r="EF3" s="77" t="s">
        <v>947</v>
      </c>
    </row>
    <row r="4" spans="1:136" x14ac:dyDescent="0.35">
      <c r="AY4" s="78"/>
      <c r="BQ4" t="s">
        <v>948</v>
      </c>
      <c r="BS4" t="s">
        <v>948</v>
      </c>
      <c r="BU4" t="s">
        <v>948</v>
      </c>
      <c r="BW4" t="s">
        <v>948</v>
      </c>
      <c r="BY4" t="s">
        <v>948</v>
      </c>
    </row>
    <row r="5" spans="1:136" x14ac:dyDescent="0.35">
      <c r="A5" s="72">
        <v>3</v>
      </c>
      <c r="B5" s="72">
        <v>1</v>
      </c>
      <c r="D5" s="72" t="s">
        <v>28</v>
      </c>
      <c r="E5" s="79">
        <v>666800000</v>
      </c>
      <c r="F5" s="79">
        <v>118300000</v>
      </c>
      <c r="G5" s="79">
        <v>127050000</v>
      </c>
      <c r="H5" s="79">
        <v>11721</v>
      </c>
      <c r="I5" s="79">
        <v>1</v>
      </c>
      <c r="J5" s="79">
        <v>127.05</v>
      </c>
      <c r="K5" s="79">
        <v>2146</v>
      </c>
      <c r="L5" s="79">
        <v>2898</v>
      </c>
      <c r="M5" s="79">
        <v>949</v>
      </c>
      <c r="N5" s="79">
        <v>2180</v>
      </c>
      <c r="O5" s="79">
        <v>1564.8</v>
      </c>
      <c r="P5" s="79">
        <v>449.33333333333297</v>
      </c>
      <c r="Q5" s="79">
        <v>1399.3333333333301</v>
      </c>
      <c r="R5" s="79">
        <v>600</v>
      </c>
      <c r="S5" s="79">
        <v>0</v>
      </c>
      <c r="T5" s="79">
        <v>470</v>
      </c>
      <c r="U5" s="79">
        <v>5778</v>
      </c>
      <c r="V5" s="79">
        <v>12760</v>
      </c>
      <c r="W5" s="79">
        <v>7210</v>
      </c>
      <c r="X5" s="79">
        <v>524.52</v>
      </c>
      <c r="Y5" s="79">
        <v>729.6</v>
      </c>
      <c r="Z5" s="79">
        <v>0</v>
      </c>
      <c r="AA5" s="79">
        <v>0</v>
      </c>
      <c r="AB5" s="79">
        <v>0</v>
      </c>
      <c r="AC5" s="79">
        <v>2376</v>
      </c>
      <c r="AD5" s="79">
        <v>3136.32</v>
      </c>
      <c r="AE5" s="79">
        <v>82</v>
      </c>
      <c r="AF5" s="79">
        <v>0</v>
      </c>
      <c r="AG5">
        <v>81</v>
      </c>
      <c r="AH5">
        <v>87.77</v>
      </c>
      <c r="AI5" s="79">
        <v>18.48</v>
      </c>
      <c r="AJ5" s="79">
        <v>6152</v>
      </c>
      <c r="AK5" s="79">
        <v>8059.12</v>
      </c>
      <c r="AL5" s="79">
        <v>9</v>
      </c>
      <c r="AM5" s="79">
        <v>0</v>
      </c>
      <c r="AN5" s="79">
        <v>0</v>
      </c>
      <c r="AO5" s="79">
        <v>0</v>
      </c>
      <c r="AP5" s="79">
        <v>1268</v>
      </c>
      <c r="AQ5" s="79">
        <v>1268</v>
      </c>
      <c r="AR5" s="80">
        <v>9.0121699999999995E-4</v>
      </c>
      <c r="AS5" s="80">
        <v>1.0897529999999999E-3</v>
      </c>
      <c r="AT5" s="79">
        <v>6564.1840000000002</v>
      </c>
      <c r="AU5" s="79">
        <v>0</v>
      </c>
      <c r="AV5" s="79">
        <v>1079.76</v>
      </c>
      <c r="AW5" s="79">
        <v>11191.504540276601</v>
      </c>
      <c r="AX5" s="79">
        <v>1</v>
      </c>
      <c r="AY5" s="79">
        <v>1.32</v>
      </c>
      <c r="AZ5" s="79">
        <v>732</v>
      </c>
      <c r="BA5" s="79">
        <v>1</v>
      </c>
      <c r="BB5" s="79">
        <v>0</v>
      </c>
      <c r="BC5" s="79">
        <v>0</v>
      </c>
      <c r="BD5" s="79">
        <v>0</v>
      </c>
      <c r="BE5" s="79">
        <v>0</v>
      </c>
      <c r="BF5" s="79">
        <v>0</v>
      </c>
      <c r="BG5" s="79">
        <v>0</v>
      </c>
      <c r="BH5" s="79">
        <v>0</v>
      </c>
      <c r="BI5" s="79">
        <v>0</v>
      </c>
      <c r="BJ5" s="79">
        <v>0</v>
      </c>
      <c r="BK5" s="79">
        <v>21</v>
      </c>
      <c r="BL5" s="79">
        <v>2097</v>
      </c>
      <c r="BM5" s="79">
        <v>67</v>
      </c>
      <c r="BN5" s="79">
        <v>14</v>
      </c>
      <c r="BO5">
        <v>2344</v>
      </c>
      <c r="BP5">
        <v>1074</v>
      </c>
      <c r="BQ5">
        <v>2317</v>
      </c>
      <c r="BR5">
        <v>944</v>
      </c>
      <c r="BS5">
        <v>2318</v>
      </c>
      <c r="BT5">
        <v>874</v>
      </c>
      <c r="BU5">
        <v>2306</v>
      </c>
      <c r="BV5">
        <v>1026</v>
      </c>
      <c r="BW5">
        <v>2286</v>
      </c>
      <c r="BX5">
        <v>1207</v>
      </c>
      <c r="BY5">
        <v>2251</v>
      </c>
      <c r="BZ5">
        <v>1155</v>
      </c>
      <c r="CB5">
        <v>394.86399999999998</v>
      </c>
      <c r="CC5">
        <v>63</v>
      </c>
      <c r="CD5">
        <v>51</v>
      </c>
      <c r="CE5">
        <v>2986.74</v>
      </c>
      <c r="CF5">
        <v>629.16</v>
      </c>
      <c r="CG5">
        <v>62.667410271206002</v>
      </c>
      <c r="CH5">
        <v>189</v>
      </c>
      <c r="CI5">
        <v>140.666666666667</v>
      </c>
      <c r="CJ5">
        <v>125</v>
      </c>
      <c r="CK5" s="81">
        <v>950</v>
      </c>
      <c r="CL5">
        <v>316</v>
      </c>
      <c r="CM5">
        <v>2870.3118473460599</v>
      </c>
      <c r="CN5">
        <v>1.4079999999999999</v>
      </c>
      <c r="CO5">
        <v>8823</v>
      </c>
      <c r="CP5">
        <v>1628</v>
      </c>
      <c r="CQ5">
        <v>321</v>
      </c>
      <c r="CR5">
        <v>374</v>
      </c>
      <c r="CS5">
        <v>337</v>
      </c>
      <c r="CT5">
        <v>160</v>
      </c>
      <c r="CU5">
        <v>260.969570871261</v>
      </c>
      <c r="CV5">
        <v>169.401300390117</v>
      </c>
      <c r="CW5">
        <v>58.5019505851755</v>
      </c>
      <c r="CX5">
        <v>603.39059999999995</v>
      </c>
      <c r="CY5">
        <v>391.6746</v>
      </c>
      <c r="CZ5">
        <v>135.26300000000001</v>
      </c>
      <c r="DA5">
        <v>27118</v>
      </c>
      <c r="DE5">
        <v>3</v>
      </c>
      <c r="DF5" t="s">
        <v>28</v>
      </c>
      <c r="DG5">
        <v>2344</v>
      </c>
      <c r="DH5">
        <v>2317</v>
      </c>
      <c r="DI5">
        <v>2318</v>
      </c>
      <c r="DJ5">
        <v>2306</v>
      </c>
      <c r="DK5">
        <v>2286</v>
      </c>
      <c r="DO5">
        <v>3</v>
      </c>
      <c r="DP5" t="s">
        <v>28</v>
      </c>
      <c r="DQ5">
        <v>6057</v>
      </c>
      <c r="DR5">
        <v>1.31</v>
      </c>
      <c r="DS5">
        <v>1051</v>
      </c>
      <c r="DV5">
        <v>1680</v>
      </c>
      <c r="DW5" t="s">
        <v>0</v>
      </c>
      <c r="DX5">
        <v>3166.4488217632602</v>
      </c>
      <c r="DY5">
        <v>687</v>
      </c>
      <c r="DZ5">
        <v>568</v>
      </c>
      <c r="EA5">
        <v>319</v>
      </c>
      <c r="EB5">
        <v>2336</v>
      </c>
      <c r="EC5">
        <v>1348</v>
      </c>
      <c r="ED5">
        <v>447</v>
      </c>
      <c r="EE5" s="82">
        <v>0.14217581810808899</v>
      </c>
      <c r="EF5" s="82">
        <v>0.418704494192155</v>
      </c>
    </row>
    <row r="6" spans="1:136" x14ac:dyDescent="0.35">
      <c r="A6" s="72">
        <v>10</v>
      </c>
      <c r="B6" s="72">
        <v>1</v>
      </c>
      <c r="D6" s="72" t="s">
        <v>81</v>
      </c>
      <c r="E6" s="79">
        <v>1187600000</v>
      </c>
      <c r="F6" s="79">
        <v>626500000</v>
      </c>
      <c r="G6" s="79">
        <v>659400000</v>
      </c>
      <c r="H6" s="79">
        <v>24716</v>
      </c>
      <c r="I6" s="79">
        <v>3</v>
      </c>
      <c r="J6" s="79">
        <v>659.4</v>
      </c>
      <c r="K6" s="79">
        <v>4304</v>
      </c>
      <c r="L6" s="79">
        <v>6185</v>
      </c>
      <c r="M6" s="79">
        <v>2117</v>
      </c>
      <c r="N6" s="79">
        <v>4290</v>
      </c>
      <c r="O6" s="79">
        <v>3065.9</v>
      </c>
      <c r="P6" s="79">
        <v>996.66666666666697</v>
      </c>
      <c r="Q6" s="79">
        <v>2567.6666666666702</v>
      </c>
      <c r="R6" s="79">
        <v>1800</v>
      </c>
      <c r="S6" s="79">
        <v>0</v>
      </c>
      <c r="T6" s="79">
        <v>951</v>
      </c>
      <c r="U6" s="79">
        <v>12159</v>
      </c>
      <c r="V6" s="79">
        <v>24740</v>
      </c>
      <c r="W6" s="79">
        <v>16880</v>
      </c>
      <c r="X6" s="79">
        <v>0</v>
      </c>
      <c r="Y6" s="79">
        <v>802.4</v>
      </c>
      <c r="Z6" s="79">
        <v>0</v>
      </c>
      <c r="AA6" s="79">
        <v>0</v>
      </c>
      <c r="AB6" s="79">
        <v>0</v>
      </c>
      <c r="AC6" s="79">
        <v>13299</v>
      </c>
      <c r="AD6" s="79">
        <v>16490.759999999998</v>
      </c>
      <c r="AE6" s="79">
        <v>539</v>
      </c>
      <c r="AF6" s="79">
        <v>8912</v>
      </c>
      <c r="AG6" s="79">
        <v>268</v>
      </c>
      <c r="AH6" s="79">
        <v>197.6</v>
      </c>
      <c r="AI6" s="79">
        <v>142.68</v>
      </c>
      <c r="AJ6" s="79">
        <v>12241</v>
      </c>
      <c r="AK6" s="79">
        <v>15913.3</v>
      </c>
      <c r="AL6" s="79">
        <v>6</v>
      </c>
      <c r="AM6" s="79">
        <v>0</v>
      </c>
      <c r="AN6" s="79">
        <v>0</v>
      </c>
      <c r="AO6" s="79">
        <v>0</v>
      </c>
      <c r="AP6" s="79">
        <v>1579</v>
      </c>
      <c r="AQ6" s="79">
        <v>948</v>
      </c>
      <c r="AR6" s="80">
        <v>1.5469520000000001E-3</v>
      </c>
      <c r="AS6" s="80">
        <v>1.9630590000000001E-3</v>
      </c>
      <c r="AT6" s="79">
        <v>8238.1929999999993</v>
      </c>
      <c r="AU6" s="79">
        <v>0</v>
      </c>
      <c r="AV6" s="79">
        <v>3868.8</v>
      </c>
      <c r="AW6" s="79">
        <v>12194.465026738</v>
      </c>
      <c r="AX6" s="79">
        <v>11</v>
      </c>
      <c r="AY6" s="79">
        <v>13.53</v>
      </c>
      <c r="AZ6" s="79">
        <v>1843</v>
      </c>
      <c r="BA6" s="79">
        <v>1</v>
      </c>
      <c r="BB6" s="79">
        <v>0</v>
      </c>
      <c r="BC6" s="79">
        <v>0</v>
      </c>
      <c r="BD6" s="79">
        <v>0</v>
      </c>
      <c r="BE6" s="79">
        <v>0</v>
      </c>
      <c r="BF6" s="79">
        <v>0</v>
      </c>
      <c r="BG6" s="79">
        <v>0</v>
      </c>
      <c r="BH6" s="79">
        <v>0</v>
      </c>
      <c r="BI6" s="79">
        <v>0</v>
      </c>
      <c r="BJ6" s="79">
        <v>0</v>
      </c>
      <c r="BK6" s="79">
        <v>39</v>
      </c>
      <c r="BL6" s="79">
        <v>4292</v>
      </c>
      <c r="BM6" s="79">
        <v>152</v>
      </c>
      <c r="BN6" s="79">
        <v>116</v>
      </c>
      <c r="BO6">
        <v>5236</v>
      </c>
      <c r="BP6">
        <v>1332</v>
      </c>
      <c r="BQ6">
        <v>5135</v>
      </c>
      <c r="BR6">
        <v>1355</v>
      </c>
      <c r="BS6">
        <v>5083</v>
      </c>
      <c r="BT6">
        <v>1454</v>
      </c>
      <c r="BU6">
        <v>5004</v>
      </c>
      <c r="BV6">
        <v>1490</v>
      </c>
      <c r="BW6">
        <v>4873</v>
      </c>
      <c r="BX6">
        <v>1211</v>
      </c>
      <c r="BY6">
        <v>4775</v>
      </c>
      <c r="BZ6">
        <v>1201</v>
      </c>
      <c r="CB6">
        <v>826.36800000000005</v>
      </c>
      <c r="CC6">
        <v>147</v>
      </c>
      <c r="CD6">
        <v>94</v>
      </c>
      <c r="CE6">
        <v>6364.05</v>
      </c>
      <c r="CF6">
        <v>1272.45</v>
      </c>
      <c r="CG6">
        <v>147.326460251046</v>
      </c>
      <c r="CH6">
        <v>326</v>
      </c>
      <c r="CI6">
        <v>285</v>
      </c>
      <c r="CJ6">
        <v>272.33333333333297</v>
      </c>
      <c r="CK6" s="81">
        <v>1571</v>
      </c>
      <c r="CL6">
        <v>439</v>
      </c>
      <c r="CM6">
        <v>5704.5963555130002</v>
      </c>
      <c r="CN6">
        <v>2.9449999999999998</v>
      </c>
      <c r="CO6">
        <v>18531</v>
      </c>
      <c r="CP6">
        <v>3363</v>
      </c>
      <c r="CQ6">
        <v>705</v>
      </c>
      <c r="CR6">
        <v>798</v>
      </c>
      <c r="CS6">
        <v>749</v>
      </c>
      <c r="CT6">
        <v>352</v>
      </c>
      <c r="CU6">
        <v>538.24190017155502</v>
      </c>
      <c r="CV6">
        <v>369.93172943386998</v>
      </c>
      <c r="CW6">
        <v>125.982166489666</v>
      </c>
      <c r="CX6">
        <v>1252.867</v>
      </c>
      <c r="CY6">
        <v>861.09100000000001</v>
      </c>
      <c r="CZ6">
        <v>293.24900000000002</v>
      </c>
      <c r="DA6">
        <v>30029</v>
      </c>
      <c r="DE6">
        <v>5</v>
      </c>
      <c r="DF6" t="s">
        <v>794</v>
      </c>
      <c r="DG6">
        <v>2386</v>
      </c>
      <c r="DH6">
        <v>2355</v>
      </c>
      <c r="DI6">
        <v>2300</v>
      </c>
      <c r="DJ6">
        <v>2275</v>
      </c>
      <c r="DK6">
        <v>2267</v>
      </c>
      <c r="DO6">
        <v>5</v>
      </c>
      <c r="DP6" t="s">
        <v>794</v>
      </c>
      <c r="DQ6">
        <v>4831</v>
      </c>
      <c r="DR6">
        <v>1.23</v>
      </c>
      <c r="DS6">
        <v>685</v>
      </c>
      <c r="DV6">
        <v>738</v>
      </c>
      <c r="DW6" t="s">
        <v>822</v>
      </c>
      <c r="DX6">
        <v>1348.0329067641701</v>
      </c>
      <c r="DY6">
        <v>224</v>
      </c>
      <c r="DZ6">
        <v>222</v>
      </c>
      <c r="EA6">
        <v>136</v>
      </c>
      <c r="EB6">
        <v>813</v>
      </c>
      <c r="EC6">
        <v>463</v>
      </c>
      <c r="ED6">
        <v>178</v>
      </c>
      <c r="EE6" s="82">
        <v>0.16328767710237699</v>
      </c>
      <c r="EF6" s="82">
        <v>0.42615606722440202</v>
      </c>
    </row>
    <row r="7" spans="1:136" x14ac:dyDescent="0.35">
      <c r="A7" s="72">
        <v>14</v>
      </c>
      <c r="B7" s="72">
        <v>1</v>
      </c>
      <c r="D7" s="72" t="s">
        <v>122</v>
      </c>
      <c r="E7" s="79">
        <v>17612400000</v>
      </c>
      <c r="F7" s="79">
        <v>3993500000</v>
      </c>
      <c r="G7" s="79">
        <v>4019050000</v>
      </c>
      <c r="H7" s="79">
        <v>231299</v>
      </c>
      <c r="I7" s="79">
        <v>3</v>
      </c>
      <c r="J7" s="79">
        <v>4019.05</v>
      </c>
      <c r="K7" s="79">
        <v>34725</v>
      </c>
      <c r="L7" s="79">
        <v>33349</v>
      </c>
      <c r="M7" s="79">
        <v>9684</v>
      </c>
      <c r="N7" s="79">
        <v>40135</v>
      </c>
      <c r="O7" s="79">
        <v>27817.3</v>
      </c>
      <c r="P7" s="79">
        <v>11248.333333333299</v>
      </c>
      <c r="Q7" s="79">
        <v>22059.333333333299</v>
      </c>
      <c r="R7" s="79">
        <v>12340</v>
      </c>
      <c r="S7" s="79">
        <v>0</v>
      </c>
      <c r="T7" s="79">
        <v>7645</v>
      </c>
      <c r="U7" s="79">
        <v>137764</v>
      </c>
      <c r="V7" s="79">
        <v>256070</v>
      </c>
      <c r="W7" s="79">
        <v>529490</v>
      </c>
      <c r="X7" s="79">
        <v>8725.5414000000001</v>
      </c>
      <c r="Y7" s="79">
        <v>12693.6</v>
      </c>
      <c r="Z7" s="79">
        <v>0</v>
      </c>
      <c r="AA7" s="79">
        <v>0</v>
      </c>
      <c r="AB7" s="79">
        <v>47.899999999997803</v>
      </c>
      <c r="AC7" s="79">
        <v>18554</v>
      </c>
      <c r="AD7" s="79">
        <v>20594.939999999999</v>
      </c>
      <c r="AE7" s="79">
        <v>1242</v>
      </c>
      <c r="AF7" s="79">
        <v>0</v>
      </c>
      <c r="AG7" s="79">
        <v>1039</v>
      </c>
      <c r="AH7" s="79">
        <v>1036</v>
      </c>
      <c r="AI7" s="79">
        <v>126.54</v>
      </c>
      <c r="AJ7" s="79">
        <v>123177</v>
      </c>
      <c r="AK7" s="79">
        <v>137958.24</v>
      </c>
      <c r="AL7" s="79">
        <v>0</v>
      </c>
      <c r="AM7" s="79">
        <v>0</v>
      </c>
      <c r="AN7" s="79">
        <v>112</v>
      </c>
      <c r="AO7" s="79">
        <v>6100</v>
      </c>
      <c r="AP7" s="79">
        <v>25791</v>
      </c>
      <c r="AQ7" s="79">
        <v>23468</v>
      </c>
      <c r="AR7" s="80">
        <v>4.3219117000000001E-2</v>
      </c>
      <c r="AS7" s="80">
        <v>5.1323359999999998E-2</v>
      </c>
      <c r="AT7" s="79">
        <v>396506.76299999998</v>
      </c>
      <c r="AU7" s="79">
        <v>0</v>
      </c>
      <c r="AV7" s="79">
        <v>9221.8799999999992</v>
      </c>
      <c r="AW7" s="79">
        <v>115271.86897959201</v>
      </c>
      <c r="AX7" s="79">
        <v>18</v>
      </c>
      <c r="AY7" s="79">
        <v>19.98</v>
      </c>
      <c r="AZ7" s="79">
        <v>24029</v>
      </c>
      <c r="BA7" s="79">
        <v>1</v>
      </c>
      <c r="BB7" s="79">
        <v>0</v>
      </c>
      <c r="BC7" s="79">
        <v>0</v>
      </c>
      <c r="BD7" s="79">
        <v>0</v>
      </c>
      <c r="BE7" s="79">
        <v>0</v>
      </c>
      <c r="BF7" s="79">
        <v>0</v>
      </c>
      <c r="BG7" s="79">
        <v>0</v>
      </c>
      <c r="BH7" s="79">
        <v>0</v>
      </c>
      <c r="BI7" s="79">
        <v>0</v>
      </c>
      <c r="BJ7" s="79">
        <v>0</v>
      </c>
      <c r="BK7" s="79">
        <v>215</v>
      </c>
      <c r="BL7" s="79">
        <v>79635</v>
      </c>
      <c r="BM7" s="79">
        <v>925</v>
      </c>
      <c r="BN7" s="79">
        <v>114</v>
      </c>
      <c r="BO7">
        <v>33912</v>
      </c>
      <c r="BP7">
        <v>14381</v>
      </c>
      <c r="BQ7">
        <v>34112</v>
      </c>
      <c r="BR7">
        <v>14583</v>
      </c>
      <c r="BS7">
        <v>34381</v>
      </c>
      <c r="BT7">
        <v>15255</v>
      </c>
      <c r="BU7">
        <v>34602</v>
      </c>
      <c r="BV7">
        <v>15478</v>
      </c>
      <c r="BW7">
        <v>34766</v>
      </c>
      <c r="BX7">
        <v>15750</v>
      </c>
      <c r="BY7">
        <v>35073</v>
      </c>
      <c r="BZ7">
        <v>16068</v>
      </c>
      <c r="CB7">
        <v>6285.2250000000004</v>
      </c>
      <c r="CC7">
        <v>464</v>
      </c>
      <c r="CD7">
        <v>415</v>
      </c>
      <c r="CE7">
        <v>59433.440000000002</v>
      </c>
      <c r="CF7">
        <v>11932.16</v>
      </c>
      <c r="CG7">
        <v>1222.1506097561</v>
      </c>
      <c r="CH7">
        <v>2617</v>
      </c>
      <c r="CI7">
        <v>2335.3333333333298</v>
      </c>
      <c r="CJ7">
        <v>2204.3333333333298</v>
      </c>
      <c r="CK7" s="81">
        <v>10811</v>
      </c>
      <c r="CL7">
        <v>4516</v>
      </c>
      <c r="CM7">
        <v>19610.672185768301</v>
      </c>
      <c r="CN7">
        <v>31.22</v>
      </c>
      <c r="CO7">
        <v>197950</v>
      </c>
      <c r="CP7">
        <v>19542</v>
      </c>
      <c r="CQ7">
        <v>4123</v>
      </c>
      <c r="CR7">
        <v>6615</v>
      </c>
      <c r="CS7">
        <v>4073</v>
      </c>
      <c r="CT7">
        <v>2235</v>
      </c>
      <c r="CU7">
        <v>3050.0860858764199</v>
      </c>
      <c r="CV7">
        <v>1600.4709085300001</v>
      </c>
      <c r="CW7">
        <v>665.07504241863296</v>
      </c>
      <c r="CX7">
        <v>7282.4351999999999</v>
      </c>
      <c r="CY7">
        <v>3821.3103999999998</v>
      </c>
      <c r="CZ7">
        <v>1587.944</v>
      </c>
      <c r="DA7">
        <v>190351</v>
      </c>
      <c r="DE7">
        <v>9</v>
      </c>
      <c r="DF7" t="s">
        <v>801</v>
      </c>
      <c r="DG7">
        <v>1883</v>
      </c>
      <c r="DH7">
        <v>1873</v>
      </c>
      <c r="DI7">
        <v>1866</v>
      </c>
      <c r="DJ7">
        <v>1835</v>
      </c>
      <c r="DK7">
        <v>1815</v>
      </c>
      <c r="DO7">
        <v>1663</v>
      </c>
      <c r="DP7" t="s">
        <v>795</v>
      </c>
      <c r="DQ7">
        <v>5242</v>
      </c>
      <c r="DR7">
        <v>1.1000000000000001</v>
      </c>
      <c r="DS7">
        <v>155</v>
      </c>
      <c r="DV7">
        <v>358</v>
      </c>
      <c r="DW7" t="s">
        <v>12</v>
      </c>
      <c r="DX7">
        <v>3162.6810644041698</v>
      </c>
      <c r="DY7">
        <v>573</v>
      </c>
      <c r="DZ7">
        <v>627</v>
      </c>
      <c r="EA7">
        <v>345</v>
      </c>
      <c r="EB7">
        <v>1940</v>
      </c>
      <c r="EC7">
        <v>1293</v>
      </c>
      <c r="ED7">
        <v>499</v>
      </c>
      <c r="EE7" s="82">
        <v>0.144562408320768</v>
      </c>
      <c r="EF7" s="82">
        <v>0.32517440509773998</v>
      </c>
    </row>
    <row r="8" spans="1:136" x14ac:dyDescent="0.35">
      <c r="A8" s="72">
        <v>1966</v>
      </c>
      <c r="B8" s="72">
        <v>1</v>
      </c>
      <c r="D8" s="72" t="s">
        <v>147</v>
      </c>
      <c r="E8" s="79">
        <v>2832800000</v>
      </c>
      <c r="F8" s="79">
        <v>812350000</v>
      </c>
      <c r="G8" s="79">
        <v>899150000</v>
      </c>
      <c r="H8" s="79">
        <v>47888</v>
      </c>
      <c r="I8" s="79">
        <v>12</v>
      </c>
      <c r="J8" s="79">
        <v>899.15</v>
      </c>
      <c r="K8" s="79">
        <v>9450</v>
      </c>
      <c r="L8" s="79">
        <v>11011</v>
      </c>
      <c r="M8" s="79">
        <v>3188</v>
      </c>
      <c r="N8" s="79">
        <v>7232</v>
      </c>
      <c r="O8" s="79">
        <v>4948.3999999999996</v>
      </c>
      <c r="P8" s="79">
        <v>1190</v>
      </c>
      <c r="Q8" s="79">
        <v>4093</v>
      </c>
      <c r="R8" s="79">
        <v>795</v>
      </c>
      <c r="S8" s="79">
        <v>0</v>
      </c>
      <c r="T8" s="79">
        <v>1478</v>
      </c>
      <c r="U8" s="79">
        <v>22109</v>
      </c>
      <c r="V8" s="79">
        <v>41030</v>
      </c>
      <c r="W8" s="79">
        <v>6030</v>
      </c>
      <c r="X8" s="79">
        <v>0</v>
      </c>
      <c r="Y8" s="79">
        <v>1156.8</v>
      </c>
      <c r="Z8" s="79">
        <v>0</v>
      </c>
      <c r="AA8" s="79">
        <v>0</v>
      </c>
      <c r="AB8" s="79">
        <v>0</v>
      </c>
      <c r="AC8" s="79">
        <v>47701</v>
      </c>
      <c r="AD8" s="79">
        <v>52471.1</v>
      </c>
      <c r="AE8" s="79">
        <v>2053</v>
      </c>
      <c r="AF8" s="79">
        <v>10000</v>
      </c>
      <c r="AG8" s="79">
        <v>575</v>
      </c>
      <c r="AH8" s="79">
        <v>348.84</v>
      </c>
      <c r="AI8" s="79">
        <v>295.89999999999998</v>
      </c>
      <c r="AJ8" s="79">
        <v>22836</v>
      </c>
      <c r="AK8" s="79">
        <v>26033.040000000001</v>
      </c>
      <c r="AL8" s="79">
        <v>0</v>
      </c>
      <c r="AM8" s="79">
        <v>0</v>
      </c>
      <c r="AN8" s="79">
        <v>0</v>
      </c>
      <c r="AO8" s="79">
        <v>0</v>
      </c>
      <c r="AP8" s="79">
        <v>1523</v>
      </c>
      <c r="AQ8" s="79">
        <v>0</v>
      </c>
      <c r="AR8" s="80">
        <v>3.790589E-3</v>
      </c>
      <c r="AS8" s="80">
        <v>8.1829699999999995E-4</v>
      </c>
      <c r="AT8" s="79">
        <v>9385.5959999999995</v>
      </c>
      <c r="AU8" s="79">
        <v>0</v>
      </c>
      <c r="AV8" s="79">
        <v>10726.1</v>
      </c>
      <c r="AW8" s="79">
        <v>10328.057724002099</v>
      </c>
      <c r="AX8" s="79">
        <v>39</v>
      </c>
      <c r="AY8" s="79">
        <v>42.9</v>
      </c>
      <c r="AZ8" s="79">
        <v>4632</v>
      </c>
      <c r="BA8" s="79">
        <v>1</v>
      </c>
      <c r="BB8" s="79">
        <v>0</v>
      </c>
      <c r="BC8" s="79">
        <v>0</v>
      </c>
      <c r="BD8" s="79">
        <v>0</v>
      </c>
      <c r="BE8" s="79">
        <v>0</v>
      </c>
      <c r="BF8" s="79">
        <v>0</v>
      </c>
      <c r="BG8" s="79">
        <v>0</v>
      </c>
      <c r="BH8" s="79">
        <v>0</v>
      </c>
      <c r="BI8" s="79">
        <v>0</v>
      </c>
      <c r="BJ8" s="79">
        <v>0</v>
      </c>
      <c r="BK8" s="79">
        <v>48</v>
      </c>
      <c r="BL8" s="79">
        <v>7317</v>
      </c>
      <c r="BM8" s="79">
        <v>306</v>
      </c>
      <c r="BN8" s="79">
        <v>269</v>
      </c>
      <c r="BO8">
        <v>11652</v>
      </c>
      <c r="BP8">
        <v>1434</v>
      </c>
      <c r="BQ8">
        <v>11493</v>
      </c>
      <c r="BR8">
        <v>1486</v>
      </c>
      <c r="BS8">
        <v>11290</v>
      </c>
      <c r="BT8">
        <v>1512</v>
      </c>
      <c r="BU8">
        <v>11104</v>
      </c>
      <c r="BV8">
        <v>1509</v>
      </c>
      <c r="BW8">
        <v>10853</v>
      </c>
      <c r="BX8">
        <v>1538</v>
      </c>
      <c r="BY8">
        <v>10557</v>
      </c>
      <c r="BZ8">
        <v>1586</v>
      </c>
      <c r="CB8">
        <v>1124.55</v>
      </c>
      <c r="CC8">
        <v>146</v>
      </c>
      <c r="CD8">
        <v>84</v>
      </c>
      <c r="CE8">
        <v>12406.78</v>
      </c>
      <c r="CF8">
        <v>2999.15</v>
      </c>
      <c r="CG8">
        <v>400.94271255060698</v>
      </c>
      <c r="CH8">
        <v>587</v>
      </c>
      <c r="CI8">
        <v>294.33333333333297</v>
      </c>
      <c r="CJ8">
        <v>270.33333333333297</v>
      </c>
      <c r="CK8" s="81">
        <v>2903</v>
      </c>
      <c r="CL8">
        <v>1013</v>
      </c>
      <c r="CM8">
        <v>8174.7044552038697</v>
      </c>
      <c r="CN8">
        <v>2.92</v>
      </c>
      <c r="CO8">
        <v>36877</v>
      </c>
      <c r="CP8">
        <v>6719</v>
      </c>
      <c r="CQ8">
        <v>1104</v>
      </c>
      <c r="CR8">
        <v>1455</v>
      </c>
      <c r="CS8">
        <v>1122</v>
      </c>
      <c r="CT8">
        <v>579</v>
      </c>
      <c r="CU8">
        <v>923.111928533894</v>
      </c>
      <c r="CV8">
        <v>496.87691364512199</v>
      </c>
      <c r="CW8">
        <v>170.537344543703</v>
      </c>
      <c r="CX8">
        <v>2317.0140000000001</v>
      </c>
      <c r="CY8">
        <v>1247.1627000000001</v>
      </c>
      <c r="CZ8">
        <v>428.04930000000002</v>
      </c>
      <c r="DA8">
        <v>85796</v>
      </c>
      <c r="DE8">
        <v>10</v>
      </c>
      <c r="DF8" t="s">
        <v>81</v>
      </c>
      <c r="DG8">
        <v>5236</v>
      </c>
      <c r="DH8">
        <v>5135</v>
      </c>
      <c r="DI8">
        <v>5083</v>
      </c>
      <c r="DJ8">
        <v>5004</v>
      </c>
      <c r="DK8">
        <v>4873</v>
      </c>
      <c r="DO8">
        <v>10</v>
      </c>
      <c r="DP8" t="s">
        <v>81</v>
      </c>
      <c r="DQ8">
        <v>12327</v>
      </c>
      <c r="DR8">
        <v>1.3</v>
      </c>
      <c r="DS8">
        <v>677</v>
      </c>
      <c r="DV8">
        <v>197</v>
      </c>
      <c r="DW8" t="s">
        <v>13</v>
      </c>
      <c r="DX8">
        <v>3691.14678817908</v>
      </c>
      <c r="DY8">
        <v>594</v>
      </c>
      <c r="DZ8">
        <v>602</v>
      </c>
      <c r="EA8">
        <v>343</v>
      </c>
      <c r="EB8">
        <v>2027</v>
      </c>
      <c r="EC8">
        <v>1261</v>
      </c>
      <c r="ED8">
        <v>483</v>
      </c>
      <c r="EE8" s="82">
        <v>0.202801213140204</v>
      </c>
      <c r="EF8" s="82">
        <v>0.51638898100144803</v>
      </c>
    </row>
    <row r="9" spans="1:136" x14ac:dyDescent="0.35">
      <c r="A9" s="72">
        <v>24</v>
      </c>
      <c r="B9" s="72">
        <v>1</v>
      </c>
      <c r="D9" s="72" t="s">
        <v>190</v>
      </c>
      <c r="E9" s="79">
        <v>530000000</v>
      </c>
      <c r="F9" s="79">
        <v>128800000</v>
      </c>
      <c r="G9" s="79">
        <v>153300000</v>
      </c>
      <c r="H9" s="79">
        <v>9614</v>
      </c>
      <c r="I9" s="79">
        <v>2</v>
      </c>
      <c r="J9" s="79">
        <v>153.30000000000001</v>
      </c>
      <c r="K9" s="79">
        <v>1817</v>
      </c>
      <c r="L9" s="79">
        <v>2123</v>
      </c>
      <c r="M9" s="79">
        <v>573</v>
      </c>
      <c r="N9" s="79">
        <v>1356</v>
      </c>
      <c r="O9" s="79">
        <v>884.9</v>
      </c>
      <c r="P9" s="79">
        <v>230</v>
      </c>
      <c r="Q9" s="79">
        <v>757</v>
      </c>
      <c r="R9" s="79">
        <v>130</v>
      </c>
      <c r="S9" s="79">
        <v>0</v>
      </c>
      <c r="T9" s="79">
        <v>249</v>
      </c>
      <c r="U9" s="79">
        <v>4392</v>
      </c>
      <c r="V9" s="79">
        <v>6770</v>
      </c>
      <c r="W9" s="79">
        <v>340</v>
      </c>
      <c r="X9" s="79">
        <v>0</v>
      </c>
      <c r="Y9" s="79">
        <v>0</v>
      </c>
      <c r="Z9" s="79">
        <v>0</v>
      </c>
      <c r="AA9" s="79">
        <v>0</v>
      </c>
      <c r="AB9" s="79">
        <v>0</v>
      </c>
      <c r="AC9" s="79">
        <v>11102</v>
      </c>
      <c r="AD9" s="79">
        <v>13211.38</v>
      </c>
      <c r="AE9" s="79">
        <v>97</v>
      </c>
      <c r="AF9" s="79">
        <v>0</v>
      </c>
      <c r="AG9" s="79">
        <v>131</v>
      </c>
      <c r="AH9" s="79">
        <v>74.42</v>
      </c>
      <c r="AI9" s="79">
        <v>81.42</v>
      </c>
      <c r="AJ9" s="79">
        <v>4711</v>
      </c>
      <c r="AK9" s="79">
        <v>5747.42</v>
      </c>
      <c r="AL9" s="79">
        <v>0</v>
      </c>
      <c r="AM9" s="79">
        <v>0</v>
      </c>
      <c r="AN9" s="79">
        <v>0</v>
      </c>
      <c r="AO9" s="79">
        <v>0</v>
      </c>
      <c r="AP9" s="79">
        <v>0</v>
      </c>
      <c r="AQ9" s="79">
        <v>0</v>
      </c>
      <c r="AR9" s="80">
        <v>9.7293300000000004E-4</v>
      </c>
      <c r="AS9" s="80">
        <v>1.24117E-4</v>
      </c>
      <c r="AT9" s="79">
        <v>1003.443</v>
      </c>
      <c r="AU9" s="79">
        <v>0</v>
      </c>
      <c r="AV9" s="79">
        <v>2826.25</v>
      </c>
      <c r="AW9" s="79">
        <v>2550.8820448254301</v>
      </c>
      <c r="AX9" s="79">
        <v>15</v>
      </c>
      <c r="AY9" s="79">
        <v>17.7</v>
      </c>
      <c r="AZ9" s="79">
        <v>1048</v>
      </c>
      <c r="BA9" s="79">
        <v>1</v>
      </c>
      <c r="BB9" s="79">
        <v>0</v>
      </c>
      <c r="BC9" s="79">
        <v>0</v>
      </c>
      <c r="BD9" s="79">
        <v>0</v>
      </c>
      <c r="BE9" s="79">
        <v>0</v>
      </c>
      <c r="BF9" s="79">
        <v>0</v>
      </c>
      <c r="BG9" s="79">
        <v>0</v>
      </c>
      <c r="BH9" s="79">
        <v>0</v>
      </c>
      <c r="BI9" s="79">
        <v>0</v>
      </c>
      <c r="BJ9" s="79">
        <v>0</v>
      </c>
      <c r="BK9" s="79">
        <v>14</v>
      </c>
      <c r="BL9" s="79">
        <v>1390</v>
      </c>
      <c r="BM9" s="79">
        <v>61</v>
      </c>
      <c r="BN9" s="79">
        <v>69</v>
      </c>
      <c r="BO9">
        <v>2339</v>
      </c>
      <c r="BP9">
        <v>0</v>
      </c>
      <c r="BQ9">
        <v>2287</v>
      </c>
      <c r="BR9">
        <v>0</v>
      </c>
      <c r="BS9">
        <v>2244</v>
      </c>
      <c r="BT9">
        <v>0</v>
      </c>
      <c r="BU9">
        <v>2216</v>
      </c>
      <c r="BV9">
        <v>0</v>
      </c>
      <c r="BW9">
        <v>2178</v>
      </c>
      <c r="BX9">
        <v>0</v>
      </c>
      <c r="BY9">
        <v>2111</v>
      </c>
      <c r="BZ9">
        <v>0</v>
      </c>
      <c r="CB9">
        <v>218.04</v>
      </c>
      <c r="CC9">
        <v>29</v>
      </c>
      <c r="CD9">
        <v>13</v>
      </c>
      <c r="CE9">
        <v>2569.1999999999998</v>
      </c>
      <c r="CF9">
        <v>605.34</v>
      </c>
      <c r="CG9">
        <v>75.875413793103505</v>
      </c>
      <c r="CH9">
        <v>91</v>
      </c>
      <c r="CI9">
        <v>60.3333333333333</v>
      </c>
      <c r="CJ9">
        <v>49</v>
      </c>
      <c r="CK9" s="81">
        <v>527</v>
      </c>
      <c r="CL9">
        <v>169</v>
      </c>
      <c r="CM9">
        <v>1912.8049631547501</v>
      </c>
      <c r="CN9">
        <v>0.55300000000000005</v>
      </c>
      <c r="CO9">
        <v>7491</v>
      </c>
      <c r="CP9">
        <v>1333</v>
      </c>
      <c r="CQ9">
        <v>217</v>
      </c>
      <c r="CR9">
        <v>282</v>
      </c>
      <c r="CS9">
        <v>192</v>
      </c>
      <c r="CT9">
        <v>107</v>
      </c>
      <c r="CU9">
        <v>160.03710464869499</v>
      </c>
      <c r="CV9">
        <v>75.6983018467417</v>
      </c>
      <c r="CW9">
        <v>27.799872638505601</v>
      </c>
      <c r="CX9">
        <v>447.64080000000001</v>
      </c>
      <c r="CY9">
        <v>211.7362</v>
      </c>
      <c r="CZ9">
        <v>77.759200000000007</v>
      </c>
      <c r="DA9">
        <v>0</v>
      </c>
      <c r="DE9">
        <v>14</v>
      </c>
      <c r="DF9" t="s">
        <v>122</v>
      </c>
      <c r="DG9">
        <v>27978</v>
      </c>
      <c r="DH9">
        <v>28255</v>
      </c>
      <c r="DI9">
        <v>28593</v>
      </c>
      <c r="DJ9">
        <v>28923</v>
      </c>
      <c r="DK9">
        <v>29103</v>
      </c>
      <c r="DO9">
        <v>1651</v>
      </c>
      <c r="DP9" t="s">
        <v>796</v>
      </c>
      <c r="DQ9">
        <v>7439</v>
      </c>
      <c r="DR9">
        <v>1.08</v>
      </c>
      <c r="DS9">
        <v>358</v>
      </c>
      <c r="DV9">
        <v>59</v>
      </c>
      <c r="DW9" t="s">
        <v>14</v>
      </c>
      <c r="DX9">
        <v>4142.7058924879402</v>
      </c>
      <c r="DY9">
        <v>643</v>
      </c>
      <c r="DZ9">
        <v>595</v>
      </c>
      <c r="EA9">
        <v>280</v>
      </c>
      <c r="EB9">
        <v>2003</v>
      </c>
      <c r="EC9">
        <v>1166</v>
      </c>
      <c r="ED9">
        <v>378</v>
      </c>
      <c r="EE9" s="82">
        <v>0.241413045367392</v>
      </c>
      <c r="EF9" s="82">
        <v>0.63046780222485799</v>
      </c>
    </row>
    <row r="10" spans="1:136" x14ac:dyDescent="0.35">
      <c r="A10" s="72">
        <v>1952</v>
      </c>
      <c r="B10" s="72">
        <v>1</v>
      </c>
      <c r="D10" s="72" t="s">
        <v>203</v>
      </c>
      <c r="E10" s="79">
        <v>3495200000</v>
      </c>
      <c r="F10" s="79">
        <v>572950000</v>
      </c>
      <c r="G10" s="79">
        <v>623700000</v>
      </c>
      <c r="H10" s="79">
        <v>60899</v>
      </c>
      <c r="I10" s="79">
        <v>9</v>
      </c>
      <c r="J10" s="79">
        <v>623.70000000000005</v>
      </c>
      <c r="K10" s="79">
        <v>11331</v>
      </c>
      <c r="L10" s="79">
        <v>13248</v>
      </c>
      <c r="M10" s="79">
        <v>4057</v>
      </c>
      <c r="N10" s="79">
        <v>9999</v>
      </c>
      <c r="O10" s="79">
        <v>7128.7</v>
      </c>
      <c r="P10" s="79">
        <v>1894</v>
      </c>
      <c r="Q10" s="79">
        <v>6376</v>
      </c>
      <c r="R10" s="79">
        <v>3815</v>
      </c>
      <c r="S10" s="79">
        <v>0</v>
      </c>
      <c r="T10" s="79">
        <v>2157</v>
      </c>
      <c r="U10" s="79">
        <v>28740</v>
      </c>
      <c r="V10" s="79">
        <v>57470</v>
      </c>
      <c r="W10" s="79">
        <v>42450</v>
      </c>
      <c r="X10" s="79">
        <v>380.16</v>
      </c>
      <c r="Y10" s="79">
        <v>1336</v>
      </c>
      <c r="Z10" s="79">
        <v>0</v>
      </c>
      <c r="AA10" s="79">
        <v>0</v>
      </c>
      <c r="AB10" s="79">
        <v>0</v>
      </c>
      <c r="AC10" s="79">
        <v>27791</v>
      </c>
      <c r="AD10" s="79">
        <v>27791</v>
      </c>
      <c r="AE10" s="79">
        <v>1785</v>
      </c>
      <c r="AF10" s="79">
        <v>0</v>
      </c>
      <c r="AG10" s="79">
        <v>554</v>
      </c>
      <c r="AH10" s="79">
        <v>387</v>
      </c>
      <c r="AI10" s="79">
        <v>169.68</v>
      </c>
      <c r="AJ10" s="79">
        <v>28703</v>
      </c>
      <c r="AK10" s="79">
        <v>28703</v>
      </c>
      <c r="AL10" s="79">
        <v>0</v>
      </c>
      <c r="AM10" s="79">
        <v>0</v>
      </c>
      <c r="AN10" s="79">
        <v>0</v>
      </c>
      <c r="AO10" s="79">
        <v>0</v>
      </c>
      <c r="AP10" s="79">
        <v>3173</v>
      </c>
      <c r="AQ10" s="79">
        <v>0</v>
      </c>
      <c r="AR10" s="80">
        <v>3.4819299999999998E-3</v>
      </c>
      <c r="AS10" s="80">
        <v>3.2047080000000001E-3</v>
      </c>
      <c r="AT10" s="79">
        <v>24454.955999999998</v>
      </c>
      <c r="AU10" s="79">
        <v>0</v>
      </c>
      <c r="AV10" s="79">
        <v>8364</v>
      </c>
      <c r="AW10" s="79">
        <v>17543.260751961101</v>
      </c>
      <c r="AX10" s="79">
        <v>23</v>
      </c>
      <c r="AY10" s="79">
        <v>23.23</v>
      </c>
      <c r="AZ10" s="79">
        <v>5089</v>
      </c>
      <c r="BA10" s="79">
        <v>1</v>
      </c>
      <c r="BB10" s="79">
        <v>0</v>
      </c>
      <c r="BC10" s="79">
        <v>0</v>
      </c>
      <c r="BD10" s="79">
        <v>0</v>
      </c>
      <c r="BE10" s="79">
        <v>0</v>
      </c>
      <c r="BF10" s="79">
        <v>0</v>
      </c>
      <c r="BG10" s="79">
        <v>0</v>
      </c>
      <c r="BH10" s="79">
        <v>0</v>
      </c>
      <c r="BI10" s="79">
        <v>0</v>
      </c>
      <c r="BJ10" s="79">
        <v>0</v>
      </c>
      <c r="BK10" s="79">
        <v>64</v>
      </c>
      <c r="BL10" s="79">
        <v>9518</v>
      </c>
      <c r="BM10" s="79">
        <v>387</v>
      </c>
      <c r="BN10" s="79">
        <v>168</v>
      </c>
      <c r="BO10">
        <v>13417</v>
      </c>
      <c r="BP10">
        <v>1810</v>
      </c>
      <c r="BQ10">
        <v>13278</v>
      </c>
      <c r="BR10">
        <v>1776</v>
      </c>
      <c r="BS10">
        <v>13110</v>
      </c>
      <c r="BT10">
        <v>1779</v>
      </c>
      <c r="BU10">
        <v>13021</v>
      </c>
      <c r="BV10">
        <v>1798</v>
      </c>
      <c r="BW10">
        <v>12836</v>
      </c>
      <c r="BX10">
        <v>1792</v>
      </c>
      <c r="BY10">
        <v>12535</v>
      </c>
      <c r="BZ10">
        <v>1830</v>
      </c>
      <c r="CB10">
        <v>1767.636</v>
      </c>
      <c r="CC10">
        <v>245</v>
      </c>
      <c r="CD10">
        <v>193</v>
      </c>
      <c r="CE10">
        <v>15485.68</v>
      </c>
      <c r="CF10">
        <v>3645</v>
      </c>
      <c r="CG10">
        <v>473.28115821152198</v>
      </c>
      <c r="CH10">
        <v>813</v>
      </c>
      <c r="CI10">
        <v>513.33333333333303</v>
      </c>
      <c r="CJ10">
        <v>472.33333333333297</v>
      </c>
      <c r="CK10" s="81">
        <v>4482</v>
      </c>
      <c r="CL10">
        <v>1579</v>
      </c>
      <c r="CM10">
        <v>11280.101306756</v>
      </c>
      <c r="CN10">
        <v>5.5990000000000002</v>
      </c>
      <c r="CO10">
        <v>47651</v>
      </c>
      <c r="CP10">
        <v>7884</v>
      </c>
      <c r="CQ10">
        <v>1307</v>
      </c>
      <c r="CR10">
        <v>1730</v>
      </c>
      <c r="CS10">
        <v>1422</v>
      </c>
      <c r="CT10">
        <v>663</v>
      </c>
      <c r="CU10">
        <v>1243.0457966066299</v>
      </c>
      <c r="CV10">
        <v>711.30532696930595</v>
      </c>
      <c r="CW10">
        <v>231.223903424729</v>
      </c>
      <c r="CX10">
        <v>2842.84</v>
      </c>
      <c r="CY10">
        <v>1626.752</v>
      </c>
      <c r="CZ10">
        <v>528.80799999999999</v>
      </c>
      <c r="DA10">
        <v>153208</v>
      </c>
      <c r="DE10">
        <v>15</v>
      </c>
      <c r="DF10" t="s">
        <v>797</v>
      </c>
      <c r="DG10">
        <v>3132</v>
      </c>
      <c r="DH10">
        <v>3080</v>
      </c>
      <c r="DI10">
        <v>3038</v>
      </c>
      <c r="DJ10">
        <v>3021</v>
      </c>
      <c r="DK10">
        <v>2990</v>
      </c>
      <c r="DO10">
        <v>14</v>
      </c>
      <c r="DP10" t="s">
        <v>122</v>
      </c>
      <c r="DQ10">
        <v>109219</v>
      </c>
      <c r="DR10">
        <v>1.1399999999999999</v>
      </c>
      <c r="DS10">
        <v>3456</v>
      </c>
      <c r="DV10">
        <v>482</v>
      </c>
      <c r="DW10" t="s">
        <v>15</v>
      </c>
      <c r="DX10">
        <v>2444.4427934621099</v>
      </c>
      <c r="DY10">
        <v>417</v>
      </c>
      <c r="DZ10">
        <v>451</v>
      </c>
      <c r="EA10">
        <v>284</v>
      </c>
      <c r="EB10">
        <v>1274</v>
      </c>
      <c r="EC10">
        <v>931</v>
      </c>
      <c r="ED10">
        <v>389</v>
      </c>
      <c r="EE10" s="82">
        <v>0.19461766824901899</v>
      </c>
      <c r="EF10" s="82">
        <v>0.45714514872359002</v>
      </c>
    </row>
    <row r="11" spans="1:136" x14ac:dyDescent="0.35">
      <c r="A11" s="72">
        <v>1895</v>
      </c>
      <c r="B11" s="72">
        <v>1</v>
      </c>
      <c r="D11" s="72" t="s">
        <v>227</v>
      </c>
      <c r="E11" s="79">
        <v>2054000000</v>
      </c>
      <c r="F11" s="79">
        <v>547750000</v>
      </c>
      <c r="G11" s="79">
        <v>579950000</v>
      </c>
      <c r="H11" s="79">
        <v>38129</v>
      </c>
      <c r="I11" s="79">
        <v>6</v>
      </c>
      <c r="J11" s="79">
        <v>579.95000000000005</v>
      </c>
      <c r="K11" s="79">
        <v>6620</v>
      </c>
      <c r="L11" s="79">
        <v>9247</v>
      </c>
      <c r="M11" s="79">
        <v>2804</v>
      </c>
      <c r="N11" s="79">
        <v>7232</v>
      </c>
      <c r="O11" s="79">
        <v>5362.9</v>
      </c>
      <c r="P11" s="79">
        <v>1461</v>
      </c>
      <c r="Q11" s="79">
        <v>4703</v>
      </c>
      <c r="R11" s="79">
        <v>775</v>
      </c>
      <c r="S11" s="79">
        <v>0</v>
      </c>
      <c r="T11" s="79">
        <v>1369</v>
      </c>
      <c r="U11" s="79">
        <v>18681</v>
      </c>
      <c r="V11" s="79">
        <v>39040</v>
      </c>
      <c r="W11" s="79">
        <v>27870</v>
      </c>
      <c r="X11" s="79">
        <v>1051.6199999999999</v>
      </c>
      <c r="Y11" s="79">
        <v>1672</v>
      </c>
      <c r="Z11" s="79">
        <v>0</v>
      </c>
      <c r="AA11" s="79">
        <v>0</v>
      </c>
      <c r="AB11" s="79">
        <v>0</v>
      </c>
      <c r="AC11" s="79">
        <v>22656</v>
      </c>
      <c r="AD11" s="79">
        <v>24695.040000000001</v>
      </c>
      <c r="AE11" s="79">
        <v>1393</v>
      </c>
      <c r="AF11" s="79">
        <v>5547</v>
      </c>
      <c r="AG11" s="79">
        <v>388</v>
      </c>
      <c r="AH11" s="79">
        <v>269.36</v>
      </c>
      <c r="AI11" s="79">
        <v>141.69999999999999</v>
      </c>
      <c r="AJ11" s="79">
        <v>18691</v>
      </c>
      <c r="AK11" s="79">
        <v>19438.64</v>
      </c>
      <c r="AL11" s="79">
        <v>10</v>
      </c>
      <c r="AM11" s="79">
        <v>0</v>
      </c>
      <c r="AN11" s="79">
        <v>0</v>
      </c>
      <c r="AO11" s="79">
        <v>0</v>
      </c>
      <c r="AP11" s="79">
        <v>3452</v>
      </c>
      <c r="AQ11" s="79">
        <v>2903</v>
      </c>
      <c r="AR11" s="80">
        <v>3.3216859999999999E-3</v>
      </c>
      <c r="AS11" s="80">
        <v>1.6622340000000001E-3</v>
      </c>
      <c r="AT11" s="79">
        <v>15513.53</v>
      </c>
      <c r="AU11" s="79">
        <v>0</v>
      </c>
      <c r="AV11" s="79">
        <v>6083.29</v>
      </c>
      <c r="AW11" s="79">
        <v>11684.115107073099</v>
      </c>
      <c r="AX11" s="79">
        <v>23</v>
      </c>
      <c r="AY11" s="79">
        <v>25.07</v>
      </c>
      <c r="AZ11" s="79">
        <v>3218</v>
      </c>
      <c r="BA11" s="79">
        <v>1</v>
      </c>
      <c r="BB11" s="79">
        <v>0</v>
      </c>
      <c r="BC11" s="79">
        <v>0</v>
      </c>
      <c r="BD11" s="79">
        <v>0</v>
      </c>
      <c r="BE11" s="79">
        <v>0</v>
      </c>
      <c r="BF11" s="79">
        <v>0</v>
      </c>
      <c r="BG11" s="79">
        <v>0</v>
      </c>
      <c r="BH11" s="79">
        <v>0</v>
      </c>
      <c r="BI11" s="79">
        <v>0</v>
      </c>
      <c r="BJ11" s="79">
        <v>0</v>
      </c>
      <c r="BK11" s="79">
        <v>52</v>
      </c>
      <c r="BL11" s="79">
        <v>6661</v>
      </c>
      <c r="BM11" s="79">
        <v>259</v>
      </c>
      <c r="BN11" s="79">
        <v>130</v>
      </c>
      <c r="BO11">
        <v>7614</v>
      </c>
      <c r="BP11">
        <v>2191</v>
      </c>
      <c r="BQ11">
        <v>7499</v>
      </c>
      <c r="BR11">
        <v>2220</v>
      </c>
      <c r="BS11">
        <v>7466</v>
      </c>
      <c r="BT11">
        <v>2248</v>
      </c>
      <c r="BU11">
        <v>7357</v>
      </c>
      <c r="BV11">
        <v>2270</v>
      </c>
      <c r="BW11">
        <v>7155</v>
      </c>
      <c r="BX11">
        <v>2254</v>
      </c>
      <c r="BY11">
        <v>7088</v>
      </c>
      <c r="BZ11">
        <v>2276</v>
      </c>
      <c r="CB11">
        <v>1072.44</v>
      </c>
      <c r="CC11">
        <v>199</v>
      </c>
      <c r="CD11">
        <v>75</v>
      </c>
      <c r="CE11">
        <v>9375.6</v>
      </c>
      <c r="CF11">
        <v>2019.09</v>
      </c>
      <c r="CG11">
        <v>226.25409530634201</v>
      </c>
      <c r="CH11">
        <v>473</v>
      </c>
      <c r="CI11">
        <v>365</v>
      </c>
      <c r="CJ11">
        <v>318.33333333333297</v>
      </c>
      <c r="CK11" s="81">
        <v>3242</v>
      </c>
      <c r="CL11">
        <v>983</v>
      </c>
      <c r="CM11">
        <v>8786.8254567332897</v>
      </c>
      <c r="CN11">
        <v>4.6479999999999997</v>
      </c>
      <c r="CO11">
        <v>28882</v>
      </c>
      <c r="CP11">
        <v>5396</v>
      </c>
      <c r="CQ11">
        <v>1047</v>
      </c>
      <c r="CR11">
        <v>1187</v>
      </c>
      <c r="CS11">
        <v>1056</v>
      </c>
      <c r="CT11">
        <v>543</v>
      </c>
      <c r="CU11">
        <v>975.54223958054695</v>
      </c>
      <c r="CV11">
        <v>575.56992135252301</v>
      </c>
      <c r="CW11">
        <v>207.733112193034</v>
      </c>
      <c r="CX11">
        <v>2125</v>
      </c>
      <c r="CY11">
        <v>1253.75</v>
      </c>
      <c r="CZ11">
        <v>452.5</v>
      </c>
      <c r="DA11">
        <v>43580</v>
      </c>
      <c r="DE11">
        <v>17</v>
      </c>
      <c r="DF11" t="s">
        <v>798</v>
      </c>
      <c r="DG11">
        <v>4051</v>
      </c>
      <c r="DH11">
        <v>3984</v>
      </c>
      <c r="DI11">
        <v>3922</v>
      </c>
      <c r="DJ11">
        <v>3844</v>
      </c>
      <c r="DK11">
        <v>3848</v>
      </c>
      <c r="DO11">
        <v>15</v>
      </c>
      <c r="DP11" t="s">
        <v>797</v>
      </c>
      <c r="DQ11">
        <v>5020</v>
      </c>
      <c r="DR11">
        <v>1</v>
      </c>
      <c r="DS11">
        <v>231</v>
      </c>
      <c r="DV11">
        <v>613</v>
      </c>
      <c r="DW11" t="s">
        <v>16</v>
      </c>
      <c r="DX11">
        <v>2190.7910181421598</v>
      </c>
      <c r="DY11">
        <v>484</v>
      </c>
      <c r="DZ11">
        <v>439</v>
      </c>
      <c r="EA11">
        <v>213</v>
      </c>
      <c r="EB11">
        <v>1551</v>
      </c>
      <c r="EC11">
        <v>866</v>
      </c>
      <c r="ED11">
        <v>321</v>
      </c>
      <c r="EE11" s="82">
        <v>0.105785367099583</v>
      </c>
      <c r="EF11" s="82">
        <v>0.29039926317332598</v>
      </c>
    </row>
    <row r="12" spans="1:136" x14ac:dyDescent="0.35">
      <c r="A12" s="72">
        <v>765</v>
      </c>
      <c r="B12" s="72">
        <v>1</v>
      </c>
      <c r="D12" s="72" t="s">
        <v>245</v>
      </c>
      <c r="E12" s="79">
        <v>563200000</v>
      </c>
      <c r="F12" s="79">
        <v>79450000</v>
      </c>
      <c r="G12" s="79">
        <v>88550000</v>
      </c>
      <c r="H12" s="79">
        <v>12214</v>
      </c>
      <c r="I12" s="79">
        <v>1</v>
      </c>
      <c r="J12" s="79">
        <v>88.55</v>
      </c>
      <c r="K12" s="79">
        <v>2220</v>
      </c>
      <c r="L12" s="79">
        <v>2754</v>
      </c>
      <c r="M12" s="79">
        <v>851</v>
      </c>
      <c r="N12" s="79">
        <v>2276</v>
      </c>
      <c r="O12" s="79">
        <v>1698.5</v>
      </c>
      <c r="P12" s="79">
        <v>456.66666666666703</v>
      </c>
      <c r="Q12" s="79">
        <v>1685.6666666666699</v>
      </c>
      <c r="R12" s="79">
        <v>205</v>
      </c>
      <c r="S12" s="79">
        <v>0</v>
      </c>
      <c r="T12" s="79">
        <v>469</v>
      </c>
      <c r="U12" s="79">
        <v>5674</v>
      </c>
      <c r="V12" s="79">
        <v>12500</v>
      </c>
      <c r="W12" s="79">
        <v>7870</v>
      </c>
      <c r="X12" s="79">
        <v>0</v>
      </c>
      <c r="Y12" s="79">
        <v>184.8</v>
      </c>
      <c r="Z12" s="79">
        <v>0</v>
      </c>
      <c r="AA12" s="79">
        <v>0</v>
      </c>
      <c r="AB12" s="79">
        <v>0</v>
      </c>
      <c r="AC12" s="79">
        <v>4906</v>
      </c>
      <c r="AD12" s="79">
        <v>4906</v>
      </c>
      <c r="AE12" s="79">
        <v>114</v>
      </c>
      <c r="AF12" s="79">
        <v>0</v>
      </c>
      <c r="AG12" s="79">
        <v>120</v>
      </c>
      <c r="AH12" s="79">
        <v>98</v>
      </c>
      <c r="AI12" s="79">
        <v>22</v>
      </c>
      <c r="AJ12" s="79">
        <v>5775</v>
      </c>
      <c r="AK12" s="79">
        <v>5775</v>
      </c>
      <c r="AL12" s="79">
        <v>0</v>
      </c>
      <c r="AM12" s="79">
        <v>0</v>
      </c>
      <c r="AN12" s="79">
        <v>0</v>
      </c>
      <c r="AO12" s="79">
        <v>0</v>
      </c>
      <c r="AP12" s="79">
        <v>2102</v>
      </c>
      <c r="AQ12" s="79">
        <v>0</v>
      </c>
      <c r="AR12" s="80">
        <v>9.2181800000000003E-4</v>
      </c>
      <c r="AS12" s="80">
        <v>3.5157999999999999E-4</v>
      </c>
      <c r="AT12" s="79">
        <v>3066.5250000000001</v>
      </c>
      <c r="AU12" s="79">
        <v>0</v>
      </c>
      <c r="AV12" s="79">
        <v>1501</v>
      </c>
      <c r="AW12" s="79">
        <v>3652.0346613545798</v>
      </c>
      <c r="AX12" s="79">
        <v>4</v>
      </c>
      <c r="AY12" s="79">
        <v>4</v>
      </c>
      <c r="AZ12" s="79">
        <v>827</v>
      </c>
      <c r="BA12" s="79">
        <v>1</v>
      </c>
      <c r="BB12" s="79">
        <v>0</v>
      </c>
      <c r="BC12" s="79">
        <v>0</v>
      </c>
      <c r="BD12" s="79">
        <v>0</v>
      </c>
      <c r="BE12" s="79">
        <v>0</v>
      </c>
      <c r="BF12" s="79">
        <v>0</v>
      </c>
      <c r="BG12" s="79">
        <v>0</v>
      </c>
      <c r="BH12" s="79">
        <v>0</v>
      </c>
      <c r="BI12" s="79">
        <v>0</v>
      </c>
      <c r="BJ12" s="79">
        <v>0</v>
      </c>
      <c r="BK12" s="79">
        <v>2</v>
      </c>
      <c r="BL12" s="79">
        <v>1823</v>
      </c>
      <c r="BM12" s="79">
        <v>98</v>
      </c>
      <c r="BN12" s="79">
        <v>22</v>
      </c>
      <c r="BO12">
        <v>2670</v>
      </c>
      <c r="BP12">
        <v>305</v>
      </c>
      <c r="BQ12">
        <v>2663</v>
      </c>
      <c r="BR12">
        <v>284</v>
      </c>
      <c r="BS12">
        <v>2609</v>
      </c>
      <c r="BT12">
        <v>289</v>
      </c>
      <c r="BU12">
        <v>2541</v>
      </c>
      <c r="BV12">
        <v>311</v>
      </c>
      <c r="BW12">
        <v>2498</v>
      </c>
      <c r="BX12">
        <v>306</v>
      </c>
      <c r="BY12">
        <v>2466</v>
      </c>
      <c r="BZ12">
        <v>321</v>
      </c>
      <c r="CB12">
        <v>479.52</v>
      </c>
      <c r="CC12">
        <v>84</v>
      </c>
      <c r="CD12">
        <v>49</v>
      </c>
      <c r="CE12">
        <v>2772.5</v>
      </c>
      <c r="CF12">
        <v>597.6</v>
      </c>
      <c r="CG12">
        <v>90.603677317967495</v>
      </c>
      <c r="CH12">
        <v>136</v>
      </c>
      <c r="CI12">
        <v>152.333333333333</v>
      </c>
      <c r="CJ12">
        <v>125.333333333333</v>
      </c>
      <c r="CK12" s="81">
        <v>1229</v>
      </c>
      <c r="CL12">
        <v>308</v>
      </c>
      <c r="CM12">
        <v>2692.9352994225101</v>
      </c>
      <c r="CN12">
        <v>1.663</v>
      </c>
      <c r="CO12">
        <v>9460</v>
      </c>
      <c r="CP12">
        <v>1622</v>
      </c>
      <c r="CQ12">
        <v>281</v>
      </c>
      <c r="CR12">
        <v>356</v>
      </c>
      <c r="CS12">
        <v>282</v>
      </c>
      <c r="CT12">
        <v>145</v>
      </c>
      <c r="CU12">
        <v>303.230043290043</v>
      </c>
      <c r="CV12">
        <v>176.17341991341999</v>
      </c>
      <c r="CW12">
        <v>59.704848484848497</v>
      </c>
      <c r="CX12">
        <v>690.87310000000002</v>
      </c>
      <c r="CY12">
        <v>401.38990000000001</v>
      </c>
      <c r="CZ12">
        <v>136.03030000000001</v>
      </c>
      <c r="DA12">
        <v>0</v>
      </c>
      <c r="DE12">
        <v>22</v>
      </c>
      <c r="DF12" t="s">
        <v>799</v>
      </c>
      <c r="DG12">
        <v>4469</v>
      </c>
      <c r="DH12">
        <v>4431</v>
      </c>
      <c r="DI12">
        <v>4372</v>
      </c>
      <c r="DJ12">
        <v>4325</v>
      </c>
      <c r="DK12">
        <v>4307</v>
      </c>
      <c r="DO12">
        <v>17</v>
      </c>
      <c r="DP12" t="s">
        <v>798</v>
      </c>
      <c r="DQ12">
        <v>9347</v>
      </c>
      <c r="DR12">
        <v>1</v>
      </c>
      <c r="DS12">
        <v>883</v>
      </c>
      <c r="DV12">
        <v>361</v>
      </c>
      <c r="DW12" t="s">
        <v>17</v>
      </c>
      <c r="DX12">
        <v>16715.505135809301</v>
      </c>
      <c r="DY12">
        <v>3287</v>
      </c>
      <c r="DZ12">
        <v>2336</v>
      </c>
      <c r="EA12">
        <v>1089</v>
      </c>
      <c r="EB12">
        <v>8083</v>
      </c>
      <c r="EC12">
        <v>4329</v>
      </c>
      <c r="ED12">
        <v>1531</v>
      </c>
      <c r="EE12" s="82">
        <v>0.22559078158533</v>
      </c>
      <c r="EF12" s="82">
        <v>0.473389425315906</v>
      </c>
    </row>
    <row r="13" spans="1:136" x14ac:dyDescent="0.35">
      <c r="A13" s="72">
        <v>37</v>
      </c>
      <c r="B13" s="72">
        <v>1</v>
      </c>
      <c r="D13" s="72" t="s">
        <v>282</v>
      </c>
      <c r="E13" s="79">
        <v>1853200000</v>
      </c>
      <c r="F13" s="79">
        <v>269850000</v>
      </c>
      <c r="G13" s="79">
        <v>306950000</v>
      </c>
      <c r="H13" s="79">
        <v>31789</v>
      </c>
      <c r="I13" s="79">
        <v>3</v>
      </c>
      <c r="J13" s="79">
        <v>306.95</v>
      </c>
      <c r="K13" s="79">
        <v>5714</v>
      </c>
      <c r="L13" s="79">
        <v>7930</v>
      </c>
      <c r="M13" s="79">
        <v>2696</v>
      </c>
      <c r="N13" s="79">
        <v>5892</v>
      </c>
      <c r="O13" s="79">
        <v>4346.3</v>
      </c>
      <c r="P13" s="79">
        <v>990.33333333333303</v>
      </c>
      <c r="Q13" s="79">
        <v>4018.3333333333298</v>
      </c>
      <c r="R13" s="79">
        <v>435</v>
      </c>
      <c r="S13" s="79">
        <v>0</v>
      </c>
      <c r="T13" s="79">
        <v>1000</v>
      </c>
      <c r="U13" s="79">
        <v>15013</v>
      </c>
      <c r="V13" s="79">
        <v>35050</v>
      </c>
      <c r="W13" s="79">
        <v>29330</v>
      </c>
      <c r="X13" s="79">
        <v>1183.4000000000001</v>
      </c>
      <c r="Y13" s="79">
        <v>1665.6</v>
      </c>
      <c r="Z13" s="79">
        <v>0</v>
      </c>
      <c r="AA13" s="79">
        <v>0</v>
      </c>
      <c r="AB13" s="79">
        <v>301.10000000000002</v>
      </c>
      <c r="AC13" s="79">
        <v>11768</v>
      </c>
      <c r="AD13" s="79">
        <v>11768</v>
      </c>
      <c r="AE13" s="79">
        <v>226</v>
      </c>
      <c r="AF13" s="79">
        <v>0</v>
      </c>
      <c r="AG13" s="79">
        <v>265</v>
      </c>
      <c r="AH13" s="79">
        <v>205</v>
      </c>
      <c r="AI13" s="79">
        <v>61</v>
      </c>
      <c r="AJ13" s="79">
        <v>15457</v>
      </c>
      <c r="AK13" s="79">
        <v>15457</v>
      </c>
      <c r="AL13" s="79">
        <v>0</v>
      </c>
      <c r="AM13" s="79">
        <v>0</v>
      </c>
      <c r="AN13" s="79">
        <v>0</v>
      </c>
      <c r="AO13" s="79">
        <v>0</v>
      </c>
      <c r="AP13" s="79">
        <v>3442</v>
      </c>
      <c r="AQ13" s="79">
        <v>0</v>
      </c>
      <c r="AR13" s="80">
        <v>2.1908919999999998E-3</v>
      </c>
      <c r="AS13" s="80">
        <v>1.600237E-3</v>
      </c>
      <c r="AT13" s="79">
        <v>12937.509</v>
      </c>
      <c r="AU13" s="79">
        <v>0</v>
      </c>
      <c r="AV13" s="79">
        <v>3266</v>
      </c>
      <c r="AW13" s="79">
        <v>8656.2342838085697</v>
      </c>
      <c r="AX13" s="79">
        <v>13</v>
      </c>
      <c r="AY13" s="79">
        <v>13</v>
      </c>
      <c r="AZ13" s="79">
        <v>2744</v>
      </c>
      <c r="BA13" s="79">
        <v>1</v>
      </c>
      <c r="BB13" s="79">
        <v>0</v>
      </c>
      <c r="BC13" s="79">
        <v>0</v>
      </c>
      <c r="BD13" s="79">
        <v>0</v>
      </c>
      <c r="BE13" s="79">
        <v>0</v>
      </c>
      <c r="BF13" s="79">
        <v>0</v>
      </c>
      <c r="BG13" s="79">
        <v>0</v>
      </c>
      <c r="BH13" s="79">
        <v>0</v>
      </c>
      <c r="BI13" s="79">
        <v>0</v>
      </c>
      <c r="BJ13" s="79">
        <v>0</v>
      </c>
      <c r="BK13" s="79">
        <v>81</v>
      </c>
      <c r="BL13" s="79">
        <v>5121</v>
      </c>
      <c r="BM13" s="79">
        <v>205</v>
      </c>
      <c r="BN13" s="79">
        <v>61</v>
      </c>
      <c r="BO13">
        <v>6860</v>
      </c>
      <c r="BP13">
        <v>1619</v>
      </c>
      <c r="BQ13">
        <v>6796</v>
      </c>
      <c r="BR13">
        <v>1714</v>
      </c>
      <c r="BS13">
        <v>6684</v>
      </c>
      <c r="BT13">
        <v>1708</v>
      </c>
      <c r="BU13">
        <v>6597</v>
      </c>
      <c r="BV13">
        <v>1654</v>
      </c>
      <c r="BW13">
        <v>6487</v>
      </c>
      <c r="BX13">
        <v>1614</v>
      </c>
      <c r="BY13">
        <v>6415</v>
      </c>
      <c r="BZ13">
        <v>1617</v>
      </c>
      <c r="CB13">
        <v>948.524</v>
      </c>
      <c r="CC13">
        <v>150</v>
      </c>
      <c r="CD13">
        <v>79</v>
      </c>
      <c r="CE13">
        <v>7590.96</v>
      </c>
      <c r="CF13">
        <v>1637.5</v>
      </c>
      <c r="CG13">
        <v>182.62813575443101</v>
      </c>
      <c r="CH13">
        <v>338</v>
      </c>
      <c r="CI13">
        <v>246</v>
      </c>
      <c r="CJ13">
        <v>219.333333333333</v>
      </c>
      <c r="CK13" s="81">
        <v>3028</v>
      </c>
      <c r="CL13">
        <v>862</v>
      </c>
      <c r="CM13">
        <v>7396.8844830017497</v>
      </c>
      <c r="CN13">
        <v>3.0369999999999999</v>
      </c>
      <c r="CO13">
        <v>23859</v>
      </c>
      <c r="CP13">
        <v>4254</v>
      </c>
      <c r="CQ13">
        <v>980</v>
      </c>
      <c r="CR13">
        <v>898</v>
      </c>
      <c r="CS13">
        <v>967</v>
      </c>
      <c r="CT13">
        <v>550</v>
      </c>
      <c r="CU13">
        <v>740.64528692501801</v>
      </c>
      <c r="CV13">
        <v>529.19302581354702</v>
      </c>
      <c r="CW13">
        <v>208.92158245455099</v>
      </c>
      <c r="CX13">
        <v>1660.4736</v>
      </c>
      <c r="CY13">
        <v>1186.4128000000001</v>
      </c>
      <c r="CZ13">
        <v>468.38720000000001</v>
      </c>
      <c r="DA13">
        <v>0</v>
      </c>
      <c r="DE13">
        <v>24</v>
      </c>
      <c r="DF13" t="s">
        <v>190</v>
      </c>
      <c r="DG13">
        <v>2339</v>
      </c>
      <c r="DH13">
        <v>2287</v>
      </c>
      <c r="DI13">
        <v>2244</v>
      </c>
      <c r="DJ13">
        <v>2216</v>
      </c>
      <c r="DK13">
        <v>2178</v>
      </c>
      <c r="DO13">
        <v>22</v>
      </c>
      <c r="DP13" t="s">
        <v>799</v>
      </c>
      <c r="DQ13">
        <v>8779</v>
      </c>
      <c r="DR13">
        <v>1.01</v>
      </c>
      <c r="DS13">
        <v>734</v>
      </c>
      <c r="DV13">
        <v>141</v>
      </c>
      <c r="DW13" t="s">
        <v>18</v>
      </c>
      <c r="DX13">
        <v>12013.5897740413</v>
      </c>
      <c r="DY13">
        <v>1964</v>
      </c>
      <c r="DZ13">
        <v>1575</v>
      </c>
      <c r="EA13">
        <v>855</v>
      </c>
      <c r="EB13">
        <v>5162</v>
      </c>
      <c r="EC13">
        <v>3061</v>
      </c>
      <c r="ED13">
        <v>1134</v>
      </c>
      <c r="EE13" s="82">
        <v>0.261855113675943</v>
      </c>
      <c r="EF13" s="82">
        <v>0.57800256657042004</v>
      </c>
    </row>
    <row r="14" spans="1:136" x14ac:dyDescent="0.35">
      <c r="A14" s="72">
        <v>47</v>
      </c>
      <c r="B14" s="72">
        <v>1</v>
      </c>
      <c r="D14" s="72" t="s">
        <v>310</v>
      </c>
      <c r="E14" s="79">
        <v>1436000000</v>
      </c>
      <c r="F14" s="79">
        <v>295400000</v>
      </c>
      <c r="G14" s="79">
        <v>306250000</v>
      </c>
      <c r="H14" s="79">
        <v>27491</v>
      </c>
      <c r="I14" s="79">
        <v>1</v>
      </c>
      <c r="J14" s="79">
        <v>306.25</v>
      </c>
      <c r="K14" s="79">
        <v>5141</v>
      </c>
      <c r="L14" s="79">
        <v>6173</v>
      </c>
      <c r="M14" s="79">
        <v>1899</v>
      </c>
      <c r="N14" s="79">
        <v>4784</v>
      </c>
      <c r="O14" s="79">
        <v>3498.3</v>
      </c>
      <c r="P14" s="79">
        <v>940.66666666666697</v>
      </c>
      <c r="Q14" s="79">
        <v>3182.6666666666702</v>
      </c>
      <c r="R14" s="79">
        <v>1515</v>
      </c>
      <c r="S14" s="79">
        <v>0</v>
      </c>
      <c r="T14" s="79">
        <v>993</v>
      </c>
      <c r="U14" s="79">
        <v>12942</v>
      </c>
      <c r="V14" s="79">
        <v>31010</v>
      </c>
      <c r="W14" s="79">
        <v>29520</v>
      </c>
      <c r="X14" s="79">
        <v>890.9</v>
      </c>
      <c r="Y14" s="79">
        <v>1599.2</v>
      </c>
      <c r="Z14" s="79">
        <v>0</v>
      </c>
      <c r="AA14" s="79">
        <v>0</v>
      </c>
      <c r="AB14" s="79">
        <v>0</v>
      </c>
      <c r="AC14" s="79">
        <v>7595</v>
      </c>
      <c r="AD14" s="79">
        <v>7595</v>
      </c>
      <c r="AE14" s="79">
        <v>272</v>
      </c>
      <c r="AF14" s="79">
        <v>0</v>
      </c>
      <c r="AG14" s="79">
        <v>244</v>
      </c>
      <c r="AH14" s="79">
        <v>187</v>
      </c>
      <c r="AI14" s="79">
        <v>57</v>
      </c>
      <c r="AJ14" s="79">
        <v>12857</v>
      </c>
      <c r="AK14" s="79">
        <v>12857</v>
      </c>
      <c r="AL14" s="79">
        <v>0</v>
      </c>
      <c r="AM14" s="79">
        <v>0</v>
      </c>
      <c r="AN14" s="79">
        <v>0</v>
      </c>
      <c r="AO14" s="79">
        <v>0</v>
      </c>
      <c r="AP14" s="79">
        <v>3654</v>
      </c>
      <c r="AQ14" s="79">
        <v>0</v>
      </c>
      <c r="AR14" s="80">
        <v>1.8379760000000001E-3</v>
      </c>
      <c r="AS14" s="80">
        <v>1.366882E-3</v>
      </c>
      <c r="AT14" s="79">
        <v>12869.857</v>
      </c>
      <c r="AU14" s="79">
        <v>0</v>
      </c>
      <c r="AV14" s="79">
        <v>3358</v>
      </c>
      <c r="AW14" s="79">
        <v>11734.432185076899</v>
      </c>
      <c r="AX14" s="79">
        <v>6</v>
      </c>
      <c r="AY14" s="79">
        <v>6</v>
      </c>
      <c r="AZ14" s="79">
        <v>2113</v>
      </c>
      <c r="BA14" s="79">
        <v>1</v>
      </c>
      <c r="BB14" s="79">
        <v>0</v>
      </c>
      <c r="BC14" s="79">
        <v>0</v>
      </c>
      <c r="BD14" s="79">
        <v>0</v>
      </c>
      <c r="BE14" s="79">
        <v>0</v>
      </c>
      <c r="BF14" s="79">
        <v>0</v>
      </c>
      <c r="BG14" s="79">
        <v>0</v>
      </c>
      <c r="BH14" s="79">
        <v>0</v>
      </c>
      <c r="BI14" s="79">
        <v>0</v>
      </c>
      <c r="BJ14" s="79">
        <v>0</v>
      </c>
      <c r="BK14" s="79">
        <v>44</v>
      </c>
      <c r="BL14" s="79">
        <v>4372</v>
      </c>
      <c r="BM14" s="79">
        <v>187</v>
      </c>
      <c r="BN14" s="79">
        <v>57</v>
      </c>
      <c r="BO14">
        <v>5669</v>
      </c>
      <c r="BP14">
        <v>2163</v>
      </c>
      <c r="BQ14">
        <v>5667</v>
      </c>
      <c r="BR14">
        <v>2156</v>
      </c>
      <c r="BS14">
        <v>5635</v>
      </c>
      <c r="BT14">
        <v>2141</v>
      </c>
      <c r="BU14">
        <v>5633</v>
      </c>
      <c r="BV14">
        <v>2092</v>
      </c>
      <c r="BW14">
        <v>5625</v>
      </c>
      <c r="BX14">
        <v>2118</v>
      </c>
      <c r="BY14">
        <v>5579</v>
      </c>
      <c r="BZ14">
        <v>2156</v>
      </c>
      <c r="CB14">
        <v>837.98299999999995</v>
      </c>
      <c r="CC14">
        <v>161</v>
      </c>
      <c r="CD14">
        <v>74</v>
      </c>
      <c r="CE14">
        <v>6944.3</v>
      </c>
      <c r="CF14">
        <v>1566.72</v>
      </c>
      <c r="CG14">
        <v>226.97740322198501</v>
      </c>
      <c r="CH14">
        <v>345</v>
      </c>
      <c r="CI14">
        <v>265.33333333333297</v>
      </c>
      <c r="CJ14">
        <v>234.333333333333</v>
      </c>
      <c r="CK14" s="81">
        <v>2242</v>
      </c>
      <c r="CL14">
        <v>651</v>
      </c>
      <c r="CM14">
        <v>5684.9230116139397</v>
      </c>
      <c r="CN14">
        <v>3.0489999999999999</v>
      </c>
      <c r="CO14">
        <v>21318</v>
      </c>
      <c r="CP14">
        <v>3621</v>
      </c>
      <c r="CQ14">
        <v>653</v>
      </c>
      <c r="CR14">
        <v>785</v>
      </c>
      <c r="CS14">
        <v>682</v>
      </c>
      <c r="CT14">
        <v>324</v>
      </c>
      <c r="CU14">
        <v>619.01162790697697</v>
      </c>
      <c r="CV14">
        <v>367.053488372093</v>
      </c>
      <c r="CW14">
        <v>122.713953488372</v>
      </c>
      <c r="CX14">
        <v>1349.53</v>
      </c>
      <c r="CY14">
        <v>800.22680000000003</v>
      </c>
      <c r="CZ14">
        <v>267.53320000000002</v>
      </c>
      <c r="DA14">
        <v>23814</v>
      </c>
      <c r="DE14">
        <v>25</v>
      </c>
      <c r="DF14" t="s">
        <v>800</v>
      </c>
      <c r="DG14">
        <v>2482</v>
      </c>
      <c r="DH14">
        <v>2486</v>
      </c>
      <c r="DI14">
        <v>2455</v>
      </c>
      <c r="DJ14">
        <v>2411</v>
      </c>
      <c r="DK14">
        <v>2335</v>
      </c>
      <c r="DO14">
        <v>24</v>
      </c>
      <c r="DP14" t="s">
        <v>190</v>
      </c>
      <c r="DQ14">
        <v>4704</v>
      </c>
      <c r="DR14">
        <v>1.22</v>
      </c>
      <c r="DS14">
        <v>213</v>
      </c>
      <c r="DV14">
        <v>34</v>
      </c>
      <c r="DW14" t="s">
        <v>19</v>
      </c>
      <c r="DX14">
        <v>23500.850694568398</v>
      </c>
      <c r="DY14">
        <v>3516</v>
      </c>
      <c r="DZ14">
        <v>2041</v>
      </c>
      <c r="EA14">
        <v>1033</v>
      </c>
      <c r="EB14">
        <v>9785</v>
      </c>
      <c r="EC14">
        <v>3956</v>
      </c>
      <c r="ED14">
        <v>1436</v>
      </c>
      <c r="EE14" s="82">
        <v>0.18366910526239599</v>
      </c>
      <c r="EF14" s="82">
        <v>0.473389425315906</v>
      </c>
    </row>
    <row r="15" spans="1:136" x14ac:dyDescent="0.35">
      <c r="A15" s="72">
        <v>1969</v>
      </c>
      <c r="B15" s="72">
        <v>1</v>
      </c>
      <c r="D15" s="72" t="s">
        <v>336</v>
      </c>
      <c r="E15" s="79">
        <v>4384000000</v>
      </c>
      <c r="F15" s="79">
        <v>871150000</v>
      </c>
      <c r="G15" s="79">
        <v>871150000</v>
      </c>
      <c r="H15" s="79">
        <v>63031</v>
      </c>
      <c r="I15" s="79">
        <v>11</v>
      </c>
      <c r="J15" s="79">
        <v>871.15</v>
      </c>
      <c r="K15" s="79">
        <v>13498</v>
      </c>
      <c r="L15" s="79">
        <v>12782</v>
      </c>
      <c r="M15" s="79">
        <v>3982</v>
      </c>
      <c r="N15" s="79">
        <v>7812</v>
      </c>
      <c r="O15" s="79">
        <v>5084.8</v>
      </c>
      <c r="P15" s="79">
        <v>1006.33333333333</v>
      </c>
      <c r="Q15" s="79">
        <v>4138.3333333333303</v>
      </c>
      <c r="R15" s="79">
        <v>895</v>
      </c>
      <c r="S15" s="79">
        <v>0</v>
      </c>
      <c r="T15" s="79">
        <v>1670</v>
      </c>
      <c r="U15" s="79">
        <v>27181</v>
      </c>
      <c r="V15" s="79">
        <v>55380</v>
      </c>
      <c r="W15" s="79">
        <v>19810</v>
      </c>
      <c r="X15" s="79">
        <v>0</v>
      </c>
      <c r="Y15" s="79">
        <v>2096.8000000000002</v>
      </c>
      <c r="Z15" s="79">
        <v>0</v>
      </c>
      <c r="AA15" s="79">
        <v>0</v>
      </c>
      <c r="AB15" s="79">
        <v>0</v>
      </c>
      <c r="AC15" s="79">
        <v>36256</v>
      </c>
      <c r="AD15" s="79">
        <v>38793.919999999998</v>
      </c>
      <c r="AE15" s="79">
        <v>620</v>
      </c>
      <c r="AF15" s="79">
        <v>0</v>
      </c>
      <c r="AG15" s="79">
        <v>650</v>
      </c>
      <c r="AH15" s="79">
        <v>393.12</v>
      </c>
      <c r="AI15" s="79">
        <v>293.76</v>
      </c>
      <c r="AJ15" s="79">
        <v>27272</v>
      </c>
      <c r="AK15" s="79">
        <v>28362.880000000001</v>
      </c>
      <c r="AL15" s="79">
        <v>0</v>
      </c>
      <c r="AM15" s="79">
        <v>0</v>
      </c>
      <c r="AN15" s="79">
        <v>0</v>
      </c>
      <c r="AO15" s="79">
        <v>0</v>
      </c>
      <c r="AP15" s="79">
        <v>0</v>
      </c>
      <c r="AQ15" s="79">
        <v>0</v>
      </c>
      <c r="AR15" s="80">
        <v>2.0676449999999999E-3</v>
      </c>
      <c r="AS15" s="80">
        <v>5.6926500000000001E-4</v>
      </c>
      <c r="AT15" s="79">
        <v>12845.111999999999</v>
      </c>
      <c r="AU15" s="79">
        <v>0</v>
      </c>
      <c r="AV15" s="79">
        <v>8143.77</v>
      </c>
      <c r="AW15" s="79">
        <v>14183.256951675899</v>
      </c>
      <c r="AX15" s="79">
        <v>37</v>
      </c>
      <c r="AY15" s="79">
        <v>39.96</v>
      </c>
      <c r="AZ15" s="79">
        <v>6602</v>
      </c>
      <c r="BA15" s="79">
        <v>1</v>
      </c>
      <c r="BB15" s="79">
        <v>0</v>
      </c>
      <c r="BC15" s="79">
        <v>0</v>
      </c>
      <c r="BD15" s="79">
        <v>0</v>
      </c>
      <c r="BE15" s="79">
        <v>0</v>
      </c>
      <c r="BF15" s="79">
        <v>0</v>
      </c>
      <c r="BG15" s="79">
        <v>0</v>
      </c>
      <c r="BH15" s="79">
        <v>0</v>
      </c>
      <c r="BI15" s="79">
        <v>0</v>
      </c>
      <c r="BJ15" s="79">
        <v>0</v>
      </c>
      <c r="BK15" s="79">
        <v>62</v>
      </c>
      <c r="BL15" s="79">
        <v>7636</v>
      </c>
      <c r="BM15" s="79">
        <v>378</v>
      </c>
      <c r="BN15" s="79">
        <v>272</v>
      </c>
      <c r="BO15">
        <v>14871</v>
      </c>
      <c r="BP15">
        <v>2511</v>
      </c>
      <c r="BQ15">
        <v>14727</v>
      </c>
      <c r="BR15">
        <v>2485</v>
      </c>
      <c r="BS15">
        <v>14590</v>
      </c>
      <c r="BT15">
        <v>2359</v>
      </c>
      <c r="BU15">
        <v>14462</v>
      </c>
      <c r="BV15">
        <v>2355</v>
      </c>
      <c r="BW15">
        <v>14302</v>
      </c>
      <c r="BX15">
        <v>2392</v>
      </c>
      <c r="BY15">
        <v>14074</v>
      </c>
      <c r="BZ15">
        <v>2492</v>
      </c>
      <c r="CB15">
        <v>1147.33</v>
      </c>
      <c r="CC15">
        <v>124</v>
      </c>
      <c r="CD15">
        <v>98</v>
      </c>
      <c r="CE15">
        <v>16270.66</v>
      </c>
      <c r="CF15">
        <v>4276.91</v>
      </c>
      <c r="CG15">
        <v>548.56339582272005</v>
      </c>
      <c r="CH15">
        <v>621</v>
      </c>
      <c r="CI15">
        <v>276.66666666666703</v>
      </c>
      <c r="CJ15">
        <v>238.333333333333</v>
      </c>
      <c r="CK15" s="81">
        <v>3132</v>
      </c>
      <c r="CL15">
        <v>1064</v>
      </c>
      <c r="CM15">
        <v>9003.3028327027496</v>
      </c>
      <c r="CN15">
        <v>2.218</v>
      </c>
      <c r="CO15">
        <v>50249</v>
      </c>
      <c r="CP15">
        <v>7473</v>
      </c>
      <c r="CQ15">
        <v>1327</v>
      </c>
      <c r="CR15">
        <v>1483</v>
      </c>
      <c r="CS15">
        <v>1253</v>
      </c>
      <c r="CT15">
        <v>629</v>
      </c>
      <c r="CU15">
        <v>862.13388090349099</v>
      </c>
      <c r="CV15">
        <v>515.15482546201201</v>
      </c>
      <c r="CW15">
        <v>165.37905544147799</v>
      </c>
      <c r="CX15">
        <v>2305.9888000000001</v>
      </c>
      <c r="CY15">
        <v>1377.9081000000001</v>
      </c>
      <c r="CZ15">
        <v>442.34690000000001</v>
      </c>
      <c r="DA15">
        <v>140841</v>
      </c>
      <c r="DE15">
        <v>34</v>
      </c>
      <c r="DF15" t="s">
        <v>19</v>
      </c>
      <c r="DG15">
        <v>48858</v>
      </c>
      <c r="DH15">
        <v>48704</v>
      </c>
      <c r="DI15">
        <v>48600</v>
      </c>
      <c r="DJ15">
        <v>48544</v>
      </c>
      <c r="DK15">
        <v>48247</v>
      </c>
      <c r="DO15">
        <v>25</v>
      </c>
      <c r="DP15" t="s">
        <v>800</v>
      </c>
      <c r="DQ15">
        <v>4413</v>
      </c>
      <c r="DR15">
        <v>1</v>
      </c>
      <c r="DS15">
        <v>339</v>
      </c>
      <c r="DV15">
        <v>484</v>
      </c>
      <c r="DW15" t="s">
        <v>20</v>
      </c>
      <c r="DX15">
        <v>12604.8114082911</v>
      </c>
      <c r="DY15">
        <v>2430</v>
      </c>
      <c r="DZ15">
        <v>2064</v>
      </c>
      <c r="EA15">
        <v>1023</v>
      </c>
      <c r="EB15">
        <v>7613</v>
      </c>
      <c r="EC15">
        <v>4231</v>
      </c>
      <c r="ED15">
        <v>1467</v>
      </c>
      <c r="EE15" s="82">
        <v>0.16650903688030899</v>
      </c>
      <c r="EF15" s="82">
        <v>0.40056396059305099</v>
      </c>
    </row>
    <row r="16" spans="1:136" x14ac:dyDescent="0.35">
      <c r="A16" s="72">
        <v>1950</v>
      </c>
      <c r="B16" s="72">
        <v>1</v>
      </c>
      <c r="D16" s="72" t="s">
        <v>339</v>
      </c>
      <c r="E16" s="79">
        <v>1561600000</v>
      </c>
      <c r="F16" s="79">
        <v>311500000</v>
      </c>
      <c r="G16" s="79">
        <v>364350000</v>
      </c>
      <c r="H16" s="79">
        <v>25199</v>
      </c>
      <c r="I16" s="79">
        <v>6</v>
      </c>
      <c r="J16" s="79">
        <v>364.35</v>
      </c>
      <c r="K16" s="79">
        <v>4423</v>
      </c>
      <c r="L16" s="79">
        <v>6578</v>
      </c>
      <c r="M16" s="79">
        <v>1969</v>
      </c>
      <c r="N16" s="79">
        <v>4130</v>
      </c>
      <c r="O16" s="79">
        <v>2889.3</v>
      </c>
      <c r="P16" s="79">
        <v>541</v>
      </c>
      <c r="Q16" s="79">
        <v>2624</v>
      </c>
      <c r="R16" s="79">
        <v>750</v>
      </c>
      <c r="S16" s="79">
        <v>0</v>
      </c>
      <c r="T16" s="79">
        <v>677</v>
      </c>
      <c r="U16" s="79">
        <v>12301</v>
      </c>
      <c r="V16" s="79">
        <v>22900</v>
      </c>
      <c r="W16" s="79">
        <v>9330</v>
      </c>
      <c r="X16" s="79">
        <v>0</v>
      </c>
      <c r="Y16" s="79">
        <v>1012</v>
      </c>
      <c r="Z16" s="79">
        <v>0</v>
      </c>
      <c r="AA16" s="79">
        <v>0</v>
      </c>
      <c r="AB16" s="79">
        <v>38.5</v>
      </c>
      <c r="AC16" s="79">
        <v>27576</v>
      </c>
      <c r="AD16" s="79">
        <v>27576</v>
      </c>
      <c r="AE16" s="79">
        <v>488</v>
      </c>
      <c r="AF16" s="79">
        <v>0</v>
      </c>
      <c r="AG16" s="79">
        <v>323</v>
      </c>
      <c r="AH16" s="79">
        <v>172</v>
      </c>
      <c r="AI16" s="79">
        <v>151</v>
      </c>
      <c r="AJ16" s="79">
        <v>12407</v>
      </c>
      <c r="AK16" s="79">
        <v>12407</v>
      </c>
      <c r="AL16" s="79">
        <v>0</v>
      </c>
      <c r="AM16" s="79">
        <v>0</v>
      </c>
      <c r="AN16" s="79">
        <v>0</v>
      </c>
      <c r="AO16" s="79">
        <v>5300</v>
      </c>
      <c r="AP16" s="79">
        <v>0</v>
      </c>
      <c r="AQ16" s="79">
        <v>0</v>
      </c>
      <c r="AR16" s="80">
        <v>2.134805E-3</v>
      </c>
      <c r="AS16" s="80">
        <v>4.9666000000000001E-4</v>
      </c>
      <c r="AT16" s="79">
        <v>3560.8090000000002</v>
      </c>
      <c r="AU16" s="79">
        <v>0</v>
      </c>
      <c r="AV16" s="79">
        <v>5998</v>
      </c>
      <c r="AW16" s="79">
        <v>5455.7127993158501</v>
      </c>
      <c r="AX16" s="79">
        <v>29</v>
      </c>
      <c r="AY16" s="79">
        <v>29</v>
      </c>
      <c r="AZ16" s="79">
        <v>2485</v>
      </c>
      <c r="BA16" s="79">
        <v>1</v>
      </c>
      <c r="BB16" s="79">
        <v>0</v>
      </c>
      <c r="BC16" s="79">
        <v>0</v>
      </c>
      <c r="BD16" s="79">
        <v>0</v>
      </c>
      <c r="BE16" s="79">
        <v>0</v>
      </c>
      <c r="BF16" s="79">
        <v>0</v>
      </c>
      <c r="BG16" s="79">
        <v>0</v>
      </c>
      <c r="BH16" s="79">
        <v>0</v>
      </c>
      <c r="BI16" s="79">
        <v>0</v>
      </c>
      <c r="BJ16" s="79">
        <v>0</v>
      </c>
      <c r="BK16" s="79">
        <v>24</v>
      </c>
      <c r="BL16" s="79">
        <v>3675</v>
      </c>
      <c r="BM16" s="79">
        <v>172</v>
      </c>
      <c r="BN16" s="79">
        <v>151</v>
      </c>
      <c r="BO16">
        <v>4846</v>
      </c>
      <c r="BP16">
        <v>1115</v>
      </c>
      <c r="BQ16">
        <v>4801</v>
      </c>
      <c r="BR16">
        <v>1188</v>
      </c>
      <c r="BS16">
        <v>4795</v>
      </c>
      <c r="BT16">
        <v>1230</v>
      </c>
      <c r="BU16">
        <v>4753</v>
      </c>
      <c r="BV16">
        <v>1276</v>
      </c>
      <c r="BW16">
        <v>4534</v>
      </c>
      <c r="BX16">
        <v>1248</v>
      </c>
      <c r="BY16">
        <v>4400</v>
      </c>
      <c r="BZ16">
        <v>1318</v>
      </c>
      <c r="CB16">
        <v>645.75800000000004</v>
      </c>
      <c r="CC16">
        <v>164</v>
      </c>
      <c r="CD16">
        <v>136</v>
      </c>
      <c r="CE16">
        <v>6156.7</v>
      </c>
      <c r="CF16">
        <v>1178.32</v>
      </c>
      <c r="CG16">
        <v>96.655207971231704</v>
      </c>
      <c r="CH16">
        <v>255</v>
      </c>
      <c r="CI16">
        <v>152.333333333333</v>
      </c>
      <c r="CJ16">
        <v>123.333333333333</v>
      </c>
      <c r="CK16" s="81">
        <v>2083</v>
      </c>
      <c r="CL16">
        <v>500</v>
      </c>
      <c r="CM16">
        <v>5264.3115488520498</v>
      </c>
      <c r="CN16">
        <v>1.6160000000000001</v>
      </c>
      <c r="CO16">
        <v>18621</v>
      </c>
      <c r="CP16">
        <v>3855</v>
      </c>
      <c r="CQ16">
        <v>754</v>
      </c>
      <c r="CR16">
        <v>745</v>
      </c>
      <c r="CS16">
        <v>707</v>
      </c>
      <c r="CT16">
        <v>411</v>
      </c>
      <c r="CU16">
        <v>551.45179334246802</v>
      </c>
      <c r="CV16">
        <v>333.71217054888399</v>
      </c>
      <c r="CW16">
        <v>131.10952687998699</v>
      </c>
      <c r="CX16">
        <v>1404.6976</v>
      </c>
      <c r="CY16">
        <v>850.05560000000003</v>
      </c>
      <c r="CZ16">
        <v>333.97160000000002</v>
      </c>
      <c r="DA16">
        <v>32059</v>
      </c>
      <c r="DE16">
        <v>37</v>
      </c>
      <c r="DF16" t="s">
        <v>282</v>
      </c>
      <c r="DG16">
        <v>6860</v>
      </c>
      <c r="DH16">
        <v>6796</v>
      </c>
      <c r="DI16">
        <v>6684</v>
      </c>
      <c r="DJ16">
        <v>6597</v>
      </c>
      <c r="DK16">
        <v>6487</v>
      </c>
      <c r="DO16">
        <v>1952</v>
      </c>
      <c r="DP16" t="s">
        <v>203</v>
      </c>
      <c r="DQ16">
        <v>28641</v>
      </c>
      <c r="DR16">
        <v>1</v>
      </c>
      <c r="DS16">
        <v>862</v>
      </c>
      <c r="DV16">
        <v>1723</v>
      </c>
      <c r="DW16" t="s">
        <v>21</v>
      </c>
      <c r="DX16">
        <v>937.31523855890998</v>
      </c>
      <c r="DY16">
        <v>192</v>
      </c>
      <c r="DZ16">
        <v>138</v>
      </c>
      <c r="EA16">
        <v>100</v>
      </c>
      <c r="EB16">
        <v>742</v>
      </c>
      <c r="EC16">
        <v>437</v>
      </c>
      <c r="ED16">
        <v>153</v>
      </c>
      <c r="EE16" s="82">
        <v>0.108431229388239</v>
      </c>
      <c r="EF16" s="82">
        <v>0.36295171754800198</v>
      </c>
    </row>
    <row r="17" spans="1:136" x14ac:dyDescent="0.35">
      <c r="A17" s="72">
        <v>59</v>
      </c>
      <c r="B17" s="72">
        <v>2</v>
      </c>
      <c r="D17" s="72" t="s">
        <v>14</v>
      </c>
      <c r="E17" s="79">
        <v>1684400000</v>
      </c>
      <c r="F17" s="79">
        <v>259000000</v>
      </c>
      <c r="G17" s="79">
        <v>291550000</v>
      </c>
      <c r="H17" s="79">
        <v>27852</v>
      </c>
      <c r="I17" s="79">
        <v>5</v>
      </c>
      <c r="J17" s="79">
        <v>291.55</v>
      </c>
      <c r="K17" s="79">
        <v>6097</v>
      </c>
      <c r="L17" s="79">
        <v>5458</v>
      </c>
      <c r="M17" s="79">
        <v>1637</v>
      </c>
      <c r="N17" s="79">
        <v>4165</v>
      </c>
      <c r="O17" s="79">
        <v>2947.3</v>
      </c>
      <c r="P17" s="79">
        <v>667.66666666666697</v>
      </c>
      <c r="Q17" s="79">
        <v>2202.6666666666702</v>
      </c>
      <c r="R17" s="79">
        <v>290</v>
      </c>
      <c r="S17" s="79">
        <v>0</v>
      </c>
      <c r="T17" s="79">
        <v>838</v>
      </c>
      <c r="U17" s="79">
        <v>11960</v>
      </c>
      <c r="V17" s="79">
        <v>27470</v>
      </c>
      <c r="W17" s="79">
        <v>10180</v>
      </c>
      <c r="X17" s="79">
        <v>0</v>
      </c>
      <c r="Y17" s="79">
        <v>1168</v>
      </c>
      <c r="Z17" s="79">
        <v>0</v>
      </c>
      <c r="AA17" s="79">
        <v>0</v>
      </c>
      <c r="AB17" s="79">
        <v>0</v>
      </c>
      <c r="AC17" s="79">
        <v>10223</v>
      </c>
      <c r="AD17" s="79">
        <v>10223</v>
      </c>
      <c r="AE17" s="79">
        <v>175</v>
      </c>
      <c r="AF17" s="79">
        <v>0</v>
      </c>
      <c r="AG17" s="79">
        <v>263</v>
      </c>
      <c r="AH17" s="79">
        <v>190</v>
      </c>
      <c r="AI17" s="79">
        <v>74</v>
      </c>
      <c r="AJ17" s="79">
        <v>12177</v>
      </c>
      <c r="AK17" s="79">
        <v>12177</v>
      </c>
      <c r="AL17" s="79">
        <v>0</v>
      </c>
      <c r="AM17" s="79">
        <v>0</v>
      </c>
      <c r="AN17" s="79">
        <v>0</v>
      </c>
      <c r="AO17" s="79">
        <v>0</v>
      </c>
      <c r="AP17" s="79">
        <v>0</v>
      </c>
      <c r="AQ17" s="79">
        <v>0</v>
      </c>
      <c r="AR17" s="80">
        <v>7.2742499999999997E-4</v>
      </c>
      <c r="AS17" s="80">
        <v>3.2451499999999999E-4</v>
      </c>
      <c r="AT17" s="79">
        <v>5199.5789999999997</v>
      </c>
      <c r="AU17" s="79">
        <v>0</v>
      </c>
      <c r="AV17" s="79">
        <v>2371</v>
      </c>
      <c r="AW17" s="79">
        <v>6350.9417195614496</v>
      </c>
      <c r="AX17" s="79">
        <v>13</v>
      </c>
      <c r="AY17" s="79">
        <v>13</v>
      </c>
      <c r="AZ17" s="79">
        <v>2716</v>
      </c>
      <c r="BA17" s="79">
        <v>1</v>
      </c>
      <c r="BB17" s="79">
        <v>0</v>
      </c>
      <c r="BC17" s="79">
        <v>0</v>
      </c>
      <c r="BD17" s="79">
        <v>0</v>
      </c>
      <c r="BE17" s="79">
        <v>0</v>
      </c>
      <c r="BF17" s="79">
        <v>0</v>
      </c>
      <c r="BG17" s="79">
        <v>0</v>
      </c>
      <c r="BH17" s="79">
        <v>0</v>
      </c>
      <c r="BI17" s="79">
        <v>0</v>
      </c>
      <c r="BJ17" s="79">
        <v>0</v>
      </c>
      <c r="BK17" s="79">
        <v>29</v>
      </c>
      <c r="BL17" s="79">
        <v>3532</v>
      </c>
      <c r="BM17" s="79">
        <v>190</v>
      </c>
      <c r="BN17" s="79">
        <v>74</v>
      </c>
      <c r="BO17">
        <v>6491</v>
      </c>
      <c r="BP17">
        <v>1761</v>
      </c>
      <c r="BQ17">
        <v>6472</v>
      </c>
      <c r="BR17">
        <v>1738</v>
      </c>
      <c r="BS17">
        <v>6501</v>
      </c>
      <c r="BT17">
        <v>1727</v>
      </c>
      <c r="BU17">
        <v>6460</v>
      </c>
      <c r="BV17">
        <v>1736</v>
      </c>
      <c r="BW17">
        <v>6470</v>
      </c>
      <c r="BX17">
        <v>1749</v>
      </c>
      <c r="BY17">
        <v>6384</v>
      </c>
      <c r="BZ17">
        <v>1719</v>
      </c>
      <c r="CB17">
        <v>731.64</v>
      </c>
      <c r="CC17">
        <v>110</v>
      </c>
      <c r="CD17">
        <v>46</v>
      </c>
      <c r="CE17">
        <v>6092.84</v>
      </c>
      <c r="CF17">
        <v>1658.5</v>
      </c>
      <c r="CG17">
        <v>370.34060995113299</v>
      </c>
      <c r="CH17">
        <v>315</v>
      </c>
      <c r="CI17">
        <v>176</v>
      </c>
      <c r="CJ17">
        <v>158.666666666667</v>
      </c>
      <c r="CK17" s="81">
        <v>1535</v>
      </c>
      <c r="CL17">
        <v>495</v>
      </c>
      <c r="CM17">
        <v>4494.1494740600601</v>
      </c>
      <c r="CN17">
        <v>1.9850000000000001</v>
      </c>
      <c r="CO17">
        <v>22394</v>
      </c>
      <c r="CP17">
        <v>3291</v>
      </c>
      <c r="CQ17">
        <v>530</v>
      </c>
      <c r="CR17">
        <v>678</v>
      </c>
      <c r="CS17">
        <v>595</v>
      </c>
      <c r="CT17">
        <v>279</v>
      </c>
      <c r="CU17">
        <v>503.19756097560997</v>
      </c>
      <c r="CV17">
        <v>284.152927650489</v>
      </c>
      <c r="CW17">
        <v>90.5223125564589</v>
      </c>
      <c r="CX17">
        <v>1310.6016</v>
      </c>
      <c r="CY17">
        <v>740.08960000000002</v>
      </c>
      <c r="CZ17">
        <v>235.7696</v>
      </c>
      <c r="DA17">
        <v>0</v>
      </c>
      <c r="DE17">
        <v>47</v>
      </c>
      <c r="DF17" t="s">
        <v>310</v>
      </c>
      <c r="DG17">
        <v>5669</v>
      </c>
      <c r="DH17">
        <v>5667</v>
      </c>
      <c r="DI17">
        <v>5635</v>
      </c>
      <c r="DJ17">
        <v>5633</v>
      </c>
      <c r="DK17">
        <v>5625</v>
      </c>
      <c r="DO17">
        <v>1895</v>
      </c>
      <c r="DP17" t="s">
        <v>227</v>
      </c>
      <c r="DQ17">
        <v>18510</v>
      </c>
      <c r="DR17">
        <v>1.04</v>
      </c>
      <c r="DS17">
        <v>828</v>
      </c>
      <c r="DV17">
        <v>60</v>
      </c>
      <c r="DW17" t="s">
        <v>23</v>
      </c>
      <c r="DX17">
        <v>524.59793814432999</v>
      </c>
      <c r="DY17">
        <v>124</v>
      </c>
      <c r="DZ17">
        <v>75</v>
      </c>
      <c r="EA17">
        <v>36</v>
      </c>
      <c r="EB17">
        <v>331</v>
      </c>
      <c r="EC17">
        <v>170</v>
      </c>
      <c r="ED17">
        <v>53</v>
      </c>
      <c r="EE17" s="82">
        <v>4.5924322154194702E-2</v>
      </c>
      <c r="EF17" s="82">
        <v>0.56806421796627604</v>
      </c>
    </row>
    <row r="18" spans="1:136" x14ac:dyDescent="0.35">
      <c r="A18" s="72">
        <v>60</v>
      </c>
      <c r="B18" s="72">
        <v>2</v>
      </c>
      <c r="D18" s="72" t="s">
        <v>23</v>
      </c>
      <c r="E18" s="79">
        <v>738000000</v>
      </c>
      <c r="F18" s="79">
        <v>119700000</v>
      </c>
      <c r="G18" s="79">
        <v>129850000</v>
      </c>
      <c r="H18" s="79">
        <v>3673</v>
      </c>
      <c r="I18" s="79">
        <v>3</v>
      </c>
      <c r="J18" s="79">
        <v>129.85</v>
      </c>
      <c r="K18" s="79">
        <v>702</v>
      </c>
      <c r="L18" s="79">
        <v>828</v>
      </c>
      <c r="M18" s="79">
        <v>254</v>
      </c>
      <c r="N18" s="79">
        <v>534</v>
      </c>
      <c r="O18" s="79">
        <v>171.7</v>
      </c>
      <c r="P18" s="79">
        <v>11.6666666666667</v>
      </c>
      <c r="Q18" s="79">
        <v>120.666666666667</v>
      </c>
      <c r="R18" s="79">
        <v>0</v>
      </c>
      <c r="S18" s="79">
        <v>0</v>
      </c>
      <c r="T18" s="79">
        <v>78</v>
      </c>
      <c r="U18" s="79">
        <v>1744</v>
      </c>
      <c r="V18" s="79">
        <v>3530</v>
      </c>
      <c r="W18" s="79">
        <v>230</v>
      </c>
      <c r="X18" s="79">
        <v>0</v>
      </c>
      <c r="Y18" s="79">
        <v>132</v>
      </c>
      <c r="Z18" s="79">
        <v>0</v>
      </c>
      <c r="AA18" s="79">
        <v>0</v>
      </c>
      <c r="AB18" s="79">
        <v>0</v>
      </c>
      <c r="AC18" s="79">
        <v>5908</v>
      </c>
      <c r="AD18" s="79">
        <v>5908</v>
      </c>
      <c r="AE18" s="79">
        <v>78</v>
      </c>
      <c r="AF18" s="79">
        <v>10000</v>
      </c>
      <c r="AG18" s="79">
        <v>56</v>
      </c>
      <c r="AH18" s="79">
        <v>46</v>
      </c>
      <c r="AI18" s="79">
        <v>10</v>
      </c>
      <c r="AJ18" s="79">
        <v>3623</v>
      </c>
      <c r="AK18" s="79">
        <v>3623</v>
      </c>
      <c r="AL18" s="79">
        <v>0</v>
      </c>
      <c r="AM18" s="79">
        <v>0</v>
      </c>
      <c r="AN18" s="79">
        <v>0</v>
      </c>
      <c r="AO18" s="79">
        <v>0</v>
      </c>
      <c r="AP18" s="79">
        <v>0</v>
      </c>
      <c r="AQ18" s="79">
        <v>0</v>
      </c>
      <c r="AR18" s="80">
        <v>2.41883E-4</v>
      </c>
      <c r="AS18" s="80">
        <v>2.4516999999999999E-5</v>
      </c>
      <c r="AT18" s="79">
        <v>916.61900000000003</v>
      </c>
      <c r="AU18" s="79">
        <v>0</v>
      </c>
      <c r="AV18" s="79">
        <v>1002</v>
      </c>
      <c r="AW18" s="79">
        <v>614.82559305045095</v>
      </c>
      <c r="AX18" s="79">
        <v>4</v>
      </c>
      <c r="AY18" s="79">
        <v>4</v>
      </c>
      <c r="AZ18" s="79">
        <v>590</v>
      </c>
      <c r="BA18" s="79">
        <v>1</v>
      </c>
      <c r="BB18" s="79">
        <v>0</v>
      </c>
      <c r="BC18" s="79">
        <v>0</v>
      </c>
      <c r="BD18" s="79">
        <v>0</v>
      </c>
      <c r="BE18" s="79">
        <v>0</v>
      </c>
      <c r="BF18" s="79">
        <v>0</v>
      </c>
      <c r="BG18" s="79">
        <v>1</v>
      </c>
      <c r="BH18" s="79">
        <v>2500</v>
      </c>
      <c r="BI18" s="79">
        <v>1173</v>
      </c>
      <c r="BJ18" s="79">
        <v>0</v>
      </c>
      <c r="BK18" s="79">
        <v>3</v>
      </c>
      <c r="BL18" s="79">
        <v>665</v>
      </c>
      <c r="BM18" s="79">
        <v>46</v>
      </c>
      <c r="BN18" s="79">
        <v>10</v>
      </c>
      <c r="BO18">
        <v>778</v>
      </c>
      <c r="BP18">
        <v>167</v>
      </c>
      <c r="BQ18">
        <v>796</v>
      </c>
      <c r="BR18">
        <v>161</v>
      </c>
      <c r="BS18">
        <v>787</v>
      </c>
      <c r="BT18">
        <v>173</v>
      </c>
      <c r="BU18">
        <v>786</v>
      </c>
      <c r="BV18">
        <v>174</v>
      </c>
      <c r="BW18">
        <v>781</v>
      </c>
      <c r="BX18">
        <v>177</v>
      </c>
      <c r="BY18">
        <v>785</v>
      </c>
      <c r="BZ18">
        <v>180</v>
      </c>
      <c r="CB18">
        <v>54.054000000000002</v>
      </c>
      <c r="CC18">
        <v>0</v>
      </c>
      <c r="CD18">
        <v>3</v>
      </c>
      <c r="CE18">
        <v>975.84</v>
      </c>
      <c r="CF18">
        <v>207.2</v>
      </c>
      <c r="CG18">
        <v>30.7316842105263</v>
      </c>
      <c r="CH18">
        <v>17</v>
      </c>
      <c r="CI18">
        <v>3.6666666666666701</v>
      </c>
      <c r="CJ18">
        <v>2.3333333333333299</v>
      </c>
      <c r="CK18" s="81">
        <v>109</v>
      </c>
      <c r="CL18">
        <v>24</v>
      </c>
      <c r="CM18">
        <v>466.55542509000298</v>
      </c>
      <c r="CN18">
        <v>1.7999999999999999E-2</v>
      </c>
      <c r="CO18">
        <v>2845</v>
      </c>
      <c r="CP18">
        <v>503</v>
      </c>
      <c r="CQ18">
        <v>71</v>
      </c>
      <c r="CR18">
        <v>118</v>
      </c>
      <c r="CS18">
        <v>86</v>
      </c>
      <c r="CT18">
        <v>35</v>
      </c>
      <c r="CU18">
        <v>15.1179409329285</v>
      </c>
      <c r="CV18">
        <v>8.7674579078112096</v>
      </c>
      <c r="CW18">
        <v>2.36958321832735</v>
      </c>
      <c r="CX18">
        <v>181.19200000000001</v>
      </c>
      <c r="CY18">
        <v>105.08</v>
      </c>
      <c r="CZ18">
        <v>28.4</v>
      </c>
      <c r="DA18">
        <v>1985</v>
      </c>
      <c r="DE18">
        <v>50</v>
      </c>
      <c r="DF18" t="s">
        <v>355</v>
      </c>
      <c r="DG18">
        <v>6128</v>
      </c>
      <c r="DH18">
        <v>6064</v>
      </c>
      <c r="DI18">
        <v>6025</v>
      </c>
      <c r="DJ18">
        <v>5961</v>
      </c>
      <c r="DK18">
        <v>5839</v>
      </c>
      <c r="DO18">
        <v>765</v>
      </c>
      <c r="DP18" t="s">
        <v>245</v>
      </c>
      <c r="DQ18">
        <v>5768</v>
      </c>
      <c r="DR18">
        <v>1</v>
      </c>
      <c r="DS18">
        <v>532</v>
      </c>
      <c r="DV18">
        <v>307</v>
      </c>
      <c r="DW18" t="s">
        <v>24</v>
      </c>
      <c r="DX18">
        <v>18925.0085648321</v>
      </c>
      <c r="DY18">
        <v>3473</v>
      </c>
      <c r="DZ18">
        <v>2580</v>
      </c>
      <c r="EA18">
        <v>1485</v>
      </c>
      <c r="EB18">
        <v>8624</v>
      </c>
      <c r="EC18">
        <v>4682</v>
      </c>
      <c r="ED18">
        <v>1966</v>
      </c>
      <c r="EE18" s="82">
        <v>0.18184443928741501</v>
      </c>
      <c r="EF18" s="82">
        <v>0.39349657055146697</v>
      </c>
    </row>
    <row r="19" spans="1:136" x14ac:dyDescent="0.35">
      <c r="A19" s="72">
        <v>1891</v>
      </c>
      <c r="B19" s="72">
        <v>2</v>
      </c>
      <c r="D19" s="72" t="s">
        <v>75</v>
      </c>
      <c r="E19" s="79">
        <v>1128800000</v>
      </c>
      <c r="F19" s="79">
        <v>145950000</v>
      </c>
      <c r="G19" s="79">
        <v>170800000</v>
      </c>
      <c r="H19" s="79">
        <v>18923</v>
      </c>
      <c r="I19" s="79">
        <v>3</v>
      </c>
      <c r="J19" s="79">
        <v>170.8</v>
      </c>
      <c r="K19" s="79">
        <v>3878</v>
      </c>
      <c r="L19" s="79">
        <v>4127</v>
      </c>
      <c r="M19" s="79">
        <v>1319</v>
      </c>
      <c r="N19" s="79">
        <v>2810</v>
      </c>
      <c r="O19" s="79">
        <v>1978.4</v>
      </c>
      <c r="P19" s="79">
        <v>500.33333333333297</v>
      </c>
      <c r="Q19" s="79">
        <v>1541.3333333333301</v>
      </c>
      <c r="R19" s="79">
        <v>205</v>
      </c>
      <c r="S19" s="79">
        <v>0</v>
      </c>
      <c r="T19" s="79">
        <v>417</v>
      </c>
      <c r="U19" s="79">
        <v>8138</v>
      </c>
      <c r="V19" s="79">
        <v>18360</v>
      </c>
      <c r="W19" s="79">
        <v>5800</v>
      </c>
      <c r="X19" s="79">
        <v>736.98</v>
      </c>
      <c r="Y19" s="79">
        <v>230.4</v>
      </c>
      <c r="Z19" s="79">
        <v>0</v>
      </c>
      <c r="AA19" s="79">
        <v>0</v>
      </c>
      <c r="AB19" s="79">
        <v>0</v>
      </c>
      <c r="AC19" s="79">
        <v>8456</v>
      </c>
      <c r="AD19" s="79">
        <v>8456</v>
      </c>
      <c r="AE19" s="79">
        <v>297</v>
      </c>
      <c r="AF19" s="79">
        <v>0</v>
      </c>
      <c r="AG19" s="79">
        <v>160</v>
      </c>
      <c r="AH19" s="79">
        <v>113</v>
      </c>
      <c r="AI19" s="79">
        <v>47</v>
      </c>
      <c r="AJ19" s="79">
        <v>8316</v>
      </c>
      <c r="AK19" s="79">
        <v>8316</v>
      </c>
      <c r="AL19" s="79">
        <v>0</v>
      </c>
      <c r="AM19" s="79">
        <v>0</v>
      </c>
      <c r="AN19" s="79">
        <v>0</v>
      </c>
      <c r="AO19" s="79">
        <v>0</v>
      </c>
      <c r="AP19" s="79">
        <v>573</v>
      </c>
      <c r="AQ19" s="79">
        <v>0</v>
      </c>
      <c r="AR19" s="80">
        <v>6.2478900000000005E-4</v>
      </c>
      <c r="AS19" s="80">
        <v>1.8494799999999999E-4</v>
      </c>
      <c r="AT19" s="79">
        <v>3733.884</v>
      </c>
      <c r="AU19" s="79">
        <v>0</v>
      </c>
      <c r="AV19" s="79">
        <v>2534</v>
      </c>
      <c r="AW19" s="79">
        <v>5478.22255226779</v>
      </c>
      <c r="AX19" s="79">
        <v>9</v>
      </c>
      <c r="AY19" s="79">
        <v>9</v>
      </c>
      <c r="AZ19" s="79">
        <v>1623</v>
      </c>
      <c r="BA19" s="79">
        <v>1</v>
      </c>
      <c r="BB19" s="79">
        <v>0</v>
      </c>
      <c r="BC19" s="79">
        <v>0</v>
      </c>
      <c r="BD19" s="79">
        <v>0</v>
      </c>
      <c r="BE19" s="79">
        <v>0</v>
      </c>
      <c r="BF19" s="79">
        <v>0</v>
      </c>
      <c r="BG19" s="79">
        <v>0</v>
      </c>
      <c r="BH19" s="79">
        <v>0</v>
      </c>
      <c r="BI19" s="79">
        <v>0</v>
      </c>
      <c r="BJ19" s="79">
        <v>0</v>
      </c>
      <c r="BK19" s="79">
        <v>48</v>
      </c>
      <c r="BL19" s="79">
        <v>2274</v>
      </c>
      <c r="BM19" s="79">
        <v>113</v>
      </c>
      <c r="BN19" s="79">
        <v>47</v>
      </c>
      <c r="BO19">
        <v>4457</v>
      </c>
      <c r="BP19">
        <v>422</v>
      </c>
      <c r="BQ19">
        <v>4381</v>
      </c>
      <c r="BR19">
        <v>415</v>
      </c>
      <c r="BS19">
        <v>4280</v>
      </c>
      <c r="BT19">
        <v>399</v>
      </c>
      <c r="BU19">
        <v>4254</v>
      </c>
      <c r="BV19">
        <v>413</v>
      </c>
      <c r="BW19">
        <v>4150</v>
      </c>
      <c r="BX19">
        <v>422</v>
      </c>
      <c r="BY19">
        <v>4109</v>
      </c>
      <c r="BZ19">
        <v>431</v>
      </c>
      <c r="CB19">
        <v>442.09199999999998</v>
      </c>
      <c r="CC19">
        <v>58</v>
      </c>
      <c r="CD19">
        <v>51</v>
      </c>
      <c r="CE19">
        <v>4188.24</v>
      </c>
      <c r="CF19">
        <v>1077.44</v>
      </c>
      <c r="CG19">
        <v>179.16982347041099</v>
      </c>
      <c r="CH19">
        <v>160</v>
      </c>
      <c r="CI19">
        <v>113.666666666667</v>
      </c>
      <c r="CJ19">
        <v>106</v>
      </c>
      <c r="CK19" s="81">
        <v>1041</v>
      </c>
      <c r="CL19">
        <v>355</v>
      </c>
      <c r="CM19">
        <v>3355.8843334209801</v>
      </c>
      <c r="CN19">
        <v>1.5009999999999999</v>
      </c>
      <c r="CO19">
        <v>14796</v>
      </c>
      <c r="CP19">
        <v>2384</v>
      </c>
      <c r="CQ19">
        <v>424</v>
      </c>
      <c r="CR19">
        <v>453</v>
      </c>
      <c r="CS19">
        <v>443</v>
      </c>
      <c r="CT19">
        <v>194</v>
      </c>
      <c r="CU19">
        <v>347.57604617604602</v>
      </c>
      <c r="CV19">
        <v>220.535930735931</v>
      </c>
      <c r="CW19">
        <v>61.854737854737898</v>
      </c>
      <c r="CX19">
        <v>889.60289999999998</v>
      </c>
      <c r="CY19">
        <v>564.45029999999997</v>
      </c>
      <c r="CZ19">
        <v>158.31399999999999</v>
      </c>
      <c r="DA19">
        <v>25575</v>
      </c>
      <c r="DE19">
        <v>53</v>
      </c>
      <c r="DF19" t="s">
        <v>802</v>
      </c>
      <c r="DG19">
        <v>3389</v>
      </c>
      <c r="DH19">
        <v>3352</v>
      </c>
      <c r="DI19">
        <v>3310</v>
      </c>
      <c r="DJ19">
        <v>3258</v>
      </c>
      <c r="DK19">
        <v>3182</v>
      </c>
      <c r="DO19">
        <v>37</v>
      </c>
      <c r="DP19" t="s">
        <v>282</v>
      </c>
      <c r="DQ19">
        <v>15501</v>
      </c>
      <c r="DR19">
        <v>1</v>
      </c>
      <c r="DS19">
        <v>839</v>
      </c>
      <c r="DV19">
        <v>362</v>
      </c>
      <c r="DW19" t="s">
        <v>25</v>
      </c>
      <c r="DX19">
        <v>10449.5718729535</v>
      </c>
      <c r="DY19">
        <v>2580</v>
      </c>
      <c r="DZ19">
        <v>2298</v>
      </c>
      <c r="EA19">
        <v>1562</v>
      </c>
      <c r="EB19">
        <v>5879</v>
      </c>
      <c r="EC19">
        <v>4070</v>
      </c>
      <c r="ED19">
        <v>2100</v>
      </c>
      <c r="EE19" s="82">
        <v>0.145820223316321</v>
      </c>
      <c r="EF19" s="82">
        <v>0.30454739891698501</v>
      </c>
    </row>
    <row r="20" spans="1:136" x14ac:dyDescent="0.35">
      <c r="A20" s="72">
        <v>1940</v>
      </c>
      <c r="B20" s="72">
        <v>2</v>
      </c>
      <c r="D20" s="72" t="s">
        <v>77</v>
      </c>
      <c r="E20" s="79">
        <v>4223600000</v>
      </c>
      <c r="F20" s="79">
        <v>626150000</v>
      </c>
      <c r="G20" s="79">
        <v>726600000</v>
      </c>
      <c r="H20" s="79">
        <v>51430</v>
      </c>
      <c r="I20" s="79">
        <v>11</v>
      </c>
      <c r="J20" s="79">
        <v>726.6</v>
      </c>
      <c r="K20" s="79">
        <v>10323</v>
      </c>
      <c r="L20" s="79">
        <v>11722</v>
      </c>
      <c r="M20" s="79">
        <v>3612</v>
      </c>
      <c r="N20" s="79">
        <v>6713</v>
      </c>
      <c r="O20" s="79">
        <v>4221.8999999999996</v>
      </c>
      <c r="P20" s="79">
        <v>962</v>
      </c>
      <c r="Q20" s="79">
        <v>2751</v>
      </c>
      <c r="R20" s="79">
        <v>875</v>
      </c>
      <c r="S20" s="79">
        <v>0</v>
      </c>
      <c r="T20" s="79">
        <v>1257</v>
      </c>
      <c r="U20" s="79">
        <v>22782</v>
      </c>
      <c r="V20" s="79">
        <v>48370</v>
      </c>
      <c r="W20" s="79">
        <v>27490</v>
      </c>
      <c r="X20" s="79">
        <v>0</v>
      </c>
      <c r="Y20" s="79">
        <v>1099.2</v>
      </c>
      <c r="Z20" s="79">
        <v>0</v>
      </c>
      <c r="AA20" s="79">
        <v>0</v>
      </c>
      <c r="AB20" s="79">
        <v>0</v>
      </c>
      <c r="AC20" s="79">
        <v>35120</v>
      </c>
      <c r="AD20" s="79">
        <v>35120</v>
      </c>
      <c r="AE20" s="79">
        <v>6696</v>
      </c>
      <c r="AF20" s="79">
        <v>10000</v>
      </c>
      <c r="AG20" s="79">
        <v>542</v>
      </c>
      <c r="AH20" s="79">
        <v>334</v>
      </c>
      <c r="AI20" s="79">
        <v>208</v>
      </c>
      <c r="AJ20" s="79">
        <v>24911</v>
      </c>
      <c r="AK20" s="79">
        <v>24911</v>
      </c>
      <c r="AL20" s="79">
        <v>5</v>
      </c>
      <c r="AM20" s="79">
        <v>0</v>
      </c>
      <c r="AN20" s="79">
        <v>0</v>
      </c>
      <c r="AO20" s="79">
        <v>1450</v>
      </c>
      <c r="AP20" s="79">
        <v>1818</v>
      </c>
      <c r="AQ20" s="79">
        <v>0</v>
      </c>
      <c r="AR20" s="80">
        <v>1.7896570000000001E-3</v>
      </c>
      <c r="AS20" s="80">
        <v>5.3733600000000002E-4</v>
      </c>
      <c r="AT20" s="79">
        <v>13775.782999999999</v>
      </c>
      <c r="AU20" s="79">
        <v>0</v>
      </c>
      <c r="AV20" s="79">
        <v>14011</v>
      </c>
      <c r="AW20" s="79">
        <v>17232.296967667899</v>
      </c>
      <c r="AX20" s="79">
        <v>43</v>
      </c>
      <c r="AY20" s="79">
        <v>43</v>
      </c>
      <c r="AZ20" s="79">
        <v>6553</v>
      </c>
      <c r="BA20" s="79">
        <v>1</v>
      </c>
      <c r="BB20" s="79">
        <v>0</v>
      </c>
      <c r="BC20" s="79">
        <v>0</v>
      </c>
      <c r="BD20" s="79">
        <v>0</v>
      </c>
      <c r="BE20" s="79">
        <v>0</v>
      </c>
      <c r="BF20" s="79">
        <v>0</v>
      </c>
      <c r="BG20" s="79">
        <v>0</v>
      </c>
      <c r="BH20" s="79">
        <v>0</v>
      </c>
      <c r="BI20" s="79">
        <v>0</v>
      </c>
      <c r="BJ20" s="79">
        <v>0</v>
      </c>
      <c r="BK20" s="79">
        <v>29</v>
      </c>
      <c r="BL20" s="79">
        <v>6929</v>
      </c>
      <c r="BM20" s="79">
        <v>334</v>
      </c>
      <c r="BN20" s="79">
        <v>208</v>
      </c>
      <c r="BO20">
        <v>12078</v>
      </c>
      <c r="BP20">
        <v>1396</v>
      </c>
      <c r="BQ20">
        <v>12011.35</v>
      </c>
      <c r="BR20">
        <v>1461</v>
      </c>
      <c r="BS20">
        <v>11869.1</v>
      </c>
      <c r="BT20">
        <v>1561</v>
      </c>
      <c r="BU20">
        <v>11797.7</v>
      </c>
      <c r="BV20">
        <v>1552</v>
      </c>
      <c r="BW20">
        <v>11642.25</v>
      </c>
      <c r="BX20">
        <v>1467</v>
      </c>
      <c r="BY20">
        <v>11300</v>
      </c>
      <c r="BZ20">
        <v>1477</v>
      </c>
      <c r="CB20">
        <v>908.42399999999998</v>
      </c>
      <c r="CC20">
        <v>125</v>
      </c>
      <c r="CD20">
        <v>106</v>
      </c>
      <c r="CE20">
        <v>14187.52</v>
      </c>
      <c r="CF20">
        <v>3458.7</v>
      </c>
      <c r="CG20">
        <v>344.03190104773</v>
      </c>
      <c r="CH20">
        <v>484</v>
      </c>
      <c r="CI20">
        <v>259.33333333333297</v>
      </c>
      <c r="CJ20">
        <v>222</v>
      </c>
      <c r="CK20" s="81">
        <v>1789</v>
      </c>
      <c r="CL20">
        <v>583</v>
      </c>
      <c r="CM20">
        <v>7019.7209792255899</v>
      </c>
      <c r="CN20">
        <v>1.8009999999999999</v>
      </c>
      <c r="CO20">
        <v>39708</v>
      </c>
      <c r="CP20">
        <v>6817</v>
      </c>
      <c r="CQ20">
        <v>1293</v>
      </c>
      <c r="CR20">
        <v>1239</v>
      </c>
      <c r="CS20">
        <v>1160</v>
      </c>
      <c r="CT20">
        <v>663</v>
      </c>
      <c r="CU20">
        <v>710.79637910963004</v>
      </c>
      <c r="CV20">
        <v>423.52888683714002</v>
      </c>
      <c r="CW20">
        <v>152.87037051904801</v>
      </c>
      <c r="CX20">
        <v>2020.2498000000001</v>
      </c>
      <c r="CY20">
        <v>1203.7683</v>
      </c>
      <c r="CZ20">
        <v>434.49340000000001</v>
      </c>
      <c r="DA20">
        <v>38648</v>
      </c>
      <c r="DE20">
        <v>56</v>
      </c>
      <c r="DF20" t="s">
        <v>803</v>
      </c>
      <c r="DG20">
        <v>4788</v>
      </c>
      <c r="DH20">
        <v>4730</v>
      </c>
      <c r="DI20">
        <v>4725</v>
      </c>
      <c r="DJ20">
        <v>4705</v>
      </c>
      <c r="DK20">
        <v>4670</v>
      </c>
      <c r="DO20">
        <v>9</v>
      </c>
      <c r="DP20" t="s">
        <v>801</v>
      </c>
      <c r="DQ20">
        <v>3152</v>
      </c>
      <c r="DR20">
        <v>1.24</v>
      </c>
      <c r="DS20">
        <v>372</v>
      </c>
      <c r="DV20">
        <v>363</v>
      </c>
      <c r="DW20" t="s">
        <v>26</v>
      </c>
      <c r="DX20">
        <v>153870.44983983299</v>
      </c>
      <c r="DY20">
        <v>29061</v>
      </c>
      <c r="DZ20">
        <v>14888</v>
      </c>
      <c r="EA20">
        <v>6708</v>
      </c>
      <c r="EB20">
        <v>49122</v>
      </c>
      <c r="EC20">
        <v>23536</v>
      </c>
      <c r="ED20">
        <v>8673</v>
      </c>
      <c r="EE20" s="82">
        <v>0.24682534100860701</v>
      </c>
      <c r="EF20" s="82">
        <v>0.45316433785906901</v>
      </c>
    </row>
    <row r="21" spans="1:136" x14ac:dyDescent="0.35">
      <c r="A21" s="72">
        <v>72</v>
      </c>
      <c r="B21" s="72">
        <v>2</v>
      </c>
      <c r="D21" s="72" t="s">
        <v>132</v>
      </c>
      <c r="E21" s="79">
        <v>986400000</v>
      </c>
      <c r="F21" s="79">
        <v>258300000</v>
      </c>
      <c r="G21" s="79">
        <v>280000000</v>
      </c>
      <c r="H21" s="79">
        <v>15758</v>
      </c>
      <c r="I21" s="79">
        <v>1</v>
      </c>
      <c r="J21" s="79">
        <v>280</v>
      </c>
      <c r="K21" s="79">
        <v>3048</v>
      </c>
      <c r="L21" s="79">
        <v>3879</v>
      </c>
      <c r="M21" s="79">
        <v>1257</v>
      </c>
      <c r="N21" s="79">
        <v>2831</v>
      </c>
      <c r="O21" s="79">
        <v>2060.6</v>
      </c>
      <c r="P21" s="79">
        <v>561.66666666666697</v>
      </c>
      <c r="Q21" s="79">
        <v>1262.6666666666699</v>
      </c>
      <c r="R21" s="79">
        <v>355</v>
      </c>
      <c r="S21" s="79">
        <v>0</v>
      </c>
      <c r="T21" s="79">
        <v>575</v>
      </c>
      <c r="U21" s="79">
        <v>7683</v>
      </c>
      <c r="V21" s="79">
        <v>17220</v>
      </c>
      <c r="W21" s="79">
        <v>16680</v>
      </c>
      <c r="X21" s="79">
        <v>0</v>
      </c>
      <c r="Y21" s="79">
        <v>1023.2</v>
      </c>
      <c r="Z21" s="79">
        <v>0</v>
      </c>
      <c r="AA21" s="79">
        <v>0</v>
      </c>
      <c r="AB21" s="79">
        <v>0</v>
      </c>
      <c r="AC21" s="79">
        <v>2495</v>
      </c>
      <c r="AD21" s="79">
        <v>2519.9499999999998</v>
      </c>
      <c r="AE21" s="79">
        <v>168</v>
      </c>
      <c r="AF21" s="79">
        <v>10000</v>
      </c>
      <c r="AG21" s="79">
        <v>119</v>
      </c>
      <c r="AH21" s="79">
        <v>90.9</v>
      </c>
      <c r="AI21" s="79">
        <v>29.29</v>
      </c>
      <c r="AJ21" s="79">
        <v>7704</v>
      </c>
      <c r="AK21" s="79">
        <v>7781.04</v>
      </c>
      <c r="AL21" s="79">
        <v>0</v>
      </c>
      <c r="AM21" s="79">
        <v>45</v>
      </c>
      <c r="AN21" s="79">
        <v>0</v>
      </c>
      <c r="AO21" s="79">
        <v>6000</v>
      </c>
      <c r="AP21" s="79">
        <v>2541</v>
      </c>
      <c r="AQ21" s="79">
        <v>2541</v>
      </c>
      <c r="AR21" s="80">
        <v>1.659235E-3</v>
      </c>
      <c r="AS21" s="80">
        <v>7.3000799999999998E-4</v>
      </c>
      <c r="AT21" s="79">
        <v>8012.16</v>
      </c>
      <c r="AU21" s="79">
        <v>0</v>
      </c>
      <c r="AV21" s="79">
        <v>1273.6099999999999</v>
      </c>
      <c r="AW21" s="79">
        <v>7751.5986706721696</v>
      </c>
      <c r="AX21" s="79">
        <v>2</v>
      </c>
      <c r="AY21" s="79">
        <v>2.02</v>
      </c>
      <c r="AZ21" s="79">
        <v>1676</v>
      </c>
      <c r="BA21" s="79">
        <v>1</v>
      </c>
      <c r="BB21" s="79">
        <v>0</v>
      </c>
      <c r="BC21" s="79">
        <v>0</v>
      </c>
      <c r="BD21" s="79">
        <v>0</v>
      </c>
      <c r="BE21" s="79">
        <v>0</v>
      </c>
      <c r="BF21" s="79">
        <v>0</v>
      </c>
      <c r="BG21" s="79">
        <v>0</v>
      </c>
      <c r="BH21" s="79">
        <v>0</v>
      </c>
      <c r="BI21" s="79">
        <v>0</v>
      </c>
      <c r="BJ21" s="79">
        <v>0</v>
      </c>
      <c r="BK21" s="79">
        <v>17</v>
      </c>
      <c r="BL21" s="79">
        <v>2888</v>
      </c>
      <c r="BM21" s="79">
        <v>90</v>
      </c>
      <c r="BN21" s="79">
        <v>29</v>
      </c>
      <c r="BO21">
        <v>3390</v>
      </c>
      <c r="BP21">
        <v>1487</v>
      </c>
      <c r="BQ21">
        <v>3371</v>
      </c>
      <c r="BR21">
        <v>1521</v>
      </c>
      <c r="BS21">
        <v>3349</v>
      </c>
      <c r="BT21">
        <v>1534</v>
      </c>
      <c r="BU21">
        <v>3306</v>
      </c>
      <c r="BV21">
        <v>1483</v>
      </c>
      <c r="BW21">
        <v>3278</v>
      </c>
      <c r="BX21">
        <v>1462</v>
      </c>
      <c r="BY21">
        <v>3248</v>
      </c>
      <c r="BZ21">
        <v>1425</v>
      </c>
      <c r="CB21">
        <v>466.34399999999999</v>
      </c>
      <c r="CC21">
        <v>46</v>
      </c>
      <c r="CD21">
        <v>25</v>
      </c>
      <c r="CE21">
        <v>4013.82</v>
      </c>
      <c r="CF21">
        <v>842</v>
      </c>
      <c r="CG21">
        <v>134.485006993007</v>
      </c>
      <c r="CH21">
        <v>213</v>
      </c>
      <c r="CI21">
        <v>129.333333333333</v>
      </c>
      <c r="CJ21">
        <v>128</v>
      </c>
      <c r="CK21" s="81">
        <v>701</v>
      </c>
      <c r="CL21">
        <v>199</v>
      </c>
      <c r="CM21">
        <v>2672.1135470815202</v>
      </c>
      <c r="CN21">
        <v>1.5509999999999999</v>
      </c>
      <c r="CO21">
        <v>11879</v>
      </c>
      <c r="CP21">
        <v>2258</v>
      </c>
      <c r="CQ21">
        <v>364</v>
      </c>
      <c r="CR21">
        <v>538</v>
      </c>
      <c r="CS21">
        <v>430</v>
      </c>
      <c r="CT21">
        <v>180</v>
      </c>
      <c r="CU21">
        <v>380.61186396677101</v>
      </c>
      <c r="CV21">
        <v>238.851998961578</v>
      </c>
      <c r="CW21">
        <v>66.332917964693706</v>
      </c>
      <c r="CX21">
        <v>844.12360000000001</v>
      </c>
      <c r="CY21">
        <v>529.72760000000005</v>
      </c>
      <c r="CZ21">
        <v>147.11359999999999</v>
      </c>
      <c r="DA21">
        <v>13230</v>
      </c>
      <c r="DE21">
        <v>58</v>
      </c>
      <c r="DF21" t="s">
        <v>804</v>
      </c>
      <c r="DG21">
        <v>5654</v>
      </c>
      <c r="DH21">
        <v>5519</v>
      </c>
      <c r="DI21">
        <v>5416</v>
      </c>
      <c r="DJ21">
        <v>5398</v>
      </c>
      <c r="DK21">
        <v>5356</v>
      </c>
      <c r="DO21">
        <v>47</v>
      </c>
      <c r="DP21" t="s">
        <v>310</v>
      </c>
      <c r="DQ21">
        <v>12826</v>
      </c>
      <c r="DR21">
        <v>1</v>
      </c>
      <c r="DS21">
        <v>998</v>
      </c>
      <c r="DV21">
        <v>200</v>
      </c>
      <c r="DW21" t="s">
        <v>27</v>
      </c>
      <c r="DX21">
        <v>22694.721288220298</v>
      </c>
      <c r="DY21">
        <v>4122</v>
      </c>
      <c r="DZ21">
        <v>3397</v>
      </c>
      <c r="EA21">
        <v>2022</v>
      </c>
      <c r="EB21">
        <v>11704</v>
      </c>
      <c r="EC21">
        <v>6818</v>
      </c>
      <c r="ED21">
        <v>2743</v>
      </c>
      <c r="EE21" s="82">
        <v>0.19968731893382</v>
      </c>
      <c r="EF21" s="82">
        <v>0.44921487196198601</v>
      </c>
    </row>
    <row r="22" spans="1:136" x14ac:dyDescent="0.35">
      <c r="A22" s="72">
        <v>74</v>
      </c>
      <c r="B22" s="72">
        <v>2</v>
      </c>
      <c r="D22" s="72" t="s">
        <v>137</v>
      </c>
      <c r="E22" s="79">
        <v>3777600000</v>
      </c>
      <c r="F22" s="79">
        <v>749700000</v>
      </c>
      <c r="G22" s="79">
        <v>782600000</v>
      </c>
      <c r="H22" s="79">
        <v>50257</v>
      </c>
      <c r="I22" s="79">
        <v>5</v>
      </c>
      <c r="J22" s="79">
        <v>782.6</v>
      </c>
      <c r="K22" s="79">
        <v>10096</v>
      </c>
      <c r="L22" s="79">
        <v>10798</v>
      </c>
      <c r="M22" s="79">
        <v>3466</v>
      </c>
      <c r="N22" s="79">
        <v>7674</v>
      </c>
      <c r="O22" s="79">
        <v>5294.1</v>
      </c>
      <c r="P22" s="79">
        <v>1432</v>
      </c>
      <c r="Q22" s="79">
        <v>3799</v>
      </c>
      <c r="R22" s="79">
        <v>1790</v>
      </c>
      <c r="S22" s="79">
        <v>0</v>
      </c>
      <c r="T22" s="79">
        <v>1638</v>
      </c>
      <c r="U22" s="79">
        <v>23301</v>
      </c>
      <c r="V22" s="79">
        <v>52730</v>
      </c>
      <c r="W22" s="79">
        <v>53030</v>
      </c>
      <c r="X22" s="79">
        <v>813.84</v>
      </c>
      <c r="Y22" s="79">
        <v>3182.4</v>
      </c>
      <c r="Z22" s="79">
        <v>0</v>
      </c>
      <c r="AA22" s="79">
        <v>0</v>
      </c>
      <c r="AB22" s="79">
        <v>0</v>
      </c>
      <c r="AC22" s="79">
        <v>18988</v>
      </c>
      <c r="AD22" s="79">
        <v>18988</v>
      </c>
      <c r="AE22" s="79">
        <v>829</v>
      </c>
      <c r="AF22" s="79">
        <v>0</v>
      </c>
      <c r="AG22" s="79">
        <v>454</v>
      </c>
      <c r="AH22" s="79">
        <v>300</v>
      </c>
      <c r="AI22" s="79">
        <v>154</v>
      </c>
      <c r="AJ22" s="79">
        <v>23799</v>
      </c>
      <c r="AK22" s="79">
        <v>23799</v>
      </c>
      <c r="AL22" s="79">
        <v>9</v>
      </c>
      <c r="AM22" s="79">
        <v>0</v>
      </c>
      <c r="AN22" s="79">
        <v>0</v>
      </c>
      <c r="AO22" s="79">
        <v>2300</v>
      </c>
      <c r="AP22" s="79">
        <v>2234</v>
      </c>
      <c r="AQ22" s="79">
        <v>1600</v>
      </c>
      <c r="AR22" s="80">
        <v>2.0498500000000002E-3</v>
      </c>
      <c r="AS22" s="80">
        <v>1.6584799999999999E-3</v>
      </c>
      <c r="AT22" s="79">
        <v>25940.91</v>
      </c>
      <c r="AU22" s="79">
        <v>0</v>
      </c>
      <c r="AV22" s="79">
        <v>9415</v>
      </c>
      <c r="AW22" s="79">
        <v>24130.562395922701</v>
      </c>
      <c r="AX22" s="79">
        <v>24</v>
      </c>
      <c r="AY22" s="79">
        <v>24</v>
      </c>
      <c r="AZ22" s="79">
        <v>5609</v>
      </c>
      <c r="BA22" s="79">
        <v>1</v>
      </c>
      <c r="BB22" s="79">
        <v>0</v>
      </c>
      <c r="BC22" s="79">
        <v>0</v>
      </c>
      <c r="BD22" s="79">
        <v>0</v>
      </c>
      <c r="BE22" s="79">
        <v>0</v>
      </c>
      <c r="BF22" s="79">
        <v>0</v>
      </c>
      <c r="BG22" s="79">
        <v>0</v>
      </c>
      <c r="BH22" s="79">
        <v>0</v>
      </c>
      <c r="BI22" s="79">
        <v>0</v>
      </c>
      <c r="BJ22" s="79">
        <v>0</v>
      </c>
      <c r="BK22" s="79">
        <v>57</v>
      </c>
      <c r="BL22" s="79">
        <v>8066</v>
      </c>
      <c r="BM22" s="79">
        <v>300</v>
      </c>
      <c r="BN22" s="79">
        <v>154</v>
      </c>
      <c r="BO22">
        <v>10575</v>
      </c>
      <c r="BP22">
        <v>3801</v>
      </c>
      <c r="BQ22">
        <v>10447.030000000001</v>
      </c>
      <c r="BR22">
        <v>3842</v>
      </c>
      <c r="BS22">
        <v>10427.780000000001</v>
      </c>
      <c r="BT22">
        <v>3798</v>
      </c>
      <c r="BU22">
        <v>10370.26</v>
      </c>
      <c r="BV22">
        <v>3880</v>
      </c>
      <c r="BW22">
        <v>10286.049999999999</v>
      </c>
      <c r="BX22">
        <v>4003</v>
      </c>
      <c r="BY22">
        <v>10488</v>
      </c>
      <c r="BZ22">
        <v>4039</v>
      </c>
      <c r="CB22">
        <v>1080.2719999999999</v>
      </c>
      <c r="CC22">
        <v>119</v>
      </c>
      <c r="CD22">
        <v>109</v>
      </c>
      <c r="CE22">
        <v>14025.64</v>
      </c>
      <c r="CF22">
        <v>3408</v>
      </c>
      <c r="CG22">
        <v>358.77788508170801</v>
      </c>
      <c r="CH22">
        <v>561</v>
      </c>
      <c r="CI22">
        <v>331.33333333333297</v>
      </c>
      <c r="CJ22">
        <v>305</v>
      </c>
      <c r="CK22" s="81">
        <v>2367</v>
      </c>
      <c r="CL22">
        <v>900</v>
      </c>
      <c r="CM22">
        <v>7052.5691071783704</v>
      </c>
      <c r="CN22">
        <v>3.633</v>
      </c>
      <c r="CO22">
        <v>39459</v>
      </c>
      <c r="CP22">
        <v>5991</v>
      </c>
      <c r="CQ22">
        <v>1341</v>
      </c>
      <c r="CR22">
        <v>1310</v>
      </c>
      <c r="CS22">
        <v>1196</v>
      </c>
      <c r="CT22">
        <v>703</v>
      </c>
      <c r="CU22">
        <v>837.97112063532097</v>
      </c>
      <c r="CV22">
        <v>539.44251859321798</v>
      </c>
      <c r="CW22">
        <v>211.55044749779401</v>
      </c>
      <c r="CX22">
        <v>1895.1777</v>
      </c>
      <c r="CY22">
        <v>1220.0174999999999</v>
      </c>
      <c r="CZ22">
        <v>478.44810000000001</v>
      </c>
      <c r="DA22">
        <v>22867</v>
      </c>
      <c r="DE22">
        <v>59</v>
      </c>
      <c r="DF22" t="s">
        <v>14</v>
      </c>
      <c r="DG22">
        <v>6491</v>
      </c>
      <c r="DH22">
        <v>6472</v>
      </c>
      <c r="DI22">
        <v>6501</v>
      </c>
      <c r="DJ22">
        <v>6460</v>
      </c>
      <c r="DK22">
        <v>6470</v>
      </c>
      <c r="DO22">
        <v>1950</v>
      </c>
      <c r="DP22" t="s">
        <v>339</v>
      </c>
      <c r="DQ22">
        <v>12400</v>
      </c>
      <c r="DR22">
        <v>1</v>
      </c>
      <c r="DS22">
        <v>286</v>
      </c>
      <c r="DV22">
        <v>3</v>
      </c>
      <c r="DW22" t="s">
        <v>28</v>
      </c>
      <c r="DX22">
        <v>2184.3428571428599</v>
      </c>
      <c r="DY22">
        <v>333</v>
      </c>
      <c r="DZ22">
        <v>339</v>
      </c>
      <c r="EA22">
        <v>165</v>
      </c>
      <c r="EB22">
        <v>965</v>
      </c>
      <c r="EC22">
        <v>663</v>
      </c>
      <c r="ED22">
        <v>236</v>
      </c>
      <c r="EE22" s="82">
        <v>0.26063114696101303</v>
      </c>
      <c r="EF22" s="82">
        <v>0.58811918151723996</v>
      </c>
    </row>
    <row r="23" spans="1:136" x14ac:dyDescent="0.35">
      <c r="A23" s="72">
        <v>80</v>
      </c>
      <c r="B23" s="72">
        <v>2</v>
      </c>
      <c r="D23" s="72" t="s">
        <v>178</v>
      </c>
      <c r="E23" s="79">
        <v>7594800000</v>
      </c>
      <c r="F23" s="79">
        <v>1793050000</v>
      </c>
      <c r="G23" s="79">
        <v>1855350000</v>
      </c>
      <c r="H23" s="79">
        <v>123107</v>
      </c>
      <c r="I23" s="79">
        <v>5</v>
      </c>
      <c r="J23" s="79">
        <v>1855.35</v>
      </c>
      <c r="K23" s="79">
        <v>22732</v>
      </c>
      <c r="L23" s="79">
        <v>22614</v>
      </c>
      <c r="M23" s="79">
        <v>6890</v>
      </c>
      <c r="N23" s="79">
        <v>21452</v>
      </c>
      <c r="O23" s="79">
        <v>15094.8</v>
      </c>
      <c r="P23" s="79">
        <v>6293.6666666666697</v>
      </c>
      <c r="Q23" s="79">
        <v>11997.666666666701</v>
      </c>
      <c r="R23" s="79">
        <v>5585</v>
      </c>
      <c r="S23" s="79">
        <v>0</v>
      </c>
      <c r="T23" s="79">
        <v>4648</v>
      </c>
      <c r="U23" s="79">
        <v>64257</v>
      </c>
      <c r="V23" s="79">
        <v>135440</v>
      </c>
      <c r="W23" s="79">
        <v>211110</v>
      </c>
      <c r="X23" s="79">
        <v>3599.02</v>
      </c>
      <c r="Y23" s="79">
        <v>5723.2</v>
      </c>
      <c r="Z23" s="79">
        <v>0</v>
      </c>
      <c r="AA23" s="79">
        <v>0</v>
      </c>
      <c r="AB23" s="79">
        <v>0</v>
      </c>
      <c r="AC23" s="79">
        <v>23820</v>
      </c>
      <c r="AD23" s="79">
        <v>25963.8</v>
      </c>
      <c r="AE23" s="79">
        <v>1742</v>
      </c>
      <c r="AF23" s="79">
        <v>0</v>
      </c>
      <c r="AG23" s="79">
        <v>789</v>
      </c>
      <c r="AH23" s="79">
        <v>764.94</v>
      </c>
      <c r="AI23" s="79">
        <v>127.44</v>
      </c>
      <c r="AJ23" s="79">
        <v>63572</v>
      </c>
      <c r="AK23" s="79">
        <v>72472.08</v>
      </c>
      <c r="AL23" s="79">
        <v>0</v>
      </c>
      <c r="AM23" s="79">
        <v>44</v>
      </c>
      <c r="AN23" s="79">
        <v>0</v>
      </c>
      <c r="AO23" s="79">
        <v>7250</v>
      </c>
      <c r="AP23" s="79">
        <v>15191</v>
      </c>
      <c r="AQ23" s="79">
        <v>12319</v>
      </c>
      <c r="AR23" s="80">
        <v>1.8086992E-2</v>
      </c>
      <c r="AS23" s="80">
        <v>2.1799709E-2</v>
      </c>
      <c r="AT23" s="79">
        <v>132356.90400000001</v>
      </c>
      <c r="AU23" s="79">
        <v>0</v>
      </c>
      <c r="AV23" s="79">
        <v>12508.84</v>
      </c>
      <c r="AW23" s="79">
        <v>72505.505577028394</v>
      </c>
      <c r="AX23" s="79">
        <v>23</v>
      </c>
      <c r="AY23" s="79">
        <v>24.84</v>
      </c>
      <c r="AZ23" s="79">
        <v>12191</v>
      </c>
      <c r="BA23" s="79">
        <v>1</v>
      </c>
      <c r="BB23" s="79">
        <v>0</v>
      </c>
      <c r="BC23" s="79">
        <v>0</v>
      </c>
      <c r="BD23" s="79">
        <v>0</v>
      </c>
      <c r="BE23" s="79">
        <v>0</v>
      </c>
      <c r="BF23" s="79">
        <v>0</v>
      </c>
      <c r="BG23" s="79">
        <v>0</v>
      </c>
      <c r="BH23" s="79">
        <v>0</v>
      </c>
      <c r="BI23" s="79">
        <v>0</v>
      </c>
      <c r="BJ23" s="79">
        <v>0</v>
      </c>
      <c r="BK23" s="79">
        <v>91</v>
      </c>
      <c r="BL23" s="79">
        <v>28902</v>
      </c>
      <c r="BM23" s="79">
        <v>671</v>
      </c>
      <c r="BN23" s="79">
        <v>118</v>
      </c>
      <c r="BO23">
        <v>23521</v>
      </c>
      <c r="BP23">
        <v>7076</v>
      </c>
      <c r="BQ23">
        <v>23398.41</v>
      </c>
      <c r="BR23">
        <v>7018</v>
      </c>
      <c r="BS23">
        <v>23381.66</v>
      </c>
      <c r="BT23">
        <v>6928</v>
      </c>
      <c r="BU23">
        <v>23221.38</v>
      </c>
      <c r="BV23">
        <v>6813</v>
      </c>
      <c r="BW23">
        <v>23265.47</v>
      </c>
      <c r="BX23">
        <v>6812</v>
      </c>
      <c r="BY23">
        <v>23109.24</v>
      </c>
      <c r="BZ23">
        <v>6788</v>
      </c>
      <c r="CB23">
        <v>3750.78</v>
      </c>
      <c r="CC23">
        <v>189</v>
      </c>
      <c r="CD23">
        <v>182</v>
      </c>
      <c r="CE23">
        <v>32453.72</v>
      </c>
      <c r="CF23">
        <v>7062.55</v>
      </c>
      <c r="CG23">
        <v>1323.2767845767</v>
      </c>
      <c r="CH23">
        <v>1620</v>
      </c>
      <c r="CI23">
        <v>1387</v>
      </c>
      <c r="CJ23">
        <v>1240</v>
      </c>
      <c r="CK23" s="81">
        <v>5704</v>
      </c>
      <c r="CL23">
        <v>2415</v>
      </c>
      <c r="CM23">
        <v>17540.7343588478</v>
      </c>
      <c r="CN23">
        <v>18.434999999999999</v>
      </c>
      <c r="CO23">
        <v>100493</v>
      </c>
      <c r="CP23">
        <v>13033</v>
      </c>
      <c r="CQ23">
        <v>2691</v>
      </c>
      <c r="CR23">
        <v>3534</v>
      </c>
      <c r="CS23">
        <v>2554</v>
      </c>
      <c r="CT23">
        <v>1473</v>
      </c>
      <c r="CU23">
        <v>2037.0334298118701</v>
      </c>
      <c r="CV23">
        <v>1167.2754797709699</v>
      </c>
      <c r="CW23">
        <v>470.37687661234497</v>
      </c>
      <c r="CX23">
        <v>4830.8348999999998</v>
      </c>
      <c r="CY23">
        <v>2768.1995999999999</v>
      </c>
      <c r="CZ23">
        <v>1115.5011</v>
      </c>
      <c r="DA23">
        <v>116004</v>
      </c>
      <c r="DE23">
        <v>60</v>
      </c>
      <c r="DF23" t="s">
        <v>23</v>
      </c>
      <c r="DG23">
        <v>778</v>
      </c>
      <c r="DH23">
        <v>796</v>
      </c>
      <c r="DI23">
        <v>787</v>
      </c>
      <c r="DJ23">
        <v>786</v>
      </c>
      <c r="DK23">
        <v>781</v>
      </c>
      <c r="DO23">
        <v>53</v>
      </c>
      <c r="DP23" t="s">
        <v>802</v>
      </c>
      <c r="DQ23">
        <v>6089</v>
      </c>
      <c r="DR23">
        <v>1.22</v>
      </c>
      <c r="DS23">
        <v>432</v>
      </c>
      <c r="DV23">
        <v>202</v>
      </c>
      <c r="DW23" t="s">
        <v>29</v>
      </c>
      <c r="DX23">
        <v>28515.5811717037</v>
      </c>
      <c r="DY23">
        <v>4413</v>
      </c>
      <c r="DZ23">
        <v>2744</v>
      </c>
      <c r="EA23">
        <v>1346</v>
      </c>
      <c r="EB23">
        <v>9424</v>
      </c>
      <c r="EC23">
        <v>4886</v>
      </c>
      <c r="ED23">
        <v>1782</v>
      </c>
      <c r="EE23" s="82">
        <v>0.27212518983287898</v>
      </c>
      <c r="EF23" s="82">
        <v>0.54396800637217502</v>
      </c>
    </row>
    <row r="24" spans="1:136" x14ac:dyDescent="0.35">
      <c r="A24" s="72">
        <v>1970</v>
      </c>
      <c r="B24" s="72">
        <v>2</v>
      </c>
      <c r="D24" s="72" t="s">
        <v>217</v>
      </c>
      <c r="E24" s="79">
        <v>2609200000</v>
      </c>
      <c r="F24" s="79">
        <v>494550000</v>
      </c>
      <c r="G24" s="79">
        <v>575750000</v>
      </c>
      <c r="H24" s="79">
        <v>45181</v>
      </c>
      <c r="I24" s="79">
        <v>9</v>
      </c>
      <c r="J24" s="79">
        <v>575.75</v>
      </c>
      <c r="K24" s="79">
        <v>9574</v>
      </c>
      <c r="L24" s="79">
        <v>9421</v>
      </c>
      <c r="M24" s="79">
        <v>3082</v>
      </c>
      <c r="N24" s="79">
        <v>6993</v>
      </c>
      <c r="O24" s="79">
        <v>4890.8</v>
      </c>
      <c r="P24" s="79">
        <v>1134</v>
      </c>
      <c r="Q24" s="79">
        <v>3637</v>
      </c>
      <c r="R24" s="79">
        <v>510</v>
      </c>
      <c r="S24" s="79">
        <v>0</v>
      </c>
      <c r="T24" s="79">
        <v>1216</v>
      </c>
      <c r="U24" s="79">
        <v>19984</v>
      </c>
      <c r="V24" s="79">
        <v>42130</v>
      </c>
      <c r="W24" s="79">
        <v>17470</v>
      </c>
      <c r="X24" s="79">
        <v>795.96</v>
      </c>
      <c r="Y24" s="79">
        <v>1959.2</v>
      </c>
      <c r="Z24" s="79">
        <v>0</v>
      </c>
      <c r="AA24" s="79">
        <v>0</v>
      </c>
      <c r="AB24" s="79">
        <v>0</v>
      </c>
      <c r="AC24" s="79">
        <v>37964</v>
      </c>
      <c r="AD24" s="79">
        <v>41001.120000000003</v>
      </c>
      <c r="AE24" s="79">
        <v>1760</v>
      </c>
      <c r="AF24" s="79">
        <v>10000</v>
      </c>
      <c r="AG24" s="79">
        <v>475</v>
      </c>
      <c r="AH24" s="79">
        <v>299.60000000000002</v>
      </c>
      <c r="AI24" s="79">
        <v>210.6</v>
      </c>
      <c r="AJ24" s="79">
        <v>21022</v>
      </c>
      <c r="AK24" s="79">
        <v>22493.54</v>
      </c>
      <c r="AL24" s="79">
        <v>22</v>
      </c>
      <c r="AM24" s="79">
        <v>0</v>
      </c>
      <c r="AN24" s="79">
        <v>0</v>
      </c>
      <c r="AO24" s="79">
        <v>5350</v>
      </c>
      <c r="AP24" s="79">
        <v>1908</v>
      </c>
      <c r="AQ24" s="79">
        <v>1331</v>
      </c>
      <c r="AR24" s="80">
        <v>2.6534929999999998E-3</v>
      </c>
      <c r="AS24" s="80">
        <v>6.45726E-4</v>
      </c>
      <c r="AT24" s="79">
        <v>9438.8780000000006</v>
      </c>
      <c r="AU24" s="79">
        <v>0</v>
      </c>
      <c r="AV24" s="79">
        <v>10218.959999999999</v>
      </c>
      <c r="AW24" s="79">
        <v>13310.5382458967</v>
      </c>
      <c r="AX24" s="79">
        <v>38</v>
      </c>
      <c r="AY24" s="79">
        <v>41.04</v>
      </c>
      <c r="AZ24" s="79">
        <v>4489</v>
      </c>
      <c r="BA24" s="79">
        <v>1</v>
      </c>
      <c r="BB24" s="79">
        <v>0</v>
      </c>
      <c r="BC24" s="79">
        <v>0</v>
      </c>
      <c r="BD24" s="79">
        <v>0</v>
      </c>
      <c r="BE24" s="79">
        <v>0</v>
      </c>
      <c r="BF24" s="79">
        <v>0</v>
      </c>
      <c r="BG24" s="79">
        <v>0</v>
      </c>
      <c r="BH24" s="79">
        <v>0</v>
      </c>
      <c r="BI24" s="79">
        <v>0</v>
      </c>
      <c r="BJ24" s="79">
        <v>0</v>
      </c>
      <c r="BK24" s="79">
        <v>65</v>
      </c>
      <c r="BL24" s="79">
        <v>6413</v>
      </c>
      <c r="BM24" s="79">
        <v>280</v>
      </c>
      <c r="BN24" s="79">
        <v>195</v>
      </c>
      <c r="BO24">
        <v>10743</v>
      </c>
      <c r="BP24">
        <v>2690</v>
      </c>
      <c r="BQ24">
        <v>10580</v>
      </c>
      <c r="BR24">
        <v>2665</v>
      </c>
      <c r="BS24">
        <v>10424</v>
      </c>
      <c r="BT24">
        <v>2628</v>
      </c>
      <c r="BU24">
        <v>10326</v>
      </c>
      <c r="BV24">
        <v>2586</v>
      </c>
      <c r="BW24">
        <v>10254</v>
      </c>
      <c r="BX24">
        <v>2570</v>
      </c>
      <c r="BY24">
        <v>10207</v>
      </c>
      <c r="BZ24">
        <v>2593</v>
      </c>
      <c r="CB24">
        <v>1129.732</v>
      </c>
      <c r="CC24">
        <v>130</v>
      </c>
      <c r="CD24">
        <v>72</v>
      </c>
      <c r="CE24">
        <v>10648.55</v>
      </c>
      <c r="CF24">
        <v>2616.81</v>
      </c>
      <c r="CG24">
        <v>434.92824767358599</v>
      </c>
      <c r="CH24">
        <v>454</v>
      </c>
      <c r="CI24">
        <v>276</v>
      </c>
      <c r="CJ24">
        <v>235</v>
      </c>
      <c r="CK24" s="81">
        <v>2503</v>
      </c>
      <c r="CL24">
        <v>948</v>
      </c>
      <c r="CM24">
        <v>7193.8444089428704</v>
      </c>
      <c r="CN24">
        <v>2.9780000000000002</v>
      </c>
      <c r="CO24">
        <v>35760</v>
      </c>
      <c r="CP24">
        <v>5369</v>
      </c>
      <c r="CQ24">
        <v>970</v>
      </c>
      <c r="CR24">
        <v>1131</v>
      </c>
      <c r="CS24">
        <v>1061</v>
      </c>
      <c r="CT24">
        <v>474</v>
      </c>
      <c r="CU24">
        <v>782.40702121586901</v>
      </c>
      <c r="CV24">
        <v>505.55172676243899</v>
      </c>
      <c r="CW24">
        <v>151.92143468747</v>
      </c>
      <c r="CX24">
        <v>1994.9315999999999</v>
      </c>
      <c r="CY24">
        <v>1289.0236</v>
      </c>
      <c r="CZ24">
        <v>387.3596</v>
      </c>
      <c r="DA24">
        <v>12281</v>
      </c>
      <c r="DE24">
        <v>72</v>
      </c>
      <c r="DF24" t="s">
        <v>132</v>
      </c>
      <c r="DG24">
        <v>3390</v>
      </c>
      <c r="DH24">
        <v>3371</v>
      </c>
      <c r="DI24">
        <v>3349</v>
      </c>
      <c r="DJ24">
        <v>3306</v>
      </c>
      <c r="DK24">
        <v>3278</v>
      </c>
      <c r="DO24">
        <v>56</v>
      </c>
      <c r="DP24" t="s">
        <v>803</v>
      </c>
      <c r="DQ24">
        <v>7991</v>
      </c>
      <c r="DR24">
        <v>1.1200000000000001</v>
      </c>
      <c r="DS24">
        <v>417</v>
      </c>
      <c r="DV24">
        <v>106</v>
      </c>
      <c r="DW24" t="s">
        <v>30</v>
      </c>
      <c r="DX24">
        <v>10413.4716055841</v>
      </c>
      <c r="DY24">
        <v>1858</v>
      </c>
      <c r="DZ24">
        <v>1473</v>
      </c>
      <c r="EA24">
        <v>768</v>
      </c>
      <c r="EB24">
        <v>4738</v>
      </c>
      <c r="EC24">
        <v>2818</v>
      </c>
      <c r="ED24">
        <v>1082</v>
      </c>
      <c r="EE24" s="82">
        <v>0.222398501720869</v>
      </c>
      <c r="EF24" s="82">
        <v>0.52088851256685498</v>
      </c>
    </row>
    <row r="25" spans="1:136" x14ac:dyDescent="0.35">
      <c r="A25" s="72">
        <v>85</v>
      </c>
      <c r="B25" s="72">
        <v>2</v>
      </c>
      <c r="D25" s="72" t="s">
        <v>234</v>
      </c>
      <c r="E25" s="79">
        <v>1774400000</v>
      </c>
      <c r="F25" s="79">
        <v>271250000</v>
      </c>
      <c r="G25" s="79">
        <v>317100000</v>
      </c>
      <c r="H25" s="79">
        <v>25497</v>
      </c>
      <c r="I25" s="79">
        <v>5</v>
      </c>
      <c r="J25" s="79">
        <v>317.10000000000002</v>
      </c>
      <c r="K25" s="79">
        <v>4710</v>
      </c>
      <c r="L25" s="79">
        <v>6012</v>
      </c>
      <c r="M25" s="79">
        <v>1864</v>
      </c>
      <c r="N25" s="79">
        <v>3976</v>
      </c>
      <c r="O25" s="79">
        <v>2757.2</v>
      </c>
      <c r="P25" s="79">
        <v>606</v>
      </c>
      <c r="Q25" s="79">
        <v>2074</v>
      </c>
      <c r="R25" s="79">
        <v>305</v>
      </c>
      <c r="S25" s="79">
        <v>0</v>
      </c>
      <c r="T25" s="79">
        <v>818</v>
      </c>
      <c r="U25" s="79">
        <v>11850</v>
      </c>
      <c r="V25" s="79">
        <v>23980</v>
      </c>
      <c r="W25" s="79">
        <v>9430</v>
      </c>
      <c r="X25" s="79">
        <v>206.26</v>
      </c>
      <c r="Y25" s="79">
        <v>1185.5999999999999</v>
      </c>
      <c r="Z25" s="79">
        <v>0</v>
      </c>
      <c r="AA25" s="79">
        <v>0</v>
      </c>
      <c r="AB25" s="79">
        <v>0</v>
      </c>
      <c r="AC25" s="79">
        <v>22335</v>
      </c>
      <c r="AD25" s="79">
        <v>22335</v>
      </c>
      <c r="AE25" s="79">
        <v>276</v>
      </c>
      <c r="AF25" s="79">
        <v>0</v>
      </c>
      <c r="AG25" s="79">
        <v>302</v>
      </c>
      <c r="AH25" s="79">
        <v>162</v>
      </c>
      <c r="AI25" s="79">
        <v>141</v>
      </c>
      <c r="AJ25" s="79">
        <v>12188</v>
      </c>
      <c r="AK25" s="79">
        <v>12188</v>
      </c>
      <c r="AL25" s="79">
        <v>0</v>
      </c>
      <c r="AM25" s="79">
        <v>0</v>
      </c>
      <c r="AN25" s="79">
        <v>0</v>
      </c>
      <c r="AO25" s="79">
        <v>0</v>
      </c>
      <c r="AP25" s="79">
        <v>0</v>
      </c>
      <c r="AQ25" s="79">
        <v>0</v>
      </c>
      <c r="AR25" s="80">
        <v>8.7427000000000002E-4</v>
      </c>
      <c r="AS25" s="80">
        <v>3.0192000000000001E-4</v>
      </c>
      <c r="AT25" s="79">
        <v>5874.616</v>
      </c>
      <c r="AU25" s="79">
        <v>0</v>
      </c>
      <c r="AV25" s="79">
        <v>4761</v>
      </c>
      <c r="AW25" s="79">
        <v>5368.6797134138296</v>
      </c>
      <c r="AX25" s="79">
        <v>17</v>
      </c>
      <c r="AY25" s="79">
        <v>17</v>
      </c>
      <c r="AZ25" s="79">
        <v>2648</v>
      </c>
      <c r="BA25" s="79">
        <v>1</v>
      </c>
      <c r="BB25" s="79">
        <v>0</v>
      </c>
      <c r="BC25" s="79">
        <v>0</v>
      </c>
      <c r="BD25" s="79">
        <v>0</v>
      </c>
      <c r="BE25" s="79">
        <v>0</v>
      </c>
      <c r="BF25" s="79">
        <v>0</v>
      </c>
      <c r="BG25" s="79">
        <v>0</v>
      </c>
      <c r="BH25" s="79">
        <v>0</v>
      </c>
      <c r="BI25" s="79">
        <v>0</v>
      </c>
      <c r="BJ25" s="79">
        <v>0</v>
      </c>
      <c r="BK25" s="79">
        <v>31</v>
      </c>
      <c r="BL25" s="79">
        <v>3611</v>
      </c>
      <c r="BM25" s="79">
        <v>162</v>
      </c>
      <c r="BN25" s="79">
        <v>141</v>
      </c>
      <c r="BO25">
        <v>5638</v>
      </c>
      <c r="BP25">
        <v>1420</v>
      </c>
      <c r="BQ25">
        <v>5522</v>
      </c>
      <c r="BR25">
        <v>1463</v>
      </c>
      <c r="BS25">
        <v>5419</v>
      </c>
      <c r="BT25">
        <v>1536</v>
      </c>
      <c r="BU25">
        <v>5339</v>
      </c>
      <c r="BV25">
        <v>1637</v>
      </c>
      <c r="BW25">
        <v>5255</v>
      </c>
      <c r="BX25">
        <v>1692</v>
      </c>
      <c r="BY25">
        <v>5173</v>
      </c>
      <c r="BZ25">
        <v>1714</v>
      </c>
      <c r="CB25">
        <v>560.49</v>
      </c>
      <c r="CC25">
        <v>94</v>
      </c>
      <c r="CD25">
        <v>51</v>
      </c>
      <c r="CE25">
        <v>6399.96</v>
      </c>
      <c r="CF25">
        <v>1470.7</v>
      </c>
      <c r="CG25">
        <v>158.726749867233</v>
      </c>
      <c r="CH25">
        <v>332</v>
      </c>
      <c r="CI25">
        <v>147.333333333333</v>
      </c>
      <c r="CJ25">
        <v>132.666666666667</v>
      </c>
      <c r="CK25" s="81">
        <v>1468</v>
      </c>
      <c r="CL25">
        <v>620</v>
      </c>
      <c r="CM25">
        <v>4039.7554088615998</v>
      </c>
      <c r="CN25">
        <v>1.405</v>
      </c>
      <c r="CO25">
        <v>19485</v>
      </c>
      <c r="CP25">
        <v>3469</v>
      </c>
      <c r="CQ25">
        <v>679</v>
      </c>
      <c r="CR25">
        <v>717</v>
      </c>
      <c r="CS25">
        <v>590</v>
      </c>
      <c r="CT25">
        <v>376</v>
      </c>
      <c r="CU25">
        <v>490.676632753528</v>
      </c>
      <c r="CV25">
        <v>291.14837545126301</v>
      </c>
      <c r="CW25">
        <v>114.016147029865</v>
      </c>
      <c r="CX25">
        <v>1210.9527</v>
      </c>
      <c r="CY25">
        <v>718.53210000000001</v>
      </c>
      <c r="CZ25">
        <v>281.38319999999999</v>
      </c>
      <c r="DA25">
        <v>42827</v>
      </c>
      <c r="DE25">
        <v>74</v>
      </c>
      <c r="DF25" t="s">
        <v>137</v>
      </c>
      <c r="DG25">
        <v>10574.88</v>
      </c>
      <c r="DH25">
        <v>10447.030000000001</v>
      </c>
      <c r="DI25">
        <v>10427.780000000001</v>
      </c>
      <c r="DJ25">
        <v>10370.26</v>
      </c>
      <c r="DK25">
        <v>10286.049999999999</v>
      </c>
      <c r="DO25">
        <v>59</v>
      </c>
      <c r="DP25" t="s">
        <v>14</v>
      </c>
      <c r="DQ25">
        <v>12134</v>
      </c>
      <c r="DR25">
        <v>1</v>
      </c>
      <c r="DS25">
        <v>426</v>
      </c>
      <c r="DV25">
        <v>743</v>
      </c>
      <c r="DW25" t="s">
        <v>31</v>
      </c>
      <c r="DX25">
        <v>2149.8795045044999</v>
      </c>
      <c r="DY25">
        <v>356</v>
      </c>
      <c r="DZ25">
        <v>377</v>
      </c>
      <c r="EA25">
        <v>142</v>
      </c>
      <c r="EB25">
        <v>1295</v>
      </c>
      <c r="EC25">
        <v>773</v>
      </c>
      <c r="ED25">
        <v>207</v>
      </c>
      <c r="EE25" s="82">
        <v>0.21463186074996399</v>
      </c>
      <c r="EF25" s="82">
        <v>0.44140850577478302</v>
      </c>
    </row>
    <row r="26" spans="1:136" x14ac:dyDescent="0.35">
      <c r="A26" s="72">
        <v>86</v>
      </c>
      <c r="B26" s="72">
        <v>2</v>
      </c>
      <c r="D26" s="72" t="s">
        <v>237</v>
      </c>
      <c r="E26" s="79">
        <v>2101600000</v>
      </c>
      <c r="F26" s="79">
        <v>320600000</v>
      </c>
      <c r="G26" s="79">
        <v>382900000</v>
      </c>
      <c r="H26" s="79">
        <v>29723</v>
      </c>
      <c r="I26" s="79">
        <v>5</v>
      </c>
      <c r="J26" s="79">
        <v>382.9</v>
      </c>
      <c r="K26" s="79">
        <v>6014</v>
      </c>
      <c r="L26" s="79">
        <v>6289</v>
      </c>
      <c r="M26" s="79">
        <v>1932</v>
      </c>
      <c r="N26" s="79">
        <v>3960</v>
      </c>
      <c r="O26" s="79">
        <v>2632.9</v>
      </c>
      <c r="P26" s="79">
        <v>632.33333333333303</v>
      </c>
      <c r="Q26" s="79">
        <v>2049.3333333333298</v>
      </c>
      <c r="R26" s="79">
        <v>400</v>
      </c>
      <c r="S26" s="79">
        <v>0</v>
      </c>
      <c r="T26" s="79">
        <v>772</v>
      </c>
      <c r="U26" s="79">
        <v>13096</v>
      </c>
      <c r="V26" s="79">
        <v>25250</v>
      </c>
      <c r="W26" s="79">
        <v>8090</v>
      </c>
      <c r="X26" s="79">
        <v>723.14</v>
      </c>
      <c r="Y26" s="79">
        <v>462.4</v>
      </c>
      <c r="Z26" s="79">
        <v>0</v>
      </c>
      <c r="AA26" s="79">
        <v>0</v>
      </c>
      <c r="AB26" s="79">
        <v>0</v>
      </c>
      <c r="AC26" s="79">
        <v>22451</v>
      </c>
      <c r="AD26" s="79">
        <v>22451</v>
      </c>
      <c r="AE26" s="79">
        <v>313</v>
      </c>
      <c r="AF26" s="79">
        <v>0</v>
      </c>
      <c r="AG26" s="79">
        <v>315</v>
      </c>
      <c r="AH26" s="79">
        <v>166</v>
      </c>
      <c r="AI26" s="79">
        <v>149</v>
      </c>
      <c r="AJ26" s="79">
        <v>13271</v>
      </c>
      <c r="AK26" s="79">
        <v>13271</v>
      </c>
      <c r="AL26" s="79">
        <v>0</v>
      </c>
      <c r="AM26" s="79">
        <v>0</v>
      </c>
      <c r="AN26" s="79">
        <v>0</v>
      </c>
      <c r="AO26" s="79">
        <v>0</v>
      </c>
      <c r="AP26" s="79">
        <v>652</v>
      </c>
      <c r="AQ26" s="79">
        <v>0</v>
      </c>
      <c r="AR26" s="80">
        <v>9.7859300000000004E-4</v>
      </c>
      <c r="AS26" s="80">
        <v>3.2858300000000002E-4</v>
      </c>
      <c r="AT26" s="79">
        <v>5348.2129999999997</v>
      </c>
      <c r="AU26" s="79">
        <v>0</v>
      </c>
      <c r="AV26" s="79">
        <v>5906</v>
      </c>
      <c r="AW26" s="79">
        <v>7711.4759269021297</v>
      </c>
      <c r="AX26" s="79">
        <v>22</v>
      </c>
      <c r="AY26" s="79">
        <v>22</v>
      </c>
      <c r="AZ26" s="79">
        <v>3237</v>
      </c>
      <c r="BA26" s="79">
        <v>1</v>
      </c>
      <c r="BB26" s="79">
        <v>0</v>
      </c>
      <c r="BC26" s="79">
        <v>0</v>
      </c>
      <c r="BD26" s="79">
        <v>0</v>
      </c>
      <c r="BE26" s="79">
        <v>0</v>
      </c>
      <c r="BF26" s="79">
        <v>0</v>
      </c>
      <c r="BG26" s="79">
        <v>0</v>
      </c>
      <c r="BH26" s="79">
        <v>0</v>
      </c>
      <c r="BI26" s="79">
        <v>0</v>
      </c>
      <c r="BJ26" s="79">
        <v>0</v>
      </c>
      <c r="BK26" s="79">
        <v>19</v>
      </c>
      <c r="BL26" s="79">
        <v>3830</v>
      </c>
      <c r="BM26" s="79">
        <v>166</v>
      </c>
      <c r="BN26" s="79">
        <v>149</v>
      </c>
      <c r="BO26">
        <v>7020</v>
      </c>
      <c r="BP26">
        <v>758</v>
      </c>
      <c r="BQ26">
        <v>7026</v>
      </c>
      <c r="BR26">
        <v>807</v>
      </c>
      <c r="BS26">
        <v>6985</v>
      </c>
      <c r="BT26">
        <v>776</v>
      </c>
      <c r="BU26">
        <v>6852</v>
      </c>
      <c r="BV26">
        <v>726</v>
      </c>
      <c r="BW26">
        <v>6735</v>
      </c>
      <c r="BX26">
        <v>738</v>
      </c>
      <c r="BY26">
        <v>6638</v>
      </c>
      <c r="BZ26">
        <v>737</v>
      </c>
      <c r="CB26">
        <v>589.37199999999996</v>
      </c>
      <c r="CC26">
        <v>112</v>
      </c>
      <c r="CD26">
        <v>48</v>
      </c>
      <c r="CE26">
        <v>7767.98</v>
      </c>
      <c r="CF26">
        <v>1939.33</v>
      </c>
      <c r="CG26">
        <v>217.06129205094399</v>
      </c>
      <c r="CH26">
        <v>308</v>
      </c>
      <c r="CI26">
        <v>165.666666666667</v>
      </c>
      <c r="CJ26">
        <v>141.666666666667</v>
      </c>
      <c r="CK26" s="81">
        <v>1417</v>
      </c>
      <c r="CL26">
        <v>623</v>
      </c>
      <c r="CM26">
        <v>3601.43517264499</v>
      </c>
      <c r="CN26">
        <v>1.369</v>
      </c>
      <c r="CO26">
        <v>23434</v>
      </c>
      <c r="CP26">
        <v>3627</v>
      </c>
      <c r="CQ26">
        <v>730</v>
      </c>
      <c r="CR26">
        <v>743</v>
      </c>
      <c r="CS26">
        <v>612</v>
      </c>
      <c r="CT26">
        <v>383</v>
      </c>
      <c r="CU26">
        <v>445.99195237736399</v>
      </c>
      <c r="CV26">
        <v>265.45250546303998</v>
      </c>
      <c r="CW26">
        <v>102.570213246929</v>
      </c>
      <c r="CX26">
        <v>1121.0776000000001</v>
      </c>
      <c r="CY26">
        <v>667.26059999999995</v>
      </c>
      <c r="CZ26">
        <v>257.8279</v>
      </c>
      <c r="DA26">
        <v>121910</v>
      </c>
      <c r="DE26">
        <v>79</v>
      </c>
      <c r="DF26" t="s">
        <v>806</v>
      </c>
      <c r="DG26">
        <v>3016</v>
      </c>
      <c r="DH26">
        <v>2983</v>
      </c>
      <c r="DI26">
        <v>2933</v>
      </c>
      <c r="DJ26">
        <v>2884</v>
      </c>
      <c r="DK26">
        <v>2817</v>
      </c>
      <c r="DO26">
        <v>60</v>
      </c>
      <c r="DP26" t="s">
        <v>23</v>
      </c>
      <c r="DQ26">
        <v>3595</v>
      </c>
      <c r="DR26">
        <v>1</v>
      </c>
      <c r="DS26">
        <v>252</v>
      </c>
      <c r="DV26">
        <v>744</v>
      </c>
      <c r="DW26" t="s">
        <v>32</v>
      </c>
      <c r="DX26">
        <v>949.13774104683205</v>
      </c>
      <c r="DY26">
        <v>213</v>
      </c>
      <c r="DZ26">
        <v>176</v>
      </c>
      <c r="EA26">
        <v>81</v>
      </c>
      <c r="EB26">
        <v>655</v>
      </c>
      <c r="EC26">
        <v>386</v>
      </c>
      <c r="ED26">
        <v>124</v>
      </c>
      <c r="EE26" s="82">
        <v>0.148075729494729</v>
      </c>
      <c r="EF26" s="82">
        <v>0.46115767919659201</v>
      </c>
    </row>
    <row r="27" spans="1:136" x14ac:dyDescent="0.35">
      <c r="A27" s="72">
        <v>88</v>
      </c>
      <c r="B27" s="72">
        <v>2</v>
      </c>
      <c r="D27" s="72" t="s">
        <v>268</v>
      </c>
      <c r="E27" s="79">
        <v>264000000</v>
      </c>
      <c r="F27" s="79">
        <v>33250000</v>
      </c>
      <c r="G27" s="79">
        <v>36750000</v>
      </c>
      <c r="H27" s="79">
        <v>936</v>
      </c>
      <c r="I27" s="79">
        <v>1</v>
      </c>
      <c r="J27" s="79">
        <v>36.75</v>
      </c>
      <c r="K27" s="79">
        <v>128</v>
      </c>
      <c r="L27" s="79">
        <v>259</v>
      </c>
      <c r="M27" s="79">
        <v>96</v>
      </c>
      <c r="N27" s="79">
        <v>213</v>
      </c>
      <c r="O27" s="79">
        <v>77.400000000000006</v>
      </c>
      <c r="P27" s="79">
        <v>10</v>
      </c>
      <c r="Q27" s="79">
        <v>31</v>
      </c>
      <c r="R27" s="79">
        <v>0</v>
      </c>
      <c r="S27" s="79">
        <v>0</v>
      </c>
      <c r="T27" s="79">
        <v>20</v>
      </c>
      <c r="U27" s="79">
        <v>530</v>
      </c>
      <c r="V27" s="79">
        <v>910</v>
      </c>
      <c r="W27" s="79">
        <v>20</v>
      </c>
      <c r="X27" s="79">
        <v>0</v>
      </c>
      <c r="Y27" s="79">
        <v>27.2</v>
      </c>
      <c r="Z27" s="79">
        <v>0</v>
      </c>
      <c r="AA27" s="79">
        <v>0</v>
      </c>
      <c r="AB27" s="79">
        <v>3.2</v>
      </c>
      <c r="AC27" s="79">
        <v>4048</v>
      </c>
      <c r="AD27" s="79">
        <v>4048</v>
      </c>
      <c r="AE27" s="79">
        <v>43</v>
      </c>
      <c r="AF27" s="79">
        <v>10000</v>
      </c>
      <c r="AG27" s="79">
        <v>15</v>
      </c>
      <c r="AH27" s="79">
        <v>12</v>
      </c>
      <c r="AI27" s="79">
        <v>3</v>
      </c>
      <c r="AJ27" s="79">
        <v>1356</v>
      </c>
      <c r="AK27" s="79">
        <v>1356</v>
      </c>
      <c r="AL27" s="79">
        <v>0</v>
      </c>
      <c r="AM27" s="79">
        <v>0</v>
      </c>
      <c r="AN27" s="79">
        <v>0</v>
      </c>
      <c r="AO27" s="79">
        <v>0</v>
      </c>
      <c r="AP27" s="79">
        <v>0</v>
      </c>
      <c r="AQ27" s="79">
        <v>0</v>
      </c>
      <c r="AR27" s="80">
        <v>1.3294199999999999E-4</v>
      </c>
      <c r="AS27" s="80">
        <v>1.8851E-5</v>
      </c>
      <c r="AT27" s="79">
        <v>429.85199999999998</v>
      </c>
      <c r="AU27" s="79">
        <v>0</v>
      </c>
      <c r="AV27" s="79">
        <v>301</v>
      </c>
      <c r="AW27" s="79">
        <v>68.8672696162308</v>
      </c>
      <c r="AX27" s="79">
        <v>1</v>
      </c>
      <c r="AY27" s="79">
        <v>1</v>
      </c>
      <c r="AZ27" s="79">
        <v>148</v>
      </c>
      <c r="BA27" s="79">
        <v>1</v>
      </c>
      <c r="BB27" s="79">
        <v>0</v>
      </c>
      <c r="BC27" s="79">
        <v>0</v>
      </c>
      <c r="BD27" s="79">
        <v>0</v>
      </c>
      <c r="BE27" s="79">
        <v>0</v>
      </c>
      <c r="BF27" s="79">
        <v>0</v>
      </c>
      <c r="BG27" s="79">
        <v>1</v>
      </c>
      <c r="BH27" s="79">
        <v>936</v>
      </c>
      <c r="BI27" s="79">
        <v>0</v>
      </c>
      <c r="BJ27" s="79">
        <v>0</v>
      </c>
      <c r="BK27" s="79">
        <v>1</v>
      </c>
      <c r="BL27" s="79">
        <v>275</v>
      </c>
      <c r="BM27" s="79">
        <v>12</v>
      </c>
      <c r="BN27" s="79">
        <v>3</v>
      </c>
      <c r="BO27">
        <v>181</v>
      </c>
      <c r="BP27">
        <v>28</v>
      </c>
      <c r="BQ27">
        <v>179</v>
      </c>
      <c r="BR27">
        <v>37</v>
      </c>
      <c r="BS27">
        <v>187</v>
      </c>
      <c r="BT27">
        <v>33</v>
      </c>
      <c r="BU27">
        <v>179</v>
      </c>
      <c r="BV27">
        <v>46</v>
      </c>
      <c r="BW27">
        <v>182</v>
      </c>
      <c r="BX27">
        <v>46</v>
      </c>
      <c r="BY27">
        <v>175</v>
      </c>
      <c r="BZ27">
        <v>44</v>
      </c>
      <c r="CB27">
        <v>5.76</v>
      </c>
      <c r="CC27">
        <v>6</v>
      </c>
      <c r="CD27">
        <v>0</v>
      </c>
      <c r="CE27">
        <v>328.6</v>
      </c>
      <c r="CF27">
        <v>-29.4</v>
      </c>
      <c r="CG27">
        <v>8.2834285714285691</v>
      </c>
      <c r="CH27">
        <v>6</v>
      </c>
      <c r="CI27">
        <v>1</v>
      </c>
      <c r="CJ27">
        <v>1</v>
      </c>
      <c r="CK27" s="81">
        <v>21</v>
      </c>
      <c r="CL27">
        <v>4</v>
      </c>
      <c r="CM27">
        <v>144.34158868335101</v>
      </c>
      <c r="CN27">
        <v>8.0000000000000002E-3</v>
      </c>
      <c r="CO27">
        <v>677</v>
      </c>
      <c r="CP27">
        <v>140</v>
      </c>
      <c r="CQ27">
        <v>23</v>
      </c>
      <c r="CR27">
        <v>49</v>
      </c>
      <c r="CS27">
        <v>29</v>
      </c>
      <c r="CT27">
        <v>14</v>
      </c>
      <c r="CU27">
        <v>5.7650442477876096</v>
      </c>
      <c r="CV27">
        <v>3.7101769911504401</v>
      </c>
      <c r="CW27">
        <v>1.3128318584070799</v>
      </c>
      <c r="CX27">
        <v>51.701900000000002</v>
      </c>
      <c r="CY27">
        <v>33.273499999999999</v>
      </c>
      <c r="CZ27">
        <v>11.7737</v>
      </c>
      <c r="DA27">
        <v>0</v>
      </c>
      <c r="DE27">
        <v>80</v>
      </c>
      <c r="DF27" t="s">
        <v>178</v>
      </c>
      <c r="DG27">
        <v>23521.439999999999</v>
      </c>
      <c r="DH27">
        <v>23398.41</v>
      </c>
      <c r="DI27">
        <v>23381.66</v>
      </c>
      <c r="DJ27">
        <v>23221.38</v>
      </c>
      <c r="DK27">
        <v>23265.47</v>
      </c>
      <c r="DO27">
        <v>1891</v>
      </c>
      <c r="DP27" t="s">
        <v>75</v>
      </c>
      <c r="DQ27">
        <v>8276</v>
      </c>
      <c r="DR27">
        <v>1</v>
      </c>
      <c r="DS27">
        <v>449</v>
      </c>
      <c r="DV27">
        <v>308</v>
      </c>
      <c r="DW27" t="s">
        <v>33</v>
      </c>
      <c r="DX27">
        <v>3215.5357595509699</v>
      </c>
      <c r="DY27">
        <v>779</v>
      </c>
      <c r="DZ27">
        <v>717</v>
      </c>
      <c r="EA27">
        <v>388</v>
      </c>
      <c r="EB27">
        <v>1918</v>
      </c>
      <c r="EC27">
        <v>1303</v>
      </c>
      <c r="ED27">
        <v>546</v>
      </c>
      <c r="EE27" s="82">
        <v>0.15944293686872399</v>
      </c>
      <c r="EF27" s="82">
        <v>0.31918005985734399</v>
      </c>
    </row>
    <row r="28" spans="1:136" x14ac:dyDescent="0.35">
      <c r="A28" s="72">
        <v>90</v>
      </c>
      <c r="B28" s="72">
        <v>2</v>
      </c>
      <c r="D28" s="72" t="s">
        <v>278</v>
      </c>
      <c r="E28" s="79">
        <v>3630000000</v>
      </c>
      <c r="F28" s="79">
        <v>845600000</v>
      </c>
      <c r="G28" s="79">
        <v>902300000</v>
      </c>
      <c r="H28" s="79">
        <v>55938</v>
      </c>
      <c r="I28" s="79">
        <v>4</v>
      </c>
      <c r="J28" s="79">
        <v>902.3</v>
      </c>
      <c r="K28" s="79">
        <v>11399</v>
      </c>
      <c r="L28" s="79">
        <v>11727</v>
      </c>
      <c r="M28" s="79">
        <v>3926</v>
      </c>
      <c r="N28" s="79">
        <v>8869</v>
      </c>
      <c r="O28" s="79">
        <v>6257.1</v>
      </c>
      <c r="P28" s="79">
        <v>1892.6666666666699</v>
      </c>
      <c r="Q28" s="79">
        <v>5062.6666666666697</v>
      </c>
      <c r="R28" s="79">
        <v>1475</v>
      </c>
      <c r="S28" s="79">
        <v>0</v>
      </c>
      <c r="T28" s="79">
        <v>1889</v>
      </c>
      <c r="U28" s="79">
        <v>26254</v>
      </c>
      <c r="V28" s="79">
        <v>63570</v>
      </c>
      <c r="W28" s="79">
        <v>80280</v>
      </c>
      <c r="X28" s="79">
        <v>4040.78</v>
      </c>
      <c r="Y28" s="79">
        <v>3903.2</v>
      </c>
      <c r="Z28" s="79">
        <v>0</v>
      </c>
      <c r="AA28" s="79">
        <v>0</v>
      </c>
      <c r="AB28" s="79">
        <v>0</v>
      </c>
      <c r="AC28" s="79">
        <v>11710</v>
      </c>
      <c r="AD28" s="79">
        <v>11710</v>
      </c>
      <c r="AE28" s="79">
        <v>908</v>
      </c>
      <c r="AF28" s="79">
        <v>0</v>
      </c>
      <c r="AG28" s="79">
        <v>414</v>
      </c>
      <c r="AH28" s="79">
        <v>333</v>
      </c>
      <c r="AI28" s="79">
        <v>81</v>
      </c>
      <c r="AJ28" s="79">
        <v>26119</v>
      </c>
      <c r="AK28" s="79">
        <v>26119</v>
      </c>
      <c r="AL28" s="79">
        <v>0</v>
      </c>
      <c r="AM28" s="79">
        <v>0</v>
      </c>
      <c r="AN28" s="79">
        <v>0</v>
      </c>
      <c r="AO28" s="79">
        <v>0</v>
      </c>
      <c r="AP28" s="79">
        <v>1709</v>
      </c>
      <c r="AQ28" s="79">
        <v>0</v>
      </c>
      <c r="AR28" s="80">
        <v>1.34285E-3</v>
      </c>
      <c r="AS28" s="80">
        <v>2.3469250000000001E-3</v>
      </c>
      <c r="AT28" s="79">
        <v>34999.46</v>
      </c>
      <c r="AU28" s="79">
        <v>0</v>
      </c>
      <c r="AV28" s="79">
        <v>5500</v>
      </c>
      <c r="AW28" s="79">
        <v>24382.548739895399</v>
      </c>
      <c r="AX28" s="79">
        <v>9</v>
      </c>
      <c r="AY28" s="79">
        <v>9</v>
      </c>
      <c r="AZ28" s="79">
        <v>5102</v>
      </c>
      <c r="BA28" s="79">
        <v>1</v>
      </c>
      <c r="BB28" s="79">
        <v>0</v>
      </c>
      <c r="BC28" s="79">
        <v>0</v>
      </c>
      <c r="BD28" s="79">
        <v>0</v>
      </c>
      <c r="BE28" s="79">
        <v>0</v>
      </c>
      <c r="BF28" s="79">
        <v>0</v>
      </c>
      <c r="BG28" s="79">
        <v>0</v>
      </c>
      <c r="BH28" s="79">
        <v>0</v>
      </c>
      <c r="BI28" s="79">
        <v>0</v>
      </c>
      <c r="BJ28" s="79">
        <v>0</v>
      </c>
      <c r="BK28" s="79">
        <v>61</v>
      </c>
      <c r="BL28" s="79">
        <v>8988</v>
      </c>
      <c r="BM28" s="79">
        <v>333</v>
      </c>
      <c r="BN28" s="79">
        <v>81</v>
      </c>
      <c r="BO28">
        <v>12333</v>
      </c>
      <c r="BP28">
        <v>4482</v>
      </c>
      <c r="BQ28">
        <v>12263</v>
      </c>
      <c r="BR28">
        <v>4637</v>
      </c>
      <c r="BS28">
        <v>12311</v>
      </c>
      <c r="BT28">
        <v>4564</v>
      </c>
      <c r="BU28">
        <v>12209</v>
      </c>
      <c r="BV28">
        <v>4565</v>
      </c>
      <c r="BW28">
        <v>12133</v>
      </c>
      <c r="BX28">
        <v>4568</v>
      </c>
      <c r="BY28">
        <v>12000</v>
      </c>
      <c r="BZ28">
        <v>4683</v>
      </c>
      <c r="CB28">
        <v>1481.87</v>
      </c>
      <c r="CC28">
        <v>155</v>
      </c>
      <c r="CD28">
        <v>152</v>
      </c>
      <c r="CE28">
        <v>14215.23</v>
      </c>
      <c r="CF28">
        <v>3389.04</v>
      </c>
      <c r="CG28">
        <v>620.61672953736695</v>
      </c>
      <c r="CH28">
        <v>665</v>
      </c>
      <c r="CI28">
        <v>483</v>
      </c>
      <c r="CJ28">
        <v>439</v>
      </c>
      <c r="CK28" s="81">
        <v>3170</v>
      </c>
      <c r="CL28">
        <v>1361</v>
      </c>
      <c r="CM28">
        <v>8446.6692790273992</v>
      </c>
      <c r="CN28">
        <v>5.49</v>
      </c>
      <c r="CO28">
        <v>44211</v>
      </c>
      <c r="CP28">
        <v>6492</v>
      </c>
      <c r="CQ28">
        <v>1309</v>
      </c>
      <c r="CR28">
        <v>1498</v>
      </c>
      <c r="CS28">
        <v>1331</v>
      </c>
      <c r="CT28">
        <v>669</v>
      </c>
      <c r="CU28">
        <v>970.94170144339398</v>
      </c>
      <c r="CV28">
        <v>656.15823346988805</v>
      </c>
      <c r="CW28">
        <v>221.594146023967</v>
      </c>
      <c r="CX28">
        <v>2242.9301999999998</v>
      </c>
      <c r="CY28">
        <v>1515.7626</v>
      </c>
      <c r="CZ28">
        <v>511.89499999999998</v>
      </c>
      <c r="DA28">
        <v>181197</v>
      </c>
      <c r="DE28">
        <v>85</v>
      </c>
      <c r="DF28" t="s">
        <v>234</v>
      </c>
      <c r="DG28">
        <v>5638</v>
      </c>
      <c r="DH28">
        <v>5522</v>
      </c>
      <c r="DI28">
        <v>5419</v>
      </c>
      <c r="DJ28">
        <v>5339</v>
      </c>
      <c r="DK28">
        <v>5255</v>
      </c>
      <c r="DO28">
        <v>1940</v>
      </c>
      <c r="DP28" t="s">
        <v>77</v>
      </c>
      <c r="DQ28">
        <v>24775</v>
      </c>
      <c r="DR28">
        <v>1</v>
      </c>
      <c r="DS28">
        <v>549</v>
      </c>
      <c r="DV28">
        <v>489</v>
      </c>
      <c r="DW28" t="s">
        <v>34</v>
      </c>
      <c r="DX28">
        <v>3789.8434782608701</v>
      </c>
      <c r="DY28">
        <v>892</v>
      </c>
      <c r="DZ28">
        <v>728</v>
      </c>
      <c r="EA28">
        <v>443</v>
      </c>
      <c r="EB28">
        <v>2910</v>
      </c>
      <c r="EC28">
        <v>1674</v>
      </c>
      <c r="ED28">
        <v>671</v>
      </c>
      <c r="EE28" s="82">
        <v>9.6263256253799501E-2</v>
      </c>
      <c r="EF28" s="82">
        <v>0.31326727033450502</v>
      </c>
    </row>
    <row r="29" spans="1:136" x14ac:dyDescent="0.35">
      <c r="A29" s="72">
        <v>1900</v>
      </c>
      <c r="B29" s="72">
        <v>2</v>
      </c>
      <c r="D29" s="72" t="s">
        <v>289</v>
      </c>
      <c r="E29" s="79">
        <v>6565600000</v>
      </c>
      <c r="F29" s="79">
        <v>1195600000</v>
      </c>
      <c r="G29" s="79">
        <v>1335950000</v>
      </c>
      <c r="H29" s="79">
        <v>89710</v>
      </c>
      <c r="I29" s="79">
        <v>12</v>
      </c>
      <c r="J29" s="79">
        <v>1335.95</v>
      </c>
      <c r="K29" s="79">
        <v>18418</v>
      </c>
      <c r="L29" s="79">
        <v>19840</v>
      </c>
      <c r="M29" s="79">
        <v>6404</v>
      </c>
      <c r="N29" s="79">
        <v>13442</v>
      </c>
      <c r="O29" s="79">
        <v>9099.2000000000007</v>
      </c>
      <c r="P29" s="79">
        <v>2453</v>
      </c>
      <c r="Q29" s="79">
        <v>6269</v>
      </c>
      <c r="R29" s="79">
        <v>1690</v>
      </c>
      <c r="S29" s="79">
        <v>0</v>
      </c>
      <c r="T29" s="79">
        <v>2578</v>
      </c>
      <c r="U29" s="79">
        <v>41214</v>
      </c>
      <c r="V29" s="79">
        <v>89600</v>
      </c>
      <c r="W29" s="79">
        <v>76690</v>
      </c>
      <c r="X29" s="79">
        <v>2321.6</v>
      </c>
      <c r="Y29" s="79">
        <v>4497.6000000000004</v>
      </c>
      <c r="Z29" s="79">
        <v>0</v>
      </c>
      <c r="AA29" s="79">
        <v>0</v>
      </c>
      <c r="AB29" s="79">
        <v>0</v>
      </c>
      <c r="AC29" s="79">
        <v>52191</v>
      </c>
      <c r="AD29" s="79">
        <v>55844.37</v>
      </c>
      <c r="AE29" s="79">
        <v>5300</v>
      </c>
      <c r="AF29" s="79">
        <v>10000</v>
      </c>
      <c r="AG29" s="79">
        <v>882</v>
      </c>
      <c r="AH29" s="79">
        <v>604.79999999999995</v>
      </c>
      <c r="AI29" s="79">
        <v>327.42</v>
      </c>
      <c r="AJ29" s="79">
        <v>43428</v>
      </c>
      <c r="AK29" s="79">
        <v>45599.4</v>
      </c>
      <c r="AL29" s="79">
        <v>80</v>
      </c>
      <c r="AM29" s="79">
        <v>0</v>
      </c>
      <c r="AN29" s="79">
        <v>0</v>
      </c>
      <c r="AO29" s="79">
        <v>24250</v>
      </c>
      <c r="AP29" s="79">
        <v>6774</v>
      </c>
      <c r="AQ29" s="79">
        <v>6250</v>
      </c>
      <c r="AR29" s="80">
        <v>5.2280449999999997E-3</v>
      </c>
      <c r="AS29" s="80">
        <v>3.1836270000000001E-3</v>
      </c>
      <c r="AT29" s="79">
        <v>36132.095999999998</v>
      </c>
      <c r="AU29" s="79">
        <v>0</v>
      </c>
      <c r="AV29" s="79">
        <v>21363.62</v>
      </c>
      <c r="AW29" s="79">
        <v>34114.236148266697</v>
      </c>
      <c r="AX29" s="79">
        <v>65</v>
      </c>
      <c r="AY29" s="79">
        <v>69.55</v>
      </c>
      <c r="AZ29" s="79">
        <v>10576</v>
      </c>
      <c r="BA29" s="79">
        <v>1</v>
      </c>
      <c r="BB29" s="79">
        <v>0</v>
      </c>
      <c r="BC29" s="79">
        <v>0</v>
      </c>
      <c r="BD29" s="79">
        <v>0</v>
      </c>
      <c r="BE29" s="79">
        <v>0</v>
      </c>
      <c r="BF29" s="79">
        <v>0</v>
      </c>
      <c r="BG29" s="79">
        <v>0</v>
      </c>
      <c r="BH29" s="79">
        <v>0</v>
      </c>
      <c r="BI29" s="79">
        <v>0</v>
      </c>
      <c r="BJ29" s="79">
        <v>0</v>
      </c>
      <c r="BK29" s="79">
        <v>64</v>
      </c>
      <c r="BL29" s="79">
        <v>13895</v>
      </c>
      <c r="BM29" s="79">
        <v>576</v>
      </c>
      <c r="BN29" s="79">
        <v>306</v>
      </c>
      <c r="BO29">
        <v>20876</v>
      </c>
      <c r="BP29">
        <v>5560</v>
      </c>
      <c r="BQ29">
        <v>20778.349999999999</v>
      </c>
      <c r="BR29">
        <v>5643</v>
      </c>
      <c r="BS29">
        <v>20629.599999999999</v>
      </c>
      <c r="BT29">
        <v>5741</v>
      </c>
      <c r="BU29">
        <v>20473.080000000002</v>
      </c>
      <c r="BV29">
        <v>5788</v>
      </c>
      <c r="BW29">
        <v>20240.66</v>
      </c>
      <c r="BX29">
        <v>5814</v>
      </c>
      <c r="BY29">
        <v>19895.57</v>
      </c>
      <c r="BZ29">
        <v>5829</v>
      </c>
      <c r="CB29">
        <v>2044.3979999999999</v>
      </c>
      <c r="CC29">
        <v>265</v>
      </c>
      <c r="CD29">
        <v>200</v>
      </c>
      <c r="CE29">
        <v>24263.97</v>
      </c>
      <c r="CF29">
        <v>5933.63</v>
      </c>
      <c r="CG29">
        <v>537.68288637715705</v>
      </c>
      <c r="CH29">
        <v>967</v>
      </c>
      <c r="CI29">
        <v>639.66666666666697</v>
      </c>
      <c r="CJ29">
        <v>539</v>
      </c>
      <c r="CK29" s="81">
        <v>3816</v>
      </c>
      <c r="CL29">
        <v>1401</v>
      </c>
      <c r="CM29">
        <v>12197.8678887611</v>
      </c>
      <c r="CN29">
        <v>6.5549999999999997</v>
      </c>
      <c r="CO29">
        <v>69870</v>
      </c>
      <c r="CP29">
        <v>11352</v>
      </c>
      <c r="CQ29">
        <v>2084</v>
      </c>
      <c r="CR29">
        <v>2526</v>
      </c>
      <c r="CS29">
        <v>2051</v>
      </c>
      <c r="CT29">
        <v>1082</v>
      </c>
      <c r="CU29">
        <v>1499.1428571428601</v>
      </c>
      <c r="CV29">
        <v>923.37142857142896</v>
      </c>
      <c r="CW29">
        <v>314.07619047618999</v>
      </c>
      <c r="CX29">
        <v>3694.1264999999999</v>
      </c>
      <c r="CY29">
        <v>2275.3341</v>
      </c>
      <c r="CZ29">
        <v>773.93370000000004</v>
      </c>
      <c r="DA29">
        <v>93663</v>
      </c>
      <c r="DE29">
        <v>86</v>
      </c>
      <c r="DF29" t="s">
        <v>237</v>
      </c>
      <c r="DG29">
        <v>7020</v>
      </c>
      <c r="DH29">
        <v>7026</v>
      </c>
      <c r="DI29">
        <v>6985</v>
      </c>
      <c r="DJ29">
        <v>6852</v>
      </c>
      <c r="DK29">
        <v>6735</v>
      </c>
      <c r="DO29">
        <v>58</v>
      </c>
      <c r="DP29" t="s">
        <v>804</v>
      </c>
      <c r="DQ29">
        <v>11561</v>
      </c>
      <c r="DR29">
        <v>1.08</v>
      </c>
      <c r="DS29">
        <v>557</v>
      </c>
      <c r="DV29">
        <v>203</v>
      </c>
      <c r="DW29" t="s">
        <v>35</v>
      </c>
      <c r="DX29">
        <v>5428.7443138741501</v>
      </c>
      <c r="DY29">
        <v>887</v>
      </c>
      <c r="DZ29">
        <v>928</v>
      </c>
      <c r="EA29">
        <v>543</v>
      </c>
      <c r="EB29">
        <v>3066</v>
      </c>
      <c r="EC29">
        <v>2004</v>
      </c>
      <c r="ED29">
        <v>786</v>
      </c>
      <c r="EE29" s="82">
        <v>0.111671708732957</v>
      </c>
      <c r="EF29" s="82">
        <v>0.43372316852071502</v>
      </c>
    </row>
    <row r="30" spans="1:136" x14ac:dyDescent="0.35">
      <c r="A30" s="72">
        <v>93</v>
      </c>
      <c r="B30" s="72">
        <v>2</v>
      </c>
      <c r="D30" s="72" t="s">
        <v>291</v>
      </c>
      <c r="E30" s="79">
        <v>798000000</v>
      </c>
      <c r="F30" s="79">
        <v>136150000</v>
      </c>
      <c r="G30" s="79">
        <v>158900000</v>
      </c>
      <c r="H30" s="79">
        <v>4890</v>
      </c>
      <c r="I30" s="79">
        <v>2</v>
      </c>
      <c r="J30" s="79">
        <v>158.9</v>
      </c>
      <c r="K30" s="79">
        <v>722</v>
      </c>
      <c r="L30" s="79">
        <v>1127</v>
      </c>
      <c r="M30" s="79">
        <v>338</v>
      </c>
      <c r="N30" s="79">
        <v>588</v>
      </c>
      <c r="O30" s="79">
        <v>199.7</v>
      </c>
      <c r="P30" s="79">
        <v>28.6666666666667</v>
      </c>
      <c r="Q30" s="79">
        <v>133.666666666667</v>
      </c>
      <c r="R30" s="79">
        <v>35</v>
      </c>
      <c r="S30" s="79">
        <v>0</v>
      </c>
      <c r="T30" s="79">
        <v>119</v>
      </c>
      <c r="U30" s="79">
        <v>2648</v>
      </c>
      <c r="V30" s="79">
        <v>4900</v>
      </c>
      <c r="W30" s="79">
        <v>1570</v>
      </c>
      <c r="X30" s="79">
        <v>0</v>
      </c>
      <c r="Y30" s="79">
        <v>91.2</v>
      </c>
      <c r="Z30" s="79">
        <v>0</v>
      </c>
      <c r="AA30" s="79">
        <v>0</v>
      </c>
      <c r="AB30" s="79">
        <v>0</v>
      </c>
      <c r="AC30" s="79">
        <v>8523</v>
      </c>
      <c r="AD30" s="79">
        <v>8523</v>
      </c>
      <c r="AE30" s="79">
        <v>187</v>
      </c>
      <c r="AF30" s="79">
        <v>10000</v>
      </c>
      <c r="AG30" s="79">
        <v>49</v>
      </c>
      <c r="AH30" s="79">
        <v>42</v>
      </c>
      <c r="AI30" s="79">
        <v>7</v>
      </c>
      <c r="AJ30" s="79">
        <v>3883</v>
      </c>
      <c r="AK30" s="79">
        <v>3883</v>
      </c>
      <c r="AL30" s="79">
        <v>0</v>
      </c>
      <c r="AM30" s="79">
        <v>0</v>
      </c>
      <c r="AN30" s="79">
        <v>0</v>
      </c>
      <c r="AO30" s="79">
        <v>0</v>
      </c>
      <c r="AP30" s="79">
        <v>513</v>
      </c>
      <c r="AQ30" s="79">
        <v>0</v>
      </c>
      <c r="AR30" s="80">
        <v>2.8645599999999998E-4</v>
      </c>
      <c r="AS30" s="80">
        <v>5.3303000000000001E-5</v>
      </c>
      <c r="AT30" s="79">
        <v>962.98400000000004</v>
      </c>
      <c r="AU30" s="79">
        <v>0</v>
      </c>
      <c r="AV30" s="79">
        <v>813</v>
      </c>
      <c r="AW30" s="79">
        <v>456.43742824339802</v>
      </c>
      <c r="AX30" s="79">
        <v>9</v>
      </c>
      <c r="AY30" s="79">
        <v>9</v>
      </c>
      <c r="AZ30" s="79">
        <v>835</v>
      </c>
      <c r="BA30" s="79">
        <v>1</v>
      </c>
      <c r="BB30" s="79">
        <v>0</v>
      </c>
      <c r="BC30" s="79">
        <v>0</v>
      </c>
      <c r="BD30" s="79">
        <v>0</v>
      </c>
      <c r="BE30" s="79">
        <v>0</v>
      </c>
      <c r="BF30" s="79">
        <v>0</v>
      </c>
      <c r="BG30" s="79">
        <v>1</v>
      </c>
      <c r="BH30" s="79">
        <v>2500</v>
      </c>
      <c r="BI30" s="79">
        <v>2390</v>
      </c>
      <c r="BJ30" s="79">
        <v>0</v>
      </c>
      <c r="BK30" s="79">
        <v>0</v>
      </c>
      <c r="BL30" s="79">
        <v>1137</v>
      </c>
      <c r="BM30" s="79">
        <v>42</v>
      </c>
      <c r="BN30" s="79">
        <v>7</v>
      </c>
      <c r="BO30">
        <v>874</v>
      </c>
      <c r="BP30">
        <v>146</v>
      </c>
      <c r="BQ30">
        <v>881</v>
      </c>
      <c r="BR30">
        <v>160</v>
      </c>
      <c r="BS30">
        <v>857</v>
      </c>
      <c r="BT30">
        <v>164</v>
      </c>
      <c r="BU30">
        <v>861</v>
      </c>
      <c r="BV30">
        <v>176</v>
      </c>
      <c r="BW30">
        <v>863</v>
      </c>
      <c r="BX30">
        <v>153</v>
      </c>
      <c r="BY30">
        <v>827</v>
      </c>
      <c r="BZ30">
        <v>147</v>
      </c>
      <c r="CB30">
        <v>55.594000000000001</v>
      </c>
      <c r="CC30">
        <v>5</v>
      </c>
      <c r="CD30">
        <v>0</v>
      </c>
      <c r="CE30">
        <v>1399.35</v>
      </c>
      <c r="CF30">
        <v>310.06</v>
      </c>
      <c r="CG30">
        <v>8.2076763202725704</v>
      </c>
      <c r="CH30">
        <v>30</v>
      </c>
      <c r="CI30">
        <v>3.3333333333333299</v>
      </c>
      <c r="CJ30">
        <v>3</v>
      </c>
      <c r="CK30" s="81">
        <v>105</v>
      </c>
      <c r="CL30">
        <v>25</v>
      </c>
      <c r="CM30">
        <v>516.71334702258696</v>
      </c>
      <c r="CN30">
        <v>2.5000000000000001E-2</v>
      </c>
      <c r="CO30">
        <v>3763</v>
      </c>
      <c r="CP30">
        <v>675</v>
      </c>
      <c r="CQ30">
        <v>114</v>
      </c>
      <c r="CR30">
        <v>172</v>
      </c>
      <c r="CS30">
        <v>115</v>
      </c>
      <c r="CT30">
        <v>54</v>
      </c>
      <c r="CU30">
        <v>22.5774658768993</v>
      </c>
      <c r="CV30">
        <v>12.2401751223281</v>
      </c>
      <c r="CW30">
        <v>4.1143445789338102</v>
      </c>
      <c r="CX30">
        <v>188.7261</v>
      </c>
      <c r="CY30">
        <v>102.31619999999999</v>
      </c>
      <c r="CZ30">
        <v>34.392000000000003</v>
      </c>
      <c r="DA30">
        <v>2381</v>
      </c>
      <c r="DE30">
        <v>88</v>
      </c>
      <c r="DF30" t="s">
        <v>268</v>
      </c>
      <c r="DG30">
        <v>181</v>
      </c>
      <c r="DH30">
        <v>179</v>
      </c>
      <c r="DI30">
        <v>187</v>
      </c>
      <c r="DJ30">
        <v>179</v>
      </c>
      <c r="DK30">
        <v>182</v>
      </c>
      <c r="DO30">
        <v>1722</v>
      </c>
      <c r="DP30" t="s">
        <v>805</v>
      </c>
      <c r="DQ30">
        <v>3867</v>
      </c>
      <c r="DR30">
        <v>1.19</v>
      </c>
      <c r="DS30">
        <v>207</v>
      </c>
      <c r="DV30">
        <v>5</v>
      </c>
      <c r="DW30" t="s">
        <v>794</v>
      </c>
      <c r="DX30">
        <v>1322.59036144578</v>
      </c>
      <c r="DY30">
        <v>262</v>
      </c>
      <c r="DZ30">
        <v>203</v>
      </c>
      <c r="EA30">
        <v>90</v>
      </c>
      <c r="EB30">
        <v>863</v>
      </c>
      <c r="EC30">
        <v>431</v>
      </c>
      <c r="ED30">
        <v>128</v>
      </c>
      <c r="EE30" s="82">
        <v>0.173771550702915</v>
      </c>
      <c r="EF30" s="82">
        <v>0.49444682089853698</v>
      </c>
    </row>
    <row r="31" spans="1:136" x14ac:dyDescent="0.35">
      <c r="A31" s="72">
        <v>737</v>
      </c>
      <c r="B31" s="72">
        <v>2</v>
      </c>
      <c r="D31" s="72" t="s">
        <v>300</v>
      </c>
      <c r="E31" s="79">
        <v>2198800000</v>
      </c>
      <c r="F31" s="79">
        <v>273000000</v>
      </c>
      <c r="G31" s="79">
        <v>312550000</v>
      </c>
      <c r="H31" s="79">
        <v>31780</v>
      </c>
      <c r="I31" s="79">
        <v>7</v>
      </c>
      <c r="J31" s="79">
        <v>312.55</v>
      </c>
      <c r="K31" s="79">
        <v>6500</v>
      </c>
      <c r="L31" s="79">
        <v>7335</v>
      </c>
      <c r="M31" s="79">
        <v>2395</v>
      </c>
      <c r="N31" s="79">
        <v>4182</v>
      </c>
      <c r="O31" s="79">
        <v>2722.7</v>
      </c>
      <c r="P31" s="79">
        <v>547.66666666666697</v>
      </c>
      <c r="Q31" s="79">
        <v>1886.6666666666699</v>
      </c>
      <c r="R31" s="79">
        <v>395</v>
      </c>
      <c r="S31" s="79">
        <v>0</v>
      </c>
      <c r="T31" s="79">
        <v>798</v>
      </c>
      <c r="U31" s="79">
        <v>14246</v>
      </c>
      <c r="V31" s="79">
        <v>28690</v>
      </c>
      <c r="W31" s="79">
        <v>10790</v>
      </c>
      <c r="X31" s="79">
        <v>0</v>
      </c>
      <c r="Y31" s="79">
        <v>1105.5999999999999</v>
      </c>
      <c r="Z31" s="79">
        <v>0</v>
      </c>
      <c r="AA31" s="79">
        <v>0</v>
      </c>
      <c r="AB31" s="79">
        <v>543.79999999999995</v>
      </c>
      <c r="AC31" s="79">
        <v>14860</v>
      </c>
      <c r="AD31" s="79">
        <v>14860</v>
      </c>
      <c r="AE31" s="79">
        <v>1280</v>
      </c>
      <c r="AF31" s="79">
        <v>0</v>
      </c>
      <c r="AG31" s="79">
        <v>286</v>
      </c>
      <c r="AH31" s="79">
        <v>191</v>
      </c>
      <c r="AI31" s="79">
        <v>94</v>
      </c>
      <c r="AJ31" s="79">
        <v>14593</v>
      </c>
      <c r="AK31" s="79">
        <v>14593</v>
      </c>
      <c r="AL31" s="79">
        <v>0</v>
      </c>
      <c r="AM31" s="79">
        <v>0</v>
      </c>
      <c r="AN31" s="79">
        <v>0</v>
      </c>
      <c r="AO31" s="79">
        <v>0</v>
      </c>
      <c r="AP31" s="79">
        <v>846</v>
      </c>
      <c r="AQ31" s="79">
        <v>0</v>
      </c>
      <c r="AR31" s="80">
        <v>9.1896899999999995E-4</v>
      </c>
      <c r="AS31" s="80">
        <v>3.2087899999999999E-4</v>
      </c>
      <c r="AT31" s="79">
        <v>6887.8959999999997</v>
      </c>
      <c r="AU31" s="79">
        <v>0</v>
      </c>
      <c r="AV31" s="79">
        <v>5931</v>
      </c>
      <c r="AW31" s="79">
        <v>11678.263940520401</v>
      </c>
      <c r="AX31" s="79">
        <v>24</v>
      </c>
      <c r="AY31" s="79">
        <v>24</v>
      </c>
      <c r="AZ31" s="79">
        <v>2922</v>
      </c>
      <c r="BA31" s="79">
        <v>1</v>
      </c>
      <c r="BB31" s="79">
        <v>0</v>
      </c>
      <c r="BC31" s="79">
        <v>0</v>
      </c>
      <c r="BD31" s="79">
        <v>0</v>
      </c>
      <c r="BE31" s="79">
        <v>0</v>
      </c>
      <c r="BF31" s="79">
        <v>0</v>
      </c>
      <c r="BG31" s="79">
        <v>0</v>
      </c>
      <c r="BH31" s="79">
        <v>0</v>
      </c>
      <c r="BI31" s="79">
        <v>0</v>
      </c>
      <c r="BJ31" s="79">
        <v>0</v>
      </c>
      <c r="BK31" s="79">
        <v>37</v>
      </c>
      <c r="BL31" s="79">
        <v>4108</v>
      </c>
      <c r="BM31" s="79">
        <v>191</v>
      </c>
      <c r="BN31" s="79">
        <v>94</v>
      </c>
      <c r="BO31">
        <v>7218</v>
      </c>
      <c r="BP31">
        <v>762</v>
      </c>
      <c r="BQ31">
        <v>7212</v>
      </c>
      <c r="BR31">
        <v>762</v>
      </c>
      <c r="BS31">
        <v>7180</v>
      </c>
      <c r="BT31">
        <v>918</v>
      </c>
      <c r="BU31">
        <v>7116</v>
      </c>
      <c r="BV31">
        <v>1061</v>
      </c>
      <c r="BW31">
        <v>7034</v>
      </c>
      <c r="BX31">
        <v>1150</v>
      </c>
      <c r="BY31">
        <v>7007</v>
      </c>
      <c r="BZ31">
        <v>1208</v>
      </c>
      <c r="CB31">
        <v>572</v>
      </c>
      <c r="CC31">
        <v>53</v>
      </c>
      <c r="CD31">
        <v>112</v>
      </c>
      <c r="CE31">
        <v>8202.06</v>
      </c>
      <c r="CF31">
        <v>2026.52</v>
      </c>
      <c r="CG31">
        <v>284.90921409214099</v>
      </c>
      <c r="CH31">
        <v>326</v>
      </c>
      <c r="CI31">
        <v>146.666666666667</v>
      </c>
      <c r="CJ31">
        <v>117.333333333333</v>
      </c>
      <c r="CK31" s="81">
        <v>1339</v>
      </c>
      <c r="CL31">
        <v>483</v>
      </c>
      <c r="CM31">
        <v>4555.1894753249999</v>
      </c>
      <c r="CN31">
        <v>1.589</v>
      </c>
      <c r="CO31">
        <v>24445</v>
      </c>
      <c r="CP31">
        <v>4151</v>
      </c>
      <c r="CQ31">
        <v>789</v>
      </c>
      <c r="CR31">
        <v>756</v>
      </c>
      <c r="CS31">
        <v>721</v>
      </c>
      <c r="CT31">
        <v>442</v>
      </c>
      <c r="CU31">
        <v>470.730631124512</v>
      </c>
      <c r="CV31">
        <v>302.81245117522099</v>
      </c>
      <c r="CW31">
        <v>110.825998766532</v>
      </c>
      <c r="CX31">
        <v>1291.5237</v>
      </c>
      <c r="CY31">
        <v>830.81370000000004</v>
      </c>
      <c r="CZ31">
        <v>304.0686</v>
      </c>
      <c r="DA31">
        <v>45240</v>
      </c>
      <c r="DE31">
        <v>90</v>
      </c>
      <c r="DF31" t="s">
        <v>278</v>
      </c>
      <c r="DG31">
        <v>12333</v>
      </c>
      <c r="DH31">
        <v>12263</v>
      </c>
      <c r="DI31">
        <v>12311</v>
      </c>
      <c r="DJ31">
        <v>12209</v>
      </c>
      <c r="DK31">
        <v>12133</v>
      </c>
      <c r="DO31">
        <v>72</v>
      </c>
      <c r="DP31" t="s">
        <v>132</v>
      </c>
      <c r="DQ31">
        <v>7709</v>
      </c>
      <c r="DR31">
        <v>1.01</v>
      </c>
      <c r="DS31">
        <v>1038</v>
      </c>
      <c r="DV31">
        <v>888</v>
      </c>
      <c r="DW31" t="s">
        <v>36</v>
      </c>
      <c r="DX31">
        <v>2189.5995617639001</v>
      </c>
      <c r="DY31">
        <v>455</v>
      </c>
      <c r="DZ31">
        <v>453</v>
      </c>
      <c r="EA31">
        <v>240</v>
      </c>
      <c r="EB31">
        <v>1403</v>
      </c>
      <c r="EC31">
        <v>916</v>
      </c>
      <c r="ED31">
        <v>339</v>
      </c>
      <c r="EE31" s="82">
        <v>0.19398490356658199</v>
      </c>
      <c r="EF31" s="82">
        <v>0.44529638226801799</v>
      </c>
    </row>
    <row r="32" spans="1:136" x14ac:dyDescent="0.35">
      <c r="A32" s="72">
        <v>96</v>
      </c>
      <c r="B32" s="72">
        <v>2</v>
      </c>
      <c r="D32" s="72" t="s">
        <v>319</v>
      </c>
      <c r="E32" s="79">
        <v>280400000</v>
      </c>
      <c r="F32" s="79">
        <v>51450000</v>
      </c>
      <c r="G32" s="79">
        <v>54250000</v>
      </c>
      <c r="H32" s="79">
        <v>1138</v>
      </c>
      <c r="I32" s="79">
        <v>1</v>
      </c>
      <c r="J32" s="79">
        <v>54.25</v>
      </c>
      <c r="K32" s="79">
        <v>157</v>
      </c>
      <c r="L32" s="79">
        <v>212</v>
      </c>
      <c r="M32" s="79">
        <v>70</v>
      </c>
      <c r="N32" s="79">
        <v>211</v>
      </c>
      <c r="O32" s="79">
        <v>101.4</v>
      </c>
      <c r="P32" s="79">
        <v>10.6666666666667</v>
      </c>
      <c r="Q32" s="79">
        <v>40.6666666666667</v>
      </c>
      <c r="R32" s="79">
        <v>0</v>
      </c>
      <c r="S32" s="79">
        <v>0</v>
      </c>
      <c r="T32" s="79">
        <v>25</v>
      </c>
      <c r="U32" s="79">
        <v>650</v>
      </c>
      <c r="V32" s="79">
        <v>1130</v>
      </c>
      <c r="W32" s="79">
        <v>190</v>
      </c>
      <c r="X32" s="79">
        <v>0</v>
      </c>
      <c r="Y32" s="79">
        <v>28</v>
      </c>
      <c r="Z32" s="79">
        <v>0</v>
      </c>
      <c r="AA32" s="79">
        <v>0</v>
      </c>
      <c r="AB32" s="79">
        <v>0</v>
      </c>
      <c r="AC32" s="79">
        <v>3917</v>
      </c>
      <c r="AD32" s="79">
        <v>3917</v>
      </c>
      <c r="AE32" s="79">
        <v>69</v>
      </c>
      <c r="AF32" s="79">
        <v>10000</v>
      </c>
      <c r="AG32" s="79">
        <v>12</v>
      </c>
      <c r="AH32" s="79">
        <v>11</v>
      </c>
      <c r="AI32" s="79">
        <v>1</v>
      </c>
      <c r="AJ32" s="79">
        <v>1096</v>
      </c>
      <c r="AK32" s="79">
        <v>1096</v>
      </c>
      <c r="AL32" s="79">
        <v>0</v>
      </c>
      <c r="AM32" s="79">
        <v>0</v>
      </c>
      <c r="AN32" s="79">
        <v>0</v>
      </c>
      <c r="AO32" s="79">
        <v>0</v>
      </c>
      <c r="AP32" s="79">
        <v>0</v>
      </c>
      <c r="AQ32" s="79">
        <v>0</v>
      </c>
      <c r="AR32" s="80">
        <v>1.06192E-4</v>
      </c>
      <c r="AS32" s="80">
        <v>1.7237000000000001E-5</v>
      </c>
      <c r="AT32" s="79">
        <v>223.584</v>
      </c>
      <c r="AU32" s="79">
        <v>0</v>
      </c>
      <c r="AV32" s="79">
        <v>378</v>
      </c>
      <c r="AW32" s="79">
        <v>107.91871550426499</v>
      </c>
      <c r="AX32" s="79">
        <v>2</v>
      </c>
      <c r="AY32" s="79">
        <v>2</v>
      </c>
      <c r="AZ32" s="79">
        <v>227</v>
      </c>
      <c r="BA32" s="79">
        <v>1</v>
      </c>
      <c r="BB32" s="79">
        <v>0</v>
      </c>
      <c r="BC32" s="79">
        <v>0</v>
      </c>
      <c r="BD32" s="79">
        <v>0</v>
      </c>
      <c r="BE32" s="79">
        <v>0</v>
      </c>
      <c r="BF32" s="79">
        <v>0</v>
      </c>
      <c r="BG32" s="79">
        <v>1</v>
      </c>
      <c r="BH32" s="79">
        <v>1138</v>
      </c>
      <c r="BI32" s="79">
        <v>0</v>
      </c>
      <c r="BJ32" s="79">
        <v>0</v>
      </c>
      <c r="BK32" s="79">
        <v>0</v>
      </c>
      <c r="BL32" s="79">
        <v>335</v>
      </c>
      <c r="BM32" s="79">
        <v>11</v>
      </c>
      <c r="BN32" s="79">
        <v>1</v>
      </c>
      <c r="BO32">
        <v>258</v>
      </c>
      <c r="BP32">
        <v>53</v>
      </c>
      <c r="BQ32">
        <v>262</v>
      </c>
      <c r="BR32">
        <v>58</v>
      </c>
      <c r="BS32">
        <v>239</v>
      </c>
      <c r="BT32">
        <v>53</v>
      </c>
      <c r="BU32">
        <v>230</v>
      </c>
      <c r="BV32">
        <v>37</v>
      </c>
      <c r="BW32">
        <v>214</v>
      </c>
      <c r="BX32">
        <v>41</v>
      </c>
      <c r="BY32">
        <v>187</v>
      </c>
      <c r="BZ32">
        <v>35</v>
      </c>
      <c r="CB32">
        <v>12.717000000000001</v>
      </c>
      <c r="CC32">
        <v>0</v>
      </c>
      <c r="CD32">
        <v>0</v>
      </c>
      <c r="CE32">
        <v>401.92</v>
      </c>
      <c r="CF32">
        <v>-32.9</v>
      </c>
      <c r="CG32">
        <v>1.8930826446280999</v>
      </c>
      <c r="CH32">
        <v>6</v>
      </c>
      <c r="CI32">
        <v>1.6666666666666701</v>
      </c>
      <c r="CJ32">
        <v>2</v>
      </c>
      <c r="CK32" s="81">
        <v>30</v>
      </c>
      <c r="CL32">
        <v>3</v>
      </c>
      <c r="CM32">
        <v>140.84720221606599</v>
      </c>
      <c r="CN32">
        <v>6.0000000000000001E-3</v>
      </c>
      <c r="CO32">
        <v>926</v>
      </c>
      <c r="CP32">
        <v>129</v>
      </c>
      <c r="CQ32">
        <v>13</v>
      </c>
      <c r="CR32">
        <v>31</v>
      </c>
      <c r="CS32">
        <v>31</v>
      </c>
      <c r="CT32">
        <v>9</v>
      </c>
      <c r="CU32">
        <v>7.4939781021897804</v>
      </c>
      <c r="CV32">
        <v>5.0885036496350402</v>
      </c>
      <c r="CW32">
        <v>1.1102189781021901</v>
      </c>
      <c r="CX32">
        <v>38.337299999999999</v>
      </c>
      <c r="CY32">
        <v>26.031500000000001</v>
      </c>
      <c r="CZ32">
        <v>5.6795999999999998</v>
      </c>
      <c r="DA32">
        <v>0</v>
      </c>
      <c r="DE32">
        <v>93</v>
      </c>
      <c r="DF32" t="s">
        <v>291</v>
      </c>
      <c r="DG32">
        <v>874</v>
      </c>
      <c r="DH32">
        <v>881</v>
      </c>
      <c r="DI32">
        <v>857</v>
      </c>
      <c r="DJ32">
        <v>861</v>
      </c>
      <c r="DK32">
        <v>863</v>
      </c>
      <c r="DO32">
        <v>74</v>
      </c>
      <c r="DP32" t="s">
        <v>137</v>
      </c>
      <c r="DQ32">
        <v>23652</v>
      </c>
      <c r="DR32">
        <v>1</v>
      </c>
      <c r="DS32">
        <v>1079</v>
      </c>
      <c r="DV32">
        <v>370</v>
      </c>
      <c r="DW32" t="s">
        <v>38</v>
      </c>
      <c r="DX32">
        <v>951.68259023354597</v>
      </c>
      <c r="DY32">
        <v>198</v>
      </c>
      <c r="DZ32">
        <v>196</v>
      </c>
      <c r="EA32">
        <v>115</v>
      </c>
      <c r="EB32">
        <v>711</v>
      </c>
      <c r="EC32">
        <v>402</v>
      </c>
      <c r="ED32">
        <v>164</v>
      </c>
      <c r="EE32" s="82">
        <v>0.14044532345465999</v>
      </c>
      <c r="EF32" s="82">
        <v>0.31326727033450502</v>
      </c>
    </row>
    <row r="33" spans="1:136" x14ac:dyDescent="0.35">
      <c r="A33" s="72">
        <v>1949</v>
      </c>
      <c r="B33" s="72">
        <v>2</v>
      </c>
      <c r="D33" s="72" t="s">
        <v>325</v>
      </c>
      <c r="E33" s="79">
        <v>2634800000</v>
      </c>
      <c r="F33" s="79">
        <v>417900000</v>
      </c>
      <c r="G33" s="79">
        <v>497700000</v>
      </c>
      <c r="H33" s="79">
        <v>46039</v>
      </c>
      <c r="I33" s="79">
        <v>11</v>
      </c>
      <c r="J33" s="79">
        <v>497.7</v>
      </c>
      <c r="K33" s="79">
        <v>9237</v>
      </c>
      <c r="L33" s="79">
        <v>9897</v>
      </c>
      <c r="M33" s="79">
        <v>3024</v>
      </c>
      <c r="N33" s="79">
        <v>6764</v>
      </c>
      <c r="O33" s="79">
        <v>4639</v>
      </c>
      <c r="P33" s="79">
        <v>1103.6666666666699</v>
      </c>
      <c r="Q33" s="79">
        <v>3157.6666666666702</v>
      </c>
      <c r="R33" s="79">
        <v>795</v>
      </c>
      <c r="S33" s="79">
        <v>0</v>
      </c>
      <c r="T33" s="79">
        <v>1321</v>
      </c>
      <c r="U33" s="79">
        <v>21064</v>
      </c>
      <c r="V33" s="79">
        <v>39690</v>
      </c>
      <c r="W33" s="79">
        <v>18290</v>
      </c>
      <c r="X33" s="79">
        <v>251.9</v>
      </c>
      <c r="Y33" s="79">
        <v>1522.4</v>
      </c>
      <c r="Z33" s="79">
        <v>0</v>
      </c>
      <c r="AA33" s="79">
        <v>0</v>
      </c>
      <c r="AB33" s="79">
        <v>0</v>
      </c>
      <c r="AC33" s="79">
        <v>28562</v>
      </c>
      <c r="AD33" s="79">
        <v>28847.62</v>
      </c>
      <c r="AE33" s="79">
        <v>396</v>
      </c>
      <c r="AF33" s="79">
        <v>2643</v>
      </c>
      <c r="AG33" s="79">
        <v>464</v>
      </c>
      <c r="AH33" s="79">
        <v>295.93</v>
      </c>
      <c r="AI33" s="79">
        <v>172.71</v>
      </c>
      <c r="AJ33" s="79">
        <v>21250</v>
      </c>
      <c r="AK33" s="79">
        <v>21462.5</v>
      </c>
      <c r="AL33" s="79">
        <v>22</v>
      </c>
      <c r="AM33" s="79">
        <v>0</v>
      </c>
      <c r="AN33" s="79">
        <v>0</v>
      </c>
      <c r="AO33" s="79">
        <v>5850</v>
      </c>
      <c r="AP33" s="79">
        <v>2975</v>
      </c>
      <c r="AQ33" s="79">
        <v>1787</v>
      </c>
      <c r="AR33" s="80">
        <v>2.8373890000000001E-3</v>
      </c>
      <c r="AS33" s="80">
        <v>5.9854500000000002E-4</v>
      </c>
      <c r="AT33" s="79">
        <v>10030</v>
      </c>
      <c r="AU33" s="79">
        <v>0</v>
      </c>
      <c r="AV33" s="79">
        <v>7109.39</v>
      </c>
      <c r="AW33" s="79">
        <v>11379.970195800801</v>
      </c>
      <c r="AX33" s="79">
        <v>34</v>
      </c>
      <c r="AY33" s="79">
        <v>34.340000000000003</v>
      </c>
      <c r="AZ33" s="79">
        <v>4623</v>
      </c>
      <c r="BA33" s="79">
        <v>1</v>
      </c>
      <c r="BB33" s="79">
        <v>0</v>
      </c>
      <c r="BC33" s="79">
        <v>0</v>
      </c>
      <c r="BD33" s="79">
        <v>0</v>
      </c>
      <c r="BE33" s="79">
        <v>0</v>
      </c>
      <c r="BF33" s="79">
        <v>0</v>
      </c>
      <c r="BG33" s="79">
        <v>0</v>
      </c>
      <c r="BH33" s="79">
        <v>0</v>
      </c>
      <c r="BI33" s="79">
        <v>0</v>
      </c>
      <c r="BJ33" s="79">
        <v>0</v>
      </c>
      <c r="BK33" s="79">
        <v>27</v>
      </c>
      <c r="BL33" s="79">
        <v>6680</v>
      </c>
      <c r="BM33" s="79">
        <v>293</v>
      </c>
      <c r="BN33" s="79">
        <v>171</v>
      </c>
      <c r="BO33">
        <v>10882</v>
      </c>
      <c r="BP33">
        <v>1792</v>
      </c>
      <c r="BQ33">
        <v>10788.86</v>
      </c>
      <c r="BR33">
        <v>1809</v>
      </c>
      <c r="BS33">
        <v>10698.86</v>
      </c>
      <c r="BT33">
        <v>1831</v>
      </c>
      <c r="BU33">
        <v>10507.58</v>
      </c>
      <c r="BV33">
        <v>1915</v>
      </c>
      <c r="BW33">
        <v>10370.57</v>
      </c>
      <c r="BX33">
        <v>1909</v>
      </c>
      <c r="BY33">
        <v>10158.19</v>
      </c>
      <c r="BZ33">
        <v>1915</v>
      </c>
      <c r="CB33">
        <v>932.93700000000001</v>
      </c>
      <c r="CC33">
        <v>82</v>
      </c>
      <c r="CD33">
        <v>92</v>
      </c>
      <c r="CE33">
        <v>11498.61</v>
      </c>
      <c r="CF33">
        <v>2826.45</v>
      </c>
      <c r="CG33">
        <v>447.388543179517</v>
      </c>
      <c r="CH33">
        <v>489</v>
      </c>
      <c r="CI33">
        <v>285.66666666666703</v>
      </c>
      <c r="CJ33">
        <v>253.333333333333</v>
      </c>
      <c r="CK33" s="81">
        <v>2054</v>
      </c>
      <c r="CL33">
        <v>631</v>
      </c>
      <c r="CM33">
        <v>7312.3990471034103</v>
      </c>
      <c r="CN33">
        <v>2.9630000000000001</v>
      </c>
      <c r="CO33">
        <v>36142</v>
      </c>
      <c r="CP33">
        <v>5886</v>
      </c>
      <c r="CQ33">
        <v>987</v>
      </c>
      <c r="CR33">
        <v>1203</v>
      </c>
      <c r="CS33">
        <v>967</v>
      </c>
      <c r="CT33">
        <v>482</v>
      </c>
      <c r="CU33">
        <v>804.45717647058802</v>
      </c>
      <c r="CV33">
        <v>459.09727058823501</v>
      </c>
      <c r="CW33">
        <v>142.772047058824</v>
      </c>
      <c r="CX33">
        <v>2075.0234999999998</v>
      </c>
      <c r="CY33">
        <v>1184.1993</v>
      </c>
      <c r="CZ33">
        <v>368.26740000000001</v>
      </c>
      <c r="DA33">
        <v>29526</v>
      </c>
      <c r="DE33">
        <v>96</v>
      </c>
      <c r="DF33" t="s">
        <v>319</v>
      </c>
      <c r="DG33">
        <v>258</v>
      </c>
      <c r="DH33">
        <v>262</v>
      </c>
      <c r="DI33">
        <v>239</v>
      </c>
      <c r="DJ33">
        <v>230</v>
      </c>
      <c r="DK33">
        <v>214</v>
      </c>
      <c r="DO33">
        <v>79</v>
      </c>
      <c r="DP33" t="s">
        <v>806</v>
      </c>
      <c r="DQ33">
        <v>5633</v>
      </c>
      <c r="DR33">
        <v>1.01</v>
      </c>
      <c r="DS33">
        <v>371</v>
      </c>
      <c r="DV33">
        <v>889</v>
      </c>
      <c r="DW33" t="s">
        <v>39</v>
      </c>
      <c r="DX33">
        <v>1819.31058255774</v>
      </c>
      <c r="DY33">
        <v>323</v>
      </c>
      <c r="DZ33">
        <v>321</v>
      </c>
      <c r="EA33">
        <v>174</v>
      </c>
      <c r="EB33">
        <v>1082</v>
      </c>
      <c r="EC33">
        <v>664</v>
      </c>
      <c r="ED33">
        <v>249</v>
      </c>
      <c r="EE33" s="82">
        <v>0.18132218688073901</v>
      </c>
      <c r="EF33" s="82">
        <v>0.50750240615976905</v>
      </c>
    </row>
    <row r="34" spans="1:136" x14ac:dyDescent="0.35">
      <c r="A34" s="72">
        <v>98</v>
      </c>
      <c r="B34" s="72">
        <v>2</v>
      </c>
      <c r="D34" s="72" t="s">
        <v>341</v>
      </c>
      <c r="E34" s="79">
        <v>1746800000</v>
      </c>
      <c r="F34" s="79">
        <v>303100000</v>
      </c>
      <c r="G34" s="79">
        <v>351750000</v>
      </c>
      <c r="H34" s="79">
        <v>25840</v>
      </c>
      <c r="I34" s="79">
        <v>2</v>
      </c>
      <c r="J34" s="79">
        <v>351.75</v>
      </c>
      <c r="K34" s="79">
        <v>4871</v>
      </c>
      <c r="L34" s="79">
        <v>6052</v>
      </c>
      <c r="M34" s="79">
        <v>2005</v>
      </c>
      <c r="N34" s="79">
        <v>3979</v>
      </c>
      <c r="O34" s="79">
        <v>2786.7</v>
      </c>
      <c r="P34" s="79">
        <v>512.33333333333303</v>
      </c>
      <c r="Q34" s="79">
        <v>1851.3333333333301</v>
      </c>
      <c r="R34" s="79">
        <v>545</v>
      </c>
      <c r="S34" s="79">
        <v>0</v>
      </c>
      <c r="T34" s="79">
        <v>687</v>
      </c>
      <c r="U34" s="79">
        <v>11761</v>
      </c>
      <c r="V34" s="79">
        <v>25680</v>
      </c>
      <c r="W34" s="79">
        <v>17240</v>
      </c>
      <c r="X34" s="79">
        <v>110.88</v>
      </c>
      <c r="Y34" s="79">
        <v>1000</v>
      </c>
      <c r="Z34" s="79">
        <v>0</v>
      </c>
      <c r="AA34" s="79">
        <v>0</v>
      </c>
      <c r="AB34" s="79">
        <v>0</v>
      </c>
      <c r="AC34" s="79">
        <v>22017</v>
      </c>
      <c r="AD34" s="79">
        <v>22017</v>
      </c>
      <c r="AE34" s="79">
        <v>828</v>
      </c>
      <c r="AF34" s="79">
        <v>0</v>
      </c>
      <c r="AG34" s="79">
        <v>307</v>
      </c>
      <c r="AH34" s="79">
        <v>154</v>
      </c>
      <c r="AI34" s="79">
        <v>153</v>
      </c>
      <c r="AJ34" s="79">
        <v>11923</v>
      </c>
      <c r="AK34" s="79">
        <v>11923</v>
      </c>
      <c r="AL34" s="79">
        <v>0</v>
      </c>
      <c r="AM34" s="79">
        <v>0</v>
      </c>
      <c r="AN34" s="79">
        <v>0</v>
      </c>
      <c r="AO34" s="79">
        <v>0</v>
      </c>
      <c r="AP34" s="79">
        <v>1042</v>
      </c>
      <c r="AQ34" s="79">
        <v>0</v>
      </c>
      <c r="AR34" s="80">
        <v>1.20327E-3</v>
      </c>
      <c r="AS34" s="80">
        <v>4.1712299999999998E-4</v>
      </c>
      <c r="AT34" s="79">
        <v>8071.8710000000001</v>
      </c>
      <c r="AU34" s="79">
        <v>0</v>
      </c>
      <c r="AV34" s="79">
        <v>7503</v>
      </c>
      <c r="AW34" s="79">
        <v>8486.6500328299408</v>
      </c>
      <c r="AX34" s="79">
        <v>19</v>
      </c>
      <c r="AY34" s="79">
        <v>19</v>
      </c>
      <c r="AZ34" s="79">
        <v>2890</v>
      </c>
      <c r="BA34" s="79">
        <v>1</v>
      </c>
      <c r="BB34" s="79">
        <v>0</v>
      </c>
      <c r="BC34" s="79">
        <v>0</v>
      </c>
      <c r="BD34" s="79">
        <v>0</v>
      </c>
      <c r="BE34" s="79">
        <v>0</v>
      </c>
      <c r="BF34" s="79">
        <v>0</v>
      </c>
      <c r="BG34" s="79">
        <v>0</v>
      </c>
      <c r="BH34" s="79">
        <v>0</v>
      </c>
      <c r="BI34" s="79">
        <v>0</v>
      </c>
      <c r="BJ34" s="79">
        <v>0</v>
      </c>
      <c r="BK34" s="79">
        <v>29</v>
      </c>
      <c r="BL34" s="79">
        <v>3626</v>
      </c>
      <c r="BM34" s="79">
        <v>154</v>
      </c>
      <c r="BN34" s="79">
        <v>153</v>
      </c>
      <c r="BO34">
        <v>5409</v>
      </c>
      <c r="BP34">
        <v>1198</v>
      </c>
      <c r="BQ34">
        <v>5360</v>
      </c>
      <c r="BR34">
        <v>1225</v>
      </c>
      <c r="BS34">
        <v>5336</v>
      </c>
      <c r="BT34">
        <v>1294</v>
      </c>
      <c r="BU34">
        <v>5257</v>
      </c>
      <c r="BV34">
        <v>1372</v>
      </c>
      <c r="BW34">
        <v>5136</v>
      </c>
      <c r="BX34">
        <v>1386</v>
      </c>
      <c r="BY34">
        <v>5078</v>
      </c>
      <c r="BZ34">
        <v>1422</v>
      </c>
      <c r="CB34">
        <v>584.52</v>
      </c>
      <c r="CC34">
        <v>75</v>
      </c>
      <c r="CD34">
        <v>46</v>
      </c>
      <c r="CE34">
        <v>6544.72</v>
      </c>
      <c r="CF34">
        <v>1539</v>
      </c>
      <c r="CG34">
        <v>209.75339128123301</v>
      </c>
      <c r="CH34">
        <v>276</v>
      </c>
      <c r="CI34">
        <v>129.666666666667</v>
      </c>
      <c r="CJ34">
        <v>124</v>
      </c>
      <c r="CK34" s="81">
        <v>1339</v>
      </c>
      <c r="CL34">
        <v>428</v>
      </c>
      <c r="CM34">
        <v>4274.5354231974898</v>
      </c>
      <c r="CN34">
        <v>1.1679999999999999</v>
      </c>
      <c r="CO34">
        <v>19788</v>
      </c>
      <c r="CP34">
        <v>3310</v>
      </c>
      <c r="CQ34">
        <v>737</v>
      </c>
      <c r="CR34">
        <v>689</v>
      </c>
      <c r="CS34">
        <v>626</v>
      </c>
      <c r="CT34">
        <v>338</v>
      </c>
      <c r="CU34">
        <v>484.97882244401598</v>
      </c>
      <c r="CV34">
        <v>313.65859263608098</v>
      </c>
      <c r="CW34">
        <v>109.383175375325</v>
      </c>
      <c r="CX34">
        <v>1148.3050000000001</v>
      </c>
      <c r="CY34">
        <v>742.66279999999995</v>
      </c>
      <c r="CZ34">
        <v>258.99119999999999</v>
      </c>
      <c r="DA34">
        <v>22756</v>
      </c>
      <c r="DE34">
        <v>98</v>
      </c>
      <c r="DF34" t="s">
        <v>341</v>
      </c>
      <c r="DG34">
        <v>5409</v>
      </c>
      <c r="DH34">
        <v>5360</v>
      </c>
      <c r="DI34">
        <v>5336</v>
      </c>
      <c r="DJ34">
        <v>5257</v>
      </c>
      <c r="DK34">
        <v>5136</v>
      </c>
      <c r="DO34">
        <v>80</v>
      </c>
      <c r="DP34" t="s">
        <v>178</v>
      </c>
      <c r="DQ34">
        <v>63050</v>
      </c>
      <c r="DR34">
        <v>1.1399999999999999</v>
      </c>
      <c r="DS34">
        <v>2071</v>
      </c>
      <c r="DV34">
        <v>1945</v>
      </c>
      <c r="DW34" t="s">
        <v>40</v>
      </c>
      <c r="DX34">
        <v>5075.1310184587601</v>
      </c>
      <c r="DY34">
        <v>1037</v>
      </c>
      <c r="DZ34">
        <v>883</v>
      </c>
      <c r="EA34">
        <v>466</v>
      </c>
      <c r="EB34">
        <v>2954</v>
      </c>
      <c r="EC34">
        <v>1767</v>
      </c>
      <c r="ED34">
        <v>660</v>
      </c>
      <c r="EE34" s="82">
        <v>0.21154886546708199</v>
      </c>
      <c r="EF34" s="82">
        <v>0.46520230991337802</v>
      </c>
    </row>
    <row r="35" spans="1:136" x14ac:dyDescent="0.35">
      <c r="A35" s="72">
        <v>1680</v>
      </c>
      <c r="B35" s="72">
        <v>3</v>
      </c>
      <c r="D35" s="72" t="s">
        <v>0</v>
      </c>
      <c r="E35" s="79">
        <v>2119200000</v>
      </c>
      <c r="F35" s="79">
        <v>219100000</v>
      </c>
      <c r="G35" s="79">
        <v>270900000</v>
      </c>
      <c r="H35" s="79">
        <v>25386</v>
      </c>
      <c r="I35" s="79">
        <v>6</v>
      </c>
      <c r="J35" s="79">
        <v>270.89999999999998</v>
      </c>
      <c r="K35" s="79">
        <v>4451</v>
      </c>
      <c r="L35" s="79">
        <v>6613</v>
      </c>
      <c r="M35" s="79">
        <v>2020</v>
      </c>
      <c r="N35" s="79">
        <v>3189</v>
      </c>
      <c r="O35" s="79">
        <v>1876.8</v>
      </c>
      <c r="P35" s="79">
        <v>383.66666666666703</v>
      </c>
      <c r="Q35" s="79">
        <v>1663.6666666666699</v>
      </c>
      <c r="R35" s="79">
        <v>300</v>
      </c>
      <c r="S35" s="79">
        <v>0</v>
      </c>
      <c r="T35" s="79">
        <v>590</v>
      </c>
      <c r="U35" s="79">
        <v>11674</v>
      </c>
      <c r="V35" s="79">
        <v>19450</v>
      </c>
      <c r="W35" s="79">
        <v>3000</v>
      </c>
      <c r="X35" s="79">
        <v>0</v>
      </c>
      <c r="Y35" s="79">
        <v>288</v>
      </c>
      <c r="Z35" s="79">
        <v>0</v>
      </c>
      <c r="AA35" s="79">
        <v>0</v>
      </c>
      <c r="AB35" s="79">
        <v>267.60000000000002</v>
      </c>
      <c r="AC35" s="79">
        <v>27602</v>
      </c>
      <c r="AD35" s="79">
        <v>27602</v>
      </c>
      <c r="AE35" s="79">
        <v>286</v>
      </c>
      <c r="AF35" s="79">
        <v>0</v>
      </c>
      <c r="AG35" s="79">
        <v>268</v>
      </c>
      <c r="AH35" s="79">
        <v>171</v>
      </c>
      <c r="AI35" s="79">
        <v>96</v>
      </c>
      <c r="AJ35" s="79">
        <v>13122</v>
      </c>
      <c r="AK35" s="79">
        <v>13122</v>
      </c>
      <c r="AL35" s="79">
        <v>0</v>
      </c>
      <c r="AM35" s="79">
        <v>0</v>
      </c>
      <c r="AN35" s="79">
        <v>0</v>
      </c>
      <c r="AO35" s="79">
        <v>0</v>
      </c>
      <c r="AP35" s="79">
        <v>0</v>
      </c>
      <c r="AQ35" s="79">
        <v>0</v>
      </c>
      <c r="AR35" s="80">
        <v>7.2006299999999995E-4</v>
      </c>
      <c r="AS35" s="80">
        <v>1.80125E-4</v>
      </c>
      <c r="AT35" s="79">
        <v>3674.16</v>
      </c>
      <c r="AU35" s="79">
        <v>0</v>
      </c>
      <c r="AV35" s="79">
        <v>3351</v>
      </c>
      <c r="AW35" s="79">
        <v>3050.3616609294299</v>
      </c>
      <c r="AX35" s="79">
        <v>33</v>
      </c>
      <c r="AY35" s="79">
        <v>33</v>
      </c>
      <c r="AZ35" s="79">
        <v>2838</v>
      </c>
      <c r="BA35" s="79">
        <v>1</v>
      </c>
      <c r="BB35" s="79">
        <v>0</v>
      </c>
      <c r="BC35" s="79">
        <v>0</v>
      </c>
      <c r="BD35" s="79">
        <v>0</v>
      </c>
      <c r="BE35" s="79">
        <v>0</v>
      </c>
      <c r="BF35" s="79">
        <v>0</v>
      </c>
      <c r="BG35" s="79">
        <v>0</v>
      </c>
      <c r="BH35" s="79">
        <v>0</v>
      </c>
      <c r="BI35" s="79">
        <v>0</v>
      </c>
      <c r="BJ35" s="79">
        <v>0</v>
      </c>
      <c r="BK35" s="79">
        <v>14</v>
      </c>
      <c r="BL35" s="79">
        <v>3254</v>
      </c>
      <c r="BM35" s="79">
        <v>171</v>
      </c>
      <c r="BN35" s="79">
        <v>96</v>
      </c>
      <c r="BO35">
        <v>5449</v>
      </c>
      <c r="BP35">
        <v>84</v>
      </c>
      <c r="BQ35">
        <v>5357</v>
      </c>
      <c r="BR35">
        <v>94</v>
      </c>
      <c r="BS35">
        <v>5252</v>
      </c>
      <c r="BT35">
        <v>133</v>
      </c>
      <c r="BU35">
        <v>5152</v>
      </c>
      <c r="BV35">
        <v>182</v>
      </c>
      <c r="BW35">
        <v>5058</v>
      </c>
      <c r="BX35">
        <v>206</v>
      </c>
      <c r="BY35">
        <v>4907</v>
      </c>
      <c r="BZ35">
        <v>233</v>
      </c>
      <c r="CB35">
        <v>347.178</v>
      </c>
      <c r="CC35">
        <v>36</v>
      </c>
      <c r="CD35">
        <v>42</v>
      </c>
      <c r="CE35">
        <v>7806.4</v>
      </c>
      <c r="CF35">
        <v>1705.82</v>
      </c>
      <c r="CG35">
        <v>94.057180803571399</v>
      </c>
      <c r="CH35">
        <v>200</v>
      </c>
      <c r="CI35">
        <v>92.6666666666667</v>
      </c>
      <c r="CJ35">
        <v>75.3333333333333</v>
      </c>
      <c r="CK35" s="81">
        <v>1280</v>
      </c>
      <c r="CL35">
        <v>474</v>
      </c>
      <c r="CM35">
        <v>3929.9776666798698</v>
      </c>
      <c r="CN35">
        <v>0.83899999999999997</v>
      </c>
      <c r="CO35">
        <v>18773</v>
      </c>
      <c r="CP35">
        <v>3911</v>
      </c>
      <c r="CQ35">
        <v>682</v>
      </c>
      <c r="CR35">
        <v>696</v>
      </c>
      <c r="CS35">
        <v>569</v>
      </c>
      <c r="CT35">
        <v>350</v>
      </c>
      <c r="CU35">
        <v>334.68312757201602</v>
      </c>
      <c r="CV35">
        <v>195.80393232738899</v>
      </c>
      <c r="CW35">
        <v>70.655326931870107</v>
      </c>
      <c r="CX35">
        <v>979.75800000000004</v>
      </c>
      <c r="CY35">
        <v>573.20029999999997</v>
      </c>
      <c r="CZ35">
        <v>206.83779999999999</v>
      </c>
      <c r="DA35">
        <v>101570</v>
      </c>
      <c r="DE35">
        <v>106</v>
      </c>
      <c r="DF35" t="s">
        <v>30</v>
      </c>
      <c r="DG35">
        <v>15373</v>
      </c>
      <c r="DH35">
        <v>15418</v>
      </c>
      <c r="DI35">
        <v>15358</v>
      </c>
      <c r="DJ35">
        <v>15166</v>
      </c>
      <c r="DK35">
        <v>15038</v>
      </c>
      <c r="DO35">
        <v>85</v>
      </c>
      <c r="DP35" t="s">
        <v>234</v>
      </c>
      <c r="DQ35">
        <v>12163</v>
      </c>
      <c r="DR35">
        <v>1</v>
      </c>
      <c r="DS35">
        <v>481</v>
      </c>
      <c r="DV35">
        <v>1724</v>
      </c>
      <c r="DW35" t="s">
        <v>41</v>
      </c>
      <c r="DX35">
        <v>1849.56921272159</v>
      </c>
      <c r="DY35">
        <v>371</v>
      </c>
      <c r="DZ35">
        <v>419</v>
      </c>
      <c r="EA35">
        <v>204</v>
      </c>
      <c r="EB35">
        <v>1391</v>
      </c>
      <c r="EC35">
        <v>900</v>
      </c>
      <c r="ED35">
        <v>285</v>
      </c>
      <c r="EE35" s="82">
        <v>0.11389721437742401</v>
      </c>
      <c r="EF35" s="82">
        <v>0.40413750931708498</v>
      </c>
    </row>
    <row r="36" spans="1:136" x14ac:dyDescent="0.35">
      <c r="A36" s="72">
        <v>106</v>
      </c>
      <c r="B36" s="72">
        <v>3</v>
      </c>
      <c r="D36" s="72" t="s">
        <v>30</v>
      </c>
      <c r="E36" s="79">
        <v>4591600000</v>
      </c>
      <c r="F36" s="79">
        <v>784000000</v>
      </c>
      <c r="G36" s="79">
        <v>803250000</v>
      </c>
      <c r="H36" s="79">
        <v>67963</v>
      </c>
      <c r="I36" s="79">
        <v>1</v>
      </c>
      <c r="J36" s="79">
        <v>803.25</v>
      </c>
      <c r="K36" s="79">
        <v>13914</v>
      </c>
      <c r="L36" s="79">
        <v>13476</v>
      </c>
      <c r="M36" s="79">
        <v>4160</v>
      </c>
      <c r="N36" s="79">
        <v>10537</v>
      </c>
      <c r="O36" s="79">
        <v>7300.3</v>
      </c>
      <c r="P36" s="79">
        <v>2066</v>
      </c>
      <c r="Q36" s="79">
        <v>6567</v>
      </c>
      <c r="R36" s="79">
        <v>2235</v>
      </c>
      <c r="S36" s="79">
        <v>0</v>
      </c>
      <c r="T36" s="79">
        <v>2564</v>
      </c>
      <c r="U36" s="79">
        <v>32728</v>
      </c>
      <c r="V36" s="79">
        <v>76820</v>
      </c>
      <c r="W36" s="79">
        <v>106200</v>
      </c>
      <c r="X36" s="79">
        <v>2017.26</v>
      </c>
      <c r="Y36" s="79">
        <v>4200</v>
      </c>
      <c r="Z36" s="79">
        <v>0</v>
      </c>
      <c r="AA36" s="79">
        <v>0</v>
      </c>
      <c r="AB36" s="79">
        <v>250.5</v>
      </c>
      <c r="AC36" s="79">
        <v>8186</v>
      </c>
      <c r="AD36" s="79">
        <v>8186</v>
      </c>
      <c r="AE36" s="79">
        <v>159</v>
      </c>
      <c r="AF36" s="79">
        <v>0</v>
      </c>
      <c r="AG36" s="79">
        <v>397</v>
      </c>
      <c r="AH36" s="79">
        <v>357</v>
      </c>
      <c r="AI36" s="79">
        <v>41</v>
      </c>
      <c r="AJ36" s="79">
        <v>32367</v>
      </c>
      <c r="AK36" s="79">
        <v>32367</v>
      </c>
      <c r="AL36" s="79">
        <v>11</v>
      </c>
      <c r="AM36" s="79">
        <v>0</v>
      </c>
      <c r="AN36" s="79">
        <v>0</v>
      </c>
      <c r="AO36" s="79">
        <v>0</v>
      </c>
      <c r="AP36" s="79">
        <v>3666</v>
      </c>
      <c r="AQ36" s="79">
        <v>3666</v>
      </c>
      <c r="AR36" s="80">
        <v>1.1645659999999999E-3</v>
      </c>
      <c r="AS36" s="80">
        <v>3.1044890000000002E-3</v>
      </c>
      <c r="AT36" s="79">
        <v>49553.877</v>
      </c>
      <c r="AU36" s="79">
        <v>0</v>
      </c>
      <c r="AV36" s="79">
        <v>1884</v>
      </c>
      <c r="AW36" s="79">
        <v>15343.5940083883</v>
      </c>
      <c r="AX36" s="79">
        <v>3</v>
      </c>
      <c r="AY36" s="79">
        <v>3</v>
      </c>
      <c r="AZ36" s="79">
        <v>5688</v>
      </c>
      <c r="BA36" s="79">
        <v>1</v>
      </c>
      <c r="BB36" s="79">
        <v>0</v>
      </c>
      <c r="BC36" s="79">
        <v>0</v>
      </c>
      <c r="BD36" s="79">
        <v>0</v>
      </c>
      <c r="BE36" s="79">
        <v>0</v>
      </c>
      <c r="BF36" s="79">
        <v>0</v>
      </c>
      <c r="BG36" s="79">
        <v>0</v>
      </c>
      <c r="BH36" s="79">
        <v>0</v>
      </c>
      <c r="BI36" s="79">
        <v>0</v>
      </c>
      <c r="BJ36" s="79">
        <v>0</v>
      </c>
      <c r="BK36" s="79">
        <v>67</v>
      </c>
      <c r="BL36" s="79">
        <v>11815</v>
      </c>
      <c r="BM36" s="79">
        <v>357</v>
      </c>
      <c r="BN36" s="79">
        <v>41</v>
      </c>
      <c r="BO36">
        <v>15373</v>
      </c>
      <c r="BP36">
        <v>4545</v>
      </c>
      <c r="BQ36">
        <v>15418</v>
      </c>
      <c r="BR36">
        <v>4636</v>
      </c>
      <c r="BS36">
        <v>15358</v>
      </c>
      <c r="BT36">
        <v>4814</v>
      </c>
      <c r="BU36">
        <v>15166</v>
      </c>
      <c r="BV36">
        <v>4857</v>
      </c>
      <c r="BW36">
        <v>15038</v>
      </c>
      <c r="BX36">
        <v>4742</v>
      </c>
      <c r="BY36">
        <v>14875</v>
      </c>
      <c r="BZ36">
        <v>4728</v>
      </c>
      <c r="CB36">
        <v>1906.2180000000001</v>
      </c>
      <c r="CC36">
        <v>164</v>
      </c>
      <c r="CD36">
        <v>210</v>
      </c>
      <c r="CE36">
        <v>18305.34</v>
      </c>
      <c r="CF36">
        <v>4349.3999999999996</v>
      </c>
      <c r="CG36">
        <v>696.33596783939197</v>
      </c>
      <c r="CH36">
        <v>922</v>
      </c>
      <c r="CI36">
        <v>546.66666666666697</v>
      </c>
      <c r="CJ36">
        <v>475.66666666666703</v>
      </c>
      <c r="CK36" s="81">
        <v>4501</v>
      </c>
      <c r="CL36">
        <v>1625</v>
      </c>
      <c r="CM36">
        <v>9886.8981947778902</v>
      </c>
      <c r="CN36">
        <v>6.0350000000000001</v>
      </c>
      <c r="CO36">
        <v>54487</v>
      </c>
      <c r="CP36">
        <v>7761</v>
      </c>
      <c r="CQ36">
        <v>1555</v>
      </c>
      <c r="CR36">
        <v>1973</v>
      </c>
      <c r="CS36">
        <v>1499</v>
      </c>
      <c r="CT36">
        <v>791</v>
      </c>
      <c r="CU36">
        <v>1119.3928661908701</v>
      </c>
      <c r="CV36">
        <v>651.60709055519499</v>
      </c>
      <c r="CW36">
        <v>248.32793586059901</v>
      </c>
      <c r="CX36">
        <v>2584.7303999999999</v>
      </c>
      <c r="CY36">
        <v>1504.5912000000001</v>
      </c>
      <c r="CZ36">
        <v>573.4008</v>
      </c>
      <c r="DA36">
        <v>257748</v>
      </c>
      <c r="DE36">
        <v>109</v>
      </c>
      <c r="DF36" t="s">
        <v>70</v>
      </c>
      <c r="DG36">
        <v>7596</v>
      </c>
      <c r="DH36">
        <v>7618</v>
      </c>
      <c r="DI36">
        <v>7535</v>
      </c>
      <c r="DJ36">
        <v>7434</v>
      </c>
      <c r="DK36">
        <v>7367</v>
      </c>
      <c r="DO36">
        <v>86</v>
      </c>
      <c r="DP36" t="s">
        <v>237</v>
      </c>
      <c r="DQ36">
        <v>13277</v>
      </c>
      <c r="DR36">
        <v>1</v>
      </c>
      <c r="DS36">
        <v>406</v>
      </c>
      <c r="DV36">
        <v>893</v>
      </c>
      <c r="DW36" t="s">
        <v>42</v>
      </c>
      <c r="DX36">
        <v>1719.3925872616101</v>
      </c>
      <c r="DY36">
        <v>310</v>
      </c>
      <c r="DZ36">
        <v>305</v>
      </c>
      <c r="EA36">
        <v>155</v>
      </c>
      <c r="EB36">
        <v>1067</v>
      </c>
      <c r="EC36">
        <v>648</v>
      </c>
      <c r="ED36">
        <v>219</v>
      </c>
      <c r="EE36" s="82">
        <v>0.200961419090076</v>
      </c>
      <c r="EF36" s="82">
        <v>0.50311442937072404</v>
      </c>
    </row>
    <row r="37" spans="1:136" x14ac:dyDescent="0.35">
      <c r="A37" s="72">
        <v>1681</v>
      </c>
      <c r="B37" s="72">
        <v>3</v>
      </c>
      <c r="D37" s="72" t="s">
        <v>55</v>
      </c>
      <c r="E37" s="79">
        <v>1714000000</v>
      </c>
      <c r="F37" s="79">
        <v>249900000</v>
      </c>
      <c r="G37" s="79">
        <v>290500000</v>
      </c>
      <c r="H37" s="79">
        <v>25372</v>
      </c>
      <c r="I37" s="79">
        <v>5</v>
      </c>
      <c r="J37" s="79">
        <v>290.5</v>
      </c>
      <c r="K37" s="79">
        <v>4431</v>
      </c>
      <c r="L37" s="79">
        <v>6182</v>
      </c>
      <c r="M37" s="79">
        <v>1877</v>
      </c>
      <c r="N37" s="79">
        <v>3437</v>
      </c>
      <c r="O37" s="79">
        <v>2240.8000000000002</v>
      </c>
      <c r="P37" s="79">
        <v>509.66666666666703</v>
      </c>
      <c r="Q37" s="79">
        <v>2037.6666666666699</v>
      </c>
      <c r="R37" s="79">
        <v>305</v>
      </c>
      <c r="S37" s="79">
        <v>0</v>
      </c>
      <c r="T37" s="79">
        <v>623</v>
      </c>
      <c r="U37" s="79">
        <v>11360</v>
      </c>
      <c r="V37" s="79">
        <v>20600</v>
      </c>
      <c r="W37" s="79">
        <v>3600</v>
      </c>
      <c r="X37" s="79">
        <v>0</v>
      </c>
      <c r="Y37" s="79">
        <v>139.19999999999999</v>
      </c>
      <c r="Z37" s="79">
        <v>0</v>
      </c>
      <c r="AA37" s="79">
        <v>0</v>
      </c>
      <c r="AB37" s="79">
        <v>0</v>
      </c>
      <c r="AC37" s="79">
        <v>27489</v>
      </c>
      <c r="AD37" s="79">
        <v>27489</v>
      </c>
      <c r="AE37" s="79">
        <v>300</v>
      </c>
      <c r="AF37" s="79">
        <v>0</v>
      </c>
      <c r="AG37" s="79">
        <v>282</v>
      </c>
      <c r="AH37" s="79">
        <v>170</v>
      </c>
      <c r="AI37" s="79">
        <v>112</v>
      </c>
      <c r="AJ37" s="79">
        <v>11962</v>
      </c>
      <c r="AK37" s="79">
        <v>11962</v>
      </c>
      <c r="AL37" s="79">
        <v>0</v>
      </c>
      <c r="AM37" s="79">
        <v>0</v>
      </c>
      <c r="AN37" s="79">
        <v>0</v>
      </c>
      <c r="AO37" s="79">
        <v>0</v>
      </c>
      <c r="AP37" s="79">
        <v>2246</v>
      </c>
      <c r="AQ37" s="79">
        <v>0</v>
      </c>
      <c r="AR37" s="80">
        <v>8.34062E-4</v>
      </c>
      <c r="AS37" s="80">
        <v>2.5033100000000001E-4</v>
      </c>
      <c r="AT37" s="79">
        <v>3134.0439999999999</v>
      </c>
      <c r="AU37" s="79">
        <v>0</v>
      </c>
      <c r="AV37" s="79">
        <v>5570</v>
      </c>
      <c r="AW37" s="79">
        <v>5085.5388822915502</v>
      </c>
      <c r="AX37" s="79">
        <v>36</v>
      </c>
      <c r="AY37" s="79">
        <v>36</v>
      </c>
      <c r="AZ37" s="79">
        <v>2690</v>
      </c>
      <c r="BA37" s="79">
        <v>1</v>
      </c>
      <c r="BB37" s="79">
        <v>0</v>
      </c>
      <c r="BC37" s="79">
        <v>0</v>
      </c>
      <c r="BD37" s="79">
        <v>0</v>
      </c>
      <c r="BE37" s="79">
        <v>0</v>
      </c>
      <c r="BF37" s="79">
        <v>0</v>
      </c>
      <c r="BG37" s="79">
        <v>0</v>
      </c>
      <c r="BH37" s="79">
        <v>0</v>
      </c>
      <c r="BI37" s="79">
        <v>0</v>
      </c>
      <c r="BJ37" s="79">
        <v>0</v>
      </c>
      <c r="BK37" s="79">
        <v>28</v>
      </c>
      <c r="BL37" s="79">
        <v>3095</v>
      </c>
      <c r="BM37" s="79">
        <v>170</v>
      </c>
      <c r="BN37" s="79">
        <v>112</v>
      </c>
      <c r="BO37">
        <v>5506</v>
      </c>
      <c r="BP37">
        <v>217</v>
      </c>
      <c r="BQ37">
        <v>5443</v>
      </c>
      <c r="BR37">
        <v>193</v>
      </c>
      <c r="BS37">
        <v>5311</v>
      </c>
      <c r="BT37">
        <v>217</v>
      </c>
      <c r="BU37">
        <v>5259</v>
      </c>
      <c r="BV37">
        <v>244</v>
      </c>
      <c r="BW37">
        <v>5092</v>
      </c>
      <c r="BX37">
        <v>245</v>
      </c>
      <c r="BY37">
        <v>4997</v>
      </c>
      <c r="BZ37">
        <v>255</v>
      </c>
      <c r="CB37">
        <v>478.548</v>
      </c>
      <c r="CC37">
        <v>96</v>
      </c>
      <c r="CD37">
        <v>31</v>
      </c>
      <c r="CE37">
        <v>6896.26</v>
      </c>
      <c r="CF37">
        <v>1515.71</v>
      </c>
      <c r="CG37">
        <v>123.682695652174</v>
      </c>
      <c r="CH37">
        <v>209</v>
      </c>
      <c r="CI37">
        <v>134</v>
      </c>
      <c r="CJ37">
        <v>102.333333333333</v>
      </c>
      <c r="CK37" s="81">
        <v>1528</v>
      </c>
      <c r="CL37">
        <v>402</v>
      </c>
      <c r="CM37">
        <v>4384.6528146308801</v>
      </c>
      <c r="CN37">
        <v>1.3959999999999999</v>
      </c>
      <c r="CO37">
        <v>19190</v>
      </c>
      <c r="CP37">
        <v>3700</v>
      </c>
      <c r="CQ37">
        <v>605</v>
      </c>
      <c r="CR37">
        <v>558</v>
      </c>
      <c r="CS37">
        <v>563</v>
      </c>
      <c r="CT37">
        <v>308</v>
      </c>
      <c r="CU37">
        <v>415.49025246614298</v>
      </c>
      <c r="CV37">
        <v>242.40053502758701</v>
      </c>
      <c r="CW37">
        <v>81.487042300618597</v>
      </c>
      <c r="CX37">
        <v>1135.3942</v>
      </c>
      <c r="CY37">
        <v>662.39859999999999</v>
      </c>
      <c r="CZ37">
        <v>222.6765</v>
      </c>
      <c r="DA37">
        <v>0</v>
      </c>
      <c r="DE37">
        <v>114</v>
      </c>
      <c r="DF37" t="s">
        <v>104</v>
      </c>
      <c r="DG37">
        <v>22664</v>
      </c>
      <c r="DH37">
        <v>22564</v>
      </c>
      <c r="DI37">
        <v>22332</v>
      </c>
      <c r="DJ37">
        <v>22014</v>
      </c>
      <c r="DK37">
        <v>21827</v>
      </c>
      <c r="DO37">
        <v>88</v>
      </c>
      <c r="DP37" t="s">
        <v>268</v>
      </c>
      <c r="DQ37">
        <v>1341</v>
      </c>
      <c r="DR37">
        <v>1</v>
      </c>
      <c r="DS37">
        <v>309</v>
      </c>
      <c r="DV37">
        <v>373</v>
      </c>
      <c r="DW37" t="s">
        <v>43</v>
      </c>
      <c r="DX37">
        <v>3915.5193673573999</v>
      </c>
      <c r="DY37">
        <v>1313</v>
      </c>
      <c r="DZ37">
        <v>972</v>
      </c>
      <c r="EA37">
        <v>486</v>
      </c>
      <c r="EB37">
        <v>3359</v>
      </c>
      <c r="EC37">
        <v>2037</v>
      </c>
      <c r="ED37">
        <v>704</v>
      </c>
      <c r="EE37" s="82">
        <v>0.11365924737298901</v>
      </c>
      <c r="EF37" s="82">
        <v>0.29883136280382799</v>
      </c>
    </row>
    <row r="38" spans="1:136" x14ac:dyDescent="0.35">
      <c r="A38" s="72">
        <v>109</v>
      </c>
      <c r="B38" s="72">
        <v>3</v>
      </c>
      <c r="D38" s="72" t="s">
        <v>70</v>
      </c>
      <c r="E38" s="79">
        <v>2380000000</v>
      </c>
      <c r="F38" s="79">
        <v>569450000</v>
      </c>
      <c r="G38" s="79">
        <v>621950000</v>
      </c>
      <c r="H38" s="79">
        <v>35483</v>
      </c>
      <c r="I38" s="79">
        <v>8</v>
      </c>
      <c r="J38" s="79">
        <v>621.95000000000005</v>
      </c>
      <c r="K38" s="79">
        <v>6647</v>
      </c>
      <c r="L38" s="79">
        <v>8441</v>
      </c>
      <c r="M38" s="79">
        <v>2647</v>
      </c>
      <c r="N38" s="79">
        <v>5119</v>
      </c>
      <c r="O38" s="79">
        <v>3388.2</v>
      </c>
      <c r="P38" s="79">
        <v>843.66666666666697</v>
      </c>
      <c r="Q38" s="79">
        <v>2787.6666666666702</v>
      </c>
      <c r="R38" s="79">
        <v>700</v>
      </c>
      <c r="S38" s="79">
        <v>0</v>
      </c>
      <c r="T38" s="79">
        <v>1000</v>
      </c>
      <c r="U38" s="79">
        <v>16253</v>
      </c>
      <c r="V38" s="79">
        <v>32530</v>
      </c>
      <c r="W38" s="79">
        <v>18340</v>
      </c>
      <c r="X38" s="79">
        <v>124.74</v>
      </c>
      <c r="Y38" s="79">
        <v>1228.8</v>
      </c>
      <c r="Z38" s="79">
        <v>0</v>
      </c>
      <c r="AA38" s="79">
        <v>0</v>
      </c>
      <c r="AB38" s="79">
        <v>0</v>
      </c>
      <c r="AC38" s="79">
        <v>29615</v>
      </c>
      <c r="AD38" s="79">
        <v>29615</v>
      </c>
      <c r="AE38" s="79">
        <v>354</v>
      </c>
      <c r="AF38" s="79">
        <v>0</v>
      </c>
      <c r="AG38" s="79">
        <v>413</v>
      </c>
      <c r="AH38" s="79">
        <v>238</v>
      </c>
      <c r="AI38" s="79">
        <v>176</v>
      </c>
      <c r="AJ38" s="79">
        <v>17308</v>
      </c>
      <c r="AK38" s="79">
        <v>17308</v>
      </c>
      <c r="AL38" s="79">
        <v>9</v>
      </c>
      <c r="AM38" s="79">
        <v>0</v>
      </c>
      <c r="AN38" s="79">
        <v>0</v>
      </c>
      <c r="AO38" s="79">
        <v>3250</v>
      </c>
      <c r="AP38" s="79">
        <v>917</v>
      </c>
      <c r="AQ38" s="79">
        <v>917</v>
      </c>
      <c r="AR38" s="80">
        <v>1.014834E-3</v>
      </c>
      <c r="AS38" s="80">
        <v>5.4257000000000003E-4</v>
      </c>
      <c r="AT38" s="79">
        <v>8688.616</v>
      </c>
      <c r="AU38" s="79">
        <v>0</v>
      </c>
      <c r="AV38" s="79">
        <v>4563</v>
      </c>
      <c r="AW38" s="79">
        <v>5402.54693182956</v>
      </c>
      <c r="AX38" s="79">
        <v>27</v>
      </c>
      <c r="AY38" s="79">
        <v>27</v>
      </c>
      <c r="AZ38" s="79">
        <v>3573</v>
      </c>
      <c r="BA38" s="79">
        <v>1</v>
      </c>
      <c r="BB38" s="79">
        <v>0</v>
      </c>
      <c r="BC38" s="79">
        <v>0</v>
      </c>
      <c r="BD38" s="79">
        <v>0</v>
      </c>
      <c r="BE38" s="79">
        <v>0</v>
      </c>
      <c r="BF38" s="79">
        <v>0</v>
      </c>
      <c r="BG38" s="79">
        <v>0</v>
      </c>
      <c r="BH38" s="79">
        <v>0</v>
      </c>
      <c r="BI38" s="79">
        <v>0</v>
      </c>
      <c r="BJ38" s="79">
        <v>0</v>
      </c>
      <c r="BK38" s="79">
        <v>28</v>
      </c>
      <c r="BL38" s="79">
        <v>4778</v>
      </c>
      <c r="BM38" s="79">
        <v>238</v>
      </c>
      <c r="BN38" s="79">
        <v>176</v>
      </c>
      <c r="BO38">
        <v>7596</v>
      </c>
      <c r="BP38">
        <v>1540</v>
      </c>
      <c r="BQ38">
        <v>7618</v>
      </c>
      <c r="BR38">
        <v>1586</v>
      </c>
      <c r="BS38">
        <v>7535</v>
      </c>
      <c r="BT38">
        <v>1643</v>
      </c>
      <c r="BU38">
        <v>7434</v>
      </c>
      <c r="BV38">
        <v>1694</v>
      </c>
      <c r="BW38">
        <v>7367</v>
      </c>
      <c r="BX38">
        <v>1822</v>
      </c>
      <c r="BY38">
        <v>7290</v>
      </c>
      <c r="BZ38">
        <v>1827</v>
      </c>
      <c r="CB38">
        <v>877.404</v>
      </c>
      <c r="CC38">
        <v>140</v>
      </c>
      <c r="CD38">
        <v>127</v>
      </c>
      <c r="CE38">
        <v>9574.0400000000009</v>
      </c>
      <c r="CF38">
        <v>2145.48</v>
      </c>
      <c r="CG38">
        <v>265.60944563347999</v>
      </c>
      <c r="CH38">
        <v>366</v>
      </c>
      <c r="CI38">
        <v>250.333333333333</v>
      </c>
      <c r="CJ38">
        <v>195.333333333333</v>
      </c>
      <c r="CK38" s="81">
        <v>1944</v>
      </c>
      <c r="CL38">
        <v>470</v>
      </c>
      <c r="CM38">
        <v>6217.1519244792398</v>
      </c>
      <c r="CN38">
        <v>2.2669999999999999</v>
      </c>
      <c r="CO38">
        <v>27042</v>
      </c>
      <c r="CP38">
        <v>4793</v>
      </c>
      <c r="CQ38">
        <v>1001</v>
      </c>
      <c r="CR38">
        <v>907</v>
      </c>
      <c r="CS38">
        <v>898</v>
      </c>
      <c r="CT38">
        <v>496</v>
      </c>
      <c r="CU38">
        <v>581.013265541946</v>
      </c>
      <c r="CV38">
        <v>354.91140513057502</v>
      </c>
      <c r="CW38">
        <v>135.07383868731199</v>
      </c>
      <c r="CX38">
        <v>1506.26</v>
      </c>
      <c r="CY38">
        <v>920.09749999999997</v>
      </c>
      <c r="CZ38">
        <v>350.17500000000001</v>
      </c>
      <c r="DA38">
        <v>7938</v>
      </c>
      <c r="DE38">
        <v>118</v>
      </c>
      <c r="DF38" t="s">
        <v>156</v>
      </c>
      <c r="DG38">
        <v>12006</v>
      </c>
      <c r="DH38">
        <v>12047</v>
      </c>
      <c r="DI38">
        <v>12071</v>
      </c>
      <c r="DJ38">
        <v>12076</v>
      </c>
      <c r="DK38">
        <v>11996</v>
      </c>
      <c r="DO38">
        <v>90</v>
      </c>
      <c r="DP38" t="s">
        <v>278</v>
      </c>
      <c r="DQ38">
        <v>25924</v>
      </c>
      <c r="DR38">
        <v>1</v>
      </c>
      <c r="DS38">
        <v>1330</v>
      </c>
      <c r="DV38">
        <v>748</v>
      </c>
      <c r="DW38" t="s">
        <v>44</v>
      </c>
      <c r="DX38">
        <v>9500.5724517158305</v>
      </c>
      <c r="DY38">
        <v>1781</v>
      </c>
      <c r="DZ38">
        <v>1426</v>
      </c>
      <c r="EA38">
        <v>754</v>
      </c>
      <c r="EB38">
        <v>5087</v>
      </c>
      <c r="EC38">
        <v>2951</v>
      </c>
      <c r="ED38">
        <v>1018</v>
      </c>
      <c r="EE38" s="82">
        <v>0.209042106945411</v>
      </c>
      <c r="EF38" s="82">
        <v>0.46520230991337802</v>
      </c>
    </row>
    <row r="39" spans="1:136" x14ac:dyDescent="0.35">
      <c r="A39" s="72">
        <v>1690</v>
      </c>
      <c r="B39" s="72">
        <v>3</v>
      </c>
      <c r="D39" s="72" t="s">
        <v>79</v>
      </c>
      <c r="E39" s="79">
        <v>2058000000</v>
      </c>
      <c r="F39" s="79">
        <v>265300000</v>
      </c>
      <c r="G39" s="79">
        <v>332850000</v>
      </c>
      <c r="H39" s="79">
        <v>24110</v>
      </c>
      <c r="I39" s="79">
        <v>5</v>
      </c>
      <c r="J39" s="79">
        <v>332.85</v>
      </c>
      <c r="K39" s="79">
        <v>4609</v>
      </c>
      <c r="L39" s="79">
        <v>5678</v>
      </c>
      <c r="M39" s="79">
        <v>1828</v>
      </c>
      <c r="N39" s="79">
        <v>2801</v>
      </c>
      <c r="O39" s="79">
        <v>1705.6</v>
      </c>
      <c r="P39" s="79">
        <v>231.666666666667</v>
      </c>
      <c r="Q39" s="79">
        <v>1195.6666666666699</v>
      </c>
      <c r="R39" s="79">
        <v>235</v>
      </c>
      <c r="S39" s="79">
        <v>0</v>
      </c>
      <c r="T39" s="79">
        <v>552</v>
      </c>
      <c r="U39" s="79">
        <v>10493</v>
      </c>
      <c r="V39" s="79">
        <v>19770</v>
      </c>
      <c r="W39" s="79">
        <v>4930</v>
      </c>
      <c r="X39" s="79">
        <v>0</v>
      </c>
      <c r="Y39" s="79">
        <v>0</v>
      </c>
      <c r="Z39" s="79">
        <v>0</v>
      </c>
      <c r="AA39" s="79">
        <v>0</v>
      </c>
      <c r="AB39" s="79">
        <v>0</v>
      </c>
      <c r="AC39" s="79">
        <v>22441</v>
      </c>
      <c r="AD39" s="79">
        <v>22441</v>
      </c>
      <c r="AE39" s="79">
        <v>194</v>
      </c>
      <c r="AF39" s="79">
        <v>0</v>
      </c>
      <c r="AG39" s="79">
        <v>288</v>
      </c>
      <c r="AH39" s="79">
        <v>126</v>
      </c>
      <c r="AI39" s="79">
        <v>162</v>
      </c>
      <c r="AJ39" s="79">
        <v>10954</v>
      </c>
      <c r="AK39" s="79">
        <v>10954</v>
      </c>
      <c r="AL39" s="79">
        <v>0</v>
      </c>
      <c r="AM39" s="79">
        <v>0</v>
      </c>
      <c r="AN39" s="79">
        <v>0</v>
      </c>
      <c r="AO39" s="79">
        <v>0</v>
      </c>
      <c r="AP39" s="79">
        <v>0</v>
      </c>
      <c r="AQ39" s="79">
        <v>0</v>
      </c>
      <c r="AR39" s="80">
        <v>6.6255100000000005E-4</v>
      </c>
      <c r="AS39" s="80">
        <v>1.5210399999999999E-4</v>
      </c>
      <c r="AT39" s="79">
        <v>3340.97</v>
      </c>
      <c r="AU39" s="79">
        <v>0</v>
      </c>
      <c r="AV39" s="79">
        <v>2727</v>
      </c>
      <c r="AW39" s="79">
        <v>2904.7037773359798</v>
      </c>
      <c r="AX39" s="79">
        <v>22</v>
      </c>
      <c r="AY39" s="79">
        <v>22</v>
      </c>
      <c r="AZ39" s="79">
        <v>3123</v>
      </c>
      <c r="BA39" s="79">
        <v>1</v>
      </c>
      <c r="BB39" s="79">
        <v>0</v>
      </c>
      <c r="BC39" s="79">
        <v>0</v>
      </c>
      <c r="BD39" s="79">
        <v>0</v>
      </c>
      <c r="BE39" s="79">
        <v>0</v>
      </c>
      <c r="BF39" s="79">
        <v>0</v>
      </c>
      <c r="BG39" s="79">
        <v>0</v>
      </c>
      <c r="BH39" s="79">
        <v>0</v>
      </c>
      <c r="BI39" s="79">
        <v>0</v>
      </c>
      <c r="BJ39" s="79">
        <v>0</v>
      </c>
      <c r="BK39" s="79">
        <v>13</v>
      </c>
      <c r="BL39" s="79">
        <v>2862</v>
      </c>
      <c r="BM39" s="79">
        <v>126</v>
      </c>
      <c r="BN39" s="79">
        <v>162</v>
      </c>
      <c r="BO39">
        <v>5300</v>
      </c>
      <c r="BP39">
        <v>0</v>
      </c>
      <c r="BQ39">
        <v>5262</v>
      </c>
      <c r="BR39">
        <v>0</v>
      </c>
      <c r="BS39">
        <v>5165</v>
      </c>
      <c r="BT39">
        <v>0</v>
      </c>
      <c r="BU39">
        <v>5087</v>
      </c>
      <c r="BV39">
        <v>0</v>
      </c>
      <c r="BW39">
        <v>5062</v>
      </c>
      <c r="BX39">
        <v>0</v>
      </c>
      <c r="BY39">
        <v>4921</v>
      </c>
      <c r="BZ39">
        <v>0</v>
      </c>
      <c r="CB39">
        <v>354.89299999999997</v>
      </c>
      <c r="CC39">
        <v>52</v>
      </c>
      <c r="CD39">
        <v>31</v>
      </c>
      <c r="CE39">
        <v>6895.2</v>
      </c>
      <c r="CF39">
        <v>1686.39</v>
      </c>
      <c r="CG39">
        <v>82.967172839506205</v>
      </c>
      <c r="CH39">
        <v>225</v>
      </c>
      <c r="CI39">
        <v>74</v>
      </c>
      <c r="CJ39">
        <v>46.3333333333333</v>
      </c>
      <c r="CK39" s="81">
        <v>964</v>
      </c>
      <c r="CL39">
        <v>293</v>
      </c>
      <c r="CM39">
        <v>3533.2197791079998</v>
      </c>
      <c r="CN39">
        <v>0.313</v>
      </c>
      <c r="CO39">
        <v>18432</v>
      </c>
      <c r="CP39">
        <v>3144</v>
      </c>
      <c r="CQ39">
        <v>706</v>
      </c>
      <c r="CR39">
        <v>557</v>
      </c>
      <c r="CS39">
        <v>542</v>
      </c>
      <c r="CT39">
        <v>371</v>
      </c>
      <c r="CU39">
        <v>297.55355121416801</v>
      </c>
      <c r="CV39">
        <v>193.85356947233899</v>
      </c>
      <c r="CW39">
        <v>77.541427788935593</v>
      </c>
      <c r="CX39">
        <v>843.5154</v>
      </c>
      <c r="CY39">
        <v>549.54300000000001</v>
      </c>
      <c r="CZ39">
        <v>219.81720000000001</v>
      </c>
      <c r="DA39">
        <v>7665</v>
      </c>
      <c r="DE39">
        <v>119</v>
      </c>
      <c r="DF39" t="s">
        <v>199</v>
      </c>
      <c r="DG39">
        <v>7170</v>
      </c>
      <c r="DH39">
        <v>7245</v>
      </c>
      <c r="DI39">
        <v>7297</v>
      </c>
      <c r="DJ39">
        <v>7276</v>
      </c>
      <c r="DK39">
        <v>7289</v>
      </c>
      <c r="DO39">
        <v>1900</v>
      </c>
      <c r="DP39" t="s">
        <v>289</v>
      </c>
      <c r="DQ39">
        <v>43025</v>
      </c>
      <c r="DR39">
        <v>1.05</v>
      </c>
      <c r="DS39">
        <v>828</v>
      </c>
      <c r="DV39">
        <v>1859</v>
      </c>
      <c r="DW39" t="s">
        <v>45</v>
      </c>
      <c r="DX39">
        <v>5634.0305384409303</v>
      </c>
      <c r="DY39">
        <v>1032</v>
      </c>
      <c r="DZ39">
        <v>1081</v>
      </c>
      <c r="EA39">
        <v>576</v>
      </c>
      <c r="EB39">
        <v>3631</v>
      </c>
      <c r="EC39">
        <v>2307</v>
      </c>
      <c r="ED39">
        <v>791</v>
      </c>
      <c r="EE39" s="82">
        <v>0.18014671266674601</v>
      </c>
      <c r="EF39" s="82">
        <v>0.49016630114075599</v>
      </c>
    </row>
    <row r="40" spans="1:136" x14ac:dyDescent="0.35">
      <c r="A40" s="72">
        <v>114</v>
      </c>
      <c r="B40" s="72">
        <v>3</v>
      </c>
      <c r="D40" s="72" t="s">
        <v>104</v>
      </c>
      <c r="E40" s="79">
        <v>6288400000</v>
      </c>
      <c r="F40" s="79">
        <v>1292200000</v>
      </c>
      <c r="G40" s="79">
        <v>1367450000</v>
      </c>
      <c r="H40" s="79">
        <v>107113</v>
      </c>
      <c r="I40" s="79">
        <v>11</v>
      </c>
      <c r="J40" s="79">
        <v>1367.45</v>
      </c>
      <c r="K40" s="79">
        <v>19716</v>
      </c>
      <c r="L40" s="79">
        <v>24148</v>
      </c>
      <c r="M40" s="79">
        <v>7677</v>
      </c>
      <c r="N40" s="79">
        <v>17671</v>
      </c>
      <c r="O40" s="79">
        <v>12697.7</v>
      </c>
      <c r="P40" s="79">
        <v>3693</v>
      </c>
      <c r="Q40" s="79">
        <v>11980</v>
      </c>
      <c r="R40" s="79">
        <v>2860</v>
      </c>
      <c r="S40" s="79">
        <v>0</v>
      </c>
      <c r="T40" s="79">
        <v>3663</v>
      </c>
      <c r="U40" s="79">
        <v>50252</v>
      </c>
      <c r="V40" s="79">
        <v>111920</v>
      </c>
      <c r="W40" s="79">
        <v>116330</v>
      </c>
      <c r="X40" s="79">
        <v>2724.34</v>
      </c>
      <c r="Y40" s="79">
        <v>5093.6000000000004</v>
      </c>
      <c r="Z40" s="79">
        <v>0</v>
      </c>
      <c r="AA40" s="79">
        <v>0</v>
      </c>
      <c r="AB40" s="79">
        <v>0</v>
      </c>
      <c r="AC40" s="79">
        <v>33563</v>
      </c>
      <c r="AD40" s="79">
        <v>33563</v>
      </c>
      <c r="AE40" s="79">
        <v>1063</v>
      </c>
      <c r="AF40" s="79">
        <v>0</v>
      </c>
      <c r="AG40" s="79">
        <v>891</v>
      </c>
      <c r="AH40" s="79">
        <v>670</v>
      </c>
      <c r="AI40" s="79">
        <v>220</v>
      </c>
      <c r="AJ40" s="79">
        <v>49733</v>
      </c>
      <c r="AK40" s="79">
        <v>49733</v>
      </c>
      <c r="AL40" s="79">
        <v>0</v>
      </c>
      <c r="AM40" s="79">
        <v>0</v>
      </c>
      <c r="AN40" s="79">
        <v>0</v>
      </c>
      <c r="AO40" s="79">
        <v>0</v>
      </c>
      <c r="AP40" s="79">
        <v>4532</v>
      </c>
      <c r="AQ40" s="79">
        <v>0</v>
      </c>
      <c r="AR40" s="80">
        <v>3.3168020000000002E-3</v>
      </c>
      <c r="AS40" s="80">
        <v>3.4152969999999999E-3</v>
      </c>
      <c r="AT40" s="79">
        <v>42273.05</v>
      </c>
      <c r="AU40" s="79">
        <v>0</v>
      </c>
      <c r="AV40" s="79">
        <v>13178</v>
      </c>
      <c r="AW40" s="79">
        <v>40765.179749321302</v>
      </c>
      <c r="AX40" s="79">
        <v>29</v>
      </c>
      <c r="AY40" s="79">
        <v>29</v>
      </c>
      <c r="AZ40" s="79">
        <v>9272</v>
      </c>
      <c r="BA40" s="79">
        <v>1</v>
      </c>
      <c r="BB40" s="79">
        <v>0</v>
      </c>
      <c r="BC40" s="79">
        <v>0</v>
      </c>
      <c r="BD40" s="79">
        <v>0</v>
      </c>
      <c r="BE40" s="79">
        <v>0</v>
      </c>
      <c r="BF40" s="79">
        <v>0</v>
      </c>
      <c r="BG40" s="79">
        <v>0</v>
      </c>
      <c r="BH40" s="79">
        <v>0</v>
      </c>
      <c r="BI40" s="79">
        <v>0</v>
      </c>
      <c r="BJ40" s="79">
        <v>0</v>
      </c>
      <c r="BK40" s="79">
        <v>146</v>
      </c>
      <c r="BL40" s="79">
        <v>16617</v>
      </c>
      <c r="BM40" s="79">
        <v>670</v>
      </c>
      <c r="BN40" s="79">
        <v>220</v>
      </c>
      <c r="BO40">
        <v>22664</v>
      </c>
      <c r="BP40">
        <v>6689</v>
      </c>
      <c r="BQ40">
        <v>22564</v>
      </c>
      <c r="BR40">
        <v>6750</v>
      </c>
      <c r="BS40">
        <v>22332</v>
      </c>
      <c r="BT40">
        <v>6780</v>
      </c>
      <c r="BU40">
        <v>22014</v>
      </c>
      <c r="BV40">
        <v>6813</v>
      </c>
      <c r="BW40">
        <v>21827</v>
      </c>
      <c r="BX40">
        <v>6738</v>
      </c>
      <c r="BY40">
        <v>21462</v>
      </c>
      <c r="BZ40">
        <v>6758</v>
      </c>
      <c r="CB40">
        <v>3253.14</v>
      </c>
      <c r="CC40">
        <v>587</v>
      </c>
      <c r="CD40">
        <v>335</v>
      </c>
      <c r="CE40">
        <v>26635.95</v>
      </c>
      <c r="CF40">
        <v>6027.84</v>
      </c>
      <c r="CG40">
        <v>767.49696939213595</v>
      </c>
      <c r="CH40">
        <v>1370</v>
      </c>
      <c r="CI40">
        <v>987.66666666666697</v>
      </c>
      <c r="CJ40">
        <v>936.66666666666697</v>
      </c>
      <c r="CK40" s="81">
        <v>8287</v>
      </c>
      <c r="CL40">
        <v>2092</v>
      </c>
      <c r="CM40">
        <v>20212.043091537798</v>
      </c>
      <c r="CN40">
        <v>11.06</v>
      </c>
      <c r="CO40">
        <v>82965</v>
      </c>
      <c r="CP40">
        <v>13900</v>
      </c>
      <c r="CQ40">
        <v>2571</v>
      </c>
      <c r="CR40">
        <v>2909</v>
      </c>
      <c r="CS40">
        <v>2678</v>
      </c>
      <c r="CT40">
        <v>1358</v>
      </c>
      <c r="CU40">
        <v>2215.1337180544101</v>
      </c>
      <c r="CV40">
        <v>1367.22464962902</v>
      </c>
      <c r="CW40">
        <v>473.86908491343797</v>
      </c>
      <c r="CX40">
        <v>5102.3555999999999</v>
      </c>
      <c r="CY40">
        <v>3149.2755000000002</v>
      </c>
      <c r="CZ40">
        <v>1091.5136</v>
      </c>
      <c r="DA40">
        <v>93536</v>
      </c>
      <c r="DE40">
        <v>141</v>
      </c>
      <c r="DF40" t="s">
        <v>18</v>
      </c>
      <c r="DG40">
        <v>16202</v>
      </c>
      <c r="DH40">
        <v>16203</v>
      </c>
      <c r="DI40">
        <v>16197</v>
      </c>
      <c r="DJ40">
        <v>16090</v>
      </c>
      <c r="DK40">
        <v>15848</v>
      </c>
      <c r="DO40">
        <v>93</v>
      </c>
      <c r="DP40" t="s">
        <v>291</v>
      </c>
      <c r="DQ40">
        <v>3825</v>
      </c>
      <c r="DR40">
        <v>1</v>
      </c>
      <c r="DS40">
        <v>246</v>
      </c>
      <c r="DV40">
        <v>1721</v>
      </c>
      <c r="DW40" t="s">
        <v>46</v>
      </c>
      <c r="DX40">
        <v>3135.4891069349701</v>
      </c>
      <c r="DY40">
        <v>589</v>
      </c>
      <c r="DZ40">
        <v>514</v>
      </c>
      <c r="EA40">
        <v>291</v>
      </c>
      <c r="EB40">
        <v>2107</v>
      </c>
      <c r="EC40">
        <v>1231</v>
      </c>
      <c r="ED40">
        <v>423</v>
      </c>
      <c r="EE40" s="82">
        <v>0.15407091053682601</v>
      </c>
      <c r="EF40" s="82">
        <v>0.40056396059305099</v>
      </c>
    </row>
    <row r="41" spans="1:136" x14ac:dyDescent="0.35">
      <c r="A41" s="72">
        <v>118</v>
      </c>
      <c r="B41" s="72">
        <v>3</v>
      </c>
      <c r="D41" s="72" t="s">
        <v>156</v>
      </c>
      <c r="E41" s="79">
        <v>3448800000</v>
      </c>
      <c r="F41" s="79">
        <v>689150000</v>
      </c>
      <c r="G41" s="79">
        <v>751450000</v>
      </c>
      <c r="H41" s="79">
        <v>55662</v>
      </c>
      <c r="I41" s="79">
        <v>4</v>
      </c>
      <c r="J41" s="79">
        <v>751.45</v>
      </c>
      <c r="K41" s="79">
        <v>11509</v>
      </c>
      <c r="L41" s="79">
        <v>11789</v>
      </c>
      <c r="M41" s="79">
        <v>3809</v>
      </c>
      <c r="N41" s="79">
        <v>8774</v>
      </c>
      <c r="O41" s="79">
        <v>6227.7</v>
      </c>
      <c r="P41" s="79">
        <v>1312.6666666666699</v>
      </c>
      <c r="Q41" s="79">
        <v>4987.6666666666697</v>
      </c>
      <c r="R41" s="79">
        <v>1375</v>
      </c>
      <c r="S41" s="79">
        <v>0</v>
      </c>
      <c r="T41" s="79">
        <v>1769</v>
      </c>
      <c r="U41" s="79">
        <v>25563</v>
      </c>
      <c r="V41" s="79">
        <v>60540</v>
      </c>
      <c r="W41" s="79">
        <v>68780</v>
      </c>
      <c r="X41" s="79">
        <v>1658.3</v>
      </c>
      <c r="Y41" s="79">
        <v>2790.4</v>
      </c>
      <c r="Z41" s="79">
        <v>0</v>
      </c>
      <c r="AA41" s="79">
        <v>0</v>
      </c>
      <c r="AB41" s="79">
        <v>0</v>
      </c>
      <c r="AC41" s="79">
        <v>12766</v>
      </c>
      <c r="AD41" s="79">
        <v>12766</v>
      </c>
      <c r="AE41" s="79">
        <v>159</v>
      </c>
      <c r="AF41" s="79">
        <v>0</v>
      </c>
      <c r="AG41" s="79">
        <v>444</v>
      </c>
      <c r="AH41" s="79">
        <v>336</v>
      </c>
      <c r="AI41" s="79">
        <v>109</v>
      </c>
      <c r="AJ41" s="79">
        <v>25463</v>
      </c>
      <c r="AK41" s="79">
        <v>25463</v>
      </c>
      <c r="AL41" s="79">
        <v>0</v>
      </c>
      <c r="AM41" s="79">
        <v>0</v>
      </c>
      <c r="AN41" s="79">
        <v>0</v>
      </c>
      <c r="AO41" s="79">
        <v>0</v>
      </c>
      <c r="AP41" s="79">
        <v>1516</v>
      </c>
      <c r="AQ41" s="79">
        <v>0</v>
      </c>
      <c r="AR41" s="80">
        <v>9.8067399999999996E-4</v>
      </c>
      <c r="AS41" s="80">
        <v>1.7514430000000001E-3</v>
      </c>
      <c r="AT41" s="79">
        <v>30606.526000000002</v>
      </c>
      <c r="AU41" s="79">
        <v>0</v>
      </c>
      <c r="AV41" s="79">
        <v>3427</v>
      </c>
      <c r="AW41" s="79">
        <v>14758.504758220501</v>
      </c>
      <c r="AX41" s="79">
        <v>17</v>
      </c>
      <c r="AY41" s="79">
        <v>17</v>
      </c>
      <c r="AZ41" s="79">
        <v>4975</v>
      </c>
      <c r="BA41" s="79">
        <v>1</v>
      </c>
      <c r="BB41" s="79">
        <v>0</v>
      </c>
      <c r="BC41" s="79">
        <v>0</v>
      </c>
      <c r="BD41" s="79">
        <v>0</v>
      </c>
      <c r="BE41" s="79">
        <v>0</v>
      </c>
      <c r="BF41" s="79">
        <v>0</v>
      </c>
      <c r="BG41" s="79">
        <v>0</v>
      </c>
      <c r="BH41" s="79">
        <v>0</v>
      </c>
      <c r="BI41" s="79">
        <v>0</v>
      </c>
      <c r="BJ41" s="79">
        <v>0</v>
      </c>
      <c r="BK41" s="79">
        <v>64</v>
      </c>
      <c r="BL41" s="79">
        <v>8270</v>
      </c>
      <c r="BM41" s="79">
        <v>336</v>
      </c>
      <c r="BN41" s="79">
        <v>109</v>
      </c>
      <c r="BO41">
        <v>12006</v>
      </c>
      <c r="BP41">
        <v>3684</v>
      </c>
      <c r="BQ41">
        <v>12047</v>
      </c>
      <c r="BR41">
        <v>3735</v>
      </c>
      <c r="BS41">
        <v>12071</v>
      </c>
      <c r="BT41">
        <v>3777</v>
      </c>
      <c r="BU41">
        <v>12076</v>
      </c>
      <c r="BV41">
        <v>3824</v>
      </c>
      <c r="BW41">
        <v>11996</v>
      </c>
      <c r="BX41">
        <v>3875</v>
      </c>
      <c r="BY41">
        <v>11858</v>
      </c>
      <c r="BZ41">
        <v>3851</v>
      </c>
      <c r="CB41">
        <v>1507.6790000000001</v>
      </c>
      <c r="CC41">
        <v>361</v>
      </c>
      <c r="CD41">
        <v>183</v>
      </c>
      <c r="CE41">
        <v>13566.56</v>
      </c>
      <c r="CF41">
        <v>3192.09</v>
      </c>
      <c r="CG41">
        <v>505.01044253350699</v>
      </c>
      <c r="CH41">
        <v>664</v>
      </c>
      <c r="CI41">
        <v>367.66666666666703</v>
      </c>
      <c r="CJ41">
        <v>328</v>
      </c>
      <c r="CK41" s="81">
        <v>3675</v>
      </c>
      <c r="CL41">
        <v>1134</v>
      </c>
      <c r="CM41">
        <v>10278.123323678499</v>
      </c>
      <c r="CN41">
        <v>3.6030000000000002</v>
      </c>
      <c r="CO41">
        <v>43873</v>
      </c>
      <c r="CP41">
        <v>6561</v>
      </c>
      <c r="CQ41">
        <v>1419</v>
      </c>
      <c r="CR41">
        <v>1364</v>
      </c>
      <c r="CS41">
        <v>1277</v>
      </c>
      <c r="CT41">
        <v>710</v>
      </c>
      <c r="CU41">
        <v>986.384719004045</v>
      </c>
      <c r="CV41">
        <v>642.01832070062505</v>
      </c>
      <c r="CW41">
        <v>240.42057495189101</v>
      </c>
      <c r="CX41">
        <v>2331.0740000000001</v>
      </c>
      <c r="CY41">
        <v>1517.25</v>
      </c>
      <c r="CZ41">
        <v>568.17399999999998</v>
      </c>
      <c r="DA41">
        <v>50145</v>
      </c>
      <c r="DE41">
        <v>147</v>
      </c>
      <c r="DF41" t="s">
        <v>56</v>
      </c>
      <c r="DG41">
        <v>4919</v>
      </c>
      <c r="DH41">
        <v>4864</v>
      </c>
      <c r="DI41">
        <v>4835</v>
      </c>
      <c r="DJ41">
        <v>4789</v>
      </c>
      <c r="DK41">
        <v>4801</v>
      </c>
      <c r="DO41">
        <v>737</v>
      </c>
      <c r="DP41" t="s">
        <v>300</v>
      </c>
      <c r="DQ41">
        <v>14518</v>
      </c>
      <c r="DR41">
        <v>1</v>
      </c>
      <c r="DS41">
        <v>465</v>
      </c>
      <c r="DV41">
        <v>753</v>
      </c>
      <c r="DW41" t="s">
        <v>47</v>
      </c>
      <c r="DX41">
        <v>3016.1282240235801</v>
      </c>
      <c r="DY41">
        <v>552</v>
      </c>
      <c r="DZ41">
        <v>589</v>
      </c>
      <c r="EA41">
        <v>299</v>
      </c>
      <c r="EB41">
        <v>1907</v>
      </c>
      <c r="EC41">
        <v>1307</v>
      </c>
      <c r="ED41">
        <v>421</v>
      </c>
      <c r="EE41" s="82">
        <v>0.14333426575422201</v>
      </c>
      <c r="EF41" s="82">
        <v>0.36956730970414697</v>
      </c>
    </row>
    <row r="42" spans="1:136" x14ac:dyDescent="0.35">
      <c r="A42" s="72">
        <v>119</v>
      </c>
      <c r="B42" s="72">
        <v>3</v>
      </c>
      <c r="D42" s="72" t="s">
        <v>199</v>
      </c>
      <c r="E42" s="79">
        <v>2415600000</v>
      </c>
      <c r="F42" s="79">
        <v>501900000</v>
      </c>
      <c r="G42" s="79">
        <v>542850000</v>
      </c>
      <c r="H42" s="79">
        <v>33564</v>
      </c>
      <c r="I42" s="79">
        <v>2</v>
      </c>
      <c r="J42" s="79">
        <v>542.85</v>
      </c>
      <c r="K42" s="79">
        <v>6974</v>
      </c>
      <c r="L42" s="79">
        <v>6642</v>
      </c>
      <c r="M42" s="79">
        <v>2015</v>
      </c>
      <c r="N42" s="79">
        <v>4821</v>
      </c>
      <c r="O42" s="79">
        <v>3232.9</v>
      </c>
      <c r="P42" s="79">
        <v>757</v>
      </c>
      <c r="Q42" s="79">
        <v>2745</v>
      </c>
      <c r="R42" s="79">
        <v>1190</v>
      </c>
      <c r="S42" s="79">
        <v>0</v>
      </c>
      <c r="T42" s="79">
        <v>1175</v>
      </c>
      <c r="U42" s="79">
        <v>15736</v>
      </c>
      <c r="V42" s="79">
        <v>37720</v>
      </c>
      <c r="W42" s="79">
        <v>39310</v>
      </c>
      <c r="X42" s="79">
        <v>787</v>
      </c>
      <c r="Y42" s="79">
        <v>2878.4</v>
      </c>
      <c r="Z42" s="79">
        <v>0</v>
      </c>
      <c r="AA42" s="79">
        <v>0</v>
      </c>
      <c r="AB42" s="79">
        <v>117.6</v>
      </c>
      <c r="AC42" s="79">
        <v>5546</v>
      </c>
      <c r="AD42" s="79">
        <v>5546</v>
      </c>
      <c r="AE42" s="79">
        <v>157</v>
      </c>
      <c r="AF42" s="79">
        <v>0</v>
      </c>
      <c r="AG42" s="79">
        <v>238</v>
      </c>
      <c r="AH42" s="79">
        <v>189</v>
      </c>
      <c r="AI42" s="79">
        <v>49</v>
      </c>
      <c r="AJ42" s="79">
        <v>15881</v>
      </c>
      <c r="AK42" s="79">
        <v>15881</v>
      </c>
      <c r="AL42" s="79">
        <v>17</v>
      </c>
      <c r="AM42" s="79">
        <v>0</v>
      </c>
      <c r="AN42" s="79">
        <v>0</v>
      </c>
      <c r="AO42" s="79">
        <v>2550</v>
      </c>
      <c r="AP42" s="79">
        <v>2928</v>
      </c>
      <c r="AQ42" s="79">
        <v>2928</v>
      </c>
      <c r="AR42" s="80">
        <v>1.105413E-3</v>
      </c>
      <c r="AS42" s="80">
        <v>1.3186529999999999E-3</v>
      </c>
      <c r="AT42" s="79">
        <v>20121.226999999999</v>
      </c>
      <c r="AU42" s="79">
        <v>0</v>
      </c>
      <c r="AV42" s="79">
        <v>1782</v>
      </c>
      <c r="AW42" s="79">
        <v>10487.6465018411</v>
      </c>
      <c r="AX42" s="79">
        <v>5</v>
      </c>
      <c r="AY42" s="79">
        <v>5</v>
      </c>
      <c r="AZ42" s="79">
        <v>3374</v>
      </c>
      <c r="BA42" s="79">
        <v>1</v>
      </c>
      <c r="BB42" s="79">
        <v>0</v>
      </c>
      <c r="BC42" s="79">
        <v>0</v>
      </c>
      <c r="BD42" s="79">
        <v>0</v>
      </c>
      <c r="BE42" s="79">
        <v>0</v>
      </c>
      <c r="BF42" s="79">
        <v>0</v>
      </c>
      <c r="BG42" s="79">
        <v>0</v>
      </c>
      <c r="BH42" s="79">
        <v>0</v>
      </c>
      <c r="BI42" s="79">
        <v>0</v>
      </c>
      <c r="BJ42" s="79">
        <v>0</v>
      </c>
      <c r="BK42" s="79">
        <v>31</v>
      </c>
      <c r="BL42" s="79">
        <v>5485</v>
      </c>
      <c r="BM42" s="79">
        <v>189</v>
      </c>
      <c r="BN42" s="79">
        <v>49</v>
      </c>
      <c r="BO42">
        <v>7170</v>
      </c>
      <c r="BP42">
        <v>3164</v>
      </c>
      <c r="BQ42">
        <v>7245</v>
      </c>
      <c r="BR42">
        <v>3228</v>
      </c>
      <c r="BS42">
        <v>7297</v>
      </c>
      <c r="BT42">
        <v>3374</v>
      </c>
      <c r="BU42">
        <v>7276</v>
      </c>
      <c r="BV42">
        <v>3481</v>
      </c>
      <c r="BW42">
        <v>7289</v>
      </c>
      <c r="BX42">
        <v>3473</v>
      </c>
      <c r="BY42">
        <v>7276</v>
      </c>
      <c r="BZ42">
        <v>3512</v>
      </c>
      <c r="CB42">
        <v>760.16600000000005</v>
      </c>
      <c r="CC42">
        <v>131</v>
      </c>
      <c r="CD42">
        <v>69</v>
      </c>
      <c r="CE42">
        <v>9257.36</v>
      </c>
      <c r="CF42">
        <v>2313.98</v>
      </c>
      <c r="CG42">
        <v>350.31277190213098</v>
      </c>
      <c r="CH42">
        <v>408</v>
      </c>
      <c r="CI42">
        <v>201</v>
      </c>
      <c r="CJ42">
        <v>185.666666666667</v>
      </c>
      <c r="CK42" s="81">
        <v>1988</v>
      </c>
      <c r="CL42">
        <v>634</v>
      </c>
      <c r="CM42">
        <v>4921.6282881014804</v>
      </c>
      <c r="CN42">
        <v>1.649</v>
      </c>
      <c r="CO42">
        <v>26922</v>
      </c>
      <c r="CP42">
        <v>3850</v>
      </c>
      <c r="CQ42">
        <v>777</v>
      </c>
      <c r="CR42">
        <v>846</v>
      </c>
      <c r="CS42">
        <v>687</v>
      </c>
      <c r="CT42">
        <v>395</v>
      </c>
      <c r="CU42">
        <v>493.25084692399702</v>
      </c>
      <c r="CV42">
        <v>285.81270700837501</v>
      </c>
      <c r="CW42">
        <v>107.89226119262</v>
      </c>
      <c r="CX42">
        <v>1240.3336999999999</v>
      </c>
      <c r="CY42">
        <v>718.70759999999996</v>
      </c>
      <c r="CZ42">
        <v>271.30700000000002</v>
      </c>
      <c r="DA42">
        <v>89751</v>
      </c>
      <c r="DE42">
        <v>148</v>
      </c>
      <c r="DF42" t="s">
        <v>74</v>
      </c>
      <c r="DG42">
        <v>6616</v>
      </c>
      <c r="DH42">
        <v>6602</v>
      </c>
      <c r="DI42">
        <v>6531</v>
      </c>
      <c r="DJ42">
        <v>6437</v>
      </c>
      <c r="DK42">
        <v>6344</v>
      </c>
      <c r="DO42">
        <v>96</v>
      </c>
      <c r="DP42" t="s">
        <v>319</v>
      </c>
      <c r="DQ42">
        <v>1085</v>
      </c>
      <c r="DR42">
        <v>1</v>
      </c>
      <c r="DS42">
        <v>199</v>
      </c>
      <c r="DV42">
        <v>209</v>
      </c>
      <c r="DW42" t="s">
        <v>48</v>
      </c>
      <c r="DX42">
        <v>2918.9139685476398</v>
      </c>
      <c r="DY42">
        <v>544</v>
      </c>
      <c r="DZ42">
        <v>471</v>
      </c>
      <c r="EA42">
        <v>194</v>
      </c>
      <c r="EB42">
        <v>1822</v>
      </c>
      <c r="EC42">
        <v>1000</v>
      </c>
      <c r="ED42">
        <v>285</v>
      </c>
      <c r="EE42" s="82">
        <v>0.15801414024110699</v>
      </c>
      <c r="EF42" s="82">
        <v>0.41502120714199497</v>
      </c>
    </row>
    <row r="43" spans="1:136" x14ac:dyDescent="0.35">
      <c r="A43" s="72">
        <v>1731</v>
      </c>
      <c r="B43" s="72">
        <v>3</v>
      </c>
      <c r="D43" s="72" t="s">
        <v>201</v>
      </c>
      <c r="E43" s="79">
        <v>2439200000</v>
      </c>
      <c r="F43" s="79">
        <v>465850000</v>
      </c>
      <c r="G43" s="79">
        <v>556150000</v>
      </c>
      <c r="H43" s="79">
        <v>33178</v>
      </c>
      <c r="I43" s="79">
        <v>6</v>
      </c>
      <c r="J43" s="79">
        <v>556.15</v>
      </c>
      <c r="K43" s="79">
        <v>6201</v>
      </c>
      <c r="L43" s="79">
        <v>7702</v>
      </c>
      <c r="M43" s="79">
        <v>2340</v>
      </c>
      <c r="N43" s="79">
        <v>4178</v>
      </c>
      <c r="O43" s="79">
        <v>2571.1999999999998</v>
      </c>
      <c r="P43" s="79">
        <v>481</v>
      </c>
      <c r="Q43" s="79">
        <v>2145</v>
      </c>
      <c r="R43" s="79">
        <v>415</v>
      </c>
      <c r="S43" s="79">
        <v>0</v>
      </c>
      <c r="T43" s="79">
        <v>806</v>
      </c>
      <c r="U43" s="79">
        <v>14913</v>
      </c>
      <c r="V43" s="79">
        <v>29740</v>
      </c>
      <c r="W43" s="79">
        <v>12140</v>
      </c>
      <c r="X43" s="79">
        <v>0</v>
      </c>
      <c r="Y43" s="79">
        <v>571.20000000000005</v>
      </c>
      <c r="Z43" s="79">
        <v>0</v>
      </c>
      <c r="AA43" s="79">
        <v>0</v>
      </c>
      <c r="AB43" s="79">
        <v>0</v>
      </c>
      <c r="AC43" s="79">
        <v>34070</v>
      </c>
      <c r="AD43" s="79">
        <v>34070</v>
      </c>
      <c r="AE43" s="79">
        <v>517</v>
      </c>
      <c r="AF43" s="79">
        <v>0</v>
      </c>
      <c r="AG43" s="79">
        <v>407</v>
      </c>
      <c r="AH43" s="79">
        <v>219</v>
      </c>
      <c r="AI43" s="79">
        <v>188</v>
      </c>
      <c r="AJ43" s="79">
        <v>16068</v>
      </c>
      <c r="AK43" s="79">
        <v>16068</v>
      </c>
      <c r="AL43" s="79">
        <v>0</v>
      </c>
      <c r="AM43" s="79">
        <v>0</v>
      </c>
      <c r="AN43" s="79">
        <v>0</v>
      </c>
      <c r="AO43" s="79">
        <v>0</v>
      </c>
      <c r="AP43" s="79">
        <v>1001</v>
      </c>
      <c r="AQ43" s="79">
        <v>0</v>
      </c>
      <c r="AR43" s="80">
        <v>7.2021599999999998E-4</v>
      </c>
      <c r="AS43" s="80">
        <v>2.6642899999999999E-4</v>
      </c>
      <c r="AT43" s="79">
        <v>6443.268</v>
      </c>
      <c r="AU43" s="79">
        <v>0</v>
      </c>
      <c r="AV43" s="79">
        <v>5102</v>
      </c>
      <c r="AW43" s="79">
        <v>4894.1554919478403</v>
      </c>
      <c r="AX43" s="79">
        <v>29</v>
      </c>
      <c r="AY43" s="79">
        <v>29</v>
      </c>
      <c r="AZ43" s="79">
        <v>3507</v>
      </c>
      <c r="BA43" s="79">
        <v>1</v>
      </c>
      <c r="BB43" s="79">
        <v>0</v>
      </c>
      <c r="BC43" s="79">
        <v>0</v>
      </c>
      <c r="BD43" s="79">
        <v>0</v>
      </c>
      <c r="BE43" s="79">
        <v>0</v>
      </c>
      <c r="BF43" s="79">
        <v>0</v>
      </c>
      <c r="BG43" s="79">
        <v>0</v>
      </c>
      <c r="BH43" s="79">
        <v>0</v>
      </c>
      <c r="BI43" s="79">
        <v>0</v>
      </c>
      <c r="BJ43" s="79">
        <v>0</v>
      </c>
      <c r="BK43" s="79">
        <v>24</v>
      </c>
      <c r="BL43" s="79">
        <v>4282</v>
      </c>
      <c r="BM43" s="79">
        <v>219</v>
      </c>
      <c r="BN43" s="79">
        <v>188</v>
      </c>
      <c r="BO43">
        <v>7434</v>
      </c>
      <c r="BP43">
        <v>654</v>
      </c>
      <c r="BQ43">
        <v>7274</v>
      </c>
      <c r="BR43">
        <v>670</v>
      </c>
      <c r="BS43">
        <v>7217</v>
      </c>
      <c r="BT43">
        <v>643</v>
      </c>
      <c r="BU43">
        <v>7111</v>
      </c>
      <c r="BV43">
        <v>708</v>
      </c>
      <c r="BW43">
        <v>6934</v>
      </c>
      <c r="BX43">
        <v>751</v>
      </c>
      <c r="BY43">
        <v>6821</v>
      </c>
      <c r="BZ43">
        <v>793</v>
      </c>
      <c r="CB43">
        <v>576.69299999999998</v>
      </c>
      <c r="CC43">
        <v>43</v>
      </c>
      <c r="CD43">
        <v>44</v>
      </c>
      <c r="CE43">
        <v>9203.84</v>
      </c>
      <c r="CF43">
        <v>2163.67</v>
      </c>
      <c r="CG43">
        <v>188.332213262382</v>
      </c>
      <c r="CH43">
        <v>329</v>
      </c>
      <c r="CI43">
        <v>134.333333333333</v>
      </c>
      <c r="CJ43">
        <v>100.333333333333</v>
      </c>
      <c r="CK43" s="81">
        <v>1664</v>
      </c>
      <c r="CL43">
        <v>464</v>
      </c>
      <c r="CM43">
        <v>4980.1715396113595</v>
      </c>
      <c r="CN43">
        <v>1.077</v>
      </c>
      <c r="CO43">
        <v>25476</v>
      </c>
      <c r="CP43">
        <v>4535</v>
      </c>
      <c r="CQ43">
        <v>827</v>
      </c>
      <c r="CR43">
        <v>775</v>
      </c>
      <c r="CS43">
        <v>724</v>
      </c>
      <c r="CT43">
        <v>411</v>
      </c>
      <c r="CU43">
        <v>441.17490664675103</v>
      </c>
      <c r="CV43">
        <v>258.43216330594998</v>
      </c>
      <c r="CW43">
        <v>95.211849639034099</v>
      </c>
      <c r="CX43">
        <v>1316.4675</v>
      </c>
      <c r="CY43">
        <v>771.16250000000002</v>
      </c>
      <c r="CZ43">
        <v>284.11250000000001</v>
      </c>
      <c r="DA43">
        <v>26385</v>
      </c>
      <c r="DE43">
        <v>150</v>
      </c>
      <c r="DF43" t="s">
        <v>84</v>
      </c>
      <c r="DG43">
        <v>21529</v>
      </c>
      <c r="DH43">
        <v>21501</v>
      </c>
      <c r="DI43">
        <v>21437</v>
      </c>
      <c r="DJ43">
        <v>21346</v>
      </c>
      <c r="DK43">
        <v>21222</v>
      </c>
      <c r="DO43">
        <v>1949</v>
      </c>
      <c r="DP43" t="s">
        <v>325</v>
      </c>
      <c r="DQ43">
        <v>21142</v>
      </c>
      <c r="DR43">
        <v>1.01</v>
      </c>
      <c r="DS43">
        <v>470</v>
      </c>
      <c r="DV43">
        <v>375</v>
      </c>
      <c r="DW43" t="s">
        <v>49</v>
      </c>
      <c r="DX43">
        <v>6290.0124819971197</v>
      </c>
      <c r="DY43">
        <v>1093</v>
      </c>
      <c r="DZ43">
        <v>902</v>
      </c>
      <c r="EA43">
        <v>482</v>
      </c>
      <c r="EB43">
        <v>2702</v>
      </c>
      <c r="EC43">
        <v>1659</v>
      </c>
      <c r="ED43">
        <v>656</v>
      </c>
      <c r="EE43" s="82">
        <v>0.22671995023878699</v>
      </c>
      <c r="EF43" s="82">
        <v>0.50311442937072404</v>
      </c>
    </row>
    <row r="44" spans="1:136" x14ac:dyDescent="0.35">
      <c r="A44" s="72">
        <v>1699</v>
      </c>
      <c r="B44" s="72">
        <v>3</v>
      </c>
      <c r="D44" s="72" t="s">
        <v>219</v>
      </c>
      <c r="E44" s="79">
        <v>2676000000</v>
      </c>
      <c r="F44" s="79">
        <v>534800000</v>
      </c>
      <c r="G44" s="79">
        <v>560350000</v>
      </c>
      <c r="H44" s="79">
        <v>31290</v>
      </c>
      <c r="I44" s="79">
        <v>3</v>
      </c>
      <c r="J44" s="79">
        <v>560.35</v>
      </c>
      <c r="K44" s="79">
        <v>5821</v>
      </c>
      <c r="L44" s="79">
        <v>8340</v>
      </c>
      <c r="M44" s="79">
        <v>2859</v>
      </c>
      <c r="N44" s="79">
        <v>4557</v>
      </c>
      <c r="O44" s="79">
        <v>3063.8</v>
      </c>
      <c r="P44" s="79">
        <v>574</v>
      </c>
      <c r="Q44" s="79">
        <v>1878</v>
      </c>
      <c r="R44" s="79">
        <v>500</v>
      </c>
      <c r="S44" s="79">
        <v>0</v>
      </c>
      <c r="T44" s="79">
        <v>872</v>
      </c>
      <c r="U44" s="79">
        <v>14379</v>
      </c>
      <c r="V44" s="79">
        <v>27850</v>
      </c>
      <c r="W44" s="79">
        <v>13420</v>
      </c>
      <c r="X44" s="79">
        <v>659.12</v>
      </c>
      <c r="Y44" s="79">
        <v>484.8</v>
      </c>
      <c r="Z44" s="79">
        <v>0</v>
      </c>
      <c r="AA44" s="79">
        <v>0</v>
      </c>
      <c r="AB44" s="79">
        <v>168.2</v>
      </c>
      <c r="AC44" s="79">
        <v>19905</v>
      </c>
      <c r="AD44" s="79">
        <v>19905</v>
      </c>
      <c r="AE44" s="79">
        <v>624</v>
      </c>
      <c r="AF44" s="79">
        <v>0</v>
      </c>
      <c r="AG44" s="79">
        <v>294</v>
      </c>
      <c r="AH44" s="79">
        <v>194</v>
      </c>
      <c r="AI44" s="79">
        <v>100</v>
      </c>
      <c r="AJ44" s="79">
        <v>14932</v>
      </c>
      <c r="AK44" s="79">
        <v>14932</v>
      </c>
      <c r="AL44" s="79">
        <v>0</v>
      </c>
      <c r="AM44" s="79">
        <v>0</v>
      </c>
      <c r="AN44" s="79">
        <v>0</v>
      </c>
      <c r="AO44" s="79">
        <v>0</v>
      </c>
      <c r="AP44" s="79">
        <v>0</v>
      </c>
      <c r="AQ44" s="79">
        <v>0</v>
      </c>
      <c r="AR44" s="80">
        <v>6.55228E-4</v>
      </c>
      <c r="AS44" s="80">
        <v>3.3366E-4</v>
      </c>
      <c r="AT44" s="79">
        <v>10079.1</v>
      </c>
      <c r="AU44" s="79">
        <v>0</v>
      </c>
      <c r="AV44" s="79">
        <v>4679</v>
      </c>
      <c r="AW44" s="79">
        <v>7384.6777729066198</v>
      </c>
      <c r="AX44" s="79">
        <v>17</v>
      </c>
      <c r="AY44" s="79">
        <v>17</v>
      </c>
      <c r="AZ44" s="79">
        <v>3229</v>
      </c>
      <c r="BA44" s="79">
        <v>1</v>
      </c>
      <c r="BB44" s="79">
        <v>0</v>
      </c>
      <c r="BC44" s="79">
        <v>0</v>
      </c>
      <c r="BD44" s="79">
        <v>0</v>
      </c>
      <c r="BE44" s="79">
        <v>0</v>
      </c>
      <c r="BF44" s="79">
        <v>0</v>
      </c>
      <c r="BG44" s="79">
        <v>0</v>
      </c>
      <c r="BH44" s="79">
        <v>0</v>
      </c>
      <c r="BI44" s="79">
        <v>0</v>
      </c>
      <c r="BJ44" s="79">
        <v>0</v>
      </c>
      <c r="BK44" s="79">
        <v>23</v>
      </c>
      <c r="BL44" s="79">
        <v>4215</v>
      </c>
      <c r="BM44" s="79">
        <v>194</v>
      </c>
      <c r="BN44" s="79">
        <v>100</v>
      </c>
      <c r="BO44">
        <v>6649</v>
      </c>
      <c r="BP44">
        <v>398</v>
      </c>
      <c r="BQ44">
        <v>6465</v>
      </c>
      <c r="BR44">
        <v>413</v>
      </c>
      <c r="BS44">
        <v>6405</v>
      </c>
      <c r="BT44">
        <v>469</v>
      </c>
      <c r="BU44">
        <v>6338</v>
      </c>
      <c r="BV44">
        <v>510</v>
      </c>
      <c r="BW44">
        <v>6229</v>
      </c>
      <c r="BX44">
        <v>528</v>
      </c>
      <c r="BY44">
        <v>6162</v>
      </c>
      <c r="BZ44">
        <v>555</v>
      </c>
      <c r="CB44">
        <v>640.30999999999995</v>
      </c>
      <c r="CC44">
        <v>61</v>
      </c>
      <c r="CD44">
        <v>95</v>
      </c>
      <c r="CE44">
        <v>9430.24</v>
      </c>
      <c r="CF44">
        <v>2059.02</v>
      </c>
      <c r="CG44">
        <v>143.05236283185801</v>
      </c>
      <c r="CH44">
        <v>325</v>
      </c>
      <c r="CI44">
        <v>160.333333333333</v>
      </c>
      <c r="CJ44">
        <v>117</v>
      </c>
      <c r="CK44" s="81">
        <v>1304</v>
      </c>
      <c r="CL44">
        <v>405</v>
      </c>
      <c r="CM44">
        <v>5019.5857727375196</v>
      </c>
      <c r="CN44">
        <v>1.3520000000000001</v>
      </c>
      <c r="CO44">
        <v>22950</v>
      </c>
      <c r="CP44">
        <v>4522</v>
      </c>
      <c r="CQ44">
        <v>959</v>
      </c>
      <c r="CR44">
        <v>862</v>
      </c>
      <c r="CS44">
        <v>831</v>
      </c>
      <c r="CT44">
        <v>451</v>
      </c>
      <c r="CU44">
        <v>560.97168497187295</v>
      </c>
      <c r="CV44">
        <v>401.74929011518901</v>
      </c>
      <c r="CW44">
        <v>140.34551299223099</v>
      </c>
      <c r="CX44">
        <v>1217.4502</v>
      </c>
      <c r="CY44">
        <v>871.89739999999995</v>
      </c>
      <c r="CZ44">
        <v>304.58519999999999</v>
      </c>
      <c r="DA44">
        <v>3969</v>
      </c>
      <c r="DE44">
        <v>153</v>
      </c>
      <c r="DF44" t="s">
        <v>106</v>
      </c>
      <c r="DG44">
        <v>31080</v>
      </c>
      <c r="DH44">
        <v>31036</v>
      </c>
      <c r="DI44">
        <v>30994</v>
      </c>
      <c r="DJ44">
        <v>30734</v>
      </c>
      <c r="DK44">
        <v>30602</v>
      </c>
      <c r="DO44">
        <v>98</v>
      </c>
      <c r="DP44" t="s">
        <v>341</v>
      </c>
      <c r="DQ44">
        <v>11891</v>
      </c>
      <c r="DR44">
        <v>1</v>
      </c>
      <c r="DS44">
        <v>678</v>
      </c>
      <c r="DV44">
        <v>585</v>
      </c>
      <c r="DW44" t="s">
        <v>812</v>
      </c>
      <c r="DX44">
        <v>3006.2166384795</v>
      </c>
      <c r="DY44">
        <v>700</v>
      </c>
      <c r="DZ44">
        <v>649</v>
      </c>
      <c r="EA44">
        <v>349</v>
      </c>
      <c r="EB44">
        <v>2407</v>
      </c>
      <c r="EC44">
        <v>1408</v>
      </c>
      <c r="ED44">
        <v>513</v>
      </c>
      <c r="EE44" s="82">
        <v>0.13407433142408301</v>
      </c>
      <c r="EF44" s="82">
        <v>0.34052834202927901</v>
      </c>
    </row>
    <row r="45" spans="1:136" x14ac:dyDescent="0.35">
      <c r="A45" s="72">
        <v>1730</v>
      </c>
      <c r="B45" s="72">
        <v>3</v>
      </c>
      <c r="D45" s="72" t="s">
        <v>299</v>
      </c>
      <c r="E45" s="79">
        <v>3069200000</v>
      </c>
      <c r="F45" s="79">
        <v>346500000</v>
      </c>
      <c r="G45" s="79">
        <v>388500000</v>
      </c>
      <c r="H45" s="79">
        <v>33698</v>
      </c>
      <c r="I45" s="79">
        <v>4</v>
      </c>
      <c r="J45" s="79">
        <v>388.5</v>
      </c>
      <c r="K45" s="79">
        <v>7057</v>
      </c>
      <c r="L45" s="79">
        <v>8049</v>
      </c>
      <c r="M45" s="79">
        <v>2636</v>
      </c>
      <c r="N45" s="79">
        <v>3736</v>
      </c>
      <c r="O45" s="79">
        <v>2167.6</v>
      </c>
      <c r="P45" s="79">
        <v>453.66666666666703</v>
      </c>
      <c r="Q45" s="79">
        <v>1894.6666666666699</v>
      </c>
      <c r="R45" s="79">
        <v>505</v>
      </c>
      <c r="S45" s="79">
        <v>0</v>
      </c>
      <c r="T45" s="79">
        <v>886</v>
      </c>
      <c r="U45" s="79">
        <v>15199</v>
      </c>
      <c r="V45" s="79">
        <v>28670</v>
      </c>
      <c r="W45" s="79">
        <v>9420</v>
      </c>
      <c r="X45" s="79">
        <v>227.25280000000001</v>
      </c>
      <c r="Y45" s="79">
        <v>169.6</v>
      </c>
      <c r="Z45" s="79">
        <v>0</v>
      </c>
      <c r="AA45" s="79">
        <v>0</v>
      </c>
      <c r="AB45" s="79">
        <v>0</v>
      </c>
      <c r="AC45" s="79">
        <v>14287</v>
      </c>
      <c r="AD45" s="79">
        <v>14287</v>
      </c>
      <c r="AE45" s="79">
        <v>483</v>
      </c>
      <c r="AF45" s="79">
        <v>0</v>
      </c>
      <c r="AG45" s="79">
        <v>281</v>
      </c>
      <c r="AH45" s="79">
        <v>205</v>
      </c>
      <c r="AI45" s="79">
        <v>76</v>
      </c>
      <c r="AJ45" s="79">
        <v>15684</v>
      </c>
      <c r="AK45" s="79">
        <v>15684</v>
      </c>
      <c r="AL45" s="79">
        <v>0</v>
      </c>
      <c r="AM45" s="79">
        <v>0</v>
      </c>
      <c r="AN45" s="79">
        <v>0</v>
      </c>
      <c r="AO45" s="79">
        <v>0</v>
      </c>
      <c r="AP45" s="79">
        <v>0</v>
      </c>
      <c r="AQ45" s="79">
        <v>0</v>
      </c>
      <c r="AR45" s="80">
        <v>6.9887200000000001E-4</v>
      </c>
      <c r="AS45" s="80">
        <v>3.02849E-4</v>
      </c>
      <c r="AT45" s="79">
        <v>7998.84</v>
      </c>
      <c r="AU45" s="79">
        <v>0</v>
      </c>
      <c r="AV45" s="79">
        <v>3165</v>
      </c>
      <c r="AW45" s="79">
        <v>7303.1345971563996</v>
      </c>
      <c r="AX45" s="79">
        <v>18</v>
      </c>
      <c r="AY45" s="79">
        <v>18</v>
      </c>
      <c r="AZ45" s="79">
        <v>3654</v>
      </c>
      <c r="BA45" s="79">
        <v>1</v>
      </c>
      <c r="BB45" s="79">
        <v>0</v>
      </c>
      <c r="BC45" s="79">
        <v>0</v>
      </c>
      <c r="BD45" s="79">
        <v>0</v>
      </c>
      <c r="BE45" s="79">
        <v>0</v>
      </c>
      <c r="BF45" s="79">
        <v>0</v>
      </c>
      <c r="BG45" s="79">
        <v>0</v>
      </c>
      <c r="BH45" s="79">
        <v>0</v>
      </c>
      <c r="BI45" s="79">
        <v>0</v>
      </c>
      <c r="BJ45" s="79">
        <v>0</v>
      </c>
      <c r="BK45" s="79">
        <v>17</v>
      </c>
      <c r="BL45" s="79">
        <v>4146</v>
      </c>
      <c r="BM45" s="79">
        <v>205</v>
      </c>
      <c r="BN45" s="79">
        <v>76</v>
      </c>
      <c r="BO45">
        <v>7052</v>
      </c>
      <c r="BP45">
        <v>459</v>
      </c>
      <c r="BQ45">
        <v>7038</v>
      </c>
      <c r="BR45">
        <v>431</v>
      </c>
      <c r="BS45">
        <v>7028</v>
      </c>
      <c r="BT45">
        <v>394</v>
      </c>
      <c r="BU45">
        <v>6974</v>
      </c>
      <c r="BV45">
        <v>368</v>
      </c>
      <c r="BW45">
        <v>6941</v>
      </c>
      <c r="BX45">
        <v>402</v>
      </c>
      <c r="BY45">
        <v>6876</v>
      </c>
      <c r="BZ45">
        <v>437</v>
      </c>
      <c r="CB45">
        <v>508.10399999999998</v>
      </c>
      <c r="CC45">
        <v>28</v>
      </c>
      <c r="CD45">
        <v>29</v>
      </c>
      <c r="CE45">
        <v>10515.4</v>
      </c>
      <c r="CF45">
        <v>2817.8</v>
      </c>
      <c r="CG45">
        <v>166.83525172074701</v>
      </c>
      <c r="CH45">
        <v>325</v>
      </c>
      <c r="CI45">
        <v>133</v>
      </c>
      <c r="CJ45">
        <v>100</v>
      </c>
      <c r="CK45" s="81">
        <v>1441</v>
      </c>
      <c r="CL45">
        <v>571</v>
      </c>
      <c r="CM45">
        <v>4699.1883599560997</v>
      </c>
      <c r="CN45">
        <v>1.113</v>
      </c>
      <c r="CO45">
        <v>25649</v>
      </c>
      <c r="CP45">
        <v>4322</v>
      </c>
      <c r="CQ45">
        <v>1091</v>
      </c>
      <c r="CR45">
        <v>781</v>
      </c>
      <c r="CS45">
        <v>830</v>
      </c>
      <c r="CT45">
        <v>518</v>
      </c>
      <c r="CU45">
        <v>358.64078041315997</v>
      </c>
      <c r="CV45">
        <v>247.800739607243</v>
      </c>
      <c r="CW45">
        <v>101.44213210915601</v>
      </c>
      <c r="CX45">
        <v>950.28899999999999</v>
      </c>
      <c r="CY45">
        <v>656.59659999999997</v>
      </c>
      <c r="CZ45">
        <v>268.79079999999999</v>
      </c>
      <c r="DA45">
        <v>92998</v>
      </c>
      <c r="DE45">
        <v>158</v>
      </c>
      <c r="DF45" t="s">
        <v>124</v>
      </c>
      <c r="DG45">
        <v>5449</v>
      </c>
      <c r="DH45">
        <v>5415</v>
      </c>
      <c r="DI45">
        <v>5384</v>
      </c>
      <c r="DJ45">
        <v>5325</v>
      </c>
      <c r="DK45">
        <v>5192</v>
      </c>
      <c r="DO45">
        <v>1680</v>
      </c>
      <c r="DP45" t="s">
        <v>0</v>
      </c>
      <c r="DQ45">
        <v>13075</v>
      </c>
      <c r="DR45">
        <v>1</v>
      </c>
      <c r="DS45">
        <v>279</v>
      </c>
      <c r="DV45">
        <v>1728</v>
      </c>
      <c r="DW45" t="s">
        <v>50</v>
      </c>
      <c r="DX45">
        <v>2256.0369056068098</v>
      </c>
      <c r="DY45">
        <v>431</v>
      </c>
      <c r="DZ45">
        <v>424</v>
      </c>
      <c r="EA45">
        <v>206</v>
      </c>
      <c r="EB45">
        <v>1468</v>
      </c>
      <c r="EC45">
        <v>924</v>
      </c>
      <c r="ED45">
        <v>292</v>
      </c>
      <c r="EE45" s="82">
        <v>0.14538143415344901</v>
      </c>
      <c r="EF45" s="82">
        <v>0.42615606722440202</v>
      </c>
    </row>
    <row r="46" spans="1:136" x14ac:dyDescent="0.35">
      <c r="A46" s="72">
        <v>1701</v>
      </c>
      <c r="B46" s="72">
        <v>3</v>
      </c>
      <c r="D46" s="72" t="s">
        <v>337</v>
      </c>
      <c r="E46" s="79">
        <v>1843200000</v>
      </c>
      <c r="F46" s="79">
        <v>221200000</v>
      </c>
      <c r="G46" s="79">
        <v>268100000</v>
      </c>
      <c r="H46" s="79">
        <v>19348</v>
      </c>
      <c r="I46" s="79">
        <v>4</v>
      </c>
      <c r="J46" s="79">
        <v>268.10000000000002</v>
      </c>
      <c r="K46" s="79">
        <v>3231</v>
      </c>
      <c r="L46" s="79">
        <v>5378</v>
      </c>
      <c r="M46" s="79">
        <v>1731</v>
      </c>
      <c r="N46" s="79">
        <v>2614</v>
      </c>
      <c r="O46" s="79">
        <v>1614.8</v>
      </c>
      <c r="P46" s="79">
        <v>238</v>
      </c>
      <c r="Q46" s="79">
        <v>1259</v>
      </c>
      <c r="R46" s="79">
        <v>195</v>
      </c>
      <c r="S46" s="79">
        <v>0</v>
      </c>
      <c r="T46" s="79">
        <v>395</v>
      </c>
      <c r="U46" s="79">
        <v>9128</v>
      </c>
      <c r="V46" s="79">
        <v>16310</v>
      </c>
      <c r="W46" s="79">
        <v>2350</v>
      </c>
      <c r="X46" s="79">
        <v>0</v>
      </c>
      <c r="Y46" s="79">
        <v>174.4</v>
      </c>
      <c r="Z46" s="79">
        <v>0</v>
      </c>
      <c r="AA46" s="79">
        <v>0</v>
      </c>
      <c r="AB46" s="79">
        <v>0</v>
      </c>
      <c r="AC46" s="79">
        <v>27867</v>
      </c>
      <c r="AD46" s="79">
        <v>27867</v>
      </c>
      <c r="AE46" s="79">
        <v>407</v>
      </c>
      <c r="AF46" s="79">
        <v>0</v>
      </c>
      <c r="AG46" s="79">
        <v>226</v>
      </c>
      <c r="AH46" s="79">
        <v>112</v>
      </c>
      <c r="AI46" s="79">
        <v>114</v>
      </c>
      <c r="AJ46" s="79">
        <v>9992</v>
      </c>
      <c r="AK46" s="79">
        <v>9992</v>
      </c>
      <c r="AL46" s="79">
        <v>0</v>
      </c>
      <c r="AM46" s="79">
        <v>0</v>
      </c>
      <c r="AN46" s="79">
        <v>0</v>
      </c>
      <c r="AO46" s="79">
        <v>0</v>
      </c>
      <c r="AP46" s="79">
        <v>0</v>
      </c>
      <c r="AQ46" s="79">
        <v>0</v>
      </c>
      <c r="AR46" s="80">
        <v>5.2342199999999995E-4</v>
      </c>
      <c r="AS46" s="80">
        <v>1.2335100000000001E-4</v>
      </c>
      <c r="AT46" s="79">
        <v>2108.3119999999999</v>
      </c>
      <c r="AU46" s="79">
        <v>0</v>
      </c>
      <c r="AV46" s="79">
        <v>3857</v>
      </c>
      <c r="AW46" s="79">
        <v>2639.3589870552501</v>
      </c>
      <c r="AX46" s="79">
        <v>29</v>
      </c>
      <c r="AY46" s="79">
        <v>29</v>
      </c>
      <c r="AZ46" s="79">
        <v>2508</v>
      </c>
      <c r="BA46" s="79">
        <v>1</v>
      </c>
      <c r="BB46" s="79">
        <v>0</v>
      </c>
      <c r="BC46" s="79">
        <v>0</v>
      </c>
      <c r="BD46" s="79">
        <v>0</v>
      </c>
      <c r="BE46" s="79">
        <v>0</v>
      </c>
      <c r="BF46" s="79">
        <v>0</v>
      </c>
      <c r="BG46" s="79">
        <v>0</v>
      </c>
      <c r="BH46" s="79">
        <v>0</v>
      </c>
      <c r="BI46" s="79">
        <v>0</v>
      </c>
      <c r="BJ46" s="79">
        <v>0</v>
      </c>
      <c r="BK46" s="79">
        <v>5</v>
      </c>
      <c r="BL46" s="79">
        <v>2792</v>
      </c>
      <c r="BM46" s="79">
        <v>112</v>
      </c>
      <c r="BN46" s="79">
        <v>114</v>
      </c>
      <c r="BO46">
        <v>3856</v>
      </c>
      <c r="BP46">
        <v>332</v>
      </c>
      <c r="BQ46">
        <v>3831</v>
      </c>
      <c r="BR46">
        <v>309</v>
      </c>
      <c r="BS46">
        <v>3793</v>
      </c>
      <c r="BT46">
        <v>277</v>
      </c>
      <c r="BU46">
        <v>3705</v>
      </c>
      <c r="BV46">
        <v>287</v>
      </c>
      <c r="BW46">
        <v>3616</v>
      </c>
      <c r="BX46">
        <v>239</v>
      </c>
      <c r="BY46">
        <v>3553</v>
      </c>
      <c r="BZ46">
        <v>231</v>
      </c>
      <c r="CB46">
        <v>306.94499999999999</v>
      </c>
      <c r="CC46">
        <v>40</v>
      </c>
      <c r="CD46">
        <v>9</v>
      </c>
      <c r="CE46">
        <v>5800.86</v>
      </c>
      <c r="CF46">
        <v>1191.45</v>
      </c>
      <c r="CG46">
        <v>68.150966955153393</v>
      </c>
      <c r="CH46">
        <v>156</v>
      </c>
      <c r="CI46">
        <v>55.3333333333333</v>
      </c>
      <c r="CJ46">
        <v>45.6666666666667</v>
      </c>
      <c r="CK46" s="81">
        <v>1021</v>
      </c>
      <c r="CL46">
        <v>321</v>
      </c>
      <c r="CM46">
        <v>3051.5493980992601</v>
      </c>
      <c r="CN46">
        <v>0.45300000000000001</v>
      </c>
      <c r="CO46">
        <v>13970</v>
      </c>
      <c r="CP46">
        <v>3013</v>
      </c>
      <c r="CQ46">
        <v>634</v>
      </c>
      <c r="CR46">
        <v>610</v>
      </c>
      <c r="CS46">
        <v>505</v>
      </c>
      <c r="CT46">
        <v>322</v>
      </c>
      <c r="CU46">
        <v>301.40132105684501</v>
      </c>
      <c r="CV46">
        <v>188.92125700560501</v>
      </c>
      <c r="CW46">
        <v>72.885788630904699</v>
      </c>
      <c r="CX46">
        <v>823.21100000000001</v>
      </c>
      <c r="CY46">
        <v>515.99659999999994</v>
      </c>
      <c r="CZ46">
        <v>199.07140000000001</v>
      </c>
      <c r="DA46">
        <v>41975</v>
      </c>
      <c r="DE46">
        <v>160</v>
      </c>
      <c r="DF46" t="s">
        <v>129</v>
      </c>
      <c r="DG46">
        <v>14459</v>
      </c>
      <c r="DH46">
        <v>14411</v>
      </c>
      <c r="DI46">
        <v>14302</v>
      </c>
      <c r="DJ46">
        <v>14139</v>
      </c>
      <c r="DK46">
        <v>14029</v>
      </c>
      <c r="DO46">
        <v>106</v>
      </c>
      <c r="DP46" t="s">
        <v>30</v>
      </c>
      <c r="DQ46">
        <v>32300</v>
      </c>
      <c r="DR46">
        <v>1</v>
      </c>
      <c r="DS46">
        <v>1541</v>
      </c>
      <c r="DV46">
        <v>376</v>
      </c>
      <c r="DW46" t="s">
        <v>51</v>
      </c>
      <c r="DX46">
        <v>1017.7538121547</v>
      </c>
      <c r="DY46">
        <v>411</v>
      </c>
      <c r="DZ46">
        <v>260</v>
      </c>
      <c r="EA46">
        <v>114</v>
      </c>
      <c r="EB46">
        <v>1157</v>
      </c>
      <c r="EC46">
        <v>558</v>
      </c>
      <c r="ED46">
        <v>163</v>
      </c>
      <c r="EE46" s="82">
        <v>0.108727196914417</v>
      </c>
      <c r="EF46" s="82">
        <v>0.100770711482935</v>
      </c>
    </row>
    <row r="47" spans="1:136" x14ac:dyDescent="0.35">
      <c r="A47" s="72">
        <v>141</v>
      </c>
      <c r="B47" s="72">
        <v>4</v>
      </c>
      <c r="D47" s="72" t="s">
        <v>18</v>
      </c>
      <c r="E47" s="79">
        <v>4422400000</v>
      </c>
      <c r="F47" s="79">
        <v>1176700000</v>
      </c>
      <c r="G47" s="79">
        <v>1232350000</v>
      </c>
      <c r="H47" s="79">
        <v>72849</v>
      </c>
      <c r="I47" s="79">
        <v>1</v>
      </c>
      <c r="J47" s="79">
        <v>1232.3499999999999</v>
      </c>
      <c r="K47" s="79">
        <v>14620</v>
      </c>
      <c r="L47" s="79">
        <v>14171</v>
      </c>
      <c r="M47" s="79">
        <v>4410</v>
      </c>
      <c r="N47" s="79">
        <v>12181</v>
      </c>
      <c r="O47" s="79">
        <v>8819.7999999999993</v>
      </c>
      <c r="P47" s="79">
        <v>2768.3333333333298</v>
      </c>
      <c r="Q47" s="79">
        <v>8423.3333333333303</v>
      </c>
      <c r="R47" s="79">
        <v>7925</v>
      </c>
      <c r="S47" s="79">
        <v>0</v>
      </c>
      <c r="T47" s="79">
        <v>2669</v>
      </c>
      <c r="U47" s="79">
        <v>33842</v>
      </c>
      <c r="V47" s="79">
        <v>83270</v>
      </c>
      <c r="W47" s="79">
        <v>115680</v>
      </c>
      <c r="X47" s="79">
        <v>3490.9</v>
      </c>
      <c r="Y47" s="79">
        <v>4908.8</v>
      </c>
      <c r="Z47" s="79">
        <v>0</v>
      </c>
      <c r="AA47" s="79">
        <v>0</v>
      </c>
      <c r="AB47" s="79">
        <v>0</v>
      </c>
      <c r="AC47" s="79">
        <v>6715</v>
      </c>
      <c r="AD47" s="79">
        <v>6715</v>
      </c>
      <c r="AE47" s="79">
        <v>225</v>
      </c>
      <c r="AF47" s="79">
        <v>0</v>
      </c>
      <c r="AG47" s="79">
        <v>544</v>
      </c>
      <c r="AH47" s="79">
        <v>416</v>
      </c>
      <c r="AI47" s="79">
        <v>128</v>
      </c>
      <c r="AJ47" s="79">
        <v>33612</v>
      </c>
      <c r="AK47" s="79">
        <v>33612</v>
      </c>
      <c r="AL47" s="79">
        <v>10</v>
      </c>
      <c r="AM47" s="79">
        <v>0</v>
      </c>
      <c r="AN47" s="79">
        <v>0</v>
      </c>
      <c r="AO47" s="79">
        <v>0</v>
      </c>
      <c r="AP47" s="79">
        <v>7097</v>
      </c>
      <c r="AQ47" s="79">
        <v>7097</v>
      </c>
      <c r="AR47" s="80">
        <v>4.3936779999999998E-3</v>
      </c>
      <c r="AS47" s="80">
        <v>6.5105689999999999E-3</v>
      </c>
      <c r="AT47" s="79">
        <v>53409.468000000001</v>
      </c>
      <c r="AU47" s="79">
        <v>0</v>
      </c>
      <c r="AV47" s="79">
        <v>1998</v>
      </c>
      <c r="AW47" s="79">
        <v>20972.954178674401</v>
      </c>
      <c r="AX47" s="79">
        <v>3</v>
      </c>
      <c r="AY47" s="79">
        <v>3</v>
      </c>
      <c r="AZ47" s="79">
        <v>6366</v>
      </c>
      <c r="BA47" s="79">
        <v>1</v>
      </c>
      <c r="BB47" s="79">
        <v>0</v>
      </c>
      <c r="BC47" s="79">
        <v>0</v>
      </c>
      <c r="BD47" s="79">
        <v>0</v>
      </c>
      <c r="BE47" s="79">
        <v>0</v>
      </c>
      <c r="BF47" s="79">
        <v>0</v>
      </c>
      <c r="BG47" s="79">
        <v>0</v>
      </c>
      <c r="BH47" s="79">
        <v>0</v>
      </c>
      <c r="BI47" s="79">
        <v>0</v>
      </c>
      <c r="BJ47" s="79">
        <v>0</v>
      </c>
      <c r="BK47" s="79">
        <v>86</v>
      </c>
      <c r="BL47" s="79">
        <v>11985</v>
      </c>
      <c r="BM47" s="79">
        <v>416</v>
      </c>
      <c r="BN47" s="79">
        <v>128</v>
      </c>
      <c r="BO47">
        <v>16202</v>
      </c>
      <c r="BP47">
        <v>5758</v>
      </c>
      <c r="BQ47">
        <v>16203</v>
      </c>
      <c r="BR47">
        <v>5780</v>
      </c>
      <c r="BS47">
        <v>16197</v>
      </c>
      <c r="BT47">
        <v>5931</v>
      </c>
      <c r="BU47">
        <v>16090</v>
      </c>
      <c r="BV47">
        <v>6103</v>
      </c>
      <c r="BW47">
        <v>15848</v>
      </c>
      <c r="BX47">
        <v>6042</v>
      </c>
      <c r="BY47">
        <v>15656</v>
      </c>
      <c r="BZ47">
        <v>6088</v>
      </c>
      <c r="CB47">
        <v>2558.5</v>
      </c>
      <c r="CC47">
        <v>421</v>
      </c>
      <c r="CD47">
        <v>332</v>
      </c>
      <c r="CE47">
        <v>17973.45</v>
      </c>
      <c r="CF47">
        <v>4268.7</v>
      </c>
      <c r="CG47">
        <v>620.70948539638403</v>
      </c>
      <c r="CH47">
        <v>995</v>
      </c>
      <c r="CI47">
        <v>791</v>
      </c>
      <c r="CJ47">
        <v>691.66666666666697</v>
      </c>
      <c r="CK47" s="81">
        <v>5655</v>
      </c>
      <c r="CL47">
        <v>1727</v>
      </c>
      <c r="CM47">
        <v>12620.4543044529</v>
      </c>
      <c r="CN47">
        <v>8.7270000000000003</v>
      </c>
      <c r="CO47">
        <v>58678</v>
      </c>
      <c r="CP47">
        <v>8157</v>
      </c>
      <c r="CQ47">
        <v>1604</v>
      </c>
      <c r="CR47">
        <v>2022</v>
      </c>
      <c r="CS47">
        <v>1640</v>
      </c>
      <c r="CT47">
        <v>927</v>
      </c>
      <c r="CU47">
        <v>1366.5809353802199</v>
      </c>
      <c r="CV47">
        <v>834.95786028799205</v>
      </c>
      <c r="CW47">
        <v>323.01481018683802</v>
      </c>
      <c r="CX47">
        <v>3010.2240000000002</v>
      </c>
      <c r="CY47">
        <v>1839.1959999999999</v>
      </c>
      <c r="CZ47">
        <v>711.51800000000003</v>
      </c>
      <c r="DA47">
        <v>125655</v>
      </c>
      <c r="DE47">
        <v>163</v>
      </c>
      <c r="DF47" t="s">
        <v>142</v>
      </c>
      <c r="DG47">
        <v>8034</v>
      </c>
      <c r="DH47">
        <v>7994</v>
      </c>
      <c r="DI47">
        <v>7938</v>
      </c>
      <c r="DJ47">
        <v>7918</v>
      </c>
      <c r="DK47">
        <v>7793</v>
      </c>
      <c r="DO47">
        <v>1681</v>
      </c>
      <c r="DP47" t="s">
        <v>55</v>
      </c>
      <c r="DQ47">
        <v>11925</v>
      </c>
      <c r="DR47">
        <v>1</v>
      </c>
      <c r="DS47">
        <v>258</v>
      </c>
      <c r="DV47">
        <v>377</v>
      </c>
      <c r="DW47" t="s">
        <v>52</v>
      </c>
      <c r="DX47">
        <v>1945.897206005</v>
      </c>
      <c r="DY47">
        <v>649</v>
      </c>
      <c r="DZ47">
        <v>623</v>
      </c>
      <c r="EA47">
        <v>452</v>
      </c>
      <c r="EB47">
        <v>1913</v>
      </c>
      <c r="EC47">
        <v>1309</v>
      </c>
      <c r="ED47">
        <v>630</v>
      </c>
      <c r="EE47" s="82">
        <v>8.9788082122793697E-2</v>
      </c>
      <c r="EF47" s="82">
        <v>5.7178415019963E-2</v>
      </c>
    </row>
    <row r="48" spans="1:136" x14ac:dyDescent="0.35">
      <c r="A48" s="72">
        <v>147</v>
      </c>
      <c r="B48" s="72">
        <v>4</v>
      </c>
      <c r="D48" s="72" t="s">
        <v>56</v>
      </c>
      <c r="E48" s="79">
        <v>1890400000</v>
      </c>
      <c r="F48" s="79">
        <v>222250000</v>
      </c>
      <c r="G48" s="79">
        <v>241150000</v>
      </c>
      <c r="H48" s="79">
        <v>23210</v>
      </c>
      <c r="I48" s="79">
        <v>1</v>
      </c>
      <c r="J48" s="79">
        <v>241.15</v>
      </c>
      <c r="K48" s="79">
        <v>4954</v>
      </c>
      <c r="L48" s="79">
        <v>4988</v>
      </c>
      <c r="M48" s="79">
        <v>1637</v>
      </c>
      <c r="N48" s="79">
        <v>2638</v>
      </c>
      <c r="O48" s="79">
        <v>1652.3</v>
      </c>
      <c r="P48" s="79">
        <v>334</v>
      </c>
      <c r="Q48" s="79">
        <v>1484</v>
      </c>
      <c r="R48" s="79">
        <v>605</v>
      </c>
      <c r="S48" s="79">
        <v>0</v>
      </c>
      <c r="T48" s="79">
        <v>593</v>
      </c>
      <c r="U48" s="79">
        <v>9928</v>
      </c>
      <c r="V48" s="79">
        <v>21520</v>
      </c>
      <c r="W48" s="79">
        <v>13860</v>
      </c>
      <c r="X48" s="79">
        <v>0</v>
      </c>
      <c r="Y48" s="79">
        <v>292.8</v>
      </c>
      <c r="Z48" s="79">
        <v>0</v>
      </c>
      <c r="AA48" s="79">
        <v>0</v>
      </c>
      <c r="AB48" s="79">
        <v>0</v>
      </c>
      <c r="AC48" s="79">
        <v>2597</v>
      </c>
      <c r="AD48" s="79">
        <v>2597</v>
      </c>
      <c r="AE48" s="79">
        <v>19</v>
      </c>
      <c r="AF48" s="79">
        <v>0</v>
      </c>
      <c r="AG48" s="79">
        <v>143</v>
      </c>
      <c r="AH48" s="79">
        <v>122</v>
      </c>
      <c r="AI48" s="79">
        <v>20</v>
      </c>
      <c r="AJ48" s="79">
        <v>9857</v>
      </c>
      <c r="AK48" s="79">
        <v>9857</v>
      </c>
      <c r="AL48" s="79">
        <v>0</v>
      </c>
      <c r="AM48" s="79">
        <v>0</v>
      </c>
      <c r="AN48" s="79">
        <v>0</v>
      </c>
      <c r="AO48" s="79">
        <v>0</v>
      </c>
      <c r="AP48" s="79">
        <v>1224</v>
      </c>
      <c r="AQ48" s="79">
        <v>0</v>
      </c>
      <c r="AR48" s="80">
        <v>3.2157099999999999E-4</v>
      </c>
      <c r="AS48" s="80">
        <v>1.6967100000000001E-4</v>
      </c>
      <c r="AT48" s="79">
        <v>12074.825000000001</v>
      </c>
      <c r="AU48" s="79">
        <v>0</v>
      </c>
      <c r="AV48" s="79">
        <v>406</v>
      </c>
      <c r="AW48" s="79">
        <v>3602.1636085626901</v>
      </c>
      <c r="AX48" s="79">
        <v>3</v>
      </c>
      <c r="AY48" s="79">
        <v>3</v>
      </c>
      <c r="AZ48" s="79">
        <v>2107</v>
      </c>
      <c r="BA48" s="79">
        <v>1</v>
      </c>
      <c r="BB48" s="79">
        <v>0</v>
      </c>
      <c r="BC48" s="79">
        <v>0</v>
      </c>
      <c r="BD48" s="79">
        <v>0</v>
      </c>
      <c r="BE48" s="79">
        <v>0</v>
      </c>
      <c r="BF48" s="79">
        <v>0</v>
      </c>
      <c r="BG48" s="79">
        <v>0</v>
      </c>
      <c r="BH48" s="79">
        <v>0</v>
      </c>
      <c r="BI48" s="79">
        <v>0</v>
      </c>
      <c r="BJ48" s="79">
        <v>0</v>
      </c>
      <c r="BK48" s="79">
        <v>26</v>
      </c>
      <c r="BL48" s="79">
        <v>2642</v>
      </c>
      <c r="BM48" s="79">
        <v>122</v>
      </c>
      <c r="BN48" s="79">
        <v>20</v>
      </c>
      <c r="BO48">
        <v>4919</v>
      </c>
      <c r="BP48">
        <v>668</v>
      </c>
      <c r="BQ48">
        <v>4864</v>
      </c>
      <c r="BR48">
        <v>720</v>
      </c>
      <c r="BS48">
        <v>4835</v>
      </c>
      <c r="BT48">
        <v>702</v>
      </c>
      <c r="BU48">
        <v>4789</v>
      </c>
      <c r="BV48">
        <v>714</v>
      </c>
      <c r="BW48">
        <v>4801</v>
      </c>
      <c r="BX48">
        <v>678</v>
      </c>
      <c r="BY48">
        <v>4808</v>
      </c>
      <c r="BZ48">
        <v>625</v>
      </c>
      <c r="CB48">
        <v>421.09</v>
      </c>
      <c r="CC48">
        <v>60</v>
      </c>
      <c r="CD48">
        <v>26</v>
      </c>
      <c r="CE48">
        <v>6856.47</v>
      </c>
      <c r="CF48">
        <v>1783.54</v>
      </c>
      <c r="CG48">
        <v>71.244661546900701</v>
      </c>
      <c r="CH48">
        <v>226</v>
      </c>
      <c r="CI48">
        <v>101</v>
      </c>
      <c r="CJ48">
        <v>70.3333333333333</v>
      </c>
      <c r="CK48" s="81">
        <v>1150</v>
      </c>
      <c r="CL48">
        <v>354</v>
      </c>
      <c r="CM48">
        <v>3359.3262498321601</v>
      </c>
      <c r="CN48">
        <v>0.56899999999999995</v>
      </c>
      <c r="CO48">
        <v>18222</v>
      </c>
      <c r="CP48">
        <v>2815</v>
      </c>
      <c r="CQ48">
        <v>536</v>
      </c>
      <c r="CR48">
        <v>478</v>
      </c>
      <c r="CS48">
        <v>524</v>
      </c>
      <c r="CT48">
        <v>310</v>
      </c>
      <c r="CU48">
        <v>286.64228467079198</v>
      </c>
      <c r="CV48">
        <v>187.74231510601601</v>
      </c>
      <c r="CW48">
        <v>69.229978695343405</v>
      </c>
      <c r="CX48">
        <v>728.63099999999997</v>
      </c>
      <c r="CY48">
        <v>477.23200000000003</v>
      </c>
      <c r="CZ48">
        <v>175.97929999999999</v>
      </c>
      <c r="DA48">
        <v>0</v>
      </c>
      <c r="DE48">
        <v>164</v>
      </c>
      <c r="DF48" t="s">
        <v>146</v>
      </c>
      <c r="DG48">
        <v>17741</v>
      </c>
      <c r="DH48">
        <v>17630</v>
      </c>
      <c r="DI48">
        <v>17542</v>
      </c>
      <c r="DJ48">
        <v>17422</v>
      </c>
      <c r="DK48">
        <v>17207</v>
      </c>
      <c r="DO48">
        <v>109</v>
      </c>
      <c r="DP48" t="s">
        <v>70</v>
      </c>
      <c r="DQ48">
        <v>17265</v>
      </c>
      <c r="DR48">
        <v>1</v>
      </c>
      <c r="DS48">
        <v>500</v>
      </c>
      <c r="DV48">
        <v>1901</v>
      </c>
      <c r="DW48" t="s">
        <v>53</v>
      </c>
      <c r="DX48">
        <v>3209.0997815003602</v>
      </c>
      <c r="DY48">
        <v>711</v>
      </c>
      <c r="DZ48">
        <v>659</v>
      </c>
      <c r="EA48">
        <v>397</v>
      </c>
      <c r="EB48">
        <v>2404</v>
      </c>
      <c r="EC48">
        <v>1434</v>
      </c>
      <c r="ED48">
        <v>575</v>
      </c>
      <c r="EE48" s="82">
        <v>0.12079948957619099</v>
      </c>
      <c r="EF48" s="82">
        <v>0.31326727033450502</v>
      </c>
    </row>
    <row r="49" spans="1:136" x14ac:dyDescent="0.35">
      <c r="A49" s="72">
        <v>148</v>
      </c>
      <c r="B49" s="72">
        <v>4</v>
      </c>
      <c r="D49" s="72" t="s">
        <v>74</v>
      </c>
      <c r="E49" s="79">
        <v>2603600000</v>
      </c>
      <c r="F49" s="79">
        <v>411950000</v>
      </c>
      <c r="G49" s="79">
        <v>466200000</v>
      </c>
      <c r="H49" s="79">
        <v>28499</v>
      </c>
      <c r="I49" s="79">
        <v>3</v>
      </c>
      <c r="J49" s="79">
        <v>466.2</v>
      </c>
      <c r="K49" s="79">
        <v>6157</v>
      </c>
      <c r="L49" s="79">
        <v>5887</v>
      </c>
      <c r="M49" s="79">
        <v>1988</v>
      </c>
      <c r="N49" s="79">
        <v>2916</v>
      </c>
      <c r="O49" s="79">
        <v>1708.7</v>
      </c>
      <c r="P49" s="79">
        <v>241.333333333333</v>
      </c>
      <c r="Q49" s="79">
        <v>1315.3333333333301</v>
      </c>
      <c r="R49" s="79">
        <v>325</v>
      </c>
      <c r="S49" s="79">
        <v>0</v>
      </c>
      <c r="T49" s="79">
        <v>517</v>
      </c>
      <c r="U49" s="79">
        <v>11666</v>
      </c>
      <c r="V49" s="79">
        <v>26360</v>
      </c>
      <c r="W49" s="79">
        <v>11550</v>
      </c>
      <c r="X49" s="79">
        <v>0</v>
      </c>
      <c r="Y49" s="79">
        <v>187.2</v>
      </c>
      <c r="Z49" s="79">
        <v>0</v>
      </c>
      <c r="AA49" s="79">
        <v>0</v>
      </c>
      <c r="AB49" s="79">
        <v>31.6</v>
      </c>
      <c r="AC49" s="79">
        <v>16500</v>
      </c>
      <c r="AD49" s="79">
        <v>16500</v>
      </c>
      <c r="AE49" s="79">
        <v>151</v>
      </c>
      <c r="AF49" s="79">
        <v>0</v>
      </c>
      <c r="AG49" s="79">
        <v>336</v>
      </c>
      <c r="AH49" s="79">
        <v>162</v>
      </c>
      <c r="AI49" s="79">
        <v>173</v>
      </c>
      <c r="AJ49" s="79">
        <v>12073</v>
      </c>
      <c r="AK49" s="79">
        <v>12073</v>
      </c>
      <c r="AL49" s="79">
        <v>0</v>
      </c>
      <c r="AM49" s="79">
        <v>0</v>
      </c>
      <c r="AN49" s="79">
        <v>0</v>
      </c>
      <c r="AO49" s="79">
        <v>0</v>
      </c>
      <c r="AP49" s="79">
        <v>0</v>
      </c>
      <c r="AQ49" s="79">
        <v>0</v>
      </c>
      <c r="AR49" s="80">
        <v>3.6166699999999998E-4</v>
      </c>
      <c r="AS49" s="80">
        <v>1.35525E-4</v>
      </c>
      <c r="AT49" s="79">
        <v>6036.5</v>
      </c>
      <c r="AU49" s="79">
        <v>0</v>
      </c>
      <c r="AV49" s="79">
        <v>2258</v>
      </c>
      <c r="AW49" s="79">
        <v>3864.6773166776802</v>
      </c>
      <c r="AX49" s="79">
        <v>9</v>
      </c>
      <c r="AY49" s="79">
        <v>9</v>
      </c>
      <c r="AZ49" s="79">
        <v>3119</v>
      </c>
      <c r="BA49" s="79">
        <v>1</v>
      </c>
      <c r="BB49" s="79">
        <v>0</v>
      </c>
      <c r="BC49" s="79">
        <v>0</v>
      </c>
      <c r="BD49" s="79">
        <v>0</v>
      </c>
      <c r="BE49" s="79">
        <v>0</v>
      </c>
      <c r="BF49" s="79">
        <v>0</v>
      </c>
      <c r="BG49" s="79">
        <v>0</v>
      </c>
      <c r="BH49" s="79">
        <v>0</v>
      </c>
      <c r="BI49" s="79">
        <v>0</v>
      </c>
      <c r="BJ49" s="79">
        <v>0</v>
      </c>
      <c r="BK49" s="79">
        <v>22</v>
      </c>
      <c r="BL49" s="79">
        <v>3005</v>
      </c>
      <c r="BM49" s="79">
        <v>162</v>
      </c>
      <c r="BN49" s="79">
        <v>173</v>
      </c>
      <c r="BO49">
        <v>6616</v>
      </c>
      <c r="BP49">
        <v>184</v>
      </c>
      <c r="BQ49">
        <v>6602</v>
      </c>
      <c r="BR49">
        <v>204</v>
      </c>
      <c r="BS49">
        <v>6531</v>
      </c>
      <c r="BT49">
        <v>215</v>
      </c>
      <c r="BU49">
        <v>6437</v>
      </c>
      <c r="BV49">
        <v>209</v>
      </c>
      <c r="BW49">
        <v>6344</v>
      </c>
      <c r="BX49">
        <v>198</v>
      </c>
      <c r="BY49">
        <v>6253</v>
      </c>
      <c r="BZ49">
        <v>203</v>
      </c>
      <c r="CB49">
        <v>363.26299999999998</v>
      </c>
      <c r="CC49">
        <v>102</v>
      </c>
      <c r="CD49">
        <v>39</v>
      </c>
      <c r="CE49">
        <v>7780.56</v>
      </c>
      <c r="CF49">
        <v>2065.6999999999998</v>
      </c>
      <c r="CG49">
        <v>173.551826714801</v>
      </c>
      <c r="CH49">
        <v>203</v>
      </c>
      <c r="CI49">
        <v>79</v>
      </c>
      <c r="CJ49">
        <v>47</v>
      </c>
      <c r="CK49" s="81">
        <v>1074</v>
      </c>
      <c r="CL49">
        <v>309</v>
      </c>
      <c r="CM49">
        <v>3751.8306677174401</v>
      </c>
      <c r="CN49">
        <v>0.14000000000000001</v>
      </c>
      <c r="CO49">
        <v>22612</v>
      </c>
      <c r="CP49">
        <v>3251</v>
      </c>
      <c r="CQ49">
        <v>648</v>
      </c>
      <c r="CR49">
        <v>530</v>
      </c>
      <c r="CS49">
        <v>566</v>
      </c>
      <c r="CT49">
        <v>338</v>
      </c>
      <c r="CU49">
        <v>278.10780253458103</v>
      </c>
      <c r="CV49">
        <v>187.952754079351</v>
      </c>
      <c r="CW49">
        <v>69.4915679615671</v>
      </c>
      <c r="CX49">
        <v>875.0145</v>
      </c>
      <c r="CY49">
        <v>591.35839999999996</v>
      </c>
      <c r="CZ49">
        <v>218.64230000000001</v>
      </c>
      <c r="DA49">
        <v>0</v>
      </c>
      <c r="DE49">
        <v>166</v>
      </c>
      <c r="DF49" t="s">
        <v>164</v>
      </c>
      <c r="DG49">
        <v>12537</v>
      </c>
      <c r="DH49">
        <v>12519</v>
      </c>
      <c r="DI49">
        <v>12574</v>
      </c>
      <c r="DJ49">
        <v>12619</v>
      </c>
      <c r="DK49">
        <v>12684</v>
      </c>
      <c r="DO49">
        <v>1690</v>
      </c>
      <c r="DP49" t="s">
        <v>79</v>
      </c>
      <c r="DQ49">
        <v>10852</v>
      </c>
      <c r="DR49">
        <v>1</v>
      </c>
      <c r="DS49">
        <v>302</v>
      </c>
      <c r="DV49">
        <v>755</v>
      </c>
      <c r="DW49" t="s">
        <v>54</v>
      </c>
      <c r="DX49">
        <v>1044.28632371393</v>
      </c>
      <c r="DY49">
        <v>169</v>
      </c>
      <c r="DZ49">
        <v>175</v>
      </c>
      <c r="EA49">
        <v>96</v>
      </c>
      <c r="EB49">
        <v>664</v>
      </c>
      <c r="EC49">
        <v>390</v>
      </c>
      <c r="ED49">
        <v>127</v>
      </c>
      <c r="EE49" s="82">
        <v>0.14422037505002999</v>
      </c>
      <c r="EF49" s="82">
        <v>0.44921487196198601</v>
      </c>
    </row>
    <row r="50" spans="1:136" x14ac:dyDescent="0.35">
      <c r="A50" s="72">
        <v>150</v>
      </c>
      <c r="B50" s="72">
        <v>4</v>
      </c>
      <c r="D50" s="72" t="s">
        <v>84</v>
      </c>
      <c r="E50" s="79">
        <v>7559600000</v>
      </c>
      <c r="F50" s="79">
        <v>1308650000</v>
      </c>
      <c r="G50" s="79">
        <v>1378300000</v>
      </c>
      <c r="H50" s="79">
        <v>99957</v>
      </c>
      <c r="I50" s="79">
        <v>2</v>
      </c>
      <c r="J50" s="79">
        <v>1378.3</v>
      </c>
      <c r="K50" s="79">
        <v>20106</v>
      </c>
      <c r="L50" s="79">
        <v>17881</v>
      </c>
      <c r="M50" s="79">
        <v>5477</v>
      </c>
      <c r="N50" s="79">
        <v>14725</v>
      </c>
      <c r="O50" s="79">
        <v>10139.299999999999</v>
      </c>
      <c r="P50" s="79">
        <v>2966.3333333333298</v>
      </c>
      <c r="Q50" s="79">
        <v>9488.3333333333303</v>
      </c>
      <c r="R50" s="79">
        <v>9260</v>
      </c>
      <c r="S50" s="79">
        <v>0</v>
      </c>
      <c r="T50" s="79">
        <v>3517</v>
      </c>
      <c r="U50" s="79">
        <v>47733</v>
      </c>
      <c r="V50" s="79">
        <v>110800</v>
      </c>
      <c r="W50" s="79">
        <v>148460</v>
      </c>
      <c r="X50" s="79">
        <v>1712.16</v>
      </c>
      <c r="Y50" s="79">
        <v>3960</v>
      </c>
      <c r="Z50" s="79">
        <v>0</v>
      </c>
      <c r="AA50" s="79">
        <v>0</v>
      </c>
      <c r="AB50" s="79">
        <v>69.299999999999301</v>
      </c>
      <c r="AC50" s="79">
        <v>13049</v>
      </c>
      <c r="AD50" s="79">
        <v>13049</v>
      </c>
      <c r="AE50" s="79">
        <v>384</v>
      </c>
      <c r="AF50" s="79">
        <v>0</v>
      </c>
      <c r="AG50" s="79">
        <v>582</v>
      </c>
      <c r="AH50" s="79">
        <v>459</v>
      </c>
      <c r="AI50" s="79">
        <v>123</v>
      </c>
      <c r="AJ50" s="79">
        <v>45857</v>
      </c>
      <c r="AK50" s="79">
        <v>45857</v>
      </c>
      <c r="AL50" s="79">
        <v>35</v>
      </c>
      <c r="AM50" s="79">
        <v>0</v>
      </c>
      <c r="AN50" s="79">
        <v>0</v>
      </c>
      <c r="AO50" s="79">
        <v>3700</v>
      </c>
      <c r="AP50" s="79">
        <v>8739</v>
      </c>
      <c r="AQ50" s="79">
        <v>8234</v>
      </c>
      <c r="AR50" s="80">
        <v>5.5691309999999997E-3</v>
      </c>
      <c r="AS50" s="80">
        <v>6.7474800000000001E-3</v>
      </c>
      <c r="AT50" s="79">
        <v>82175.744000000006</v>
      </c>
      <c r="AU50" s="79">
        <v>0</v>
      </c>
      <c r="AV50" s="79">
        <v>2867</v>
      </c>
      <c r="AW50" s="79">
        <v>21333.783890419101</v>
      </c>
      <c r="AX50" s="79">
        <v>8</v>
      </c>
      <c r="AY50" s="79">
        <v>8</v>
      </c>
      <c r="AZ50" s="79">
        <v>9775</v>
      </c>
      <c r="BA50" s="79">
        <v>1</v>
      </c>
      <c r="BB50" s="79">
        <v>0</v>
      </c>
      <c r="BC50" s="79">
        <v>0</v>
      </c>
      <c r="BD50" s="79">
        <v>0</v>
      </c>
      <c r="BE50" s="79">
        <v>0</v>
      </c>
      <c r="BF50" s="79">
        <v>0</v>
      </c>
      <c r="BG50" s="79">
        <v>0</v>
      </c>
      <c r="BH50" s="79">
        <v>0</v>
      </c>
      <c r="BI50" s="79">
        <v>0</v>
      </c>
      <c r="BJ50" s="79">
        <v>0</v>
      </c>
      <c r="BK50" s="79">
        <v>97</v>
      </c>
      <c r="BL50" s="79">
        <v>17924</v>
      </c>
      <c r="BM50" s="79">
        <v>459</v>
      </c>
      <c r="BN50" s="79">
        <v>123</v>
      </c>
      <c r="BO50">
        <v>21529</v>
      </c>
      <c r="BP50">
        <v>4437</v>
      </c>
      <c r="BQ50">
        <v>21501</v>
      </c>
      <c r="BR50">
        <v>4496</v>
      </c>
      <c r="BS50">
        <v>21437</v>
      </c>
      <c r="BT50">
        <v>4550</v>
      </c>
      <c r="BU50">
        <v>21346</v>
      </c>
      <c r="BV50">
        <v>4672</v>
      </c>
      <c r="BW50">
        <v>21222</v>
      </c>
      <c r="BX50">
        <v>4728</v>
      </c>
      <c r="BY50">
        <v>21132</v>
      </c>
      <c r="BZ50">
        <v>4785</v>
      </c>
      <c r="CB50">
        <v>2694.2040000000002</v>
      </c>
      <c r="CC50">
        <v>358</v>
      </c>
      <c r="CD50">
        <v>406</v>
      </c>
      <c r="CE50">
        <v>27641.4</v>
      </c>
      <c r="CF50">
        <v>6867.6</v>
      </c>
      <c r="CG50">
        <v>1023.23451510584</v>
      </c>
      <c r="CH50">
        <v>1220</v>
      </c>
      <c r="CI50">
        <v>798.66666666666697</v>
      </c>
      <c r="CJ50">
        <v>748.66666666666697</v>
      </c>
      <c r="CK50" s="81">
        <v>6522</v>
      </c>
      <c r="CL50">
        <v>2004</v>
      </c>
      <c r="CM50">
        <v>14288.242958257901</v>
      </c>
      <c r="CN50">
        <v>7.3230000000000004</v>
      </c>
      <c r="CO50">
        <v>82076</v>
      </c>
      <c r="CP50">
        <v>10125</v>
      </c>
      <c r="CQ50">
        <v>2279</v>
      </c>
      <c r="CR50">
        <v>2493</v>
      </c>
      <c r="CS50">
        <v>1901</v>
      </c>
      <c r="CT50">
        <v>1168</v>
      </c>
      <c r="CU50">
        <v>1428.57180583117</v>
      </c>
      <c r="CV50">
        <v>850.819425605687</v>
      </c>
      <c r="CW50">
        <v>347.13786335782999</v>
      </c>
      <c r="CX50">
        <v>3250.5291000000002</v>
      </c>
      <c r="CY50">
        <v>1935.9287999999999</v>
      </c>
      <c r="CZ50">
        <v>789.86699999999996</v>
      </c>
      <c r="DA50">
        <v>68583</v>
      </c>
      <c r="DE50">
        <v>168</v>
      </c>
      <c r="DF50" t="s">
        <v>191</v>
      </c>
      <c r="DG50">
        <v>4801</v>
      </c>
      <c r="DH50">
        <v>4780</v>
      </c>
      <c r="DI50">
        <v>4742</v>
      </c>
      <c r="DJ50">
        <v>4720</v>
      </c>
      <c r="DK50">
        <v>4672</v>
      </c>
      <c r="DO50">
        <v>114</v>
      </c>
      <c r="DP50" t="s">
        <v>104</v>
      </c>
      <c r="DQ50">
        <v>49462</v>
      </c>
      <c r="DR50">
        <v>1</v>
      </c>
      <c r="DS50">
        <v>849</v>
      </c>
      <c r="DV50">
        <v>1681</v>
      </c>
      <c r="DW50" t="s">
        <v>55</v>
      </c>
      <c r="DX50">
        <v>3421.2708993750598</v>
      </c>
      <c r="DY50">
        <v>559</v>
      </c>
      <c r="DZ50">
        <v>556</v>
      </c>
      <c r="EA50">
        <v>303</v>
      </c>
      <c r="EB50">
        <v>2213</v>
      </c>
      <c r="EC50">
        <v>1238</v>
      </c>
      <c r="ED50">
        <v>425</v>
      </c>
      <c r="EE50" s="82">
        <v>0.186899027201263</v>
      </c>
      <c r="EF50" s="82">
        <v>0.51192710241985195</v>
      </c>
    </row>
    <row r="51" spans="1:136" x14ac:dyDescent="0.35">
      <c r="A51" s="72">
        <v>1774</v>
      </c>
      <c r="B51" s="72">
        <v>4</v>
      </c>
      <c r="D51" s="72" t="s">
        <v>86</v>
      </c>
      <c r="E51" s="79">
        <v>2195600000</v>
      </c>
      <c r="F51" s="79">
        <v>412300000</v>
      </c>
      <c r="G51" s="79">
        <v>506100000</v>
      </c>
      <c r="H51" s="79">
        <v>26350</v>
      </c>
      <c r="I51" s="79">
        <v>5</v>
      </c>
      <c r="J51" s="79">
        <v>506.1</v>
      </c>
      <c r="K51" s="79">
        <v>5243</v>
      </c>
      <c r="L51" s="79">
        <v>5710</v>
      </c>
      <c r="M51" s="79">
        <v>1889</v>
      </c>
      <c r="N51" s="79">
        <v>2827</v>
      </c>
      <c r="O51" s="79">
        <v>1717.3</v>
      </c>
      <c r="P51" s="79">
        <v>215.666666666667</v>
      </c>
      <c r="Q51" s="79">
        <v>1264.6666666666699</v>
      </c>
      <c r="R51" s="79">
        <v>290</v>
      </c>
      <c r="S51" s="79">
        <v>0</v>
      </c>
      <c r="T51" s="79">
        <v>502</v>
      </c>
      <c r="U51" s="79">
        <v>10721</v>
      </c>
      <c r="V51" s="79">
        <v>21270</v>
      </c>
      <c r="W51" s="79">
        <v>8440</v>
      </c>
      <c r="X51" s="79">
        <v>0</v>
      </c>
      <c r="Y51" s="79">
        <v>232.8</v>
      </c>
      <c r="Z51" s="79">
        <v>0</v>
      </c>
      <c r="AA51" s="79">
        <v>0</v>
      </c>
      <c r="AB51" s="79">
        <v>0</v>
      </c>
      <c r="AC51" s="79">
        <v>17571</v>
      </c>
      <c r="AD51" s="79">
        <v>17571</v>
      </c>
      <c r="AE51" s="79">
        <v>111</v>
      </c>
      <c r="AF51" s="79">
        <v>0</v>
      </c>
      <c r="AG51" s="79">
        <v>321</v>
      </c>
      <c r="AH51" s="79">
        <v>156</v>
      </c>
      <c r="AI51" s="79">
        <v>165</v>
      </c>
      <c r="AJ51" s="79">
        <v>11097</v>
      </c>
      <c r="AK51" s="79">
        <v>11097</v>
      </c>
      <c r="AL51" s="79">
        <v>6</v>
      </c>
      <c r="AM51" s="79">
        <v>0</v>
      </c>
      <c r="AN51" s="79">
        <v>0</v>
      </c>
      <c r="AO51" s="79">
        <v>0</v>
      </c>
      <c r="AP51" s="79">
        <v>0</v>
      </c>
      <c r="AQ51" s="79">
        <v>0</v>
      </c>
      <c r="AR51" s="80">
        <v>2.8437999999999998E-4</v>
      </c>
      <c r="AS51" s="80">
        <v>1.4677399999999999E-4</v>
      </c>
      <c r="AT51" s="79">
        <v>5193.3959999999997</v>
      </c>
      <c r="AU51" s="79">
        <v>0</v>
      </c>
      <c r="AV51" s="79">
        <v>1973</v>
      </c>
      <c r="AW51" s="79">
        <v>2940.1962447686901</v>
      </c>
      <c r="AX51" s="79">
        <v>11</v>
      </c>
      <c r="AY51" s="79">
        <v>11</v>
      </c>
      <c r="AZ51" s="79">
        <v>3065</v>
      </c>
      <c r="BA51" s="79">
        <v>1</v>
      </c>
      <c r="BB51" s="79">
        <v>0</v>
      </c>
      <c r="BC51" s="79">
        <v>0</v>
      </c>
      <c r="BD51" s="79">
        <v>0</v>
      </c>
      <c r="BE51" s="79">
        <v>0</v>
      </c>
      <c r="BF51" s="79">
        <v>0</v>
      </c>
      <c r="BG51" s="79">
        <v>0</v>
      </c>
      <c r="BH51" s="79">
        <v>0</v>
      </c>
      <c r="BI51" s="79">
        <v>0</v>
      </c>
      <c r="BJ51" s="79">
        <v>0</v>
      </c>
      <c r="BK51" s="79">
        <v>26</v>
      </c>
      <c r="BL51" s="79">
        <v>2639</v>
      </c>
      <c r="BM51" s="79">
        <v>156</v>
      </c>
      <c r="BN51" s="79">
        <v>165</v>
      </c>
      <c r="BO51">
        <v>6516</v>
      </c>
      <c r="BP51">
        <v>325</v>
      </c>
      <c r="BQ51">
        <v>6369</v>
      </c>
      <c r="BR51">
        <v>335</v>
      </c>
      <c r="BS51">
        <v>6278</v>
      </c>
      <c r="BT51">
        <v>345</v>
      </c>
      <c r="BU51">
        <v>6157</v>
      </c>
      <c r="BV51">
        <v>342</v>
      </c>
      <c r="BW51">
        <v>6007</v>
      </c>
      <c r="BX51">
        <v>355</v>
      </c>
      <c r="BY51">
        <v>5821</v>
      </c>
      <c r="BZ51">
        <v>358</v>
      </c>
      <c r="CB51">
        <v>309.33699999999999</v>
      </c>
      <c r="CC51">
        <v>46</v>
      </c>
      <c r="CD51">
        <v>36</v>
      </c>
      <c r="CE51">
        <v>7175</v>
      </c>
      <c r="CF51">
        <v>1988.71</v>
      </c>
      <c r="CG51">
        <v>71.285797364085695</v>
      </c>
      <c r="CH51">
        <v>227</v>
      </c>
      <c r="CI51">
        <v>62.3333333333333</v>
      </c>
      <c r="CJ51">
        <v>38.6666666666667</v>
      </c>
      <c r="CK51" s="81">
        <v>1049</v>
      </c>
      <c r="CL51">
        <v>312</v>
      </c>
      <c r="CM51">
        <v>3559.6711332312402</v>
      </c>
      <c r="CN51">
        <v>0.13100000000000001</v>
      </c>
      <c r="CO51">
        <v>20640</v>
      </c>
      <c r="CP51">
        <v>3098</v>
      </c>
      <c r="CQ51">
        <v>723</v>
      </c>
      <c r="CR51">
        <v>527</v>
      </c>
      <c r="CS51">
        <v>533</v>
      </c>
      <c r="CT51">
        <v>246</v>
      </c>
      <c r="CU51">
        <v>290.00812832296998</v>
      </c>
      <c r="CV51">
        <v>183.69244840947999</v>
      </c>
      <c r="CW51">
        <v>61.282400648824002</v>
      </c>
      <c r="CX51">
        <v>798.51139999999998</v>
      </c>
      <c r="CY51">
        <v>505.78070000000002</v>
      </c>
      <c r="CZ51">
        <v>168.73560000000001</v>
      </c>
      <c r="DA51">
        <v>10662</v>
      </c>
      <c r="DE51">
        <v>171</v>
      </c>
      <c r="DF51" t="s">
        <v>220</v>
      </c>
      <c r="DG51">
        <v>11562</v>
      </c>
      <c r="DH51">
        <v>11492</v>
      </c>
      <c r="DI51">
        <v>11494</v>
      </c>
      <c r="DJ51">
        <v>11437</v>
      </c>
      <c r="DK51">
        <v>11266</v>
      </c>
      <c r="DO51">
        <v>118</v>
      </c>
      <c r="DP51" t="s">
        <v>156</v>
      </c>
      <c r="DQ51">
        <v>25188</v>
      </c>
      <c r="DR51">
        <v>1</v>
      </c>
      <c r="DS51">
        <v>1181</v>
      </c>
      <c r="DV51">
        <v>147</v>
      </c>
      <c r="DW51" t="s">
        <v>56</v>
      </c>
      <c r="DX51">
        <v>2633.31933389191</v>
      </c>
      <c r="DY51">
        <v>485</v>
      </c>
      <c r="DZ51">
        <v>519</v>
      </c>
      <c r="EA51">
        <v>337</v>
      </c>
      <c r="EB51">
        <v>1674</v>
      </c>
      <c r="EC51">
        <v>1080</v>
      </c>
      <c r="ED51">
        <v>442</v>
      </c>
      <c r="EE51" s="82">
        <v>0.169172987211685</v>
      </c>
      <c r="EF51" s="82">
        <v>0.42615606722440202</v>
      </c>
    </row>
    <row r="52" spans="1:136" x14ac:dyDescent="0.35">
      <c r="A52" s="72">
        <v>153</v>
      </c>
      <c r="B52" s="72">
        <v>4</v>
      </c>
      <c r="D52" s="72" t="s">
        <v>106</v>
      </c>
      <c r="E52" s="79">
        <v>10575600000</v>
      </c>
      <c r="F52" s="79">
        <v>2284100000</v>
      </c>
      <c r="G52" s="79">
        <v>2387000000</v>
      </c>
      <c r="H52" s="79">
        <v>158986</v>
      </c>
      <c r="I52" s="79">
        <v>2</v>
      </c>
      <c r="J52" s="79">
        <v>2387</v>
      </c>
      <c r="K52" s="79">
        <v>29046</v>
      </c>
      <c r="L52" s="79">
        <v>28056</v>
      </c>
      <c r="M52" s="79">
        <v>8952</v>
      </c>
      <c r="N52" s="79">
        <v>27334</v>
      </c>
      <c r="O52" s="79">
        <v>19567.599999999999</v>
      </c>
      <c r="P52" s="79">
        <v>6780</v>
      </c>
      <c r="Q52" s="79">
        <v>18147</v>
      </c>
      <c r="R52" s="79">
        <v>16075</v>
      </c>
      <c r="S52" s="79">
        <v>0</v>
      </c>
      <c r="T52" s="79">
        <v>5760</v>
      </c>
      <c r="U52" s="79">
        <v>81301</v>
      </c>
      <c r="V52" s="79">
        <v>167180</v>
      </c>
      <c r="W52" s="79">
        <v>248920</v>
      </c>
      <c r="X52" s="79">
        <v>5362.4784</v>
      </c>
      <c r="Y52" s="79">
        <v>6073.6</v>
      </c>
      <c r="Z52" s="79">
        <v>0</v>
      </c>
      <c r="AA52" s="79">
        <v>0</v>
      </c>
      <c r="AB52" s="79">
        <v>0</v>
      </c>
      <c r="AC52" s="79">
        <v>14068</v>
      </c>
      <c r="AD52" s="79">
        <v>14068</v>
      </c>
      <c r="AE52" s="79">
        <v>205</v>
      </c>
      <c r="AF52" s="79">
        <v>0</v>
      </c>
      <c r="AG52" s="79">
        <v>909</v>
      </c>
      <c r="AH52" s="79">
        <v>768</v>
      </c>
      <c r="AI52" s="79">
        <v>142</v>
      </c>
      <c r="AJ52" s="79">
        <v>77664</v>
      </c>
      <c r="AK52" s="79">
        <v>77664</v>
      </c>
      <c r="AL52" s="79">
        <v>9</v>
      </c>
      <c r="AM52" s="79">
        <v>0</v>
      </c>
      <c r="AN52" s="79">
        <v>0</v>
      </c>
      <c r="AO52" s="79">
        <v>0</v>
      </c>
      <c r="AP52" s="79">
        <v>15963</v>
      </c>
      <c r="AQ52" s="79">
        <v>11523</v>
      </c>
      <c r="AR52" s="80">
        <v>1.0740938E-2</v>
      </c>
      <c r="AS52" s="80">
        <v>1.8027844000000001E-2</v>
      </c>
      <c r="AT52" s="79">
        <v>165113.66399999999</v>
      </c>
      <c r="AU52" s="79">
        <v>0</v>
      </c>
      <c r="AV52" s="79">
        <v>2029</v>
      </c>
      <c r="AW52" s="79">
        <v>22600.8963777762</v>
      </c>
      <c r="AX52" s="79">
        <v>8</v>
      </c>
      <c r="AY52" s="79">
        <v>8</v>
      </c>
      <c r="AZ52" s="79">
        <v>14075</v>
      </c>
      <c r="BA52" s="79">
        <v>1</v>
      </c>
      <c r="BB52" s="79">
        <v>0</v>
      </c>
      <c r="BC52" s="79">
        <v>0</v>
      </c>
      <c r="BD52" s="79">
        <v>0</v>
      </c>
      <c r="BE52" s="79">
        <v>0</v>
      </c>
      <c r="BF52" s="79">
        <v>0</v>
      </c>
      <c r="BG52" s="79">
        <v>0</v>
      </c>
      <c r="BH52" s="79">
        <v>0</v>
      </c>
      <c r="BI52" s="79">
        <v>0</v>
      </c>
      <c r="BJ52" s="79">
        <v>0</v>
      </c>
      <c r="BK52" s="79">
        <v>235</v>
      </c>
      <c r="BL52" s="79">
        <v>35999</v>
      </c>
      <c r="BM52" s="79">
        <v>768</v>
      </c>
      <c r="BN52" s="79">
        <v>142</v>
      </c>
      <c r="BO52">
        <v>31080</v>
      </c>
      <c r="BP52">
        <v>7511</v>
      </c>
      <c r="BQ52">
        <v>31036</v>
      </c>
      <c r="BR52">
        <v>7364</v>
      </c>
      <c r="BS52">
        <v>30994</v>
      </c>
      <c r="BT52">
        <v>7500</v>
      </c>
      <c r="BU52">
        <v>30734</v>
      </c>
      <c r="BV52">
        <v>7459</v>
      </c>
      <c r="BW52">
        <v>30602</v>
      </c>
      <c r="BX52">
        <v>7677</v>
      </c>
      <c r="BY52">
        <v>30488</v>
      </c>
      <c r="BZ52">
        <v>7705</v>
      </c>
      <c r="CB52">
        <v>5925.384</v>
      </c>
      <c r="CC52">
        <v>600</v>
      </c>
      <c r="CD52">
        <v>590</v>
      </c>
      <c r="CE52">
        <v>37740.959999999999</v>
      </c>
      <c r="CF52">
        <v>8683.77</v>
      </c>
      <c r="CG52">
        <v>1004.98339056704</v>
      </c>
      <c r="CH52">
        <v>2167</v>
      </c>
      <c r="CI52">
        <v>1899.6666666666699</v>
      </c>
      <c r="CJ52">
        <v>1650</v>
      </c>
      <c r="CK52" s="81">
        <v>11367</v>
      </c>
      <c r="CL52">
        <v>3831</v>
      </c>
      <c r="CM52">
        <v>21788.9062505447</v>
      </c>
      <c r="CN52">
        <v>20.206</v>
      </c>
      <c r="CO52">
        <v>130930</v>
      </c>
      <c r="CP52">
        <v>16027</v>
      </c>
      <c r="CQ52">
        <v>3077</v>
      </c>
      <c r="CR52">
        <v>4067</v>
      </c>
      <c r="CS52">
        <v>3403</v>
      </c>
      <c r="CT52">
        <v>1559</v>
      </c>
      <c r="CU52">
        <v>2587.5470230737501</v>
      </c>
      <c r="CV52">
        <v>1609.7213174701301</v>
      </c>
      <c r="CW52">
        <v>528.59529254223298</v>
      </c>
      <c r="CX52">
        <v>6092.1639999999998</v>
      </c>
      <c r="CY52">
        <v>3789.9548</v>
      </c>
      <c r="CZ52">
        <v>1244.5336</v>
      </c>
      <c r="DA52">
        <v>219182</v>
      </c>
      <c r="DE52">
        <v>173</v>
      </c>
      <c r="DF52" t="s">
        <v>229</v>
      </c>
      <c r="DG52">
        <v>7077</v>
      </c>
      <c r="DH52">
        <v>7122</v>
      </c>
      <c r="DI52">
        <v>7116</v>
      </c>
      <c r="DJ52">
        <v>7058</v>
      </c>
      <c r="DK52">
        <v>7017</v>
      </c>
      <c r="DO52">
        <v>119</v>
      </c>
      <c r="DP52" t="s">
        <v>199</v>
      </c>
      <c r="DQ52">
        <v>15766</v>
      </c>
      <c r="DR52">
        <v>1</v>
      </c>
      <c r="DS52">
        <v>1258</v>
      </c>
      <c r="DV52">
        <v>654</v>
      </c>
      <c r="DW52" t="s">
        <v>57</v>
      </c>
      <c r="DX52">
        <v>2652.90926416093</v>
      </c>
      <c r="DY52">
        <v>477</v>
      </c>
      <c r="DZ52">
        <v>443</v>
      </c>
      <c r="EA52">
        <v>256</v>
      </c>
      <c r="EB52">
        <v>1596</v>
      </c>
      <c r="EC52">
        <v>961</v>
      </c>
      <c r="ED52">
        <v>387</v>
      </c>
      <c r="EE52" s="82">
        <v>0.16119023965353299</v>
      </c>
      <c r="EF52" s="82">
        <v>0.43755088512974499</v>
      </c>
    </row>
    <row r="53" spans="1:136" x14ac:dyDescent="0.35">
      <c r="A53" s="72">
        <v>158</v>
      </c>
      <c r="B53" s="72">
        <v>4</v>
      </c>
      <c r="D53" s="72" t="s">
        <v>124</v>
      </c>
      <c r="E53" s="79">
        <v>1868400000</v>
      </c>
      <c r="F53" s="79">
        <v>311500000</v>
      </c>
      <c r="G53" s="79">
        <v>369950000</v>
      </c>
      <c r="H53" s="79">
        <v>24277</v>
      </c>
      <c r="I53" s="79">
        <v>1</v>
      </c>
      <c r="J53" s="79">
        <v>369.95</v>
      </c>
      <c r="K53" s="79">
        <v>4688</v>
      </c>
      <c r="L53" s="79">
        <v>5760</v>
      </c>
      <c r="M53" s="79">
        <v>1989</v>
      </c>
      <c r="N53" s="79">
        <v>2974</v>
      </c>
      <c r="O53" s="79">
        <v>1897.8</v>
      </c>
      <c r="P53" s="79">
        <v>362.66666666666703</v>
      </c>
      <c r="Q53" s="79">
        <v>1501.6666666666699</v>
      </c>
      <c r="R53" s="79">
        <v>960</v>
      </c>
      <c r="S53" s="79">
        <v>0</v>
      </c>
      <c r="T53" s="79">
        <v>575</v>
      </c>
      <c r="U53" s="79">
        <v>10527</v>
      </c>
      <c r="V53" s="79">
        <v>23710</v>
      </c>
      <c r="W53" s="79">
        <v>18280</v>
      </c>
      <c r="X53" s="79">
        <v>0</v>
      </c>
      <c r="Y53" s="79">
        <v>1184.8</v>
      </c>
      <c r="Z53" s="79">
        <v>0</v>
      </c>
      <c r="AA53" s="79">
        <v>0</v>
      </c>
      <c r="AB53" s="79">
        <v>0</v>
      </c>
      <c r="AC53" s="79">
        <v>10474</v>
      </c>
      <c r="AD53" s="79">
        <v>10474</v>
      </c>
      <c r="AE53" s="79">
        <v>76</v>
      </c>
      <c r="AF53" s="79">
        <v>0</v>
      </c>
      <c r="AG53" s="79">
        <v>254</v>
      </c>
      <c r="AH53" s="79">
        <v>158</v>
      </c>
      <c r="AI53" s="79">
        <v>96</v>
      </c>
      <c r="AJ53" s="79">
        <v>10762</v>
      </c>
      <c r="AK53" s="79">
        <v>10762</v>
      </c>
      <c r="AL53" s="79">
        <v>0</v>
      </c>
      <c r="AM53" s="79">
        <v>0</v>
      </c>
      <c r="AN53" s="79">
        <v>0</v>
      </c>
      <c r="AO53" s="79">
        <v>0</v>
      </c>
      <c r="AP53" s="79">
        <v>0</v>
      </c>
      <c r="AQ53" s="79">
        <v>0</v>
      </c>
      <c r="AR53" s="80">
        <v>3.3804199999999999E-4</v>
      </c>
      <c r="AS53" s="80">
        <v>2.4523999999999998E-4</v>
      </c>
      <c r="AT53" s="79">
        <v>11041.812</v>
      </c>
      <c r="AU53" s="79">
        <v>0</v>
      </c>
      <c r="AV53" s="79">
        <v>1812</v>
      </c>
      <c r="AW53" s="79">
        <v>4169.6610426540301</v>
      </c>
      <c r="AX53" s="79">
        <v>6</v>
      </c>
      <c r="AY53" s="79">
        <v>6</v>
      </c>
      <c r="AZ53" s="79">
        <v>2555</v>
      </c>
      <c r="BA53" s="79">
        <v>1</v>
      </c>
      <c r="BB53" s="79">
        <v>0</v>
      </c>
      <c r="BC53" s="79">
        <v>0</v>
      </c>
      <c r="BD53" s="79">
        <v>0</v>
      </c>
      <c r="BE53" s="79">
        <v>0</v>
      </c>
      <c r="BF53" s="79">
        <v>0</v>
      </c>
      <c r="BG53" s="79">
        <v>0</v>
      </c>
      <c r="BH53" s="79">
        <v>0</v>
      </c>
      <c r="BI53" s="79">
        <v>0</v>
      </c>
      <c r="BJ53" s="79">
        <v>0</v>
      </c>
      <c r="BK53" s="79">
        <v>27</v>
      </c>
      <c r="BL53" s="79">
        <v>2964</v>
      </c>
      <c r="BM53" s="79">
        <v>158</v>
      </c>
      <c r="BN53" s="79">
        <v>96</v>
      </c>
      <c r="BO53">
        <v>5449</v>
      </c>
      <c r="BP53">
        <v>1637</v>
      </c>
      <c r="BQ53">
        <v>5415</v>
      </c>
      <c r="BR53">
        <v>1599</v>
      </c>
      <c r="BS53">
        <v>5384</v>
      </c>
      <c r="BT53">
        <v>1611</v>
      </c>
      <c r="BU53">
        <v>5325</v>
      </c>
      <c r="BV53">
        <v>1629</v>
      </c>
      <c r="BW53">
        <v>5192</v>
      </c>
      <c r="BX53">
        <v>1640</v>
      </c>
      <c r="BY53">
        <v>5106</v>
      </c>
      <c r="BZ53">
        <v>1572</v>
      </c>
      <c r="CB53">
        <v>421.92</v>
      </c>
      <c r="CC53">
        <v>29</v>
      </c>
      <c r="CD53">
        <v>22</v>
      </c>
      <c r="CE53">
        <v>6616.35</v>
      </c>
      <c r="CF53">
        <v>1739.76</v>
      </c>
      <c r="CG53">
        <v>65.173364357482797</v>
      </c>
      <c r="CH53">
        <v>235</v>
      </c>
      <c r="CI53">
        <v>92.3333333333333</v>
      </c>
      <c r="CJ53">
        <v>67.6666666666667</v>
      </c>
      <c r="CK53" s="81">
        <v>1139</v>
      </c>
      <c r="CL53">
        <v>311</v>
      </c>
      <c r="CM53">
        <v>3562.09001808318</v>
      </c>
      <c r="CN53">
        <v>0.64400000000000002</v>
      </c>
      <c r="CO53">
        <v>18517</v>
      </c>
      <c r="CP53">
        <v>3175</v>
      </c>
      <c r="CQ53">
        <v>596</v>
      </c>
      <c r="CR53">
        <v>592</v>
      </c>
      <c r="CS53">
        <v>586</v>
      </c>
      <c r="CT53">
        <v>278</v>
      </c>
      <c r="CU53">
        <v>338.577959487084</v>
      </c>
      <c r="CV53">
        <v>229.421836089946</v>
      </c>
      <c r="CW53">
        <v>70.184389518676795</v>
      </c>
      <c r="CX53">
        <v>908.73599999999999</v>
      </c>
      <c r="CY53">
        <v>615.76329999999996</v>
      </c>
      <c r="CZ53">
        <v>188.3734</v>
      </c>
      <c r="DA53">
        <v>26592</v>
      </c>
      <c r="DE53">
        <v>175</v>
      </c>
      <c r="DF53" t="s">
        <v>231</v>
      </c>
      <c r="DG53">
        <v>3774</v>
      </c>
      <c r="DH53">
        <v>3741</v>
      </c>
      <c r="DI53">
        <v>3696</v>
      </c>
      <c r="DJ53">
        <v>3702</v>
      </c>
      <c r="DK53">
        <v>3681</v>
      </c>
      <c r="DO53">
        <v>1731</v>
      </c>
      <c r="DP53" t="s">
        <v>201</v>
      </c>
      <c r="DQ53">
        <v>16063</v>
      </c>
      <c r="DR53">
        <v>1</v>
      </c>
      <c r="DS53">
        <v>405</v>
      </c>
      <c r="DV53">
        <v>756</v>
      </c>
      <c r="DW53" t="s">
        <v>58</v>
      </c>
      <c r="DX53">
        <v>3452.6072490092502</v>
      </c>
      <c r="DY53">
        <v>578</v>
      </c>
      <c r="DZ53">
        <v>636</v>
      </c>
      <c r="EA53">
        <v>294</v>
      </c>
      <c r="EB53">
        <v>2219</v>
      </c>
      <c r="EC53">
        <v>1324</v>
      </c>
      <c r="ED53">
        <v>442</v>
      </c>
      <c r="EE53" s="82">
        <v>0.17460488737845001</v>
      </c>
      <c r="EF53" s="82">
        <v>0.418704494192155</v>
      </c>
    </row>
    <row r="54" spans="1:136" x14ac:dyDescent="0.35">
      <c r="A54" s="72">
        <v>160</v>
      </c>
      <c r="B54" s="72">
        <v>4</v>
      </c>
      <c r="D54" s="72" t="s">
        <v>129</v>
      </c>
      <c r="E54" s="79">
        <v>4130400000</v>
      </c>
      <c r="F54" s="79">
        <v>783300000</v>
      </c>
      <c r="G54" s="79">
        <v>875000000</v>
      </c>
      <c r="H54" s="79">
        <v>60574</v>
      </c>
      <c r="I54" s="79">
        <v>9</v>
      </c>
      <c r="J54" s="79">
        <v>875</v>
      </c>
      <c r="K54" s="79">
        <v>13329</v>
      </c>
      <c r="L54" s="79">
        <v>11129</v>
      </c>
      <c r="M54" s="79">
        <v>3555</v>
      </c>
      <c r="N54" s="79">
        <v>7084</v>
      </c>
      <c r="O54" s="79">
        <v>4479.8</v>
      </c>
      <c r="P54" s="79">
        <v>896</v>
      </c>
      <c r="Q54" s="79">
        <v>4107</v>
      </c>
      <c r="R54" s="79">
        <v>820</v>
      </c>
      <c r="S54" s="79">
        <v>0</v>
      </c>
      <c r="T54" s="79">
        <v>1323</v>
      </c>
      <c r="U54" s="79">
        <v>25177</v>
      </c>
      <c r="V54" s="79">
        <v>58930</v>
      </c>
      <c r="W54" s="79">
        <v>40440</v>
      </c>
      <c r="X54" s="79">
        <v>953.96</v>
      </c>
      <c r="Y54" s="79">
        <v>3248</v>
      </c>
      <c r="Z54" s="79">
        <v>0</v>
      </c>
      <c r="AA54" s="79">
        <v>0</v>
      </c>
      <c r="AB54" s="79">
        <v>0</v>
      </c>
      <c r="AC54" s="79">
        <v>31221</v>
      </c>
      <c r="AD54" s="79">
        <v>31221</v>
      </c>
      <c r="AE54" s="79">
        <v>494</v>
      </c>
      <c r="AF54" s="79">
        <v>0</v>
      </c>
      <c r="AG54" s="79">
        <v>650</v>
      </c>
      <c r="AH54" s="79">
        <v>343</v>
      </c>
      <c r="AI54" s="79">
        <v>307</v>
      </c>
      <c r="AJ54" s="79">
        <v>26042</v>
      </c>
      <c r="AK54" s="79">
        <v>26042</v>
      </c>
      <c r="AL54" s="79">
        <v>0</v>
      </c>
      <c r="AM54" s="79">
        <v>0</v>
      </c>
      <c r="AN54" s="79">
        <v>0</v>
      </c>
      <c r="AO54" s="79">
        <v>0</v>
      </c>
      <c r="AP54" s="79">
        <v>1013</v>
      </c>
      <c r="AQ54" s="79">
        <v>0</v>
      </c>
      <c r="AR54" s="80">
        <v>1.019977E-3</v>
      </c>
      <c r="AS54" s="80">
        <v>5.1633199999999999E-4</v>
      </c>
      <c r="AT54" s="79">
        <v>14323.1</v>
      </c>
      <c r="AU54" s="79">
        <v>0</v>
      </c>
      <c r="AV54" s="79">
        <v>5099</v>
      </c>
      <c r="AW54" s="79">
        <v>9738.8247201639606</v>
      </c>
      <c r="AX54" s="79">
        <v>25</v>
      </c>
      <c r="AY54" s="79">
        <v>25</v>
      </c>
      <c r="AZ54" s="79">
        <v>5900</v>
      </c>
      <c r="BA54" s="79">
        <v>1</v>
      </c>
      <c r="BB54" s="79">
        <v>0</v>
      </c>
      <c r="BC54" s="79">
        <v>0</v>
      </c>
      <c r="BD54" s="79">
        <v>0</v>
      </c>
      <c r="BE54" s="79">
        <v>0</v>
      </c>
      <c r="BF54" s="79">
        <v>0</v>
      </c>
      <c r="BG54" s="79">
        <v>0</v>
      </c>
      <c r="BH54" s="79">
        <v>0</v>
      </c>
      <c r="BI54" s="79">
        <v>0</v>
      </c>
      <c r="BJ54" s="79">
        <v>0</v>
      </c>
      <c r="BK54" s="79">
        <v>73</v>
      </c>
      <c r="BL54" s="79">
        <v>6753</v>
      </c>
      <c r="BM54" s="79">
        <v>343</v>
      </c>
      <c r="BN54" s="79">
        <v>307</v>
      </c>
      <c r="BO54">
        <v>14459</v>
      </c>
      <c r="BP54">
        <v>3940</v>
      </c>
      <c r="BQ54">
        <v>14411</v>
      </c>
      <c r="BR54">
        <v>3875</v>
      </c>
      <c r="BS54">
        <v>14302</v>
      </c>
      <c r="BT54">
        <v>3974</v>
      </c>
      <c r="BU54">
        <v>14139</v>
      </c>
      <c r="BV54">
        <v>4045</v>
      </c>
      <c r="BW54">
        <v>14029</v>
      </c>
      <c r="BX54">
        <v>4103</v>
      </c>
      <c r="BY54">
        <v>13956</v>
      </c>
      <c r="BZ54">
        <v>4161</v>
      </c>
      <c r="CB54">
        <v>1092.9780000000001</v>
      </c>
      <c r="CC54">
        <v>312</v>
      </c>
      <c r="CD54">
        <v>206</v>
      </c>
      <c r="CE54">
        <v>14473.2</v>
      </c>
      <c r="CF54">
        <v>3968.91</v>
      </c>
      <c r="CG54">
        <v>573.78796341589805</v>
      </c>
      <c r="CH54">
        <v>522</v>
      </c>
      <c r="CI54">
        <v>235.666666666667</v>
      </c>
      <c r="CJ54">
        <v>182</v>
      </c>
      <c r="CK54" s="81">
        <v>3211</v>
      </c>
      <c r="CL54">
        <v>1185</v>
      </c>
      <c r="CM54">
        <v>8031.1622872652297</v>
      </c>
      <c r="CN54">
        <v>1.804</v>
      </c>
      <c r="CO54">
        <v>49445</v>
      </c>
      <c r="CP54">
        <v>6370</v>
      </c>
      <c r="CQ54">
        <v>1204</v>
      </c>
      <c r="CR54">
        <v>1111</v>
      </c>
      <c r="CS54">
        <v>1157</v>
      </c>
      <c r="CT54">
        <v>571</v>
      </c>
      <c r="CU54">
        <v>666.24166346670802</v>
      </c>
      <c r="CV54">
        <v>416.29352584286897</v>
      </c>
      <c r="CW54">
        <v>140.19802626526399</v>
      </c>
      <c r="CX54">
        <v>2034.8742</v>
      </c>
      <c r="CY54">
        <v>1271.4680000000001</v>
      </c>
      <c r="CZ54">
        <v>428.20100000000002</v>
      </c>
      <c r="DA54">
        <v>103844</v>
      </c>
      <c r="DE54">
        <v>177</v>
      </c>
      <c r="DF54" t="s">
        <v>249</v>
      </c>
      <c r="DG54">
        <v>8519</v>
      </c>
      <c r="DH54">
        <v>8320</v>
      </c>
      <c r="DI54">
        <v>8202</v>
      </c>
      <c r="DJ54">
        <v>8026</v>
      </c>
      <c r="DK54">
        <v>7837</v>
      </c>
      <c r="DO54">
        <v>1699</v>
      </c>
      <c r="DP54" t="s">
        <v>219</v>
      </c>
      <c r="DQ54">
        <v>14854</v>
      </c>
      <c r="DR54">
        <v>1</v>
      </c>
      <c r="DS54">
        <v>681</v>
      </c>
      <c r="DV54">
        <v>757</v>
      </c>
      <c r="DW54" t="s">
        <v>59</v>
      </c>
      <c r="DX54">
        <v>3878.9735193197098</v>
      </c>
      <c r="DY54">
        <v>753</v>
      </c>
      <c r="DZ54">
        <v>644</v>
      </c>
      <c r="EA54">
        <v>341</v>
      </c>
      <c r="EB54">
        <v>2396</v>
      </c>
      <c r="EC54">
        <v>1284</v>
      </c>
      <c r="ED54">
        <v>462</v>
      </c>
      <c r="EE54" s="82">
        <v>0.182827088539534</v>
      </c>
      <c r="EF54" s="82">
        <v>0.44140850577478302</v>
      </c>
    </row>
    <row r="55" spans="1:136" x14ac:dyDescent="0.35">
      <c r="A55" s="72">
        <v>163</v>
      </c>
      <c r="B55" s="72">
        <v>4</v>
      </c>
      <c r="D55" s="72" t="s">
        <v>142</v>
      </c>
      <c r="E55" s="79">
        <v>2882400000</v>
      </c>
      <c r="F55" s="79">
        <v>417200000</v>
      </c>
      <c r="G55" s="79">
        <v>462350000</v>
      </c>
      <c r="H55" s="79">
        <v>35808</v>
      </c>
      <c r="I55" s="79">
        <v>2</v>
      </c>
      <c r="J55" s="79">
        <v>462.35</v>
      </c>
      <c r="K55" s="79">
        <v>7352</v>
      </c>
      <c r="L55" s="79">
        <v>7776</v>
      </c>
      <c r="M55" s="79">
        <v>2452</v>
      </c>
      <c r="N55" s="79">
        <v>4393</v>
      </c>
      <c r="O55" s="79">
        <v>2855.7</v>
      </c>
      <c r="P55" s="79">
        <v>456.66666666666703</v>
      </c>
      <c r="Q55" s="79">
        <v>2232.6666666666702</v>
      </c>
      <c r="R55" s="79">
        <v>475</v>
      </c>
      <c r="S55" s="79">
        <v>0</v>
      </c>
      <c r="T55" s="79">
        <v>822</v>
      </c>
      <c r="U55" s="79">
        <v>15223</v>
      </c>
      <c r="V55" s="79">
        <v>36700</v>
      </c>
      <c r="W55" s="79">
        <v>35910</v>
      </c>
      <c r="X55" s="79">
        <v>1003.6</v>
      </c>
      <c r="Y55" s="79">
        <v>1193.5999999999999</v>
      </c>
      <c r="Z55" s="79">
        <v>0</v>
      </c>
      <c r="AA55" s="79">
        <v>0</v>
      </c>
      <c r="AB55" s="79">
        <v>0</v>
      </c>
      <c r="AC55" s="79">
        <v>13791</v>
      </c>
      <c r="AD55" s="79">
        <v>13791</v>
      </c>
      <c r="AE55" s="79">
        <v>108</v>
      </c>
      <c r="AF55" s="79">
        <v>0</v>
      </c>
      <c r="AG55" s="79">
        <v>323</v>
      </c>
      <c r="AH55" s="79">
        <v>209</v>
      </c>
      <c r="AI55" s="79">
        <v>115</v>
      </c>
      <c r="AJ55" s="79">
        <v>15373</v>
      </c>
      <c r="AK55" s="79">
        <v>15373</v>
      </c>
      <c r="AL55" s="79">
        <v>0</v>
      </c>
      <c r="AM55" s="79">
        <v>0</v>
      </c>
      <c r="AN55" s="79">
        <v>0</v>
      </c>
      <c r="AO55" s="79">
        <v>0</v>
      </c>
      <c r="AP55" s="79">
        <v>1341</v>
      </c>
      <c r="AQ55" s="79">
        <v>0</v>
      </c>
      <c r="AR55" s="80">
        <v>6.3890099999999999E-4</v>
      </c>
      <c r="AS55" s="80">
        <v>2.7189E-4</v>
      </c>
      <c r="AT55" s="79">
        <v>12406.011</v>
      </c>
      <c r="AU55" s="79">
        <v>0</v>
      </c>
      <c r="AV55" s="79">
        <v>1645</v>
      </c>
      <c r="AW55" s="79">
        <v>4238.0142456291796</v>
      </c>
      <c r="AX55" s="79">
        <v>8</v>
      </c>
      <c r="AY55" s="79">
        <v>8</v>
      </c>
      <c r="AZ55" s="79">
        <v>3251</v>
      </c>
      <c r="BA55" s="79">
        <v>1</v>
      </c>
      <c r="BB55" s="79">
        <v>0</v>
      </c>
      <c r="BC55" s="79">
        <v>0</v>
      </c>
      <c r="BD55" s="79">
        <v>0</v>
      </c>
      <c r="BE55" s="79">
        <v>0</v>
      </c>
      <c r="BF55" s="79">
        <v>0</v>
      </c>
      <c r="BG55" s="79">
        <v>0</v>
      </c>
      <c r="BH55" s="79">
        <v>0</v>
      </c>
      <c r="BI55" s="79">
        <v>0</v>
      </c>
      <c r="BJ55" s="79">
        <v>0</v>
      </c>
      <c r="BK55" s="79">
        <v>36</v>
      </c>
      <c r="BL55" s="79">
        <v>4056</v>
      </c>
      <c r="BM55" s="79">
        <v>209</v>
      </c>
      <c r="BN55" s="79">
        <v>115</v>
      </c>
      <c r="BO55">
        <v>8034</v>
      </c>
      <c r="BP55">
        <v>1598</v>
      </c>
      <c r="BQ55">
        <v>7994</v>
      </c>
      <c r="BR55">
        <v>1592</v>
      </c>
      <c r="BS55">
        <v>7938</v>
      </c>
      <c r="BT55">
        <v>1615</v>
      </c>
      <c r="BU55">
        <v>7918</v>
      </c>
      <c r="BV55">
        <v>1672</v>
      </c>
      <c r="BW55">
        <v>7793</v>
      </c>
      <c r="BX55">
        <v>1719</v>
      </c>
      <c r="BY55">
        <v>7746</v>
      </c>
      <c r="BZ55">
        <v>1747</v>
      </c>
      <c r="CB55">
        <v>617.56799999999998</v>
      </c>
      <c r="CC55">
        <v>117</v>
      </c>
      <c r="CD55">
        <v>33</v>
      </c>
      <c r="CE55">
        <v>9078.0400000000009</v>
      </c>
      <c r="CF55">
        <v>2413.77</v>
      </c>
      <c r="CG55">
        <v>259.25555838641202</v>
      </c>
      <c r="CH55">
        <v>314</v>
      </c>
      <c r="CI55">
        <v>129.666666666667</v>
      </c>
      <c r="CJ55">
        <v>102.333333333333</v>
      </c>
      <c r="CK55" s="81">
        <v>1776</v>
      </c>
      <c r="CL55">
        <v>505</v>
      </c>
      <c r="CM55">
        <v>5508.02993015624</v>
      </c>
      <c r="CN55">
        <v>0.74199999999999999</v>
      </c>
      <c r="CO55">
        <v>28032</v>
      </c>
      <c r="CP55">
        <v>4492</v>
      </c>
      <c r="CQ55">
        <v>832</v>
      </c>
      <c r="CR55">
        <v>778</v>
      </c>
      <c r="CS55">
        <v>765</v>
      </c>
      <c r="CT55">
        <v>384</v>
      </c>
      <c r="CU55">
        <v>495.98120080660902</v>
      </c>
      <c r="CV55">
        <v>301.67545697001202</v>
      </c>
      <c r="CW55">
        <v>105.88362713849</v>
      </c>
      <c r="CX55">
        <v>1331.529</v>
      </c>
      <c r="CY55">
        <v>809.88879999999995</v>
      </c>
      <c r="CZ55">
        <v>284.25900000000001</v>
      </c>
      <c r="DA55">
        <v>37469</v>
      </c>
      <c r="DE55">
        <v>180</v>
      </c>
      <c r="DF55" t="s">
        <v>283</v>
      </c>
      <c r="DG55">
        <v>4863</v>
      </c>
      <c r="DH55">
        <v>4899</v>
      </c>
      <c r="DI55">
        <v>4844</v>
      </c>
      <c r="DJ55">
        <v>4805</v>
      </c>
      <c r="DK55">
        <v>4749</v>
      </c>
      <c r="DO55">
        <v>1730</v>
      </c>
      <c r="DP55" t="s">
        <v>299</v>
      </c>
      <c r="DQ55">
        <v>15536</v>
      </c>
      <c r="DR55">
        <v>1</v>
      </c>
      <c r="DS55">
        <v>503</v>
      </c>
      <c r="DV55">
        <v>758</v>
      </c>
      <c r="DW55" t="s">
        <v>60</v>
      </c>
      <c r="DX55">
        <v>25815.135593026302</v>
      </c>
      <c r="DY55">
        <v>4598</v>
      </c>
      <c r="DZ55">
        <v>3823</v>
      </c>
      <c r="EA55">
        <v>2125</v>
      </c>
      <c r="EB55">
        <v>11781</v>
      </c>
      <c r="EC55">
        <v>7383</v>
      </c>
      <c r="ED55">
        <v>2891</v>
      </c>
      <c r="EE55" s="82">
        <v>0.20266417634537801</v>
      </c>
      <c r="EF55" s="82">
        <v>0.41136582378160802</v>
      </c>
    </row>
    <row r="56" spans="1:136" x14ac:dyDescent="0.35">
      <c r="A56" s="72">
        <v>164</v>
      </c>
      <c r="B56" s="72">
        <v>4</v>
      </c>
      <c r="D56" s="72" t="s">
        <v>146</v>
      </c>
      <c r="E56" s="79">
        <v>5647600000</v>
      </c>
      <c r="F56" s="79">
        <v>1302350000</v>
      </c>
      <c r="G56" s="79">
        <v>1342600000</v>
      </c>
      <c r="H56" s="79">
        <v>80683</v>
      </c>
      <c r="I56" s="79">
        <v>1</v>
      </c>
      <c r="J56" s="79">
        <v>1342.6</v>
      </c>
      <c r="K56" s="79">
        <v>15469</v>
      </c>
      <c r="L56" s="79">
        <v>16114</v>
      </c>
      <c r="M56" s="79">
        <v>5104</v>
      </c>
      <c r="N56" s="79">
        <v>12811</v>
      </c>
      <c r="O56" s="79">
        <v>8938.7999999999993</v>
      </c>
      <c r="P56" s="79">
        <v>2364.6666666666702</v>
      </c>
      <c r="Q56" s="79">
        <v>7182.6666666666697</v>
      </c>
      <c r="R56" s="79">
        <v>6990</v>
      </c>
      <c r="S56" s="79">
        <v>0</v>
      </c>
      <c r="T56" s="79">
        <v>2750</v>
      </c>
      <c r="U56" s="79">
        <v>38440</v>
      </c>
      <c r="V56" s="79">
        <v>88510</v>
      </c>
      <c r="W56" s="79">
        <v>114580</v>
      </c>
      <c r="X56" s="79">
        <v>3672.36</v>
      </c>
      <c r="Y56" s="79">
        <v>4930.3999999999996</v>
      </c>
      <c r="Z56" s="79">
        <v>0</v>
      </c>
      <c r="AA56" s="79">
        <v>0</v>
      </c>
      <c r="AB56" s="79">
        <v>0</v>
      </c>
      <c r="AC56" s="79">
        <v>6082</v>
      </c>
      <c r="AD56" s="79">
        <v>6082</v>
      </c>
      <c r="AE56" s="79">
        <v>101</v>
      </c>
      <c r="AF56" s="79">
        <v>0</v>
      </c>
      <c r="AG56" s="79">
        <v>521</v>
      </c>
      <c r="AH56" s="79">
        <v>455</v>
      </c>
      <c r="AI56" s="79">
        <v>66</v>
      </c>
      <c r="AJ56" s="79">
        <v>38722</v>
      </c>
      <c r="AK56" s="79">
        <v>38722</v>
      </c>
      <c r="AL56" s="79">
        <v>0</v>
      </c>
      <c r="AM56" s="79">
        <v>0</v>
      </c>
      <c r="AN56" s="79">
        <v>0</v>
      </c>
      <c r="AO56" s="79">
        <v>0</v>
      </c>
      <c r="AP56" s="79">
        <v>6759</v>
      </c>
      <c r="AQ56" s="79">
        <v>0</v>
      </c>
      <c r="AR56" s="80">
        <v>4.4883340000000001E-3</v>
      </c>
      <c r="AS56" s="80">
        <v>7.1095209999999997E-3</v>
      </c>
      <c r="AT56" s="79">
        <v>70783.816000000006</v>
      </c>
      <c r="AU56" s="79">
        <v>0</v>
      </c>
      <c r="AV56" s="79">
        <v>1002</v>
      </c>
      <c r="AW56" s="79">
        <v>13075.2654051431</v>
      </c>
      <c r="AX56" s="79">
        <v>3</v>
      </c>
      <c r="AY56" s="79">
        <v>3</v>
      </c>
      <c r="AZ56" s="79">
        <v>8023</v>
      </c>
      <c r="BA56" s="79">
        <v>1</v>
      </c>
      <c r="BB56" s="79">
        <v>0</v>
      </c>
      <c r="BC56" s="79">
        <v>0</v>
      </c>
      <c r="BD56" s="79">
        <v>0</v>
      </c>
      <c r="BE56" s="79">
        <v>0</v>
      </c>
      <c r="BF56" s="79">
        <v>0</v>
      </c>
      <c r="BG56" s="79">
        <v>0</v>
      </c>
      <c r="BH56" s="79">
        <v>0</v>
      </c>
      <c r="BI56" s="79">
        <v>0</v>
      </c>
      <c r="BJ56" s="79">
        <v>0</v>
      </c>
      <c r="BK56" s="79">
        <v>112</v>
      </c>
      <c r="BL56" s="79">
        <v>14660</v>
      </c>
      <c r="BM56" s="79">
        <v>455</v>
      </c>
      <c r="BN56" s="79">
        <v>66</v>
      </c>
      <c r="BO56">
        <v>17741</v>
      </c>
      <c r="BP56">
        <v>5611</v>
      </c>
      <c r="BQ56">
        <v>17630</v>
      </c>
      <c r="BR56">
        <v>5582</v>
      </c>
      <c r="BS56">
        <v>17542</v>
      </c>
      <c r="BT56">
        <v>5597</v>
      </c>
      <c r="BU56">
        <v>17422</v>
      </c>
      <c r="BV56">
        <v>5597</v>
      </c>
      <c r="BW56">
        <v>17207</v>
      </c>
      <c r="BX56">
        <v>5655</v>
      </c>
      <c r="BY56">
        <v>17071</v>
      </c>
      <c r="BZ56">
        <v>5818</v>
      </c>
      <c r="CB56">
        <v>2165.66</v>
      </c>
      <c r="CC56">
        <v>225</v>
      </c>
      <c r="CD56">
        <v>208</v>
      </c>
      <c r="CE56">
        <v>22613.4</v>
      </c>
      <c r="CF56">
        <v>5210.37</v>
      </c>
      <c r="CG56">
        <v>457.546259814302</v>
      </c>
      <c r="CH56">
        <v>975</v>
      </c>
      <c r="CI56">
        <v>600.66666666666697</v>
      </c>
      <c r="CJ56">
        <v>500.33333333333297</v>
      </c>
      <c r="CK56" s="81">
        <v>4818</v>
      </c>
      <c r="CL56">
        <v>1646</v>
      </c>
      <c r="CM56">
        <v>10645.2796916435</v>
      </c>
      <c r="CN56">
        <v>6.2549999999999999</v>
      </c>
      <c r="CO56">
        <v>64569</v>
      </c>
      <c r="CP56">
        <v>8947</v>
      </c>
      <c r="CQ56">
        <v>2063</v>
      </c>
      <c r="CR56">
        <v>2078</v>
      </c>
      <c r="CS56">
        <v>1837</v>
      </c>
      <c r="CT56">
        <v>1139</v>
      </c>
      <c r="CU56">
        <v>1319.9746500697299</v>
      </c>
      <c r="CV56">
        <v>826.888631785548</v>
      </c>
      <c r="CW56">
        <v>360.11900211765902</v>
      </c>
      <c r="CX56">
        <v>2977.9344000000001</v>
      </c>
      <c r="CY56">
        <v>1865.5056</v>
      </c>
      <c r="CZ56">
        <v>812.44799999999998</v>
      </c>
      <c r="DA56">
        <v>41789</v>
      </c>
      <c r="DE56">
        <v>183</v>
      </c>
      <c r="DF56" t="s">
        <v>297</v>
      </c>
      <c r="DG56">
        <v>5544</v>
      </c>
      <c r="DH56">
        <v>5465</v>
      </c>
      <c r="DI56">
        <v>5372</v>
      </c>
      <c r="DJ56">
        <v>5251</v>
      </c>
      <c r="DK56">
        <v>5170</v>
      </c>
      <c r="DO56">
        <v>1701</v>
      </c>
      <c r="DP56" t="s">
        <v>337</v>
      </c>
      <c r="DQ56">
        <v>9916</v>
      </c>
      <c r="DR56">
        <v>1</v>
      </c>
      <c r="DS56">
        <v>210</v>
      </c>
      <c r="DV56">
        <v>501</v>
      </c>
      <c r="DW56" t="s">
        <v>61</v>
      </c>
      <c r="DX56">
        <v>1774.0691299165701</v>
      </c>
      <c r="DY56">
        <v>459</v>
      </c>
      <c r="DZ56">
        <v>395</v>
      </c>
      <c r="EA56">
        <v>171</v>
      </c>
      <c r="EB56">
        <v>1351</v>
      </c>
      <c r="EC56">
        <v>828</v>
      </c>
      <c r="ED56">
        <v>264</v>
      </c>
      <c r="EE56" s="82">
        <v>0.122509611177294</v>
      </c>
      <c r="EF56" s="82">
        <v>0.34682182854538701</v>
      </c>
    </row>
    <row r="57" spans="1:136" x14ac:dyDescent="0.35">
      <c r="A57" s="72">
        <v>1735</v>
      </c>
      <c r="B57" s="72">
        <v>4</v>
      </c>
      <c r="D57" s="72" t="s">
        <v>154</v>
      </c>
      <c r="E57" s="79">
        <v>2806800000</v>
      </c>
      <c r="F57" s="79">
        <v>502950000</v>
      </c>
      <c r="G57" s="79">
        <v>598500000</v>
      </c>
      <c r="H57" s="79">
        <v>34940</v>
      </c>
      <c r="I57" s="79">
        <v>5</v>
      </c>
      <c r="J57" s="79">
        <v>598.5</v>
      </c>
      <c r="K57" s="79">
        <v>6550</v>
      </c>
      <c r="L57" s="79">
        <v>8697</v>
      </c>
      <c r="M57" s="79">
        <v>2970</v>
      </c>
      <c r="N57" s="79">
        <v>4112</v>
      </c>
      <c r="O57" s="79">
        <v>2543.1999999999998</v>
      </c>
      <c r="P57" s="79">
        <v>427</v>
      </c>
      <c r="Q57" s="79">
        <v>1912</v>
      </c>
      <c r="R57" s="79">
        <v>710</v>
      </c>
      <c r="S57" s="79">
        <v>0</v>
      </c>
      <c r="T57" s="79">
        <v>797</v>
      </c>
      <c r="U57" s="79">
        <v>15272</v>
      </c>
      <c r="V57" s="79">
        <v>30160</v>
      </c>
      <c r="W57" s="79">
        <v>13230</v>
      </c>
      <c r="X57" s="79">
        <v>0</v>
      </c>
      <c r="Y57" s="79">
        <v>541.6</v>
      </c>
      <c r="Z57" s="79">
        <v>0</v>
      </c>
      <c r="AA57" s="79">
        <v>0</v>
      </c>
      <c r="AB57" s="79">
        <v>0</v>
      </c>
      <c r="AC57" s="79">
        <v>21236</v>
      </c>
      <c r="AD57" s="79">
        <v>21236</v>
      </c>
      <c r="AE57" s="79">
        <v>305</v>
      </c>
      <c r="AF57" s="79">
        <v>0</v>
      </c>
      <c r="AG57" s="79">
        <v>444</v>
      </c>
      <c r="AH57" s="79">
        <v>207</v>
      </c>
      <c r="AI57" s="79">
        <v>237</v>
      </c>
      <c r="AJ57" s="79">
        <v>15688</v>
      </c>
      <c r="AK57" s="79">
        <v>15688</v>
      </c>
      <c r="AL57" s="79">
        <v>17</v>
      </c>
      <c r="AM57" s="79">
        <v>0</v>
      </c>
      <c r="AN57" s="79">
        <v>0</v>
      </c>
      <c r="AO57" s="79">
        <v>0</v>
      </c>
      <c r="AP57" s="79">
        <v>1469</v>
      </c>
      <c r="AQ57" s="79">
        <v>1469</v>
      </c>
      <c r="AR57" s="80">
        <v>7.7573300000000002E-4</v>
      </c>
      <c r="AS57" s="80">
        <v>3.3383000000000002E-4</v>
      </c>
      <c r="AT57" s="79">
        <v>9522.616</v>
      </c>
      <c r="AU57" s="79">
        <v>0</v>
      </c>
      <c r="AV57" s="79">
        <v>2650</v>
      </c>
      <c r="AW57" s="79">
        <v>4298.3612645652502</v>
      </c>
      <c r="AX57" s="79">
        <v>9</v>
      </c>
      <c r="AY57" s="79">
        <v>9</v>
      </c>
      <c r="AZ57" s="79">
        <v>4259</v>
      </c>
      <c r="BA57" s="79">
        <v>1</v>
      </c>
      <c r="BB57" s="79">
        <v>0</v>
      </c>
      <c r="BC57" s="79">
        <v>0</v>
      </c>
      <c r="BD57" s="79">
        <v>0</v>
      </c>
      <c r="BE57" s="79">
        <v>0</v>
      </c>
      <c r="BF57" s="79">
        <v>0</v>
      </c>
      <c r="BG57" s="79">
        <v>0</v>
      </c>
      <c r="BH57" s="79">
        <v>0</v>
      </c>
      <c r="BI57" s="79">
        <v>0</v>
      </c>
      <c r="BJ57" s="79">
        <v>0</v>
      </c>
      <c r="BK57" s="79">
        <v>30</v>
      </c>
      <c r="BL57" s="79">
        <v>4506</v>
      </c>
      <c r="BM57" s="79">
        <v>207</v>
      </c>
      <c r="BN57" s="79">
        <v>237</v>
      </c>
      <c r="BO57">
        <v>7721</v>
      </c>
      <c r="BP57">
        <v>651</v>
      </c>
      <c r="BQ57">
        <v>7718</v>
      </c>
      <c r="BR57">
        <v>689</v>
      </c>
      <c r="BS57">
        <v>7663</v>
      </c>
      <c r="BT57">
        <v>733</v>
      </c>
      <c r="BU57">
        <v>7563</v>
      </c>
      <c r="BV57">
        <v>760</v>
      </c>
      <c r="BW57">
        <v>7345</v>
      </c>
      <c r="BX57">
        <v>800</v>
      </c>
      <c r="BY57">
        <v>7206</v>
      </c>
      <c r="BZ57">
        <v>802</v>
      </c>
      <c r="CB57">
        <v>458.5</v>
      </c>
      <c r="CC57">
        <v>86</v>
      </c>
      <c r="CD57">
        <v>59</v>
      </c>
      <c r="CE57">
        <v>10397.799999999999</v>
      </c>
      <c r="CF57">
        <v>2533</v>
      </c>
      <c r="CG57">
        <v>146.590845070423</v>
      </c>
      <c r="CH57">
        <v>276</v>
      </c>
      <c r="CI57">
        <v>127</v>
      </c>
      <c r="CJ57">
        <v>89</v>
      </c>
      <c r="CK57" s="81">
        <v>1485</v>
      </c>
      <c r="CL57">
        <v>406</v>
      </c>
      <c r="CM57">
        <v>5926.2871821335402</v>
      </c>
      <c r="CN57">
        <v>0.72</v>
      </c>
      <c r="CO57">
        <v>26243</v>
      </c>
      <c r="CP57">
        <v>4677</v>
      </c>
      <c r="CQ57">
        <v>1050</v>
      </c>
      <c r="CR57">
        <v>806</v>
      </c>
      <c r="CS57">
        <v>965</v>
      </c>
      <c r="CT57">
        <v>523</v>
      </c>
      <c r="CU57">
        <v>453.74915859255498</v>
      </c>
      <c r="CV57">
        <v>324.38444671086199</v>
      </c>
      <c r="CW57">
        <v>119.151708312086</v>
      </c>
      <c r="CX57">
        <v>1192.6539</v>
      </c>
      <c r="CY57">
        <v>852.62609999999995</v>
      </c>
      <c r="CZ57">
        <v>313.18349999999998</v>
      </c>
      <c r="DA57">
        <v>31752</v>
      </c>
      <c r="DE57">
        <v>184</v>
      </c>
      <c r="DF57" t="s">
        <v>304</v>
      </c>
      <c r="DG57">
        <v>6626</v>
      </c>
      <c r="DH57">
        <v>6667</v>
      </c>
      <c r="DI57">
        <v>6794</v>
      </c>
      <c r="DJ57">
        <v>6806</v>
      </c>
      <c r="DK57">
        <v>6830</v>
      </c>
      <c r="DO57">
        <v>141</v>
      </c>
      <c r="DP57" t="s">
        <v>18</v>
      </c>
      <c r="DQ57">
        <v>33200</v>
      </c>
      <c r="DR57">
        <v>1</v>
      </c>
      <c r="DS57">
        <v>1569</v>
      </c>
      <c r="DV57">
        <v>1876</v>
      </c>
      <c r="DW57" t="s">
        <v>62</v>
      </c>
      <c r="DX57">
        <v>4328.1070251405699</v>
      </c>
      <c r="DY57">
        <v>891</v>
      </c>
      <c r="DZ57">
        <v>927</v>
      </c>
      <c r="EA57">
        <v>579</v>
      </c>
      <c r="EB57">
        <v>3129</v>
      </c>
      <c r="EC57">
        <v>1956</v>
      </c>
      <c r="ED57">
        <v>798</v>
      </c>
      <c r="EE57" s="82">
        <v>0.161944382081981</v>
      </c>
      <c r="EF57" s="82">
        <v>0.42992500956889801</v>
      </c>
    </row>
    <row r="58" spans="1:136" x14ac:dyDescent="0.35">
      <c r="A58" s="72">
        <v>166</v>
      </c>
      <c r="B58" s="72">
        <v>4</v>
      </c>
      <c r="D58" s="72" t="s">
        <v>164</v>
      </c>
      <c r="E58" s="79">
        <v>3778800000</v>
      </c>
      <c r="F58" s="79">
        <v>715400000</v>
      </c>
      <c r="G58" s="79">
        <v>768950000</v>
      </c>
      <c r="H58" s="79">
        <v>53779</v>
      </c>
      <c r="I58" s="79">
        <v>1</v>
      </c>
      <c r="J58" s="79">
        <v>768.95</v>
      </c>
      <c r="K58" s="79">
        <v>12814</v>
      </c>
      <c r="L58" s="79">
        <v>9034</v>
      </c>
      <c r="M58" s="79">
        <v>2917</v>
      </c>
      <c r="N58" s="79">
        <v>6729</v>
      </c>
      <c r="O58" s="79">
        <v>4501.2</v>
      </c>
      <c r="P58" s="79">
        <v>855</v>
      </c>
      <c r="Q58" s="79">
        <v>3574</v>
      </c>
      <c r="R58" s="79">
        <v>1805</v>
      </c>
      <c r="S58" s="79">
        <v>0</v>
      </c>
      <c r="T58" s="79">
        <v>1312</v>
      </c>
      <c r="U58" s="79">
        <v>22651</v>
      </c>
      <c r="V58" s="79">
        <v>55850</v>
      </c>
      <c r="W58" s="79">
        <v>63870</v>
      </c>
      <c r="X58" s="79">
        <v>1287.32</v>
      </c>
      <c r="Y58" s="79">
        <v>3412.8</v>
      </c>
      <c r="Z58" s="79">
        <v>0</v>
      </c>
      <c r="AA58" s="79">
        <v>0</v>
      </c>
      <c r="AB58" s="79">
        <v>0</v>
      </c>
      <c r="AC58" s="79">
        <v>14133</v>
      </c>
      <c r="AD58" s="79">
        <v>14133</v>
      </c>
      <c r="AE58" s="79">
        <v>2046</v>
      </c>
      <c r="AF58" s="79">
        <v>0</v>
      </c>
      <c r="AG58" s="79">
        <v>370</v>
      </c>
      <c r="AH58" s="79">
        <v>266.22000000000003</v>
      </c>
      <c r="AI58" s="79">
        <v>109</v>
      </c>
      <c r="AJ58" s="79">
        <v>22278</v>
      </c>
      <c r="AK58" s="79">
        <v>22723.56</v>
      </c>
      <c r="AL58" s="79">
        <v>36</v>
      </c>
      <c r="AM58" s="79">
        <v>0</v>
      </c>
      <c r="AN58" s="79">
        <v>0</v>
      </c>
      <c r="AO58" s="79">
        <v>5700</v>
      </c>
      <c r="AP58" s="79">
        <v>4545</v>
      </c>
      <c r="AQ58" s="79">
        <v>3052</v>
      </c>
      <c r="AR58" s="80">
        <v>2.5566830000000001E-3</v>
      </c>
      <c r="AS58" s="80">
        <v>2.1632019999999999E-3</v>
      </c>
      <c r="AT58" s="79">
        <v>32614.991999999998</v>
      </c>
      <c r="AU58" s="79">
        <v>0</v>
      </c>
      <c r="AV58" s="79">
        <v>5394</v>
      </c>
      <c r="AW58" s="79">
        <v>18255.409357809502</v>
      </c>
      <c r="AX58" s="79">
        <v>9</v>
      </c>
      <c r="AY58" s="79">
        <v>9</v>
      </c>
      <c r="AZ58" s="79">
        <v>5156</v>
      </c>
      <c r="BA58" s="79">
        <v>1</v>
      </c>
      <c r="BB58" s="79">
        <v>0</v>
      </c>
      <c r="BC58" s="79">
        <v>0</v>
      </c>
      <c r="BD58" s="79">
        <v>0</v>
      </c>
      <c r="BE58" s="79">
        <v>0</v>
      </c>
      <c r="BF58" s="79">
        <v>0</v>
      </c>
      <c r="BG58" s="79">
        <v>0</v>
      </c>
      <c r="BH58" s="79">
        <v>0</v>
      </c>
      <c r="BI58" s="79">
        <v>0</v>
      </c>
      <c r="BJ58" s="79">
        <v>0</v>
      </c>
      <c r="BK58" s="79">
        <v>49</v>
      </c>
      <c r="BL58" s="79">
        <v>6816</v>
      </c>
      <c r="BM58" s="79">
        <v>261</v>
      </c>
      <c r="BN58" s="79">
        <v>109</v>
      </c>
      <c r="BO58">
        <v>12537</v>
      </c>
      <c r="BP58">
        <v>4269</v>
      </c>
      <c r="BQ58">
        <v>12519</v>
      </c>
      <c r="BR58">
        <v>4150</v>
      </c>
      <c r="BS58">
        <v>12574</v>
      </c>
      <c r="BT58">
        <v>4237</v>
      </c>
      <c r="BU58">
        <v>12619</v>
      </c>
      <c r="BV58">
        <v>4252</v>
      </c>
      <c r="BW58">
        <v>12684</v>
      </c>
      <c r="BX58">
        <v>4336</v>
      </c>
      <c r="BY58">
        <v>12633</v>
      </c>
      <c r="BZ58">
        <v>4379</v>
      </c>
      <c r="CB58">
        <v>1102.0039999999999</v>
      </c>
      <c r="CC58">
        <v>222</v>
      </c>
      <c r="CD58">
        <v>92</v>
      </c>
      <c r="CE58">
        <v>12695.04</v>
      </c>
      <c r="CF58">
        <v>3589.6</v>
      </c>
      <c r="CG58">
        <v>519.12696248944599</v>
      </c>
      <c r="CH58">
        <v>485</v>
      </c>
      <c r="CI58">
        <v>238</v>
      </c>
      <c r="CJ58">
        <v>186.666666666667</v>
      </c>
      <c r="CK58" s="81">
        <v>2719</v>
      </c>
      <c r="CL58">
        <v>1037</v>
      </c>
      <c r="CM58">
        <v>6608.7610394610201</v>
      </c>
      <c r="CN58">
        <v>1.661</v>
      </c>
      <c r="CO58">
        <v>44745</v>
      </c>
      <c r="CP58">
        <v>5115</v>
      </c>
      <c r="CQ58">
        <v>1002</v>
      </c>
      <c r="CR58">
        <v>1004</v>
      </c>
      <c r="CS58">
        <v>950</v>
      </c>
      <c r="CT58">
        <v>490</v>
      </c>
      <c r="CU58">
        <v>634.02305413412296</v>
      </c>
      <c r="CV58">
        <v>402.27530298949603</v>
      </c>
      <c r="CW58">
        <v>139.61438190142701</v>
      </c>
      <c r="CX58">
        <v>1692.0096000000001</v>
      </c>
      <c r="CY58">
        <v>1073.5472</v>
      </c>
      <c r="CZ58">
        <v>372.5872</v>
      </c>
      <c r="DA58">
        <v>67719</v>
      </c>
      <c r="DE58">
        <v>189</v>
      </c>
      <c r="DF58" t="s">
        <v>343</v>
      </c>
      <c r="DG58">
        <v>5542</v>
      </c>
      <c r="DH58">
        <v>5493</v>
      </c>
      <c r="DI58">
        <v>5476</v>
      </c>
      <c r="DJ58">
        <v>5421</v>
      </c>
      <c r="DK58">
        <v>5354</v>
      </c>
      <c r="DO58">
        <v>147</v>
      </c>
      <c r="DP58" t="s">
        <v>56</v>
      </c>
      <c r="DQ58">
        <v>9783</v>
      </c>
      <c r="DR58">
        <v>1</v>
      </c>
      <c r="DS58">
        <v>1219</v>
      </c>
      <c r="DV58">
        <v>213</v>
      </c>
      <c r="DW58" t="s">
        <v>63</v>
      </c>
      <c r="DX58">
        <v>2490.8272425249202</v>
      </c>
      <c r="DY58">
        <v>486</v>
      </c>
      <c r="DZ58">
        <v>514</v>
      </c>
      <c r="EA58">
        <v>302</v>
      </c>
      <c r="EB58">
        <v>1676</v>
      </c>
      <c r="EC58">
        <v>1155</v>
      </c>
      <c r="ED58">
        <v>431</v>
      </c>
      <c r="EE58" s="82">
        <v>0.15657470565769599</v>
      </c>
      <c r="EF58" s="82">
        <v>0.42992500956889801</v>
      </c>
    </row>
    <row r="59" spans="1:136" x14ac:dyDescent="0.35">
      <c r="A59" s="72">
        <v>168</v>
      </c>
      <c r="B59" s="72">
        <v>4</v>
      </c>
      <c r="D59" s="72" t="s">
        <v>191</v>
      </c>
      <c r="E59" s="79">
        <v>1708800000</v>
      </c>
      <c r="F59" s="79">
        <v>219450000</v>
      </c>
      <c r="G59" s="79">
        <v>270550000</v>
      </c>
      <c r="H59" s="79">
        <v>22622</v>
      </c>
      <c r="I59" s="79">
        <v>3</v>
      </c>
      <c r="J59" s="79">
        <v>270.55</v>
      </c>
      <c r="K59" s="79">
        <v>4322</v>
      </c>
      <c r="L59" s="79">
        <v>5272</v>
      </c>
      <c r="M59" s="79">
        <v>1685</v>
      </c>
      <c r="N59" s="79">
        <v>2859</v>
      </c>
      <c r="O59" s="79">
        <v>1849.5</v>
      </c>
      <c r="P59" s="79">
        <v>368.33333333333297</v>
      </c>
      <c r="Q59" s="79">
        <v>1882.3333333333301</v>
      </c>
      <c r="R59" s="79">
        <v>475</v>
      </c>
      <c r="S59" s="79">
        <v>0</v>
      </c>
      <c r="T59" s="79">
        <v>633</v>
      </c>
      <c r="U59" s="79">
        <v>9891</v>
      </c>
      <c r="V59" s="79">
        <v>18260</v>
      </c>
      <c r="W59" s="79">
        <v>6750</v>
      </c>
      <c r="X59" s="79">
        <v>86.5</v>
      </c>
      <c r="Y59" s="79">
        <v>451.2</v>
      </c>
      <c r="Z59" s="79">
        <v>0</v>
      </c>
      <c r="AA59" s="79">
        <v>0</v>
      </c>
      <c r="AB59" s="79">
        <v>48.099999999999902</v>
      </c>
      <c r="AC59" s="79">
        <v>9876</v>
      </c>
      <c r="AD59" s="79">
        <v>9876</v>
      </c>
      <c r="AE59" s="79">
        <v>86</v>
      </c>
      <c r="AF59" s="79">
        <v>0</v>
      </c>
      <c r="AG59" s="79">
        <v>191</v>
      </c>
      <c r="AH59" s="79">
        <v>120</v>
      </c>
      <c r="AI59" s="79">
        <v>70</v>
      </c>
      <c r="AJ59" s="79">
        <v>10095</v>
      </c>
      <c r="AK59" s="79">
        <v>10095</v>
      </c>
      <c r="AL59" s="79">
        <v>0</v>
      </c>
      <c r="AM59" s="79">
        <v>0</v>
      </c>
      <c r="AN59" s="79">
        <v>0</v>
      </c>
      <c r="AO59" s="79">
        <v>0</v>
      </c>
      <c r="AP59" s="79">
        <v>0</v>
      </c>
      <c r="AQ59" s="79">
        <v>0</v>
      </c>
      <c r="AR59" s="80">
        <v>3.5065999999999998E-4</v>
      </c>
      <c r="AS59" s="80">
        <v>2.22866E-4</v>
      </c>
      <c r="AT59" s="79">
        <v>7480.3950000000004</v>
      </c>
      <c r="AU59" s="79">
        <v>0</v>
      </c>
      <c r="AV59" s="79">
        <v>1447</v>
      </c>
      <c r="AW59" s="79">
        <v>3285.8897811684401</v>
      </c>
      <c r="AX59" s="79">
        <v>7</v>
      </c>
      <c r="AY59" s="79">
        <v>7</v>
      </c>
      <c r="AZ59" s="79">
        <v>2062</v>
      </c>
      <c r="BA59" s="79">
        <v>1</v>
      </c>
      <c r="BB59" s="79">
        <v>0</v>
      </c>
      <c r="BC59" s="79">
        <v>0</v>
      </c>
      <c r="BD59" s="79">
        <v>0</v>
      </c>
      <c r="BE59" s="79">
        <v>0</v>
      </c>
      <c r="BF59" s="79">
        <v>0</v>
      </c>
      <c r="BG59" s="79">
        <v>0</v>
      </c>
      <c r="BH59" s="79">
        <v>0</v>
      </c>
      <c r="BI59" s="79">
        <v>0</v>
      </c>
      <c r="BJ59" s="79">
        <v>0</v>
      </c>
      <c r="BK59" s="79">
        <v>31</v>
      </c>
      <c r="BL59" s="79">
        <v>2521</v>
      </c>
      <c r="BM59" s="79">
        <v>120</v>
      </c>
      <c r="BN59" s="79">
        <v>70</v>
      </c>
      <c r="BO59">
        <v>4801</v>
      </c>
      <c r="BP59">
        <v>469</v>
      </c>
      <c r="BQ59">
        <v>4780</v>
      </c>
      <c r="BR59">
        <v>508</v>
      </c>
      <c r="BS59">
        <v>4742</v>
      </c>
      <c r="BT59">
        <v>597</v>
      </c>
      <c r="BU59">
        <v>4720</v>
      </c>
      <c r="BV59">
        <v>623</v>
      </c>
      <c r="BW59">
        <v>4672</v>
      </c>
      <c r="BX59">
        <v>616</v>
      </c>
      <c r="BY59">
        <v>4656</v>
      </c>
      <c r="BZ59">
        <v>655</v>
      </c>
      <c r="CB59">
        <v>440.84399999999999</v>
      </c>
      <c r="CC59">
        <v>86</v>
      </c>
      <c r="CD59">
        <v>19</v>
      </c>
      <c r="CE59">
        <v>5694.35</v>
      </c>
      <c r="CF59">
        <v>1445.4</v>
      </c>
      <c r="CG59">
        <v>59.1267933505302</v>
      </c>
      <c r="CH59">
        <v>255</v>
      </c>
      <c r="CI59">
        <v>118.333333333333</v>
      </c>
      <c r="CJ59">
        <v>99.3333333333333</v>
      </c>
      <c r="CK59" s="81">
        <v>1514</v>
      </c>
      <c r="CL59">
        <v>552</v>
      </c>
      <c r="CM59">
        <v>3743.1729566922099</v>
      </c>
      <c r="CN59">
        <v>0.65100000000000002</v>
      </c>
      <c r="CO59">
        <v>17350</v>
      </c>
      <c r="CP59">
        <v>3100</v>
      </c>
      <c r="CQ59">
        <v>487</v>
      </c>
      <c r="CR59">
        <v>522</v>
      </c>
      <c r="CS59">
        <v>483</v>
      </c>
      <c r="CT59">
        <v>264</v>
      </c>
      <c r="CU59">
        <v>341.50252600297199</v>
      </c>
      <c r="CV59">
        <v>204.27860326894501</v>
      </c>
      <c r="CW59">
        <v>67.054680534918305</v>
      </c>
      <c r="CX59">
        <v>945.98</v>
      </c>
      <c r="CY59">
        <v>565.86249999999995</v>
      </c>
      <c r="CZ59">
        <v>185.745</v>
      </c>
      <c r="DA59">
        <v>111519</v>
      </c>
      <c r="DE59">
        <v>193</v>
      </c>
      <c r="DF59" t="s">
        <v>365</v>
      </c>
      <c r="DG59">
        <v>25847</v>
      </c>
      <c r="DH59">
        <v>26120</v>
      </c>
      <c r="DI59">
        <v>26361</v>
      </c>
      <c r="DJ59">
        <v>26735</v>
      </c>
      <c r="DK59">
        <v>26968</v>
      </c>
      <c r="DO59">
        <v>148</v>
      </c>
      <c r="DP59" t="s">
        <v>74</v>
      </c>
      <c r="DQ59">
        <v>11862</v>
      </c>
      <c r="DR59">
        <v>1</v>
      </c>
      <c r="DS59">
        <v>498</v>
      </c>
      <c r="DV59">
        <v>899</v>
      </c>
      <c r="DW59" t="s">
        <v>64</v>
      </c>
      <c r="DX59">
        <v>5421.3453195087905</v>
      </c>
      <c r="DY59">
        <v>905</v>
      </c>
      <c r="DZ59">
        <v>869</v>
      </c>
      <c r="EA59">
        <v>425</v>
      </c>
      <c r="EB59">
        <v>2351</v>
      </c>
      <c r="EC59">
        <v>1600</v>
      </c>
      <c r="ED59">
        <v>549</v>
      </c>
      <c r="EE59" s="82">
        <v>0.270766332889399</v>
      </c>
      <c r="EF59" s="82">
        <v>0.59841890261694397</v>
      </c>
    </row>
    <row r="60" spans="1:136" x14ac:dyDescent="0.35">
      <c r="A60" s="72">
        <v>173</v>
      </c>
      <c r="B60" s="72">
        <v>4</v>
      </c>
      <c r="D60" s="72" t="s">
        <v>229</v>
      </c>
      <c r="E60" s="79">
        <v>2606000000</v>
      </c>
      <c r="F60" s="79">
        <v>519050000</v>
      </c>
      <c r="G60" s="79">
        <v>534450000</v>
      </c>
      <c r="H60" s="79">
        <v>31840</v>
      </c>
      <c r="I60" s="79">
        <v>1</v>
      </c>
      <c r="J60" s="79">
        <v>534.45000000000005</v>
      </c>
      <c r="K60" s="79">
        <v>6430</v>
      </c>
      <c r="L60" s="79">
        <v>7243</v>
      </c>
      <c r="M60" s="79">
        <v>2337</v>
      </c>
      <c r="N60" s="79">
        <v>4451</v>
      </c>
      <c r="O60" s="79">
        <v>2999.5</v>
      </c>
      <c r="P60" s="79">
        <v>562</v>
      </c>
      <c r="Q60" s="79">
        <v>2385</v>
      </c>
      <c r="R60" s="79">
        <v>1700</v>
      </c>
      <c r="S60" s="79">
        <v>0</v>
      </c>
      <c r="T60" s="79">
        <v>942</v>
      </c>
      <c r="U60" s="79">
        <v>14392</v>
      </c>
      <c r="V60" s="79">
        <v>33250</v>
      </c>
      <c r="W60" s="79">
        <v>30110</v>
      </c>
      <c r="X60" s="79">
        <v>750.42</v>
      </c>
      <c r="Y60" s="79">
        <v>3282.4</v>
      </c>
      <c r="Z60" s="79">
        <v>0</v>
      </c>
      <c r="AA60" s="79">
        <v>0</v>
      </c>
      <c r="AB60" s="79">
        <v>0</v>
      </c>
      <c r="AC60" s="79">
        <v>2155</v>
      </c>
      <c r="AD60" s="79">
        <v>2155</v>
      </c>
      <c r="AE60" s="79">
        <v>40</v>
      </c>
      <c r="AF60" s="79">
        <v>0</v>
      </c>
      <c r="AG60" s="79">
        <v>232</v>
      </c>
      <c r="AH60" s="79">
        <v>213</v>
      </c>
      <c r="AI60" s="79">
        <v>20</v>
      </c>
      <c r="AJ60" s="79">
        <v>14515</v>
      </c>
      <c r="AK60" s="79">
        <v>14515</v>
      </c>
      <c r="AL60" s="79">
        <v>8</v>
      </c>
      <c r="AM60" s="79">
        <v>0</v>
      </c>
      <c r="AN60" s="79">
        <v>0</v>
      </c>
      <c r="AO60" s="79">
        <v>0</v>
      </c>
      <c r="AP60" s="79">
        <v>2091</v>
      </c>
      <c r="AQ60" s="79">
        <v>2091</v>
      </c>
      <c r="AR60" s="80">
        <v>6.3914199999999999E-4</v>
      </c>
      <c r="AS60" s="80">
        <v>7.6082799999999996E-4</v>
      </c>
      <c r="AT60" s="79">
        <v>21104.81</v>
      </c>
      <c r="AU60" s="79">
        <v>0</v>
      </c>
      <c r="AV60" s="79">
        <v>320</v>
      </c>
      <c r="AW60" s="79">
        <v>4641.8223234624102</v>
      </c>
      <c r="AX60" s="79">
        <v>2</v>
      </c>
      <c r="AY60" s="79">
        <v>2</v>
      </c>
      <c r="AZ60" s="79">
        <v>3148</v>
      </c>
      <c r="BA60" s="79">
        <v>1</v>
      </c>
      <c r="BB60" s="79">
        <v>0</v>
      </c>
      <c r="BC60" s="79">
        <v>0</v>
      </c>
      <c r="BD60" s="79">
        <v>0</v>
      </c>
      <c r="BE60" s="79">
        <v>0</v>
      </c>
      <c r="BF60" s="79">
        <v>0</v>
      </c>
      <c r="BG60" s="79">
        <v>0</v>
      </c>
      <c r="BH60" s="79">
        <v>0</v>
      </c>
      <c r="BI60" s="79">
        <v>0</v>
      </c>
      <c r="BJ60" s="79">
        <v>0</v>
      </c>
      <c r="BK60" s="79">
        <v>36</v>
      </c>
      <c r="BL60" s="79">
        <v>4643</v>
      </c>
      <c r="BM60" s="79">
        <v>213</v>
      </c>
      <c r="BN60" s="79">
        <v>20</v>
      </c>
      <c r="BO60">
        <v>7077</v>
      </c>
      <c r="BP60">
        <v>3960</v>
      </c>
      <c r="BQ60">
        <v>7122</v>
      </c>
      <c r="BR60">
        <v>3961</v>
      </c>
      <c r="BS60">
        <v>7116</v>
      </c>
      <c r="BT60">
        <v>3953</v>
      </c>
      <c r="BU60">
        <v>7058</v>
      </c>
      <c r="BV60">
        <v>3904</v>
      </c>
      <c r="BW60">
        <v>7017</v>
      </c>
      <c r="BX60">
        <v>3952</v>
      </c>
      <c r="BY60">
        <v>6951</v>
      </c>
      <c r="BZ60">
        <v>3925</v>
      </c>
      <c r="CB60">
        <v>675.15</v>
      </c>
      <c r="CC60">
        <v>102</v>
      </c>
      <c r="CD60">
        <v>79</v>
      </c>
      <c r="CE60">
        <v>8931.2000000000007</v>
      </c>
      <c r="CF60">
        <v>2334.15</v>
      </c>
      <c r="CG60">
        <v>152.51148118170801</v>
      </c>
      <c r="CH60">
        <v>378</v>
      </c>
      <c r="CI60">
        <v>160</v>
      </c>
      <c r="CJ60">
        <v>126.666666666667</v>
      </c>
      <c r="CK60" s="81">
        <v>1823</v>
      </c>
      <c r="CL60">
        <v>517</v>
      </c>
      <c r="CM60">
        <v>5078.7328558081599</v>
      </c>
      <c r="CN60">
        <v>1.2330000000000001</v>
      </c>
      <c r="CO60">
        <v>24597</v>
      </c>
      <c r="CP60">
        <v>4115</v>
      </c>
      <c r="CQ60">
        <v>791</v>
      </c>
      <c r="CR60">
        <v>850</v>
      </c>
      <c r="CS60">
        <v>773</v>
      </c>
      <c r="CT60">
        <v>408</v>
      </c>
      <c r="CU60">
        <v>525.91991043747896</v>
      </c>
      <c r="CV60">
        <v>333.32369962108203</v>
      </c>
      <c r="CW60">
        <v>116.136341715467</v>
      </c>
      <c r="CX60">
        <v>1215.2375</v>
      </c>
      <c r="CY60">
        <v>770.20749999999998</v>
      </c>
      <c r="CZ60">
        <v>268.35500000000002</v>
      </c>
      <c r="DA60">
        <v>40377</v>
      </c>
      <c r="DE60">
        <v>197</v>
      </c>
      <c r="DF60" t="s">
        <v>13</v>
      </c>
      <c r="DG60">
        <v>6163</v>
      </c>
      <c r="DH60">
        <v>6121</v>
      </c>
      <c r="DI60">
        <v>6018</v>
      </c>
      <c r="DJ60">
        <v>5963</v>
      </c>
      <c r="DK60">
        <v>5851</v>
      </c>
      <c r="DO60">
        <v>150</v>
      </c>
      <c r="DP60" t="s">
        <v>84</v>
      </c>
      <c r="DQ60">
        <v>45277</v>
      </c>
      <c r="DR60">
        <v>1</v>
      </c>
      <c r="DS60">
        <v>1763</v>
      </c>
      <c r="DV60">
        <v>312</v>
      </c>
      <c r="DW60" t="s">
        <v>65</v>
      </c>
      <c r="DX60">
        <v>1236.5870307167199</v>
      </c>
      <c r="DY60">
        <v>312</v>
      </c>
      <c r="DZ60">
        <v>369</v>
      </c>
      <c r="EA60">
        <v>193</v>
      </c>
      <c r="EB60">
        <v>1057</v>
      </c>
      <c r="EC60">
        <v>809</v>
      </c>
      <c r="ED60">
        <v>294</v>
      </c>
      <c r="EE60" s="82">
        <v>9.2285341426951203E-2</v>
      </c>
      <c r="EF60" s="82">
        <v>0.27136109216292698</v>
      </c>
    </row>
    <row r="61" spans="1:136" x14ac:dyDescent="0.35">
      <c r="A61" s="72">
        <v>1773</v>
      </c>
      <c r="B61" s="72">
        <v>4</v>
      </c>
      <c r="D61" s="72" t="s">
        <v>230</v>
      </c>
      <c r="E61" s="79">
        <v>1445600000</v>
      </c>
      <c r="F61" s="79">
        <v>174300000</v>
      </c>
      <c r="G61" s="79">
        <v>216300000</v>
      </c>
      <c r="H61" s="79">
        <v>18071</v>
      </c>
      <c r="I61" s="79">
        <v>2</v>
      </c>
      <c r="J61" s="79">
        <v>216.3</v>
      </c>
      <c r="K61" s="79">
        <v>3506</v>
      </c>
      <c r="L61" s="79">
        <v>3858</v>
      </c>
      <c r="M61" s="79">
        <v>1142</v>
      </c>
      <c r="N61" s="79">
        <v>2075</v>
      </c>
      <c r="O61" s="79">
        <v>1288.2</v>
      </c>
      <c r="P61" s="79">
        <v>202</v>
      </c>
      <c r="Q61" s="79">
        <v>1163</v>
      </c>
      <c r="R61" s="79">
        <v>380</v>
      </c>
      <c r="S61" s="79">
        <v>0</v>
      </c>
      <c r="T61" s="79">
        <v>413</v>
      </c>
      <c r="U61" s="79">
        <v>7873</v>
      </c>
      <c r="V61" s="79">
        <v>15150</v>
      </c>
      <c r="W61" s="79">
        <v>3930</v>
      </c>
      <c r="X61" s="79">
        <v>0</v>
      </c>
      <c r="Y61" s="79">
        <v>287.2</v>
      </c>
      <c r="Z61" s="79">
        <v>0</v>
      </c>
      <c r="AA61" s="79">
        <v>0</v>
      </c>
      <c r="AB61" s="79">
        <v>0</v>
      </c>
      <c r="AC61" s="79">
        <v>11366</v>
      </c>
      <c r="AD61" s="79">
        <v>11366</v>
      </c>
      <c r="AE61" s="79">
        <v>471</v>
      </c>
      <c r="AF61" s="79">
        <v>0</v>
      </c>
      <c r="AG61" s="79">
        <v>178</v>
      </c>
      <c r="AH61" s="79">
        <v>81</v>
      </c>
      <c r="AI61" s="79">
        <v>97</v>
      </c>
      <c r="AJ61" s="79">
        <v>7868</v>
      </c>
      <c r="AK61" s="79">
        <v>7868</v>
      </c>
      <c r="AL61" s="79">
        <v>0</v>
      </c>
      <c r="AM61" s="79">
        <v>0</v>
      </c>
      <c r="AN61" s="79">
        <v>0</v>
      </c>
      <c r="AO61" s="79">
        <v>0</v>
      </c>
      <c r="AP61" s="79">
        <v>526</v>
      </c>
      <c r="AQ61" s="79">
        <v>0</v>
      </c>
      <c r="AR61" s="80">
        <v>3.7635300000000001E-4</v>
      </c>
      <c r="AS61" s="80">
        <v>1.6223E-4</v>
      </c>
      <c r="AT61" s="79">
        <v>3666.4879999999998</v>
      </c>
      <c r="AU61" s="79">
        <v>0</v>
      </c>
      <c r="AV61" s="79">
        <v>2922</v>
      </c>
      <c r="AW61" s="79">
        <v>4460.8821491932104</v>
      </c>
      <c r="AX61" s="79">
        <v>8</v>
      </c>
      <c r="AY61" s="79">
        <v>8</v>
      </c>
      <c r="AZ61" s="79">
        <v>1824</v>
      </c>
      <c r="BA61" s="79">
        <v>1</v>
      </c>
      <c r="BB61" s="79">
        <v>0</v>
      </c>
      <c r="BC61" s="79">
        <v>0</v>
      </c>
      <c r="BD61" s="79">
        <v>0</v>
      </c>
      <c r="BE61" s="79">
        <v>0</v>
      </c>
      <c r="BF61" s="79">
        <v>0</v>
      </c>
      <c r="BG61" s="79">
        <v>0</v>
      </c>
      <c r="BH61" s="79">
        <v>0</v>
      </c>
      <c r="BI61" s="79">
        <v>0</v>
      </c>
      <c r="BJ61" s="79">
        <v>0</v>
      </c>
      <c r="BK61" s="79">
        <v>14</v>
      </c>
      <c r="BL61" s="79">
        <v>2105</v>
      </c>
      <c r="BM61" s="79">
        <v>81</v>
      </c>
      <c r="BN61" s="79">
        <v>97</v>
      </c>
      <c r="BO61">
        <v>4100</v>
      </c>
      <c r="BP61">
        <v>408</v>
      </c>
      <c r="BQ61">
        <v>4047</v>
      </c>
      <c r="BR61">
        <v>455</v>
      </c>
      <c r="BS61">
        <v>3990</v>
      </c>
      <c r="BT61">
        <v>530</v>
      </c>
      <c r="BU61">
        <v>3959</v>
      </c>
      <c r="BV61">
        <v>517</v>
      </c>
      <c r="BW61">
        <v>3874</v>
      </c>
      <c r="BX61">
        <v>503</v>
      </c>
      <c r="BY61">
        <v>3828</v>
      </c>
      <c r="BZ61">
        <v>493</v>
      </c>
      <c r="CB61">
        <v>269.96199999999999</v>
      </c>
      <c r="CC61">
        <v>32</v>
      </c>
      <c r="CD61">
        <v>27</v>
      </c>
      <c r="CE61">
        <v>4953.96</v>
      </c>
      <c r="CF61">
        <v>1306.1400000000001</v>
      </c>
      <c r="CG61">
        <v>115.207034111311</v>
      </c>
      <c r="CH61">
        <v>169</v>
      </c>
      <c r="CI61">
        <v>64.6666666666667</v>
      </c>
      <c r="CJ61">
        <v>45</v>
      </c>
      <c r="CK61" s="81">
        <v>961</v>
      </c>
      <c r="CL61">
        <v>384</v>
      </c>
      <c r="CM61">
        <v>2856.9275008386498</v>
      </c>
      <c r="CN61">
        <v>0.183</v>
      </c>
      <c r="CO61">
        <v>14213</v>
      </c>
      <c r="CP61">
        <v>2256</v>
      </c>
      <c r="CQ61">
        <v>460</v>
      </c>
      <c r="CR61">
        <v>377</v>
      </c>
      <c r="CS61">
        <v>369</v>
      </c>
      <c r="CT61">
        <v>207</v>
      </c>
      <c r="CU61">
        <v>221.35821047280101</v>
      </c>
      <c r="CV61">
        <v>128.85274529740701</v>
      </c>
      <c r="CW61">
        <v>48.626766649720402</v>
      </c>
      <c r="CX61">
        <v>612.59119999999996</v>
      </c>
      <c r="CY61">
        <v>356.58969999999999</v>
      </c>
      <c r="CZ61">
        <v>134.57069999999999</v>
      </c>
      <c r="DA61">
        <v>41245</v>
      </c>
      <c r="DE61">
        <v>200</v>
      </c>
      <c r="DF61" t="s">
        <v>27</v>
      </c>
      <c r="DG61">
        <v>33174</v>
      </c>
      <c r="DH61">
        <v>32882</v>
      </c>
      <c r="DI61">
        <v>32693</v>
      </c>
      <c r="DJ61">
        <v>32629</v>
      </c>
      <c r="DK61">
        <v>32311</v>
      </c>
      <c r="DO61">
        <v>1774</v>
      </c>
      <c r="DP61" t="s">
        <v>86</v>
      </c>
      <c r="DQ61">
        <v>10955</v>
      </c>
      <c r="DR61">
        <v>1</v>
      </c>
      <c r="DS61">
        <v>464</v>
      </c>
      <c r="DV61">
        <v>313</v>
      </c>
      <c r="DW61" t="s">
        <v>66</v>
      </c>
      <c r="DX61">
        <v>1970.5202312138699</v>
      </c>
      <c r="DY61">
        <v>333</v>
      </c>
      <c r="DZ61">
        <v>319</v>
      </c>
      <c r="EA61">
        <v>129</v>
      </c>
      <c r="EB61">
        <v>1274</v>
      </c>
      <c r="EC61">
        <v>692</v>
      </c>
      <c r="ED61">
        <v>189</v>
      </c>
      <c r="EE61" s="82">
        <v>0.13778450961914701</v>
      </c>
      <c r="EF61" s="82">
        <v>0.42241600566415499</v>
      </c>
    </row>
    <row r="62" spans="1:136" x14ac:dyDescent="0.35">
      <c r="A62" s="72">
        <v>175</v>
      </c>
      <c r="B62" s="72">
        <v>4</v>
      </c>
      <c r="D62" s="72" t="s">
        <v>231</v>
      </c>
      <c r="E62" s="79">
        <v>1502400000</v>
      </c>
      <c r="F62" s="79">
        <v>296100000</v>
      </c>
      <c r="G62" s="79">
        <v>336700000</v>
      </c>
      <c r="H62" s="79">
        <v>17813</v>
      </c>
      <c r="I62" s="79">
        <v>1</v>
      </c>
      <c r="J62" s="79">
        <v>336.7</v>
      </c>
      <c r="K62" s="79">
        <v>3673</v>
      </c>
      <c r="L62" s="79">
        <v>3908</v>
      </c>
      <c r="M62" s="79">
        <v>1182</v>
      </c>
      <c r="N62" s="79">
        <v>2093</v>
      </c>
      <c r="O62" s="79">
        <v>1235.3</v>
      </c>
      <c r="P62" s="79">
        <v>216.666666666667</v>
      </c>
      <c r="Q62" s="79">
        <v>1129.6666666666699</v>
      </c>
      <c r="R62" s="79">
        <v>200</v>
      </c>
      <c r="S62" s="79">
        <v>0</v>
      </c>
      <c r="T62" s="79">
        <v>386</v>
      </c>
      <c r="U62" s="79">
        <v>7712</v>
      </c>
      <c r="V62" s="79">
        <v>17270</v>
      </c>
      <c r="W62" s="79">
        <v>12030</v>
      </c>
      <c r="X62" s="79">
        <v>1222.78</v>
      </c>
      <c r="Y62" s="79">
        <v>1162.4000000000001</v>
      </c>
      <c r="Z62" s="79">
        <v>0</v>
      </c>
      <c r="AA62" s="79">
        <v>0</v>
      </c>
      <c r="AB62" s="79">
        <v>656.6</v>
      </c>
      <c r="AC62" s="79">
        <v>17981</v>
      </c>
      <c r="AD62" s="79">
        <v>17981</v>
      </c>
      <c r="AE62" s="79">
        <v>220</v>
      </c>
      <c r="AF62" s="79">
        <v>0</v>
      </c>
      <c r="AG62" s="79">
        <v>224</v>
      </c>
      <c r="AH62" s="79">
        <v>100</v>
      </c>
      <c r="AI62" s="79">
        <v>124</v>
      </c>
      <c r="AJ62" s="79">
        <v>8577</v>
      </c>
      <c r="AK62" s="79">
        <v>8577</v>
      </c>
      <c r="AL62" s="79">
        <v>5</v>
      </c>
      <c r="AM62" s="79">
        <v>0</v>
      </c>
      <c r="AN62" s="79">
        <v>0</v>
      </c>
      <c r="AO62" s="79">
        <v>0</v>
      </c>
      <c r="AP62" s="79">
        <v>0</v>
      </c>
      <c r="AQ62" s="79">
        <v>0</v>
      </c>
      <c r="AR62" s="80">
        <v>2.7506699999999999E-4</v>
      </c>
      <c r="AS62" s="80">
        <v>1.7006200000000001E-4</v>
      </c>
      <c r="AT62" s="79">
        <v>4262.7690000000002</v>
      </c>
      <c r="AU62" s="79">
        <v>0</v>
      </c>
      <c r="AV62" s="79">
        <v>2591</v>
      </c>
      <c r="AW62" s="79">
        <v>2535.7663315202499</v>
      </c>
      <c r="AX62" s="79">
        <v>14</v>
      </c>
      <c r="AY62" s="79">
        <v>14</v>
      </c>
      <c r="AZ62" s="79">
        <v>2048</v>
      </c>
      <c r="BA62" s="79">
        <v>1</v>
      </c>
      <c r="BB62" s="79">
        <v>0</v>
      </c>
      <c r="BC62" s="79">
        <v>0</v>
      </c>
      <c r="BD62" s="79">
        <v>0</v>
      </c>
      <c r="BE62" s="79">
        <v>0</v>
      </c>
      <c r="BF62" s="79">
        <v>0</v>
      </c>
      <c r="BG62" s="79">
        <v>0</v>
      </c>
      <c r="BH62" s="79">
        <v>0</v>
      </c>
      <c r="BI62" s="79">
        <v>0</v>
      </c>
      <c r="BJ62" s="79">
        <v>0</v>
      </c>
      <c r="BK62" s="79">
        <v>30</v>
      </c>
      <c r="BL62" s="79">
        <v>2269</v>
      </c>
      <c r="BM62" s="79">
        <v>100</v>
      </c>
      <c r="BN62" s="79">
        <v>124</v>
      </c>
      <c r="BO62">
        <v>3774</v>
      </c>
      <c r="BP62">
        <v>724</v>
      </c>
      <c r="BQ62">
        <v>3741</v>
      </c>
      <c r="BR62">
        <v>838</v>
      </c>
      <c r="BS62">
        <v>3696</v>
      </c>
      <c r="BT62">
        <v>876</v>
      </c>
      <c r="BU62">
        <v>3702</v>
      </c>
      <c r="BV62">
        <v>923</v>
      </c>
      <c r="BW62">
        <v>3681</v>
      </c>
      <c r="BX62">
        <v>1014</v>
      </c>
      <c r="BY62">
        <v>3686</v>
      </c>
      <c r="BZ62">
        <v>1154</v>
      </c>
      <c r="CB62">
        <v>293.83999999999997</v>
      </c>
      <c r="CC62">
        <v>79</v>
      </c>
      <c r="CD62">
        <v>28</v>
      </c>
      <c r="CE62">
        <v>4961.3500000000004</v>
      </c>
      <c r="CF62">
        <v>1122.4000000000001</v>
      </c>
      <c r="CG62">
        <v>118.344824913228</v>
      </c>
      <c r="CH62">
        <v>119</v>
      </c>
      <c r="CI62">
        <v>62.6666666666667</v>
      </c>
      <c r="CJ62">
        <v>43.3333333333333</v>
      </c>
      <c r="CK62" s="81">
        <v>913</v>
      </c>
      <c r="CL62">
        <v>321</v>
      </c>
      <c r="CM62">
        <v>2103.2949389692599</v>
      </c>
      <c r="CN62">
        <v>0.38900000000000001</v>
      </c>
      <c r="CO62">
        <v>13905</v>
      </c>
      <c r="CP62">
        <v>2281</v>
      </c>
      <c r="CQ62">
        <v>445</v>
      </c>
      <c r="CR62">
        <v>367</v>
      </c>
      <c r="CS62">
        <v>375</v>
      </c>
      <c r="CT62">
        <v>233</v>
      </c>
      <c r="CU62">
        <v>194.14531887606401</v>
      </c>
      <c r="CV62">
        <v>116.948070420893</v>
      </c>
      <c r="CW62">
        <v>46.952057829077802</v>
      </c>
      <c r="CX62">
        <v>616.17079999999999</v>
      </c>
      <c r="CY62">
        <v>371.16520000000003</v>
      </c>
      <c r="CZ62">
        <v>149.0146</v>
      </c>
      <c r="DA62">
        <v>0</v>
      </c>
      <c r="DE62">
        <v>202</v>
      </c>
      <c r="DF62" t="s">
        <v>29</v>
      </c>
      <c r="DG62">
        <v>28340</v>
      </c>
      <c r="DH62">
        <v>28747</v>
      </c>
      <c r="DI62">
        <v>28972</v>
      </c>
      <c r="DJ62">
        <v>29204</v>
      </c>
      <c r="DK62">
        <v>29553</v>
      </c>
      <c r="DO62">
        <v>153</v>
      </c>
      <c r="DP62" t="s">
        <v>106</v>
      </c>
      <c r="DQ62">
        <v>76649</v>
      </c>
      <c r="DR62">
        <v>1</v>
      </c>
      <c r="DS62">
        <v>2115</v>
      </c>
      <c r="DV62">
        <v>214</v>
      </c>
      <c r="DW62" t="s">
        <v>67</v>
      </c>
      <c r="DX62">
        <v>2673.3127279528699</v>
      </c>
      <c r="DY62">
        <v>545</v>
      </c>
      <c r="DZ62">
        <v>446</v>
      </c>
      <c r="EA62">
        <v>194</v>
      </c>
      <c r="EB62">
        <v>1980</v>
      </c>
      <c r="EC62">
        <v>975</v>
      </c>
      <c r="ED62">
        <v>273</v>
      </c>
      <c r="EE62" s="82">
        <v>0.14451776529341101</v>
      </c>
      <c r="EF62" s="82">
        <v>0.376279479847973</v>
      </c>
    </row>
    <row r="63" spans="1:136" x14ac:dyDescent="0.35">
      <c r="A63" s="72">
        <v>177</v>
      </c>
      <c r="B63" s="72">
        <v>4</v>
      </c>
      <c r="D63" s="72" t="s">
        <v>249</v>
      </c>
      <c r="E63" s="79">
        <v>3066800000</v>
      </c>
      <c r="F63" s="79">
        <v>527800000</v>
      </c>
      <c r="G63" s="79">
        <v>599900000</v>
      </c>
      <c r="H63" s="79">
        <v>37511</v>
      </c>
      <c r="I63" s="79">
        <v>4</v>
      </c>
      <c r="J63" s="79">
        <v>599.9</v>
      </c>
      <c r="K63" s="79">
        <v>7412</v>
      </c>
      <c r="L63" s="79">
        <v>8072</v>
      </c>
      <c r="M63" s="79">
        <v>2545</v>
      </c>
      <c r="N63" s="79">
        <v>4469</v>
      </c>
      <c r="O63" s="79">
        <v>2831.9</v>
      </c>
      <c r="P63" s="79">
        <v>402</v>
      </c>
      <c r="Q63" s="79">
        <v>2141</v>
      </c>
      <c r="R63" s="79">
        <v>680</v>
      </c>
      <c r="S63" s="79">
        <v>0</v>
      </c>
      <c r="T63" s="79">
        <v>796</v>
      </c>
      <c r="U63" s="79">
        <v>16171</v>
      </c>
      <c r="V63" s="79">
        <v>34500</v>
      </c>
      <c r="W63" s="79">
        <v>21470</v>
      </c>
      <c r="X63" s="79">
        <v>834.58</v>
      </c>
      <c r="Y63" s="79">
        <v>2036.8</v>
      </c>
      <c r="Z63" s="79">
        <v>0</v>
      </c>
      <c r="AA63" s="79">
        <v>0</v>
      </c>
      <c r="AB63" s="79">
        <v>0</v>
      </c>
      <c r="AC63" s="79">
        <v>17095</v>
      </c>
      <c r="AD63" s="79">
        <v>17095</v>
      </c>
      <c r="AE63" s="79">
        <v>134</v>
      </c>
      <c r="AF63" s="79">
        <v>0</v>
      </c>
      <c r="AG63" s="79">
        <v>395</v>
      </c>
      <c r="AH63" s="79">
        <v>207</v>
      </c>
      <c r="AI63" s="79">
        <v>188</v>
      </c>
      <c r="AJ63" s="79">
        <v>16371</v>
      </c>
      <c r="AK63" s="79">
        <v>16371</v>
      </c>
      <c r="AL63" s="79">
        <v>0</v>
      </c>
      <c r="AM63" s="79">
        <v>0</v>
      </c>
      <c r="AN63" s="79">
        <v>0</v>
      </c>
      <c r="AO63" s="79">
        <v>0</v>
      </c>
      <c r="AP63" s="79">
        <v>532</v>
      </c>
      <c r="AQ63" s="79">
        <v>0</v>
      </c>
      <c r="AR63" s="80">
        <v>4.2256800000000001E-4</v>
      </c>
      <c r="AS63" s="80">
        <v>2.2431099999999999E-4</v>
      </c>
      <c r="AT63" s="79">
        <v>10853.973</v>
      </c>
      <c r="AU63" s="79">
        <v>0</v>
      </c>
      <c r="AV63" s="79">
        <v>2228</v>
      </c>
      <c r="AW63" s="79">
        <v>4850.8043415172097</v>
      </c>
      <c r="AX63" s="79">
        <v>15</v>
      </c>
      <c r="AY63" s="79">
        <v>15</v>
      </c>
      <c r="AZ63" s="79">
        <v>3734</v>
      </c>
      <c r="BA63" s="79">
        <v>1</v>
      </c>
      <c r="BB63" s="79">
        <v>0</v>
      </c>
      <c r="BC63" s="79">
        <v>0</v>
      </c>
      <c r="BD63" s="79">
        <v>0</v>
      </c>
      <c r="BE63" s="79">
        <v>0</v>
      </c>
      <c r="BF63" s="79">
        <v>0</v>
      </c>
      <c r="BG63" s="79">
        <v>0</v>
      </c>
      <c r="BH63" s="79">
        <v>0</v>
      </c>
      <c r="BI63" s="79">
        <v>0</v>
      </c>
      <c r="BJ63" s="79">
        <v>0</v>
      </c>
      <c r="BK63" s="79">
        <v>12</v>
      </c>
      <c r="BL63" s="79">
        <v>4454</v>
      </c>
      <c r="BM63" s="79">
        <v>207</v>
      </c>
      <c r="BN63" s="79">
        <v>188</v>
      </c>
      <c r="BO63">
        <v>8519</v>
      </c>
      <c r="BP63">
        <v>2818</v>
      </c>
      <c r="BQ63">
        <v>8320</v>
      </c>
      <c r="BR63">
        <v>2821</v>
      </c>
      <c r="BS63">
        <v>8202</v>
      </c>
      <c r="BT63">
        <v>2744</v>
      </c>
      <c r="BU63">
        <v>8026</v>
      </c>
      <c r="BV63">
        <v>2746</v>
      </c>
      <c r="BW63">
        <v>7837</v>
      </c>
      <c r="BX63">
        <v>2807</v>
      </c>
      <c r="BY63">
        <v>7721</v>
      </c>
      <c r="BZ63">
        <v>2812</v>
      </c>
      <c r="CB63">
        <v>570.72400000000005</v>
      </c>
      <c r="CC63">
        <v>62</v>
      </c>
      <c r="CD63">
        <v>71</v>
      </c>
      <c r="CE63">
        <v>10267.620000000001</v>
      </c>
      <c r="CF63">
        <v>2519.6799999999998</v>
      </c>
      <c r="CG63">
        <v>229.166725800774</v>
      </c>
      <c r="CH63">
        <v>307</v>
      </c>
      <c r="CI63">
        <v>124</v>
      </c>
      <c r="CJ63">
        <v>95.3333333333333</v>
      </c>
      <c r="CK63" s="81">
        <v>1739</v>
      </c>
      <c r="CL63">
        <v>576</v>
      </c>
      <c r="CM63">
        <v>5257.6725885558599</v>
      </c>
      <c r="CN63">
        <v>0.41199999999999998</v>
      </c>
      <c r="CO63">
        <v>29439</v>
      </c>
      <c r="CP63">
        <v>4538</v>
      </c>
      <c r="CQ63">
        <v>989</v>
      </c>
      <c r="CR63">
        <v>747</v>
      </c>
      <c r="CS63">
        <v>807</v>
      </c>
      <c r="CT63">
        <v>454</v>
      </c>
      <c r="CU63">
        <v>476.56737523669898</v>
      </c>
      <c r="CV63">
        <v>294.93552623541598</v>
      </c>
      <c r="CW63">
        <v>115.89841793415199</v>
      </c>
      <c r="CX63">
        <v>1270.3305</v>
      </c>
      <c r="CY63">
        <v>786.17550000000006</v>
      </c>
      <c r="CZ63">
        <v>308.93700000000001</v>
      </c>
      <c r="DA63">
        <v>55646</v>
      </c>
      <c r="DE63">
        <v>203</v>
      </c>
      <c r="DF63" t="s">
        <v>35</v>
      </c>
      <c r="DG63">
        <v>14339</v>
      </c>
      <c r="DH63">
        <v>14372</v>
      </c>
      <c r="DI63">
        <v>14442</v>
      </c>
      <c r="DJ63">
        <v>14432</v>
      </c>
      <c r="DK63">
        <v>14336</v>
      </c>
      <c r="DO63">
        <v>158</v>
      </c>
      <c r="DP63" t="s">
        <v>124</v>
      </c>
      <c r="DQ63">
        <v>10674</v>
      </c>
      <c r="DR63">
        <v>1</v>
      </c>
      <c r="DS63">
        <v>1018</v>
      </c>
      <c r="DV63">
        <v>502</v>
      </c>
      <c r="DW63" t="s">
        <v>68</v>
      </c>
      <c r="DX63">
        <v>9996.2282757720204</v>
      </c>
      <c r="DY63">
        <v>2026</v>
      </c>
      <c r="DZ63">
        <v>1438</v>
      </c>
      <c r="EA63">
        <v>859</v>
      </c>
      <c r="EB63">
        <v>5131</v>
      </c>
      <c r="EC63">
        <v>2657</v>
      </c>
      <c r="ED63">
        <v>1154</v>
      </c>
      <c r="EE63" s="82">
        <v>0.223251464098177</v>
      </c>
      <c r="EF63" s="82">
        <v>0.44529638226801799</v>
      </c>
    </row>
    <row r="64" spans="1:136" x14ac:dyDescent="0.35">
      <c r="A64" s="72">
        <v>1742</v>
      </c>
      <c r="B64" s="72">
        <v>4</v>
      </c>
      <c r="D64" s="72" t="s">
        <v>257</v>
      </c>
      <c r="E64" s="79">
        <v>2868000000</v>
      </c>
      <c r="F64" s="79">
        <v>531650000</v>
      </c>
      <c r="G64" s="79">
        <v>566300000</v>
      </c>
      <c r="H64" s="79">
        <v>38300</v>
      </c>
      <c r="I64" s="79">
        <v>2</v>
      </c>
      <c r="J64" s="79">
        <v>566.29999999999995</v>
      </c>
      <c r="K64" s="79">
        <v>9392</v>
      </c>
      <c r="L64" s="79">
        <v>7080</v>
      </c>
      <c r="M64" s="79">
        <v>2306</v>
      </c>
      <c r="N64" s="79">
        <v>3840</v>
      </c>
      <c r="O64" s="79">
        <v>2275.3000000000002</v>
      </c>
      <c r="P64" s="79">
        <v>392.33333333333297</v>
      </c>
      <c r="Q64" s="79">
        <v>2030.3333333333301</v>
      </c>
      <c r="R64" s="79">
        <v>1365</v>
      </c>
      <c r="S64" s="79">
        <v>0</v>
      </c>
      <c r="T64" s="79">
        <v>716</v>
      </c>
      <c r="U64" s="79">
        <v>14741</v>
      </c>
      <c r="V64" s="79">
        <v>39740</v>
      </c>
      <c r="W64" s="79">
        <v>34910</v>
      </c>
      <c r="X64" s="79">
        <v>493.02</v>
      </c>
      <c r="Y64" s="79">
        <v>3145.6</v>
      </c>
      <c r="Z64" s="79">
        <v>0</v>
      </c>
      <c r="AA64" s="79">
        <v>0</v>
      </c>
      <c r="AB64" s="79">
        <v>0</v>
      </c>
      <c r="AC64" s="79">
        <v>9411</v>
      </c>
      <c r="AD64" s="79">
        <v>9411</v>
      </c>
      <c r="AE64" s="79">
        <v>27</v>
      </c>
      <c r="AF64" s="79">
        <v>0</v>
      </c>
      <c r="AG64" s="79">
        <v>307</v>
      </c>
      <c r="AH64" s="79">
        <v>232</v>
      </c>
      <c r="AI64" s="79">
        <v>76</v>
      </c>
      <c r="AJ64" s="79">
        <v>15647</v>
      </c>
      <c r="AK64" s="79">
        <v>15647</v>
      </c>
      <c r="AL64" s="79">
        <v>8</v>
      </c>
      <c r="AM64" s="79">
        <v>0</v>
      </c>
      <c r="AN64" s="79">
        <v>0</v>
      </c>
      <c r="AO64" s="79">
        <v>0</v>
      </c>
      <c r="AP64" s="79">
        <v>1782</v>
      </c>
      <c r="AQ64" s="79">
        <v>1782</v>
      </c>
      <c r="AR64" s="80">
        <v>4.26606E-4</v>
      </c>
      <c r="AS64" s="80">
        <v>2.66956E-4</v>
      </c>
      <c r="AT64" s="79">
        <v>17086.524000000001</v>
      </c>
      <c r="AU64" s="79">
        <v>0</v>
      </c>
      <c r="AV64" s="79">
        <v>917</v>
      </c>
      <c r="AW64" s="79">
        <v>3721.2439076075402</v>
      </c>
      <c r="AX64" s="79">
        <v>9</v>
      </c>
      <c r="AY64" s="79">
        <v>9</v>
      </c>
      <c r="AZ64" s="79">
        <v>3628</v>
      </c>
      <c r="BA64" s="79">
        <v>1</v>
      </c>
      <c r="BB64" s="79">
        <v>0</v>
      </c>
      <c r="BC64" s="79">
        <v>0</v>
      </c>
      <c r="BD64" s="79">
        <v>0</v>
      </c>
      <c r="BE64" s="79">
        <v>0</v>
      </c>
      <c r="BF64" s="79">
        <v>0</v>
      </c>
      <c r="BG64" s="79">
        <v>0</v>
      </c>
      <c r="BH64" s="79">
        <v>0</v>
      </c>
      <c r="BI64" s="79">
        <v>0</v>
      </c>
      <c r="BJ64" s="79">
        <v>0</v>
      </c>
      <c r="BK64" s="79">
        <v>41</v>
      </c>
      <c r="BL64" s="79">
        <v>3595</v>
      </c>
      <c r="BM64" s="79">
        <v>232</v>
      </c>
      <c r="BN64" s="79">
        <v>76</v>
      </c>
      <c r="BO64">
        <v>9685</v>
      </c>
      <c r="BP64">
        <v>3859</v>
      </c>
      <c r="BQ64">
        <v>9752</v>
      </c>
      <c r="BR64">
        <v>3831</v>
      </c>
      <c r="BS64">
        <v>9810</v>
      </c>
      <c r="BT64">
        <v>3772</v>
      </c>
      <c r="BU64">
        <v>9734</v>
      </c>
      <c r="BV64">
        <v>3840</v>
      </c>
      <c r="BW64">
        <v>9685</v>
      </c>
      <c r="BX64">
        <v>3923</v>
      </c>
      <c r="BY64">
        <v>9630</v>
      </c>
      <c r="BZ64">
        <v>4013</v>
      </c>
      <c r="CB64">
        <v>563.52</v>
      </c>
      <c r="CC64">
        <v>138</v>
      </c>
      <c r="CD64">
        <v>40</v>
      </c>
      <c r="CE64">
        <v>9298.25</v>
      </c>
      <c r="CF64">
        <v>2773.67</v>
      </c>
      <c r="CG64">
        <v>414.381722998729</v>
      </c>
      <c r="CH64">
        <v>275</v>
      </c>
      <c r="CI64">
        <v>122</v>
      </c>
      <c r="CJ64">
        <v>91</v>
      </c>
      <c r="CK64" s="81">
        <v>1638</v>
      </c>
      <c r="CL64">
        <v>528</v>
      </c>
      <c r="CM64">
        <v>5100.5993399339904</v>
      </c>
      <c r="CN64">
        <v>0.55700000000000005</v>
      </c>
      <c r="CO64">
        <v>31220</v>
      </c>
      <c r="CP64">
        <v>3859</v>
      </c>
      <c r="CQ64">
        <v>915</v>
      </c>
      <c r="CR64">
        <v>649</v>
      </c>
      <c r="CS64">
        <v>705</v>
      </c>
      <c r="CT64">
        <v>443</v>
      </c>
      <c r="CU64">
        <v>334.59866428069301</v>
      </c>
      <c r="CV64">
        <v>225.246993033808</v>
      </c>
      <c r="CW64">
        <v>94.2285677765706</v>
      </c>
      <c r="CX64">
        <v>1098.7275</v>
      </c>
      <c r="CY64">
        <v>739.64750000000004</v>
      </c>
      <c r="CZ64">
        <v>309.42</v>
      </c>
      <c r="DA64">
        <v>18888</v>
      </c>
      <c r="DE64">
        <v>209</v>
      </c>
      <c r="DF64" t="s">
        <v>48</v>
      </c>
      <c r="DG64">
        <v>5926</v>
      </c>
      <c r="DH64">
        <v>5791</v>
      </c>
      <c r="DI64">
        <v>5688</v>
      </c>
      <c r="DJ64">
        <v>5597</v>
      </c>
      <c r="DK64">
        <v>5395</v>
      </c>
      <c r="DO64">
        <v>160</v>
      </c>
      <c r="DP64" t="s">
        <v>129</v>
      </c>
      <c r="DQ64">
        <v>25853</v>
      </c>
      <c r="DR64">
        <v>1</v>
      </c>
      <c r="DS64">
        <v>547</v>
      </c>
      <c r="DV64">
        <v>383</v>
      </c>
      <c r="DW64" t="s">
        <v>69</v>
      </c>
      <c r="DX64">
        <v>3649.60061094502</v>
      </c>
      <c r="DY64">
        <v>1008</v>
      </c>
      <c r="DZ64">
        <v>910</v>
      </c>
      <c r="EA64">
        <v>504</v>
      </c>
      <c r="EB64">
        <v>2984</v>
      </c>
      <c r="EC64">
        <v>1950</v>
      </c>
      <c r="ED64">
        <v>733</v>
      </c>
      <c r="EE64" s="82">
        <v>0.127531210158667</v>
      </c>
      <c r="EF64" s="82">
        <v>0.31034094060455802</v>
      </c>
    </row>
    <row r="65" spans="1:136" x14ac:dyDescent="0.35">
      <c r="A65" s="72">
        <v>180</v>
      </c>
      <c r="B65" s="72">
        <v>4</v>
      </c>
      <c r="D65" s="72" t="s">
        <v>283</v>
      </c>
      <c r="E65" s="79">
        <v>1196400000</v>
      </c>
      <c r="F65" s="79">
        <v>306600000</v>
      </c>
      <c r="G65" s="79">
        <v>354200000</v>
      </c>
      <c r="H65" s="79">
        <v>17003</v>
      </c>
      <c r="I65" s="79">
        <v>2</v>
      </c>
      <c r="J65" s="79">
        <v>354.2</v>
      </c>
      <c r="K65" s="79">
        <v>4680</v>
      </c>
      <c r="L65" s="79">
        <v>2589</v>
      </c>
      <c r="M65" s="79">
        <v>815</v>
      </c>
      <c r="N65" s="79">
        <v>1374</v>
      </c>
      <c r="O65" s="79">
        <v>754.7</v>
      </c>
      <c r="P65" s="79">
        <v>142.333333333333</v>
      </c>
      <c r="Q65" s="79">
        <v>634.33333333333303</v>
      </c>
      <c r="R65" s="79">
        <v>165</v>
      </c>
      <c r="S65" s="79">
        <v>0</v>
      </c>
      <c r="T65" s="79">
        <v>256</v>
      </c>
      <c r="U65" s="79">
        <v>5952</v>
      </c>
      <c r="V65" s="79">
        <v>16050</v>
      </c>
      <c r="W65" s="79">
        <v>10370</v>
      </c>
      <c r="X65" s="79">
        <v>0</v>
      </c>
      <c r="Y65" s="79">
        <v>312.8</v>
      </c>
      <c r="Z65" s="79">
        <v>0</v>
      </c>
      <c r="AA65" s="79">
        <v>0</v>
      </c>
      <c r="AB65" s="79">
        <v>0</v>
      </c>
      <c r="AC65" s="79">
        <v>13398</v>
      </c>
      <c r="AD65" s="79">
        <v>13398</v>
      </c>
      <c r="AE65" s="79">
        <v>171</v>
      </c>
      <c r="AF65" s="79">
        <v>0</v>
      </c>
      <c r="AG65" s="79">
        <v>208</v>
      </c>
      <c r="AH65" s="79">
        <v>123</v>
      </c>
      <c r="AI65" s="79">
        <v>85</v>
      </c>
      <c r="AJ65" s="79">
        <v>6193</v>
      </c>
      <c r="AK65" s="79">
        <v>6193</v>
      </c>
      <c r="AL65" s="79">
        <v>0</v>
      </c>
      <c r="AM65" s="79">
        <v>0</v>
      </c>
      <c r="AN65" s="79">
        <v>0</v>
      </c>
      <c r="AO65" s="79">
        <v>0</v>
      </c>
      <c r="AP65" s="79">
        <v>660</v>
      </c>
      <c r="AQ65" s="79">
        <v>0</v>
      </c>
      <c r="AR65" s="80">
        <v>3.6141800000000001E-4</v>
      </c>
      <c r="AS65" s="80">
        <v>4.5343000000000003E-5</v>
      </c>
      <c r="AT65" s="79">
        <v>2198.5149999999999</v>
      </c>
      <c r="AU65" s="79">
        <v>0</v>
      </c>
      <c r="AV65" s="79">
        <v>2578</v>
      </c>
      <c r="AW65" s="79">
        <v>3230.4321615447002</v>
      </c>
      <c r="AX65" s="79">
        <v>5</v>
      </c>
      <c r="AY65" s="79">
        <v>5</v>
      </c>
      <c r="AZ65" s="79">
        <v>1952</v>
      </c>
      <c r="BA65" s="79">
        <v>1</v>
      </c>
      <c r="BB65" s="79">
        <v>0</v>
      </c>
      <c r="BC65" s="79">
        <v>0</v>
      </c>
      <c r="BD65" s="79">
        <v>0</v>
      </c>
      <c r="BE65" s="79">
        <v>0</v>
      </c>
      <c r="BF65" s="79">
        <v>0</v>
      </c>
      <c r="BG65" s="79">
        <v>0</v>
      </c>
      <c r="BH65" s="79">
        <v>0</v>
      </c>
      <c r="BI65" s="79">
        <v>0</v>
      </c>
      <c r="BJ65" s="79">
        <v>0</v>
      </c>
      <c r="BK65" s="79">
        <v>13</v>
      </c>
      <c r="BL65" s="79">
        <v>1408</v>
      </c>
      <c r="BM65" s="79">
        <v>123</v>
      </c>
      <c r="BN65" s="79">
        <v>85</v>
      </c>
      <c r="BO65">
        <v>4863</v>
      </c>
      <c r="BP65">
        <v>403</v>
      </c>
      <c r="BQ65">
        <v>4899</v>
      </c>
      <c r="BR65">
        <v>411</v>
      </c>
      <c r="BS65">
        <v>4844</v>
      </c>
      <c r="BT65">
        <v>424</v>
      </c>
      <c r="BU65">
        <v>4805</v>
      </c>
      <c r="BV65">
        <v>421</v>
      </c>
      <c r="BW65">
        <v>4749</v>
      </c>
      <c r="BX65">
        <v>440</v>
      </c>
      <c r="BY65">
        <v>4746</v>
      </c>
      <c r="BZ65">
        <v>436</v>
      </c>
      <c r="CB65">
        <v>308.88</v>
      </c>
      <c r="CC65">
        <v>229</v>
      </c>
      <c r="CD65">
        <v>32</v>
      </c>
      <c r="CE65">
        <v>3759.36</v>
      </c>
      <c r="CF65">
        <v>1128.96</v>
      </c>
      <c r="CG65">
        <v>113.22645624103301</v>
      </c>
      <c r="CH65">
        <v>89</v>
      </c>
      <c r="CI65">
        <v>45.3333333333333</v>
      </c>
      <c r="CJ65">
        <v>26</v>
      </c>
      <c r="CK65" s="81">
        <v>492</v>
      </c>
      <c r="CL65">
        <v>172</v>
      </c>
      <c r="CM65">
        <v>1103.50949951644</v>
      </c>
      <c r="CN65">
        <v>8.4000000000000005E-2</v>
      </c>
      <c r="CO65">
        <v>14414</v>
      </c>
      <c r="CP65">
        <v>1496</v>
      </c>
      <c r="CQ65">
        <v>278</v>
      </c>
      <c r="CR65">
        <v>209</v>
      </c>
      <c r="CS65">
        <v>257</v>
      </c>
      <c r="CT65">
        <v>156</v>
      </c>
      <c r="CU65">
        <v>106.26487970289</v>
      </c>
      <c r="CV65">
        <v>70.193315033101896</v>
      </c>
      <c r="CW65">
        <v>27.784853867269501</v>
      </c>
      <c r="CX65">
        <v>423.70479999999998</v>
      </c>
      <c r="CY65">
        <v>279.8784</v>
      </c>
      <c r="CZ65">
        <v>110.7852</v>
      </c>
      <c r="DA65">
        <v>312</v>
      </c>
      <c r="DE65">
        <v>213</v>
      </c>
      <c r="DF65" t="s">
        <v>63</v>
      </c>
      <c r="DG65">
        <v>4556</v>
      </c>
      <c r="DH65">
        <v>4529</v>
      </c>
      <c r="DI65">
        <v>4467</v>
      </c>
      <c r="DJ65">
        <v>4379</v>
      </c>
      <c r="DK65">
        <v>4246</v>
      </c>
      <c r="DO65">
        <v>163</v>
      </c>
      <c r="DP65" t="s">
        <v>142</v>
      </c>
      <c r="DQ65">
        <v>15288</v>
      </c>
      <c r="DR65">
        <v>1</v>
      </c>
      <c r="DS65">
        <v>807</v>
      </c>
      <c r="DV65">
        <v>109</v>
      </c>
      <c r="DW65" t="s">
        <v>70</v>
      </c>
      <c r="DX65">
        <v>5086.2994387155704</v>
      </c>
      <c r="DY65">
        <v>898</v>
      </c>
      <c r="DZ65">
        <v>886</v>
      </c>
      <c r="EA65">
        <v>492</v>
      </c>
      <c r="EB65">
        <v>2924</v>
      </c>
      <c r="EC65">
        <v>1783</v>
      </c>
      <c r="ED65">
        <v>664</v>
      </c>
      <c r="EE65" s="82">
        <v>0.194601763030152</v>
      </c>
      <c r="EF65" s="82">
        <v>0.50750240615976905</v>
      </c>
    </row>
    <row r="66" spans="1:136" x14ac:dyDescent="0.35">
      <c r="A66" s="72">
        <v>1708</v>
      </c>
      <c r="B66" s="72">
        <v>4</v>
      </c>
      <c r="D66" s="72" t="s">
        <v>286</v>
      </c>
      <c r="E66" s="79">
        <v>3410000000</v>
      </c>
      <c r="F66" s="79">
        <v>591150000</v>
      </c>
      <c r="G66" s="79">
        <v>656600000</v>
      </c>
      <c r="H66" s="79">
        <v>43940</v>
      </c>
      <c r="I66" s="79">
        <v>8</v>
      </c>
      <c r="J66" s="79">
        <v>656.6</v>
      </c>
      <c r="K66" s="79">
        <v>8689</v>
      </c>
      <c r="L66" s="79">
        <v>9648</v>
      </c>
      <c r="M66" s="79">
        <v>3152</v>
      </c>
      <c r="N66" s="79">
        <v>6308</v>
      </c>
      <c r="O66" s="79">
        <v>4227.3999999999996</v>
      </c>
      <c r="P66" s="79">
        <v>818.33333333333303</v>
      </c>
      <c r="Q66" s="79">
        <v>3053.3333333333298</v>
      </c>
      <c r="R66" s="79">
        <v>970</v>
      </c>
      <c r="S66" s="79">
        <v>0</v>
      </c>
      <c r="T66" s="79">
        <v>1155</v>
      </c>
      <c r="U66" s="79">
        <v>19730</v>
      </c>
      <c r="V66" s="79">
        <v>42170</v>
      </c>
      <c r="W66" s="79">
        <v>28400</v>
      </c>
      <c r="X66" s="79">
        <v>548.46</v>
      </c>
      <c r="Y66" s="79">
        <v>1510.4</v>
      </c>
      <c r="Z66" s="79">
        <v>0</v>
      </c>
      <c r="AA66" s="79">
        <v>0</v>
      </c>
      <c r="AB66" s="79">
        <v>0</v>
      </c>
      <c r="AC66" s="79">
        <v>28830</v>
      </c>
      <c r="AD66" s="79">
        <v>28830</v>
      </c>
      <c r="AE66" s="79">
        <v>3329</v>
      </c>
      <c r="AF66" s="79">
        <v>0</v>
      </c>
      <c r="AG66" s="79">
        <v>426</v>
      </c>
      <c r="AH66" s="79">
        <v>258</v>
      </c>
      <c r="AI66" s="79">
        <v>168</v>
      </c>
      <c r="AJ66" s="79">
        <v>20806</v>
      </c>
      <c r="AK66" s="79">
        <v>20806</v>
      </c>
      <c r="AL66" s="79">
        <v>27</v>
      </c>
      <c r="AM66" s="79">
        <v>0</v>
      </c>
      <c r="AN66" s="79">
        <v>0</v>
      </c>
      <c r="AO66" s="79">
        <v>5750</v>
      </c>
      <c r="AP66" s="79">
        <v>1650</v>
      </c>
      <c r="AQ66" s="79">
        <v>1650</v>
      </c>
      <c r="AR66" s="80">
        <v>1.4218099999999999E-3</v>
      </c>
      <c r="AS66" s="80">
        <v>8.3077599999999998E-4</v>
      </c>
      <c r="AT66" s="79">
        <v>12317.152</v>
      </c>
      <c r="AU66" s="79">
        <v>0</v>
      </c>
      <c r="AV66" s="79">
        <v>15667</v>
      </c>
      <c r="AW66" s="79">
        <v>21447.376473149001</v>
      </c>
      <c r="AX66" s="79">
        <v>34</v>
      </c>
      <c r="AY66" s="79">
        <v>34</v>
      </c>
      <c r="AZ66" s="79">
        <v>5029</v>
      </c>
      <c r="BA66" s="79">
        <v>1</v>
      </c>
      <c r="BB66" s="79">
        <v>0</v>
      </c>
      <c r="BC66" s="79">
        <v>0</v>
      </c>
      <c r="BD66" s="79">
        <v>0</v>
      </c>
      <c r="BE66" s="79">
        <v>0</v>
      </c>
      <c r="BF66" s="79">
        <v>0</v>
      </c>
      <c r="BG66" s="79">
        <v>0</v>
      </c>
      <c r="BH66" s="79">
        <v>0</v>
      </c>
      <c r="BI66" s="79">
        <v>0</v>
      </c>
      <c r="BJ66" s="79">
        <v>0</v>
      </c>
      <c r="BK66" s="79">
        <v>10</v>
      </c>
      <c r="BL66" s="79">
        <v>6275</v>
      </c>
      <c r="BM66" s="79">
        <v>258</v>
      </c>
      <c r="BN66" s="79">
        <v>168</v>
      </c>
      <c r="BO66">
        <v>9644</v>
      </c>
      <c r="BP66">
        <v>1773</v>
      </c>
      <c r="BQ66">
        <v>9504</v>
      </c>
      <c r="BR66">
        <v>1790</v>
      </c>
      <c r="BS66">
        <v>9420</v>
      </c>
      <c r="BT66">
        <v>1830</v>
      </c>
      <c r="BU66">
        <v>9336</v>
      </c>
      <c r="BV66">
        <v>1912</v>
      </c>
      <c r="BW66">
        <v>9252</v>
      </c>
      <c r="BX66">
        <v>1979</v>
      </c>
      <c r="BY66">
        <v>9176</v>
      </c>
      <c r="BZ66">
        <v>2060</v>
      </c>
      <c r="CB66">
        <v>990.54600000000005</v>
      </c>
      <c r="CC66">
        <v>137</v>
      </c>
      <c r="CD66">
        <v>57</v>
      </c>
      <c r="CE66">
        <v>11742.5</v>
      </c>
      <c r="CF66">
        <v>2711.49</v>
      </c>
      <c r="CG66">
        <v>338.897805491285</v>
      </c>
      <c r="CH66">
        <v>460</v>
      </c>
      <c r="CI66">
        <v>214.333333333333</v>
      </c>
      <c r="CJ66">
        <v>187.666666666667</v>
      </c>
      <c r="CK66" s="81">
        <v>2235</v>
      </c>
      <c r="CL66">
        <v>656</v>
      </c>
      <c r="CM66">
        <v>6910.5037177209097</v>
      </c>
      <c r="CN66">
        <v>1.6339999999999999</v>
      </c>
      <c r="CO66">
        <v>34292</v>
      </c>
      <c r="CP66">
        <v>5408</v>
      </c>
      <c r="CQ66">
        <v>1088</v>
      </c>
      <c r="CR66">
        <v>1093</v>
      </c>
      <c r="CS66">
        <v>1062</v>
      </c>
      <c r="CT66">
        <v>571</v>
      </c>
      <c r="CU66">
        <v>682.48758050562299</v>
      </c>
      <c r="CV66">
        <v>447.406267422859</v>
      </c>
      <c r="CW66">
        <v>161.935874267038</v>
      </c>
      <c r="CX66">
        <v>1764.8186000000001</v>
      </c>
      <c r="CY66">
        <v>1156.9308000000001</v>
      </c>
      <c r="CZ66">
        <v>418.74380000000002</v>
      </c>
      <c r="DA66">
        <v>15876</v>
      </c>
      <c r="DE66">
        <v>214</v>
      </c>
      <c r="DF66" t="s">
        <v>67</v>
      </c>
      <c r="DG66">
        <v>5824</v>
      </c>
      <c r="DH66">
        <v>5847</v>
      </c>
      <c r="DI66">
        <v>5823</v>
      </c>
      <c r="DJ66">
        <v>5746</v>
      </c>
      <c r="DK66">
        <v>5675</v>
      </c>
      <c r="DO66">
        <v>164</v>
      </c>
      <c r="DP66" t="s">
        <v>146</v>
      </c>
      <c r="DQ66">
        <v>38496</v>
      </c>
      <c r="DR66">
        <v>1</v>
      </c>
      <c r="DS66">
        <v>1818</v>
      </c>
      <c r="DV66">
        <v>1706</v>
      </c>
      <c r="DW66" t="s">
        <v>71</v>
      </c>
      <c r="DX66">
        <v>2472.5232531500601</v>
      </c>
      <c r="DY66">
        <v>494</v>
      </c>
      <c r="DZ66">
        <v>435</v>
      </c>
      <c r="EA66">
        <v>209</v>
      </c>
      <c r="EB66">
        <v>1746</v>
      </c>
      <c r="EC66">
        <v>995</v>
      </c>
      <c r="ED66">
        <v>305</v>
      </c>
      <c r="EE66" s="82">
        <v>0.176537663924623</v>
      </c>
      <c r="EF66" s="82">
        <v>0.43372316852071502</v>
      </c>
    </row>
    <row r="67" spans="1:136" x14ac:dyDescent="0.35">
      <c r="A67" s="72">
        <v>183</v>
      </c>
      <c r="B67" s="72">
        <v>4</v>
      </c>
      <c r="D67" s="72" t="s">
        <v>297</v>
      </c>
      <c r="E67" s="79">
        <v>1660800000</v>
      </c>
      <c r="F67" s="79">
        <v>346500000</v>
      </c>
      <c r="G67" s="79">
        <v>435400000</v>
      </c>
      <c r="H67" s="79">
        <v>21276</v>
      </c>
      <c r="I67" s="79">
        <v>4</v>
      </c>
      <c r="J67" s="79">
        <v>435.4</v>
      </c>
      <c r="K67" s="79">
        <v>4565</v>
      </c>
      <c r="L67" s="79">
        <v>4025</v>
      </c>
      <c r="M67" s="79">
        <v>1276</v>
      </c>
      <c r="N67" s="79">
        <v>2071</v>
      </c>
      <c r="O67" s="79">
        <v>1206.5999999999999</v>
      </c>
      <c r="P67" s="79">
        <v>150.666666666667</v>
      </c>
      <c r="Q67" s="79">
        <v>1045.6666666666699</v>
      </c>
      <c r="R67" s="79">
        <v>140</v>
      </c>
      <c r="S67" s="79">
        <v>0</v>
      </c>
      <c r="T67" s="79">
        <v>387</v>
      </c>
      <c r="U67" s="79">
        <v>8316</v>
      </c>
      <c r="V67" s="79">
        <v>15460</v>
      </c>
      <c r="W67" s="79">
        <v>3060</v>
      </c>
      <c r="X67" s="79">
        <v>0</v>
      </c>
      <c r="Y67" s="79">
        <v>545.6</v>
      </c>
      <c r="Z67" s="79">
        <v>0</v>
      </c>
      <c r="AA67" s="79">
        <v>0</v>
      </c>
      <c r="AB67" s="79">
        <v>0</v>
      </c>
      <c r="AC67" s="79">
        <v>14702</v>
      </c>
      <c r="AD67" s="79">
        <v>14702</v>
      </c>
      <c r="AE67" s="79">
        <v>42</v>
      </c>
      <c r="AF67" s="79">
        <v>0</v>
      </c>
      <c r="AG67" s="79">
        <v>292</v>
      </c>
      <c r="AH67" s="79">
        <v>118</v>
      </c>
      <c r="AI67" s="79">
        <v>174</v>
      </c>
      <c r="AJ67" s="79">
        <v>8644</v>
      </c>
      <c r="AK67" s="79">
        <v>8644</v>
      </c>
      <c r="AL67" s="79">
        <v>0</v>
      </c>
      <c r="AM67" s="79">
        <v>0</v>
      </c>
      <c r="AN67" s="79">
        <v>0</v>
      </c>
      <c r="AO67" s="79">
        <v>0</v>
      </c>
      <c r="AP67" s="79">
        <v>0</v>
      </c>
      <c r="AQ67" s="79">
        <v>0</v>
      </c>
      <c r="AR67" s="80">
        <v>1.32812E-4</v>
      </c>
      <c r="AS67" s="80">
        <v>6.4517999999999995E-5</v>
      </c>
      <c r="AT67" s="79">
        <v>2437.6080000000002</v>
      </c>
      <c r="AU67" s="79">
        <v>0</v>
      </c>
      <c r="AV67" s="79">
        <v>1093</v>
      </c>
      <c r="AW67" s="79">
        <v>1577.2292457949</v>
      </c>
      <c r="AX67" s="79">
        <v>11</v>
      </c>
      <c r="AY67" s="79">
        <v>11</v>
      </c>
      <c r="AZ67" s="79">
        <v>2512</v>
      </c>
      <c r="BA67" s="79">
        <v>1</v>
      </c>
      <c r="BB67" s="79">
        <v>0</v>
      </c>
      <c r="BC67" s="79">
        <v>0</v>
      </c>
      <c r="BD67" s="79">
        <v>0</v>
      </c>
      <c r="BE67" s="79">
        <v>0</v>
      </c>
      <c r="BF67" s="79">
        <v>0</v>
      </c>
      <c r="BG67" s="79">
        <v>0</v>
      </c>
      <c r="BH67" s="79">
        <v>0</v>
      </c>
      <c r="BI67" s="79">
        <v>0</v>
      </c>
      <c r="BJ67" s="79">
        <v>0</v>
      </c>
      <c r="BK67" s="79">
        <v>12</v>
      </c>
      <c r="BL67" s="79">
        <v>2018</v>
      </c>
      <c r="BM67" s="79">
        <v>118</v>
      </c>
      <c r="BN67" s="79">
        <v>174</v>
      </c>
      <c r="BO67">
        <v>5544</v>
      </c>
      <c r="BP67">
        <v>788</v>
      </c>
      <c r="BQ67">
        <v>5465</v>
      </c>
      <c r="BR67">
        <v>754</v>
      </c>
      <c r="BS67">
        <v>5372</v>
      </c>
      <c r="BT67">
        <v>759</v>
      </c>
      <c r="BU67">
        <v>5251</v>
      </c>
      <c r="BV67">
        <v>733</v>
      </c>
      <c r="BW67">
        <v>5170</v>
      </c>
      <c r="BX67">
        <v>757</v>
      </c>
      <c r="BY67">
        <v>5098</v>
      </c>
      <c r="BZ67">
        <v>792</v>
      </c>
      <c r="CB67">
        <v>246.51</v>
      </c>
      <c r="CC67">
        <v>36</v>
      </c>
      <c r="CD67">
        <v>21</v>
      </c>
      <c r="CE67">
        <v>5578.65</v>
      </c>
      <c r="CF67">
        <v>1662.21</v>
      </c>
      <c r="CG67">
        <v>62.502290748898702</v>
      </c>
      <c r="CH67">
        <v>166</v>
      </c>
      <c r="CI67">
        <v>38.3333333333333</v>
      </c>
      <c r="CJ67">
        <v>22.6666666666667</v>
      </c>
      <c r="CK67" s="81">
        <v>895</v>
      </c>
      <c r="CL67">
        <v>222</v>
      </c>
      <c r="CM67">
        <v>2751.7765909090899</v>
      </c>
      <c r="CN67">
        <v>0.109</v>
      </c>
      <c r="CO67">
        <v>17251</v>
      </c>
      <c r="CP67">
        <v>2279</v>
      </c>
      <c r="CQ67">
        <v>470</v>
      </c>
      <c r="CR67">
        <v>376</v>
      </c>
      <c r="CS67">
        <v>427</v>
      </c>
      <c r="CT67">
        <v>255</v>
      </c>
      <c r="CU67">
        <v>193.05041647385499</v>
      </c>
      <c r="CV67">
        <v>123.116751503933</v>
      </c>
      <c r="CW67">
        <v>48.716265617769601</v>
      </c>
      <c r="CX67">
        <v>615.84990000000005</v>
      </c>
      <c r="CY67">
        <v>392.75459999999998</v>
      </c>
      <c r="CZ67">
        <v>155.40969999999999</v>
      </c>
      <c r="DA67">
        <v>7938</v>
      </c>
      <c r="DE67">
        <v>216</v>
      </c>
      <c r="DF67" t="s">
        <v>73</v>
      </c>
      <c r="DG67">
        <v>6805</v>
      </c>
      <c r="DH67">
        <v>6710</v>
      </c>
      <c r="DI67">
        <v>6668</v>
      </c>
      <c r="DJ67">
        <v>6556</v>
      </c>
      <c r="DK67">
        <v>6425</v>
      </c>
      <c r="DO67">
        <v>1735</v>
      </c>
      <c r="DP67" t="s">
        <v>154</v>
      </c>
      <c r="DQ67">
        <v>15609</v>
      </c>
      <c r="DR67">
        <v>1</v>
      </c>
      <c r="DS67">
        <v>604</v>
      </c>
      <c r="DV67">
        <v>611</v>
      </c>
      <c r="DW67" t="s">
        <v>813</v>
      </c>
      <c r="DX67">
        <v>1314.54694921447</v>
      </c>
      <c r="DY67">
        <v>345</v>
      </c>
      <c r="DZ67">
        <v>261</v>
      </c>
      <c r="EA67">
        <v>132</v>
      </c>
      <c r="EB67">
        <v>1106</v>
      </c>
      <c r="EC67">
        <v>602</v>
      </c>
      <c r="ED67">
        <v>184</v>
      </c>
      <c r="EE67" s="82">
        <v>0.13270436346512099</v>
      </c>
      <c r="EF67" s="82">
        <v>0.34682182854538701</v>
      </c>
    </row>
    <row r="68" spans="1:136" x14ac:dyDescent="0.35">
      <c r="A68" s="72">
        <v>1700</v>
      </c>
      <c r="B68" s="72">
        <v>4</v>
      </c>
      <c r="D68" s="72" t="s">
        <v>298</v>
      </c>
      <c r="E68" s="79">
        <v>2283600000</v>
      </c>
      <c r="F68" s="79">
        <v>350350000</v>
      </c>
      <c r="G68" s="79">
        <v>421750000</v>
      </c>
      <c r="H68" s="79">
        <v>33792</v>
      </c>
      <c r="I68" s="79">
        <v>4</v>
      </c>
      <c r="J68" s="79">
        <v>421.75</v>
      </c>
      <c r="K68" s="79">
        <v>7651</v>
      </c>
      <c r="L68" s="79">
        <v>6299</v>
      </c>
      <c r="M68" s="79">
        <v>1916</v>
      </c>
      <c r="N68" s="79">
        <v>4055</v>
      </c>
      <c r="O68" s="79">
        <v>2667</v>
      </c>
      <c r="P68" s="79">
        <v>538</v>
      </c>
      <c r="Q68" s="79">
        <v>2685</v>
      </c>
      <c r="R68" s="79">
        <v>330</v>
      </c>
      <c r="S68" s="79">
        <v>0</v>
      </c>
      <c r="T68" s="79">
        <v>817</v>
      </c>
      <c r="U68" s="79">
        <v>13512</v>
      </c>
      <c r="V68" s="79">
        <v>32210</v>
      </c>
      <c r="W68" s="79">
        <v>14650</v>
      </c>
      <c r="X68" s="79">
        <v>172.26</v>
      </c>
      <c r="Y68" s="79">
        <v>980.8</v>
      </c>
      <c r="Z68" s="79">
        <v>0</v>
      </c>
      <c r="AA68" s="79">
        <v>0</v>
      </c>
      <c r="AB68" s="79">
        <v>211.8</v>
      </c>
      <c r="AC68" s="79">
        <v>10613</v>
      </c>
      <c r="AD68" s="79">
        <v>10613</v>
      </c>
      <c r="AE68" s="79">
        <v>200</v>
      </c>
      <c r="AF68" s="79">
        <v>0</v>
      </c>
      <c r="AG68" s="79">
        <v>310</v>
      </c>
      <c r="AH68" s="79">
        <v>221</v>
      </c>
      <c r="AI68" s="79">
        <v>88</v>
      </c>
      <c r="AJ68" s="79">
        <v>13880</v>
      </c>
      <c r="AK68" s="79">
        <v>13880</v>
      </c>
      <c r="AL68" s="79">
        <v>0</v>
      </c>
      <c r="AM68" s="79">
        <v>0</v>
      </c>
      <c r="AN68" s="79">
        <v>0</v>
      </c>
      <c r="AO68" s="79">
        <v>0</v>
      </c>
      <c r="AP68" s="79">
        <v>1038</v>
      </c>
      <c r="AQ68" s="79">
        <v>0</v>
      </c>
      <c r="AR68" s="80">
        <v>5.0626600000000001E-4</v>
      </c>
      <c r="AS68" s="80">
        <v>2.1592700000000001E-4</v>
      </c>
      <c r="AT68" s="79">
        <v>8203.08</v>
      </c>
      <c r="AU68" s="79">
        <v>0</v>
      </c>
      <c r="AV68" s="79">
        <v>2726</v>
      </c>
      <c r="AW68" s="79">
        <v>8519.0966429298096</v>
      </c>
      <c r="AX68" s="79">
        <v>9</v>
      </c>
      <c r="AY68" s="79">
        <v>9</v>
      </c>
      <c r="AZ68" s="79">
        <v>2913</v>
      </c>
      <c r="BA68" s="79">
        <v>1</v>
      </c>
      <c r="BB68" s="79">
        <v>0</v>
      </c>
      <c r="BC68" s="79">
        <v>0</v>
      </c>
      <c r="BD68" s="79">
        <v>0</v>
      </c>
      <c r="BE68" s="79">
        <v>0</v>
      </c>
      <c r="BF68" s="79">
        <v>0</v>
      </c>
      <c r="BG68" s="79">
        <v>0</v>
      </c>
      <c r="BH68" s="79">
        <v>0</v>
      </c>
      <c r="BI68" s="79">
        <v>0</v>
      </c>
      <c r="BJ68" s="79">
        <v>0</v>
      </c>
      <c r="BK68" s="79">
        <v>55</v>
      </c>
      <c r="BL68" s="79">
        <v>3377</v>
      </c>
      <c r="BM68" s="79">
        <v>221</v>
      </c>
      <c r="BN68" s="79">
        <v>88</v>
      </c>
      <c r="BO68">
        <v>8179</v>
      </c>
      <c r="BP68">
        <v>922</v>
      </c>
      <c r="BQ68">
        <v>8152</v>
      </c>
      <c r="BR68">
        <v>872</v>
      </c>
      <c r="BS68">
        <v>8162</v>
      </c>
      <c r="BT68">
        <v>871</v>
      </c>
      <c r="BU68">
        <v>8193</v>
      </c>
      <c r="BV68">
        <v>899</v>
      </c>
      <c r="BW68">
        <v>8159</v>
      </c>
      <c r="BX68">
        <v>1007</v>
      </c>
      <c r="BY68">
        <v>8142</v>
      </c>
      <c r="BZ68">
        <v>1100</v>
      </c>
      <c r="CB68">
        <v>719.19399999999996</v>
      </c>
      <c r="CC68">
        <v>313</v>
      </c>
      <c r="CD68">
        <v>67</v>
      </c>
      <c r="CE68">
        <v>7622.36</v>
      </c>
      <c r="CF68">
        <v>2174.04</v>
      </c>
      <c r="CG68">
        <v>241.79852194775199</v>
      </c>
      <c r="CH68">
        <v>318</v>
      </c>
      <c r="CI68">
        <v>170.666666666667</v>
      </c>
      <c r="CJ68">
        <v>154.333333333333</v>
      </c>
      <c r="CK68" s="81">
        <v>2147</v>
      </c>
      <c r="CL68">
        <v>588</v>
      </c>
      <c r="CM68">
        <v>5567.5829391951802</v>
      </c>
      <c r="CN68">
        <v>1.0780000000000001</v>
      </c>
      <c r="CO68">
        <v>27493</v>
      </c>
      <c r="CP68">
        <v>3749</v>
      </c>
      <c r="CQ68">
        <v>634</v>
      </c>
      <c r="CR68">
        <v>668</v>
      </c>
      <c r="CS68">
        <v>615</v>
      </c>
      <c r="CT68">
        <v>317</v>
      </c>
      <c r="CU68">
        <v>440.40086455331402</v>
      </c>
      <c r="CV68">
        <v>253.24971181556199</v>
      </c>
      <c r="CW68">
        <v>82.0467579250721</v>
      </c>
      <c r="CX68">
        <v>1279.6235999999999</v>
      </c>
      <c r="CY68">
        <v>735.83939999999996</v>
      </c>
      <c r="CZ68">
        <v>238.39410000000001</v>
      </c>
      <c r="DA68">
        <v>3969</v>
      </c>
      <c r="DE68">
        <v>221</v>
      </c>
      <c r="DF68" t="s">
        <v>87</v>
      </c>
      <c r="DG68">
        <v>2518</v>
      </c>
      <c r="DH68">
        <v>2484</v>
      </c>
      <c r="DI68">
        <v>2443</v>
      </c>
      <c r="DJ68">
        <v>2410</v>
      </c>
      <c r="DK68">
        <v>2350</v>
      </c>
      <c r="DO68">
        <v>166</v>
      </c>
      <c r="DP68" t="s">
        <v>164</v>
      </c>
      <c r="DQ68">
        <v>21996</v>
      </c>
      <c r="DR68">
        <v>1.02</v>
      </c>
      <c r="DS68">
        <v>1463</v>
      </c>
      <c r="DV68">
        <v>1684</v>
      </c>
      <c r="DW68" t="s">
        <v>72</v>
      </c>
      <c r="DX68">
        <v>3275.66757749929</v>
      </c>
      <c r="DY68">
        <v>554</v>
      </c>
      <c r="DZ68">
        <v>537</v>
      </c>
      <c r="EA68">
        <v>251</v>
      </c>
      <c r="EB68">
        <v>1862</v>
      </c>
      <c r="EC68">
        <v>1117</v>
      </c>
      <c r="ED68">
        <v>347</v>
      </c>
      <c r="EE68" s="82">
        <v>0.197815035684998</v>
      </c>
      <c r="EF68" s="82">
        <v>0.48592072440140599</v>
      </c>
    </row>
    <row r="69" spans="1:136" x14ac:dyDescent="0.35">
      <c r="A69" s="72">
        <v>189</v>
      </c>
      <c r="B69" s="72">
        <v>4</v>
      </c>
      <c r="D69" s="72" t="s">
        <v>343</v>
      </c>
      <c r="E69" s="79">
        <v>2018000000</v>
      </c>
      <c r="F69" s="79">
        <v>263900000</v>
      </c>
      <c r="G69" s="79">
        <v>296100000</v>
      </c>
      <c r="H69" s="79">
        <v>24351</v>
      </c>
      <c r="I69" s="79">
        <v>2</v>
      </c>
      <c r="J69" s="79">
        <v>296.10000000000002</v>
      </c>
      <c r="K69" s="79">
        <v>5268</v>
      </c>
      <c r="L69" s="79">
        <v>5082</v>
      </c>
      <c r="M69" s="79">
        <v>1627</v>
      </c>
      <c r="N69" s="79">
        <v>2385</v>
      </c>
      <c r="O69" s="79">
        <v>1362.4</v>
      </c>
      <c r="P69" s="79">
        <v>217</v>
      </c>
      <c r="Q69" s="79">
        <v>1158</v>
      </c>
      <c r="R69" s="79">
        <v>340</v>
      </c>
      <c r="S69" s="79">
        <v>0</v>
      </c>
      <c r="T69" s="79">
        <v>509</v>
      </c>
      <c r="U69" s="79">
        <v>9668</v>
      </c>
      <c r="V69" s="79">
        <v>21420</v>
      </c>
      <c r="W69" s="79">
        <v>10590</v>
      </c>
      <c r="X69" s="79">
        <v>0</v>
      </c>
      <c r="Y69" s="79">
        <v>546.4</v>
      </c>
      <c r="Z69" s="79">
        <v>0</v>
      </c>
      <c r="AA69" s="79">
        <v>0</v>
      </c>
      <c r="AB69" s="79">
        <v>648.9</v>
      </c>
      <c r="AC69" s="79">
        <v>9459</v>
      </c>
      <c r="AD69" s="79">
        <v>9459</v>
      </c>
      <c r="AE69" s="79">
        <v>79</v>
      </c>
      <c r="AF69" s="79">
        <v>0</v>
      </c>
      <c r="AG69" s="79">
        <v>225</v>
      </c>
      <c r="AH69" s="79">
        <v>134</v>
      </c>
      <c r="AI69" s="79">
        <v>92</v>
      </c>
      <c r="AJ69" s="79">
        <v>10226</v>
      </c>
      <c r="AK69" s="79">
        <v>10226</v>
      </c>
      <c r="AL69" s="79">
        <v>0</v>
      </c>
      <c r="AM69" s="79">
        <v>0</v>
      </c>
      <c r="AN69" s="79">
        <v>0</v>
      </c>
      <c r="AO69" s="79">
        <v>0</v>
      </c>
      <c r="AP69" s="79">
        <v>0</v>
      </c>
      <c r="AQ69" s="79">
        <v>0</v>
      </c>
      <c r="AR69" s="80">
        <v>2.53959E-4</v>
      </c>
      <c r="AS69" s="80">
        <v>1.17432E-4</v>
      </c>
      <c r="AT69" s="79">
        <v>7158.2</v>
      </c>
      <c r="AU69" s="79">
        <v>0</v>
      </c>
      <c r="AV69" s="79">
        <v>1523</v>
      </c>
      <c r="AW69" s="79">
        <v>3888.2966030614398</v>
      </c>
      <c r="AX69" s="79">
        <v>9</v>
      </c>
      <c r="AY69" s="79">
        <v>9</v>
      </c>
      <c r="AZ69" s="79">
        <v>2578</v>
      </c>
      <c r="BA69" s="79">
        <v>1</v>
      </c>
      <c r="BB69" s="79">
        <v>0</v>
      </c>
      <c r="BC69" s="79">
        <v>0</v>
      </c>
      <c r="BD69" s="79">
        <v>0</v>
      </c>
      <c r="BE69" s="79">
        <v>0</v>
      </c>
      <c r="BF69" s="79">
        <v>0</v>
      </c>
      <c r="BG69" s="79">
        <v>0</v>
      </c>
      <c r="BH69" s="79">
        <v>0</v>
      </c>
      <c r="BI69" s="79">
        <v>0</v>
      </c>
      <c r="BJ69" s="79">
        <v>0</v>
      </c>
      <c r="BK69" s="79">
        <v>27</v>
      </c>
      <c r="BL69" s="79">
        <v>2341</v>
      </c>
      <c r="BM69" s="79">
        <v>134</v>
      </c>
      <c r="BN69" s="79">
        <v>92</v>
      </c>
      <c r="BO69">
        <v>5542</v>
      </c>
      <c r="BP69">
        <v>31</v>
      </c>
      <c r="BQ69">
        <v>5493</v>
      </c>
      <c r="BR69">
        <v>92</v>
      </c>
      <c r="BS69">
        <v>5476</v>
      </c>
      <c r="BT69">
        <v>142</v>
      </c>
      <c r="BU69">
        <v>5421</v>
      </c>
      <c r="BV69">
        <v>208</v>
      </c>
      <c r="BW69">
        <v>5354</v>
      </c>
      <c r="BX69">
        <v>258</v>
      </c>
      <c r="BY69">
        <v>5377</v>
      </c>
      <c r="BZ69">
        <v>350</v>
      </c>
      <c r="CB69">
        <v>363.49200000000002</v>
      </c>
      <c r="CC69">
        <v>52</v>
      </c>
      <c r="CD69">
        <v>13</v>
      </c>
      <c r="CE69">
        <v>6863.04</v>
      </c>
      <c r="CF69">
        <v>1864.56</v>
      </c>
      <c r="CG69">
        <v>108.872</v>
      </c>
      <c r="CH69">
        <v>189</v>
      </c>
      <c r="CI69">
        <v>67</v>
      </c>
      <c r="CJ69">
        <v>49</v>
      </c>
      <c r="CK69" s="81">
        <v>941</v>
      </c>
      <c r="CL69">
        <v>213</v>
      </c>
      <c r="CM69">
        <v>3269.3291482965901</v>
      </c>
      <c r="CN69">
        <v>0.11899999999999999</v>
      </c>
      <c r="CO69">
        <v>19269</v>
      </c>
      <c r="CP69">
        <v>2909</v>
      </c>
      <c r="CQ69">
        <v>546</v>
      </c>
      <c r="CR69">
        <v>438</v>
      </c>
      <c r="CS69">
        <v>477</v>
      </c>
      <c r="CT69">
        <v>261</v>
      </c>
      <c r="CU69">
        <v>225.15705065519299</v>
      </c>
      <c r="CV69">
        <v>145.88578134167801</v>
      </c>
      <c r="CW69">
        <v>50.493800117348002</v>
      </c>
      <c r="CX69">
        <v>695.09699999999998</v>
      </c>
      <c r="CY69">
        <v>450.37349999999998</v>
      </c>
      <c r="CZ69">
        <v>155.8827</v>
      </c>
      <c r="DA69">
        <v>0</v>
      </c>
      <c r="DE69">
        <v>222</v>
      </c>
      <c r="DF69" t="s">
        <v>88</v>
      </c>
      <c r="DG69">
        <v>12231</v>
      </c>
      <c r="DH69">
        <v>12067</v>
      </c>
      <c r="DI69">
        <v>11930</v>
      </c>
      <c r="DJ69">
        <v>11892</v>
      </c>
      <c r="DK69">
        <v>11796</v>
      </c>
      <c r="DO69">
        <v>168</v>
      </c>
      <c r="DP69" t="s">
        <v>191</v>
      </c>
      <c r="DQ69">
        <v>10091</v>
      </c>
      <c r="DR69">
        <v>1</v>
      </c>
      <c r="DS69">
        <v>741</v>
      </c>
      <c r="DV69">
        <v>216</v>
      </c>
      <c r="DW69" t="s">
        <v>73</v>
      </c>
      <c r="DX69">
        <v>3324.27624402115</v>
      </c>
      <c r="DY69">
        <v>706</v>
      </c>
      <c r="DZ69">
        <v>515</v>
      </c>
      <c r="EA69">
        <v>265</v>
      </c>
      <c r="EB69">
        <v>1933</v>
      </c>
      <c r="EC69">
        <v>1040</v>
      </c>
      <c r="ED69">
        <v>361</v>
      </c>
      <c r="EE69" s="82">
        <v>0.16748280045229699</v>
      </c>
      <c r="EF69" s="82">
        <v>0.43372316852071502</v>
      </c>
    </row>
    <row r="70" spans="1:136" x14ac:dyDescent="0.35">
      <c r="A70" s="72">
        <v>1896</v>
      </c>
      <c r="B70" s="72">
        <v>4</v>
      </c>
      <c r="D70" s="72" t="s">
        <v>363</v>
      </c>
      <c r="E70" s="79">
        <v>1452800000</v>
      </c>
      <c r="F70" s="79">
        <v>471450000</v>
      </c>
      <c r="G70" s="79">
        <v>508200000</v>
      </c>
      <c r="H70" s="79">
        <v>22503</v>
      </c>
      <c r="I70" s="79">
        <v>3</v>
      </c>
      <c r="J70" s="79">
        <v>508.2</v>
      </c>
      <c r="K70" s="79">
        <v>5625</v>
      </c>
      <c r="L70" s="79">
        <v>3816</v>
      </c>
      <c r="M70" s="79">
        <v>1098</v>
      </c>
      <c r="N70" s="79">
        <v>2268</v>
      </c>
      <c r="O70" s="79">
        <v>1375.1</v>
      </c>
      <c r="P70" s="79">
        <v>222</v>
      </c>
      <c r="Q70" s="79">
        <v>1048</v>
      </c>
      <c r="R70" s="79">
        <v>285</v>
      </c>
      <c r="S70" s="79">
        <v>0</v>
      </c>
      <c r="T70" s="79">
        <v>416</v>
      </c>
      <c r="U70" s="79">
        <v>8719</v>
      </c>
      <c r="V70" s="79">
        <v>20100</v>
      </c>
      <c r="W70" s="79">
        <v>7210</v>
      </c>
      <c r="X70" s="79">
        <v>0</v>
      </c>
      <c r="Y70" s="79">
        <v>511.2</v>
      </c>
      <c r="Z70" s="79">
        <v>0</v>
      </c>
      <c r="AA70" s="79">
        <v>0</v>
      </c>
      <c r="AB70" s="79">
        <v>119.8</v>
      </c>
      <c r="AC70" s="79">
        <v>8237</v>
      </c>
      <c r="AD70" s="79">
        <v>8319.3700000000008</v>
      </c>
      <c r="AE70" s="79">
        <v>549</v>
      </c>
      <c r="AF70" s="79">
        <v>0</v>
      </c>
      <c r="AG70" s="79">
        <v>227</v>
      </c>
      <c r="AH70" s="79">
        <v>159.12</v>
      </c>
      <c r="AI70" s="79">
        <v>71.709999999999994</v>
      </c>
      <c r="AJ70" s="79">
        <v>8929</v>
      </c>
      <c r="AK70" s="79">
        <v>9107.58</v>
      </c>
      <c r="AL70" s="79">
        <v>23</v>
      </c>
      <c r="AM70" s="79">
        <v>0</v>
      </c>
      <c r="AN70" s="79">
        <v>0</v>
      </c>
      <c r="AO70" s="79">
        <v>4550</v>
      </c>
      <c r="AP70" s="79">
        <v>1380</v>
      </c>
      <c r="AQ70" s="79">
        <v>1380</v>
      </c>
      <c r="AR70" s="80">
        <v>4.0715899999999998E-4</v>
      </c>
      <c r="AS70" s="80">
        <v>1.6422E-4</v>
      </c>
      <c r="AT70" s="79">
        <v>6419.951</v>
      </c>
      <c r="AU70" s="79">
        <v>0</v>
      </c>
      <c r="AV70" s="79">
        <v>2892.64</v>
      </c>
      <c r="AW70" s="79">
        <v>7569.11174368313</v>
      </c>
      <c r="AX70" s="79">
        <v>4</v>
      </c>
      <c r="AY70" s="79">
        <v>4.04</v>
      </c>
      <c r="AZ70" s="79">
        <v>2249</v>
      </c>
      <c r="BA70" s="79">
        <v>1</v>
      </c>
      <c r="BB70" s="79">
        <v>0</v>
      </c>
      <c r="BC70" s="79">
        <v>0</v>
      </c>
      <c r="BD70" s="79">
        <v>0</v>
      </c>
      <c r="BE70" s="79">
        <v>0</v>
      </c>
      <c r="BF70" s="79">
        <v>0</v>
      </c>
      <c r="BG70" s="79">
        <v>0</v>
      </c>
      <c r="BH70" s="79">
        <v>0</v>
      </c>
      <c r="BI70" s="79">
        <v>0</v>
      </c>
      <c r="BJ70" s="79">
        <v>0</v>
      </c>
      <c r="BK70" s="79">
        <v>26</v>
      </c>
      <c r="BL70" s="79">
        <v>2150</v>
      </c>
      <c r="BM70" s="79">
        <v>156</v>
      </c>
      <c r="BN70" s="79">
        <v>71</v>
      </c>
      <c r="BO70">
        <v>6199</v>
      </c>
      <c r="BP70">
        <v>472</v>
      </c>
      <c r="BQ70">
        <v>6165</v>
      </c>
      <c r="BR70">
        <v>488</v>
      </c>
      <c r="BS70">
        <v>6120</v>
      </c>
      <c r="BT70">
        <v>539</v>
      </c>
      <c r="BU70">
        <v>6050</v>
      </c>
      <c r="BV70">
        <v>565</v>
      </c>
      <c r="BW70">
        <v>6056</v>
      </c>
      <c r="BX70">
        <v>601</v>
      </c>
      <c r="BY70">
        <v>6023</v>
      </c>
      <c r="BZ70">
        <v>615</v>
      </c>
      <c r="CB70">
        <v>309.375</v>
      </c>
      <c r="CC70">
        <v>161</v>
      </c>
      <c r="CD70">
        <v>34</v>
      </c>
      <c r="CE70">
        <v>5600.1</v>
      </c>
      <c r="CF70">
        <v>1669.57</v>
      </c>
      <c r="CG70">
        <v>242.15068922305801</v>
      </c>
      <c r="CH70">
        <v>162</v>
      </c>
      <c r="CI70">
        <v>78.6666666666667</v>
      </c>
      <c r="CJ70">
        <v>57.3333333333333</v>
      </c>
      <c r="CK70" s="81">
        <v>826</v>
      </c>
      <c r="CL70">
        <v>331</v>
      </c>
      <c r="CM70">
        <v>2392.5624346889299</v>
      </c>
      <c r="CN70">
        <v>0.23699999999999999</v>
      </c>
      <c r="CO70">
        <v>18687</v>
      </c>
      <c r="CP70">
        <v>2333</v>
      </c>
      <c r="CQ70">
        <v>385</v>
      </c>
      <c r="CR70">
        <v>370</v>
      </c>
      <c r="CS70">
        <v>328</v>
      </c>
      <c r="CT70">
        <v>211</v>
      </c>
      <c r="CU70">
        <v>217.60738044573901</v>
      </c>
      <c r="CV70">
        <v>117.196897748908</v>
      </c>
      <c r="CW70">
        <v>44.969111882629598</v>
      </c>
      <c r="CX70">
        <v>662.9796</v>
      </c>
      <c r="CY70">
        <v>357.06119999999999</v>
      </c>
      <c r="CZ70">
        <v>137.00640000000001</v>
      </c>
      <c r="DA70">
        <v>0</v>
      </c>
      <c r="DE70">
        <v>225</v>
      </c>
      <c r="DF70" t="s">
        <v>94</v>
      </c>
      <c r="DG70">
        <v>4251</v>
      </c>
      <c r="DH70">
        <v>4206</v>
      </c>
      <c r="DI70">
        <v>4172</v>
      </c>
      <c r="DJ70">
        <v>4160</v>
      </c>
      <c r="DK70">
        <v>4105</v>
      </c>
      <c r="DO70">
        <v>173</v>
      </c>
      <c r="DP70" t="s">
        <v>229</v>
      </c>
      <c r="DQ70">
        <v>14488</v>
      </c>
      <c r="DR70">
        <v>1</v>
      </c>
      <c r="DS70">
        <v>1452</v>
      </c>
      <c r="DV70">
        <v>148</v>
      </c>
      <c r="DW70" t="s">
        <v>74</v>
      </c>
      <c r="DX70">
        <v>2861.87951807229</v>
      </c>
      <c r="DY70">
        <v>523</v>
      </c>
      <c r="DZ70">
        <v>577</v>
      </c>
      <c r="EA70">
        <v>295</v>
      </c>
      <c r="EB70">
        <v>1958</v>
      </c>
      <c r="EC70">
        <v>1290</v>
      </c>
      <c r="ED70">
        <v>440</v>
      </c>
      <c r="EE70" s="82">
        <v>0.14126450160784801</v>
      </c>
      <c r="EF70" s="82">
        <v>0.44529638226801799</v>
      </c>
    </row>
    <row r="71" spans="1:136" x14ac:dyDescent="0.35">
      <c r="A71" s="72">
        <v>193</v>
      </c>
      <c r="B71" s="72">
        <v>4</v>
      </c>
      <c r="D71" s="72" t="s">
        <v>365</v>
      </c>
      <c r="E71" s="79">
        <v>10820400000</v>
      </c>
      <c r="F71" s="79">
        <v>2691150000</v>
      </c>
      <c r="G71" s="79">
        <v>2737700000</v>
      </c>
      <c r="H71" s="79">
        <v>127497</v>
      </c>
      <c r="I71" s="79">
        <v>1</v>
      </c>
      <c r="J71" s="79">
        <v>2737.7</v>
      </c>
      <c r="K71" s="79">
        <v>27207</v>
      </c>
      <c r="L71" s="79">
        <v>19845</v>
      </c>
      <c r="M71" s="79">
        <v>6094</v>
      </c>
      <c r="N71" s="79">
        <v>18020</v>
      </c>
      <c r="O71" s="79">
        <v>12131</v>
      </c>
      <c r="P71" s="79">
        <v>3619.3333333333298</v>
      </c>
      <c r="Q71" s="79">
        <v>10537.333333333299</v>
      </c>
      <c r="R71" s="79">
        <v>7300</v>
      </c>
      <c r="S71" s="79">
        <v>0</v>
      </c>
      <c r="T71" s="79">
        <v>4108</v>
      </c>
      <c r="U71" s="79">
        <v>61339</v>
      </c>
      <c r="V71" s="79">
        <v>142090</v>
      </c>
      <c r="W71" s="79">
        <v>239600</v>
      </c>
      <c r="X71" s="79">
        <v>7034.6414000000004</v>
      </c>
      <c r="Y71" s="79">
        <v>8141.6</v>
      </c>
      <c r="Z71" s="79">
        <v>0</v>
      </c>
      <c r="AA71" s="79">
        <v>0</v>
      </c>
      <c r="AB71" s="79">
        <v>217.599999999999</v>
      </c>
      <c r="AC71" s="79">
        <v>11064</v>
      </c>
      <c r="AD71" s="79">
        <v>11064</v>
      </c>
      <c r="AE71" s="79">
        <v>872</v>
      </c>
      <c r="AF71" s="79">
        <v>0</v>
      </c>
      <c r="AG71" s="79">
        <v>673</v>
      </c>
      <c r="AH71" s="79">
        <v>558</v>
      </c>
      <c r="AI71" s="79">
        <v>115</v>
      </c>
      <c r="AJ71" s="79">
        <v>58890</v>
      </c>
      <c r="AK71" s="79">
        <v>58890</v>
      </c>
      <c r="AL71" s="79">
        <v>0</v>
      </c>
      <c r="AM71" s="79">
        <v>41</v>
      </c>
      <c r="AN71" s="79">
        <v>0</v>
      </c>
      <c r="AO71" s="79">
        <v>4550</v>
      </c>
      <c r="AP71" s="79">
        <v>9313</v>
      </c>
      <c r="AQ71" s="79">
        <v>9313</v>
      </c>
      <c r="AR71" s="80">
        <v>5.7861910000000004E-3</v>
      </c>
      <c r="AS71" s="80">
        <v>7.03815E-3</v>
      </c>
      <c r="AT71" s="79">
        <v>119252.25</v>
      </c>
      <c r="AU71" s="79">
        <v>0</v>
      </c>
      <c r="AV71" s="79">
        <v>5290</v>
      </c>
      <c r="AW71" s="79">
        <v>56506.294403485299</v>
      </c>
      <c r="AX71" s="79">
        <v>3</v>
      </c>
      <c r="AY71" s="79">
        <v>3</v>
      </c>
      <c r="AZ71" s="79">
        <v>13203</v>
      </c>
      <c r="BA71" s="79">
        <v>1</v>
      </c>
      <c r="BB71" s="79">
        <v>0</v>
      </c>
      <c r="BC71" s="79">
        <v>0</v>
      </c>
      <c r="BD71" s="79">
        <v>0</v>
      </c>
      <c r="BE71" s="79">
        <v>0</v>
      </c>
      <c r="BF71" s="79">
        <v>0</v>
      </c>
      <c r="BG71" s="79">
        <v>0</v>
      </c>
      <c r="BH71" s="79">
        <v>0</v>
      </c>
      <c r="BI71" s="79">
        <v>0</v>
      </c>
      <c r="BJ71" s="79">
        <v>0</v>
      </c>
      <c r="BK71" s="79">
        <v>112</v>
      </c>
      <c r="BL71" s="79">
        <v>24335</v>
      </c>
      <c r="BM71" s="79">
        <v>558</v>
      </c>
      <c r="BN71" s="79">
        <v>115</v>
      </c>
      <c r="BO71">
        <v>25847</v>
      </c>
      <c r="BP71">
        <v>9054</v>
      </c>
      <c r="BQ71">
        <v>26120</v>
      </c>
      <c r="BR71">
        <v>8921</v>
      </c>
      <c r="BS71">
        <v>26361</v>
      </c>
      <c r="BT71">
        <v>9022</v>
      </c>
      <c r="BU71">
        <v>26735</v>
      </c>
      <c r="BV71">
        <v>9035</v>
      </c>
      <c r="BW71">
        <v>26968</v>
      </c>
      <c r="BX71">
        <v>9194</v>
      </c>
      <c r="BY71">
        <v>27156</v>
      </c>
      <c r="BZ71">
        <v>9300</v>
      </c>
      <c r="CB71">
        <v>3128.8049999999998</v>
      </c>
      <c r="CC71">
        <v>301</v>
      </c>
      <c r="CD71">
        <v>254</v>
      </c>
      <c r="CE71">
        <v>36177.269999999997</v>
      </c>
      <c r="CF71">
        <v>9054.84</v>
      </c>
      <c r="CG71">
        <v>1182.44715055138</v>
      </c>
      <c r="CH71">
        <v>1517</v>
      </c>
      <c r="CI71">
        <v>920.33333333333303</v>
      </c>
      <c r="CJ71">
        <v>840.66666666666697</v>
      </c>
      <c r="CK71" s="81">
        <v>6918</v>
      </c>
      <c r="CL71">
        <v>2874</v>
      </c>
      <c r="CM71">
        <v>13572.362714258299</v>
      </c>
      <c r="CN71">
        <v>8.7769999999999992</v>
      </c>
      <c r="CO71">
        <v>107652</v>
      </c>
      <c r="CP71">
        <v>11397</v>
      </c>
      <c r="CQ71">
        <v>2354</v>
      </c>
      <c r="CR71">
        <v>2932</v>
      </c>
      <c r="CS71">
        <v>2220</v>
      </c>
      <c r="CT71">
        <v>1218</v>
      </c>
      <c r="CU71">
        <v>1521.8853455595199</v>
      </c>
      <c r="CV71">
        <v>882.89125488198397</v>
      </c>
      <c r="CW71">
        <v>339.27249108507402</v>
      </c>
      <c r="CX71">
        <v>3466.4495999999999</v>
      </c>
      <c r="CY71">
        <v>2010.9911999999999</v>
      </c>
      <c r="CZ71">
        <v>772.77239999999995</v>
      </c>
      <c r="DA71">
        <v>160063</v>
      </c>
      <c r="DE71">
        <v>226</v>
      </c>
      <c r="DF71" t="s">
        <v>95</v>
      </c>
      <c r="DG71">
        <v>6535</v>
      </c>
      <c r="DH71">
        <v>6375</v>
      </c>
      <c r="DI71">
        <v>6202</v>
      </c>
      <c r="DJ71">
        <v>6068</v>
      </c>
      <c r="DK71">
        <v>5891</v>
      </c>
      <c r="DO71">
        <v>1773</v>
      </c>
      <c r="DP71" t="s">
        <v>230</v>
      </c>
      <c r="DQ71">
        <v>7830</v>
      </c>
      <c r="DR71">
        <v>1</v>
      </c>
      <c r="DS71">
        <v>464</v>
      </c>
      <c r="DV71">
        <v>1891</v>
      </c>
      <c r="DW71" t="s">
        <v>75</v>
      </c>
      <c r="DX71">
        <v>2806.4494251388701</v>
      </c>
      <c r="DY71">
        <v>417</v>
      </c>
      <c r="DZ71">
        <v>447</v>
      </c>
      <c r="EA71">
        <v>184</v>
      </c>
      <c r="EB71">
        <v>1416</v>
      </c>
      <c r="EC71">
        <v>909</v>
      </c>
      <c r="ED71">
        <v>257</v>
      </c>
      <c r="EE71" s="82">
        <v>0.23910698708782899</v>
      </c>
      <c r="EF71" s="82">
        <v>0.60890674647645904</v>
      </c>
    </row>
    <row r="72" spans="1:136" x14ac:dyDescent="0.35">
      <c r="A72" s="72">
        <v>197</v>
      </c>
      <c r="B72" s="72">
        <v>5</v>
      </c>
      <c r="D72" s="72" t="s">
        <v>13</v>
      </c>
      <c r="E72" s="79">
        <v>1931600000</v>
      </c>
      <c r="F72" s="79">
        <v>327250000</v>
      </c>
      <c r="G72" s="79">
        <v>355600000</v>
      </c>
      <c r="H72" s="79">
        <v>27011</v>
      </c>
      <c r="I72" s="79">
        <v>3</v>
      </c>
      <c r="J72" s="79">
        <v>355.6</v>
      </c>
      <c r="K72" s="79">
        <v>5305</v>
      </c>
      <c r="L72" s="79">
        <v>5964</v>
      </c>
      <c r="M72" s="79">
        <v>1932</v>
      </c>
      <c r="N72" s="79">
        <v>3714</v>
      </c>
      <c r="O72" s="79">
        <v>2490.8000000000002</v>
      </c>
      <c r="P72" s="79">
        <v>338.33333333333297</v>
      </c>
      <c r="Q72" s="79">
        <v>1832.3333333333301</v>
      </c>
      <c r="R72" s="79">
        <v>570</v>
      </c>
      <c r="S72" s="79">
        <v>0</v>
      </c>
      <c r="T72" s="79">
        <v>652</v>
      </c>
      <c r="U72" s="79">
        <v>11863</v>
      </c>
      <c r="V72" s="79">
        <v>26710</v>
      </c>
      <c r="W72" s="79">
        <v>17800</v>
      </c>
      <c r="X72" s="79">
        <v>184.14</v>
      </c>
      <c r="Y72" s="79">
        <v>1215.2</v>
      </c>
      <c r="Z72" s="79">
        <v>0</v>
      </c>
      <c r="AA72" s="79">
        <v>0</v>
      </c>
      <c r="AB72" s="79">
        <v>0</v>
      </c>
      <c r="AC72" s="79">
        <v>9654</v>
      </c>
      <c r="AD72" s="79">
        <v>9654</v>
      </c>
      <c r="AE72" s="79">
        <v>52</v>
      </c>
      <c r="AF72" s="79">
        <v>0</v>
      </c>
      <c r="AG72" s="79">
        <v>274</v>
      </c>
      <c r="AH72" s="79">
        <v>165</v>
      </c>
      <c r="AI72" s="79">
        <v>110</v>
      </c>
      <c r="AJ72" s="79">
        <v>12232</v>
      </c>
      <c r="AK72" s="79">
        <v>12232</v>
      </c>
      <c r="AL72" s="79">
        <v>5</v>
      </c>
      <c r="AM72" s="79">
        <v>0</v>
      </c>
      <c r="AN72" s="79">
        <v>0</v>
      </c>
      <c r="AO72" s="79">
        <v>0</v>
      </c>
      <c r="AP72" s="79">
        <v>996</v>
      </c>
      <c r="AQ72" s="79">
        <v>0</v>
      </c>
      <c r="AR72" s="80">
        <v>6.4835299999999995E-4</v>
      </c>
      <c r="AS72" s="80">
        <v>1.9834099999999999E-4</v>
      </c>
      <c r="AT72" s="79">
        <v>9565.4240000000009</v>
      </c>
      <c r="AU72" s="79">
        <v>0</v>
      </c>
      <c r="AV72" s="79">
        <v>942</v>
      </c>
      <c r="AW72" s="79">
        <v>2621.5085514114999</v>
      </c>
      <c r="AX72" s="79">
        <v>9</v>
      </c>
      <c r="AY72" s="79">
        <v>9</v>
      </c>
      <c r="AZ72" s="79">
        <v>2530</v>
      </c>
      <c r="BA72" s="79">
        <v>1</v>
      </c>
      <c r="BB72" s="79">
        <v>0</v>
      </c>
      <c r="BC72" s="79">
        <v>0</v>
      </c>
      <c r="BD72" s="79">
        <v>0</v>
      </c>
      <c r="BE72" s="79">
        <v>0</v>
      </c>
      <c r="BF72" s="79">
        <v>0</v>
      </c>
      <c r="BG72" s="79">
        <v>0</v>
      </c>
      <c r="BH72" s="79">
        <v>0</v>
      </c>
      <c r="BI72" s="79">
        <v>0</v>
      </c>
      <c r="BJ72" s="79">
        <v>0</v>
      </c>
      <c r="BK72" s="79">
        <v>15</v>
      </c>
      <c r="BL72" s="79">
        <v>3370</v>
      </c>
      <c r="BM72" s="79">
        <v>165</v>
      </c>
      <c r="BN72" s="79">
        <v>110</v>
      </c>
      <c r="BO72">
        <v>6163</v>
      </c>
      <c r="BP72">
        <v>1768</v>
      </c>
      <c r="BQ72">
        <v>6121</v>
      </c>
      <c r="BR72">
        <v>1756</v>
      </c>
      <c r="BS72">
        <v>6018</v>
      </c>
      <c r="BT72">
        <v>1729</v>
      </c>
      <c r="BU72">
        <v>5963</v>
      </c>
      <c r="BV72">
        <v>1721</v>
      </c>
      <c r="BW72">
        <v>5851</v>
      </c>
      <c r="BX72">
        <v>1717</v>
      </c>
      <c r="BY72">
        <v>5756</v>
      </c>
      <c r="BZ72">
        <v>1667</v>
      </c>
      <c r="CB72">
        <v>397.875</v>
      </c>
      <c r="CC72">
        <v>106</v>
      </c>
      <c r="CD72">
        <v>25</v>
      </c>
      <c r="CE72">
        <v>6953.39</v>
      </c>
      <c r="CF72">
        <v>1678.52</v>
      </c>
      <c r="CG72">
        <v>181.28465517241401</v>
      </c>
      <c r="CH72">
        <v>229</v>
      </c>
      <c r="CI72">
        <v>86.3333333333333</v>
      </c>
      <c r="CJ72">
        <v>72.6666666666667</v>
      </c>
      <c r="CK72" s="81">
        <v>1494</v>
      </c>
      <c r="CL72">
        <v>400</v>
      </c>
      <c r="CM72">
        <v>4514.1049777051103</v>
      </c>
      <c r="CN72">
        <v>0.41599999999999998</v>
      </c>
      <c r="CO72">
        <v>21047</v>
      </c>
      <c r="CP72">
        <v>3363</v>
      </c>
      <c r="CQ72">
        <v>669</v>
      </c>
      <c r="CR72">
        <v>610</v>
      </c>
      <c r="CS72">
        <v>626</v>
      </c>
      <c r="CT72">
        <v>349</v>
      </c>
      <c r="CU72">
        <v>415.608469587966</v>
      </c>
      <c r="CV72">
        <v>272.86396337475497</v>
      </c>
      <c r="CW72">
        <v>95.909646827992205</v>
      </c>
      <c r="CX72">
        <v>1053.7683</v>
      </c>
      <c r="CY72">
        <v>691.84199999999998</v>
      </c>
      <c r="CZ72">
        <v>243.1773</v>
      </c>
      <c r="DA72">
        <v>18250</v>
      </c>
      <c r="DE72">
        <v>228</v>
      </c>
      <c r="DF72" t="s">
        <v>98</v>
      </c>
      <c r="DG72">
        <v>25938</v>
      </c>
      <c r="DH72">
        <v>25631</v>
      </c>
      <c r="DI72">
        <v>25635</v>
      </c>
      <c r="DJ72">
        <v>25383</v>
      </c>
      <c r="DK72">
        <v>25316</v>
      </c>
      <c r="DO72">
        <v>175</v>
      </c>
      <c r="DP72" t="s">
        <v>231</v>
      </c>
      <c r="DQ72">
        <v>8407</v>
      </c>
      <c r="DR72">
        <v>1</v>
      </c>
      <c r="DS72">
        <v>488</v>
      </c>
      <c r="DV72">
        <v>310</v>
      </c>
      <c r="DW72" t="s">
        <v>76</v>
      </c>
      <c r="DX72">
        <v>4971.4534158261404</v>
      </c>
      <c r="DY72">
        <v>1284</v>
      </c>
      <c r="DZ72">
        <v>1228</v>
      </c>
      <c r="EA72">
        <v>842</v>
      </c>
      <c r="EB72">
        <v>3341</v>
      </c>
      <c r="EC72">
        <v>2281</v>
      </c>
      <c r="ED72">
        <v>1159</v>
      </c>
      <c r="EE72" s="82">
        <v>0.14745910481961899</v>
      </c>
      <c r="EF72" s="82">
        <v>0.2456130955434</v>
      </c>
    </row>
    <row r="73" spans="1:136" x14ac:dyDescent="0.35">
      <c r="A73" s="72">
        <v>200</v>
      </c>
      <c r="B73" s="72">
        <v>5</v>
      </c>
      <c r="D73" s="72" t="s">
        <v>27</v>
      </c>
      <c r="E73" s="79">
        <v>14128800000</v>
      </c>
      <c r="F73" s="79">
        <v>2755900000</v>
      </c>
      <c r="G73" s="79">
        <v>2879100000</v>
      </c>
      <c r="H73" s="79">
        <v>162445</v>
      </c>
      <c r="I73" s="79">
        <v>6</v>
      </c>
      <c r="J73" s="79">
        <v>2879.1</v>
      </c>
      <c r="K73" s="79">
        <v>31687</v>
      </c>
      <c r="L73" s="79">
        <v>33696</v>
      </c>
      <c r="M73" s="79">
        <v>10274</v>
      </c>
      <c r="N73" s="79">
        <v>22933</v>
      </c>
      <c r="O73" s="79">
        <v>15272.1</v>
      </c>
      <c r="P73" s="79">
        <v>3656.3333333333298</v>
      </c>
      <c r="Q73" s="79">
        <v>13107.333333333299</v>
      </c>
      <c r="R73" s="79">
        <v>8705</v>
      </c>
      <c r="S73" s="79">
        <v>0</v>
      </c>
      <c r="T73" s="79">
        <v>5163</v>
      </c>
      <c r="U73" s="79">
        <v>76395</v>
      </c>
      <c r="V73" s="79">
        <v>169520</v>
      </c>
      <c r="W73" s="79">
        <v>253620</v>
      </c>
      <c r="X73" s="79">
        <v>5442.8</v>
      </c>
      <c r="Y73" s="79">
        <v>8827.2000000000007</v>
      </c>
      <c r="Z73" s="79">
        <v>0</v>
      </c>
      <c r="AA73" s="79">
        <v>0</v>
      </c>
      <c r="AB73" s="79">
        <v>0</v>
      </c>
      <c r="AC73" s="79">
        <v>33983</v>
      </c>
      <c r="AD73" s="79">
        <v>33983</v>
      </c>
      <c r="AE73" s="79">
        <v>132</v>
      </c>
      <c r="AF73" s="79">
        <v>0</v>
      </c>
      <c r="AG73" s="79">
        <v>1009</v>
      </c>
      <c r="AH73" s="79">
        <v>822</v>
      </c>
      <c r="AI73" s="79">
        <v>187</v>
      </c>
      <c r="AJ73" s="79">
        <v>76609</v>
      </c>
      <c r="AK73" s="79">
        <v>76609</v>
      </c>
      <c r="AL73" s="79">
        <v>0</v>
      </c>
      <c r="AM73" s="79">
        <v>0</v>
      </c>
      <c r="AN73" s="79">
        <v>0</v>
      </c>
      <c r="AO73" s="79">
        <v>0</v>
      </c>
      <c r="AP73" s="79">
        <v>11306</v>
      </c>
      <c r="AQ73" s="79">
        <v>0</v>
      </c>
      <c r="AR73" s="80">
        <v>3.582399E-3</v>
      </c>
      <c r="AS73" s="80">
        <v>4.7824729999999998E-3</v>
      </c>
      <c r="AT73" s="79">
        <v>132840.00599999999</v>
      </c>
      <c r="AU73" s="79">
        <v>0</v>
      </c>
      <c r="AV73" s="79">
        <v>2406</v>
      </c>
      <c r="AW73" s="79">
        <v>11456.6223069031</v>
      </c>
      <c r="AX73" s="79">
        <v>24</v>
      </c>
      <c r="AY73" s="79">
        <v>24</v>
      </c>
      <c r="AZ73" s="79">
        <v>16527</v>
      </c>
      <c r="BA73" s="79">
        <v>1</v>
      </c>
      <c r="BB73" s="79">
        <v>0</v>
      </c>
      <c r="BC73" s="79">
        <v>0</v>
      </c>
      <c r="BD73" s="79">
        <v>0</v>
      </c>
      <c r="BE73" s="79">
        <v>0</v>
      </c>
      <c r="BF73" s="79">
        <v>0</v>
      </c>
      <c r="BG73" s="79">
        <v>0</v>
      </c>
      <c r="BH73" s="79">
        <v>0</v>
      </c>
      <c r="BI73" s="79">
        <v>0</v>
      </c>
      <c r="BJ73" s="79">
        <v>0</v>
      </c>
      <c r="BK73" s="79">
        <v>92</v>
      </c>
      <c r="BL73" s="79">
        <v>26307</v>
      </c>
      <c r="BM73" s="79">
        <v>822</v>
      </c>
      <c r="BN73" s="79">
        <v>187</v>
      </c>
      <c r="BO73">
        <v>33174</v>
      </c>
      <c r="BP73">
        <v>11762</v>
      </c>
      <c r="BQ73">
        <v>32882</v>
      </c>
      <c r="BR73">
        <v>11751</v>
      </c>
      <c r="BS73">
        <v>32693</v>
      </c>
      <c r="BT73">
        <v>11816</v>
      </c>
      <c r="BU73">
        <v>32629</v>
      </c>
      <c r="BV73">
        <v>11725</v>
      </c>
      <c r="BW73">
        <v>32311</v>
      </c>
      <c r="BX73">
        <v>11558</v>
      </c>
      <c r="BY73">
        <v>32191</v>
      </c>
      <c r="BZ73">
        <v>11469</v>
      </c>
      <c r="CB73">
        <v>3580.6309999999999</v>
      </c>
      <c r="CC73">
        <v>491</v>
      </c>
      <c r="CD73">
        <v>335</v>
      </c>
      <c r="CE73">
        <v>48110.04</v>
      </c>
      <c r="CF73">
        <v>11143.44</v>
      </c>
      <c r="CG73">
        <v>1260.15644787371</v>
      </c>
      <c r="CH73">
        <v>1828</v>
      </c>
      <c r="CI73">
        <v>985</v>
      </c>
      <c r="CJ73">
        <v>894.66666666666697</v>
      </c>
      <c r="CK73" s="81">
        <v>9451</v>
      </c>
      <c r="CL73">
        <v>3151</v>
      </c>
      <c r="CM73">
        <v>27217.007263009</v>
      </c>
      <c r="CN73">
        <v>8.4019999999999992</v>
      </c>
      <c r="CO73">
        <v>128749</v>
      </c>
      <c r="CP73">
        <v>19443</v>
      </c>
      <c r="CQ73">
        <v>3979</v>
      </c>
      <c r="CR73">
        <v>4263</v>
      </c>
      <c r="CS73">
        <v>3472</v>
      </c>
      <c r="CT73">
        <v>2017</v>
      </c>
      <c r="CU73">
        <v>2380.4532900834101</v>
      </c>
      <c r="CV73">
        <v>1413.7990732159401</v>
      </c>
      <c r="CW73">
        <v>546.42177942539399</v>
      </c>
      <c r="CX73">
        <v>5363.8972000000003</v>
      </c>
      <c r="CY73">
        <v>3185.7264</v>
      </c>
      <c r="CZ73">
        <v>1231.2572</v>
      </c>
      <c r="DA73">
        <v>489092</v>
      </c>
      <c r="DE73">
        <v>230</v>
      </c>
      <c r="DF73" t="s">
        <v>103</v>
      </c>
      <c r="DG73">
        <v>5429</v>
      </c>
      <c r="DH73">
        <v>5419</v>
      </c>
      <c r="DI73">
        <v>5412</v>
      </c>
      <c r="DJ73">
        <v>5394</v>
      </c>
      <c r="DK73">
        <v>5387</v>
      </c>
      <c r="DO73">
        <v>177</v>
      </c>
      <c r="DP73" t="s">
        <v>249</v>
      </c>
      <c r="DQ73">
        <v>16216</v>
      </c>
      <c r="DR73">
        <v>1</v>
      </c>
      <c r="DS73">
        <v>660</v>
      </c>
      <c r="DV73">
        <v>1940</v>
      </c>
      <c r="DW73" t="s">
        <v>77</v>
      </c>
      <c r="DX73">
        <v>6674.0432742677503</v>
      </c>
      <c r="DY73">
        <v>1217</v>
      </c>
      <c r="DZ73">
        <v>1111</v>
      </c>
      <c r="EA73">
        <v>669</v>
      </c>
      <c r="EB73">
        <v>4117</v>
      </c>
      <c r="EC73">
        <v>2403</v>
      </c>
      <c r="ED73">
        <v>894</v>
      </c>
      <c r="EE73" s="82">
        <v>0.16938620683219999</v>
      </c>
      <c r="EF73" s="82">
        <v>0.48170966454611602</v>
      </c>
    </row>
    <row r="74" spans="1:136" x14ac:dyDescent="0.35">
      <c r="A74" s="72">
        <v>202</v>
      </c>
      <c r="B74" s="72">
        <v>5</v>
      </c>
      <c r="D74" s="72" t="s">
        <v>29</v>
      </c>
      <c r="E74" s="79">
        <v>12042000000</v>
      </c>
      <c r="F74" s="79">
        <v>2471000000</v>
      </c>
      <c r="G74" s="79">
        <v>2542750000</v>
      </c>
      <c r="H74" s="79">
        <v>159265</v>
      </c>
      <c r="I74" s="79">
        <v>1</v>
      </c>
      <c r="J74" s="79">
        <v>2542.75</v>
      </c>
      <c r="K74" s="79">
        <v>30355</v>
      </c>
      <c r="L74" s="79">
        <v>24120</v>
      </c>
      <c r="M74" s="79">
        <v>6966</v>
      </c>
      <c r="N74" s="79">
        <v>28937</v>
      </c>
      <c r="O74" s="79">
        <v>21161.1</v>
      </c>
      <c r="P74" s="79">
        <v>7817</v>
      </c>
      <c r="Q74" s="79">
        <v>18487</v>
      </c>
      <c r="R74" s="79">
        <v>20165</v>
      </c>
      <c r="S74" s="79">
        <v>0</v>
      </c>
      <c r="T74" s="79">
        <v>6569</v>
      </c>
      <c r="U74" s="79">
        <v>83586</v>
      </c>
      <c r="V74" s="79">
        <v>189580</v>
      </c>
      <c r="W74" s="79">
        <v>334730</v>
      </c>
      <c r="X74" s="79">
        <v>6867.4535999999998</v>
      </c>
      <c r="Y74" s="79">
        <v>7155.2</v>
      </c>
      <c r="Z74" s="79">
        <v>0</v>
      </c>
      <c r="AA74" s="79">
        <v>0</v>
      </c>
      <c r="AB74" s="79">
        <v>0</v>
      </c>
      <c r="AC74" s="79">
        <v>9772</v>
      </c>
      <c r="AD74" s="79">
        <v>9772</v>
      </c>
      <c r="AE74" s="79">
        <v>382</v>
      </c>
      <c r="AF74" s="79">
        <v>0</v>
      </c>
      <c r="AG74" s="79">
        <v>663</v>
      </c>
      <c r="AH74" s="79">
        <v>618.12</v>
      </c>
      <c r="AI74" s="79">
        <v>51</v>
      </c>
      <c r="AJ74" s="79">
        <v>77759</v>
      </c>
      <c r="AK74" s="79">
        <v>78536.59</v>
      </c>
      <c r="AL74" s="79">
        <v>18</v>
      </c>
      <c r="AM74" s="79">
        <v>0</v>
      </c>
      <c r="AN74" s="79">
        <v>0</v>
      </c>
      <c r="AO74" s="79">
        <v>0</v>
      </c>
      <c r="AP74" s="79">
        <v>18048</v>
      </c>
      <c r="AQ74" s="79">
        <v>18048</v>
      </c>
      <c r="AR74" s="80">
        <v>1.6613725999999999E-2</v>
      </c>
      <c r="AS74" s="80">
        <v>2.0141675000000001E-2</v>
      </c>
      <c r="AT74" s="79">
        <v>168581.51199999999</v>
      </c>
      <c r="AU74" s="79">
        <v>0</v>
      </c>
      <c r="AV74" s="79">
        <v>2313</v>
      </c>
      <c r="AW74" s="79">
        <v>36498.882706322598</v>
      </c>
      <c r="AX74" s="79">
        <v>6</v>
      </c>
      <c r="AY74" s="79">
        <v>6</v>
      </c>
      <c r="AZ74" s="79">
        <v>17999</v>
      </c>
      <c r="BA74" s="79">
        <v>1</v>
      </c>
      <c r="BB74" s="79">
        <v>0</v>
      </c>
      <c r="BC74" s="79">
        <v>0</v>
      </c>
      <c r="BD74" s="79">
        <v>0</v>
      </c>
      <c r="BE74" s="79">
        <v>0</v>
      </c>
      <c r="BF74" s="79">
        <v>0</v>
      </c>
      <c r="BG74" s="79">
        <v>0</v>
      </c>
      <c r="BH74" s="79">
        <v>0</v>
      </c>
      <c r="BI74" s="79">
        <v>0</v>
      </c>
      <c r="BJ74" s="79">
        <v>0</v>
      </c>
      <c r="BK74" s="79">
        <v>104</v>
      </c>
      <c r="BL74" s="79">
        <v>38424</v>
      </c>
      <c r="BM74" s="79">
        <v>612</v>
      </c>
      <c r="BN74" s="79">
        <v>51</v>
      </c>
      <c r="BO74">
        <v>28340</v>
      </c>
      <c r="BP74">
        <v>8867</v>
      </c>
      <c r="BQ74">
        <v>28747</v>
      </c>
      <c r="BR74">
        <v>8822</v>
      </c>
      <c r="BS74">
        <v>28972</v>
      </c>
      <c r="BT74">
        <v>8823</v>
      </c>
      <c r="BU74">
        <v>29204</v>
      </c>
      <c r="BV74">
        <v>8666</v>
      </c>
      <c r="BW74">
        <v>29553</v>
      </c>
      <c r="BX74">
        <v>8574</v>
      </c>
      <c r="BY74">
        <v>29673</v>
      </c>
      <c r="BZ74">
        <v>8630</v>
      </c>
      <c r="CB74">
        <v>5858.5150000000003</v>
      </c>
      <c r="CC74">
        <v>569</v>
      </c>
      <c r="CD74">
        <v>642</v>
      </c>
      <c r="CE74">
        <v>43281</v>
      </c>
      <c r="CF74">
        <v>9758.56</v>
      </c>
      <c r="CG74">
        <v>1351.0826411263299</v>
      </c>
      <c r="CH74">
        <v>2199</v>
      </c>
      <c r="CI74">
        <v>1944</v>
      </c>
      <c r="CJ74">
        <v>1787.6666666666699</v>
      </c>
      <c r="CK74" s="81">
        <v>10670</v>
      </c>
      <c r="CL74">
        <v>4106</v>
      </c>
      <c r="CM74">
        <v>18971.6880508133</v>
      </c>
      <c r="CN74">
        <v>23.518999999999998</v>
      </c>
      <c r="CO74">
        <v>135145</v>
      </c>
      <c r="CP74">
        <v>14379</v>
      </c>
      <c r="CQ74">
        <v>2775</v>
      </c>
      <c r="CR74">
        <v>4579</v>
      </c>
      <c r="CS74">
        <v>2808</v>
      </c>
      <c r="CT74">
        <v>1318</v>
      </c>
      <c r="CU74">
        <v>2650.3421198832302</v>
      </c>
      <c r="CV74">
        <v>1373.20323821037</v>
      </c>
      <c r="CW74">
        <v>474.33476896565003</v>
      </c>
      <c r="CX74">
        <v>5297.0420999999997</v>
      </c>
      <c r="CY74">
        <v>2744.5194000000001</v>
      </c>
      <c r="CZ74">
        <v>948.01769999999999</v>
      </c>
      <c r="DA74">
        <v>392735</v>
      </c>
      <c r="DE74">
        <v>232</v>
      </c>
      <c r="DF74" t="s">
        <v>107</v>
      </c>
      <c r="DG74">
        <v>6825</v>
      </c>
      <c r="DH74">
        <v>6754</v>
      </c>
      <c r="DI74">
        <v>6708</v>
      </c>
      <c r="DJ74">
        <v>6521</v>
      </c>
      <c r="DK74">
        <v>6415</v>
      </c>
      <c r="DO74">
        <v>1742</v>
      </c>
      <c r="DP74" t="s">
        <v>257</v>
      </c>
      <c r="DQ74">
        <v>15474</v>
      </c>
      <c r="DR74">
        <v>1</v>
      </c>
      <c r="DS74">
        <v>1088</v>
      </c>
      <c r="DV74">
        <v>1663</v>
      </c>
      <c r="DW74" t="s">
        <v>795</v>
      </c>
      <c r="DX74">
        <v>1709.76615847112</v>
      </c>
      <c r="DY74">
        <v>368</v>
      </c>
      <c r="DZ74">
        <v>248</v>
      </c>
      <c r="EA74">
        <v>127</v>
      </c>
      <c r="EB74">
        <v>958</v>
      </c>
      <c r="EC74">
        <v>505</v>
      </c>
      <c r="ED74">
        <v>183</v>
      </c>
      <c r="EE74" s="82">
        <v>0.22616676048666901</v>
      </c>
      <c r="EF74" s="82">
        <v>0.57301140477143597</v>
      </c>
    </row>
    <row r="75" spans="1:136" x14ac:dyDescent="0.35">
      <c r="A75" s="72">
        <v>203</v>
      </c>
      <c r="B75" s="72">
        <v>5</v>
      </c>
      <c r="D75" s="72" t="s">
        <v>35</v>
      </c>
      <c r="E75" s="79">
        <v>5155600000</v>
      </c>
      <c r="F75" s="79">
        <v>1347500000</v>
      </c>
      <c r="G75" s="79">
        <v>1440950000</v>
      </c>
      <c r="H75" s="79">
        <v>57971</v>
      </c>
      <c r="I75" s="79">
        <v>7</v>
      </c>
      <c r="J75" s="79">
        <v>1440.95</v>
      </c>
      <c r="K75" s="79">
        <v>14961</v>
      </c>
      <c r="L75" s="79">
        <v>9487</v>
      </c>
      <c r="M75" s="79">
        <v>3097</v>
      </c>
      <c r="N75" s="79">
        <v>5505</v>
      </c>
      <c r="O75" s="79">
        <v>2910.1</v>
      </c>
      <c r="P75" s="79">
        <v>564.33333333333303</v>
      </c>
      <c r="Q75" s="79">
        <v>2517.3333333333298</v>
      </c>
      <c r="R75" s="79">
        <v>1655</v>
      </c>
      <c r="S75" s="79">
        <v>0</v>
      </c>
      <c r="T75" s="79">
        <v>1086</v>
      </c>
      <c r="U75" s="79">
        <v>22631</v>
      </c>
      <c r="V75" s="79">
        <v>54730</v>
      </c>
      <c r="W75" s="79">
        <v>32950</v>
      </c>
      <c r="X75" s="79">
        <v>2227.56</v>
      </c>
      <c r="Y75" s="79">
        <v>3932.8</v>
      </c>
      <c r="Z75" s="79">
        <v>0</v>
      </c>
      <c r="AA75" s="79">
        <v>0</v>
      </c>
      <c r="AB75" s="79">
        <v>0</v>
      </c>
      <c r="AC75" s="79">
        <v>17586</v>
      </c>
      <c r="AD75" s="79">
        <v>17586</v>
      </c>
      <c r="AE75" s="79">
        <v>80</v>
      </c>
      <c r="AF75" s="79">
        <v>0</v>
      </c>
      <c r="AG75" s="79">
        <v>620</v>
      </c>
      <c r="AH75" s="79">
        <v>353</v>
      </c>
      <c r="AI75" s="79">
        <v>267</v>
      </c>
      <c r="AJ75" s="79">
        <v>25949</v>
      </c>
      <c r="AK75" s="79">
        <v>25949</v>
      </c>
      <c r="AL75" s="79">
        <v>0</v>
      </c>
      <c r="AM75" s="79">
        <v>0</v>
      </c>
      <c r="AN75" s="79">
        <v>0</v>
      </c>
      <c r="AO75" s="79">
        <v>0</v>
      </c>
      <c r="AP75" s="79">
        <v>920</v>
      </c>
      <c r="AQ75" s="79">
        <v>0</v>
      </c>
      <c r="AR75" s="80">
        <v>4.0559299999999999E-4</v>
      </c>
      <c r="AS75" s="80">
        <v>1.9817000000000001E-4</v>
      </c>
      <c r="AT75" s="79">
        <v>22445.884999999998</v>
      </c>
      <c r="AU75" s="79">
        <v>0</v>
      </c>
      <c r="AV75" s="79">
        <v>1220</v>
      </c>
      <c r="AW75" s="79">
        <v>4003.4314502434099</v>
      </c>
      <c r="AX75" s="79">
        <v>18</v>
      </c>
      <c r="AY75" s="79">
        <v>18</v>
      </c>
      <c r="AZ75" s="79">
        <v>7515</v>
      </c>
      <c r="BA75" s="79">
        <v>1</v>
      </c>
      <c r="BB75" s="79">
        <v>0</v>
      </c>
      <c r="BC75" s="79">
        <v>0</v>
      </c>
      <c r="BD75" s="79">
        <v>0</v>
      </c>
      <c r="BE75" s="79">
        <v>0</v>
      </c>
      <c r="BF75" s="79">
        <v>0</v>
      </c>
      <c r="BG75" s="79">
        <v>0</v>
      </c>
      <c r="BH75" s="79">
        <v>0</v>
      </c>
      <c r="BI75" s="79">
        <v>0</v>
      </c>
      <c r="BJ75" s="79">
        <v>0</v>
      </c>
      <c r="BK75" s="79">
        <v>62</v>
      </c>
      <c r="BL75" s="79">
        <v>6119</v>
      </c>
      <c r="BM75" s="79">
        <v>353</v>
      </c>
      <c r="BN75" s="79">
        <v>267</v>
      </c>
      <c r="BO75">
        <v>14339</v>
      </c>
      <c r="BP75">
        <v>4771</v>
      </c>
      <c r="BQ75">
        <v>14372</v>
      </c>
      <c r="BR75">
        <v>4780</v>
      </c>
      <c r="BS75">
        <v>14442</v>
      </c>
      <c r="BT75">
        <v>4768</v>
      </c>
      <c r="BU75">
        <v>14432</v>
      </c>
      <c r="BV75">
        <v>4864</v>
      </c>
      <c r="BW75">
        <v>14336</v>
      </c>
      <c r="BX75">
        <v>4984</v>
      </c>
      <c r="BY75">
        <v>14418</v>
      </c>
      <c r="BZ75">
        <v>5089</v>
      </c>
      <c r="CB75">
        <v>942.54300000000001</v>
      </c>
      <c r="CC75">
        <v>799</v>
      </c>
      <c r="CD75">
        <v>107</v>
      </c>
      <c r="CE75">
        <v>15097.89</v>
      </c>
      <c r="CF75">
        <v>4388.8</v>
      </c>
      <c r="CG75">
        <v>563.81195774647904</v>
      </c>
      <c r="CH75">
        <v>450</v>
      </c>
      <c r="CI75">
        <v>178.666666666667</v>
      </c>
      <c r="CJ75">
        <v>136</v>
      </c>
      <c r="CK75" s="81">
        <v>1953</v>
      </c>
      <c r="CL75">
        <v>650</v>
      </c>
      <c r="CM75">
        <v>6348.1282567053304</v>
      </c>
      <c r="CN75">
        <v>0.28499999999999998</v>
      </c>
      <c r="CO75">
        <v>48484</v>
      </c>
      <c r="CP75">
        <v>5196</v>
      </c>
      <c r="CQ75">
        <v>1194</v>
      </c>
      <c r="CR75">
        <v>924</v>
      </c>
      <c r="CS75">
        <v>949</v>
      </c>
      <c r="CT75">
        <v>559</v>
      </c>
      <c r="CU75">
        <v>352.81415854175498</v>
      </c>
      <c r="CV75">
        <v>233.37770626999099</v>
      </c>
      <c r="CW75">
        <v>90.726844965123902</v>
      </c>
      <c r="CX75">
        <v>1364.4202</v>
      </c>
      <c r="CY75">
        <v>902.52970000000005</v>
      </c>
      <c r="CZ75">
        <v>350.86329999999998</v>
      </c>
      <c r="DA75">
        <v>11907</v>
      </c>
      <c r="DE75">
        <v>233</v>
      </c>
      <c r="DF75" t="s">
        <v>108</v>
      </c>
      <c r="DG75">
        <v>5704</v>
      </c>
      <c r="DH75">
        <v>5565</v>
      </c>
      <c r="DI75">
        <v>5491</v>
      </c>
      <c r="DJ75">
        <v>5447</v>
      </c>
      <c r="DK75">
        <v>5357</v>
      </c>
      <c r="DO75">
        <v>180</v>
      </c>
      <c r="DP75" t="s">
        <v>283</v>
      </c>
      <c r="DQ75">
        <v>6131</v>
      </c>
      <c r="DR75">
        <v>1</v>
      </c>
      <c r="DS75">
        <v>354</v>
      </c>
      <c r="DV75">
        <v>736</v>
      </c>
      <c r="DW75" t="s">
        <v>78</v>
      </c>
      <c r="DX75">
        <v>4376.2830511278999</v>
      </c>
      <c r="DY75">
        <v>1046</v>
      </c>
      <c r="DZ75">
        <v>897</v>
      </c>
      <c r="EA75">
        <v>468</v>
      </c>
      <c r="EB75">
        <v>3204</v>
      </c>
      <c r="EC75">
        <v>1917</v>
      </c>
      <c r="ED75">
        <v>688</v>
      </c>
      <c r="EE75" s="82">
        <v>0.12972614441616301</v>
      </c>
      <c r="EF75" s="82">
        <v>0.27941365189001499</v>
      </c>
    </row>
    <row r="76" spans="1:136" x14ac:dyDescent="0.35">
      <c r="A76" s="72">
        <v>1945</v>
      </c>
      <c r="B76" s="72">
        <v>5</v>
      </c>
      <c r="D76" s="72" t="s">
        <v>40</v>
      </c>
      <c r="E76" s="79">
        <v>3030000000</v>
      </c>
      <c r="F76" s="79">
        <v>292600000</v>
      </c>
      <c r="G76" s="79">
        <v>331450000</v>
      </c>
      <c r="H76" s="79">
        <v>34798</v>
      </c>
      <c r="I76" s="79">
        <v>5</v>
      </c>
      <c r="J76" s="79">
        <v>331.45</v>
      </c>
      <c r="K76" s="79">
        <v>5926</v>
      </c>
      <c r="L76" s="79">
        <v>8471</v>
      </c>
      <c r="M76" s="79">
        <v>2651</v>
      </c>
      <c r="N76" s="79">
        <v>5108</v>
      </c>
      <c r="O76" s="79">
        <v>3473.2</v>
      </c>
      <c r="P76" s="79">
        <v>790</v>
      </c>
      <c r="Q76" s="79">
        <v>2791</v>
      </c>
      <c r="R76" s="79">
        <v>730</v>
      </c>
      <c r="S76" s="79">
        <v>0</v>
      </c>
      <c r="T76" s="79">
        <v>1018</v>
      </c>
      <c r="U76" s="79">
        <v>16558</v>
      </c>
      <c r="V76" s="79">
        <v>27020</v>
      </c>
      <c r="W76" s="79">
        <v>8020</v>
      </c>
      <c r="X76" s="79">
        <v>2404.92</v>
      </c>
      <c r="Y76" s="79">
        <v>677.6</v>
      </c>
      <c r="Z76" s="79">
        <v>0</v>
      </c>
      <c r="AA76" s="79">
        <v>0</v>
      </c>
      <c r="AB76" s="79">
        <v>0</v>
      </c>
      <c r="AC76" s="79">
        <v>8654</v>
      </c>
      <c r="AD76" s="79">
        <v>8654</v>
      </c>
      <c r="AE76" s="79">
        <v>677</v>
      </c>
      <c r="AF76" s="79">
        <v>0</v>
      </c>
      <c r="AG76" s="79">
        <v>236</v>
      </c>
      <c r="AH76" s="79">
        <v>184</v>
      </c>
      <c r="AI76" s="79">
        <v>51</v>
      </c>
      <c r="AJ76" s="79">
        <v>16348</v>
      </c>
      <c r="AK76" s="79">
        <v>16348</v>
      </c>
      <c r="AL76" s="79">
        <v>0</v>
      </c>
      <c r="AM76" s="79">
        <v>0</v>
      </c>
      <c r="AN76" s="79">
        <v>0</v>
      </c>
      <c r="AO76" s="79">
        <v>0</v>
      </c>
      <c r="AP76" s="79">
        <v>1067</v>
      </c>
      <c r="AQ76" s="79">
        <v>0</v>
      </c>
      <c r="AR76" s="80">
        <v>3.8512900000000001E-4</v>
      </c>
      <c r="AS76" s="80">
        <v>2.6932900000000001E-4</v>
      </c>
      <c r="AT76" s="79">
        <v>10560.808000000001</v>
      </c>
      <c r="AU76" s="79">
        <v>0</v>
      </c>
      <c r="AV76" s="79">
        <v>1923</v>
      </c>
      <c r="AW76" s="79">
        <v>7342.9709570249697</v>
      </c>
      <c r="AX76" s="79">
        <v>12</v>
      </c>
      <c r="AY76" s="79">
        <v>12</v>
      </c>
      <c r="AZ76" s="79">
        <v>3594</v>
      </c>
      <c r="BA76" s="79">
        <v>1</v>
      </c>
      <c r="BB76" s="79">
        <v>0</v>
      </c>
      <c r="BC76" s="79">
        <v>0</v>
      </c>
      <c r="BD76" s="79">
        <v>0</v>
      </c>
      <c r="BE76" s="79">
        <v>0</v>
      </c>
      <c r="BF76" s="79">
        <v>0</v>
      </c>
      <c r="BG76" s="79">
        <v>0</v>
      </c>
      <c r="BH76" s="79">
        <v>0</v>
      </c>
      <c r="BI76" s="79">
        <v>0</v>
      </c>
      <c r="BJ76" s="79">
        <v>0</v>
      </c>
      <c r="BK76" s="79">
        <v>36</v>
      </c>
      <c r="BL76" s="79">
        <v>5410</v>
      </c>
      <c r="BM76" s="79">
        <v>184</v>
      </c>
      <c r="BN76" s="79">
        <v>51</v>
      </c>
      <c r="BO76">
        <v>6952</v>
      </c>
      <c r="BP76">
        <v>972</v>
      </c>
      <c r="BQ76">
        <v>6878</v>
      </c>
      <c r="BR76">
        <v>931</v>
      </c>
      <c r="BS76">
        <v>6746</v>
      </c>
      <c r="BT76">
        <v>926</v>
      </c>
      <c r="BU76">
        <v>6569</v>
      </c>
      <c r="BV76">
        <v>900</v>
      </c>
      <c r="BW76">
        <v>6472</v>
      </c>
      <c r="BX76">
        <v>876</v>
      </c>
      <c r="BY76">
        <v>6326</v>
      </c>
      <c r="BZ76">
        <v>932</v>
      </c>
      <c r="CB76">
        <v>527.41399999999999</v>
      </c>
      <c r="CC76">
        <v>67</v>
      </c>
      <c r="CD76">
        <v>58</v>
      </c>
      <c r="CE76">
        <v>10049.280000000001</v>
      </c>
      <c r="CF76">
        <v>2297.75</v>
      </c>
      <c r="CG76">
        <v>175.09225136612</v>
      </c>
      <c r="CH76">
        <v>325</v>
      </c>
      <c r="CI76">
        <v>191</v>
      </c>
      <c r="CJ76">
        <v>166.666666666667</v>
      </c>
      <c r="CK76" s="81">
        <v>2001</v>
      </c>
      <c r="CL76">
        <v>708</v>
      </c>
      <c r="CM76">
        <v>6364.0865899230603</v>
      </c>
      <c r="CN76">
        <v>1.8420000000000001</v>
      </c>
      <c r="CO76">
        <v>26327</v>
      </c>
      <c r="CP76">
        <v>4791</v>
      </c>
      <c r="CQ76">
        <v>1029</v>
      </c>
      <c r="CR76">
        <v>1059</v>
      </c>
      <c r="CS76">
        <v>890</v>
      </c>
      <c r="CT76">
        <v>489</v>
      </c>
      <c r="CU76">
        <v>633.53819427452902</v>
      </c>
      <c r="CV76">
        <v>386.45404942500602</v>
      </c>
      <c r="CW76">
        <v>143.19407878639601</v>
      </c>
      <c r="CX76">
        <v>1387.2264</v>
      </c>
      <c r="CY76">
        <v>846.19880000000001</v>
      </c>
      <c r="CZ76">
        <v>313.54480000000001</v>
      </c>
      <c r="DA76">
        <v>160408</v>
      </c>
      <c r="DE76">
        <v>236</v>
      </c>
      <c r="DF76" t="s">
        <v>807</v>
      </c>
      <c r="DG76">
        <v>6507</v>
      </c>
      <c r="DH76">
        <v>6430</v>
      </c>
      <c r="DI76">
        <v>6352</v>
      </c>
      <c r="DJ76">
        <v>6335</v>
      </c>
      <c r="DK76">
        <v>6189</v>
      </c>
      <c r="DO76">
        <v>1708</v>
      </c>
      <c r="DP76" t="s">
        <v>286</v>
      </c>
      <c r="DQ76">
        <v>20727</v>
      </c>
      <c r="DR76">
        <v>1</v>
      </c>
      <c r="DS76">
        <v>595</v>
      </c>
      <c r="DV76">
        <v>1690</v>
      </c>
      <c r="DW76" t="s">
        <v>79</v>
      </c>
      <c r="DX76">
        <v>2762.5795844260601</v>
      </c>
      <c r="DY76">
        <v>547</v>
      </c>
      <c r="DZ76">
        <v>531</v>
      </c>
      <c r="EA76">
        <v>363</v>
      </c>
      <c r="EB76">
        <v>1869</v>
      </c>
      <c r="EC76">
        <v>1193</v>
      </c>
      <c r="ED76">
        <v>499</v>
      </c>
      <c r="EE76" s="82">
        <v>0.154568704794145</v>
      </c>
      <c r="EF76" s="82">
        <v>0.44140850577478302</v>
      </c>
    </row>
    <row r="77" spans="1:136" x14ac:dyDescent="0.35">
      <c r="A77" s="72">
        <v>1859</v>
      </c>
      <c r="B77" s="72">
        <v>5</v>
      </c>
      <c r="D77" s="72" t="s">
        <v>45</v>
      </c>
      <c r="E77" s="79">
        <v>3460000000</v>
      </c>
      <c r="F77" s="79">
        <v>621600000</v>
      </c>
      <c r="G77" s="79">
        <v>756700000</v>
      </c>
      <c r="H77" s="79">
        <v>43904</v>
      </c>
      <c r="I77" s="79">
        <v>5</v>
      </c>
      <c r="J77" s="79">
        <v>756.7</v>
      </c>
      <c r="K77" s="79">
        <v>8137</v>
      </c>
      <c r="L77" s="79">
        <v>10806</v>
      </c>
      <c r="M77" s="79">
        <v>3466</v>
      </c>
      <c r="N77" s="79">
        <v>5670</v>
      </c>
      <c r="O77" s="79">
        <v>3653.8</v>
      </c>
      <c r="P77" s="79">
        <v>622.33333333333303</v>
      </c>
      <c r="Q77" s="79">
        <v>2851.3333333333298</v>
      </c>
      <c r="R77" s="79">
        <v>750</v>
      </c>
      <c r="S77" s="79">
        <v>0</v>
      </c>
      <c r="T77" s="79">
        <v>1011</v>
      </c>
      <c r="U77" s="79">
        <v>19422</v>
      </c>
      <c r="V77" s="79">
        <v>42270</v>
      </c>
      <c r="W77" s="79">
        <v>19070</v>
      </c>
      <c r="X77" s="79">
        <v>2162.92</v>
      </c>
      <c r="Y77" s="79">
        <v>1176</v>
      </c>
      <c r="Z77" s="79">
        <v>0</v>
      </c>
      <c r="AA77" s="79">
        <v>0</v>
      </c>
      <c r="AB77" s="79">
        <v>0</v>
      </c>
      <c r="AC77" s="79">
        <v>25806</v>
      </c>
      <c r="AD77" s="79">
        <v>25806</v>
      </c>
      <c r="AE77" s="79">
        <v>215</v>
      </c>
      <c r="AF77" s="79">
        <v>0</v>
      </c>
      <c r="AG77" s="79">
        <v>540</v>
      </c>
      <c r="AH77" s="79">
        <v>264</v>
      </c>
      <c r="AI77" s="79">
        <v>276</v>
      </c>
      <c r="AJ77" s="79">
        <v>20162</v>
      </c>
      <c r="AK77" s="79">
        <v>20162</v>
      </c>
      <c r="AL77" s="79">
        <v>5</v>
      </c>
      <c r="AM77" s="79">
        <v>0</v>
      </c>
      <c r="AN77" s="79">
        <v>0</v>
      </c>
      <c r="AO77" s="79">
        <v>1750</v>
      </c>
      <c r="AP77" s="79">
        <v>1204</v>
      </c>
      <c r="AQ77" s="79">
        <v>524</v>
      </c>
      <c r="AR77" s="80">
        <v>7.9470400000000003E-4</v>
      </c>
      <c r="AS77" s="80">
        <v>2.69938E-4</v>
      </c>
      <c r="AT77" s="79">
        <v>13246.433999999999</v>
      </c>
      <c r="AU77" s="79">
        <v>0</v>
      </c>
      <c r="AV77" s="79">
        <v>3413</v>
      </c>
      <c r="AW77" s="79">
        <v>5758.5931363129803</v>
      </c>
      <c r="AX77" s="79">
        <v>24</v>
      </c>
      <c r="AY77" s="79">
        <v>24</v>
      </c>
      <c r="AZ77" s="79">
        <v>4664</v>
      </c>
      <c r="BA77" s="79">
        <v>1</v>
      </c>
      <c r="BB77" s="79">
        <v>0</v>
      </c>
      <c r="BC77" s="79">
        <v>0</v>
      </c>
      <c r="BD77" s="79">
        <v>0</v>
      </c>
      <c r="BE77" s="79">
        <v>0</v>
      </c>
      <c r="BF77" s="79">
        <v>0</v>
      </c>
      <c r="BG77" s="79">
        <v>0</v>
      </c>
      <c r="BH77" s="79">
        <v>0</v>
      </c>
      <c r="BI77" s="79">
        <v>0</v>
      </c>
      <c r="BJ77" s="79">
        <v>0</v>
      </c>
      <c r="BK77" s="79">
        <v>60</v>
      </c>
      <c r="BL77" s="79">
        <v>5564</v>
      </c>
      <c r="BM77" s="79">
        <v>264</v>
      </c>
      <c r="BN77" s="79">
        <v>276</v>
      </c>
      <c r="BO77">
        <v>9975</v>
      </c>
      <c r="BP77">
        <v>1539</v>
      </c>
      <c r="BQ77">
        <v>9830</v>
      </c>
      <c r="BR77">
        <v>1596</v>
      </c>
      <c r="BS77">
        <v>9674</v>
      </c>
      <c r="BT77">
        <v>1501</v>
      </c>
      <c r="BU77">
        <v>9591</v>
      </c>
      <c r="BV77">
        <v>1453</v>
      </c>
      <c r="BW77">
        <v>9366</v>
      </c>
      <c r="BX77">
        <v>1500</v>
      </c>
      <c r="BY77">
        <v>9199</v>
      </c>
      <c r="BZ77">
        <v>1619</v>
      </c>
      <c r="CB77">
        <v>618.41200000000003</v>
      </c>
      <c r="CC77">
        <v>154</v>
      </c>
      <c r="CD77">
        <v>59</v>
      </c>
      <c r="CE77">
        <v>12035.2</v>
      </c>
      <c r="CF77">
        <v>2847.66</v>
      </c>
      <c r="CG77">
        <v>132.39561797415101</v>
      </c>
      <c r="CH77">
        <v>366</v>
      </c>
      <c r="CI77">
        <v>164.333333333333</v>
      </c>
      <c r="CJ77">
        <v>146.666666666667</v>
      </c>
      <c r="CK77" s="81">
        <v>2229</v>
      </c>
      <c r="CL77">
        <v>626</v>
      </c>
      <c r="CM77">
        <v>7738.6122879582399</v>
      </c>
      <c r="CN77">
        <v>1.0580000000000001</v>
      </c>
      <c r="CO77">
        <v>33098</v>
      </c>
      <c r="CP77">
        <v>6192</v>
      </c>
      <c r="CQ77">
        <v>1148</v>
      </c>
      <c r="CR77">
        <v>1081</v>
      </c>
      <c r="CS77">
        <v>1082</v>
      </c>
      <c r="CT77">
        <v>590</v>
      </c>
      <c r="CU77">
        <v>670.34055153258601</v>
      </c>
      <c r="CV77">
        <v>430.40248983235801</v>
      </c>
      <c r="CW77">
        <v>146.42745759349299</v>
      </c>
      <c r="CX77">
        <v>1812.8798999999999</v>
      </c>
      <c r="CY77">
        <v>1163.9875</v>
      </c>
      <c r="CZ77">
        <v>396.00080000000003</v>
      </c>
      <c r="DA77">
        <v>3952</v>
      </c>
      <c r="DE77">
        <v>243</v>
      </c>
      <c r="DF77" t="s">
        <v>130</v>
      </c>
      <c r="DG77">
        <v>9972</v>
      </c>
      <c r="DH77">
        <v>10121</v>
      </c>
      <c r="DI77">
        <v>10283</v>
      </c>
      <c r="DJ77">
        <v>10394</v>
      </c>
      <c r="DK77">
        <v>10457</v>
      </c>
      <c r="DO77">
        <v>183</v>
      </c>
      <c r="DP77" t="s">
        <v>297</v>
      </c>
      <c r="DQ77">
        <v>8621</v>
      </c>
      <c r="DR77">
        <v>1</v>
      </c>
      <c r="DS77">
        <v>281</v>
      </c>
      <c r="DV77">
        <v>503</v>
      </c>
      <c r="DW77" t="s">
        <v>80</v>
      </c>
      <c r="DX77">
        <v>15122.637678118699</v>
      </c>
      <c r="DY77">
        <v>2958</v>
      </c>
      <c r="DZ77">
        <v>1889</v>
      </c>
      <c r="EA77">
        <v>1148</v>
      </c>
      <c r="EB77">
        <v>6429</v>
      </c>
      <c r="EC77">
        <v>3353</v>
      </c>
      <c r="ED77">
        <v>1522</v>
      </c>
      <c r="EE77" s="82">
        <v>0.18268197615041401</v>
      </c>
      <c r="EF77" s="82">
        <v>0.48592072440140599</v>
      </c>
    </row>
    <row r="78" spans="1:136" x14ac:dyDescent="0.35">
      <c r="A78" s="72">
        <v>209</v>
      </c>
      <c r="B78" s="72">
        <v>5</v>
      </c>
      <c r="D78" s="72" t="s">
        <v>48</v>
      </c>
      <c r="E78" s="79">
        <v>2219600000</v>
      </c>
      <c r="F78" s="79">
        <v>234500000</v>
      </c>
      <c r="G78" s="79">
        <v>249900000</v>
      </c>
      <c r="H78" s="79">
        <v>25882</v>
      </c>
      <c r="I78" s="79">
        <v>3</v>
      </c>
      <c r="J78" s="79">
        <v>249.9</v>
      </c>
      <c r="K78" s="79">
        <v>4929</v>
      </c>
      <c r="L78" s="79">
        <v>4954</v>
      </c>
      <c r="M78" s="79">
        <v>1470</v>
      </c>
      <c r="N78" s="79">
        <v>2930</v>
      </c>
      <c r="O78" s="79">
        <v>1793.5</v>
      </c>
      <c r="P78" s="79">
        <v>412.33333333333297</v>
      </c>
      <c r="Q78" s="79">
        <v>1624.3333333333301</v>
      </c>
      <c r="R78" s="79">
        <v>705</v>
      </c>
      <c r="S78" s="79">
        <v>0</v>
      </c>
      <c r="T78" s="79">
        <v>761</v>
      </c>
      <c r="U78" s="79">
        <v>11243</v>
      </c>
      <c r="V78" s="79">
        <v>22310</v>
      </c>
      <c r="W78" s="79">
        <v>9810</v>
      </c>
      <c r="X78" s="79">
        <v>142.56</v>
      </c>
      <c r="Y78" s="79">
        <v>0</v>
      </c>
      <c r="Z78" s="79">
        <v>0</v>
      </c>
      <c r="AA78" s="79">
        <v>0</v>
      </c>
      <c r="AB78" s="79">
        <v>0</v>
      </c>
      <c r="AC78" s="79">
        <v>4351</v>
      </c>
      <c r="AD78" s="79">
        <v>4394.51</v>
      </c>
      <c r="AE78" s="79">
        <v>358</v>
      </c>
      <c r="AF78" s="79">
        <v>0</v>
      </c>
      <c r="AG78" s="79">
        <v>168</v>
      </c>
      <c r="AH78" s="79">
        <v>130.29</v>
      </c>
      <c r="AI78" s="79">
        <v>39</v>
      </c>
      <c r="AJ78" s="79">
        <v>11365</v>
      </c>
      <c r="AK78" s="79">
        <v>11478.65</v>
      </c>
      <c r="AL78" s="79">
        <v>0</v>
      </c>
      <c r="AM78" s="79">
        <v>0</v>
      </c>
      <c r="AN78" s="79">
        <v>0</v>
      </c>
      <c r="AO78" s="79">
        <v>0</v>
      </c>
      <c r="AP78" s="79">
        <v>0</v>
      </c>
      <c r="AQ78" s="79">
        <v>0</v>
      </c>
      <c r="AR78" s="80">
        <v>1.41142E-4</v>
      </c>
      <c r="AS78" s="80">
        <v>8.6934000000000005E-5</v>
      </c>
      <c r="AT78" s="79">
        <v>11330.905000000001</v>
      </c>
      <c r="AU78" s="79">
        <v>0</v>
      </c>
      <c r="AV78" s="79">
        <v>1314.01</v>
      </c>
      <c r="AW78" s="79">
        <v>7288.7867190486304</v>
      </c>
      <c r="AX78" s="79">
        <v>7</v>
      </c>
      <c r="AY78" s="79">
        <v>7</v>
      </c>
      <c r="AZ78" s="79">
        <v>2702</v>
      </c>
      <c r="BA78" s="79">
        <v>1</v>
      </c>
      <c r="BB78" s="79">
        <v>0</v>
      </c>
      <c r="BC78" s="79">
        <v>0</v>
      </c>
      <c r="BD78" s="79">
        <v>0</v>
      </c>
      <c r="BE78" s="79">
        <v>0</v>
      </c>
      <c r="BF78" s="79">
        <v>0</v>
      </c>
      <c r="BG78" s="79">
        <v>0</v>
      </c>
      <c r="BH78" s="79">
        <v>0</v>
      </c>
      <c r="BI78" s="79">
        <v>0</v>
      </c>
      <c r="BJ78" s="79">
        <v>0</v>
      </c>
      <c r="BK78" s="79">
        <v>14</v>
      </c>
      <c r="BL78" s="79">
        <v>3090</v>
      </c>
      <c r="BM78" s="79">
        <v>129</v>
      </c>
      <c r="BN78" s="79">
        <v>39</v>
      </c>
      <c r="BO78">
        <v>5926</v>
      </c>
      <c r="BP78">
        <v>0</v>
      </c>
      <c r="BQ78">
        <v>5791</v>
      </c>
      <c r="BR78">
        <v>0</v>
      </c>
      <c r="BS78">
        <v>5688</v>
      </c>
      <c r="BT78">
        <v>0</v>
      </c>
      <c r="BU78">
        <v>5597</v>
      </c>
      <c r="BV78">
        <v>0</v>
      </c>
      <c r="BW78">
        <v>5395</v>
      </c>
      <c r="BX78">
        <v>0</v>
      </c>
      <c r="BY78">
        <v>5258</v>
      </c>
      <c r="BZ78">
        <v>0</v>
      </c>
      <c r="CB78">
        <v>453.46800000000002</v>
      </c>
      <c r="CC78">
        <v>42</v>
      </c>
      <c r="CD78">
        <v>39</v>
      </c>
      <c r="CE78">
        <v>7876.74</v>
      </c>
      <c r="CF78">
        <v>2026.53</v>
      </c>
      <c r="CG78">
        <v>156.46427341532601</v>
      </c>
      <c r="CH78">
        <v>287</v>
      </c>
      <c r="CI78">
        <v>115.333333333333</v>
      </c>
      <c r="CJ78">
        <v>100</v>
      </c>
      <c r="CK78" s="81">
        <v>1212</v>
      </c>
      <c r="CL78">
        <v>252</v>
      </c>
      <c r="CM78">
        <v>3751.2678334453699</v>
      </c>
      <c r="CN78">
        <v>0.56499999999999995</v>
      </c>
      <c r="CO78">
        <v>20928</v>
      </c>
      <c r="CP78">
        <v>3037</v>
      </c>
      <c r="CQ78">
        <v>447</v>
      </c>
      <c r="CR78">
        <v>556</v>
      </c>
      <c r="CS78">
        <v>476</v>
      </c>
      <c r="CT78">
        <v>210</v>
      </c>
      <c r="CU78">
        <v>299.99502859656798</v>
      </c>
      <c r="CV78">
        <v>157.49344478662599</v>
      </c>
      <c r="CW78">
        <v>48.447382314122301</v>
      </c>
      <c r="CX78">
        <v>788.91499999999996</v>
      </c>
      <c r="CY78">
        <v>414.17</v>
      </c>
      <c r="CZ78">
        <v>127.405</v>
      </c>
      <c r="DA78">
        <v>15876</v>
      </c>
      <c r="DE78">
        <v>244</v>
      </c>
      <c r="DF78" t="s">
        <v>133</v>
      </c>
      <c r="DG78">
        <v>2726</v>
      </c>
      <c r="DH78">
        <v>2718</v>
      </c>
      <c r="DI78">
        <v>2670</v>
      </c>
      <c r="DJ78">
        <v>2639</v>
      </c>
      <c r="DK78">
        <v>2609</v>
      </c>
      <c r="DO78">
        <v>1700</v>
      </c>
      <c r="DP78" t="s">
        <v>298</v>
      </c>
      <c r="DQ78">
        <v>13836</v>
      </c>
      <c r="DR78">
        <v>1</v>
      </c>
      <c r="DS78">
        <v>591</v>
      </c>
      <c r="DV78">
        <v>10</v>
      </c>
      <c r="DW78" t="s">
        <v>81</v>
      </c>
      <c r="DX78">
        <v>4307.3703478788902</v>
      </c>
      <c r="DY78">
        <v>798</v>
      </c>
      <c r="DZ78">
        <v>741</v>
      </c>
      <c r="EA78">
        <v>324</v>
      </c>
      <c r="EB78">
        <v>2167</v>
      </c>
      <c r="EC78">
        <v>1452</v>
      </c>
      <c r="ED78">
        <v>477</v>
      </c>
      <c r="EE78" s="82">
        <v>0.249425679230867</v>
      </c>
      <c r="EF78" s="82">
        <v>0.58303829231403803</v>
      </c>
    </row>
    <row r="79" spans="1:136" x14ac:dyDescent="0.35">
      <c r="A79" s="72">
        <v>1876</v>
      </c>
      <c r="B79" s="72">
        <v>5</v>
      </c>
      <c r="D79" s="72" t="s">
        <v>62</v>
      </c>
      <c r="E79" s="79">
        <v>3262400000</v>
      </c>
      <c r="F79" s="79">
        <v>449050000</v>
      </c>
      <c r="G79" s="79">
        <v>560350000</v>
      </c>
      <c r="H79" s="79">
        <v>36212</v>
      </c>
      <c r="I79" s="79">
        <v>6</v>
      </c>
      <c r="J79" s="79">
        <v>560.35</v>
      </c>
      <c r="K79" s="79">
        <v>6450</v>
      </c>
      <c r="L79" s="79">
        <v>9183</v>
      </c>
      <c r="M79" s="79">
        <v>2895</v>
      </c>
      <c r="N79" s="79">
        <v>4331</v>
      </c>
      <c r="O79" s="79">
        <v>2671.3</v>
      </c>
      <c r="P79" s="79">
        <v>363</v>
      </c>
      <c r="Q79" s="79">
        <v>1934</v>
      </c>
      <c r="R79" s="79">
        <v>400</v>
      </c>
      <c r="S79" s="79">
        <v>0</v>
      </c>
      <c r="T79" s="79">
        <v>752</v>
      </c>
      <c r="U79" s="79">
        <v>15913</v>
      </c>
      <c r="V79" s="79">
        <v>28820</v>
      </c>
      <c r="W79" s="79">
        <v>6990</v>
      </c>
      <c r="X79" s="79">
        <v>0</v>
      </c>
      <c r="Y79" s="79">
        <v>301.60000000000002</v>
      </c>
      <c r="Z79" s="79">
        <v>0</v>
      </c>
      <c r="AA79" s="79">
        <v>0</v>
      </c>
      <c r="AB79" s="79">
        <v>0</v>
      </c>
      <c r="AC79" s="79">
        <v>28350</v>
      </c>
      <c r="AD79" s="79">
        <v>28350</v>
      </c>
      <c r="AE79" s="79">
        <v>292</v>
      </c>
      <c r="AF79" s="79">
        <v>0</v>
      </c>
      <c r="AG79" s="79">
        <v>456</v>
      </c>
      <c r="AH79" s="79">
        <v>188</v>
      </c>
      <c r="AI79" s="79">
        <v>269</v>
      </c>
      <c r="AJ79" s="79">
        <v>16597</v>
      </c>
      <c r="AK79" s="79">
        <v>16597</v>
      </c>
      <c r="AL79" s="79">
        <v>0</v>
      </c>
      <c r="AM79" s="79">
        <v>0</v>
      </c>
      <c r="AN79" s="79">
        <v>0</v>
      </c>
      <c r="AO79" s="79">
        <v>0</v>
      </c>
      <c r="AP79" s="79">
        <v>0</v>
      </c>
      <c r="AQ79" s="79">
        <v>0</v>
      </c>
      <c r="AR79" s="80">
        <v>6.80644E-4</v>
      </c>
      <c r="AS79" s="80">
        <v>1.5694299999999999E-4</v>
      </c>
      <c r="AT79" s="79">
        <v>6273.6660000000002</v>
      </c>
      <c r="AU79" s="79">
        <v>0</v>
      </c>
      <c r="AV79" s="79">
        <v>3452</v>
      </c>
      <c r="AW79" s="79">
        <v>4364.3538859018199</v>
      </c>
      <c r="AX79" s="79">
        <v>24</v>
      </c>
      <c r="AY79" s="79">
        <v>24</v>
      </c>
      <c r="AZ79" s="79">
        <v>4689</v>
      </c>
      <c r="BA79" s="79">
        <v>1</v>
      </c>
      <c r="BB79" s="79">
        <v>0</v>
      </c>
      <c r="BC79" s="79">
        <v>0</v>
      </c>
      <c r="BD79" s="79">
        <v>0</v>
      </c>
      <c r="BE79" s="79">
        <v>0</v>
      </c>
      <c r="BF79" s="79">
        <v>0</v>
      </c>
      <c r="BG79" s="79">
        <v>0</v>
      </c>
      <c r="BH79" s="79">
        <v>0</v>
      </c>
      <c r="BI79" s="79">
        <v>0</v>
      </c>
      <c r="BJ79" s="79">
        <v>0</v>
      </c>
      <c r="BK79" s="79">
        <v>40</v>
      </c>
      <c r="BL79" s="79">
        <v>4392</v>
      </c>
      <c r="BM79" s="79">
        <v>188</v>
      </c>
      <c r="BN79" s="79">
        <v>269</v>
      </c>
      <c r="BO79">
        <v>8330</v>
      </c>
      <c r="BP79">
        <v>344</v>
      </c>
      <c r="BQ79">
        <v>8175</v>
      </c>
      <c r="BR79">
        <v>352</v>
      </c>
      <c r="BS79">
        <v>8016</v>
      </c>
      <c r="BT79">
        <v>382</v>
      </c>
      <c r="BU79">
        <v>7793</v>
      </c>
      <c r="BV79">
        <v>424</v>
      </c>
      <c r="BW79">
        <v>7613</v>
      </c>
      <c r="BX79">
        <v>436</v>
      </c>
      <c r="BY79">
        <v>7356</v>
      </c>
      <c r="BZ79">
        <v>438</v>
      </c>
      <c r="CB79">
        <v>503.1</v>
      </c>
      <c r="CC79">
        <v>85</v>
      </c>
      <c r="CD79">
        <v>24</v>
      </c>
      <c r="CE79">
        <v>10716.39</v>
      </c>
      <c r="CF79">
        <v>2432.7600000000002</v>
      </c>
      <c r="CG79">
        <v>113.589349713652</v>
      </c>
      <c r="CH79">
        <v>304</v>
      </c>
      <c r="CI79">
        <v>111</v>
      </c>
      <c r="CJ79">
        <v>73.3333333333333</v>
      </c>
      <c r="CK79" s="81">
        <v>1571</v>
      </c>
      <c r="CL79">
        <v>427</v>
      </c>
      <c r="CM79">
        <v>6270.2005368392201</v>
      </c>
      <c r="CN79">
        <v>0.25</v>
      </c>
      <c r="CO79">
        <v>27029</v>
      </c>
      <c r="CP79">
        <v>5268</v>
      </c>
      <c r="CQ79">
        <v>1020</v>
      </c>
      <c r="CR79">
        <v>899</v>
      </c>
      <c r="CS79">
        <v>968</v>
      </c>
      <c r="CT79">
        <v>565</v>
      </c>
      <c r="CU79">
        <v>511.17965897451302</v>
      </c>
      <c r="CV79">
        <v>329.30528408748597</v>
      </c>
      <c r="CW79">
        <v>124.73685003313901</v>
      </c>
      <c r="CX79">
        <v>1365.3624</v>
      </c>
      <c r="CY79">
        <v>879.57539999999995</v>
      </c>
      <c r="CZ79">
        <v>333.17250000000001</v>
      </c>
      <c r="DA79">
        <v>12822</v>
      </c>
      <c r="DE79">
        <v>246</v>
      </c>
      <c r="DF79" t="s">
        <v>136</v>
      </c>
      <c r="DG79">
        <v>4014</v>
      </c>
      <c r="DH79">
        <v>3944</v>
      </c>
      <c r="DI79">
        <v>3919</v>
      </c>
      <c r="DJ79">
        <v>3850</v>
      </c>
      <c r="DK79">
        <v>3835</v>
      </c>
      <c r="DO79">
        <v>189</v>
      </c>
      <c r="DP79" t="s">
        <v>343</v>
      </c>
      <c r="DQ79">
        <v>10146</v>
      </c>
      <c r="DR79">
        <v>1</v>
      </c>
      <c r="DS79">
        <v>694</v>
      </c>
      <c r="DV79">
        <v>400</v>
      </c>
      <c r="DW79" t="s">
        <v>82</v>
      </c>
      <c r="DX79">
        <v>9427.8934038721309</v>
      </c>
      <c r="DY79">
        <v>1853</v>
      </c>
      <c r="DZ79">
        <v>1343</v>
      </c>
      <c r="EA79">
        <v>660</v>
      </c>
      <c r="EB79">
        <v>4617</v>
      </c>
      <c r="EC79">
        <v>2626</v>
      </c>
      <c r="ED79">
        <v>906</v>
      </c>
      <c r="EE79" s="82">
        <v>0.213792424825166</v>
      </c>
      <c r="EF79" s="82">
        <v>0.54870379860755203</v>
      </c>
    </row>
    <row r="80" spans="1:136" x14ac:dyDescent="0.35">
      <c r="A80" s="72">
        <v>213</v>
      </c>
      <c r="B80" s="72">
        <v>5</v>
      </c>
      <c r="D80" s="72" t="s">
        <v>63</v>
      </c>
      <c r="E80" s="79">
        <v>1860000000</v>
      </c>
      <c r="F80" s="79">
        <v>229250000</v>
      </c>
      <c r="G80" s="79">
        <v>256200000</v>
      </c>
      <c r="H80" s="79">
        <v>20698</v>
      </c>
      <c r="I80" s="79">
        <v>2</v>
      </c>
      <c r="J80" s="79">
        <v>256.2</v>
      </c>
      <c r="K80" s="79">
        <v>3561</v>
      </c>
      <c r="L80" s="79">
        <v>5193</v>
      </c>
      <c r="M80" s="79">
        <v>1785</v>
      </c>
      <c r="N80" s="79">
        <v>2490</v>
      </c>
      <c r="O80" s="79">
        <v>1512.5</v>
      </c>
      <c r="P80" s="79">
        <v>320</v>
      </c>
      <c r="Q80" s="79">
        <v>1383</v>
      </c>
      <c r="R80" s="79">
        <v>915</v>
      </c>
      <c r="S80" s="79">
        <v>0</v>
      </c>
      <c r="T80" s="79">
        <v>562</v>
      </c>
      <c r="U80" s="79">
        <v>9356</v>
      </c>
      <c r="V80" s="79">
        <v>18240</v>
      </c>
      <c r="W80" s="79">
        <v>5430</v>
      </c>
      <c r="X80" s="79">
        <v>262.95999999999998</v>
      </c>
      <c r="Y80" s="79">
        <v>0</v>
      </c>
      <c r="Z80" s="79">
        <v>0</v>
      </c>
      <c r="AA80" s="79">
        <v>0</v>
      </c>
      <c r="AB80" s="79">
        <v>0</v>
      </c>
      <c r="AC80" s="79">
        <v>8363</v>
      </c>
      <c r="AD80" s="79">
        <v>8363</v>
      </c>
      <c r="AE80" s="79">
        <v>138</v>
      </c>
      <c r="AF80" s="79">
        <v>0</v>
      </c>
      <c r="AG80" s="79">
        <v>179</v>
      </c>
      <c r="AH80" s="79">
        <v>118</v>
      </c>
      <c r="AI80" s="79">
        <v>61</v>
      </c>
      <c r="AJ80" s="79">
        <v>9775</v>
      </c>
      <c r="AK80" s="79">
        <v>9775</v>
      </c>
      <c r="AL80" s="79">
        <v>0</v>
      </c>
      <c r="AM80" s="79">
        <v>0</v>
      </c>
      <c r="AN80" s="79">
        <v>0</v>
      </c>
      <c r="AO80" s="79">
        <v>0</v>
      </c>
      <c r="AP80" s="79">
        <v>509</v>
      </c>
      <c r="AQ80" s="79">
        <v>0</v>
      </c>
      <c r="AR80" s="80">
        <v>3.5796299999999999E-4</v>
      </c>
      <c r="AS80" s="80">
        <v>1.11223E-4</v>
      </c>
      <c r="AT80" s="79">
        <v>7458.3249999999998</v>
      </c>
      <c r="AU80" s="79">
        <v>0</v>
      </c>
      <c r="AV80" s="79">
        <v>1323</v>
      </c>
      <c r="AW80" s="79">
        <v>3221.2038583695999</v>
      </c>
      <c r="AX80" s="79">
        <v>7</v>
      </c>
      <c r="AY80" s="79">
        <v>7</v>
      </c>
      <c r="AZ80" s="79">
        <v>2128</v>
      </c>
      <c r="BA80" s="79">
        <v>1</v>
      </c>
      <c r="BB80" s="79">
        <v>0</v>
      </c>
      <c r="BC80" s="79">
        <v>0</v>
      </c>
      <c r="BD80" s="79">
        <v>0</v>
      </c>
      <c r="BE80" s="79">
        <v>0</v>
      </c>
      <c r="BF80" s="79">
        <v>0</v>
      </c>
      <c r="BG80" s="79">
        <v>0</v>
      </c>
      <c r="BH80" s="79">
        <v>0</v>
      </c>
      <c r="BI80" s="79">
        <v>0</v>
      </c>
      <c r="BJ80" s="79">
        <v>0</v>
      </c>
      <c r="BK80" s="79">
        <v>19</v>
      </c>
      <c r="BL80" s="79">
        <v>2623</v>
      </c>
      <c r="BM80" s="79">
        <v>118</v>
      </c>
      <c r="BN80" s="79">
        <v>61</v>
      </c>
      <c r="BO80">
        <v>4556</v>
      </c>
      <c r="BP80">
        <v>0</v>
      </c>
      <c r="BQ80">
        <v>4529</v>
      </c>
      <c r="BR80">
        <v>0</v>
      </c>
      <c r="BS80">
        <v>4467</v>
      </c>
      <c r="BT80">
        <v>0</v>
      </c>
      <c r="BU80">
        <v>4379</v>
      </c>
      <c r="BV80">
        <v>0</v>
      </c>
      <c r="BW80">
        <v>4246</v>
      </c>
      <c r="BX80">
        <v>0</v>
      </c>
      <c r="BY80">
        <v>4168</v>
      </c>
      <c r="BZ80">
        <v>0</v>
      </c>
      <c r="CB80">
        <v>320.49</v>
      </c>
      <c r="CC80">
        <v>67</v>
      </c>
      <c r="CD80">
        <v>34</v>
      </c>
      <c r="CE80">
        <v>6230.01</v>
      </c>
      <c r="CF80">
        <v>1374.08</v>
      </c>
      <c r="CG80">
        <v>134.221870813397</v>
      </c>
      <c r="CH80">
        <v>204</v>
      </c>
      <c r="CI80">
        <v>93.6666666666667</v>
      </c>
      <c r="CJ80">
        <v>81</v>
      </c>
      <c r="CK80" s="81">
        <v>1063</v>
      </c>
      <c r="CL80">
        <v>303</v>
      </c>
      <c r="CM80">
        <v>3812.2358926354</v>
      </c>
      <c r="CN80">
        <v>0.73499999999999999</v>
      </c>
      <c r="CO80">
        <v>15505</v>
      </c>
      <c r="CP80">
        <v>2839</v>
      </c>
      <c r="CQ80">
        <v>569</v>
      </c>
      <c r="CR80">
        <v>479</v>
      </c>
      <c r="CS80">
        <v>538</v>
      </c>
      <c r="CT80">
        <v>305</v>
      </c>
      <c r="CU80">
        <v>261.18670076726301</v>
      </c>
      <c r="CV80">
        <v>185.83248081841401</v>
      </c>
      <c r="CW80">
        <v>67.462915601022999</v>
      </c>
      <c r="CX80">
        <v>725.6712</v>
      </c>
      <c r="CY80">
        <v>516.30989999999997</v>
      </c>
      <c r="CZ80">
        <v>187.43639999999999</v>
      </c>
      <c r="DA80">
        <v>70080</v>
      </c>
      <c r="DE80">
        <v>252</v>
      </c>
      <c r="DF80" t="s">
        <v>148</v>
      </c>
      <c r="DG80">
        <v>3954</v>
      </c>
      <c r="DH80">
        <v>3870</v>
      </c>
      <c r="DI80">
        <v>3775</v>
      </c>
      <c r="DJ80">
        <v>3665</v>
      </c>
      <c r="DK80">
        <v>3623</v>
      </c>
      <c r="DO80">
        <v>1896</v>
      </c>
      <c r="DP80" t="s">
        <v>363</v>
      </c>
      <c r="DQ80">
        <v>8843</v>
      </c>
      <c r="DR80">
        <v>1.02</v>
      </c>
      <c r="DS80">
        <v>714</v>
      </c>
      <c r="DV80">
        <v>762</v>
      </c>
      <c r="DW80" t="s">
        <v>83</v>
      </c>
      <c r="DX80">
        <v>3902.83664624122</v>
      </c>
      <c r="DY80">
        <v>661</v>
      </c>
      <c r="DZ80">
        <v>756</v>
      </c>
      <c r="EA80">
        <v>343</v>
      </c>
      <c r="EB80">
        <v>2327</v>
      </c>
      <c r="EC80">
        <v>1549</v>
      </c>
      <c r="ED80">
        <v>480</v>
      </c>
      <c r="EE80" s="82">
        <v>0.179753182298131</v>
      </c>
      <c r="EF80" s="82">
        <v>0.46927942762387398</v>
      </c>
    </row>
    <row r="81" spans="1:136" x14ac:dyDescent="0.35">
      <c r="A81" s="72">
        <v>214</v>
      </c>
      <c r="B81" s="72">
        <v>5</v>
      </c>
      <c r="D81" s="72" t="s">
        <v>67</v>
      </c>
      <c r="E81" s="79">
        <v>2521600000</v>
      </c>
      <c r="F81" s="79">
        <v>291200000</v>
      </c>
      <c r="G81" s="79">
        <v>330050000</v>
      </c>
      <c r="H81" s="79">
        <v>26568</v>
      </c>
      <c r="I81" s="79">
        <v>8</v>
      </c>
      <c r="J81" s="79">
        <v>330.05</v>
      </c>
      <c r="K81" s="79">
        <v>5245</v>
      </c>
      <c r="L81" s="79">
        <v>5294</v>
      </c>
      <c r="M81" s="79">
        <v>1485</v>
      </c>
      <c r="N81" s="79">
        <v>2703</v>
      </c>
      <c r="O81" s="79">
        <v>1602.3</v>
      </c>
      <c r="P81" s="79">
        <v>238</v>
      </c>
      <c r="Q81" s="79">
        <v>1193</v>
      </c>
      <c r="R81" s="79">
        <v>390</v>
      </c>
      <c r="S81" s="79">
        <v>0</v>
      </c>
      <c r="T81" s="79">
        <v>666</v>
      </c>
      <c r="U81" s="79">
        <v>11050</v>
      </c>
      <c r="V81" s="79">
        <v>17510</v>
      </c>
      <c r="W81" s="79">
        <v>990</v>
      </c>
      <c r="X81" s="79">
        <v>0</v>
      </c>
      <c r="Y81" s="79">
        <v>0</v>
      </c>
      <c r="Z81" s="79">
        <v>0</v>
      </c>
      <c r="AA81" s="79">
        <v>0</v>
      </c>
      <c r="AB81" s="79">
        <v>0</v>
      </c>
      <c r="AC81" s="79">
        <v>13382</v>
      </c>
      <c r="AD81" s="79">
        <v>15255.48</v>
      </c>
      <c r="AE81" s="79">
        <v>910</v>
      </c>
      <c r="AF81" s="79">
        <v>0</v>
      </c>
      <c r="AG81" s="79">
        <v>271</v>
      </c>
      <c r="AH81" s="79">
        <v>165.24</v>
      </c>
      <c r="AI81" s="79">
        <v>135.69999999999999</v>
      </c>
      <c r="AJ81" s="79">
        <v>11007</v>
      </c>
      <c r="AK81" s="79">
        <v>11887.56</v>
      </c>
      <c r="AL81" s="79">
        <v>6</v>
      </c>
      <c r="AM81" s="79">
        <v>0</v>
      </c>
      <c r="AN81" s="79">
        <v>0</v>
      </c>
      <c r="AO81" s="79">
        <v>1150</v>
      </c>
      <c r="AP81" s="79">
        <v>0</v>
      </c>
      <c r="AQ81" s="79">
        <v>0</v>
      </c>
      <c r="AR81" s="80">
        <v>3.7707300000000001E-4</v>
      </c>
      <c r="AS81" s="80">
        <v>8.2724000000000003E-5</v>
      </c>
      <c r="AT81" s="79">
        <v>3048.9389999999999</v>
      </c>
      <c r="AU81" s="79">
        <v>0</v>
      </c>
      <c r="AV81" s="79">
        <v>3594.42</v>
      </c>
      <c r="AW81" s="79">
        <v>9165.51385390428</v>
      </c>
      <c r="AX81" s="79">
        <v>22</v>
      </c>
      <c r="AY81" s="79">
        <v>25.3</v>
      </c>
      <c r="AZ81" s="79">
        <v>3703</v>
      </c>
      <c r="BA81" s="79">
        <v>1</v>
      </c>
      <c r="BB81" s="79">
        <v>0</v>
      </c>
      <c r="BC81" s="79">
        <v>0</v>
      </c>
      <c r="BD81" s="79">
        <v>0</v>
      </c>
      <c r="BE81" s="79">
        <v>0</v>
      </c>
      <c r="BF81" s="79">
        <v>0</v>
      </c>
      <c r="BG81" s="79">
        <v>0</v>
      </c>
      <c r="BH81" s="79">
        <v>0</v>
      </c>
      <c r="BI81" s="79">
        <v>0</v>
      </c>
      <c r="BJ81" s="79">
        <v>0</v>
      </c>
      <c r="BK81" s="79">
        <v>17</v>
      </c>
      <c r="BL81" s="79">
        <v>2730</v>
      </c>
      <c r="BM81" s="79">
        <v>153</v>
      </c>
      <c r="BN81" s="79">
        <v>118</v>
      </c>
      <c r="BO81">
        <v>5824</v>
      </c>
      <c r="BP81">
        <v>0</v>
      </c>
      <c r="BQ81">
        <v>5847</v>
      </c>
      <c r="BR81">
        <v>0</v>
      </c>
      <c r="BS81">
        <v>5823</v>
      </c>
      <c r="BT81">
        <v>0</v>
      </c>
      <c r="BU81">
        <v>5746</v>
      </c>
      <c r="BV81">
        <v>0</v>
      </c>
      <c r="BW81">
        <v>5675</v>
      </c>
      <c r="BX81">
        <v>0</v>
      </c>
      <c r="BY81">
        <v>5633</v>
      </c>
      <c r="BZ81">
        <v>0</v>
      </c>
      <c r="CB81">
        <v>430.09</v>
      </c>
      <c r="CC81">
        <v>105</v>
      </c>
      <c r="CD81">
        <v>32</v>
      </c>
      <c r="CE81">
        <v>8288.56</v>
      </c>
      <c r="CF81">
        <v>2144.16</v>
      </c>
      <c r="CG81">
        <v>142.53741347053301</v>
      </c>
      <c r="CH81">
        <v>279</v>
      </c>
      <c r="CI81">
        <v>78.6666666666667</v>
      </c>
      <c r="CJ81">
        <v>57</v>
      </c>
      <c r="CK81" s="81">
        <v>955</v>
      </c>
      <c r="CL81">
        <v>192</v>
      </c>
      <c r="CM81">
        <v>3725.0765468284899</v>
      </c>
      <c r="CN81">
        <v>0.13500000000000001</v>
      </c>
      <c r="CO81">
        <v>21274</v>
      </c>
      <c r="CP81">
        <v>3367</v>
      </c>
      <c r="CQ81">
        <v>442</v>
      </c>
      <c r="CR81">
        <v>560</v>
      </c>
      <c r="CS81">
        <v>456</v>
      </c>
      <c r="CT81">
        <v>202</v>
      </c>
      <c r="CU81">
        <v>291.43314254565303</v>
      </c>
      <c r="CV81">
        <v>148.77356227855</v>
      </c>
      <c r="CW81">
        <v>43.089016080675897</v>
      </c>
      <c r="CX81">
        <v>753.15239999999994</v>
      </c>
      <c r="CY81">
        <v>384.47640000000001</v>
      </c>
      <c r="CZ81">
        <v>111.3552</v>
      </c>
      <c r="DA81">
        <v>0</v>
      </c>
      <c r="DE81">
        <v>262</v>
      </c>
      <c r="DF81" t="s">
        <v>187</v>
      </c>
      <c r="DG81">
        <v>6993</v>
      </c>
      <c r="DH81">
        <v>6935</v>
      </c>
      <c r="DI81">
        <v>6807</v>
      </c>
      <c r="DJ81">
        <v>6683</v>
      </c>
      <c r="DK81">
        <v>6608</v>
      </c>
      <c r="DO81">
        <v>193</v>
      </c>
      <c r="DP81" t="s">
        <v>365</v>
      </c>
      <c r="DQ81">
        <v>57700</v>
      </c>
      <c r="DR81">
        <v>1</v>
      </c>
      <c r="DS81">
        <v>1993</v>
      </c>
      <c r="DV81">
        <v>150</v>
      </c>
      <c r="DW81" t="s">
        <v>84</v>
      </c>
      <c r="DX81">
        <v>14623.6276673053</v>
      </c>
      <c r="DY81">
        <v>2377</v>
      </c>
      <c r="DZ81">
        <v>1918</v>
      </c>
      <c r="EA81">
        <v>1142</v>
      </c>
      <c r="EB81">
        <v>6261</v>
      </c>
      <c r="EC81">
        <v>3792</v>
      </c>
      <c r="ED81">
        <v>1546</v>
      </c>
      <c r="EE81" s="82">
        <v>0.22298137392727599</v>
      </c>
      <c r="EF81" s="82">
        <v>0.50311442937072404</v>
      </c>
    </row>
    <row r="82" spans="1:136" x14ac:dyDescent="0.35">
      <c r="A82" s="72">
        <v>216</v>
      </c>
      <c r="B82" s="72">
        <v>5</v>
      </c>
      <c r="D82" s="72" t="s">
        <v>73</v>
      </c>
      <c r="E82" s="79">
        <v>2225200000</v>
      </c>
      <c r="F82" s="79">
        <v>341950000</v>
      </c>
      <c r="G82" s="79">
        <v>353850000</v>
      </c>
      <c r="H82" s="79">
        <v>28555</v>
      </c>
      <c r="I82" s="79">
        <v>1</v>
      </c>
      <c r="J82" s="79">
        <v>353.85</v>
      </c>
      <c r="K82" s="79">
        <v>6024</v>
      </c>
      <c r="L82" s="79">
        <v>5146</v>
      </c>
      <c r="M82" s="79">
        <v>1531</v>
      </c>
      <c r="N82" s="79">
        <v>3386</v>
      </c>
      <c r="O82" s="79">
        <v>2121.6999999999998</v>
      </c>
      <c r="P82" s="79">
        <v>549.33333333333303</v>
      </c>
      <c r="Q82" s="79">
        <v>1785.3333333333301</v>
      </c>
      <c r="R82" s="79">
        <v>3235</v>
      </c>
      <c r="S82" s="79">
        <v>0</v>
      </c>
      <c r="T82" s="79">
        <v>937</v>
      </c>
      <c r="U82" s="79">
        <v>12650</v>
      </c>
      <c r="V82" s="79">
        <v>30030</v>
      </c>
      <c r="W82" s="79">
        <v>15410</v>
      </c>
      <c r="X82" s="79">
        <v>441.54</v>
      </c>
      <c r="Y82" s="79">
        <v>3524.8</v>
      </c>
      <c r="Z82" s="79">
        <v>0</v>
      </c>
      <c r="AA82" s="79">
        <v>0</v>
      </c>
      <c r="AB82" s="79">
        <v>0</v>
      </c>
      <c r="AC82" s="79">
        <v>2931</v>
      </c>
      <c r="AD82" s="79">
        <v>3839.61</v>
      </c>
      <c r="AE82" s="79">
        <v>184</v>
      </c>
      <c r="AF82" s="79">
        <v>0</v>
      </c>
      <c r="AG82" s="79">
        <v>182</v>
      </c>
      <c r="AH82" s="79">
        <v>205.11</v>
      </c>
      <c r="AI82" s="79">
        <v>30.36</v>
      </c>
      <c r="AJ82" s="79">
        <v>12643</v>
      </c>
      <c r="AK82" s="79">
        <v>16309.47</v>
      </c>
      <c r="AL82" s="79">
        <v>17</v>
      </c>
      <c r="AM82" s="79">
        <v>0</v>
      </c>
      <c r="AN82" s="79">
        <v>0</v>
      </c>
      <c r="AO82" s="79">
        <v>3100</v>
      </c>
      <c r="AP82" s="79">
        <v>1899</v>
      </c>
      <c r="AQ82" s="79">
        <v>1899</v>
      </c>
      <c r="AR82" s="80">
        <v>4.32459E-4</v>
      </c>
      <c r="AS82" s="80">
        <v>3.9749700000000002E-4</v>
      </c>
      <c r="AT82" s="79">
        <v>18458.78</v>
      </c>
      <c r="AU82" s="79">
        <v>0</v>
      </c>
      <c r="AV82" s="79">
        <v>1472.44</v>
      </c>
      <c r="AW82" s="79">
        <v>26995.521155698199</v>
      </c>
      <c r="AX82" s="79">
        <v>1</v>
      </c>
      <c r="AY82" s="79">
        <v>1.32</v>
      </c>
      <c r="AZ82" s="79">
        <v>3202</v>
      </c>
      <c r="BA82" s="79">
        <v>1</v>
      </c>
      <c r="BB82" s="79">
        <v>0</v>
      </c>
      <c r="BC82" s="79">
        <v>0</v>
      </c>
      <c r="BD82" s="79">
        <v>0</v>
      </c>
      <c r="BE82" s="79">
        <v>0</v>
      </c>
      <c r="BF82" s="79">
        <v>0</v>
      </c>
      <c r="BG82" s="79">
        <v>0</v>
      </c>
      <c r="BH82" s="79">
        <v>0</v>
      </c>
      <c r="BI82" s="79">
        <v>0</v>
      </c>
      <c r="BJ82" s="79">
        <v>0</v>
      </c>
      <c r="BK82" s="79">
        <v>18</v>
      </c>
      <c r="BL82" s="79">
        <v>4058</v>
      </c>
      <c r="BM82" s="79">
        <v>159</v>
      </c>
      <c r="BN82" s="79">
        <v>23</v>
      </c>
      <c r="BO82">
        <v>6805</v>
      </c>
      <c r="BP82">
        <v>4018</v>
      </c>
      <c r="BQ82">
        <v>6710</v>
      </c>
      <c r="BR82">
        <v>4098</v>
      </c>
      <c r="BS82">
        <v>6668</v>
      </c>
      <c r="BT82">
        <v>4070</v>
      </c>
      <c r="BU82">
        <v>6556</v>
      </c>
      <c r="BV82">
        <v>4077</v>
      </c>
      <c r="BW82">
        <v>6425</v>
      </c>
      <c r="BX82">
        <v>4077</v>
      </c>
      <c r="BY82">
        <v>6335</v>
      </c>
      <c r="BZ82">
        <v>4113</v>
      </c>
      <c r="CB82">
        <v>638.54399999999998</v>
      </c>
      <c r="CC82">
        <v>50</v>
      </c>
      <c r="CD82">
        <v>137</v>
      </c>
      <c r="CE82">
        <v>8503.56</v>
      </c>
      <c r="CF82">
        <v>2230.8000000000002</v>
      </c>
      <c r="CG82">
        <v>234.778920469361</v>
      </c>
      <c r="CH82">
        <v>328</v>
      </c>
      <c r="CI82">
        <v>167.666666666667</v>
      </c>
      <c r="CJ82">
        <v>122</v>
      </c>
      <c r="CK82" s="81">
        <v>1236</v>
      </c>
      <c r="CL82">
        <v>324</v>
      </c>
      <c r="CM82">
        <v>3994.1466357979998</v>
      </c>
      <c r="CN82">
        <v>1.089</v>
      </c>
      <c r="CO82">
        <v>23409</v>
      </c>
      <c r="CP82">
        <v>3070</v>
      </c>
      <c r="CQ82">
        <v>545</v>
      </c>
      <c r="CR82">
        <v>729</v>
      </c>
      <c r="CS82">
        <v>562</v>
      </c>
      <c r="CT82">
        <v>261</v>
      </c>
      <c r="CU82">
        <v>330.43006406707298</v>
      </c>
      <c r="CV82">
        <v>182.248374594637</v>
      </c>
      <c r="CW82">
        <v>62.259803844024397</v>
      </c>
      <c r="CX82">
        <v>853.95529999999997</v>
      </c>
      <c r="CY82">
        <v>470.9982</v>
      </c>
      <c r="CZ82">
        <v>160.90270000000001</v>
      </c>
      <c r="DA82">
        <v>19845</v>
      </c>
      <c r="DE82">
        <v>263</v>
      </c>
      <c r="DF82" t="s">
        <v>192</v>
      </c>
      <c r="DG82">
        <v>5371</v>
      </c>
      <c r="DH82">
        <v>5316</v>
      </c>
      <c r="DI82">
        <v>5305</v>
      </c>
      <c r="DJ82">
        <v>5255</v>
      </c>
      <c r="DK82">
        <v>5233</v>
      </c>
      <c r="DO82">
        <v>197</v>
      </c>
      <c r="DP82" t="s">
        <v>13</v>
      </c>
      <c r="DQ82">
        <v>12190</v>
      </c>
      <c r="DR82">
        <v>1</v>
      </c>
      <c r="DS82">
        <v>782</v>
      </c>
      <c r="DV82">
        <v>384</v>
      </c>
      <c r="DW82" t="s">
        <v>85</v>
      </c>
      <c r="DX82">
        <v>3656.3457532639</v>
      </c>
      <c r="DY82">
        <v>683</v>
      </c>
      <c r="DZ82">
        <v>489</v>
      </c>
      <c r="EA82">
        <v>292</v>
      </c>
      <c r="EB82">
        <v>1688</v>
      </c>
      <c r="EC82">
        <v>946</v>
      </c>
      <c r="ED82">
        <v>411</v>
      </c>
      <c r="EE82" s="82">
        <v>0.167061993518655</v>
      </c>
      <c r="EF82" s="82">
        <v>0.418704494192155</v>
      </c>
    </row>
    <row r="83" spans="1:136" x14ac:dyDescent="0.35">
      <c r="A83" s="72">
        <v>221</v>
      </c>
      <c r="B83" s="72">
        <v>5</v>
      </c>
      <c r="D83" s="72" t="s">
        <v>87</v>
      </c>
      <c r="E83" s="79">
        <v>836000000</v>
      </c>
      <c r="F83" s="79">
        <v>85400000</v>
      </c>
      <c r="G83" s="79">
        <v>93800000</v>
      </c>
      <c r="H83" s="79">
        <v>11148</v>
      </c>
      <c r="I83" s="79">
        <v>1</v>
      </c>
      <c r="J83" s="79">
        <v>93.8</v>
      </c>
      <c r="K83" s="79">
        <v>1850</v>
      </c>
      <c r="L83" s="79">
        <v>2800</v>
      </c>
      <c r="M83" s="79">
        <v>833</v>
      </c>
      <c r="N83" s="79">
        <v>1930</v>
      </c>
      <c r="O83" s="79">
        <v>1399.9</v>
      </c>
      <c r="P83" s="79">
        <v>320</v>
      </c>
      <c r="Q83" s="79">
        <v>1149</v>
      </c>
      <c r="R83" s="79">
        <v>950</v>
      </c>
      <c r="S83" s="79">
        <v>0</v>
      </c>
      <c r="T83" s="79">
        <v>423</v>
      </c>
      <c r="U83" s="79">
        <v>5326</v>
      </c>
      <c r="V83" s="79">
        <v>10990</v>
      </c>
      <c r="W83" s="79">
        <v>4680</v>
      </c>
      <c r="X83" s="79">
        <v>0</v>
      </c>
      <c r="Y83" s="79">
        <v>0</v>
      </c>
      <c r="Z83" s="79">
        <v>0</v>
      </c>
      <c r="AA83" s="79">
        <v>0</v>
      </c>
      <c r="AB83" s="79">
        <v>0</v>
      </c>
      <c r="AC83" s="79">
        <v>1158</v>
      </c>
      <c r="AD83" s="79">
        <v>1158</v>
      </c>
      <c r="AE83" s="79">
        <v>138</v>
      </c>
      <c r="AF83" s="79">
        <v>0</v>
      </c>
      <c r="AG83" s="79">
        <v>62</v>
      </c>
      <c r="AH83" s="79">
        <v>51</v>
      </c>
      <c r="AI83" s="79">
        <v>11</v>
      </c>
      <c r="AJ83" s="79">
        <v>5301</v>
      </c>
      <c r="AK83" s="79">
        <v>5301</v>
      </c>
      <c r="AL83" s="79">
        <v>18</v>
      </c>
      <c r="AM83" s="79">
        <v>0</v>
      </c>
      <c r="AN83" s="79">
        <v>0</v>
      </c>
      <c r="AO83" s="79">
        <v>7400</v>
      </c>
      <c r="AP83" s="79">
        <v>1178</v>
      </c>
      <c r="AQ83" s="79">
        <v>1178</v>
      </c>
      <c r="AR83" s="80">
        <v>3.1146199999999998E-4</v>
      </c>
      <c r="AS83" s="80">
        <v>1.8726699999999999E-4</v>
      </c>
      <c r="AT83" s="79">
        <v>4558.8599999999997</v>
      </c>
      <c r="AU83" s="79">
        <v>0</v>
      </c>
      <c r="AV83" s="79">
        <v>606</v>
      </c>
      <c r="AW83" s="79">
        <v>5212.7222222222199</v>
      </c>
      <c r="AX83" s="79">
        <v>1</v>
      </c>
      <c r="AY83" s="79">
        <v>1</v>
      </c>
      <c r="AZ83" s="79">
        <v>1017</v>
      </c>
      <c r="BA83" s="79">
        <v>1</v>
      </c>
      <c r="BB83" s="79">
        <v>0</v>
      </c>
      <c r="BC83" s="79">
        <v>0</v>
      </c>
      <c r="BD83" s="79">
        <v>0</v>
      </c>
      <c r="BE83" s="79">
        <v>0</v>
      </c>
      <c r="BF83" s="79">
        <v>0</v>
      </c>
      <c r="BG83" s="79">
        <v>0</v>
      </c>
      <c r="BH83" s="79">
        <v>0</v>
      </c>
      <c r="BI83" s="79">
        <v>0</v>
      </c>
      <c r="BJ83" s="79">
        <v>0</v>
      </c>
      <c r="BK83" s="79">
        <v>12</v>
      </c>
      <c r="BL83" s="79">
        <v>1869</v>
      </c>
      <c r="BM83" s="79">
        <v>51</v>
      </c>
      <c r="BN83" s="79">
        <v>11</v>
      </c>
      <c r="BO83">
        <v>2518</v>
      </c>
      <c r="BP83">
        <v>0</v>
      </c>
      <c r="BQ83">
        <v>2484</v>
      </c>
      <c r="BR83">
        <v>0</v>
      </c>
      <c r="BS83">
        <v>2443</v>
      </c>
      <c r="BT83">
        <v>0</v>
      </c>
      <c r="BU83">
        <v>2410</v>
      </c>
      <c r="BV83">
        <v>0</v>
      </c>
      <c r="BW83">
        <v>2350</v>
      </c>
      <c r="BX83">
        <v>0</v>
      </c>
      <c r="BY83">
        <v>2285</v>
      </c>
      <c r="BZ83">
        <v>0</v>
      </c>
      <c r="CB83">
        <v>327.45</v>
      </c>
      <c r="CC83">
        <v>59</v>
      </c>
      <c r="CD83">
        <v>33</v>
      </c>
      <c r="CE83">
        <v>3141</v>
      </c>
      <c r="CF83">
        <v>656.1</v>
      </c>
      <c r="CG83">
        <v>105.23754974417299</v>
      </c>
      <c r="CH83">
        <v>152</v>
      </c>
      <c r="CI83">
        <v>79.6666666666667</v>
      </c>
      <c r="CJ83">
        <v>78.3333333333333</v>
      </c>
      <c r="CK83" s="81">
        <v>829</v>
      </c>
      <c r="CL83">
        <v>223</v>
      </c>
      <c r="CM83">
        <v>2129.7636414961198</v>
      </c>
      <c r="CN83">
        <v>0.72799999999999998</v>
      </c>
      <c r="CO83">
        <v>8348</v>
      </c>
      <c r="CP83">
        <v>1724</v>
      </c>
      <c r="CQ83">
        <v>243</v>
      </c>
      <c r="CR83">
        <v>416</v>
      </c>
      <c r="CS83">
        <v>311</v>
      </c>
      <c r="CT83">
        <v>132</v>
      </c>
      <c r="CU83">
        <v>290.49047349556702</v>
      </c>
      <c r="CV83">
        <v>157.92118468213499</v>
      </c>
      <c r="CW83">
        <v>48.591133748349399</v>
      </c>
      <c r="CX83">
        <v>593.12</v>
      </c>
      <c r="CY83">
        <v>322.44159999999999</v>
      </c>
      <c r="CZ83">
        <v>99.212800000000001</v>
      </c>
      <c r="DA83">
        <v>6205</v>
      </c>
      <c r="DE83">
        <v>267</v>
      </c>
      <c r="DF83" t="s">
        <v>214</v>
      </c>
      <c r="DG83">
        <v>9491</v>
      </c>
      <c r="DH83">
        <v>9520</v>
      </c>
      <c r="DI83">
        <v>9504</v>
      </c>
      <c r="DJ83">
        <v>9626</v>
      </c>
      <c r="DK83">
        <v>9594</v>
      </c>
      <c r="DO83">
        <v>200</v>
      </c>
      <c r="DP83" t="s">
        <v>27</v>
      </c>
      <c r="DQ83">
        <v>75728</v>
      </c>
      <c r="DR83">
        <v>1</v>
      </c>
      <c r="DS83">
        <v>1715</v>
      </c>
      <c r="DV83">
        <v>1774</v>
      </c>
      <c r="DW83" t="s">
        <v>86</v>
      </c>
      <c r="DX83">
        <v>2794.9296820837899</v>
      </c>
      <c r="DY83">
        <v>513</v>
      </c>
      <c r="DZ83">
        <v>515</v>
      </c>
      <c r="EA83">
        <v>235</v>
      </c>
      <c r="EB83">
        <v>1800</v>
      </c>
      <c r="EC83">
        <v>1166</v>
      </c>
      <c r="ED83">
        <v>372</v>
      </c>
      <c r="EE83" s="82">
        <v>0.15512822291956099</v>
      </c>
      <c r="EF83" s="82">
        <v>0.42615606722440202</v>
      </c>
    </row>
    <row r="84" spans="1:136" x14ac:dyDescent="0.35">
      <c r="A84" s="72">
        <v>222</v>
      </c>
      <c r="B84" s="72">
        <v>5</v>
      </c>
      <c r="D84" s="72" t="s">
        <v>88</v>
      </c>
      <c r="E84" s="79">
        <v>4369600000</v>
      </c>
      <c r="F84" s="79">
        <v>809550000</v>
      </c>
      <c r="G84" s="79">
        <v>836500000</v>
      </c>
      <c r="H84" s="79">
        <v>57555</v>
      </c>
      <c r="I84" s="79">
        <v>3</v>
      </c>
      <c r="J84" s="79">
        <v>836.5</v>
      </c>
      <c r="K84" s="79">
        <v>11128</v>
      </c>
      <c r="L84" s="79">
        <v>11932</v>
      </c>
      <c r="M84" s="79">
        <v>3700</v>
      </c>
      <c r="N84" s="79">
        <v>8419</v>
      </c>
      <c r="O84" s="79">
        <v>5770.7</v>
      </c>
      <c r="P84" s="79">
        <v>1265.6666666666699</v>
      </c>
      <c r="Q84" s="79">
        <v>5338.6666666666697</v>
      </c>
      <c r="R84" s="79">
        <v>2635</v>
      </c>
      <c r="S84" s="79">
        <v>0</v>
      </c>
      <c r="T84" s="79">
        <v>1758</v>
      </c>
      <c r="U84" s="79">
        <v>26841</v>
      </c>
      <c r="V84" s="79">
        <v>62740</v>
      </c>
      <c r="W84" s="79">
        <v>64930</v>
      </c>
      <c r="X84" s="79">
        <v>3499.2</v>
      </c>
      <c r="Y84" s="79">
        <v>4373.6000000000004</v>
      </c>
      <c r="Z84" s="79">
        <v>0</v>
      </c>
      <c r="AA84" s="79">
        <v>0</v>
      </c>
      <c r="AB84" s="79">
        <v>0</v>
      </c>
      <c r="AC84" s="79">
        <v>7900</v>
      </c>
      <c r="AD84" s="79">
        <v>7900</v>
      </c>
      <c r="AE84" s="79">
        <v>65</v>
      </c>
      <c r="AF84" s="79">
        <v>0</v>
      </c>
      <c r="AG84" s="79">
        <v>433</v>
      </c>
      <c r="AH84" s="79">
        <v>356</v>
      </c>
      <c r="AI84" s="79">
        <v>77</v>
      </c>
      <c r="AJ84" s="79">
        <v>26483</v>
      </c>
      <c r="AK84" s="79">
        <v>26483</v>
      </c>
      <c r="AL84" s="79">
        <v>10</v>
      </c>
      <c r="AM84" s="79">
        <v>0</v>
      </c>
      <c r="AN84" s="79">
        <v>0</v>
      </c>
      <c r="AO84" s="79">
        <v>0</v>
      </c>
      <c r="AP84" s="79">
        <v>1667</v>
      </c>
      <c r="AQ84" s="79">
        <v>1667</v>
      </c>
      <c r="AR84" s="80">
        <v>7.53153E-4</v>
      </c>
      <c r="AS84" s="80">
        <v>1.0983119999999999E-3</v>
      </c>
      <c r="AT84" s="79">
        <v>30084.687999999998</v>
      </c>
      <c r="AU84" s="79">
        <v>0</v>
      </c>
      <c r="AV84" s="79">
        <v>1103</v>
      </c>
      <c r="AW84" s="79">
        <v>7970.26553672316</v>
      </c>
      <c r="AX84" s="79">
        <v>7</v>
      </c>
      <c r="AY84" s="79">
        <v>7</v>
      </c>
      <c r="AZ84" s="79">
        <v>5996</v>
      </c>
      <c r="BA84" s="79">
        <v>1</v>
      </c>
      <c r="BB84" s="79">
        <v>0</v>
      </c>
      <c r="BC84" s="79">
        <v>0</v>
      </c>
      <c r="BD84" s="79">
        <v>0</v>
      </c>
      <c r="BE84" s="79">
        <v>0</v>
      </c>
      <c r="BF84" s="79">
        <v>0</v>
      </c>
      <c r="BG84" s="79">
        <v>0</v>
      </c>
      <c r="BH84" s="79">
        <v>0</v>
      </c>
      <c r="BI84" s="79">
        <v>0</v>
      </c>
      <c r="BJ84" s="79">
        <v>0</v>
      </c>
      <c r="BK84" s="79">
        <v>95</v>
      </c>
      <c r="BL84" s="79">
        <v>8921</v>
      </c>
      <c r="BM84" s="79">
        <v>356</v>
      </c>
      <c r="BN84" s="79">
        <v>77</v>
      </c>
      <c r="BO84">
        <v>12231</v>
      </c>
      <c r="BP84">
        <v>5489</v>
      </c>
      <c r="BQ84">
        <v>12067</v>
      </c>
      <c r="BR84">
        <v>5517</v>
      </c>
      <c r="BS84">
        <v>11930</v>
      </c>
      <c r="BT84">
        <v>5660</v>
      </c>
      <c r="BU84">
        <v>11892</v>
      </c>
      <c r="BV84">
        <v>5695</v>
      </c>
      <c r="BW84">
        <v>11796</v>
      </c>
      <c r="BX84">
        <v>5687</v>
      </c>
      <c r="BY84">
        <v>11622</v>
      </c>
      <c r="BZ84">
        <v>5770</v>
      </c>
      <c r="CB84">
        <v>1257.4639999999999</v>
      </c>
      <c r="CC84">
        <v>194</v>
      </c>
      <c r="CD84">
        <v>142</v>
      </c>
      <c r="CE84">
        <v>15903.62</v>
      </c>
      <c r="CF84">
        <v>3797.24</v>
      </c>
      <c r="CG84">
        <v>446.49823853211001</v>
      </c>
      <c r="CH84">
        <v>669</v>
      </c>
      <c r="CI84">
        <v>345.66666666666703</v>
      </c>
      <c r="CJ84">
        <v>291.33333333333297</v>
      </c>
      <c r="CK84" s="81">
        <v>4073</v>
      </c>
      <c r="CL84">
        <v>1484</v>
      </c>
      <c r="CM84">
        <v>10085.3269889313</v>
      </c>
      <c r="CN84">
        <v>2.8359999999999999</v>
      </c>
      <c r="CO84">
        <v>45623</v>
      </c>
      <c r="CP84">
        <v>6888</v>
      </c>
      <c r="CQ84">
        <v>1344</v>
      </c>
      <c r="CR84">
        <v>1483</v>
      </c>
      <c r="CS84">
        <v>1298</v>
      </c>
      <c r="CT84">
        <v>686</v>
      </c>
      <c r="CU84">
        <v>936.76091454895595</v>
      </c>
      <c r="CV84">
        <v>558.70085715364598</v>
      </c>
      <c r="CW84">
        <v>208.31436015557199</v>
      </c>
      <c r="CX84">
        <v>2125.4256</v>
      </c>
      <c r="CY84">
        <v>1267.6415999999999</v>
      </c>
      <c r="CZ84">
        <v>472.64640000000003</v>
      </c>
      <c r="DA84">
        <v>135697</v>
      </c>
      <c r="DE84">
        <v>268</v>
      </c>
      <c r="DF84" t="s">
        <v>215</v>
      </c>
      <c r="DG84">
        <v>28481</v>
      </c>
      <c r="DH84">
        <v>28429</v>
      </c>
      <c r="DI84">
        <v>28488</v>
      </c>
      <c r="DJ84">
        <v>28599</v>
      </c>
      <c r="DK84">
        <v>28579</v>
      </c>
      <c r="DO84">
        <v>202</v>
      </c>
      <c r="DP84" t="s">
        <v>29</v>
      </c>
      <c r="DQ84">
        <v>76629</v>
      </c>
      <c r="DR84">
        <v>1.01</v>
      </c>
      <c r="DS84">
        <v>2145</v>
      </c>
      <c r="DV84">
        <v>221</v>
      </c>
      <c r="DW84" t="s">
        <v>87</v>
      </c>
      <c r="DX84">
        <v>1942.12406376032</v>
      </c>
      <c r="DY84">
        <v>405</v>
      </c>
      <c r="DZ84">
        <v>286</v>
      </c>
      <c r="EA84">
        <v>128</v>
      </c>
      <c r="EB84">
        <v>1076</v>
      </c>
      <c r="EC84">
        <v>565</v>
      </c>
      <c r="ED84">
        <v>175</v>
      </c>
      <c r="EE84" s="82">
        <v>0.26685380879492299</v>
      </c>
      <c r="EF84" s="82">
        <v>0.53927286471392499</v>
      </c>
    </row>
    <row r="85" spans="1:136" x14ac:dyDescent="0.35">
      <c r="A85" s="72">
        <v>225</v>
      </c>
      <c r="B85" s="72">
        <v>5</v>
      </c>
      <c r="D85" s="72" t="s">
        <v>94</v>
      </c>
      <c r="E85" s="79">
        <v>1479600000</v>
      </c>
      <c r="F85" s="79">
        <v>283850000</v>
      </c>
      <c r="G85" s="79">
        <v>301350000</v>
      </c>
      <c r="H85" s="79">
        <v>18797</v>
      </c>
      <c r="I85" s="79">
        <v>4</v>
      </c>
      <c r="J85" s="79">
        <v>301.35000000000002</v>
      </c>
      <c r="K85" s="79">
        <v>3725</v>
      </c>
      <c r="L85" s="79">
        <v>3571</v>
      </c>
      <c r="M85" s="79">
        <v>1103</v>
      </c>
      <c r="N85" s="79">
        <v>2305</v>
      </c>
      <c r="O85" s="79">
        <v>1475.2</v>
      </c>
      <c r="P85" s="79">
        <v>293.66666666666703</v>
      </c>
      <c r="Q85" s="79">
        <v>1371.6666666666699</v>
      </c>
      <c r="R85" s="79">
        <v>890</v>
      </c>
      <c r="S85" s="79">
        <v>0</v>
      </c>
      <c r="T85" s="79">
        <v>567</v>
      </c>
      <c r="U85" s="79">
        <v>8246</v>
      </c>
      <c r="V85" s="79">
        <v>17170</v>
      </c>
      <c r="W85" s="79">
        <v>5900</v>
      </c>
      <c r="X85" s="79">
        <v>792.58</v>
      </c>
      <c r="Y85" s="79">
        <v>1393.6</v>
      </c>
      <c r="Z85" s="79">
        <v>0</v>
      </c>
      <c r="AA85" s="79">
        <v>0</v>
      </c>
      <c r="AB85" s="79">
        <v>0</v>
      </c>
      <c r="AC85" s="79">
        <v>3757</v>
      </c>
      <c r="AD85" s="79">
        <v>3794.57</v>
      </c>
      <c r="AE85" s="79">
        <v>489</v>
      </c>
      <c r="AF85" s="79">
        <v>0</v>
      </c>
      <c r="AG85" s="79">
        <v>146</v>
      </c>
      <c r="AH85" s="79">
        <v>111.18</v>
      </c>
      <c r="AI85" s="79">
        <v>36.36</v>
      </c>
      <c r="AJ85" s="79">
        <v>8298</v>
      </c>
      <c r="AK85" s="79">
        <v>8463.9599999999991</v>
      </c>
      <c r="AL85" s="79">
        <v>0</v>
      </c>
      <c r="AM85" s="79">
        <v>0</v>
      </c>
      <c r="AN85" s="79">
        <v>0</v>
      </c>
      <c r="AO85" s="79">
        <v>0</v>
      </c>
      <c r="AP85" s="79">
        <v>0</v>
      </c>
      <c r="AQ85" s="79">
        <v>0</v>
      </c>
      <c r="AR85" s="80">
        <v>1.5596300000000001E-4</v>
      </c>
      <c r="AS85" s="80">
        <v>8.2058999999999995E-5</v>
      </c>
      <c r="AT85" s="79">
        <v>6654.9960000000001</v>
      </c>
      <c r="AU85" s="79">
        <v>0</v>
      </c>
      <c r="AV85" s="79">
        <v>1320.07</v>
      </c>
      <c r="AW85" s="79">
        <v>5897.5919524258097</v>
      </c>
      <c r="AX85" s="79">
        <v>5</v>
      </c>
      <c r="AY85" s="79">
        <v>5.05</v>
      </c>
      <c r="AZ85" s="79">
        <v>1988</v>
      </c>
      <c r="BA85" s="79">
        <v>1</v>
      </c>
      <c r="BB85" s="79">
        <v>0</v>
      </c>
      <c r="BC85" s="79">
        <v>0</v>
      </c>
      <c r="BD85" s="79">
        <v>0</v>
      </c>
      <c r="BE85" s="79">
        <v>0</v>
      </c>
      <c r="BF85" s="79">
        <v>0</v>
      </c>
      <c r="BG85" s="79">
        <v>0</v>
      </c>
      <c r="BH85" s="79">
        <v>0</v>
      </c>
      <c r="BI85" s="79">
        <v>0</v>
      </c>
      <c r="BJ85" s="79">
        <v>0</v>
      </c>
      <c r="BK85" s="79">
        <v>17</v>
      </c>
      <c r="BL85" s="79">
        <v>2141</v>
      </c>
      <c r="BM85" s="79">
        <v>109</v>
      </c>
      <c r="BN85" s="79">
        <v>36</v>
      </c>
      <c r="BO85">
        <v>4251</v>
      </c>
      <c r="BP85">
        <v>1821</v>
      </c>
      <c r="BQ85">
        <v>4206</v>
      </c>
      <c r="BR85">
        <v>1843</v>
      </c>
      <c r="BS85">
        <v>4172</v>
      </c>
      <c r="BT85">
        <v>1917</v>
      </c>
      <c r="BU85">
        <v>4160</v>
      </c>
      <c r="BV85">
        <v>1914</v>
      </c>
      <c r="BW85">
        <v>4105</v>
      </c>
      <c r="BX85">
        <v>1910</v>
      </c>
      <c r="BY85">
        <v>4064</v>
      </c>
      <c r="BZ85">
        <v>1884</v>
      </c>
      <c r="CB85">
        <v>361.32499999999999</v>
      </c>
      <c r="CC85">
        <v>69</v>
      </c>
      <c r="CD85">
        <v>46</v>
      </c>
      <c r="CE85">
        <v>4974.72</v>
      </c>
      <c r="CF85">
        <v>1385.15</v>
      </c>
      <c r="CG85">
        <v>147.07741935483901</v>
      </c>
      <c r="CH85">
        <v>197</v>
      </c>
      <c r="CI85">
        <v>84</v>
      </c>
      <c r="CJ85">
        <v>78.3333333333333</v>
      </c>
      <c r="CK85" s="81">
        <v>1078</v>
      </c>
      <c r="CL85">
        <v>451</v>
      </c>
      <c r="CM85">
        <v>2923.8234649861502</v>
      </c>
      <c r="CN85">
        <v>0.505</v>
      </c>
      <c r="CO85">
        <v>15226</v>
      </c>
      <c r="CP85">
        <v>2131</v>
      </c>
      <c r="CQ85">
        <v>337</v>
      </c>
      <c r="CR85">
        <v>383</v>
      </c>
      <c r="CS85">
        <v>317</v>
      </c>
      <c r="CT85">
        <v>171</v>
      </c>
      <c r="CU85">
        <v>228.62222222222201</v>
      </c>
      <c r="CV85">
        <v>126.933333333333</v>
      </c>
      <c r="CW85">
        <v>43.022222222222197</v>
      </c>
      <c r="CX85">
        <v>592.97460000000001</v>
      </c>
      <c r="CY85">
        <v>329.22539999999998</v>
      </c>
      <c r="CZ85">
        <v>111.58620000000001</v>
      </c>
      <c r="DA85">
        <v>124465</v>
      </c>
      <c r="DE85">
        <v>269</v>
      </c>
      <c r="DF85" t="s">
        <v>228</v>
      </c>
      <c r="DG85">
        <v>5435</v>
      </c>
      <c r="DH85">
        <v>5440</v>
      </c>
      <c r="DI85">
        <v>5338</v>
      </c>
      <c r="DJ85">
        <v>5314</v>
      </c>
      <c r="DK85">
        <v>5252</v>
      </c>
      <c r="DO85">
        <v>203</v>
      </c>
      <c r="DP85" t="s">
        <v>35</v>
      </c>
      <c r="DQ85">
        <v>25647</v>
      </c>
      <c r="DR85">
        <v>1</v>
      </c>
      <c r="DS85">
        <v>851</v>
      </c>
      <c r="DV85">
        <v>222</v>
      </c>
      <c r="DW85" t="s">
        <v>88</v>
      </c>
      <c r="DX85">
        <v>8336.7819590701401</v>
      </c>
      <c r="DY85">
        <v>1429</v>
      </c>
      <c r="DZ85">
        <v>1273</v>
      </c>
      <c r="EA85">
        <v>678</v>
      </c>
      <c r="EB85">
        <v>4186</v>
      </c>
      <c r="EC85">
        <v>2521</v>
      </c>
      <c r="ED85">
        <v>938</v>
      </c>
      <c r="EE85" s="82">
        <v>0.217555401632961</v>
      </c>
      <c r="EF85" s="82">
        <v>0.49444682089853698</v>
      </c>
    </row>
    <row r="86" spans="1:136" x14ac:dyDescent="0.35">
      <c r="A86" s="72">
        <v>226</v>
      </c>
      <c r="B86" s="72">
        <v>5</v>
      </c>
      <c r="D86" s="72" t="s">
        <v>95</v>
      </c>
      <c r="E86" s="79">
        <v>1895200000</v>
      </c>
      <c r="F86" s="79">
        <v>484050000</v>
      </c>
      <c r="G86" s="79">
        <v>501900000</v>
      </c>
      <c r="H86" s="79">
        <v>25332</v>
      </c>
      <c r="I86" s="79">
        <v>1</v>
      </c>
      <c r="J86" s="79">
        <v>501.9</v>
      </c>
      <c r="K86" s="79">
        <v>4917</v>
      </c>
      <c r="L86" s="79">
        <v>4652</v>
      </c>
      <c r="M86" s="79">
        <v>1415</v>
      </c>
      <c r="N86" s="79">
        <v>2846</v>
      </c>
      <c r="O86" s="79">
        <v>1771.2</v>
      </c>
      <c r="P86" s="79">
        <v>463.33333333333297</v>
      </c>
      <c r="Q86" s="79">
        <v>1695.3333333333301</v>
      </c>
      <c r="R86" s="79">
        <v>795</v>
      </c>
      <c r="S86" s="79">
        <v>0</v>
      </c>
      <c r="T86" s="79">
        <v>780</v>
      </c>
      <c r="U86" s="79">
        <v>10844</v>
      </c>
      <c r="V86" s="79">
        <v>25300</v>
      </c>
      <c r="W86" s="79">
        <v>16390</v>
      </c>
      <c r="X86" s="79">
        <v>0</v>
      </c>
      <c r="Y86" s="79">
        <v>1625.6</v>
      </c>
      <c r="Z86" s="79">
        <v>0</v>
      </c>
      <c r="AA86" s="79">
        <v>0</v>
      </c>
      <c r="AB86" s="79">
        <v>0</v>
      </c>
      <c r="AC86" s="79">
        <v>3392</v>
      </c>
      <c r="AD86" s="79">
        <v>3392</v>
      </c>
      <c r="AE86" s="79">
        <v>127</v>
      </c>
      <c r="AF86" s="79">
        <v>0</v>
      </c>
      <c r="AG86" s="79">
        <v>189</v>
      </c>
      <c r="AH86" s="79">
        <v>142</v>
      </c>
      <c r="AI86" s="79">
        <v>47</v>
      </c>
      <c r="AJ86" s="79">
        <v>10748</v>
      </c>
      <c r="AK86" s="79">
        <v>10748</v>
      </c>
      <c r="AL86" s="79">
        <v>0</v>
      </c>
      <c r="AM86" s="79">
        <v>0</v>
      </c>
      <c r="AN86" s="79">
        <v>0</v>
      </c>
      <c r="AO86" s="79">
        <v>0</v>
      </c>
      <c r="AP86" s="79">
        <v>0</v>
      </c>
      <c r="AQ86" s="79">
        <v>0</v>
      </c>
      <c r="AR86" s="80">
        <v>6.6382000000000002E-5</v>
      </c>
      <c r="AS86" s="80">
        <v>4.9979999999999999E-5</v>
      </c>
      <c r="AT86" s="79">
        <v>12413.94</v>
      </c>
      <c r="AU86" s="79">
        <v>0</v>
      </c>
      <c r="AV86" s="79">
        <v>827</v>
      </c>
      <c r="AW86" s="79">
        <v>5953.2719522591597</v>
      </c>
      <c r="AX86" s="79">
        <v>6</v>
      </c>
      <c r="AY86" s="79">
        <v>6</v>
      </c>
      <c r="AZ86" s="79">
        <v>2420</v>
      </c>
      <c r="BA86" s="79">
        <v>1</v>
      </c>
      <c r="BB86" s="79">
        <v>0</v>
      </c>
      <c r="BC86" s="79">
        <v>0</v>
      </c>
      <c r="BD86" s="79">
        <v>0</v>
      </c>
      <c r="BE86" s="79">
        <v>0</v>
      </c>
      <c r="BF86" s="79">
        <v>0</v>
      </c>
      <c r="BG86" s="79">
        <v>0</v>
      </c>
      <c r="BH86" s="79">
        <v>0</v>
      </c>
      <c r="BI86" s="79">
        <v>0</v>
      </c>
      <c r="BJ86" s="79">
        <v>0</v>
      </c>
      <c r="BK86" s="79">
        <v>20</v>
      </c>
      <c r="BL86" s="79">
        <v>2948</v>
      </c>
      <c r="BM86" s="79">
        <v>142</v>
      </c>
      <c r="BN86" s="79">
        <v>47</v>
      </c>
      <c r="BO86">
        <v>6535</v>
      </c>
      <c r="BP86">
        <v>2461</v>
      </c>
      <c r="BQ86">
        <v>6375</v>
      </c>
      <c r="BR86">
        <v>2473</v>
      </c>
      <c r="BS86">
        <v>6202</v>
      </c>
      <c r="BT86">
        <v>2450</v>
      </c>
      <c r="BU86">
        <v>6068</v>
      </c>
      <c r="BV86">
        <v>2436</v>
      </c>
      <c r="BW86">
        <v>5891</v>
      </c>
      <c r="BX86">
        <v>2426</v>
      </c>
      <c r="BY86">
        <v>5790</v>
      </c>
      <c r="BZ86">
        <v>2344</v>
      </c>
      <c r="CB86">
        <v>442.53</v>
      </c>
      <c r="CC86">
        <v>51</v>
      </c>
      <c r="CD86">
        <v>23</v>
      </c>
      <c r="CE86">
        <v>7380.24</v>
      </c>
      <c r="CF86">
        <v>1986.4</v>
      </c>
      <c r="CG86">
        <v>173.885065142065</v>
      </c>
      <c r="CH86">
        <v>272</v>
      </c>
      <c r="CI86">
        <v>122</v>
      </c>
      <c r="CJ86">
        <v>105</v>
      </c>
      <c r="CK86" s="81">
        <v>1232</v>
      </c>
      <c r="CL86">
        <v>340</v>
      </c>
      <c r="CM86">
        <v>3915.4289812448401</v>
      </c>
      <c r="CN86">
        <v>0.79900000000000004</v>
      </c>
      <c r="CO86">
        <v>20680</v>
      </c>
      <c r="CP86">
        <v>2757</v>
      </c>
      <c r="CQ86">
        <v>480</v>
      </c>
      <c r="CR86">
        <v>539</v>
      </c>
      <c r="CS86">
        <v>489</v>
      </c>
      <c r="CT86">
        <v>255</v>
      </c>
      <c r="CU86">
        <v>283.44473390398201</v>
      </c>
      <c r="CV86">
        <v>162.32154819501301</v>
      </c>
      <c r="CW86">
        <v>59.655228879791601</v>
      </c>
      <c r="CX86">
        <v>765.91600000000005</v>
      </c>
      <c r="CY86">
        <v>438.62049999999999</v>
      </c>
      <c r="CZ86">
        <v>161.1986</v>
      </c>
      <c r="DA86">
        <v>0</v>
      </c>
      <c r="DE86">
        <v>273</v>
      </c>
      <c r="DF86" t="s">
        <v>248</v>
      </c>
      <c r="DG86">
        <v>5721</v>
      </c>
      <c r="DH86">
        <v>5661</v>
      </c>
      <c r="DI86">
        <v>5653</v>
      </c>
      <c r="DJ86">
        <v>5583</v>
      </c>
      <c r="DK86">
        <v>5552</v>
      </c>
      <c r="DO86">
        <v>1945</v>
      </c>
      <c r="DP86" t="s">
        <v>40</v>
      </c>
      <c r="DQ86">
        <v>16290</v>
      </c>
      <c r="DR86">
        <v>1</v>
      </c>
      <c r="DS86">
        <v>643</v>
      </c>
      <c r="DV86">
        <v>766</v>
      </c>
      <c r="DW86" t="s">
        <v>89</v>
      </c>
      <c r="DX86">
        <v>3056.3178673554098</v>
      </c>
      <c r="DY86">
        <v>591</v>
      </c>
      <c r="DZ86">
        <v>522</v>
      </c>
      <c r="EA86">
        <v>286</v>
      </c>
      <c r="EB86">
        <v>1926</v>
      </c>
      <c r="EC86">
        <v>1094</v>
      </c>
      <c r="ED86">
        <v>383</v>
      </c>
      <c r="EE86" s="82">
        <v>0.17440454905327801</v>
      </c>
      <c r="EF86" s="82">
        <v>0.44140850577478302</v>
      </c>
    </row>
    <row r="87" spans="1:136" x14ac:dyDescent="0.35">
      <c r="A87" s="72">
        <v>228</v>
      </c>
      <c r="B87" s="72">
        <v>5</v>
      </c>
      <c r="D87" s="72" t="s">
        <v>98</v>
      </c>
      <c r="E87" s="79">
        <v>10102400000</v>
      </c>
      <c r="F87" s="79">
        <v>1951600000</v>
      </c>
      <c r="G87" s="79">
        <v>2110850000</v>
      </c>
      <c r="H87" s="79">
        <v>115710</v>
      </c>
      <c r="I87" s="79">
        <v>6</v>
      </c>
      <c r="J87" s="79">
        <v>2110.85</v>
      </c>
      <c r="K87" s="79">
        <v>25504</v>
      </c>
      <c r="L87" s="79">
        <v>21037</v>
      </c>
      <c r="M87" s="79">
        <v>6603</v>
      </c>
      <c r="N87" s="79">
        <v>13068</v>
      </c>
      <c r="O87" s="79">
        <v>8055.5</v>
      </c>
      <c r="P87" s="79">
        <v>1855.3333333333301</v>
      </c>
      <c r="Q87" s="79">
        <v>7152.3333333333303</v>
      </c>
      <c r="R87" s="79">
        <v>6600</v>
      </c>
      <c r="S87" s="79">
        <v>0</v>
      </c>
      <c r="T87" s="79">
        <v>2686</v>
      </c>
      <c r="U87" s="79">
        <v>50299</v>
      </c>
      <c r="V87" s="79">
        <v>119890</v>
      </c>
      <c r="W87" s="79">
        <v>136510</v>
      </c>
      <c r="X87" s="79">
        <v>2799.8</v>
      </c>
      <c r="Y87" s="79">
        <v>3844</v>
      </c>
      <c r="Z87" s="79">
        <v>0</v>
      </c>
      <c r="AA87" s="79">
        <v>0</v>
      </c>
      <c r="AB87" s="79">
        <v>0</v>
      </c>
      <c r="AC87" s="79">
        <v>31814</v>
      </c>
      <c r="AD87" s="79">
        <v>31814</v>
      </c>
      <c r="AE87" s="79">
        <v>48</v>
      </c>
      <c r="AF87" s="79">
        <v>0</v>
      </c>
      <c r="AG87" s="79">
        <v>882</v>
      </c>
      <c r="AH87" s="79">
        <v>572</v>
      </c>
      <c r="AI87" s="79">
        <v>310</v>
      </c>
      <c r="AJ87" s="79">
        <v>50125</v>
      </c>
      <c r="AK87" s="79">
        <v>50125</v>
      </c>
      <c r="AL87" s="79">
        <v>0</v>
      </c>
      <c r="AM87" s="79">
        <v>0</v>
      </c>
      <c r="AN87" s="79">
        <v>0</v>
      </c>
      <c r="AO87" s="79">
        <v>0</v>
      </c>
      <c r="AP87" s="79">
        <v>3234</v>
      </c>
      <c r="AQ87" s="79">
        <v>0</v>
      </c>
      <c r="AR87" s="80">
        <v>1.106171E-3</v>
      </c>
      <c r="AS87" s="80">
        <v>1.8963160000000001E-3</v>
      </c>
      <c r="AT87" s="79">
        <v>77794</v>
      </c>
      <c r="AU87" s="79">
        <v>0</v>
      </c>
      <c r="AV87" s="79">
        <v>1662</v>
      </c>
      <c r="AW87" s="79">
        <v>6035.7171552319396</v>
      </c>
      <c r="AX87" s="79">
        <v>24</v>
      </c>
      <c r="AY87" s="79">
        <v>24</v>
      </c>
      <c r="AZ87" s="79">
        <v>13102</v>
      </c>
      <c r="BA87" s="79">
        <v>1</v>
      </c>
      <c r="BB87" s="79">
        <v>0</v>
      </c>
      <c r="BC87" s="79">
        <v>0</v>
      </c>
      <c r="BD87" s="79">
        <v>0</v>
      </c>
      <c r="BE87" s="79">
        <v>0</v>
      </c>
      <c r="BF87" s="79">
        <v>0</v>
      </c>
      <c r="BG87" s="79">
        <v>0</v>
      </c>
      <c r="BH87" s="79">
        <v>0</v>
      </c>
      <c r="BI87" s="79">
        <v>0</v>
      </c>
      <c r="BJ87" s="79">
        <v>0</v>
      </c>
      <c r="BK87" s="79">
        <v>98</v>
      </c>
      <c r="BL87" s="79">
        <v>16766</v>
      </c>
      <c r="BM87" s="79">
        <v>572</v>
      </c>
      <c r="BN87" s="79">
        <v>310</v>
      </c>
      <c r="BO87">
        <v>25938</v>
      </c>
      <c r="BP87">
        <v>4524</v>
      </c>
      <c r="BQ87">
        <v>25631</v>
      </c>
      <c r="BR87">
        <v>4510</v>
      </c>
      <c r="BS87">
        <v>25635</v>
      </c>
      <c r="BT87">
        <v>4626</v>
      </c>
      <c r="BU87">
        <v>25383</v>
      </c>
      <c r="BV87">
        <v>4646</v>
      </c>
      <c r="BW87">
        <v>25316</v>
      </c>
      <c r="BX87">
        <v>4750</v>
      </c>
      <c r="BY87">
        <v>25250</v>
      </c>
      <c r="BZ87">
        <v>4861</v>
      </c>
      <c r="CB87">
        <v>2524.8960000000002</v>
      </c>
      <c r="CC87">
        <v>584</v>
      </c>
      <c r="CD87">
        <v>438</v>
      </c>
      <c r="CE87">
        <v>31701.8</v>
      </c>
      <c r="CF87">
        <v>8138.24</v>
      </c>
      <c r="CG87">
        <v>1103.5407130834001</v>
      </c>
      <c r="CH87">
        <v>1046</v>
      </c>
      <c r="CI87">
        <v>549.66666666666697</v>
      </c>
      <c r="CJ87">
        <v>403</v>
      </c>
      <c r="CK87" s="81">
        <v>5297</v>
      </c>
      <c r="CL87">
        <v>1927</v>
      </c>
      <c r="CM87">
        <v>13715.91699147</v>
      </c>
      <c r="CN87">
        <v>2.9550000000000001</v>
      </c>
      <c r="CO87">
        <v>94673</v>
      </c>
      <c r="CP87">
        <v>11763</v>
      </c>
      <c r="CQ87">
        <v>2671</v>
      </c>
      <c r="CR87">
        <v>2350</v>
      </c>
      <c r="CS87">
        <v>2202</v>
      </c>
      <c r="CT87">
        <v>1380</v>
      </c>
      <c r="CU87">
        <v>1157.42066832918</v>
      </c>
      <c r="CV87">
        <v>732.82952618453896</v>
      </c>
      <c r="CW87">
        <v>313.22033915212</v>
      </c>
      <c r="CX87">
        <v>3150.875</v>
      </c>
      <c r="CY87">
        <v>1995</v>
      </c>
      <c r="CZ87">
        <v>852.6875</v>
      </c>
      <c r="DA87">
        <v>187158</v>
      </c>
      <c r="DE87">
        <v>274</v>
      </c>
      <c r="DF87" t="s">
        <v>251</v>
      </c>
      <c r="DG87">
        <v>6330</v>
      </c>
      <c r="DH87">
        <v>6283</v>
      </c>
      <c r="DI87">
        <v>6217</v>
      </c>
      <c r="DJ87">
        <v>6186</v>
      </c>
      <c r="DK87">
        <v>6073</v>
      </c>
      <c r="DO87">
        <v>1859</v>
      </c>
      <c r="DP87" t="s">
        <v>45</v>
      </c>
      <c r="DQ87">
        <v>20111</v>
      </c>
      <c r="DR87">
        <v>1</v>
      </c>
      <c r="DS87">
        <v>656</v>
      </c>
      <c r="DV87">
        <v>58</v>
      </c>
      <c r="DW87" t="s">
        <v>804</v>
      </c>
      <c r="DX87">
        <v>3822.1147525041301</v>
      </c>
      <c r="DY87">
        <v>627</v>
      </c>
      <c r="DZ87">
        <v>561</v>
      </c>
      <c r="EA87">
        <v>279</v>
      </c>
      <c r="EB87">
        <v>1768</v>
      </c>
      <c r="EC87">
        <v>1160</v>
      </c>
      <c r="ED87">
        <v>387</v>
      </c>
      <c r="EE87" s="82">
        <v>0.23060416508123299</v>
      </c>
      <c r="EF87" s="82">
        <v>0.59841890261694397</v>
      </c>
    </row>
    <row r="88" spans="1:136" x14ac:dyDescent="0.35">
      <c r="A88" s="72">
        <v>230</v>
      </c>
      <c r="B88" s="72">
        <v>5</v>
      </c>
      <c r="D88" s="72" t="s">
        <v>103</v>
      </c>
      <c r="E88" s="79">
        <v>1813600000</v>
      </c>
      <c r="F88" s="79">
        <v>288400000</v>
      </c>
      <c r="G88" s="79">
        <v>325150000</v>
      </c>
      <c r="H88" s="79">
        <v>23086</v>
      </c>
      <c r="I88" s="79">
        <v>3</v>
      </c>
      <c r="J88" s="79">
        <v>325.14999999999998</v>
      </c>
      <c r="K88" s="79">
        <v>5251</v>
      </c>
      <c r="L88" s="79">
        <v>4505</v>
      </c>
      <c r="M88" s="79">
        <v>1356</v>
      </c>
      <c r="N88" s="79">
        <v>2444</v>
      </c>
      <c r="O88" s="79">
        <v>1468.5</v>
      </c>
      <c r="P88" s="79">
        <v>249.666666666667</v>
      </c>
      <c r="Q88" s="79">
        <v>1373.6666666666699</v>
      </c>
      <c r="R88" s="79">
        <v>265</v>
      </c>
      <c r="S88" s="79">
        <v>0</v>
      </c>
      <c r="T88" s="79">
        <v>501</v>
      </c>
      <c r="U88" s="79">
        <v>9445</v>
      </c>
      <c r="V88" s="79">
        <v>21740</v>
      </c>
      <c r="W88" s="79">
        <v>8770</v>
      </c>
      <c r="X88" s="79">
        <v>0</v>
      </c>
      <c r="Y88" s="79">
        <v>1647.2</v>
      </c>
      <c r="Z88" s="79">
        <v>0</v>
      </c>
      <c r="AA88" s="79">
        <v>0</v>
      </c>
      <c r="AB88" s="79">
        <v>0</v>
      </c>
      <c r="AC88" s="79">
        <v>6382</v>
      </c>
      <c r="AD88" s="79">
        <v>6382</v>
      </c>
      <c r="AE88" s="79">
        <v>209</v>
      </c>
      <c r="AF88" s="79">
        <v>0</v>
      </c>
      <c r="AG88" s="79">
        <v>163</v>
      </c>
      <c r="AH88" s="79">
        <v>129</v>
      </c>
      <c r="AI88" s="79">
        <v>34</v>
      </c>
      <c r="AJ88" s="79">
        <v>9755</v>
      </c>
      <c r="AK88" s="79">
        <v>9755</v>
      </c>
      <c r="AL88" s="79">
        <v>9</v>
      </c>
      <c r="AM88" s="79">
        <v>0</v>
      </c>
      <c r="AN88" s="79">
        <v>0</v>
      </c>
      <c r="AO88" s="79">
        <v>2500</v>
      </c>
      <c r="AP88" s="79">
        <v>579</v>
      </c>
      <c r="AQ88" s="79">
        <v>579</v>
      </c>
      <c r="AR88" s="80">
        <v>3.3823700000000002E-4</v>
      </c>
      <c r="AS88" s="80">
        <v>1.12794E-4</v>
      </c>
      <c r="AT88" s="79">
        <v>6496.83</v>
      </c>
      <c r="AU88" s="79">
        <v>0</v>
      </c>
      <c r="AV88" s="79">
        <v>616</v>
      </c>
      <c r="AW88" s="79">
        <v>2157.6355636474</v>
      </c>
      <c r="AX88" s="79">
        <v>7</v>
      </c>
      <c r="AY88" s="79">
        <v>7</v>
      </c>
      <c r="AZ88" s="79">
        <v>2147</v>
      </c>
      <c r="BA88" s="79">
        <v>1</v>
      </c>
      <c r="BB88" s="79">
        <v>0</v>
      </c>
      <c r="BC88" s="79">
        <v>0</v>
      </c>
      <c r="BD88" s="79">
        <v>0</v>
      </c>
      <c r="BE88" s="79">
        <v>0</v>
      </c>
      <c r="BF88" s="79">
        <v>0</v>
      </c>
      <c r="BG88" s="79">
        <v>0</v>
      </c>
      <c r="BH88" s="79">
        <v>0</v>
      </c>
      <c r="BI88" s="79">
        <v>0</v>
      </c>
      <c r="BJ88" s="79">
        <v>0</v>
      </c>
      <c r="BK88" s="79">
        <v>20</v>
      </c>
      <c r="BL88" s="79">
        <v>2407</v>
      </c>
      <c r="BM88" s="79">
        <v>129</v>
      </c>
      <c r="BN88" s="79">
        <v>34</v>
      </c>
      <c r="BO88">
        <v>5429</v>
      </c>
      <c r="BP88">
        <v>1971</v>
      </c>
      <c r="BQ88">
        <v>5419</v>
      </c>
      <c r="BR88">
        <v>1993</v>
      </c>
      <c r="BS88">
        <v>5412</v>
      </c>
      <c r="BT88">
        <v>2063</v>
      </c>
      <c r="BU88">
        <v>5394</v>
      </c>
      <c r="BV88">
        <v>2088</v>
      </c>
      <c r="BW88">
        <v>5387</v>
      </c>
      <c r="BX88">
        <v>2181</v>
      </c>
      <c r="BY88">
        <v>5375</v>
      </c>
      <c r="BZ88">
        <v>2152</v>
      </c>
      <c r="CB88">
        <v>399.07600000000002</v>
      </c>
      <c r="CC88">
        <v>130</v>
      </c>
      <c r="CD88">
        <v>43</v>
      </c>
      <c r="CE88">
        <v>5710.95</v>
      </c>
      <c r="CF88">
        <v>1600.8</v>
      </c>
      <c r="CG88">
        <v>258.817942957556</v>
      </c>
      <c r="CH88">
        <v>196</v>
      </c>
      <c r="CI88">
        <v>85.3333333333333</v>
      </c>
      <c r="CJ88">
        <v>66.3333333333333</v>
      </c>
      <c r="CK88" s="81">
        <v>1124</v>
      </c>
      <c r="CL88">
        <v>363</v>
      </c>
      <c r="CM88">
        <v>3415.7493444982301</v>
      </c>
      <c r="CN88">
        <v>0.27200000000000002</v>
      </c>
      <c r="CO88">
        <v>18581</v>
      </c>
      <c r="CP88">
        <v>2653</v>
      </c>
      <c r="CQ88">
        <v>496</v>
      </c>
      <c r="CR88">
        <v>460</v>
      </c>
      <c r="CS88">
        <v>409</v>
      </c>
      <c r="CT88">
        <v>220</v>
      </c>
      <c r="CU88">
        <v>239.50625320348499</v>
      </c>
      <c r="CV88">
        <v>138.64566888774999</v>
      </c>
      <c r="CW88">
        <v>47.720604818041998</v>
      </c>
      <c r="CX88">
        <v>779.7491</v>
      </c>
      <c r="CY88">
        <v>451.38209999999998</v>
      </c>
      <c r="CZ88">
        <v>155.36170000000001</v>
      </c>
      <c r="DA88">
        <v>11907</v>
      </c>
      <c r="DE88">
        <v>275</v>
      </c>
      <c r="DF88" t="s">
        <v>254</v>
      </c>
      <c r="DG88">
        <v>8274</v>
      </c>
      <c r="DH88">
        <v>8246</v>
      </c>
      <c r="DI88">
        <v>8305</v>
      </c>
      <c r="DJ88">
        <v>8151</v>
      </c>
      <c r="DK88">
        <v>8088</v>
      </c>
      <c r="DO88">
        <v>209</v>
      </c>
      <c r="DP88" t="s">
        <v>48</v>
      </c>
      <c r="DQ88">
        <v>11313</v>
      </c>
      <c r="DR88">
        <v>1.01</v>
      </c>
      <c r="DS88">
        <v>996</v>
      </c>
      <c r="DV88">
        <v>505</v>
      </c>
      <c r="DW88" t="s">
        <v>90</v>
      </c>
      <c r="DX88">
        <v>18559.879778040598</v>
      </c>
      <c r="DY88">
        <v>3336</v>
      </c>
      <c r="DZ88">
        <v>2571</v>
      </c>
      <c r="EA88">
        <v>1465</v>
      </c>
      <c r="EB88">
        <v>8190</v>
      </c>
      <c r="EC88">
        <v>4828</v>
      </c>
      <c r="ED88">
        <v>2005</v>
      </c>
      <c r="EE88" s="82">
        <v>0.23480436146911801</v>
      </c>
      <c r="EF88" s="82">
        <v>0.49876271685266299</v>
      </c>
    </row>
    <row r="89" spans="1:136" x14ac:dyDescent="0.35">
      <c r="A89" s="72">
        <v>232</v>
      </c>
      <c r="B89" s="72">
        <v>5</v>
      </c>
      <c r="D89" s="72" t="s">
        <v>107</v>
      </c>
      <c r="E89" s="79">
        <v>3314400000</v>
      </c>
      <c r="F89" s="79">
        <v>442400000</v>
      </c>
      <c r="G89" s="79">
        <v>478800000</v>
      </c>
      <c r="H89" s="79">
        <v>33145</v>
      </c>
      <c r="I89" s="79">
        <v>4</v>
      </c>
      <c r="J89" s="79">
        <v>478.8</v>
      </c>
      <c r="K89" s="79">
        <v>6143</v>
      </c>
      <c r="L89" s="79">
        <v>8245</v>
      </c>
      <c r="M89" s="79">
        <v>2665</v>
      </c>
      <c r="N89" s="79">
        <v>4110</v>
      </c>
      <c r="O89" s="79">
        <v>2587.6</v>
      </c>
      <c r="P89" s="79">
        <v>420.33333333333297</v>
      </c>
      <c r="Q89" s="79">
        <v>2117.3333333333298</v>
      </c>
      <c r="R89" s="79">
        <v>1340</v>
      </c>
      <c r="S89" s="79">
        <v>0</v>
      </c>
      <c r="T89" s="79">
        <v>791</v>
      </c>
      <c r="U89" s="79">
        <v>14650</v>
      </c>
      <c r="V89" s="79">
        <v>30370</v>
      </c>
      <c r="W89" s="79">
        <v>13940</v>
      </c>
      <c r="X89" s="79">
        <v>119.74</v>
      </c>
      <c r="Y89" s="79">
        <v>881.6</v>
      </c>
      <c r="Z89" s="79">
        <v>0</v>
      </c>
      <c r="AA89" s="79">
        <v>0</v>
      </c>
      <c r="AB89" s="79">
        <v>58.099999999999902</v>
      </c>
      <c r="AC89" s="79">
        <v>15610</v>
      </c>
      <c r="AD89" s="79">
        <v>15610</v>
      </c>
      <c r="AE89" s="79">
        <v>127</v>
      </c>
      <c r="AF89" s="79">
        <v>0</v>
      </c>
      <c r="AG89" s="79">
        <v>290</v>
      </c>
      <c r="AH89" s="79">
        <v>176</v>
      </c>
      <c r="AI89" s="79">
        <v>114</v>
      </c>
      <c r="AJ89" s="79">
        <v>15224</v>
      </c>
      <c r="AK89" s="79">
        <v>15224</v>
      </c>
      <c r="AL89" s="79">
        <v>0</v>
      </c>
      <c r="AM89" s="79">
        <v>0</v>
      </c>
      <c r="AN89" s="79">
        <v>0</v>
      </c>
      <c r="AO89" s="79">
        <v>0</v>
      </c>
      <c r="AP89" s="79">
        <v>604</v>
      </c>
      <c r="AQ89" s="79">
        <v>0</v>
      </c>
      <c r="AR89" s="80">
        <v>5.4474500000000002E-4</v>
      </c>
      <c r="AS89" s="80">
        <v>3.8825200000000001E-4</v>
      </c>
      <c r="AT89" s="79">
        <v>11143.968000000001</v>
      </c>
      <c r="AU89" s="79">
        <v>0</v>
      </c>
      <c r="AV89" s="79">
        <v>1639</v>
      </c>
      <c r="AW89" s="79">
        <v>3452.0337421363702</v>
      </c>
      <c r="AX89" s="79">
        <v>12</v>
      </c>
      <c r="AY89" s="79">
        <v>12</v>
      </c>
      <c r="AZ89" s="79">
        <v>3487</v>
      </c>
      <c r="BA89" s="79">
        <v>1</v>
      </c>
      <c r="BB89" s="79">
        <v>0</v>
      </c>
      <c r="BC89" s="79">
        <v>0</v>
      </c>
      <c r="BD89" s="79">
        <v>0</v>
      </c>
      <c r="BE89" s="79">
        <v>0</v>
      </c>
      <c r="BF89" s="79">
        <v>0</v>
      </c>
      <c r="BG89" s="79">
        <v>0</v>
      </c>
      <c r="BH89" s="79">
        <v>0</v>
      </c>
      <c r="BI89" s="79">
        <v>0</v>
      </c>
      <c r="BJ89" s="79">
        <v>0</v>
      </c>
      <c r="BK89" s="79">
        <v>26</v>
      </c>
      <c r="BL89" s="79">
        <v>4256</v>
      </c>
      <c r="BM89" s="79">
        <v>176</v>
      </c>
      <c r="BN89" s="79">
        <v>114</v>
      </c>
      <c r="BO89">
        <v>6825</v>
      </c>
      <c r="BP89">
        <v>949</v>
      </c>
      <c r="BQ89">
        <v>6754</v>
      </c>
      <c r="BR89">
        <v>917</v>
      </c>
      <c r="BS89">
        <v>6708</v>
      </c>
      <c r="BT89">
        <v>924</v>
      </c>
      <c r="BU89">
        <v>6521</v>
      </c>
      <c r="BV89">
        <v>958</v>
      </c>
      <c r="BW89">
        <v>6415</v>
      </c>
      <c r="BX89">
        <v>1017</v>
      </c>
      <c r="BY89">
        <v>6377</v>
      </c>
      <c r="BZ89">
        <v>1077</v>
      </c>
      <c r="CB89">
        <v>583.58500000000004</v>
      </c>
      <c r="CC89">
        <v>88</v>
      </c>
      <c r="CD89">
        <v>75</v>
      </c>
      <c r="CE89">
        <v>9893.1</v>
      </c>
      <c r="CF89">
        <v>2198.9499999999998</v>
      </c>
      <c r="CG89">
        <v>208.843090703878</v>
      </c>
      <c r="CH89">
        <v>298</v>
      </c>
      <c r="CI89">
        <v>133.333333333333</v>
      </c>
      <c r="CJ89">
        <v>106.333333333333</v>
      </c>
      <c r="CK89" s="81">
        <v>1697</v>
      </c>
      <c r="CL89">
        <v>476</v>
      </c>
      <c r="CM89">
        <v>6488.0911405736897</v>
      </c>
      <c r="CN89">
        <v>0.80600000000000005</v>
      </c>
      <c r="CO89">
        <v>24900</v>
      </c>
      <c r="CP89">
        <v>4588</v>
      </c>
      <c r="CQ89">
        <v>992</v>
      </c>
      <c r="CR89">
        <v>810</v>
      </c>
      <c r="CS89">
        <v>807</v>
      </c>
      <c r="CT89">
        <v>490</v>
      </c>
      <c r="CU89">
        <v>459.08483972674702</v>
      </c>
      <c r="CV89">
        <v>309.34261692065201</v>
      </c>
      <c r="CW89">
        <v>120.33767735155</v>
      </c>
      <c r="CX89">
        <v>1150.8960999999999</v>
      </c>
      <c r="CY89">
        <v>775.50199999999995</v>
      </c>
      <c r="CZ89">
        <v>301.67880000000002</v>
      </c>
      <c r="DA89">
        <v>25550</v>
      </c>
      <c r="DE89">
        <v>277</v>
      </c>
      <c r="DF89" t="s">
        <v>263</v>
      </c>
      <c r="DG89">
        <v>340</v>
      </c>
      <c r="DH89">
        <v>327</v>
      </c>
      <c r="DI89">
        <v>333</v>
      </c>
      <c r="DJ89">
        <v>343</v>
      </c>
      <c r="DK89">
        <v>338</v>
      </c>
      <c r="DO89">
        <v>1876</v>
      </c>
      <c r="DP89" t="s">
        <v>62</v>
      </c>
      <c r="DQ89">
        <v>16523</v>
      </c>
      <c r="DR89">
        <v>1</v>
      </c>
      <c r="DS89">
        <v>376</v>
      </c>
      <c r="DV89">
        <v>498</v>
      </c>
      <c r="DW89" t="s">
        <v>91</v>
      </c>
      <c r="DX89">
        <v>2136.3657257057198</v>
      </c>
      <c r="DY89">
        <v>425</v>
      </c>
      <c r="DZ89">
        <v>316</v>
      </c>
      <c r="EA89">
        <v>173</v>
      </c>
      <c r="EB89">
        <v>1556</v>
      </c>
      <c r="EC89">
        <v>770</v>
      </c>
      <c r="ED89">
        <v>248</v>
      </c>
      <c r="EE89" s="82">
        <v>0.15572967748452499</v>
      </c>
      <c r="EF89" s="82">
        <v>0.41136582378160802</v>
      </c>
    </row>
    <row r="90" spans="1:136" x14ac:dyDescent="0.35">
      <c r="A90" s="72">
        <v>233</v>
      </c>
      <c r="B90" s="72">
        <v>5</v>
      </c>
      <c r="D90" s="72" t="s">
        <v>108</v>
      </c>
      <c r="E90" s="79">
        <v>2608400000</v>
      </c>
      <c r="F90" s="79">
        <v>430150000</v>
      </c>
      <c r="G90" s="79">
        <v>491750000</v>
      </c>
      <c r="H90" s="79">
        <v>26858</v>
      </c>
      <c r="I90" s="79">
        <v>1</v>
      </c>
      <c r="J90" s="79">
        <v>491.75</v>
      </c>
      <c r="K90" s="79">
        <v>5201</v>
      </c>
      <c r="L90" s="79">
        <v>6221</v>
      </c>
      <c r="M90" s="79">
        <v>2025</v>
      </c>
      <c r="N90" s="79">
        <v>3351</v>
      </c>
      <c r="O90" s="79">
        <v>1862.6</v>
      </c>
      <c r="P90" s="79">
        <v>346.33333333333297</v>
      </c>
      <c r="Q90" s="79">
        <v>2106.3333333333298</v>
      </c>
      <c r="R90" s="79">
        <v>735</v>
      </c>
      <c r="S90" s="79">
        <v>0</v>
      </c>
      <c r="T90" s="79">
        <v>617</v>
      </c>
      <c r="U90" s="79">
        <v>12419</v>
      </c>
      <c r="V90" s="79">
        <v>26920</v>
      </c>
      <c r="W90" s="79">
        <v>16370</v>
      </c>
      <c r="X90" s="79">
        <v>1200.6199999999999</v>
      </c>
      <c r="Y90" s="79">
        <v>2084.8000000000002</v>
      </c>
      <c r="Z90" s="79">
        <v>0</v>
      </c>
      <c r="AA90" s="79">
        <v>0</v>
      </c>
      <c r="AB90" s="79">
        <v>201.4</v>
      </c>
      <c r="AC90" s="79">
        <v>8562</v>
      </c>
      <c r="AD90" s="79">
        <v>8562</v>
      </c>
      <c r="AE90" s="79">
        <v>170</v>
      </c>
      <c r="AF90" s="79">
        <v>0</v>
      </c>
      <c r="AG90" s="79">
        <v>226</v>
      </c>
      <c r="AH90" s="79">
        <v>189</v>
      </c>
      <c r="AI90" s="79">
        <v>37</v>
      </c>
      <c r="AJ90" s="79">
        <v>14884</v>
      </c>
      <c r="AK90" s="79">
        <v>14884</v>
      </c>
      <c r="AL90" s="79">
        <v>0</v>
      </c>
      <c r="AM90" s="79">
        <v>0</v>
      </c>
      <c r="AN90" s="79">
        <v>0</v>
      </c>
      <c r="AO90" s="79">
        <v>0</v>
      </c>
      <c r="AP90" s="79">
        <v>645</v>
      </c>
      <c r="AQ90" s="79">
        <v>0</v>
      </c>
      <c r="AR90" s="80">
        <v>2.2730600000000001E-4</v>
      </c>
      <c r="AS90" s="80">
        <v>1.7026500000000001E-4</v>
      </c>
      <c r="AT90" s="79">
        <v>13112.804</v>
      </c>
      <c r="AU90" s="79">
        <v>0</v>
      </c>
      <c r="AV90" s="79">
        <v>280</v>
      </c>
      <c r="AW90" s="79">
        <v>861.22766834631295</v>
      </c>
      <c r="AX90" s="79">
        <v>9</v>
      </c>
      <c r="AY90" s="79">
        <v>9</v>
      </c>
      <c r="AZ90" s="79">
        <v>3075</v>
      </c>
      <c r="BA90" s="79">
        <v>1</v>
      </c>
      <c r="BB90" s="79">
        <v>0</v>
      </c>
      <c r="BC90" s="79">
        <v>0</v>
      </c>
      <c r="BD90" s="79">
        <v>0</v>
      </c>
      <c r="BE90" s="79">
        <v>0</v>
      </c>
      <c r="BF90" s="79">
        <v>0</v>
      </c>
      <c r="BG90" s="79">
        <v>0</v>
      </c>
      <c r="BH90" s="79">
        <v>0</v>
      </c>
      <c r="BI90" s="79">
        <v>0</v>
      </c>
      <c r="BJ90" s="79">
        <v>0</v>
      </c>
      <c r="BK90" s="79">
        <v>34</v>
      </c>
      <c r="BL90" s="79">
        <v>3800</v>
      </c>
      <c r="BM90" s="79">
        <v>189</v>
      </c>
      <c r="BN90" s="79">
        <v>37</v>
      </c>
      <c r="BO90">
        <v>5704</v>
      </c>
      <c r="BP90">
        <v>2186</v>
      </c>
      <c r="BQ90">
        <v>5565</v>
      </c>
      <c r="BR90">
        <v>2133</v>
      </c>
      <c r="BS90">
        <v>5491</v>
      </c>
      <c r="BT90">
        <v>2202</v>
      </c>
      <c r="BU90">
        <v>5447</v>
      </c>
      <c r="BV90">
        <v>2276</v>
      </c>
      <c r="BW90">
        <v>5357</v>
      </c>
      <c r="BX90">
        <v>2324</v>
      </c>
      <c r="BY90">
        <v>5247</v>
      </c>
      <c r="BZ90">
        <v>2338</v>
      </c>
      <c r="CB90">
        <v>431.68299999999999</v>
      </c>
      <c r="CC90">
        <v>63</v>
      </c>
      <c r="CD90">
        <v>46</v>
      </c>
      <c r="CE90">
        <v>7728</v>
      </c>
      <c r="CF90">
        <v>1855.94</v>
      </c>
      <c r="CG90">
        <v>190.94309574468099</v>
      </c>
      <c r="CH90">
        <v>237</v>
      </c>
      <c r="CI90">
        <v>84</v>
      </c>
      <c r="CJ90">
        <v>60</v>
      </c>
      <c r="CK90" s="81">
        <v>1760</v>
      </c>
      <c r="CL90">
        <v>815</v>
      </c>
      <c r="CM90">
        <v>4212.2082197155496</v>
      </c>
      <c r="CN90">
        <v>0.52200000000000002</v>
      </c>
      <c r="CO90">
        <v>20637</v>
      </c>
      <c r="CP90">
        <v>3441</v>
      </c>
      <c r="CQ90">
        <v>755</v>
      </c>
      <c r="CR90">
        <v>663</v>
      </c>
      <c r="CS90">
        <v>561</v>
      </c>
      <c r="CT90">
        <v>340</v>
      </c>
      <c r="CU90">
        <v>254.16155603332399</v>
      </c>
      <c r="CV90">
        <v>157.80291588282699</v>
      </c>
      <c r="CW90">
        <v>60.943711367911803</v>
      </c>
      <c r="CX90">
        <v>799.19849999999997</v>
      </c>
      <c r="CY90">
        <v>496.20350000000002</v>
      </c>
      <c r="CZ90">
        <v>191.6345</v>
      </c>
      <c r="DA90">
        <v>450229</v>
      </c>
      <c r="DE90">
        <v>279</v>
      </c>
      <c r="DF90" t="s">
        <v>266</v>
      </c>
      <c r="DG90">
        <v>2368</v>
      </c>
      <c r="DH90">
        <v>2386</v>
      </c>
      <c r="DI90">
        <v>2369</v>
      </c>
      <c r="DJ90">
        <v>2367</v>
      </c>
      <c r="DK90">
        <v>2374</v>
      </c>
      <c r="DO90">
        <v>213</v>
      </c>
      <c r="DP90" t="s">
        <v>63</v>
      </c>
      <c r="DQ90">
        <v>9708</v>
      </c>
      <c r="DR90">
        <v>1</v>
      </c>
      <c r="DS90">
        <v>762</v>
      </c>
      <c r="DV90">
        <v>1719</v>
      </c>
      <c r="DW90" t="s">
        <v>92</v>
      </c>
      <c r="DX90">
        <v>2965.7205402065501</v>
      </c>
      <c r="DY90">
        <v>597</v>
      </c>
      <c r="DZ90">
        <v>549</v>
      </c>
      <c r="EA90">
        <v>283</v>
      </c>
      <c r="EB90">
        <v>2160</v>
      </c>
      <c r="EC90">
        <v>1181</v>
      </c>
      <c r="ED90">
        <v>412</v>
      </c>
      <c r="EE90" s="82">
        <v>0.149513759061631</v>
      </c>
      <c r="EF90" s="82">
        <v>0.39701708014307702</v>
      </c>
    </row>
    <row r="91" spans="1:136" x14ac:dyDescent="0.35">
      <c r="A91" s="72">
        <v>243</v>
      </c>
      <c r="B91" s="72">
        <v>5</v>
      </c>
      <c r="D91" s="72" t="s">
        <v>130</v>
      </c>
      <c r="E91" s="79">
        <v>4094400000</v>
      </c>
      <c r="F91" s="79">
        <v>676550000</v>
      </c>
      <c r="G91" s="79">
        <v>694750000</v>
      </c>
      <c r="H91" s="79">
        <v>47581</v>
      </c>
      <c r="I91" s="79">
        <v>1</v>
      </c>
      <c r="J91" s="79">
        <v>694.75</v>
      </c>
      <c r="K91" s="79">
        <v>10371</v>
      </c>
      <c r="L91" s="79">
        <v>8645</v>
      </c>
      <c r="M91" s="79">
        <v>2630</v>
      </c>
      <c r="N91" s="79">
        <v>5761</v>
      </c>
      <c r="O91" s="79">
        <v>3732.4</v>
      </c>
      <c r="P91" s="79">
        <v>870.66666666666697</v>
      </c>
      <c r="Q91" s="79">
        <v>3399.6666666666702</v>
      </c>
      <c r="R91" s="79">
        <v>4320</v>
      </c>
      <c r="S91" s="79">
        <v>0</v>
      </c>
      <c r="T91" s="79">
        <v>1469</v>
      </c>
      <c r="U91" s="79">
        <v>21057</v>
      </c>
      <c r="V91" s="79">
        <v>50840</v>
      </c>
      <c r="W91" s="79">
        <v>47230</v>
      </c>
      <c r="X91" s="79">
        <v>1237.8</v>
      </c>
      <c r="Y91" s="79">
        <v>3172.8</v>
      </c>
      <c r="Z91" s="79">
        <v>0</v>
      </c>
      <c r="AA91" s="79">
        <v>0</v>
      </c>
      <c r="AB91" s="79">
        <v>0</v>
      </c>
      <c r="AC91" s="79">
        <v>3892</v>
      </c>
      <c r="AD91" s="79">
        <v>3892</v>
      </c>
      <c r="AE91" s="79">
        <v>935</v>
      </c>
      <c r="AF91" s="79">
        <v>0</v>
      </c>
      <c r="AG91" s="79">
        <v>278</v>
      </c>
      <c r="AH91" s="79">
        <v>249</v>
      </c>
      <c r="AI91" s="79">
        <v>29</v>
      </c>
      <c r="AJ91" s="79">
        <v>20286</v>
      </c>
      <c r="AK91" s="79">
        <v>20286</v>
      </c>
      <c r="AL91" s="79">
        <v>19</v>
      </c>
      <c r="AM91" s="79">
        <v>0</v>
      </c>
      <c r="AN91" s="79">
        <v>0</v>
      </c>
      <c r="AO91" s="79">
        <v>1650</v>
      </c>
      <c r="AP91" s="79">
        <v>1443</v>
      </c>
      <c r="AQ91" s="79">
        <v>1443</v>
      </c>
      <c r="AR91" s="80">
        <v>4.2419799999999998E-4</v>
      </c>
      <c r="AS91" s="80">
        <v>5.6964699999999995E-4</v>
      </c>
      <c r="AT91" s="79">
        <v>30814.434000000001</v>
      </c>
      <c r="AU91" s="79">
        <v>0</v>
      </c>
      <c r="AV91" s="79">
        <v>692</v>
      </c>
      <c r="AW91" s="79">
        <v>6821.2247772943902</v>
      </c>
      <c r="AX91" s="79">
        <v>2</v>
      </c>
      <c r="AY91" s="79">
        <v>2</v>
      </c>
      <c r="AZ91" s="79">
        <v>4926</v>
      </c>
      <c r="BA91" s="79">
        <v>1</v>
      </c>
      <c r="BB91" s="79">
        <v>0</v>
      </c>
      <c r="BC91" s="79">
        <v>0</v>
      </c>
      <c r="BD91" s="79">
        <v>0</v>
      </c>
      <c r="BE91" s="79">
        <v>0</v>
      </c>
      <c r="BF91" s="79">
        <v>0</v>
      </c>
      <c r="BG91" s="79">
        <v>0</v>
      </c>
      <c r="BH91" s="79">
        <v>0</v>
      </c>
      <c r="BI91" s="79">
        <v>0</v>
      </c>
      <c r="BJ91" s="79">
        <v>0</v>
      </c>
      <c r="BK91" s="79">
        <v>48</v>
      </c>
      <c r="BL91" s="79">
        <v>6672</v>
      </c>
      <c r="BM91" s="79">
        <v>249</v>
      </c>
      <c r="BN91" s="79">
        <v>29</v>
      </c>
      <c r="BO91">
        <v>9972</v>
      </c>
      <c r="BP91">
        <v>3702</v>
      </c>
      <c r="BQ91">
        <v>10121</v>
      </c>
      <c r="BR91">
        <v>3772</v>
      </c>
      <c r="BS91">
        <v>10283</v>
      </c>
      <c r="BT91">
        <v>3877</v>
      </c>
      <c r="BU91">
        <v>10394</v>
      </c>
      <c r="BV91">
        <v>3679</v>
      </c>
      <c r="BW91">
        <v>10457</v>
      </c>
      <c r="BX91">
        <v>3788</v>
      </c>
      <c r="BY91">
        <v>10458</v>
      </c>
      <c r="BZ91">
        <v>3795</v>
      </c>
      <c r="CB91">
        <v>1130.4390000000001</v>
      </c>
      <c r="CC91">
        <v>161</v>
      </c>
      <c r="CD91">
        <v>197</v>
      </c>
      <c r="CE91">
        <v>13319.46</v>
      </c>
      <c r="CF91">
        <v>3417.83</v>
      </c>
      <c r="CG91">
        <v>550.53432545966996</v>
      </c>
      <c r="CH91">
        <v>564</v>
      </c>
      <c r="CI91">
        <v>266.33333333333297</v>
      </c>
      <c r="CJ91">
        <v>216.666666666667</v>
      </c>
      <c r="CK91" s="81">
        <v>2529</v>
      </c>
      <c r="CL91">
        <v>709</v>
      </c>
      <c r="CM91">
        <v>7264.6578880041798</v>
      </c>
      <c r="CN91">
        <v>1.7390000000000001</v>
      </c>
      <c r="CO91">
        <v>38936</v>
      </c>
      <c r="CP91">
        <v>5055</v>
      </c>
      <c r="CQ91">
        <v>960</v>
      </c>
      <c r="CR91">
        <v>1091</v>
      </c>
      <c r="CS91">
        <v>942</v>
      </c>
      <c r="CT91">
        <v>513</v>
      </c>
      <c r="CU91">
        <v>578.46128364389199</v>
      </c>
      <c r="CV91">
        <v>340.74755003450701</v>
      </c>
      <c r="CW91">
        <v>131.184126984127</v>
      </c>
      <c r="CX91">
        <v>1449.6984</v>
      </c>
      <c r="CY91">
        <v>853.95719999999994</v>
      </c>
      <c r="CZ91">
        <v>328.76429999999999</v>
      </c>
      <c r="DA91">
        <v>36543</v>
      </c>
      <c r="DE91">
        <v>281</v>
      </c>
      <c r="DF91" t="s">
        <v>295</v>
      </c>
      <c r="DG91">
        <v>9728</v>
      </c>
      <c r="DH91">
        <v>9667</v>
      </c>
      <c r="DI91">
        <v>9543</v>
      </c>
      <c r="DJ91">
        <v>9528</v>
      </c>
      <c r="DK91">
        <v>9354</v>
      </c>
      <c r="DO91">
        <v>214</v>
      </c>
      <c r="DP91" t="s">
        <v>67</v>
      </c>
      <c r="DQ91">
        <v>10933</v>
      </c>
      <c r="DR91">
        <v>1.08</v>
      </c>
      <c r="DS91">
        <v>274</v>
      </c>
      <c r="DV91">
        <v>303</v>
      </c>
      <c r="DW91" t="s">
        <v>93</v>
      </c>
      <c r="DX91">
        <v>4413.6624590930296</v>
      </c>
      <c r="DY91">
        <v>710</v>
      </c>
      <c r="DZ91">
        <v>661</v>
      </c>
      <c r="EA91">
        <v>396</v>
      </c>
      <c r="EB91">
        <v>2458</v>
      </c>
      <c r="EC91">
        <v>1506</v>
      </c>
      <c r="ED91">
        <v>599</v>
      </c>
      <c r="EE91" s="82">
        <v>0.14366028812482201</v>
      </c>
      <c r="EF91" s="82">
        <v>0.45316433785906901</v>
      </c>
    </row>
    <row r="92" spans="1:136" x14ac:dyDescent="0.35">
      <c r="A92" s="72">
        <v>244</v>
      </c>
      <c r="B92" s="72">
        <v>5</v>
      </c>
      <c r="D92" s="72" t="s">
        <v>133</v>
      </c>
      <c r="E92" s="79">
        <v>1145200000</v>
      </c>
      <c r="F92" s="79">
        <v>92750000</v>
      </c>
      <c r="G92" s="79">
        <v>99050000</v>
      </c>
      <c r="H92" s="79">
        <v>12173</v>
      </c>
      <c r="I92" s="79">
        <v>1</v>
      </c>
      <c r="J92" s="79">
        <v>99.05</v>
      </c>
      <c r="K92" s="79">
        <v>2642</v>
      </c>
      <c r="L92" s="79">
        <v>2701</v>
      </c>
      <c r="M92" s="79">
        <v>872</v>
      </c>
      <c r="N92" s="79">
        <v>1336</v>
      </c>
      <c r="O92" s="79">
        <v>794.2</v>
      </c>
      <c r="P92" s="79">
        <v>132.333333333333</v>
      </c>
      <c r="Q92" s="79">
        <v>597.33333333333303</v>
      </c>
      <c r="R92" s="79">
        <v>190</v>
      </c>
      <c r="S92" s="79">
        <v>0</v>
      </c>
      <c r="T92" s="79">
        <v>261</v>
      </c>
      <c r="U92" s="79">
        <v>5180</v>
      </c>
      <c r="V92" s="79">
        <v>10000</v>
      </c>
      <c r="W92" s="79">
        <v>3110</v>
      </c>
      <c r="X92" s="79">
        <v>0</v>
      </c>
      <c r="Y92" s="79">
        <v>0</v>
      </c>
      <c r="Z92" s="79">
        <v>0</v>
      </c>
      <c r="AA92" s="79">
        <v>0</v>
      </c>
      <c r="AB92" s="79">
        <v>0</v>
      </c>
      <c r="AC92" s="79">
        <v>2307</v>
      </c>
      <c r="AD92" s="79">
        <v>2307</v>
      </c>
      <c r="AE92" s="79">
        <v>108</v>
      </c>
      <c r="AF92" s="79">
        <v>0</v>
      </c>
      <c r="AG92" s="79">
        <v>76</v>
      </c>
      <c r="AH92" s="79">
        <v>65</v>
      </c>
      <c r="AI92" s="79">
        <v>12</v>
      </c>
      <c r="AJ92" s="79">
        <v>5418</v>
      </c>
      <c r="AK92" s="79">
        <v>5418</v>
      </c>
      <c r="AL92" s="79">
        <v>7</v>
      </c>
      <c r="AM92" s="79">
        <v>0</v>
      </c>
      <c r="AN92" s="79">
        <v>0</v>
      </c>
      <c r="AO92" s="79">
        <v>1000</v>
      </c>
      <c r="AP92" s="79">
        <v>652</v>
      </c>
      <c r="AQ92" s="79">
        <v>652</v>
      </c>
      <c r="AR92" s="80">
        <v>2.59323E-4</v>
      </c>
      <c r="AS92" s="80">
        <v>1.18373E-4</v>
      </c>
      <c r="AT92" s="79">
        <v>4507.7759999999998</v>
      </c>
      <c r="AU92" s="79">
        <v>0</v>
      </c>
      <c r="AV92" s="79">
        <v>619</v>
      </c>
      <c r="AW92" s="79">
        <v>3120.1188405797102</v>
      </c>
      <c r="AX92" s="79">
        <v>2</v>
      </c>
      <c r="AY92" s="79">
        <v>2</v>
      </c>
      <c r="AZ92" s="79">
        <v>1198</v>
      </c>
      <c r="BA92" s="79">
        <v>1</v>
      </c>
      <c r="BB92" s="79">
        <v>0</v>
      </c>
      <c r="BC92" s="79">
        <v>0</v>
      </c>
      <c r="BD92" s="79">
        <v>0</v>
      </c>
      <c r="BE92" s="79">
        <v>0</v>
      </c>
      <c r="BF92" s="79">
        <v>0</v>
      </c>
      <c r="BG92" s="79">
        <v>0</v>
      </c>
      <c r="BH92" s="79">
        <v>0</v>
      </c>
      <c r="BI92" s="79">
        <v>0</v>
      </c>
      <c r="BJ92" s="79">
        <v>0</v>
      </c>
      <c r="BK92" s="79">
        <v>10</v>
      </c>
      <c r="BL92" s="79">
        <v>1459</v>
      </c>
      <c r="BM92" s="79">
        <v>65</v>
      </c>
      <c r="BN92" s="79">
        <v>12</v>
      </c>
      <c r="BO92">
        <v>2726</v>
      </c>
      <c r="BP92">
        <v>297</v>
      </c>
      <c r="BQ92">
        <v>2718</v>
      </c>
      <c r="BR92">
        <v>259</v>
      </c>
      <c r="BS92">
        <v>2670</v>
      </c>
      <c r="BT92">
        <v>243</v>
      </c>
      <c r="BU92">
        <v>2639</v>
      </c>
      <c r="BV92">
        <v>233</v>
      </c>
      <c r="BW92">
        <v>2609</v>
      </c>
      <c r="BX92">
        <v>210</v>
      </c>
      <c r="BY92">
        <v>2582</v>
      </c>
      <c r="BZ92">
        <v>172</v>
      </c>
      <c r="CB92">
        <v>208.71799999999999</v>
      </c>
      <c r="CC92">
        <v>28</v>
      </c>
      <c r="CD92">
        <v>21</v>
      </c>
      <c r="CE92">
        <v>3632.4</v>
      </c>
      <c r="CF92">
        <v>917.32</v>
      </c>
      <c r="CG92">
        <v>93.1835948553055</v>
      </c>
      <c r="CH92">
        <v>106</v>
      </c>
      <c r="CI92">
        <v>33.6666666666667</v>
      </c>
      <c r="CJ92">
        <v>23.3333333333333</v>
      </c>
      <c r="CK92" s="81">
        <v>465</v>
      </c>
      <c r="CL92">
        <v>125</v>
      </c>
      <c r="CM92">
        <v>1733.5007232968901</v>
      </c>
      <c r="CN92">
        <v>8.2000000000000003E-2</v>
      </c>
      <c r="CO92">
        <v>9472</v>
      </c>
      <c r="CP92">
        <v>1512</v>
      </c>
      <c r="CQ92">
        <v>317</v>
      </c>
      <c r="CR92">
        <v>263</v>
      </c>
      <c r="CS92">
        <v>276</v>
      </c>
      <c r="CT92">
        <v>162</v>
      </c>
      <c r="CU92">
        <v>135.738132152086</v>
      </c>
      <c r="CV92">
        <v>87.5115171650055</v>
      </c>
      <c r="CW92">
        <v>33.274898486526403</v>
      </c>
      <c r="CX92">
        <v>374.19659999999999</v>
      </c>
      <c r="CY92">
        <v>241.24770000000001</v>
      </c>
      <c r="CZ92">
        <v>91.730699999999999</v>
      </c>
      <c r="DA92">
        <v>0</v>
      </c>
      <c r="DE92">
        <v>285</v>
      </c>
      <c r="DF92" t="s">
        <v>323</v>
      </c>
      <c r="DG92">
        <v>4953</v>
      </c>
      <c r="DH92">
        <v>4875</v>
      </c>
      <c r="DI92">
        <v>4794</v>
      </c>
      <c r="DJ92">
        <v>4774</v>
      </c>
      <c r="DK92">
        <v>4750</v>
      </c>
      <c r="DO92">
        <v>216</v>
      </c>
      <c r="DP92" t="s">
        <v>73</v>
      </c>
      <c r="DQ92">
        <v>12428</v>
      </c>
      <c r="DR92">
        <v>1.29</v>
      </c>
      <c r="DS92">
        <v>1450</v>
      </c>
      <c r="DV92">
        <v>225</v>
      </c>
      <c r="DW92" t="s">
        <v>94</v>
      </c>
      <c r="DX92">
        <v>2294.5387647831799</v>
      </c>
      <c r="DY92">
        <v>365</v>
      </c>
      <c r="DZ92">
        <v>325</v>
      </c>
      <c r="EA92">
        <v>159</v>
      </c>
      <c r="EB92">
        <v>1256</v>
      </c>
      <c r="EC92">
        <v>711</v>
      </c>
      <c r="ED92">
        <v>223</v>
      </c>
      <c r="EE92" s="82">
        <v>0.17873405791826799</v>
      </c>
      <c r="EF92" s="82">
        <v>0.46115767919659201</v>
      </c>
    </row>
    <row r="93" spans="1:136" x14ac:dyDescent="0.35">
      <c r="A93" s="72">
        <v>246</v>
      </c>
      <c r="B93" s="72">
        <v>5</v>
      </c>
      <c r="D93" s="72" t="s">
        <v>136</v>
      </c>
      <c r="E93" s="79">
        <v>1676400000</v>
      </c>
      <c r="F93" s="79">
        <v>173600000</v>
      </c>
      <c r="G93" s="79">
        <v>191100000</v>
      </c>
      <c r="H93" s="79">
        <v>18546</v>
      </c>
      <c r="I93" s="79">
        <v>2</v>
      </c>
      <c r="J93" s="79">
        <v>191.1</v>
      </c>
      <c r="K93" s="79">
        <v>3736</v>
      </c>
      <c r="L93" s="79">
        <v>4335</v>
      </c>
      <c r="M93" s="79">
        <v>1377</v>
      </c>
      <c r="N93" s="79">
        <v>2122</v>
      </c>
      <c r="O93" s="79">
        <v>1322.4</v>
      </c>
      <c r="P93" s="79">
        <v>183</v>
      </c>
      <c r="Q93" s="79">
        <v>1026</v>
      </c>
      <c r="R93" s="79">
        <v>225</v>
      </c>
      <c r="S93" s="79">
        <v>0</v>
      </c>
      <c r="T93" s="79">
        <v>363</v>
      </c>
      <c r="U93" s="79">
        <v>7889</v>
      </c>
      <c r="V93" s="79">
        <v>16390</v>
      </c>
      <c r="W93" s="79">
        <v>5560</v>
      </c>
      <c r="X93" s="79">
        <v>245.66</v>
      </c>
      <c r="Y93" s="79">
        <v>780.8</v>
      </c>
      <c r="Z93" s="79">
        <v>0</v>
      </c>
      <c r="AA93" s="79">
        <v>0</v>
      </c>
      <c r="AB93" s="79">
        <v>0</v>
      </c>
      <c r="AC93" s="79">
        <v>7854</v>
      </c>
      <c r="AD93" s="79">
        <v>7854</v>
      </c>
      <c r="AE93" s="79">
        <v>188</v>
      </c>
      <c r="AF93" s="79">
        <v>0</v>
      </c>
      <c r="AG93" s="79">
        <v>154</v>
      </c>
      <c r="AH93" s="79">
        <v>106</v>
      </c>
      <c r="AI93" s="79">
        <v>48</v>
      </c>
      <c r="AJ93" s="79">
        <v>7996</v>
      </c>
      <c r="AK93" s="79">
        <v>7996</v>
      </c>
      <c r="AL93" s="79">
        <v>0</v>
      </c>
      <c r="AM93" s="79">
        <v>0</v>
      </c>
      <c r="AN93" s="79">
        <v>0</v>
      </c>
      <c r="AO93" s="79">
        <v>0</v>
      </c>
      <c r="AP93" s="79">
        <v>0</v>
      </c>
      <c r="AQ93" s="79">
        <v>0</v>
      </c>
      <c r="AR93" s="80">
        <v>3.13064E-4</v>
      </c>
      <c r="AS93" s="80">
        <v>1.0768999999999999E-4</v>
      </c>
      <c r="AT93" s="79">
        <v>4869.5640000000003</v>
      </c>
      <c r="AU93" s="79">
        <v>0</v>
      </c>
      <c r="AV93" s="79">
        <v>1504</v>
      </c>
      <c r="AW93" s="79">
        <v>3468.4386968415802</v>
      </c>
      <c r="AX93" s="79">
        <v>8</v>
      </c>
      <c r="AY93" s="79">
        <v>8</v>
      </c>
      <c r="AZ93" s="79">
        <v>1740</v>
      </c>
      <c r="BA93" s="79">
        <v>1</v>
      </c>
      <c r="BB93" s="79">
        <v>0</v>
      </c>
      <c r="BC93" s="79">
        <v>0</v>
      </c>
      <c r="BD93" s="79">
        <v>0</v>
      </c>
      <c r="BE93" s="79">
        <v>0</v>
      </c>
      <c r="BF93" s="79">
        <v>0</v>
      </c>
      <c r="BG93" s="79">
        <v>0</v>
      </c>
      <c r="BH93" s="79">
        <v>0</v>
      </c>
      <c r="BI93" s="79">
        <v>0</v>
      </c>
      <c r="BJ93" s="79">
        <v>0</v>
      </c>
      <c r="BK93" s="79">
        <v>24</v>
      </c>
      <c r="BL93" s="79">
        <v>1981</v>
      </c>
      <c r="BM93" s="79">
        <v>106</v>
      </c>
      <c r="BN93" s="79">
        <v>48</v>
      </c>
      <c r="BO93">
        <v>4014</v>
      </c>
      <c r="BP93">
        <v>929</v>
      </c>
      <c r="BQ93">
        <v>3944</v>
      </c>
      <c r="BR93">
        <v>928</v>
      </c>
      <c r="BS93">
        <v>3919</v>
      </c>
      <c r="BT93">
        <v>958</v>
      </c>
      <c r="BU93">
        <v>3850</v>
      </c>
      <c r="BV93">
        <v>960</v>
      </c>
      <c r="BW93">
        <v>3835</v>
      </c>
      <c r="BX93">
        <v>978</v>
      </c>
      <c r="BY93">
        <v>3817</v>
      </c>
      <c r="BZ93">
        <v>1010</v>
      </c>
      <c r="CB93">
        <v>280.2</v>
      </c>
      <c r="CC93">
        <v>74</v>
      </c>
      <c r="CD93">
        <v>26</v>
      </c>
      <c r="CE93">
        <v>5239.17</v>
      </c>
      <c r="CF93">
        <v>1276.8</v>
      </c>
      <c r="CG93">
        <v>110.877333333333</v>
      </c>
      <c r="CH93">
        <v>159</v>
      </c>
      <c r="CI93">
        <v>59</v>
      </c>
      <c r="CJ93">
        <v>37</v>
      </c>
      <c r="CK93" s="81">
        <v>843</v>
      </c>
      <c r="CL93">
        <v>217</v>
      </c>
      <c r="CM93">
        <v>3175.56773442552</v>
      </c>
      <c r="CN93">
        <v>0.16</v>
      </c>
      <c r="CO93">
        <v>14211</v>
      </c>
      <c r="CP93">
        <v>2458</v>
      </c>
      <c r="CQ93">
        <v>500</v>
      </c>
      <c r="CR93">
        <v>378</v>
      </c>
      <c r="CS93">
        <v>402</v>
      </c>
      <c r="CT93">
        <v>230</v>
      </c>
      <c r="CU93">
        <v>237.32416208104101</v>
      </c>
      <c r="CV93">
        <v>152.978989494747</v>
      </c>
      <c r="CW93">
        <v>54.410905452726396</v>
      </c>
      <c r="CX93">
        <v>627.8125</v>
      </c>
      <c r="CY93">
        <v>404.6875</v>
      </c>
      <c r="CZ93">
        <v>143.9375</v>
      </c>
      <c r="DA93">
        <v>32236</v>
      </c>
      <c r="DE93">
        <v>289</v>
      </c>
      <c r="DF93" t="s">
        <v>329</v>
      </c>
      <c r="DG93">
        <v>6107</v>
      </c>
      <c r="DH93">
        <v>6133</v>
      </c>
      <c r="DI93">
        <v>6106</v>
      </c>
      <c r="DJ93">
        <v>6081</v>
      </c>
      <c r="DK93">
        <v>6003</v>
      </c>
      <c r="DO93">
        <v>221</v>
      </c>
      <c r="DP93" t="s">
        <v>87</v>
      </c>
      <c r="DQ93">
        <v>5294</v>
      </c>
      <c r="DR93">
        <v>1</v>
      </c>
      <c r="DS93">
        <v>860</v>
      </c>
      <c r="DV93">
        <v>226</v>
      </c>
      <c r="DW93" t="s">
        <v>95</v>
      </c>
      <c r="DX93">
        <v>2837.69551282051</v>
      </c>
      <c r="DY93">
        <v>514</v>
      </c>
      <c r="DZ93">
        <v>472</v>
      </c>
      <c r="EA93">
        <v>234</v>
      </c>
      <c r="EB93">
        <v>1671</v>
      </c>
      <c r="EC93">
        <v>964</v>
      </c>
      <c r="ED93">
        <v>337</v>
      </c>
      <c r="EE93" s="82">
        <v>0.16475979780001099</v>
      </c>
      <c r="EF93" s="82">
        <v>0.44529638226801799</v>
      </c>
    </row>
    <row r="94" spans="1:136" x14ac:dyDescent="0.35">
      <c r="A94" s="72">
        <v>252</v>
      </c>
      <c r="B94" s="72">
        <v>5</v>
      </c>
      <c r="D94" s="72" t="s">
        <v>148</v>
      </c>
      <c r="E94" s="79">
        <v>1581600000</v>
      </c>
      <c r="F94" s="79">
        <v>142100000</v>
      </c>
      <c r="G94" s="79">
        <v>155750000</v>
      </c>
      <c r="H94" s="79">
        <v>16486</v>
      </c>
      <c r="I94" s="79">
        <v>2</v>
      </c>
      <c r="J94" s="79">
        <v>155.75</v>
      </c>
      <c r="K94" s="79">
        <v>3114</v>
      </c>
      <c r="L94" s="79">
        <v>3916</v>
      </c>
      <c r="M94" s="79">
        <v>1321</v>
      </c>
      <c r="N94" s="79">
        <v>1756</v>
      </c>
      <c r="O94" s="79">
        <v>1023.5</v>
      </c>
      <c r="P94" s="79">
        <v>261</v>
      </c>
      <c r="Q94" s="79">
        <v>960</v>
      </c>
      <c r="R94" s="79">
        <v>345</v>
      </c>
      <c r="S94" s="79">
        <v>0</v>
      </c>
      <c r="T94" s="79">
        <v>446</v>
      </c>
      <c r="U94" s="79">
        <v>7336</v>
      </c>
      <c r="V94" s="79">
        <v>13370</v>
      </c>
      <c r="W94" s="79">
        <v>3490</v>
      </c>
      <c r="X94" s="79">
        <v>0</v>
      </c>
      <c r="Y94" s="79">
        <v>0</v>
      </c>
      <c r="Z94" s="79">
        <v>0</v>
      </c>
      <c r="AA94" s="79">
        <v>0</v>
      </c>
      <c r="AB94" s="79">
        <v>0</v>
      </c>
      <c r="AC94" s="79">
        <v>3970</v>
      </c>
      <c r="AD94" s="79">
        <v>3970</v>
      </c>
      <c r="AE94" s="79">
        <v>184</v>
      </c>
      <c r="AF94" s="79">
        <v>0</v>
      </c>
      <c r="AG94" s="79">
        <v>123</v>
      </c>
      <c r="AH94" s="79">
        <v>89</v>
      </c>
      <c r="AI94" s="79">
        <v>34</v>
      </c>
      <c r="AJ94" s="79">
        <v>7325</v>
      </c>
      <c r="AK94" s="79">
        <v>7325</v>
      </c>
      <c r="AL94" s="79">
        <v>0</v>
      </c>
      <c r="AM94" s="79">
        <v>0</v>
      </c>
      <c r="AN94" s="79">
        <v>0</v>
      </c>
      <c r="AO94" s="79">
        <v>0</v>
      </c>
      <c r="AP94" s="79">
        <v>0</v>
      </c>
      <c r="AQ94" s="79">
        <v>0</v>
      </c>
      <c r="AR94" s="80">
        <v>8.7250999999999995E-5</v>
      </c>
      <c r="AS94" s="80">
        <v>4.4721000000000001E-5</v>
      </c>
      <c r="AT94" s="79">
        <v>5830.7</v>
      </c>
      <c r="AU94" s="79">
        <v>0</v>
      </c>
      <c r="AV94" s="79">
        <v>656</v>
      </c>
      <c r="AW94" s="79">
        <v>2603.4703899855599</v>
      </c>
      <c r="AX94" s="79">
        <v>4</v>
      </c>
      <c r="AY94" s="79">
        <v>4</v>
      </c>
      <c r="AZ94" s="79">
        <v>1860</v>
      </c>
      <c r="BA94" s="79">
        <v>1</v>
      </c>
      <c r="BB94" s="79">
        <v>0</v>
      </c>
      <c r="BC94" s="79">
        <v>0</v>
      </c>
      <c r="BD94" s="79">
        <v>0</v>
      </c>
      <c r="BE94" s="79">
        <v>0</v>
      </c>
      <c r="BF94" s="79">
        <v>0</v>
      </c>
      <c r="BG94" s="79">
        <v>0</v>
      </c>
      <c r="BH94" s="79">
        <v>0</v>
      </c>
      <c r="BI94" s="79">
        <v>0</v>
      </c>
      <c r="BJ94" s="79">
        <v>0</v>
      </c>
      <c r="BK94" s="79">
        <v>9</v>
      </c>
      <c r="BL94" s="79">
        <v>2157</v>
      </c>
      <c r="BM94" s="79">
        <v>89</v>
      </c>
      <c r="BN94" s="79">
        <v>34</v>
      </c>
      <c r="BO94">
        <v>3954</v>
      </c>
      <c r="BP94">
        <v>0</v>
      </c>
      <c r="BQ94">
        <v>3870</v>
      </c>
      <c r="BR94">
        <v>0</v>
      </c>
      <c r="BS94">
        <v>3775</v>
      </c>
      <c r="BT94">
        <v>0</v>
      </c>
      <c r="BU94">
        <v>3665</v>
      </c>
      <c r="BV94">
        <v>0</v>
      </c>
      <c r="BW94">
        <v>3623</v>
      </c>
      <c r="BX94">
        <v>0</v>
      </c>
      <c r="BY94">
        <v>3491</v>
      </c>
      <c r="BZ94">
        <v>0</v>
      </c>
      <c r="CB94">
        <v>230.43600000000001</v>
      </c>
      <c r="CC94">
        <v>15</v>
      </c>
      <c r="CD94">
        <v>14</v>
      </c>
      <c r="CE94">
        <v>5609</v>
      </c>
      <c r="CF94">
        <v>1412.18</v>
      </c>
      <c r="CG94">
        <v>88.693456846950497</v>
      </c>
      <c r="CH94">
        <v>161</v>
      </c>
      <c r="CI94">
        <v>60.6666666666667</v>
      </c>
      <c r="CJ94">
        <v>52.3333333333333</v>
      </c>
      <c r="CK94" s="81">
        <v>699</v>
      </c>
      <c r="CL94">
        <v>234</v>
      </c>
      <c r="CM94">
        <v>2490.8370904645499</v>
      </c>
      <c r="CN94">
        <v>0.38900000000000001</v>
      </c>
      <c r="CO94">
        <v>12570</v>
      </c>
      <c r="CP94">
        <v>2164</v>
      </c>
      <c r="CQ94">
        <v>431</v>
      </c>
      <c r="CR94">
        <v>408</v>
      </c>
      <c r="CS94">
        <v>433</v>
      </c>
      <c r="CT94">
        <v>191</v>
      </c>
      <c r="CU94">
        <v>182.90259385665499</v>
      </c>
      <c r="CV94">
        <v>127.291262798635</v>
      </c>
      <c r="CW94">
        <v>40.94</v>
      </c>
      <c r="CX94">
        <v>441.65660000000003</v>
      </c>
      <c r="CY94">
        <v>307.37139999999999</v>
      </c>
      <c r="CZ94">
        <v>98.858199999999997</v>
      </c>
      <c r="DA94">
        <v>14965</v>
      </c>
      <c r="DE94">
        <v>293</v>
      </c>
      <c r="DF94" t="s">
        <v>338</v>
      </c>
      <c r="DG94">
        <v>3425</v>
      </c>
      <c r="DH94">
        <v>3296</v>
      </c>
      <c r="DI94">
        <v>3271</v>
      </c>
      <c r="DJ94">
        <v>3162</v>
      </c>
      <c r="DK94">
        <v>3052</v>
      </c>
      <c r="DO94">
        <v>222</v>
      </c>
      <c r="DP94" t="s">
        <v>88</v>
      </c>
      <c r="DQ94">
        <v>26253</v>
      </c>
      <c r="DR94">
        <v>1</v>
      </c>
      <c r="DS94">
        <v>1134</v>
      </c>
      <c r="DV94">
        <v>1711</v>
      </c>
      <c r="DW94" t="s">
        <v>96</v>
      </c>
      <c r="DX94">
        <v>4528.9239122769904</v>
      </c>
      <c r="DY94">
        <v>864</v>
      </c>
      <c r="DZ94">
        <v>733</v>
      </c>
      <c r="EA94">
        <v>409</v>
      </c>
      <c r="EB94">
        <v>2781</v>
      </c>
      <c r="EC94">
        <v>1618</v>
      </c>
      <c r="ED94">
        <v>574</v>
      </c>
      <c r="EE94" s="82">
        <v>0.193419106723485</v>
      </c>
      <c r="EF94" s="82">
        <v>0.46927942762387398</v>
      </c>
    </row>
    <row r="95" spans="1:136" x14ac:dyDescent="0.35">
      <c r="A95" s="72">
        <v>1705</v>
      </c>
      <c r="B95" s="72">
        <v>5</v>
      </c>
      <c r="D95" s="72" t="s">
        <v>185</v>
      </c>
      <c r="E95" s="79">
        <v>4038400000</v>
      </c>
      <c r="F95" s="79">
        <v>379750000</v>
      </c>
      <c r="G95" s="79">
        <v>394450000</v>
      </c>
      <c r="H95" s="79">
        <v>46475</v>
      </c>
      <c r="I95" s="79">
        <v>4</v>
      </c>
      <c r="J95" s="79">
        <v>394.45</v>
      </c>
      <c r="K95" s="79">
        <v>9493</v>
      </c>
      <c r="L95" s="79">
        <v>9752</v>
      </c>
      <c r="M95" s="79">
        <v>2893</v>
      </c>
      <c r="N95" s="79">
        <v>5352</v>
      </c>
      <c r="O95" s="79">
        <v>3366.9</v>
      </c>
      <c r="P95" s="79">
        <v>512.33333333333303</v>
      </c>
      <c r="Q95" s="79">
        <v>2612.3333333333298</v>
      </c>
      <c r="R95" s="79">
        <v>885</v>
      </c>
      <c r="S95" s="79">
        <v>0</v>
      </c>
      <c r="T95" s="79">
        <v>1306</v>
      </c>
      <c r="U95" s="79">
        <v>20098</v>
      </c>
      <c r="V95" s="79">
        <v>39210</v>
      </c>
      <c r="W95" s="79">
        <v>13330</v>
      </c>
      <c r="X95" s="79">
        <v>631.62</v>
      </c>
      <c r="Y95" s="79">
        <v>1950.4</v>
      </c>
      <c r="Z95" s="79">
        <v>0</v>
      </c>
      <c r="AA95" s="79">
        <v>0</v>
      </c>
      <c r="AB95" s="79">
        <v>0</v>
      </c>
      <c r="AC95" s="79">
        <v>6195</v>
      </c>
      <c r="AD95" s="79">
        <v>6256.95</v>
      </c>
      <c r="AE95" s="79">
        <v>720</v>
      </c>
      <c r="AF95" s="79">
        <v>0</v>
      </c>
      <c r="AG95" s="79">
        <v>292</v>
      </c>
      <c r="AH95" s="79">
        <v>236</v>
      </c>
      <c r="AI95" s="79">
        <v>56.56</v>
      </c>
      <c r="AJ95" s="79">
        <v>19851</v>
      </c>
      <c r="AK95" s="79">
        <v>19851</v>
      </c>
      <c r="AL95" s="79">
        <v>5</v>
      </c>
      <c r="AM95" s="79">
        <v>0</v>
      </c>
      <c r="AN95" s="79">
        <v>0</v>
      </c>
      <c r="AO95" s="79">
        <v>0</v>
      </c>
      <c r="AP95" s="79">
        <v>0</v>
      </c>
      <c r="AQ95" s="79">
        <v>0</v>
      </c>
      <c r="AR95" s="80">
        <v>2.5615399999999997E-4</v>
      </c>
      <c r="AS95" s="80">
        <v>2.4022599999999999E-4</v>
      </c>
      <c r="AT95" s="79">
        <v>18818.748</v>
      </c>
      <c r="AU95" s="79">
        <v>0</v>
      </c>
      <c r="AV95" s="79">
        <v>2122.0100000000002</v>
      </c>
      <c r="AW95" s="79">
        <v>14316.114642082401</v>
      </c>
      <c r="AX95" s="79">
        <v>5</v>
      </c>
      <c r="AY95" s="79">
        <v>5.05</v>
      </c>
      <c r="AZ95" s="79">
        <v>4511</v>
      </c>
      <c r="BA95" s="79">
        <v>1</v>
      </c>
      <c r="BB95" s="79">
        <v>0</v>
      </c>
      <c r="BC95" s="79">
        <v>0</v>
      </c>
      <c r="BD95" s="79">
        <v>0</v>
      </c>
      <c r="BE95" s="79">
        <v>0</v>
      </c>
      <c r="BF95" s="79">
        <v>0</v>
      </c>
      <c r="BG95" s="79">
        <v>0</v>
      </c>
      <c r="BH95" s="79">
        <v>0</v>
      </c>
      <c r="BI95" s="79">
        <v>0</v>
      </c>
      <c r="BJ95" s="79">
        <v>0</v>
      </c>
      <c r="BK95" s="79">
        <v>23</v>
      </c>
      <c r="BL95" s="79">
        <v>5343</v>
      </c>
      <c r="BM95" s="79">
        <v>236</v>
      </c>
      <c r="BN95" s="79">
        <v>56</v>
      </c>
      <c r="BO95">
        <v>10309</v>
      </c>
      <c r="BP95">
        <v>2394</v>
      </c>
      <c r="BQ95">
        <v>10315</v>
      </c>
      <c r="BR95">
        <v>2469</v>
      </c>
      <c r="BS95">
        <v>10323</v>
      </c>
      <c r="BT95">
        <v>2574</v>
      </c>
      <c r="BU95">
        <v>10303</v>
      </c>
      <c r="BV95">
        <v>2702</v>
      </c>
      <c r="BW95">
        <v>10186</v>
      </c>
      <c r="BX95">
        <v>2697</v>
      </c>
      <c r="BY95">
        <v>10037</v>
      </c>
      <c r="BZ95">
        <v>2617</v>
      </c>
      <c r="CB95">
        <v>702.48199999999997</v>
      </c>
      <c r="CC95">
        <v>94</v>
      </c>
      <c r="CD95">
        <v>69</v>
      </c>
      <c r="CE95">
        <v>13292.64</v>
      </c>
      <c r="CF95">
        <v>3672.94</v>
      </c>
      <c r="CG95">
        <v>387.85595123580498</v>
      </c>
      <c r="CH95">
        <v>468</v>
      </c>
      <c r="CI95">
        <v>139.333333333333</v>
      </c>
      <c r="CJ95">
        <v>105</v>
      </c>
      <c r="CK95" s="81">
        <v>2100</v>
      </c>
      <c r="CL95">
        <v>580</v>
      </c>
      <c r="CM95">
        <v>7263.0462459194796</v>
      </c>
      <c r="CN95">
        <v>0.57399999999999995</v>
      </c>
      <c r="CO95">
        <v>36723</v>
      </c>
      <c r="CP95">
        <v>5936</v>
      </c>
      <c r="CQ95">
        <v>923</v>
      </c>
      <c r="CR95">
        <v>1042</v>
      </c>
      <c r="CS95">
        <v>907</v>
      </c>
      <c r="CT95">
        <v>474</v>
      </c>
      <c r="CU95">
        <v>615.67915974006303</v>
      </c>
      <c r="CV95">
        <v>338.53873356506</v>
      </c>
      <c r="CW95">
        <v>111.94166540728401</v>
      </c>
      <c r="CX95">
        <v>1602.2819999999999</v>
      </c>
      <c r="CY95">
        <v>881.03440000000001</v>
      </c>
      <c r="CZ95">
        <v>291.32400000000001</v>
      </c>
      <c r="DA95">
        <v>42932</v>
      </c>
      <c r="DE95">
        <v>294</v>
      </c>
      <c r="DF95" t="s">
        <v>347</v>
      </c>
      <c r="DG95">
        <v>6336</v>
      </c>
      <c r="DH95">
        <v>6300</v>
      </c>
      <c r="DI95">
        <v>6232</v>
      </c>
      <c r="DJ95">
        <v>6053</v>
      </c>
      <c r="DK95">
        <v>5983</v>
      </c>
      <c r="DO95">
        <v>225</v>
      </c>
      <c r="DP95" t="s">
        <v>94</v>
      </c>
      <c r="DQ95">
        <v>8232</v>
      </c>
      <c r="DR95">
        <v>1.02</v>
      </c>
      <c r="DS95">
        <v>797</v>
      </c>
      <c r="DV95">
        <v>385</v>
      </c>
      <c r="DW95" t="s">
        <v>97</v>
      </c>
      <c r="DX95">
        <v>3670.7684924933201</v>
      </c>
      <c r="DY95">
        <v>856</v>
      </c>
      <c r="DZ95">
        <v>703</v>
      </c>
      <c r="EA95">
        <v>264</v>
      </c>
      <c r="EB95">
        <v>2812</v>
      </c>
      <c r="EC95">
        <v>1519</v>
      </c>
      <c r="ED95">
        <v>381</v>
      </c>
      <c r="EE95" s="82">
        <v>0.141800177359417</v>
      </c>
      <c r="EF95" s="82">
        <v>0.35643063385123003</v>
      </c>
    </row>
    <row r="96" spans="1:136" x14ac:dyDescent="0.35">
      <c r="A96" s="72">
        <v>262</v>
      </c>
      <c r="B96" s="72">
        <v>5</v>
      </c>
      <c r="D96" s="72" t="s">
        <v>187</v>
      </c>
      <c r="E96" s="79">
        <v>3590800000</v>
      </c>
      <c r="F96" s="79">
        <v>446600000</v>
      </c>
      <c r="G96" s="79">
        <v>528150000</v>
      </c>
      <c r="H96" s="79">
        <v>33590</v>
      </c>
      <c r="I96" s="79">
        <v>6</v>
      </c>
      <c r="J96" s="79">
        <v>528.15</v>
      </c>
      <c r="K96" s="79">
        <v>6091</v>
      </c>
      <c r="L96" s="79">
        <v>9297</v>
      </c>
      <c r="M96" s="79">
        <v>3143</v>
      </c>
      <c r="N96" s="79">
        <v>3987</v>
      </c>
      <c r="O96" s="79">
        <v>2345.1</v>
      </c>
      <c r="P96" s="79">
        <v>440.66666666666703</v>
      </c>
      <c r="Q96" s="79">
        <v>1822.6666666666699</v>
      </c>
      <c r="R96" s="79">
        <v>1030</v>
      </c>
      <c r="S96" s="79">
        <v>0</v>
      </c>
      <c r="T96" s="79">
        <v>739</v>
      </c>
      <c r="U96" s="79">
        <v>15360</v>
      </c>
      <c r="V96" s="79">
        <v>27720</v>
      </c>
      <c r="W96" s="79">
        <v>12360</v>
      </c>
      <c r="X96" s="79">
        <v>481.9434</v>
      </c>
      <c r="Y96" s="79">
        <v>1276</v>
      </c>
      <c r="Z96" s="79">
        <v>0</v>
      </c>
      <c r="AA96" s="79">
        <v>0</v>
      </c>
      <c r="AB96" s="79">
        <v>213.4</v>
      </c>
      <c r="AC96" s="79">
        <v>21304</v>
      </c>
      <c r="AD96" s="79">
        <v>21304</v>
      </c>
      <c r="AE96" s="79">
        <v>291</v>
      </c>
      <c r="AF96" s="79">
        <v>0</v>
      </c>
      <c r="AG96" s="79">
        <v>375</v>
      </c>
      <c r="AH96" s="79">
        <v>182</v>
      </c>
      <c r="AI96" s="79">
        <v>193</v>
      </c>
      <c r="AJ96" s="79">
        <v>16419</v>
      </c>
      <c r="AK96" s="79">
        <v>16419</v>
      </c>
      <c r="AL96" s="79">
        <v>7</v>
      </c>
      <c r="AM96" s="79">
        <v>0</v>
      </c>
      <c r="AN96" s="79">
        <v>0</v>
      </c>
      <c r="AO96" s="79">
        <v>0</v>
      </c>
      <c r="AP96" s="79">
        <v>1361</v>
      </c>
      <c r="AQ96" s="79">
        <v>1361</v>
      </c>
      <c r="AR96" s="80">
        <v>5.8622500000000001E-4</v>
      </c>
      <c r="AS96" s="80">
        <v>1.8063199999999999E-4</v>
      </c>
      <c r="AT96" s="79">
        <v>9752.8860000000004</v>
      </c>
      <c r="AU96" s="79">
        <v>0</v>
      </c>
      <c r="AV96" s="79">
        <v>2715</v>
      </c>
      <c r="AW96" s="79">
        <v>4223.0539476730701</v>
      </c>
      <c r="AX96" s="79">
        <v>19</v>
      </c>
      <c r="AY96" s="79">
        <v>19</v>
      </c>
      <c r="AZ96" s="79">
        <v>4361</v>
      </c>
      <c r="BA96" s="79">
        <v>1</v>
      </c>
      <c r="BB96" s="79">
        <v>0</v>
      </c>
      <c r="BC96" s="79">
        <v>0</v>
      </c>
      <c r="BD96" s="79">
        <v>0</v>
      </c>
      <c r="BE96" s="79">
        <v>0</v>
      </c>
      <c r="BF96" s="79">
        <v>0</v>
      </c>
      <c r="BG96" s="79">
        <v>0</v>
      </c>
      <c r="BH96" s="79">
        <v>0</v>
      </c>
      <c r="BI96" s="79">
        <v>0</v>
      </c>
      <c r="BJ96" s="79">
        <v>0</v>
      </c>
      <c r="BK96" s="79">
        <v>28</v>
      </c>
      <c r="BL96" s="79">
        <v>4424</v>
      </c>
      <c r="BM96" s="79">
        <v>182</v>
      </c>
      <c r="BN96" s="79">
        <v>193</v>
      </c>
      <c r="BO96">
        <v>6993</v>
      </c>
      <c r="BP96">
        <v>1256</v>
      </c>
      <c r="BQ96">
        <v>6935</v>
      </c>
      <c r="BR96">
        <v>1221</v>
      </c>
      <c r="BS96">
        <v>6807</v>
      </c>
      <c r="BT96">
        <v>1238</v>
      </c>
      <c r="BU96">
        <v>6683</v>
      </c>
      <c r="BV96">
        <v>1330</v>
      </c>
      <c r="BW96">
        <v>6608</v>
      </c>
      <c r="BX96">
        <v>1383</v>
      </c>
      <c r="BY96">
        <v>6580</v>
      </c>
      <c r="BZ96">
        <v>1416</v>
      </c>
      <c r="CB96">
        <v>548.19000000000005</v>
      </c>
      <c r="CC96">
        <v>63</v>
      </c>
      <c r="CD96">
        <v>45</v>
      </c>
      <c r="CE96">
        <v>11301.29</v>
      </c>
      <c r="CF96">
        <v>2468.13</v>
      </c>
      <c r="CG96">
        <v>169.14794826123801</v>
      </c>
      <c r="CH96">
        <v>267</v>
      </c>
      <c r="CI96">
        <v>128.666666666667</v>
      </c>
      <c r="CJ96">
        <v>104</v>
      </c>
      <c r="CK96" s="81">
        <v>1382</v>
      </c>
      <c r="CL96">
        <v>406</v>
      </c>
      <c r="CM96">
        <v>5345.9422674226698</v>
      </c>
      <c r="CN96">
        <v>0.85</v>
      </c>
      <c r="CO96">
        <v>24293</v>
      </c>
      <c r="CP96">
        <v>4966</v>
      </c>
      <c r="CQ96">
        <v>1188</v>
      </c>
      <c r="CR96">
        <v>874</v>
      </c>
      <c r="CS96">
        <v>948</v>
      </c>
      <c r="CT96">
        <v>576</v>
      </c>
      <c r="CU96">
        <v>424.20043851635302</v>
      </c>
      <c r="CV96">
        <v>300.22536086241598</v>
      </c>
      <c r="CW96">
        <v>118.976082587246</v>
      </c>
      <c r="CX96">
        <v>1068.0119999999999</v>
      </c>
      <c r="CY96">
        <v>755.87919999999997</v>
      </c>
      <c r="CZ96">
        <v>299.54680000000002</v>
      </c>
      <c r="DA96">
        <v>84565</v>
      </c>
      <c r="DE96">
        <v>296</v>
      </c>
      <c r="DF96" t="s">
        <v>344</v>
      </c>
      <c r="DG96">
        <v>9274</v>
      </c>
      <c r="DH96">
        <v>9179</v>
      </c>
      <c r="DI96">
        <v>9106</v>
      </c>
      <c r="DJ96">
        <v>9028</v>
      </c>
      <c r="DK96">
        <v>8998</v>
      </c>
      <c r="DO96">
        <v>226</v>
      </c>
      <c r="DP96" t="s">
        <v>95</v>
      </c>
      <c r="DQ96">
        <v>10718</v>
      </c>
      <c r="DR96">
        <v>1</v>
      </c>
      <c r="DS96">
        <v>1153</v>
      </c>
      <c r="DV96">
        <v>228</v>
      </c>
      <c r="DW96" t="s">
        <v>98</v>
      </c>
      <c r="DX96">
        <v>12946.6983028091</v>
      </c>
      <c r="DY96">
        <v>2247</v>
      </c>
      <c r="DZ96">
        <v>2163</v>
      </c>
      <c r="EA96">
        <v>1328</v>
      </c>
      <c r="EB96">
        <v>6920</v>
      </c>
      <c r="EC96">
        <v>4430</v>
      </c>
      <c r="ED96">
        <v>1909</v>
      </c>
      <c r="EE96" s="82">
        <v>0.16512734073576901</v>
      </c>
      <c r="EF96" s="82">
        <v>0.43755088512974499</v>
      </c>
    </row>
    <row r="97" spans="1:136" x14ac:dyDescent="0.35">
      <c r="A97" s="72">
        <v>263</v>
      </c>
      <c r="B97" s="72">
        <v>5</v>
      </c>
      <c r="D97" s="72" t="s">
        <v>192</v>
      </c>
      <c r="E97" s="79">
        <v>2038000000</v>
      </c>
      <c r="F97" s="79">
        <v>263200000</v>
      </c>
      <c r="G97" s="79">
        <v>341250000</v>
      </c>
      <c r="H97" s="79">
        <v>24693</v>
      </c>
      <c r="I97" s="79">
        <v>5</v>
      </c>
      <c r="J97" s="79">
        <v>341.25</v>
      </c>
      <c r="K97" s="79">
        <v>4948</v>
      </c>
      <c r="L97" s="79">
        <v>4612</v>
      </c>
      <c r="M97" s="79">
        <v>1335</v>
      </c>
      <c r="N97" s="79">
        <v>2715</v>
      </c>
      <c r="O97" s="79">
        <v>1689.3</v>
      </c>
      <c r="P97" s="79">
        <v>247.333333333333</v>
      </c>
      <c r="Q97" s="79">
        <v>1250.3333333333301</v>
      </c>
      <c r="R97" s="79">
        <v>470</v>
      </c>
      <c r="S97" s="79">
        <v>0</v>
      </c>
      <c r="T97" s="79">
        <v>642</v>
      </c>
      <c r="U97" s="79">
        <v>10470</v>
      </c>
      <c r="V97" s="79">
        <v>17850</v>
      </c>
      <c r="W97" s="79">
        <v>1670</v>
      </c>
      <c r="X97" s="79">
        <v>0</v>
      </c>
      <c r="Y97" s="79">
        <v>0</v>
      </c>
      <c r="Z97" s="79">
        <v>0</v>
      </c>
      <c r="AA97" s="79">
        <v>0</v>
      </c>
      <c r="AB97" s="79">
        <v>0</v>
      </c>
      <c r="AC97" s="79">
        <v>6586</v>
      </c>
      <c r="AD97" s="79">
        <v>6981.16</v>
      </c>
      <c r="AE97" s="79">
        <v>960</v>
      </c>
      <c r="AF97" s="79">
        <v>0</v>
      </c>
      <c r="AG97" s="79">
        <v>275</v>
      </c>
      <c r="AH97" s="79">
        <v>182.7</v>
      </c>
      <c r="AI97" s="79">
        <v>107.06</v>
      </c>
      <c r="AJ97" s="79">
        <v>10257</v>
      </c>
      <c r="AK97" s="79">
        <v>10769.85</v>
      </c>
      <c r="AL97" s="79">
        <v>0</v>
      </c>
      <c r="AM97" s="79">
        <v>0</v>
      </c>
      <c r="AN97" s="79">
        <v>0</v>
      </c>
      <c r="AO97" s="79">
        <v>0</v>
      </c>
      <c r="AP97" s="79">
        <v>0</v>
      </c>
      <c r="AQ97" s="79">
        <v>0</v>
      </c>
      <c r="AR97" s="80">
        <v>2.398E-4</v>
      </c>
      <c r="AS97" s="80">
        <v>1.0381E-4</v>
      </c>
      <c r="AT97" s="79">
        <v>4964.3879999999999</v>
      </c>
      <c r="AU97" s="79">
        <v>0</v>
      </c>
      <c r="AV97" s="79">
        <v>2291.7199999999998</v>
      </c>
      <c r="AW97" s="79">
        <v>7679.6342592101801</v>
      </c>
      <c r="AX97" s="79">
        <v>14</v>
      </c>
      <c r="AY97" s="79">
        <v>14.84</v>
      </c>
      <c r="AZ97" s="79">
        <v>3548</v>
      </c>
      <c r="BA97" s="79">
        <v>1</v>
      </c>
      <c r="BB97" s="79">
        <v>0</v>
      </c>
      <c r="BC97" s="79">
        <v>0</v>
      </c>
      <c r="BD97" s="79">
        <v>0</v>
      </c>
      <c r="BE97" s="79">
        <v>0</v>
      </c>
      <c r="BF97" s="79">
        <v>0</v>
      </c>
      <c r="BG97" s="79">
        <v>0</v>
      </c>
      <c r="BH97" s="79">
        <v>0</v>
      </c>
      <c r="BI97" s="79">
        <v>0</v>
      </c>
      <c r="BJ97" s="79">
        <v>0</v>
      </c>
      <c r="BK97" s="79">
        <v>10</v>
      </c>
      <c r="BL97" s="79">
        <v>2936</v>
      </c>
      <c r="BM97" s="79">
        <v>174</v>
      </c>
      <c r="BN97" s="79">
        <v>101</v>
      </c>
      <c r="BO97">
        <v>5371</v>
      </c>
      <c r="BP97">
        <v>0</v>
      </c>
      <c r="BQ97">
        <v>5316</v>
      </c>
      <c r="BR97">
        <v>0</v>
      </c>
      <c r="BS97">
        <v>5305</v>
      </c>
      <c r="BT97">
        <v>0</v>
      </c>
      <c r="BU97">
        <v>5255</v>
      </c>
      <c r="BV97">
        <v>0</v>
      </c>
      <c r="BW97">
        <v>5233</v>
      </c>
      <c r="BX97">
        <v>0</v>
      </c>
      <c r="BY97">
        <v>5174</v>
      </c>
      <c r="BZ97">
        <v>0</v>
      </c>
      <c r="CB97">
        <v>400.78800000000001</v>
      </c>
      <c r="CC97">
        <v>103</v>
      </c>
      <c r="CD97">
        <v>66</v>
      </c>
      <c r="CE97">
        <v>7293.12</v>
      </c>
      <c r="CF97">
        <v>1939</v>
      </c>
      <c r="CG97">
        <v>117.32887515699601</v>
      </c>
      <c r="CH97">
        <v>237</v>
      </c>
      <c r="CI97">
        <v>71.6666666666667</v>
      </c>
      <c r="CJ97">
        <v>62</v>
      </c>
      <c r="CK97" s="81">
        <v>1003</v>
      </c>
      <c r="CL97">
        <v>186</v>
      </c>
      <c r="CM97">
        <v>3261.3543248629799</v>
      </c>
      <c r="CN97">
        <v>0.127</v>
      </c>
      <c r="CO97">
        <v>20081</v>
      </c>
      <c r="CP97">
        <v>2818</v>
      </c>
      <c r="CQ97">
        <v>459</v>
      </c>
      <c r="CR97">
        <v>486</v>
      </c>
      <c r="CS97">
        <v>429</v>
      </c>
      <c r="CT97">
        <v>225</v>
      </c>
      <c r="CU97">
        <v>283.44401871892399</v>
      </c>
      <c r="CV97">
        <v>153.003773033051</v>
      </c>
      <c r="CW97">
        <v>51.2208540508921</v>
      </c>
      <c r="CX97">
        <v>720.58270000000005</v>
      </c>
      <c r="CY97">
        <v>388.97230000000002</v>
      </c>
      <c r="CZ97">
        <v>130.2157</v>
      </c>
      <c r="DA97">
        <v>17861</v>
      </c>
      <c r="DE97">
        <v>297</v>
      </c>
      <c r="DF97" t="s">
        <v>353</v>
      </c>
      <c r="DG97">
        <v>6795</v>
      </c>
      <c r="DH97">
        <v>6815</v>
      </c>
      <c r="DI97">
        <v>6767</v>
      </c>
      <c r="DJ97">
        <v>6708</v>
      </c>
      <c r="DK97">
        <v>6698</v>
      </c>
      <c r="DO97">
        <v>228</v>
      </c>
      <c r="DP97" t="s">
        <v>98</v>
      </c>
      <c r="DQ97">
        <v>48832</v>
      </c>
      <c r="DR97">
        <v>1</v>
      </c>
      <c r="DS97">
        <v>1525</v>
      </c>
      <c r="DV97">
        <v>317</v>
      </c>
      <c r="DW97" t="s">
        <v>99</v>
      </c>
      <c r="DX97">
        <v>840.87196409714898</v>
      </c>
      <c r="DY97">
        <v>261</v>
      </c>
      <c r="DZ97">
        <v>191</v>
      </c>
      <c r="EA97">
        <v>86</v>
      </c>
      <c r="EB97">
        <v>724</v>
      </c>
      <c r="EC97">
        <v>389</v>
      </c>
      <c r="ED97">
        <v>129</v>
      </c>
      <c r="EE97" s="82">
        <v>0.120238859113973</v>
      </c>
      <c r="EF97" s="82">
        <v>0.32517440509773998</v>
      </c>
    </row>
    <row r="98" spans="1:136" x14ac:dyDescent="0.35">
      <c r="A98" s="72">
        <v>1955</v>
      </c>
      <c r="B98" s="72">
        <v>5</v>
      </c>
      <c r="D98" s="72" t="s">
        <v>207</v>
      </c>
      <c r="E98" s="79">
        <v>2610000000</v>
      </c>
      <c r="F98" s="79">
        <v>385700000</v>
      </c>
      <c r="G98" s="79">
        <v>419650000</v>
      </c>
      <c r="H98" s="79">
        <v>36026</v>
      </c>
      <c r="I98" s="79">
        <v>5</v>
      </c>
      <c r="J98" s="79">
        <v>419.65</v>
      </c>
      <c r="K98" s="79">
        <v>6318</v>
      </c>
      <c r="L98" s="79">
        <v>8329</v>
      </c>
      <c r="M98" s="79">
        <v>2733</v>
      </c>
      <c r="N98" s="79">
        <v>4917</v>
      </c>
      <c r="O98" s="79">
        <v>3312.6</v>
      </c>
      <c r="P98" s="79">
        <v>418.33333333333297</v>
      </c>
      <c r="Q98" s="79">
        <v>2670.3333333333298</v>
      </c>
      <c r="R98" s="79">
        <v>850</v>
      </c>
      <c r="S98" s="79">
        <v>0</v>
      </c>
      <c r="T98" s="79">
        <v>945</v>
      </c>
      <c r="U98" s="79">
        <v>15992</v>
      </c>
      <c r="V98" s="79">
        <v>33390</v>
      </c>
      <c r="W98" s="79">
        <v>16880</v>
      </c>
      <c r="X98" s="79">
        <v>1267.96</v>
      </c>
      <c r="Y98" s="79">
        <v>392.8</v>
      </c>
      <c r="Z98" s="79">
        <v>0</v>
      </c>
      <c r="AA98" s="79">
        <v>0</v>
      </c>
      <c r="AB98" s="79">
        <v>0</v>
      </c>
      <c r="AC98" s="79">
        <v>10568</v>
      </c>
      <c r="AD98" s="79">
        <v>10568</v>
      </c>
      <c r="AE98" s="79">
        <v>96</v>
      </c>
      <c r="AF98" s="79">
        <v>0</v>
      </c>
      <c r="AG98" s="79">
        <v>349</v>
      </c>
      <c r="AH98" s="79">
        <v>238</v>
      </c>
      <c r="AI98" s="79">
        <v>111</v>
      </c>
      <c r="AJ98" s="79">
        <v>16044</v>
      </c>
      <c r="AK98" s="79">
        <v>16044</v>
      </c>
      <c r="AL98" s="79">
        <v>6</v>
      </c>
      <c r="AM98" s="79">
        <v>0</v>
      </c>
      <c r="AN98" s="79">
        <v>0</v>
      </c>
      <c r="AO98" s="79">
        <v>0</v>
      </c>
      <c r="AP98" s="79">
        <v>620</v>
      </c>
      <c r="AQ98" s="79">
        <v>620</v>
      </c>
      <c r="AR98" s="80">
        <v>4.4074799999999998E-4</v>
      </c>
      <c r="AS98" s="80">
        <v>2.3673499999999999E-4</v>
      </c>
      <c r="AT98" s="79">
        <v>12161.352000000001</v>
      </c>
      <c r="AU98" s="79">
        <v>0</v>
      </c>
      <c r="AV98" s="79">
        <v>571</v>
      </c>
      <c r="AW98" s="79">
        <v>1928.99906226557</v>
      </c>
      <c r="AX98" s="79">
        <v>10</v>
      </c>
      <c r="AY98" s="79">
        <v>10</v>
      </c>
      <c r="AZ98" s="79">
        <v>3518</v>
      </c>
      <c r="BA98" s="79">
        <v>1</v>
      </c>
      <c r="BB98" s="79">
        <v>0</v>
      </c>
      <c r="BC98" s="79">
        <v>0</v>
      </c>
      <c r="BD98" s="79">
        <v>0</v>
      </c>
      <c r="BE98" s="79">
        <v>0</v>
      </c>
      <c r="BF98" s="79">
        <v>0</v>
      </c>
      <c r="BG98" s="79">
        <v>0</v>
      </c>
      <c r="BH98" s="79">
        <v>0</v>
      </c>
      <c r="BI98" s="79">
        <v>0</v>
      </c>
      <c r="BJ98" s="79">
        <v>0</v>
      </c>
      <c r="BK98" s="79">
        <v>53</v>
      </c>
      <c r="BL98" s="79">
        <v>4533</v>
      </c>
      <c r="BM98" s="79">
        <v>238</v>
      </c>
      <c r="BN98" s="79">
        <v>111</v>
      </c>
      <c r="BO98">
        <v>7516</v>
      </c>
      <c r="BP98">
        <v>704</v>
      </c>
      <c r="BQ98">
        <v>7422</v>
      </c>
      <c r="BR98">
        <v>667</v>
      </c>
      <c r="BS98">
        <v>7201</v>
      </c>
      <c r="BT98">
        <v>645</v>
      </c>
      <c r="BU98">
        <v>7106</v>
      </c>
      <c r="BV98">
        <v>658</v>
      </c>
      <c r="BW98">
        <v>6888</v>
      </c>
      <c r="BX98">
        <v>645</v>
      </c>
      <c r="BY98">
        <v>6848</v>
      </c>
      <c r="BZ98">
        <v>642</v>
      </c>
      <c r="CB98">
        <v>732.88800000000003</v>
      </c>
      <c r="CC98">
        <v>136</v>
      </c>
      <c r="CD98">
        <v>70</v>
      </c>
      <c r="CE98">
        <v>9664.56</v>
      </c>
      <c r="CF98">
        <v>2264.3200000000002</v>
      </c>
      <c r="CG98">
        <v>137.733316648531</v>
      </c>
      <c r="CH98">
        <v>327</v>
      </c>
      <c r="CI98">
        <v>114</v>
      </c>
      <c r="CJ98">
        <v>82.6666666666667</v>
      </c>
      <c r="CK98" s="81">
        <v>2252</v>
      </c>
      <c r="CL98">
        <v>578</v>
      </c>
      <c r="CM98">
        <v>6357.7752321382904</v>
      </c>
      <c r="CN98">
        <v>0.46600000000000003</v>
      </c>
      <c r="CO98">
        <v>27697</v>
      </c>
      <c r="CP98">
        <v>4731</v>
      </c>
      <c r="CQ98">
        <v>865</v>
      </c>
      <c r="CR98">
        <v>874</v>
      </c>
      <c r="CS98">
        <v>886</v>
      </c>
      <c r="CT98">
        <v>426</v>
      </c>
      <c r="CU98">
        <v>593.187471952132</v>
      </c>
      <c r="CV98">
        <v>394.357142857143</v>
      </c>
      <c r="CW98">
        <v>124.91417352281201</v>
      </c>
      <c r="CX98">
        <v>1458.0474999999999</v>
      </c>
      <c r="CY98">
        <v>969.32500000000005</v>
      </c>
      <c r="CZ98">
        <v>307.03750000000002</v>
      </c>
      <c r="DA98">
        <v>0</v>
      </c>
      <c r="DE98">
        <v>299</v>
      </c>
      <c r="DF98" t="s">
        <v>357</v>
      </c>
      <c r="DG98">
        <v>8879</v>
      </c>
      <c r="DH98">
        <v>8755</v>
      </c>
      <c r="DI98">
        <v>8688</v>
      </c>
      <c r="DJ98">
        <v>8634</v>
      </c>
      <c r="DK98">
        <v>8476</v>
      </c>
      <c r="DO98">
        <v>230</v>
      </c>
      <c r="DP98" t="s">
        <v>103</v>
      </c>
      <c r="DQ98">
        <v>9758</v>
      </c>
      <c r="DR98">
        <v>1</v>
      </c>
      <c r="DS98">
        <v>667</v>
      </c>
      <c r="DV98">
        <v>1651</v>
      </c>
      <c r="DW98" t="s">
        <v>796</v>
      </c>
      <c r="DX98">
        <v>2616.1271684387202</v>
      </c>
      <c r="DY98">
        <v>458</v>
      </c>
      <c r="DZ98">
        <v>389</v>
      </c>
      <c r="EA98">
        <v>233</v>
      </c>
      <c r="EB98">
        <v>1354</v>
      </c>
      <c r="EC98">
        <v>764</v>
      </c>
      <c r="ED98">
        <v>308</v>
      </c>
      <c r="EE98" s="82">
        <v>0.25167726420738301</v>
      </c>
      <c r="EF98" s="82">
        <v>0.59841890261694397</v>
      </c>
    </row>
    <row r="99" spans="1:136" x14ac:dyDescent="0.35">
      <c r="A99" s="72">
        <v>1740</v>
      </c>
      <c r="B99" s="72">
        <v>5</v>
      </c>
      <c r="D99" s="72" t="s">
        <v>210</v>
      </c>
      <c r="E99" s="79">
        <v>1710800000</v>
      </c>
      <c r="F99" s="79">
        <v>272300000</v>
      </c>
      <c r="G99" s="79">
        <v>288050000</v>
      </c>
      <c r="H99" s="79">
        <v>24034</v>
      </c>
      <c r="I99" s="79">
        <v>4</v>
      </c>
      <c r="J99" s="79">
        <v>288.05</v>
      </c>
      <c r="K99" s="79">
        <v>6043</v>
      </c>
      <c r="L99" s="79">
        <v>4056</v>
      </c>
      <c r="M99" s="79">
        <v>1171</v>
      </c>
      <c r="N99" s="79">
        <v>2388</v>
      </c>
      <c r="O99" s="79">
        <v>1492</v>
      </c>
      <c r="P99" s="79">
        <v>267.33333333333297</v>
      </c>
      <c r="Q99" s="79">
        <v>1121.3333333333301</v>
      </c>
      <c r="R99" s="79">
        <v>405</v>
      </c>
      <c r="S99" s="79">
        <v>0</v>
      </c>
      <c r="T99" s="79">
        <v>529</v>
      </c>
      <c r="U99" s="79">
        <v>9191</v>
      </c>
      <c r="V99" s="79">
        <v>18550</v>
      </c>
      <c r="W99" s="79">
        <v>2450</v>
      </c>
      <c r="X99" s="79">
        <v>219.76</v>
      </c>
      <c r="Y99" s="79">
        <v>1091.2</v>
      </c>
      <c r="Z99" s="79">
        <v>0</v>
      </c>
      <c r="AA99" s="79">
        <v>0</v>
      </c>
      <c r="AB99" s="79">
        <v>0</v>
      </c>
      <c r="AC99" s="79">
        <v>5992</v>
      </c>
      <c r="AD99" s="79">
        <v>6291.6</v>
      </c>
      <c r="AE99" s="79">
        <v>754</v>
      </c>
      <c r="AF99" s="79">
        <v>0</v>
      </c>
      <c r="AG99" s="79">
        <v>212</v>
      </c>
      <c r="AH99" s="79">
        <v>138.6</v>
      </c>
      <c r="AI99" s="79">
        <v>84</v>
      </c>
      <c r="AJ99" s="79">
        <v>8960</v>
      </c>
      <c r="AK99" s="79">
        <v>9408</v>
      </c>
      <c r="AL99" s="79">
        <v>0</v>
      </c>
      <c r="AM99" s="79">
        <v>0</v>
      </c>
      <c r="AN99" s="79">
        <v>0</v>
      </c>
      <c r="AO99" s="79">
        <v>0</v>
      </c>
      <c r="AP99" s="79">
        <v>0</v>
      </c>
      <c r="AQ99" s="79">
        <v>0</v>
      </c>
      <c r="AR99" s="80">
        <v>1.63664E-4</v>
      </c>
      <c r="AS99" s="80">
        <v>8.3809999999999999E-5</v>
      </c>
      <c r="AT99" s="79">
        <v>3897.6</v>
      </c>
      <c r="AU99" s="79">
        <v>0</v>
      </c>
      <c r="AV99" s="79">
        <v>1983.45</v>
      </c>
      <c r="AW99" s="79">
        <v>7201.1151052475498</v>
      </c>
      <c r="AX99" s="79">
        <v>11</v>
      </c>
      <c r="AY99" s="79">
        <v>11.55</v>
      </c>
      <c r="AZ99" s="79">
        <v>2750</v>
      </c>
      <c r="BA99" s="79">
        <v>1</v>
      </c>
      <c r="BB99" s="79">
        <v>0</v>
      </c>
      <c r="BC99" s="79">
        <v>0</v>
      </c>
      <c r="BD99" s="79">
        <v>0</v>
      </c>
      <c r="BE99" s="79">
        <v>0</v>
      </c>
      <c r="BF99" s="79">
        <v>0</v>
      </c>
      <c r="BG99" s="79">
        <v>0</v>
      </c>
      <c r="BH99" s="79">
        <v>0</v>
      </c>
      <c r="BI99" s="79">
        <v>0</v>
      </c>
      <c r="BJ99" s="79">
        <v>0</v>
      </c>
      <c r="BK99" s="79">
        <v>26</v>
      </c>
      <c r="BL99" s="79">
        <v>2340</v>
      </c>
      <c r="BM99" s="79">
        <v>132</v>
      </c>
      <c r="BN99" s="79">
        <v>80</v>
      </c>
      <c r="BO99">
        <v>6312</v>
      </c>
      <c r="BP99">
        <v>1290</v>
      </c>
      <c r="BQ99">
        <v>6210</v>
      </c>
      <c r="BR99">
        <v>1379</v>
      </c>
      <c r="BS99">
        <v>6186</v>
      </c>
      <c r="BT99">
        <v>1412</v>
      </c>
      <c r="BU99">
        <v>6075</v>
      </c>
      <c r="BV99">
        <v>1478</v>
      </c>
      <c r="BW99">
        <v>5962</v>
      </c>
      <c r="BX99">
        <v>1481</v>
      </c>
      <c r="BY99">
        <v>5908</v>
      </c>
      <c r="BZ99">
        <v>1482</v>
      </c>
      <c r="CB99">
        <v>429.053</v>
      </c>
      <c r="CC99">
        <v>248</v>
      </c>
      <c r="CD99">
        <v>69</v>
      </c>
      <c r="CE99">
        <v>5722.24</v>
      </c>
      <c r="CF99">
        <v>1709.34</v>
      </c>
      <c r="CG99">
        <v>322.26041591987303</v>
      </c>
      <c r="CH99">
        <v>173</v>
      </c>
      <c r="CI99">
        <v>94.3333333333333</v>
      </c>
      <c r="CJ99">
        <v>67.3333333333333</v>
      </c>
      <c r="CK99" s="81">
        <v>854</v>
      </c>
      <c r="CL99">
        <v>250</v>
      </c>
      <c r="CM99">
        <v>3785.2533333333299</v>
      </c>
      <c r="CN99">
        <v>0.35199999999999998</v>
      </c>
      <c r="CO99">
        <v>19978</v>
      </c>
      <c r="CP99">
        <v>2469</v>
      </c>
      <c r="CQ99">
        <v>416</v>
      </c>
      <c r="CR99">
        <v>411</v>
      </c>
      <c r="CS99">
        <v>397</v>
      </c>
      <c r="CT99">
        <v>200</v>
      </c>
      <c r="CU99">
        <v>249.277232142857</v>
      </c>
      <c r="CV99">
        <v>135.379017857143</v>
      </c>
      <c r="CW99">
        <v>46.9580357142857</v>
      </c>
      <c r="CX99">
        <v>721.10490000000004</v>
      </c>
      <c r="CY99">
        <v>391.62209999999999</v>
      </c>
      <c r="CZ99">
        <v>135.83940000000001</v>
      </c>
      <c r="DA99">
        <v>23360</v>
      </c>
      <c r="DE99">
        <v>301</v>
      </c>
      <c r="DF99" t="s">
        <v>362</v>
      </c>
      <c r="DG99">
        <v>10626</v>
      </c>
      <c r="DH99">
        <v>10547</v>
      </c>
      <c r="DI99">
        <v>10524</v>
      </c>
      <c r="DJ99">
        <v>10378</v>
      </c>
      <c r="DK99">
        <v>10184</v>
      </c>
      <c r="DO99">
        <v>232</v>
      </c>
      <c r="DP99" t="s">
        <v>107</v>
      </c>
      <c r="DQ99">
        <v>15091</v>
      </c>
      <c r="DR99">
        <v>1</v>
      </c>
      <c r="DS99">
        <v>725</v>
      </c>
      <c r="DV99">
        <v>770</v>
      </c>
      <c r="DW99" t="s">
        <v>100</v>
      </c>
      <c r="DX99">
        <v>1846.0816748513801</v>
      </c>
      <c r="DY99">
        <v>348</v>
      </c>
      <c r="DZ99">
        <v>444</v>
      </c>
      <c r="EA99">
        <v>211</v>
      </c>
      <c r="EB99">
        <v>1320</v>
      </c>
      <c r="EC99">
        <v>968</v>
      </c>
      <c r="ED99">
        <v>322</v>
      </c>
      <c r="EE99" s="82">
        <v>0.116981861172001</v>
      </c>
      <c r="EF99" s="82">
        <v>0.350002047795548</v>
      </c>
    </row>
    <row r="100" spans="1:136" x14ac:dyDescent="0.35">
      <c r="A100" s="72">
        <v>267</v>
      </c>
      <c r="B100" s="72">
        <v>5</v>
      </c>
      <c r="D100" s="72" t="s">
        <v>214</v>
      </c>
      <c r="E100" s="79">
        <v>4230800000</v>
      </c>
      <c r="F100" s="79">
        <v>758100000</v>
      </c>
      <c r="G100" s="79">
        <v>780850000</v>
      </c>
      <c r="H100" s="79">
        <v>42943</v>
      </c>
      <c r="I100" s="79">
        <v>3</v>
      </c>
      <c r="J100" s="79">
        <v>780.85</v>
      </c>
      <c r="K100" s="79">
        <v>9731</v>
      </c>
      <c r="L100" s="79">
        <v>7995</v>
      </c>
      <c r="M100" s="79">
        <v>2563</v>
      </c>
      <c r="N100" s="79">
        <v>4449</v>
      </c>
      <c r="O100" s="79">
        <v>2710.3</v>
      </c>
      <c r="P100" s="79">
        <v>441</v>
      </c>
      <c r="Q100" s="79">
        <v>2132</v>
      </c>
      <c r="R100" s="79">
        <v>1895</v>
      </c>
      <c r="S100" s="79">
        <v>0</v>
      </c>
      <c r="T100" s="79">
        <v>960</v>
      </c>
      <c r="U100" s="79">
        <v>17660</v>
      </c>
      <c r="V100" s="79">
        <v>38230</v>
      </c>
      <c r="W100" s="79">
        <v>16600</v>
      </c>
      <c r="X100" s="79">
        <v>680.54</v>
      </c>
      <c r="Y100" s="79">
        <v>2182.4</v>
      </c>
      <c r="Z100" s="79">
        <v>0</v>
      </c>
      <c r="AA100" s="79">
        <v>0</v>
      </c>
      <c r="AB100" s="79">
        <v>298.10000000000002</v>
      </c>
      <c r="AC100" s="79">
        <v>6936</v>
      </c>
      <c r="AD100" s="79">
        <v>6936</v>
      </c>
      <c r="AE100" s="79">
        <v>268</v>
      </c>
      <c r="AF100" s="79">
        <v>0</v>
      </c>
      <c r="AG100" s="79">
        <v>329</v>
      </c>
      <c r="AH100" s="79">
        <v>253</v>
      </c>
      <c r="AI100" s="79">
        <v>76</v>
      </c>
      <c r="AJ100" s="79">
        <v>17387</v>
      </c>
      <c r="AK100" s="79">
        <v>17387</v>
      </c>
      <c r="AL100" s="79">
        <v>14</v>
      </c>
      <c r="AM100" s="79">
        <v>0</v>
      </c>
      <c r="AN100" s="79">
        <v>0</v>
      </c>
      <c r="AO100" s="79">
        <v>0</v>
      </c>
      <c r="AP100" s="79">
        <v>1146</v>
      </c>
      <c r="AQ100" s="79">
        <v>1146</v>
      </c>
      <c r="AR100" s="80">
        <v>3.65294E-4</v>
      </c>
      <c r="AS100" s="80">
        <v>2.9211599999999998E-4</v>
      </c>
      <c r="AT100" s="79">
        <v>19316.956999999999</v>
      </c>
      <c r="AU100" s="79">
        <v>0</v>
      </c>
      <c r="AV100" s="79">
        <v>1349</v>
      </c>
      <c r="AW100" s="79">
        <v>8041.3807606885102</v>
      </c>
      <c r="AX100" s="79">
        <v>10</v>
      </c>
      <c r="AY100" s="79">
        <v>10</v>
      </c>
      <c r="AZ100" s="79">
        <v>5225</v>
      </c>
      <c r="BA100" s="79">
        <v>1</v>
      </c>
      <c r="BB100" s="79">
        <v>0</v>
      </c>
      <c r="BC100" s="79">
        <v>0</v>
      </c>
      <c r="BD100" s="79">
        <v>0</v>
      </c>
      <c r="BE100" s="79">
        <v>0</v>
      </c>
      <c r="BF100" s="79">
        <v>0</v>
      </c>
      <c r="BG100" s="79">
        <v>0</v>
      </c>
      <c r="BH100" s="79">
        <v>0</v>
      </c>
      <c r="BI100" s="79">
        <v>0</v>
      </c>
      <c r="BJ100" s="79">
        <v>0</v>
      </c>
      <c r="BK100" s="79">
        <v>30</v>
      </c>
      <c r="BL100" s="79">
        <v>4910</v>
      </c>
      <c r="BM100" s="79">
        <v>253</v>
      </c>
      <c r="BN100" s="79">
        <v>76</v>
      </c>
      <c r="BO100">
        <v>9491</v>
      </c>
      <c r="BP100">
        <v>2209</v>
      </c>
      <c r="BQ100">
        <v>9520</v>
      </c>
      <c r="BR100">
        <v>2248</v>
      </c>
      <c r="BS100">
        <v>9504</v>
      </c>
      <c r="BT100">
        <v>2294</v>
      </c>
      <c r="BU100">
        <v>9626</v>
      </c>
      <c r="BV100">
        <v>2317</v>
      </c>
      <c r="BW100">
        <v>9594</v>
      </c>
      <c r="BX100">
        <v>2322</v>
      </c>
      <c r="BY100">
        <v>9583</v>
      </c>
      <c r="BZ100">
        <v>2461</v>
      </c>
      <c r="CB100">
        <v>661.70799999999997</v>
      </c>
      <c r="CC100">
        <v>166</v>
      </c>
      <c r="CD100">
        <v>112</v>
      </c>
      <c r="CE100">
        <v>12314.95</v>
      </c>
      <c r="CF100">
        <v>3338.28</v>
      </c>
      <c r="CG100">
        <v>350.59992838196303</v>
      </c>
      <c r="CH100">
        <v>379</v>
      </c>
      <c r="CI100">
        <v>130</v>
      </c>
      <c r="CJ100">
        <v>98</v>
      </c>
      <c r="CK100" s="81">
        <v>1691</v>
      </c>
      <c r="CL100">
        <v>472</v>
      </c>
      <c r="CM100">
        <v>5391.0616558654301</v>
      </c>
      <c r="CN100">
        <v>0.31</v>
      </c>
      <c r="CO100">
        <v>34948</v>
      </c>
      <c r="CP100">
        <v>4602</v>
      </c>
      <c r="CQ100">
        <v>830</v>
      </c>
      <c r="CR100">
        <v>838</v>
      </c>
      <c r="CS100">
        <v>828</v>
      </c>
      <c r="CT100">
        <v>409</v>
      </c>
      <c r="CU100">
        <v>432.72518548340702</v>
      </c>
      <c r="CV100">
        <v>279.96197158796798</v>
      </c>
      <c r="CW100">
        <v>92.904974981307902</v>
      </c>
      <c r="CX100">
        <v>1152.04</v>
      </c>
      <c r="CY100">
        <v>745.34</v>
      </c>
      <c r="CZ100">
        <v>247.34</v>
      </c>
      <c r="DA100">
        <v>44254</v>
      </c>
      <c r="DE100">
        <v>302</v>
      </c>
      <c r="DF100" t="s">
        <v>223</v>
      </c>
      <c r="DG100">
        <v>6620</v>
      </c>
      <c r="DH100">
        <v>6553</v>
      </c>
      <c r="DI100">
        <v>6508</v>
      </c>
      <c r="DJ100">
        <v>6380</v>
      </c>
      <c r="DK100">
        <v>6315</v>
      </c>
      <c r="DO100">
        <v>233</v>
      </c>
      <c r="DP100" t="s">
        <v>108</v>
      </c>
      <c r="DQ100">
        <v>14876</v>
      </c>
      <c r="DR100">
        <v>1</v>
      </c>
      <c r="DS100">
        <v>873</v>
      </c>
      <c r="DV100">
        <v>1903</v>
      </c>
      <c r="DW100" t="s">
        <v>101</v>
      </c>
      <c r="DX100">
        <v>2606.15991095446</v>
      </c>
      <c r="DY100">
        <v>555</v>
      </c>
      <c r="DZ100">
        <v>556</v>
      </c>
      <c r="EA100">
        <v>259</v>
      </c>
      <c r="EB100">
        <v>2122</v>
      </c>
      <c r="EC100">
        <v>1343</v>
      </c>
      <c r="ED100">
        <v>411</v>
      </c>
      <c r="EE100" s="82">
        <v>0.12620952269372901</v>
      </c>
      <c r="EF100" s="82">
        <v>0.37967244497562103</v>
      </c>
    </row>
    <row r="101" spans="1:136" x14ac:dyDescent="0.35">
      <c r="A101" s="72">
        <v>268</v>
      </c>
      <c r="B101" s="72">
        <v>5</v>
      </c>
      <c r="D101" s="72" t="s">
        <v>215</v>
      </c>
      <c r="E101" s="79">
        <v>14936800000</v>
      </c>
      <c r="F101" s="79">
        <v>2886450000</v>
      </c>
      <c r="G101" s="79">
        <v>2904300000</v>
      </c>
      <c r="H101" s="79">
        <v>176731</v>
      </c>
      <c r="I101" s="79">
        <v>2</v>
      </c>
      <c r="J101" s="79">
        <v>2904.3</v>
      </c>
      <c r="K101" s="79">
        <v>29173</v>
      </c>
      <c r="L101" s="79">
        <v>27825</v>
      </c>
      <c r="M101" s="79">
        <v>8298</v>
      </c>
      <c r="N101" s="79">
        <v>29993</v>
      </c>
      <c r="O101" s="79">
        <v>21480.5</v>
      </c>
      <c r="P101" s="79">
        <v>7477.3333333333303</v>
      </c>
      <c r="Q101" s="79">
        <v>16852.333333333299</v>
      </c>
      <c r="R101" s="79">
        <v>14935</v>
      </c>
      <c r="S101" s="79">
        <v>0</v>
      </c>
      <c r="T101" s="79">
        <v>6235</v>
      </c>
      <c r="U101" s="79">
        <v>99177</v>
      </c>
      <c r="V101" s="79">
        <v>207230</v>
      </c>
      <c r="W101" s="79">
        <v>357910</v>
      </c>
      <c r="X101" s="79">
        <v>5166.72</v>
      </c>
      <c r="Y101" s="79">
        <v>11581.6</v>
      </c>
      <c r="Z101" s="79">
        <v>0</v>
      </c>
      <c r="AA101" s="79">
        <v>0</v>
      </c>
      <c r="AB101" s="79">
        <v>0</v>
      </c>
      <c r="AC101" s="79">
        <v>5270</v>
      </c>
      <c r="AD101" s="79">
        <v>5270</v>
      </c>
      <c r="AE101" s="79">
        <v>490</v>
      </c>
      <c r="AF101" s="79">
        <v>0</v>
      </c>
      <c r="AG101" s="79">
        <v>744</v>
      </c>
      <c r="AH101" s="79">
        <v>696</v>
      </c>
      <c r="AI101" s="79">
        <v>48</v>
      </c>
      <c r="AJ101" s="79">
        <v>85125</v>
      </c>
      <c r="AK101" s="79">
        <v>85125</v>
      </c>
      <c r="AL101" s="79">
        <v>20</v>
      </c>
      <c r="AM101" s="79">
        <v>0</v>
      </c>
      <c r="AN101" s="79">
        <v>0</v>
      </c>
      <c r="AO101" s="79">
        <v>0</v>
      </c>
      <c r="AP101" s="79">
        <v>16196</v>
      </c>
      <c r="AQ101" s="79">
        <v>14335</v>
      </c>
      <c r="AR101" s="80">
        <v>1.1320648000000001E-2</v>
      </c>
      <c r="AS101" s="80">
        <v>1.4075005999999999E-2</v>
      </c>
      <c r="AT101" s="79">
        <v>203448.75</v>
      </c>
      <c r="AU101" s="79">
        <v>0</v>
      </c>
      <c r="AV101" s="79">
        <v>1699</v>
      </c>
      <c r="AW101" s="79">
        <v>52129.508506944403</v>
      </c>
      <c r="AX101" s="79">
        <v>4</v>
      </c>
      <c r="AY101" s="79">
        <v>4</v>
      </c>
      <c r="AZ101" s="79">
        <v>18482</v>
      </c>
      <c r="BA101" s="79">
        <v>1</v>
      </c>
      <c r="BB101" s="79">
        <v>0</v>
      </c>
      <c r="BC101" s="79">
        <v>0</v>
      </c>
      <c r="BD101" s="79">
        <v>0</v>
      </c>
      <c r="BE101" s="79">
        <v>0</v>
      </c>
      <c r="BF101" s="79">
        <v>0</v>
      </c>
      <c r="BG101" s="79">
        <v>0</v>
      </c>
      <c r="BH101" s="79">
        <v>0</v>
      </c>
      <c r="BI101" s="79">
        <v>0</v>
      </c>
      <c r="BJ101" s="79">
        <v>0</v>
      </c>
      <c r="BK101" s="79">
        <v>170</v>
      </c>
      <c r="BL101" s="79">
        <v>52544</v>
      </c>
      <c r="BM101" s="79">
        <v>696</v>
      </c>
      <c r="BN101" s="79">
        <v>48</v>
      </c>
      <c r="BO101">
        <v>28481</v>
      </c>
      <c r="BP101">
        <v>13322</v>
      </c>
      <c r="BQ101">
        <v>28429</v>
      </c>
      <c r="BR101">
        <v>13722</v>
      </c>
      <c r="BS101">
        <v>28488</v>
      </c>
      <c r="BT101">
        <v>13797</v>
      </c>
      <c r="BU101">
        <v>28599</v>
      </c>
      <c r="BV101">
        <v>14000</v>
      </c>
      <c r="BW101">
        <v>28579</v>
      </c>
      <c r="BX101">
        <v>14416</v>
      </c>
      <c r="BY101">
        <v>28722</v>
      </c>
      <c r="BZ101">
        <v>14579</v>
      </c>
      <c r="CB101">
        <v>4988.5829999999996</v>
      </c>
      <c r="CC101">
        <v>509</v>
      </c>
      <c r="CD101">
        <v>484</v>
      </c>
      <c r="CE101">
        <v>47311.46</v>
      </c>
      <c r="CF101">
        <v>10008.6</v>
      </c>
      <c r="CG101">
        <v>1318.2073322987001</v>
      </c>
      <c r="CH101">
        <v>2029</v>
      </c>
      <c r="CI101">
        <v>1743</v>
      </c>
      <c r="CJ101">
        <v>1640.6666666666699</v>
      </c>
      <c r="CK101" s="81">
        <v>9375</v>
      </c>
      <c r="CL101">
        <v>3509</v>
      </c>
      <c r="CM101">
        <v>20042.592040868501</v>
      </c>
      <c r="CN101">
        <v>20.443999999999999</v>
      </c>
      <c r="CO101">
        <v>148906</v>
      </c>
      <c r="CP101">
        <v>16517</v>
      </c>
      <c r="CQ101">
        <v>3010</v>
      </c>
      <c r="CR101">
        <v>5319</v>
      </c>
      <c r="CS101">
        <v>3543</v>
      </c>
      <c r="CT101">
        <v>1639</v>
      </c>
      <c r="CU101">
        <v>2851.19729221733</v>
      </c>
      <c r="CV101">
        <v>1548.8670660793</v>
      </c>
      <c r="CW101">
        <v>547.07458443465498</v>
      </c>
      <c r="CX101">
        <v>5833.6737000000003</v>
      </c>
      <c r="CY101">
        <v>3169.0493999999999</v>
      </c>
      <c r="CZ101">
        <v>1119.3384000000001</v>
      </c>
      <c r="DA101">
        <v>148521</v>
      </c>
      <c r="DE101">
        <v>303</v>
      </c>
      <c r="DF101" t="s">
        <v>93</v>
      </c>
      <c r="DG101">
        <v>9601</v>
      </c>
      <c r="DH101">
        <v>9642</v>
      </c>
      <c r="DI101">
        <v>9613</v>
      </c>
      <c r="DJ101">
        <v>9580</v>
      </c>
      <c r="DK101">
        <v>9451</v>
      </c>
      <c r="DO101">
        <v>236</v>
      </c>
      <c r="DP101" t="s">
        <v>807</v>
      </c>
      <c r="DQ101">
        <v>10981</v>
      </c>
      <c r="DR101">
        <v>1.1499999999999999</v>
      </c>
      <c r="DS101">
        <v>605</v>
      </c>
      <c r="DV101">
        <v>772</v>
      </c>
      <c r="DW101" t="s">
        <v>102</v>
      </c>
      <c r="DX101">
        <v>37147.481623810403</v>
      </c>
      <c r="DY101">
        <v>5804</v>
      </c>
      <c r="DZ101">
        <v>4862</v>
      </c>
      <c r="EA101">
        <v>2931</v>
      </c>
      <c r="EB101">
        <v>13599</v>
      </c>
      <c r="EC101">
        <v>9111</v>
      </c>
      <c r="ED101">
        <v>3960</v>
      </c>
      <c r="EE101" s="82">
        <v>0.229973987793336</v>
      </c>
      <c r="EF101" s="82">
        <v>0.48170966454611602</v>
      </c>
    </row>
    <row r="102" spans="1:136" x14ac:dyDescent="0.35">
      <c r="A102" s="72">
        <v>302</v>
      </c>
      <c r="B102" s="72">
        <v>5</v>
      </c>
      <c r="D102" s="72" t="s">
        <v>223</v>
      </c>
      <c r="E102" s="79">
        <v>2558800000</v>
      </c>
      <c r="F102" s="79">
        <v>320950000</v>
      </c>
      <c r="G102" s="79">
        <v>351750000</v>
      </c>
      <c r="H102" s="79">
        <v>27481</v>
      </c>
      <c r="I102" s="79">
        <v>2</v>
      </c>
      <c r="J102" s="79">
        <v>351.75</v>
      </c>
      <c r="K102" s="79">
        <v>6190</v>
      </c>
      <c r="L102" s="79">
        <v>5569</v>
      </c>
      <c r="M102" s="79">
        <v>1790</v>
      </c>
      <c r="N102" s="79">
        <v>3011</v>
      </c>
      <c r="O102" s="79">
        <v>1775</v>
      </c>
      <c r="P102" s="79">
        <v>282.33333333333297</v>
      </c>
      <c r="Q102" s="79">
        <v>1543.3333333333301</v>
      </c>
      <c r="R102" s="79">
        <v>430</v>
      </c>
      <c r="S102" s="79">
        <v>0</v>
      </c>
      <c r="T102" s="79">
        <v>588</v>
      </c>
      <c r="U102" s="79">
        <v>11345</v>
      </c>
      <c r="V102" s="79">
        <v>26690</v>
      </c>
      <c r="W102" s="79">
        <v>16360</v>
      </c>
      <c r="X102" s="79">
        <v>1121.26</v>
      </c>
      <c r="Y102" s="79">
        <v>353.6</v>
      </c>
      <c r="Z102" s="79">
        <v>0</v>
      </c>
      <c r="AA102" s="79">
        <v>0</v>
      </c>
      <c r="AB102" s="79">
        <v>8.5999999999999694</v>
      </c>
      <c r="AC102" s="79">
        <v>12873</v>
      </c>
      <c r="AD102" s="79">
        <v>12873</v>
      </c>
      <c r="AE102" s="79">
        <v>80</v>
      </c>
      <c r="AF102" s="79">
        <v>0</v>
      </c>
      <c r="AG102" s="79">
        <v>208</v>
      </c>
      <c r="AH102" s="79">
        <v>160</v>
      </c>
      <c r="AI102" s="79">
        <v>48</v>
      </c>
      <c r="AJ102" s="79">
        <v>12360</v>
      </c>
      <c r="AK102" s="79">
        <v>12360</v>
      </c>
      <c r="AL102" s="79">
        <v>0</v>
      </c>
      <c r="AM102" s="79">
        <v>0</v>
      </c>
      <c r="AN102" s="79">
        <v>0</v>
      </c>
      <c r="AO102" s="79">
        <v>0</v>
      </c>
      <c r="AP102" s="79">
        <v>579</v>
      </c>
      <c r="AQ102" s="79">
        <v>0</v>
      </c>
      <c r="AR102" s="80">
        <v>2.19574E-4</v>
      </c>
      <c r="AS102" s="80">
        <v>1.6286499999999999E-4</v>
      </c>
      <c r="AT102" s="79">
        <v>9702.6</v>
      </c>
      <c r="AU102" s="79">
        <v>0</v>
      </c>
      <c r="AV102" s="79">
        <v>379</v>
      </c>
      <c r="AW102" s="79">
        <v>804.08391878329303</v>
      </c>
      <c r="AX102" s="79">
        <v>13</v>
      </c>
      <c r="AY102" s="79">
        <v>13</v>
      </c>
      <c r="AZ102" s="79">
        <v>3050</v>
      </c>
      <c r="BA102" s="79">
        <v>1</v>
      </c>
      <c r="BB102" s="79">
        <v>0</v>
      </c>
      <c r="BC102" s="79">
        <v>0</v>
      </c>
      <c r="BD102" s="79">
        <v>0</v>
      </c>
      <c r="BE102" s="79">
        <v>0</v>
      </c>
      <c r="BF102" s="79">
        <v>0</v>
      </c>
      <c r="BG102" s="79">
        <v>0</v>
      </c>
      <c r="BH102" s="79">
        <v>0</v>
      </c>
      <c r="BI102" s="79">
        <v>0</v>
      </c>
      <c r="BJ102" s="79">
        <v>0</v>
      </c>
      <c r="BK102" s="79">
        <v>34</v>
      </c>
      <c r="BL102" s="79">
        <v>3050</v>
      </c>
      <c r="BM102" s="79">
        <v>160</v>
      </c>
      <c r="BN102" s="79">
        <v>48</v>
      </c>
      <c r="BO102">
        <v>6620</v>
      </c>
      <c r="BP102">
        <v>394</v>
      </c>
      <c r="BQ102">
        <v>6553</v>
      </c>
      <c r="BR102">
        <v>379</v>
      </c>
      <c r="BS102">
        <v>6508</v>
      </c>
      <c r="BT102">
        <v>360</v>
      </c>
      <c r="BU102">
        <v>6380</v>
      </c>
      <c r="BV102">
        <v>309</v>
      </c>
      <c r="BW102">
        <v>6315</v>
      </c>
      <c r="BX102">
        <v>318</v>
      </c>
      <c r="BY102">
        <v>6202</v>
      </c>
      <c r="BZ102">
        <v>371</v>
      </c>
      <c r="CB102">
        <v>408.54</v>
      </c>
      <c r="CC102">
        <v>196</v>
      </c>
      <c r="CD102">
        <v>45</v>
      </c>
      <c r="CE102">
        <v>7096.98</v>
      </c>
      <c r="CF102">
        <v>1821.56</v>
      </c>
      <c r="CG102">
        <v>266.17</v>
      </c>
      <c r="CH102">
        <v>204</v>
      </c>
      <c r="CI102">
        <v>76.3333333333333</v>
      </c>
      <c r="CJ102">
        <v>62.6666666666667</v>
      </c>
      <c r="CK102" s="81">
        <v>1261</v>
      </c>
      <c r="CL102">
        <v>454</v>
      </c>
      <c r="CM102">
        <v>4089.9429029252901</v>
      </c>
      <c r="CN102">
        <v>0.24299999999999999</v>
      </c>
      <c r="CO102">
        <v>21912</v>
      </c>
      <c r="CP102">
        <v>3063</v>
      </c>
      <c r="CQ102">
        <v>716</v>
      </c>
      <c r="CR102">
        <v>579</v>
      </c>
      <c r="CS102">
        <v>552</v>
      </c>
      <c r="CT102">
        <v>333</v>
      </c>
      <c r="CU102">
        <v>267.25525889967599</v>
      </c>
      <c r="CV102">
        <v>174.91504854368901</v>
      </c>
      <c r="CW102">
        <v>68.932038834951499</v>
      </c>
      <c r="CX102">
        <v>850.66309999999999</v>
      </c>
      <c r="CY102">
        <v>556.74779999999998</v>
      </c>
      <c r="CZ102">
        <v>219.40799999999999</v>
      </c>
      <c r="DA102">
        <v>63145</v>
      </c>
      <c r="DE102">
        <v>304</v>
      </c>
      <c r="DF102" t="s">
        <v>809</v>
      </c>
      <c r="DG102">
        <v>2966</v>
      </c>
      <c r="DH102">
        <v>2974</v>
      </c>
      <c r="DI102">
        <v>2941</v>
      </c>
      <c r="DJ102">
        <v>2928</v>
      </c>
      <c r="DK102">
        <v>2927</v>
      </c>
      <c r="DO102">
        <v>243</v>
      </c>
      <c r="DP102" t="s">
        <v>130</v>
      </c>
      <c r="DQ102">
        <v>20119</v>
      </c>
      <c r="DR102">
        <v>1</v>
      </c>
      <c r="DS102">
        <v>1521</v>
      </c>
      <c r="DV102">
        <v>230</v>
      </c>
      <c r="DW102" t="s">
        <v>103</v>
      </c>
      <c r="DX102">
        <v>2449.6750221827901</v>
      </c>
      <c r="DY102">
        <v>453</v>
      </c>
      <c r="DZ102">
        <v>413</v>
      </c>
      <c r="EA102">
        <v>215</v>
      </c>
      <c r="EB102">
        <v>1598</v>
      </c>
      <c r="EC102">
        <v>885</v>
      </c>
      <c r="ED102">
        <v>310</v>
      </c>
      <c r="EE102" s="82">
        <v>0.15104273644013</v>
      </c>
      <c r="EF102" s="82">
        <v>0.49016630114075599</v>
      </c>
    </row>
    <row r="103" spans="1:136" x14ac:dyDescent="0.35">
      <c r="A103" s="72">
        <v>269</v>
      </c>
      <c r="B103" s="72">
        <v>5</v>
      </c>
      <c r="D103" s="72" t="s">
        <v>228</v>
      </c>
      <c r="E103" s="79">
        <v>1957600000</v>
      </c>
      <c r="F103" s="79">
        <v>275450000</v>
      </c>
      <c r="G103" s="79">
        <v>302750000</v>
      </c>
      <c r="H103" s="79">
        <v>23598</v>
      </c>
      <c r="I103" s="79">
        <v>3</v>
      </c>
      <c r="J103" s="79">
        <v>302.75</v>
      </c>
      <c r="K103" s="79">
        <v>5241</v>
      </c>
      <c r="L103" s="79">
        <v>4362</v>
      </c>
      <c r="M103" s="79">
        <v>1375</v>
      </c>
      <c r="N103" s="79">
        <v>2395</v>
      </c>
      <c r="O103" s="79">
        <v>1417.8</v>
      </c>
      <c r="P103" s="79">
        <v>306.33333333333297</v>
      </c>
      <c r="Q103" s="79">
        <v>1293.3333333333301</v>
      </c>
      <c r="R103" s="79">
        <v>260</v>
      </c>
      <c r="S103" s="79">
        <v>0</v>
      </c>
      <c r="T103" s="79">
        <v>432</v>
      </c>
      <c r="U103" s="79">
        <v>9391</v>
      </c>
      <c r="V103" s="79">
        <v>20690</v>
      </c>
      <c r="W103" s="79">
        <v>7990</v>
      </c>
      <c r="X103" s="79">
        <v>0</v>
      </c>
      <c r="Y103" s="79">
        <v>235.2</v>
      </c>
      <c r="Z103" s="79">
        <v>0</v>
      </c>
      <c r="AA103" s="79">
        <v>0</v>
      </c>
      <c r="AB103" s="79">
        <v>0</v>
      </c>
      <c r="AC103" s="79">
        <v>9770</v>
      </c>
      <c r="AD103" s="79">
        <v>9770</v>
      </c>
      <c r="AE103" s="79">
        <v>114</v>
      </c>
      <c r="AF103" s="79">
        <v>0</v>
      </c>
      <c r="AG103" s="79">
        <v>196</v>
      </c>
      <c r="AH103" s="79">
        <v>133</v>
      </c>
      <c r="AI103" s="79">
        <v>63</v>
      </c>
      <c r="AJ103" s="79">
        <v>9772</v>
      </c>
      <c r="AK103" s="79">
        <v>9772</v>
      </c>
      <c r="AL103" s="79">
        <v>0</v>
      </c>
      <c r="AM103" s="79">
        <v>0</v>
      </c>
      <c r="AN103" s="79">
        <v>0</v>
      </c>
      <c r="AO103" s="79">
        <v>0</v>
      </c>
      <c r="AP103" s="79">
        <v>0</v>
      </c>
      <c r="AQ103" s="79">
        <v>0</v>
      </c>
      <c r="AR103" s="80">
        <v>1.9782299999999999E-4</v>
      </c>
      <c r="AS103" s="80">
        <v>9.9681999999999999E-5</v>
      </c>
      <c r="AT103" s="79">
        <v>6244.308</v>
      </c>
      <c r="AU103" s="79">
        <v>0</v>
      </c>
      <c r="AV103" s="79">
        <v>939</v>
      </c>
      <c r="AW103" s="79">
        <v>2241.8577498988302</v>
      </c>
      <c r="AX103" s="79">
        <v>9</v>
      </c>
      <c r="AY103" s="79">
        <v>9</v>
      </c>
      <c r="AZ103" s="79">
        <v>2401</v>
      </c>
      <c r="BA103" s="79">
        <v>1</v>
      </c>
      <c r="BB103" s="79">
        <v>0</v>
      </c>
      <c r="BC103" s="79">
        <v>0</v>
      </c>
      <c r="BD103" s="79">
        <v>0</v>
      </c>
      <c r="BE103" s="79">
        <v>0</v>
      </c>
      <c r="BF103" s="79">
        <v>0</v>
      </c>
      <c r="BG103" s="79">
        <v>0</v>
      </c>
      <c r="BH103" s="79">
        <v>0</v>
      </c>
      <c r="BI103" s="79">
        <v>0</v>
      </c>
      <c r="BJ103" s="79">
        <v>0</v>
      </c>
      <c r="BK103" s="79">
        <v>29</v>
      </c>
      <c r="BL103" s="79">
        <v>2254</v>
      </c>
      <c r="BM103" s="79">
        <v>133</v>
      </c>
      <c r="BN103" s="79">
        <v>63</v>
      </c>
      <c r="BO103">
        <v>5435</v>
      </c>
      <c r="BP103">
        <v>300</v>
      </c>
      <c r="BQ103">
        <v>5440</v>
      </c>
      <c r="BR103">
        <v>322</v>
      </c>
      <c r="BS103">
        <v>5338</v>
      </c>
      <c r="BT103">
        <v>296</v>
      </c>
      <c r="BU103">
        <v>5314</v>
      </c>
      <c r="BV103">
        <v>303</v>
      </c>
      <c r="BW103">
        <v>5252</v>
      </c>
      <c r="BX103">
        <v>356</v>
      </c>
      <c r="BY103">
        <v>5232</v>
      </c>
      <c r="BZ103">
        <v>369</v>
      </c>
      <c r="CB103">
        <v>330.18299999999999</v>
      </c>
      <c r="CC103">
        <v>166</v>
      </c>
      <c r="CD103">
        <v>38</v>
      </c>
      <c r="CE103">
        <v>5678.58</v>
      </c>
      <c r="CF103">
        <v>1612.84</v>
      </c>
      <c r="CG103">
        <v>213.734399839529</v>
      </c>
      <c r="CH103">
        <v>146</v>
      </c>
      <c r="CI103">
        <v>81.3333333333333</v>
      </c>
      <c r="CJ103">
        <v>62</v>
      </c>
      <c r="CK103" s="81">
        <v>987</v>
      </c>
      <c r="CL103">
        <v>289</v>
      </c>
      <c r="CM103">
        <v>3332.2778289473699</v>
      </c>
      <c r="CN103">
        <v>0.504</v>
      </c>
      <c r="CO103">
        <v>19236</v>
      </c>
      <c r="CP103">
        <v>2507</v>
      </c>
      <c r="CQ103">
        <v>480</v>
      </c>
      <c r="CR103">
        <v>396</v>
      </c>
      <c r="CS103">
        <v>432</v>
      </c>
      <c r="CT103">
        <v>232</v>
      </c>
      <c r="CU103">
        <v>218.06727384363501</v>
      </c>
      <c r="CV103">
        <v>137.10816618911201</v>
      </c>
      <c r="CW103">
        <v>51.216066311911597</v>
      </c>
      <c r="CX103">
        <v>756.15930000000003</v>
      </c>
      <c r="CY103">
        <v>475.42950000000002</v>
      </c>
      <c r="CZ103">
        <v>177.5943</v>
      </c>
      <c r="DA103">
        <v>10584</v>
      </c>
      <c r="DE103">
        <v>307</v>
      </c>
      <c r="DF103" t="s">
        <v>24</v>
      </c>
      <c r="DG103">
        <v>34932</v>
      </c>
      <c r="DH103">
        <v>35280</v>
      </c>
      <c r="DI103">
        <v>35646</v>
      </c>
      <c r="DJ103">
        <v>35992</v>
      </c>
      <c r="DK103">
        <v>36216</v>
      </c>
      <c r="DO103">
        <v>244</v>
      </c>
      <c r="DP103" t="s">
        <v>133</v>
      </c>
      <c r="DQ103">
        <v>5428</v>
      </c>
      <c r="DR103">
        <v>1</v>
      </c>
      <c r="DS103">
        <v>842</v>
      </c>
      <c r="DV103">
        <v>114</v>
      </c>
      <c r="DW103" t="s">
        <v>104</v>
      </c>
      <c r="DX103">
        <v>17655.582926021001</v>
      </c>
      <c r="DY103">
        <v>2898</v>
      </c>
      <c r="DZ103">
        <v>2614</v>
      </c>
      <c r="EA103">
        <v>1354</v>
      </c>
      <c r="EB103">
        <v>8560</v>
      </c>
      <c r="EC103">
        <v>5246</v>
      </c>
      <c r="ED103">
        <v>1821</v>
      </c>
      <c r="EE103" s="82">
        <v>0.25695246706605102</v>
      </c>
      <c r="EF103" s="82">
        <v>0.58811918151723996</v>
      </c>
    </row>
    <row r="104" spans="1:136" x14ac:dyDescent="0.35">
      <c r="A104" s="72">
        <v>1586</v>
      </c>
      <c r="B104" s="72">
        <v>5</v>
      </c>
      <c r="D104" s="72" t="s">
        <v>232</v>
      </c>
      <c r="E104" s="79">
        <v>2158000000</v>
      </c>
      <c r="F104" s="79">
        <v>470400000</v>
      </c>
      <c r="G104" s="79">
        <v>519050000</v>
      </c>
      <c r="H104" s="79">
        <v>29704</v>
      </c>
      <c r="I104" s="79">
        <v>3</v>
      </c>
      <c r="J104" s="79">
        <v>519.04999999999995</v>
      </c>
      <c r="K104" s="79">
        <v>5830</v>
      </c>
      <c r="L104" s="79">
        <v>6423</v>
      </c>
      <c r="M104" s="79">
        <v>2042</v>
      </c>
      <c r="N104" s="79">
        <v>3772</v>
      </c>
      <c r="O104" s="79">
        <v>2410</v>
      </c>
      <c r="P104" s="79">
        <v>331</v>
      </c>
      <c r="Q104" s="79">
        <v>1789</v>
      </c>
      <c r="R104" s="79">
        <v>540</v>
      </c>
      <c r="S104" s="79">
        <v>0</v>
      </c>
      <c r="T104" s="79">
        <v>601</v>
      </c>
      <c r="U104" s="79">
        <v>13091</v>
      </c>
      <c r="V104" s="79">
        <v>29410</v>
      </c>
      <c r="W104" s="79">
        <v>18190</v>
      </c>
      <c r="X104" s="79">
        <v>1157.3399999999999</v>
      </c>
      <c r="Y104" s="79">
        <v>1389.6</v>
      </c>
      <c r="Z104" s="79">
        <v>0</v>
      </c>
      <c r="AA104" s="79">
        <v>0</v>
      </c>
      <c r="AB104" s="79">
        <v>0</v>
      </c>
      <c r="AC104" s="79">
        <v>10992</v>
      </c>
      <c r="AD104" s="79">
        <v>10992</v>
      </c>
      <c r="AE104" s="79">
        <v>51</v>
      </c>
      <c r="AF104" s="79">
        <v>0</v>
      </c>
      <c r="AG104" s="79">
        <v>337</v>
      </c>
      <c r="AH104" s="79">
        <v>189</v>
      </c>
      <c r="AI104" s="79">
        <v>148</v>
      </c>
      <c r="AJ104" s="79">
        <v>13620</v>
      </c>
      <c r="AK104" s="79">
        <v>13620</v>
      </c>
      <c r="AL104" s="79">
        <v>9</v>
      </c>
      <c r="AM104" s="79">
        <v>0</v>
      </c>
      <c r="AN104" s="79">
        <v>0</v>
      </c>
      <c r="AO104" s="79">
        <v>2400</v>
      </c>
      <c r="AP104" s="79">
        <v>718</v>
      </c>
      <c r="AQ104" s="79">
        <v>718</v>
      </c>
      <c r="AR104" s="80">
        <v>3.6675899999999998E-4</v>
      </c>
      <c r="AS104" s="80">
        <v>1.6792099999999999E-4</v>
      </c>
      <c r="AT104" s="79">
        <v>10106.040000000001</v>
      </c>
      <c r="AU104" s="79">
        <v>0</v>
      </c>
      <c r="AV104" s="79">
        <v>1212</v>
      </c>
      <c r="AW104" s="79">
        <v>3260.09671284977</v>
      </c>
      <c r="AX104" s="79">
        <v>8</v>
      </c>
      <c r="AY104" s="79">
        <v>8</v>
      </c>
      <c r="AZ104" s="79">
        <v>3148</v>
      </c>
      <c r="BA104" s="79">
        <v>1</v>
      </c>
      <c r="BB104" s="79">
        <v>0</v>
      </c>
      <c r="BC104" s="79">
        <v>0</v>
      </c>
      <c r="BD104" s="79">
        <v>0</v>
      </c>
      <c r="BE104" s="79">
        <v>0</v>
      </c>
      <c r="BF104" s="79">
        <v>0</v>
      </c>
      <c r="BG104" s="79">
        <v>0</v>
      </c>
      <c r="BH104" s="79">
        <v>0</v>
      </c>
      <c r="BI104" s="79">
        <v>0</v>
      </c>
      <c r="BJ104" s="79">
        <v>0</v>
      </c>
      <c r="BK104" s="79">
        <v>21</v>
      </c>
      <c r="BL104" s="79">
        <v>3605</v>
      </c>
      <c r="BM104" s="79">
        <v>189</v>
      </c>
      <c r="BN104" s="79">
        <v>148</v>
      </c>
      <c r="BO104">
        <v>7018</v>
      </c>
      <c r="BP104">
        <v>1900</v>
      </c>
      <c r="BQ104">
        <v>6947</v>
      </c>
      <c r="BR104">
        <v>1935</v>
      </c>
      <c r="BS104">
        <v>6936</v>
      </c>
      <c r="BT104">
        <v>1925</v>
      </c>
      <c r="BU104">
        <v>6784</v>
      </c>
      <c r="BV104">
        <v>1891</v>
      </c>
      <c r="BW104">
        <v>6630</v>
      </c>
      <c r="BX104">
        <v>1909</v>
      </c>
      <c r="BY104">
        <v>6453</v>
      </c>
      <c r="BZ104">
        <v>1863</v>
      </c>
      <c r="CB104">
        <v>384.78</v>
      </c>
      <c r="CC104">
        <v>75</v>
      </c>
      <c r="CD104">
        <v>48</v>
      </c>
      <c r="CE104">
        <v>8047.65</v>
      </c>
      <c r="CF104">
        <v>1998.72</v>
      </c>
      <c r="CG104">
        <v>101.600384271671</v>
      </c>
      <c r="CH104">
        <v>235</v>
      </c>
      <c r="CI104">
        <v>95.6666666666667</v>
      </c>
      <c r="CJ104">
        <v>67.6666666666667</v>
      </c>
      <c r="CK104" s="81">
        <v>1458</v>
      </c>
      <c r="CL104">
        <v>375</v>
      </c>
      <c r="CM104">
        <v>4552.1528333954002</v>
      </c>
      <c r="CN104">
        <v>0.34399999999999997</v>
      </c>
      <c r="CO104">
        <v>23281</v>
      </c>
      <c r="CP104">
        <v>3666</v>
      </c>
      <c r="CQ104">
        <v>715</v>
      </c>
      <c r="CR104">
        <v>656</v>
      </c>
      <c r="CS104">
        <v>641</v>
      </c>
      <c r="CT104">
        <v>355</v>
      </c>
      <c r="CU104">
        <v>395.47356828193801</v>
      </c>
      <c r="CV104">
        <v>240.64610866372999</v>
      </c>
      <c r="CW104">
        <v>82.633627019089602</v>
      </c>
      <c r="CX104">
        <v>1039.722</v>
      </c>
      <c r="CY104">
        <v>632.67200000000003</v>
      </c>
      <c r="CZ104">
        <v>217.2484</v>
      </c>
      <c r="DA104">
        <v>19845</v>
      </c>
      <c r="DE104">
        <v>308</v>
      </c>
      <c r="DF104" t="s">
        <v>33</v>
      </c>
      <c r="DG104">
        <v>5016</v>
      </c>
      <c r="DH104">
        <v>4975</v>
      </c>
      <c r="DI104">
        <v>5008</v>
      </c>
      <c r="DJ104">
        <v>4919</v>
      </c>
      <c r="DK104">
        <v>4860</v>
      </c>
      <c r="DO104">
        <v>246</v>
      </c>
      <c r="DP104" t="s">
        <v>136</v>
      </c>
      <c r="DQ104">
        <v>7962</v>
      </c>
      <c r="DR104">
        <v>1</v>
      </c>
      <c r="DS104">
        <v>604</v>
      </c>
      <c r="DV104">
        <v>388</v>
      </c>
      <c r="DW104" t="s">
        <v>105</v>
      </c>
      <c r="DX104">
        <v>2951.1192099694299</v>
      </c>
      <c r="DY104">
        <v>569</v>
      </c>
      <c r="DZ104">
        <v>397</v>
      </c>
      <c r="EA104">
        <v>220</v>
      </c>
      <c r="EB104">
        <v>1509</v>
      </c>
      <c r="EC104">
        <v>811</v>
      </c>
      <c r="ED104">
        <v>279</v>
      </c>
      <c r="EE104" s="82">
        <v>0.23684730167440199</v>
      </c>
      <c r="EF104" s="82">
        <v>0.50311442937072404</v>
      </c>
    </row>
    <row r="105" spans="1:136" x14ac:dyDescent="0.35">
      <c r="A105" s="72">
        <v>1509</v>
      </c>
      <c r="B105" s="72">
        <v>5</v>
      </c>
      <c r="D105" s="72" t="s">
        <v>239</v>
      </c>
      <c r="E105" s="79">
        <v>2824800000</v>
      </c>
      <c r="F105" s="79">
        <v>504700000</v>
      </c>
      <c r="G105" s="79">
        <v>564550000</v>
      </c>
      <c r="H105" s="79">
        <v>39473</v>
      </c>
      <c r="I105" s="79">
        <v>3</v>
      </c>
      <c r="J105" s="79">
        <v>564.54999999999995</v>
      </c>
      <c r="K105" s="79">
        <v>7318</v>
      </c>
      <c r="L105" s="79">
        <v>9192</v>
      </c>
      <c r="M105" s="79">
        <v>2949</v>
      </c>
      <c r="N105" s="79">
        <v>5791</v>
      </c>
      <c r="O105" s="79">
        <v>4022.7</v>
      </c>
      <c r="P105" s="79">
        <v>676</v>
      </c>
      <c r="Q105" s="79">
        <v>2949</v>
      </c>
      <c r="R105" s="79">
        <v>2025</v>
      </c>
      <c r="S105" s="79">
        <v>0</v>
      </c>
      <c r="T105" s="79">
        <v>979</v>
      </c>
      <c r="U105" s="79">
        <v>17717</v>
      </c>
      <c r="V105" s="79">
        <v>39770</v>
      </c>
      <c r="W105" s="79">
        <v>26470</v>
      </c>
      <c r="X105" s="79">
        <v>0</v>
      </c>
      <c r="Y105" s="79">
        <v>1827.2</v>
      </c>
      <c r="Z105" s="79">
        <v>0</v>
      </c>
      <c r="AA105" s="79">
        <v>0</v>
      </c>
      <c r="AB105" s="79">
        <v>0</v>
      </c>
      <c r="AC105" s="79">
        <v>13607</v>
      </c>
      <c r="AD105" s="79">
        <v>13607</v>
      </c>
      <c r="AE105" s="79">
        <v>189</v>
      </c>
      <c r="AF105" s="79">
        <v>0</v>
      </c>
      <c r="AG105" s="79">
        <v>415</v>
      </c>
      <c r="AH105" s="79">
        <v>245</v>
      </c>
      <c r="AI105" s="79">
        <v>170</v>
      </c>
      <c r="AJ105" s="79">
        <v>17683</v>
      </c>
      <c r="AK105" s="79">
        <v>17683</v>
      </c>
      <c r="AL105" s="79">
        <v>0</v>
      </c>
      <c r="AM105" s="79">
        <v>0</v>
      </c>
      <c r="AN105" s="79">
        <v>0</v>
      </c>
      <c r="AO105" s="79">
        <v>0</v>
      </c>
      <c r="AP105" s="79">
        <v>518</v>
      </c>
      <c r="AQ105" s="79">
        <v>0</v>
      </c>
      <c r="AR105" s="80">
        <v>7.8256699999999996E-4</v>
      </c>
      <c r="AS105" s="80">
        <v>2.9898899999999999E-4</v>
      </c>
      <c r="AT105" s="79">
        <v>11387.852000000001</v>
      </c>
      <c r="AU105" s="79">
        <v>0</v>
      </c>
      <c r="AV105" s="79">
        <v>1511</v>
      </c>
      <c r="AW105" s="79">
        <v>4323.2605827776197</v>
      </c>
      <c r="AX105" s="79">
        <v>11</v>
      </c>
      <c r="AY105" s="79">
        <v>11</v>
      </c>
      <c r="AZ105" s="79">
        <v>3883</v>
      </c>
      <c r="BA105" s="79">
        <v>1</v>
      </c>
      <c r="BB105" s="79">
        <v>0</v>
      </c>
      <c r="BC105" s="79">
        <v>0</v>
      </c>
      <c r="BD105" s="79">
        <v>0</v>
      </c>
      <c r="BE105" s="79">
        <v>0</v>
      </c>
      <c r="BF105" s="79">
        <v>0</v>
      </c>
      <c r="BG105" s="79">
        <v>0</v>
      </c>
      <c r="BH105" s="79">
        <v>0</v>
      </c>
      <c r="BI105" s="79">
        <v>0</v>
      </c>
      <c r="BJ105" s="79">
        <v>0</v>
      </c>
      <c r="BK105" s="79">
        <v>42</v>
      </c>
      <c r="BL105" s="79">
        <v>5329</v>
      </c>
      <c r="BM105" s="79">
        <v>245</v>
      </c>
      <c r="BN105" s="79">
        <v>170</v>
      </c>
      <c r="BO105">
        <v>8832</v>
      </c>
      <c r="BP105">
        <v>2363</v>
      </c>
      <c r="BQ105">
        <v>8694</v>
      </c>
      <c r="BR105">
        <v>2346</v>
      </c>
      <c r="BS105">
        <v>8577</v>
      </c>
      <c r="BT105">
        <v>2385</v>
      </c>
      <c r="BU105">
        <v>8381</v>
      </c>
      <c r="BV105">
        <v>2346</v>
      </c>
      <c r="BW105">
        <v>8177</v>
      </c>
      <c r="BX105">
        <v>2313</v>
      </c>
      <c r="BY105">
        <v>8019</v>
      </c>
      <c r="BZ105">
        <v>2351</v>
      </c>
      <c r="CB105">
        <v>783.02599999999995</v>
      </c>
      <c r="CC105">
        <v>171</v>
      </c>
      <c r="CD105">
        <v>107</v>
      </c>
      <c r="CE105">
        <v>10220.4</v>
      </c>
      <c r="CF105">
        <v>2433.6799999999998</v>
      </c>
      <c r="CG105">
        <v>228.97845295587001</v>
      </c>
      <c r="CH105">
        <v>381</v>
      </c>
      <c r="CI105">
        <v>195</v>
      </c>
      <c r="CJ105">
        <v>151.333333333333</v>
      </c>
      <c r="CK105" s="81">
        <v>2273</v>
      </c>
      <c r="CL105">
        <v>553</v>
      </c>
      <c r="CM105">
        <v>6877.10297501072</v>
      </c>
      <c r="CN105">
        <v>1.4279999999999999</v>
      </c>
      <c r="CO105">
        <v>30281</v>
      </c>
      <c r="CP105">
        <v>5237</v>
      </c>
      <c r="CQ105">
        <v>1006</v>
      </c>
      <c r="CR105">
        <v>1011</v>
      </c>
      <c r="CS105">
        <v>967</v>
      </c>
      <c r="CT105">
        <v>493</v>
      </c>
      <c r="CU105">
        <v>727.05701521235096</v>
      </c>
      <c r="CV105">
        <v>457.93672453769199</v>
      </c>
      <c r="CW105">
        <v>153.78302324266201</v>
      </c>
      <c r="CX105">
        <v>1693.88</v>
      </c>
      <c r="CY105">
        <v>1066.8900000000001</v>
      </c>
      <c r="CZ105">
        <v>358.28</v>
      </c>
      <c r="DA105">
        <v>32943</v>
      </c>
      <c r="DE105">
        <v>310</v>
      </c>
      <c r="DF105" t="s">
        <v>76</v>
      </c>
      <c r="DG105">
        <v>9279</v>
      </c>
      <c r="DH105">
        <v>9177</v>
      </c>
      <c r="DI105">
        <v>9103</v>
      </c>
      <c r="DJ105">
        <v>9036</v>
      </c>
      <c r="DK105">
        <v>8956</v>
      </c>
      <c r="DO105">
        <v>252</v>
      </c>
      <c r="DP105" t="s">
        <v>148</v>
      </c>
      <c r="DQ105">
        <v>7279</v>
      </c>
      <c r="DR105">
        <v>1</v>
      </c>
      <c r="DS105">
        <v>796</v>
      </c>
      <c r="DV105">
        <v>153</v>
      </c>
      <c r="DW105" t="s">
        <v>106</v>
      </c>
      <c r="DX105">
        <v>27124.827798690199</v>
      </c>
      <c r="DY105">
        <v>3997</v>
      </c>
      <c r="DZ105">
        <v>3300</v>
      </c>
      <c r="EA105">
        <v>1552</v>
      </c>
      <c r="EB105">
        <v>10229</v>
      </c>
      <c r="EC105">
        <v>6163</v>
      </c>
      <c r="ED105">
        <v>2063</v>
      </c>
      <c r="EE105" s="82">
        <v>0.25388364882373199</v>
      </c>
      <c r="EF105" s="82">
        <v>0.59324584449704798</v>
      </c>
    </row>
    <row r="106" spans="1:136" x14ac:dyDescent="0.35">
      <c r="A106" s="72">
        <v>1734</v>
      </c>
      <c r="B106" s="72">
        <v>5</v>
      </c>
      <c r="D106" s="72" t="s">
        <v>242</v>
      </c>
      <c r="E106" s="79">
        <v>3821200000</v>
      </c>
      <c r="F106" s="79">
        <v>605850000</v>
      </c>
      <c r="G106" s="79">
        <v>647500000</v>
      </c>
      <c r="H106" s="79">
        <v>47543</v>
      </c>
      <c r="I106" s="79">
        <v>6</v>
      </c>
      <c r="J106" s="79">
        <v>647.5</v>
      </c>
      <c r="K106" s="79">
        <v>10434</v>
      </c>
      <c r="L106" s="79">
        <v>9141</v>
      </c>
      <c r="M106" s="79">
        <v>2831</v>
      </c>
      <c r="N106" s="79">
        <v>4842</v>
      </c>
      <c r="O106" s="79">
        <v>2857.1</v>
      </c>
      <c r="P106" s="79">
        <v>588.33333333333303</v>
      </c>
      <c r="Q106" s="79">
        <v>2626.3333333333298</v>
      </c>
      <c r="R106" s="79">
        <v>1130</v>
      </c>
      <c r="S106" s="79">
        <v>0</v>
      </c>
      <c r="T106" s="79">
        <v>1411</v>
      </c>
      <c r="U106" s="79">
        <v>20087</v>
      </c>
      <c r="V106" s="79">
        <v>38240</v>
      </c>
      <c r="W106" s="79">
        <v>13850</v>
      </c>
      <c r="X106" s="79">
        <v>588.20000000000005</v>
      </c>
      <c r="Y106" s="79">
        <v>2383.1999999999998</v>
      </c>
      <c r="Z106" s="79">
        <v>0</v>
      </c>
      <c r="AA106" s="79">
        <v>0</v>
      </c>
      <c r="AB106" s="79">
        <v>520.5</v>
      </c>
      <c r="AC106" s="79">
        <v>10908</v>
      </c>
      <c r="AD106" s="79">
        <v>11126.16</v>
      </c>
      <c r="AE106" s="79">
        <v>600</v>
      </c>
      <c r="AF106" s="79">
        <v>0</v>
      </c>
      <c r="AG106" s="79">
        <v>364</v>
      </c>
      <c r="AH106" s="79">
        <v>261.58999999999997</v>
      </c>
      <c r="AI106" s="79">
        <v>106.08</v>
      </c>
      <c r="AJ106" s="79">
        <v>19849</v>
      </c>
      <c r="AK106" s="79">
        <v>20047.490000000002</v>
      </c>
      <c r="AL106" s="79">
        <v>0</v>
      </c>
      <c r="AM106" s="79">
        <v>0</v>
      </c>
      <c r="AN106" s="79">
        <v>0</v>
      </c>
      <c r="AO106" s="79">
        <v>0</v>
      </c>
      <c r="AP106" s="79">
        <v>676</v>
      </c>
      <c r="AQ106" s="79">
        <v>0</v>
      </c>
      <c r="AR106" s="80">
        <v>3.1669899999999998E-4</v>
      </c>
      <c r="AS106" s="80">
        <v>2.1105599999999999E-4</v>
      </c>
      <c r="AT106" s="79">
        <v>15819.653</v>
      </c>
      <c r="AU106" s="79">
        <v>0</v>
      </c>
      <c r="AV106" s="79">
        <v>2782.56</v>
      </c>
      <c r="AW106" s="79">
        <v>11537.7292909281</v>
      </c>
      <c r="AX106" s="79">
        <v>11</v>
      </c>
      <c r="AY106" s="79">
        <v>11.22</v>
      </c>
      <c r="AZ106" s="79">
        <v>5416</v>
      </c>
      <c r="BA106" s="79">
        <v>1</v>
      </c>
      <c r="BB106" s="79">
        <v>0</v>
      </c>
      <c r="BC106" s="79">
        <v>0</v>
      </c>
      <c r="BD106" s="79">
        <v>0</v>
      </c>
      <c r="BE106" s="79">
        <v>0</v>
      </c>
      <c r="BF106" s="79">
        <v>0</v>
      </c>
      <c r="BG106" s="79">
        <v>0</v>
      </c>
      <c r="BH106" s="79">
        <v>0</v>
      </c>
      <c r="BI106" s="79">
        <v>0</v>
      </c>
      <c r="BJ106" s="79">
        <v>0</v>
      </c>
      <c r="BK106" s="79">
        <v>37</v>
      </c>
      <c r="BL106" s="79">
        <v>5148</v>
      </c>
      <c r="BM106" s="79">
        <v>259</v>
      </c>
      <c r="BN106" s="79">
        <v>104</v>
      </c>
      <c r="BO106">
        <v>11193</v>
      </c>
      <c r="BP106">
        <v>2235</v>
      </c>
      <c r="BQ106">
        <v>11244</v>
      </c>
      <c r="BR106">
        <v>2259</v>
      </c>
      <c r="BS106">
        <v>11227</v>
      </c>
      <c r="BT106">
        <v>2275</v>
      </c>
      <c r="BU106">
        <v>11168</v>
      </c>
      <c r="BV106">
        <v>2295</v>
      </c>
      <c r="BW106">
        <v>11074</v>
      </c>
      <c r="BX106">
        <v>2344</v>
      </c>
      <c r="BY106">
        <v>10959</v>
      </c>
      <c r="BZ106">
        <v>2449</v>
      </c>
      <c r="CB106">
        <v>855.58799999999997</v>
      </c>
      <c r="CC106">
        <v>138</v>
      </c>
      <c r="CD106">
        <v>81</v>
      </c>
      <c r="CE106">
        <v>13659.1</v>
      </c>
      <c r="CF106">
        <v>3933.57</v>
      </c>
      <c r="CG106">
        <v>387.49870517479002</v>
      </c>
      <c r="CH106">
        <v>527</v>
      </c>
      <c r="CI106">
        <v>169.666666666667</v>
      </c>
      <c r="CJ106">
        <v>144</v>
      </c>
      <c r="CK106" s="81">
        <v>2038</v>
      </c>
      <c r="CL106">
        <v>546</v>
      </c>
      <c r="CM106">
        <v>6727.3112352665903</v>
      </c>
      <c r="CN106">
        <v>0.76600000000000001</v>
      </c>
      <c r="CO106">
        <v>38402</v>
      </c>
      <c r="CP106">
        <v>5459</v>
      </c>
      <c r="CQ106">
        <v>851</v>
      </c>
      <c r="CR106">
        <v>1032</v>
      </c>
      <c r="CS106">
        <v>854</v>
      </c>
      <c r="CT106">
        <v>382</v>
      </c>
      <c r="CU106">
        <v>482.49278049271999</v>
      </c>
      <c r="CV106">
        <v>278.09548088064901</v>
      </c>
      <c r="CW106">
        <v>84.3498715300519</v>
      </c>
      <c r="CX106">
        <v>1415.8848</v>
      </c>
      <c r="CY106">
        <v>816.07680000000005</v>
      </c>
      <c r="CZ106">
        <v>247.5264</v>
      </c>
      <c r="DA106">
        <v>4482</v>
      </c>
      <c r="DE106">
        <v>312</v>
      </c>
      <c r="DF106" t="s">
        <v>65</v>
      </c>
      <c r="DG106">
        <v>3397</v>
      </c>
      <c r="DH106">
        <v>3358</v>
      </c>
      <c r="DI106">
        <v>3309</v>
      </c>
      <c r="DJ106">
        <v>3258</v>
      </c>
      <c r="DK106">
        <v>3246</v>
      </c>
      <c r="DO106">
        <v>733</v>
      </c>
      <c r="DP106" t="s">
        <v>808</v>
      </c>
      <c r="DQ106">
        <v>4610</v>
      </c>
      <c r="DR106">
        <v>1.29</v>
      </c>
      <c r="DS106">
        <v>321</v>
      </c>
      <c r="DV106">
        <v>232</v>
      </c>
      <c r="DW106" t="s">
        <v>107</v>
      </c>
      <c r="DX106">
        <v>4091.5697091273801</v>
      </c>
      <c r="DY106">
        <v>785</v>
      </c>
      <c r="DZ106">
        <v>787</v>
      </c>
      <c r="EA106">
        <v>493</v>
      </c>
      <c r="EB106">
        <v>2691</v>
      </c>
      <c r="EC106">
        <v>1744</v>
      </c>
      <c r="ED106">
        <v>702</v>
      </c>
      <c r="EE106" s="82">
        <v>0.17112647996338101</v>
      </c>
      <c r="EF106" s="82">
        <v>0.42615606722440202</v>
      </c>
    </row>
    <row r="107" spans="1:136" x14ac:dyDescent="0.35">
      <c r="A107" s="72">
        <v>273</v>
      </c>
      <c r="B107" s="72">
        <v>5</v>
      </c>
      <c r="D107" s="72" t="s">
        <v>248</v>
      </c>
      <c r="E107" s="79">
        <v>2524000000</v>
      </c>
      <c r="F107" s="79">
        <v>302750000</v>
      </c>
      <c r="G107" s="79">
        <v>328650000</v>
      </c>
      <c r="H107" s="79">
        <v>24198</v>
      </c>
      <c r="I107" s="79">
        <v>1</v>
      </c>
      <c r="J107" s="79">
        <v>328.65</v>
      </c>
      <c r="K107" s="79">
        <v>5205</v>
      </c>
      <c r="L107" s="79">
        <v>4970</v>
      </c>
      <c r="M107" s="79">
        <v>1686</v>
      </c>
      <c r="N107" s="79">
        <v>2564</v>
      </c>
      <c r="O107" s="79">
        <v>1431.4</v>
      </c>
      <c r="P107" s="79">
        <v>221</v>
      </c>
      <c r="Q107" s="79">
        <v>1173</v>
      </c>
      <c r="R107" s="79">
        <v>425</v>
      </c>
      <c r="S107" s="79">
        <v>0</v>
      </c>
      <c r="T107" s="79">
        <v>550</v>
      </c>
      <c r="U107" s="79">
        <v>9904</v>
      </c>
      <c r="V107" s="79">
        <v>23840</v>
      </c>
      <c r="W107" s="79">
        <v>12620</v>
      </c>
      <c r="X107" s="79">
        <v>0</v>
      </c>
      <c r="Y107" s="79">
        <v>362.4</v>
      </c>
      <c r="Z107" s="79">
        <v>0</v>
      </c>
      <c r="AA107" s="79">
        <v>0</v>
      </c>
      <c r="AB107" s="79">
        <v>56.999999999999901</v>
      </c>
      <c r="AC107" s="79">
        <v>8519</v>
      </c>
      <c r="AD107" s="79">
        <v>8519</v>
      </c>
      <c r="AE107" s="79">
        <v>231</v>
      </c>
      <c r="AF107" s="79">
        <v>0</v>
      </c>
      <c r="AG107" s="79">
        <v>227</v>
      </c>
      <c r="AH107" s="79">
        <v>132</v>
      </c>
      <c r="AI107" s="79">
        <v>95</v>
      </c>
      <c r="AJ107" s="79">
        <v>11326</v>
      </c>
      <c r="AK107" s="79">
        <v>11326</v>
      </c>
      <c r="AL107" s="79">
        <v>0</v>
      </c>
      <c r="AM107" s="79">
        <v>0</v>
      </c>
      <c r="AN107" s="79">
        <v>0</v>
      </c>
      <c r="AO107" s="79">
        <v>0</v>
      </c>
      <c r="AP107" s="79">
        <v>704</v>
      </c>
      <c r="AQ107" s="79">
        <v>0</v>
      </c>
      <c r="AR107" s="80">
        <v>2.3672499999999999E-4</v>
      </c>
      <c r="AS107" s="80">
        <v>1.25003E-4</v>
      </c>
      <c r="AT107" s="79">
        <v>10204.726000000001</v>
      </c>
      <c r="AU107" s="79">
        <v>0</v>
      </c>
      <c r="AV107" s="79">
        <v>587</v>
      </c>
      <c r="AW107" s="79">
        <v>1623.3401142857099</v>
      </c>
      <c r="AX107" s="79">
        <v>7</v>
      </c>
      <c r="AY107" s="79">
        <v>7</v>
      </c>
      <c r="AZ107" s="79">
        <v>3032</v>
      </c>
      <c r="BA107" s="79">
        <v>1</v>
      </c>
      <c r="BB107" s="79">
        <v>0</v>
      </c>
      <c r="BC107" s="79">
        <v>0</v>
      </c>
      <c r="BD107" s="79">
        <v>0</v>
      </c>
      <c r="BE107" s="79">
        <v>0</v>
      </c>
      <c r="BF107" s="79">
        <v>0</v>
      </c>
      <c r="BG107" s="79">
        <v>0</v>
      </c>
      <c r="BH107" s="79">
        <v>0</v>
      </c>
      <c r="BI107" s="79">
        <v>0</v>
      </c>
      <c r="BJ107" s="79">
        <v>0</v>
      </c>
      <c r="BK107" s="79">
        <v>29</v>
      </c>
      <c r="BL107" s="79">
        <v>2608</v>
      </c>
      <c r="BM107" s="79">
        <v>132</v>
      </c>
      <c r="BN107" s="79">
        <v>95</v>
      </c>
      <c r="BO107">
        <v>5721</v>
      </c>
      <c r="BP107">
        <v>360</v>
      </c>
      <c r="BQ107">
        <v>5661</v>
      </c>
      <c r="BR107">
        <v>403</v>
      </c>
      <c r="BS107">
        <v>5653</v>
      </c>
      <c r="BT107">
        <v>456</v>
      </c>
      <c r="BU107">
        <v>5583</v>
      </c>
      <c r="BV107">
        <v>491</v>
      </c>
      <c r="BW107">
        <v>5552</v>
      </c>
      <c r="BX107">
        <v>503</v>
      </c>
      <c r="BY107">
        <v>5412</v>
      </c>
      <c r="BZ107">
        <v>483</v>
      </c>
      <c r="CB107">
        <v>463.245</v>
      </c>
      <c r="CC107">
        <v>118</v>
      </c>
      <c r="CD107">
        <v>48</v>
      </c>
      <c r="CE107">
        <v>6735.4</v>
      </c>
      <c r="CF107">
        <v>1807.66</v>
      </c>
      <c r="CG107">
        <v>235.08394654904001</v>
      </c>
      <c r="CH107">
        <v>223</v>
      </c>
      <c r="CI107">
        <v>74.3333333333333</v>
      </c>
      <c r="CJ107">
        <v>46.3333333333333</v>
      </c>
      <c r="CK107" s="81">
        <v>952</v>
      </c>
      <c r="CL107">
        <v>267</v>
      </c>
      <c r="CM107">
        <v>3956.0907097405802</v>
      </c>
      <c r="CN107">
        <v>0.11899999999999999</v>
      </c>
      <c r="CO107">
        <v>19228</v>
      </c>
      <c r="CP107">
        <v>2664</v>
      </c>
      <c r="CQ107">
        <v>620</v>
      </c>
      <c r="CR107">
        <v>463</v>
      </c>
      <c r="CS107">
        <v>510</v>
      </c>
      <c r="CT107">
        <v>302</v>
      </c>
      <c r="CU107">
        <v>202.46360586261699</v>
      </c>
      <c r="CV107">
        <v>143.82246159279501</v>
      </c>
      <c r="CW107">
        <v>56.4926540702808</v>
      </c>
      <c r="CX107">
        <v>688.69979999999998</v>
      </c>
      <c r="CY107">
        <v>489.22620000000001</v>
      </c>
      <c r="CZ107">
        <v>192.1653</v>
      </c>
      <c r="DA107">
        <v>936</v>
      </c>
      <c r="DE107">
        <v>313</v>
      </c>
      <c r="DF107" t="s">
        <v>66</v>
      </c>
      <c r="DG107">
        <v>5062</v>
      </c>
      <c r="DH107">
        <v>5081</v>
      </c>
      <c r="DI107">
        <v>5062</v>
      </c>
      <c r="DJ107">
        <v>5044</v>
      </c>
      <c r="DK107">
        <v>5035</v>
      </c>
      <c r="DO107">
        <v>1705</v>
      </c>
      <c r="DP107" t="s">
        <v>185</v>
      </c>
      <c r="DQ107">
        <v>19711</v>
      </c>
      <c r="DR107">
        <v>1</v>
      </c>
      <c r="DS107">
        <v>939</v>
      </c>
      <c r="DV107">
        <v>233</v>
      </c>
      <c r="DW107" t="s">
        <v>108</v>
      </c>
      <c r="DX107">
        <v>3329.8569732395599</v>
      </c>
      <c r="DY107">
        <v>638</v>
      </c>
      <c r="DZ107">
        <v>552</v>
      </c>
      <c r="EA107">
        <v>335</v>
      </c>
      <c r="EB107">
        <v>1991</v>
      </c>
      <c r="EC107">
        <v>1223</v>
      </c>
      <c r="ED107">
        <v>465</v>
      </c>
      <c r="EE107" s="82">
        <v>0.12384088284751001</v>
      </c>
      <c r="EF107" s="82">
        <v>0.39349657055146697</v>
      </c>
    </row>
    <row r="108" spans="1:136" x14ac:dyDescent="0.35">
      <c r="A108" s="72">
        <v>274</v>
      </c>
      <c r="B108" s="72">
        <v>5</v>
      </c>
      <c r="D108" s="72" t="s">
        <v>251</v>
      </c>
      <c r="E108" s="79">
        <v>3250000000</v>
      </c>
      <c r="F108" s="79">
        <v>286300000</v>
      </c>
      <c r="G108" s="79">
        <v>324450000</v>
      </c>
      <c r="H108" s="79">
        <v>31302</v>
      </c>
      <c r="I108" s="79">
        <v>3</v>
      </c>
      <c r="J108" s="79">
        <v>324.45</v>
      </c>
      <c r="K108" s="79">
        <v>5585</v>
      </c>
      <c r="L108" s="79">
        <v>8700</v>
      </c>
      <c r="M108" s="79">
        <v>2888</v>
      </c>
      <c r="N108" s="79">
        <v>4229</v>
      </c>
      <c r="O108" s="79">
        <v>2682</v>
      </c>
      <c r="P108" s="79">
        <v>610.66666666666697</v>
      </c>
      <c r="Q108" s="79">
        <v>2151.6666666666702</v>
      </c>
      <c r="R108" s="79">
        <v>930</v>
      </c>
      <c r="S108" s="79">
        <v>0</v>
      </c>
      <c r="T108" s="79">
        <v>920</v>
      </c>
      <c r="U108" s="79">
        <v>15480</v>
      </c>
      <c r="V108" s="79">
        <v>26120</v>
      </c>
      <c r="W108" s="79">
        <v>9790</v>
      </c>
      <c r="X108" s="79">
        <v>1435.9</v>
      </c>
      <c r="Y108" s="79">
        <v>903.2</v>
      </c>
      <c r="Z108" s="79">
        <v>0</v>
      </c>
      <c r="AA108" s="79">
        <v>0</v>
      </c>
      <c r="AB108" s="79">
        <v>180.8</v>
      </c>
      <c r="AC108" s="79">
        <v>4595</v>
      </c>
      <c r="AD108" s="79">
        <v>4595</v>
      </c>
      <c r="AE108" s="79">
        <v>129</v>
      </c>
      <c r="AF108" s="79">
        <v>0</v>
      </c>
      <c r="AG108" s="79">
        <v>169</v>
      </c>
      <c r="AH108" s="79">
        <v>147</v>
      </c>
      <c r="AI108" s="79">
        <v>22</v>
      </c>
      <c r="AJ108" s="79">
        <v>15470</v>
      </c>
      <c r="AK108" s="79">
        <v>15470</v>
      </c>
      <c r="AL108" s="79">
        <v>0</v>
      </c>
      <c r="AM108" s="79">
        <v>0</v>
      </c>
      <c r="AN108" s="79">
        <v>0</v>
      </c>
      <c r="AO108" s="79">
        <v>0</v>
      </c>
      <c r="AP108" s="79">
        <v>4064</v>
      </c>
      <c r="AQ108" s="79">
        <v>0</v>
      </c>
      <c r="AR108" s="80">
        <v>7.1116899999999999E-4</v>
      </c>
      <c r="AS108" s="80">
        <v>8.4066399999999997E-4</v>
      </c>
      <c r="AT108" s="79">
        <v>14031.29</v>
      </c>
      <c r="AU108" s="79">
        <v>0</v>
      </c>
      <c r="AV108" s="79">
        <v>409</v>
      </c>
      <c r="AW108" s="79">
        <v>2710.10118543607</v>
      </c>
      <c r="AX108" s="79">
        <v>5</v>
      </c>
      <c r="AY108" s="79">
        <v>5</v>
      </c>
      <c r="AZ108" s="79">
        <v>3853</v>
      </c>
      <c r="BA108" s="79">
        <v>1</v>
      </c>
      <c r="BB108" s="79">
        <v>0</v>
      </c>
      <c r="BC108" s="79">
        <v>0</v>
      </c>
      <c r="BD108" s="79">
        <v>0</v>
      </c>
      <c r="BE108" s="79">
        <v>0</v>
      </c>
      <c r="BF108" s="79">
        <v>0</v>
      </c>
      <c r="BG108" s="79">
        <v>0</v>
      </c>
      <c r="BH108" s="79">
        <v>0</v>
      </c>
      <c r="BI108" s="79">
        <v>0</v>
      </c>
      <c r="BJ108" s="79">
        <v>0</v>
      </c>
      <c r="BK108" s="79">
        <v>41</v>
      </c>
      <c r="BL108" s="79">
        <v>5329</v>
      </c>
      <c r="BM108" s="79">
        <v>147</v>
      </c>
      <c r="BN108" s="79">
        <v>22</v>
      </c>
      <c r="BO108">
        <v>6330</v>
      </c>
      <c r="BP108">
        <v>862</v>
      </c>
      <c r="BQ108">
        <v>6283</v>
      </c>
      <c r="BR108">
        <v>895</v>
      </c>
      <c r="BS108">
        <v>6217</v>
      </c>
      <c r="BT108">
        <v>1003</v>
      </c>
      <c r="BU108">
        <v>6186</v>
      </c>
      <c r="BV108">
        <v>1093</v>
      </c>
      <c r="BW108">
        <v>6073</v>
      </c>
      <c r="BX108">
        <v>1142</v>
      </c>
      <c r="BY108">
        <v>6003</v>
      </c>
      <c r="BZ108">
        <v>1161</v>
      </c>
      <c r="CB108">
        <v>625.52</v>
      </c>
      <c r="CC108">
        <v>73</v>
      </c>
      <c r="CD108">
        <v>70</v>
      </c>
      <c r="CE108">
        <v>11175.01</v>
      </c>
      <c r="CF108">
        <v>2494.44</v>
      </c>
      <c r="CG108">
        <v>219.94212494194099</v>
      </c>
      <c r="CH108">
        <v>312</v>
      </c>
      <c r="CI108">
        <v>165.333333333333</v>
      </c>
      <c r="CJ108">
        <v>127.333333333333</v>
      </c>
      <c r="CK108" s="81">
        <v>1541</v>
      </c>
      <c r="CL108">
        <v>526</v>
      </c>
      <c r="CM108">
        <v>5223.5300134382796</v>
      </c>
      <c r="CN108">
        <v>1.5820000000000001</v>
      </c>
      <c r="CO108">
        <v>22602</v>
      </c>
      <c r="CP108">
        <v>4577</v>
      </c>
      <c r="CQ108">
        <v>1235</v>
      </c>
      <c r="CR108">
        <v>1064</v>
      </c>
      <c r="CS108">
        <v>1018</v>
      </c>
      <c r="CT108">
        <v>607</v>
      </c>
      <c r="CU108">
        <v>498.085714285714</v>
      </c>
      <c r="CV108">
        <v>346.73561732385298</v>
      </c>
      <c r="CW108">
        <v>145.108855850032</v>
      </c>
      <c r="CX108">
        <v>987.16279999999995</v>
      </c>
      <c r="CY108">
        <v>687.2</v>
      </c>
      <c r="CZ108">
        <v>287.59320000000002</v>
      </c>
      <c r="DA108">
        <v>119044</v>
      </c>
      <c r="DE108">
        <v>317</v>
      </c>
      <c r="DF108" t="s">
        <v>99</v>
      </c>
      <c r="DG108">
        <v>2219</v>
      </c>
      <c r="DH108">
        <v>2184</v>
      </c>
      <c r="DI108">
        <v>2148</v>
      </c>
      <c r="DJ108">
        <v>2099</v>
      </c>
      <c r="DK108">
        <v>2066</v>
      </c>
      <c r="DO108">
        <v>262</v>
      </c>
      <c r="DP108" t="s">
        <v>187</v>
      </c>
      <c r="DQ108">
        <v>16271</v>
      </c>
      <c r="DR108">
        <v>1</v>
      </c>
      <c r="DS108">
        <v>595</v>
      </c>
      <c r="DV108">
        <v>777</v>
      </c>
      <c r="DW108" t="s">
        <v>109</v>
      </c>
      <c r="DX108">
        <v>5060.8425188257097</v>
      </c>
      <c r="DY108">
        <v>1034</v>
      </c>
      <c r="DZ108">
        <v>818</v>
      </c>
      <c r="EA108">
        <v>373</v>
      </c>
      <c r="EB108">
        <v>3200</v>
      </c>
      <c r="EC108">
        <v>1754</v>
      </c>
      <c r="ED108">
        <v>549</v>
      </c>
      <c r="EE108" s="82">
        <v>0.168850537549177</v>
      </c>
      <c r="EF108" s="82">
        <v>0.43372316852071502</v>
      </c>
    </row>
    <row r="109" spans="1:136" x14ac:dyDescent="0.35">
      <c r="A109" s="72">
        <v>275</v>
      </c>
      <c r="B109" s="72">
        <v>5</v>
      </c>
      <c r="D109" s="72" t="s">
        <v>254</v>
      </c>
      <c r="E109" s="79">
        <v>3570000000</v>
      </c>
      <c r="F109" s="79">
        <v>378700000</v>
      </c>
      <c r="G109" s="79">
        <v>390950000</v>
      </c>
      <c r="H109" s="79">
        <v>43640</v>
      </c>
      <c r="I109" s="79">
        <v>3</v>
      </c>
      <c r="J109" s="79">
        <v>390.95</v>
      </c>
      <c r="K109" s="79">
        <v>7653</v>
      </c>
      <c r="L109" s="79">
        <v>11361</v>
      </c>
      <c r="M109" s="79">
        <v>3935</v>
      </c>
      <c r="N109" s="79">
        <v>7191</v>
      </c>
      <c r="O109" s="79">
        <v>5007.7</v>
      </c>
      <c r="P109" s="79">
        <v>1028.3333333333301</v>
      </c>
      <c r="Q109" s="79">
        <v>3891.3333333333298</v>
      </c>
      <c r="R109" s="79">
        <v>2060</v>
      </c>
      <c r="S109" s="79">
        <v>0</v>
      </c>
      <c r="T109" s="79">
        <v>1481</v>
      </c>
      <c r="U109" s="79">
        <v>21853</v>
      </c>
      <c r="V109" s="79">
        <v>39060</v>
      </c>
      <c r="W109" s="79">
        <v>15630</v>
      </c>
      <c r="X109" s="79">
        <v>463.32</v>
      </c>
      <c r="Y109" s="79">
        <v>1434.4</v>
      </c>
      <c r="Z109" s="79">
        <v>0</v>
      </c>
      <c r="AA109" s="79">
        <v>0</v>
      </c>
      <c r="AB109" s="79">
        <v>524.70000000000005</v>
      </c>
      <c r="AC109" s="79">
        <v>8180</v>
      </c>
      <c r="AD109" s="79">
        <v>8180</v>
      </c>
      <c r="AE109" s="79">
        <v>255</v>
      </c>
      <c r="AF109" s="79">
        <v>0</v>
      </c>
      <c r="AG109" s="79">
        <v>242</v>
      </c>
      <c r="AH109" s="79">
        <v>220</v>
      </c>
      <c r="AI109" s="79">
        <v>22</v>
      </c>
      <c r="AJ109" s="79">
        <v>21833</v>
      </c>
      <c r="AK109" s="79">
        <v>21833</v>
      </c>
      <c r="AL109" s="79">
        <v>0</v>
      </c>
      <c r="AM109" s="79">
        <v>0</v>
      </c>
      <c r="AN109" s="79">
        <v>0</v>
      </c>
      <c r="AO109" s="79">
        <v>0</v>
      </c>
      <c r="AP109" s="79">
        <v>5119</v>
      </c>
      <c r="AQ109" s="79">
        <v>0</v>
      </c>
      <c r="AR109" s="80">
        <v>1.308678E-3</v>
      </c>
      <c r="AS109" s="80">
        <v>1.0443920000000001E-3</v>
      </c>
      <c r="AT109" s="79">
        <v>31701.516</v>
      </c>
      <c r="AU109" s="79">
        <v>0</v>
      </c>
      <c r="AV109" s="79">
        <v>1109</v>
      </c>
      <c r="AW109" s="79">
        <v>5737.6123295791404</v>
      </c>
      <c r="AX109" s="79">
        <v>8</v>
      </c>
      <c r="AY109" s="79">
        <v>8</v>
      </c>
      <c r="AZ109" s="79">
        <v>4273</v>
      </c>
      <c r="BA109" s="79">
        <v>1</v>
      </c>
      <c r="BB109" s="79">
        <v>0</v>
      </c>
      <c r="BC109" s="79">
        <v>0</v>
      </c>
      <c r="BD109" s="79">
        <v>0</v>
      </c>
      <c r="BE109" s="79">
        <v>0</v>
      </c>
      <c r="BF109" s="79">
        <v>0</v>
      </c>
      <c r="BG109" s="79">
        <v>0</v>
      </c>
      <c r="BH109" s="79">
        <v>0</v>
      </c>
      <c r="BI109" s="79">
        <v>0</v>
      </c>
      <c r="BJ109" s="79">
        <v>0</v>
      </c>
      <c r="BK109" s="79">
        <v>52</v>
      </c>
      <c r="BL109" s="79">
        <v>8374</v>
      </c>
      <c r="BM109" s="79">
        <v>220</v>
      </c>
      <c r="BN109" s="79">
        <v>22</v>
      </c>
      <c r="BO109">
        <v>8274</v>
      </c>
      <c r="BP109">
        <v>1153</v>
      </c>
      <c r="BQ109">
        <v>8246</v>
      </c>
      <c r="BR109">
        <v>1175</v>
      </c>
      <c r="BS109">
        <v>8305</v>
      </c>
      <c r="BT109">
        <v>1266</v>
      </c>
      <c r="BU109">
        <v>8151</v>
      </c>
      <c r="BV109">
        <v>1438</v>
      </c>
      <c r="BW109">
        <v>8088</v>
      </c>
      <c r="BX109">
        <v>1650</v>
      </c>
      <c r="BY109">
        <v>8015</v>
      </c>
      <c r="BZ109">
        <v>1647</v>
      </c>
      <c r="CB109">
        <v>1117.338</v>
      </c>
      <c r="CC109">
        <v>125</v>
      </c>
      <c r="CD109">
        <v>91</v>
      </c>
      <c r="CE109">
        <v>13367.68</v>
      </c>
      <c r="CF109">
        <v>2771.37</v>
      </c>
      <c r="CG109">
        <v>325.435445336008</v>
      </c>
      <c r="CH109">
        <v>506</v>
      </c>
      <c r="CI109">
        <v>305</v>
      </c>
      <c r="CJ109">
        <v>259.66666666666703</v>
      </c>
      <c r="CK109" s="81">
        <v>2863</v>
      </c>
      <c r="CL109">
        <v>1104</v>
      </c>
      <c r="CM109">
        <v>7809.1939759036204</v>
      </c>
      <c r="CN109">
        <v>2.4350000000000001</v>
      </c>
      <c r="CO109">
        <v>32279</v>
      </c>
      <c r="CP109">
        <v>5720</v>
      </c>
      <c r="CQ109">
        <v>1706</v>
      </c>
      <c r="CR109">
        <v>1364</v>
      </c>
      <c r="CS109">
        <v>1424</v>
      </c>
      <c r="CT109">
        <v>844</v>
      </c>
      <c r="CU109">
        <v>827.54461594833504</v>
      </c>
      <c r="CV109">
        <v>624.78701048871005</v>
      </c>
      <c r="CW109">
        <v>266.97947144231199</v>
      </c>
      <c r="CX109">
        <v>1649.2167999999999</v>
      </c>
      <c r="CY109">
        <v>1245.1404</v>
      </c>
      <c r="CZ109">
        <v>532.06439999999998</v>
      </c>
      <c r="DA109">
        <v>38159</v>
      </c>
      <c r="DE109">
        <v>321</v>
      </c>
      <c r="DF109" t="s">
        <v>159</v>
      </c>
      <c r="DG109">
        <v>12727</v>
      </c>
      <c r="DH109">
        <v>12637</v>
      </c>
      <c r="DI109">
        <v>12560</v>
      </c>
      <c r="DJ109">
        <v>12411</v>
      </c>
      <c r="DK109">
        <v>12276</v>
      </c>
      <c r="DO109">
        <v>263</v>
      </c>
      <c r="DP109" t="s">
        <v>192</v>
      </c>
      <c r="DQ109">
        <v>10141</v>
      </c>
      <c r="DR109">
        <v>1.05</v>
      </c>
      <c r="DS109">
        <v>483</v>
      </c>
      <c r="DV109">
        <v>1722</v>
      </c>
      <c r="DW109" t="s">
        <v>805</v>
      </c>
      <c r="DX109">
        <v>1202.3898305084699</v>
      </c>
      <c r="DY109">
        <v>203</v>
      </c>
      <c r="DZ109">
        <v>172</v>
      </c>
      <c r="EA109">
        <v>91</v>
      </c>
      <c r="EB109">
        <v>662</v>
      </c>
      <c r="EC109">
        <v>362</v>
      </c>
      <c r="ED109">
        <v>113</v>
      </c>
      <c r="EE109" s="82">
        <v>0.21093608236578101</v>
      </c>
      <c r="EF109" s="82">
        <v>0.56316042753659901</v>
      </c>
    </row>
    <row r="110" spans="1:136" x14ac:dyDescent="0.35">
      <c r="A110" s="72">
        <v>277</v>
      </c>
      <c r="B110" s="72">
        <v>5</v>
      </c>
      <c r="D110" s="72" t="s">
        <v>263</v>
      </c>
      <c r="E110" s="79">
        <v>252800000</v>
      </c>
      <c r="F110" s="79">
        <v>17500000</v>
      </c>
      <c r="G110" s="79">
        <v>17500000</v>
      </c>
      <c r="H110" s="79">
        <v>1654</v>
      </c>
      <c r="I110" s="79">
        <v>1</v>
      </c>
      <c r="J110" s="79">
        <v>17.5</v>
      </c>
      <c r="K110" s="79">
        <v>374</v>
      </c>
      <c r="L110" s="79">
        <v>422</v>
      </c>
      <c r="M110" s="79">
        <v>136</v>
      </c>
      <c r="N110" s="79">
        <v>107</v>
      </c>
      <c r="O110" s="79">
        <v>38.1</v>
      </c>
      <c r="P110" s="79">
        <v>5</v>
      </c>
      <c r="Q110" s="79">
        <v>32</v>
      </c>
      <c r="R110" s="79">
        <v>35</v>
      </c>
      <c r="S110" s="79">
        <v>0</v>
      </c>
      <c r="T110" s="79">
        <v>29</v>
      </c>
      <c r="U110" s="79">
        <v>682</v>
      </c>
      <c r="V110" s="79">
        <v>930</v>
      </c>
      <c r="W110" s="79">
        <v>30</v>
      </c>
      <c r="X110" s="79">
        <v>0</v>
      </c>
      <c r="Y110" s="79">
        <v>547.20000000000005</v>
      </c>
      <c r="Z110" s="79">
        <v>0</v>
      </c>
      <c r="AA110" s="79">
        <v>0</v>
      </c>
      <c r="AB110" s="79">
        <v>0</v>
      </c>
      <c r="AC110" s="79">
        <v>2791</v>
      </c>
      <c r="AD110" s="79">
        <v>2791</v>
      </c>
      <c r="AE110" s="79">
        <v>1</v>
      </c>
      <c r="AF110" s="79">
        <v>0</v>
      </c>
      <c r="AG110" s="79">
        <v>10</v>
      </c>
      <c r="AH110" s="79">
        <v>10</v>
      </c>
      <c r="AI110" s="79">
        <v>1</v>
      </c>
      <c r="AJ110" s="79">
        <v>689</v>
      </c>
      <c r="AK110" s="79">
        <v>689</v>
      </c>
      <c r="AL110" s="79">
        <v>0</v>
      </c>
      <c r="AM110" s="79">
        <v>0</v>
      </c>
      <c r="AN110" s="79">
        <v>0</v>
      </c>
      <c r="AO110" s="79">
        <v>0</v>
      </c>
      <c r="AP110" s="79">
        <v>0</v>
      </c>
      <c r="AQ110" s="79">
        <v>0</v>
      </c>
      <c r="AR110" s="80">
        <v>7.5129999999999999E-6</v>
      </c>
      <c r="AS110" s="80">
        <v>4.2409999999999997E-6</v>
      </c>
      <c r="AT110" s="79">
        <v>644.21500000000003</v>
      </c>
      <c r="AU110" s="79">
        <v>0</v>
      </c>
      <c r="AV110" s="79">
        <v>32</v>
      </c>
      <c r="AW110" s="79">
        <v>18.9570200573066</v>
      </c>
      <c r="AX110" s="79">
        <v>1</v>
      </c>
      <c r="AY110" s="79">
        <v>1</v>
      </c>
      <c r="AZ110" s="79">
        <v>245</v>
      </c>
      <c r="BA110" s="79">
        <v>1</v>
      </c>
      <c r="BB110" s="79">
        <v>0</v>
      </c>
      <c r="BC110" s="79">
        <v>0</v>
      </c>
      <c r="BD110" s="79">
        <v>0</v>
      </c>
      <c r="BE110" s="79">
        <v>0</v>
      </c>
      <c r="BF110" s="79">
        <v>0</v>
      </c>
      <c r="BG110" s="79">
        <v>0</v>
      </c>
      <c r="BH110" s="79">
        <v>0</v>
      </c>
      <c r="BI110" s="79">
        <v>0</v>
      </c>
      <c r="BJ110" s="79">
        <v>0</v>
      </c>
      <c r="BK110" s="79">
        <v>0</v>
      </c>
      <c r="BL110" s="79">
        <v>149</v>
      </c>
      <c r="BM110" s="79">
        <v>10</v>
      </c>
      <c r="BN110" s="79">
        <v>1</v>
      </c>
      <c r="BO110">
        <v>340</v>
      </c>
      <c r="BP110">
        <v>776</v>
      </c>
      <c r="BQ110">
        <v>327</v>
      </c>
      <c r="BR110">
        <v>819</v>
      </c>
      <c r="BS110">
        <v>333</v>
      </c>
      <c r="BT110">
        <v>873</v>
      </c>
      <c r="BU110">
        <v>343</v>
      </c>
      <c r="BV110">
        <v>878</v>
      </c>
      <c r="BW110">
        <v>338</v>
      </c>
      <c r="BX110">
        <v>940</v>
      </c>
      <c r="BY110">
        <v>348</v>
      </c>
      <c r="BZ110">
        <v>945</v>
      </c>
      <c r="CB110">
        <v>7.8540000000000001</v>
      </c>
      <c r="CC110">
        <v>0</v>
      </c>
      <c r="CD110">
        <v>1</v>
      </c>
      <c r="CE110">
        <v>661.54</v>
      </c>
      <c r="CF110">
        <v>169.75</v>
      </c>
      <c r="CG110">
        <v>2.0314625550660801</v>
      </c>
      <c r="CH110">
        <v>8</v>
      </c>
      <c r="CI110">
        <v>2</v>
      </c>
      <c r="CJ110">
        <v>0.33333333333333298</v>
      </c>
      <c r="CK110" s="81">
        <v>27</v>
      </c>
      <c r="CL110">
        <v>2</v>
      </c>
      <c r="CM110">
        <v>148.21959946595501</v>
      </c>
      <c r="CN110">
        <v>7.0000000000000001E-3</v>
      </c>
      <c r="CO110">
        <v>1232</v>
      </c>
      <c r="CP110">
        <v>226</v>
      </c>
      <c r="CQ110">
        <v>60</v>
      </c>
      <c r="CR110">
        <v>19</v>
      </c>
      <c r="CS110">
        <v>42</v>
      </c>
      <c r="CT110">
        <v>28</v>
      </c>
      <c r="CU110">
        <v>7.1333817126269903</v>
      </c>
      <c r="CV110">
        <v>5.36386066763425</v>
      </c>
      <c r="CW110">
        <v>2.4330914368650198</v>
      </c>
      <c r="CX110">
        <v>7.7529000000000003</v>
      </c>
      <c r="CY110">
        <v>5.8296999999999999</v>
      </c>
      <c r="CZ110">
        <v>2.6444000000000001</v>
      </c>
      <c r="DA110">
        <v>0</v>
      </c>
      <c r="DE110">
        <v>327</v>
      </c>
      <c r="DF110" t="s">
        <v>184</v>
      </c>
      <c r="DG110">
        <v>6571</v>
      </c>
      <c r="DH110">
        <v>6573</v>
      </c>
      <c r="DI110">
        <v>6468</v>
      </c>
      <c r="DJ110">
        <v>6429</v>
      </c>
      <c r="DK110">
        <v>6355</v>
      </c>
      <c r="DO110">
        <v>1955</v>
      </c>
      <c r="DP110" t="s">
        <v>207</v>
      </c>
      <c r="DQ110">
        <v>15837</v>
      </c>
      <c r="DR110">
        <v>1</v>
      </c>
      <c r="DS110">
        <v>752</v>
      </c>
      <c r="DV110">
        <v>779</v>
      </c>
      <c r="DW110" t="s">
        <v>110</v>
      </c>
      <c r="DX110">
        <v>2731.21210486568</v>
      </c>
      <c r="DY110">
        <v>517</v>
      </c>
      <c r="DZ110">
        <v>456</v>
      </c>
      <c r="EA110">
        <v>194</v>
      </c>
      <c r="EB110">
        <v>1611</v>
      </c>
      <c r="EC110">
        <v>916</v>
      </c>
      <c r="ED110">
        <v>270</v>
      </c>
      <c r="EE110" s="82">
        <v>0.18194612417318901</v>
      </c>
      <c r="EF110" s="82">
        <v>0.44921487196198601</v>
      </c>
    </row>
    <row r="111" spans="1:136" x14ac:dyDescent="0.35">
      <c r="A111" s="72">
        <v>279</v>
      </c>
      <c r="B111" s="72">
        <v>5</v>
      </c>
      <c r="D111" s="72" t="s">
        <v>266</v>
      </c>
      <c r="E111" s="79">
        <v>846000000</v>
      </c>
      <c r="F111" s="79">
        <v>105350000</v>
      </c>
      <c r="G111" s="79">
        <v>115850000</v>
      </c>
      <c r="H111" s="79">
        <v>9873</v>
      </c>
      <c r="I111" s="79">
        <v>1</v>
      </c>
      <c r="J111" s="79">
        <v>115.85</v>
      </c>
      <c r="K111" s="79">
        <v>2304</v>
      </c>
      <c r="L111" s="79">
        <v>1864</v>
      </c>
      <c r="M111" s="79">
        <v>606</v>
      </c>
      <c r="N111" s="79">
        <v>1051</v>
      </c>
      <c r="O111" s="79">
        <v>641</v>
      </c>
      <c r="P111" s="79">
        <v>61.3333333333333</v>
      </c>
      <c r="Q111" s="79">
        <v>375.33333333333297</v>
      </c>
      <c r="R111" s="79">
        <v>165</v>
      </c>
      <c r="S111" s="79">
        <v>0</v>
      </c>
      <c r="T111" s="79">
        <v>200</v>
      </c>
      <c r="U111" s="79">
        <v>4003</v>
      </c>
      <c r="V111" s="79">
        <v>8110</v>
      </c>
      <c r="W111" s="79">
        <v>1410</v>
      </c>
      <c r="X111" s="79">
        <v>0</v>
      </c>
      <c r="Y111" s="79">
        <v>0</v>
      </c>
      <c r="Z111" s="79">
        <v>0</v>
      </c>
      <c r="AA111" s="79">
        <v>0</v>
      </c>
      <c r="AB111" s="79">
        <v>0</v>
      </c>
      <c r="AC111" s="79">
        <v>1379</v>
      </c>
      <c r="AD111" s="79">
        <v>1379</v>
      </c>
      <c r="AE111" s="79">
        <v>3</v>
      </c>
      <c r="AF111" s="79">
        <v>0</v>
      </c>
      <c r="AG111" s="79">
        <v>75</v>
      </c>
      <c r="AH111" s="79">
        <v>49</v>
      </c>
      <c r="AI111" s="79">
        <v>26</v>
      </c>
      <c r="AJ111" s="79">
        <v>4100</v>
      </c>
      <c r="AK111" s="79">
        <v>4100</v>
      </c>
      <c r="AL111" s="79">
        <v>0</v>
      </c>
      <c r="AM111" s="79">
        <v>0</v>
      </c>
      <c r="AN111" s="79">
        <v>0</v>
      </c>
      <c r="AO111" s="79">
        <v>0</v>
      </c>
      <c r="AP111" s="79">
        <v>0</v>
      </c>
      <c r="AQ111" s="79">
        <v>0</v>
      </c>
      <c r="AR111" s="80">
        <v>7.8214999999999996E-5</v>
      </c>
      <c r="AS111" s="80">
        <v>3.5215000000000001E-5</v>
      </c>
      <c r="AT111" s="79">
        <v>3735.1</v>
      </c>
      <c r="AU111" s="79">
        <v>0</v>
      </c>
      <c r="AV111" s="79">
        <v>173</v>
      </c>
      <c r="AW111" s="79">
        <v>1235.91099855282</v>
      </c>
      <c r="AX111" s="79">
        <v>2</v>
      </c>
      <c r="AY111" s="79">
        <v>2</v>
      </c>
      <c r="AZ111" s="79">
        <v>1095</v>
      </c>
      <c r="BA111" s="79">
        <v>1</v>
      </c>
      <c r="BB111" s="79">
        <v>0</v>
      </c>
      <c r="BC111" s="79">
        <v>0</v>
      </c>
      <c r="BD111" s="79">
        <v>0</v>
      </c>
      <c r="BE111" s="79">
        <v>0</v>
      </c>
      <c r="BF111" s="79">
        <v>0</v>
      </c>
      <c r="BG111" s="79">
        <v>0</v>
      </c>
      <c r="BH111" s="79">
        <v>0</v>
      </c>
      <c r="BI111" s="79">
        <v>0</v>
      </c>
      <c r="BJ111" s="79">
        <v>0</v>
      </c>
      <c r="BK111" s="79">
        <v>8</v>
      </c>
      <c r="BL111" s="79">
        <v>1118</v>
      </c>
      <c r="BM111" s="79">
        <v>49</v>
      </c>
      <c r="BN111" s="79">
        <v>26</v>
      </c>
      <c r="BO111">
        <v>2368</v>
      </c>
      <c r="BP111">
        <v>0</v>
      </c>
      <c r="BQ111">
        <v>2386</v>
      </c>
      <c r="BR111">
        <v>0</v>
      </c>
      <c r="BS111">
        <v>2369</v>
      </c>
      <c r="BT111">
        <v>0</v>
      </c>
      <c r="BU111">
        <v>2367</v>
      </c>
      <c r="BV111">
        <v>0</v>
      </c>
      <c r="BW111">
        <v>2374</v>
      </c>
      <c r="BX111">
        <v>0</v>
      </c>
      <c r="BY111">
        <v>2383</v>
      </c>
      <c r="BZ111">
        <v>0</v>
      </c>
      <c r="CB111">
        <v>133.63200000000001</v>
      </c>
      <c r="CC111">
        <v>59</v>
      </c>
      <c r="CD111">
        <v>18</v>
      </c>
      <c r="CE111">
        <v>2656.08</v>
      </c>
      <c r="CF111">
        <v>628.02</v>
      </c>
      <c r="CG111">
        <v>106.21665146579799</v>
      </c>
      <c r="CH111">
        <v>91</v>
      </c>
      <c r="CI111">
        <v>28</v>
      </c>
      <c r="CJ111">
        <v>20</v>
      </c>
      <c r="CK111" s="81">
        <v>314</v>
      </c>
      <c r="CL111">
        <v>85</v>
      </c>
      <c r="CM111">
        <v>1168.2238388078499</v>
      </c>
      <c r="CN111">
        <v>4.8000000000000001E-2</v>
      </c>
      <c r="CO111">
        <v>8009</v>
      </c>
      <c r="CP111">
        <v>1059</v>
      </c>
      <c r="CQ111">
        <v>199</v>
      </c>
      <c r="CR111">
        <v>173</v>
      </c>
      <c r="CS111">
        <v>221</v>
      </c>
      <c r="CT111">
        <v>112</v>
      </c>
      <c r="CU111">
        <v>96.462682926829302</v>
      </c>
      <c r="CV111">
        <v>70.353658536585399</v>
      </c>
      <c r="CW111">
        <v>22.825853658536602</v>
      </c>
      <c r="CX111">
        <v>272.34379999999999</v>
      </c>
      <c r="CY111">
        <v>198.63</v>
      </c>
      <c r="CZ111">
        <v>64.444400000000002</v>
      </c>
      <c r="DA111">
        <v>0</v>
      </c>
      <c r="DE111">
        <v>331</v>
      </c>
      <c r="DF111" t="s">
        <v>189</v>
      </c>
      <c r="DG111">
        <v>3722</v>
      </c>
      <c r="DH111">
        <v>3681</v>
      </c>
      <c r="DI111">
        <v>3585</v>
      </c>
      <c r="DJ111">
        <v>3527</v>
      </c>
      <c r="DK111">
        <v>3468</v>
      </c>
      <c r="DO111">
        <v>1740</v>
      </c>
      <c r="DP111" t="s">
        <v>210</v>
      </c>
      <c r="DQ111">
        <v>8827</v>
      </c>
      <c r="DR111">
        <v>1.05</v>
      </c>
      <c r="DS111">
        <v>428</v>
      </c>
      <c r="DV111">
        <v>236</v>
      </c>
      <c r="DW111" t="s">
        <v>807</v>
      </c>
      <c r="DX111">
        <v>2580.8959674365801</v>
      </c>
      <c r="DY111">
        <v>542</v>
      </c>
      <c r="DZ111">
        <v>485</v>
      </c>
      <c r="EA111">
        <v>226</v>
      </c>
      <c r="EB111">
        <v>1886</v>
      </c>
      <c r="EC111">
        <v>1035</v>
      </c>
      <c r="ED111">
        <v>317</v>
      </c>
      <c r="EE111" s="82">
        <v>0.135032872000417</v>
      </c>
      <c r="EF111" s="82">
        <v>0.36624757212398801</v>
      </c>
    </row>
    <row r="112" spans="1:136" x14ac:dyDescent="0.35">
      <c r="A112" s="72">
        <v>281</v>
      </c>
      <c r="B112" s="72">
        <v>5</v>
      </c>
      <c r="D112" s="72" t="s">
        <v>295</v>
      </c>
      <c r="E112" s="79">
        <v>2918800000</v>
      </c>
      <c r="F112" s="79">
        <v>574000000</v>
      </c>
      <c r="G112" s="79">
        <v>605850000</v>
      </c>
      <c r="H112" s="79">
        <v>41978</v>
      </c>
      <c r="I112" s="79">
        <v>2</v>
      </c>
      <c r="J112" s="79">
        <v>605.85</v>
      </c>
      <c r="K112" s="79">
        <v>8338</v>
      </c>
      <c r="L112" s="79">
        <v>7435</v>
      </c>
      <c r="M112" s="79">
        <v>2163</v>
      </c>
      <c r="N112" s="79">
        <v>5915</v>
      </c>
      <c r="O112" s="79">
        <v>4097.1000000000004</v>
      </c>
      <c r="P112" s="79">
        <v>1188</v>
      </c>
      <c r="Q112" s="79">
        <v>3591</v>
      </c>
      <c r="R112" s="79">
        <v>5310</v>
      </c>
      <c r="S112" s="79">
        <v>0</v>
      </c>
      <c r="T112" s="79">
        <v>1485</v>
      </c>
      <c r="U112" s="79">
        <v>19224</v>
      </c>
      <c r="V112" s="79">
        <v>49320</v>
      </c>
      <c r="W112" s="79">
        <v>42110</v>
      </c>
      <c r="X112" s="79">
        <v>2040.86</v>
      </c>
      <c r="Y112" s="79">
        <v>1988.8</v>
      </c>
      <c r="Z112" s="79">
        <v>0</v>
      </c>
      <c r="AA112" s="79">
        <v>0</v>
      </c>
      <c r="AB112" s="79">
        <v>0</v>
      </c>
      <c r="AC112" s="79">
        <v>3284</v>
      </c>
      <c r="AD112" s="79">
        <v>3678.08</v>
      </c>
      <c r="AE112" s="79">
        <v>267</v>
      </c>
      <c r="AF112" s="79">
        <v>0</v>
      </c>
      <c r="AG112" s="79">
        <v>304</v>
      </c>
      <c r="AH112" s="79">
        <v>255.36</v>
      </c>
      <c r="AI112" s="79">
        <v>88</v>
      </c>
      <c r="AJ112" s="79">
        <v>18179</v>
      </c>
      <c r="AK112" s="79">
        <v>20724.060000000001</v>
      </c>
      <c r="AL112" s="79">
        <v>14</v>
      </c>
      <c r="AM112" s="79">
        <v>0</v>
      </c>
      <c r="AN112" s="79">
        <v>0</v>
      </c>
      <c r="AO112" s="79">
        <v>1500</v>
      </c>
      <c r="AP112" s="79">
        <v>2802</v>
      </c>
      <c r="AQ112" s="79">
        <v>2802</v>
      </c>
      <c r="AR112" s="80">
        <v>8.1596399999999997E-4</v>
      </c>
      <c r="AS112" s="80">
        <v>7.2984199999999997E-4</v>
      </c>
      <c r="AT112" s="79">
        <v>25832.359</v>
      </c>
      <c r="AU112" s="79">
        <v>0</v>
      </c>
      <c r="AV112" s="79">
        <v>1253.28</v>
      </c>
      <c r="AW112" s="79">
        <v>19608.490047873802</v>
      </c>
      <c r="AX112" s="79">
        <v>3</v>
      </c>
      <c r="AY112" s="79">
        <v>3.3</v>
      </c>
      <c r="AZ112" s="79">
        <v>4121</v>
      </c>
      <c r="BA112" s="79">
        <v>1</v>
      </c>
      <c r="BB112" s="79">
        <v>0</v>
      </c>
      <c r="BC112" s="79">
        <v>0</v>
      </c>
      <c r="BD112" s="79">
        <v>0</v>
      </c>
      <c r="BE112" s="79">
        <v>0</v>
      </c>
      <c r="BF112" s="79">
        <v>0</v>
      </c>
      <c r="BG112" s="79">
        <v>0</v>
      </c>
      <c r="BH112" s="79">
        <v>0</v>
      </c>
      <c r="BI112" s="79">
        <v>0</v>
      </c>
      <c r="BJ112" s="79">
        <v>0</v>
      </c>
      <c r="BK112" s="79">
        <v>64</v>
      </c>
      <c r="BL112" s="79">
        <v>6692</v>
      </c>
      <c r="BM112" s="79">
        <v>224</v>
      </c>
      <c r="BN112" s="79">
        <v>80</v>
      </c>
      <c r="BO112">
        <v>9728</v>
      </c>
      <c r="BP112">
        <v>2556</v>
      </c>
      <c r="BQ112">
        <v>9667</v>
      </c>
      <c r="BR112">
        <v>2539</v>
      </c>
      <c r="BS112">
        <v>9543</v>
      </c>
      <c r="BT112">
        <v>2555</v>
      </c>
      <c r="BU112">
        <v>9528</v>
      </c>
      <c r="BV112">
        <v>2583</v>
      </c>
      <c r="BW112">
        <v>9354</v>
      </c>
      <c r="BX112">
        <v>2656</v>
      </c>
      <c r="BY112">
        <v>9271</v>
      </c>
      <c r="BZ112">
        <v>2760</v>
      </c>
      <c r="CB112">
        <v>1325.742</v>
      </c>
      <c r="CC112">
        <v>212</v>
      </c>
      <c r="CD112">
        <v>272</v>
      </c>
      <c r="CE112">
        <v>11505.34</v>
      </c>
      <c r="CF112">
        <v>2834.46</v>
      </c>
      <c r="CG112">
        <v>372.14102439024401</v>
      </c>
      <c r="CH112">
        <v>563</v>
      </c>
      <c r="CI112">
        <v>352.33333333333297</v>
      </c>
      <c r="CJ112">
        <v>270.33333333333297</v>
      </c>
      <c r="CK112" s="81">
        <v>2403</v>
      </c>
      <c r="CL112">
        <v>754</v>
      </c>
      <c r="CM112">
        <v>6632.7464803661796</v>
      </c>
      <c r="CN112">
        <v>3.081</v>
      </c>
      <c r="CO112">
        <v>34543</v>
      </c>
      <c r="CP112">
        <v>4519</v>
      </c>
      <c r="CQ112">
        <v>753</v>
      </c>
      <c r="CR112">
        <v>963</v>
      </c>
      <c r="CS112">
        <v>747</v>
      </c>
      <c r="CT112">
        <v>340</v>
      </c>
      <c r="CU112">
        <v>637.81247593376997</v>
      </c>
      <c r="CV112">
        <v>343.92291105121302</v>
      </c>
      <c r="CW112">
        <v>107.504081632653</v>
      </c>
      <c r="CX112">
        <v>1399.152</v>
      </c>
      <c r="CY112">
        <v>754.45439999999996</v>
      </c>
      <c r="CZ112">
        <v>235.8288</v>
      </c>
      <c r="DA112">
        <v>81988</v>
      </c>
      <c r="DE112">
        <v>335</v>
      </c>
      <c r="DF112" t="s">
        <v>208</v>
      </c>
      <c r="DG112">
        <v>3465</v>
      </c>
      <c r="DH112">
        <v>3421</v>
      </c>
      <c r="DI112">
        <v>3409</v>
      </c>
      <c r="DJ112">
        <v>3398</v>
      </c>
      <c r="DK112">
        <v>3360</v>
      </c>
      <c r="DO112">
        <v>304</v>
      </c>
      <c r="DP112" t="s">
        <v>809</v>
      </c>
      <c r="DQ112">
        <v>4919</v>
      </c>
      <c r="DR112">
        <v>1.17</v>
      </c>
      <c r="DS112">
        <v>198</v>
      </c>
      <c r="DV112">
        <v>1771</v>
      </c>
      <c r="DW112" t="s">
        <v>111</v>
      </c>
      <c r="DX112">
        <v>4991.0238878310502</v>
      </c>
      <c r="DY112">
        <v>967</v>
      </c>
      <c r="DZ112">
        <v>971</v>
      </c>
      <c r="EA112">
        <v>514</v>
      </c>
      <c r="EB112">
        <v>2973</v>
      </c>
      <c r="EC112">
        <v>1942</v>
      </c>
      <c r="ED112">
        <v>698</v>
      </c>
      <c r="EE112" s="82">
        <v>0.18314653019975299</v>
      </c>
      <c r="EF112" s="82">
        <v>0.42992500956889801</v>
      </c>
    </row>
    <row r="113" spans="1:136" x14ac:dyDescent="0.35">
      <c r="A113" s="72">
        <v>285</v>
      </c>
      <c r="B113" s="72">
        <v>5</v>
      </c>
      <c r="D113" s="72" t="s">
        <v>323</v>
      </c>
      <c r="E113" s="79">
        <v>2366400000</v>
      </c>
      <c r="F113" s="79">
        <v>436100000</v>
      </c>
      <c r="G113" s="79">
        <v>472500000</v>
      </c>
      <c r="H113" s="79">
        <v>24417</v>
      </c>
      <c r="I113" s="79">
        <v>3</v>
      </c>
      <c r="J113" s="79">
        <v>472.5</v>
      </c>
      <c r="K113" s="79">
        <v>4800</v>
      </c>
      <c r="L113" s="79">
        <v>5708</v>
      </c>
      <c r="M113" s="79">
        <v>1767</v>
      </c>
      <c r="N113" s="79">
        <v>2782</v>
      </c>
      <c r="O113" s="79">
        <v>1680.6</v>
      </c>
      <c r="P113" s="79">
        <v>283</v>
      </c>
      <c r="Q113" s="79">
        <v>1553</v>
      </c>
      <c r="R113" s="79">
        <v>515</v>
      </c>
      <c r="S113" s="79">
        <v>0</v>
      </c>
      <c r="T113" s="79">
        <v>504</v>
      </c>
      <c r="U113" s="79">
        <v>10808</v>
      </c>
      <c r="V113" s="79">
        <v>17700</v>
      </c>
      <c r="W113" s="79">
        <v>6040</v>
      </c>
      <c r="X113" s="79">
        <v>1269.82</v>
      </c>
      <c r="Y113" s="79">
        <v>372</v>
      </c>
      <c r="Z113" s="79">
        <v>0</v>
      </c>
      <c r="AA113" s="79">
        <v>0</v>
      </c>
      <c r="AB113" s="79">
        <v>161.4</v>
      </c>
      <c r="AC113" s="79">
        <v>12293</v>
      </c>
      <c r="AD113" s="79">
        <v>12293</v>
      </c>
      <c r="AE113" s="79">
        <v>354</v>
      </c>
      <c r="AF113" s="79">
        <v>0</v>
      </c>
      <c r="AG113" s="79">
        <v>262</v>
      </c>
      <c r="AH113" s="79">
        <v>135</v>
      </c>
      <c r="AI113" s="79">
        <v>127</v>
      </c>
      <c r="AJ113" s="79">
        <v>11014</v>
      </c>
      <c r="AK113" s="79">
        <v>11014</v>
      </c>
      <c r="AL113" s="79">
        <v>0</v>
      </c>
      <c r="AM113" s="79">
        <v>0</v>
      </c>
      <c r="AN113" s="79">
        <v>0</v>
      </c>
      <c r="AO113" s="79">
        <v>0</v>
      </c>
      <c r="AP113" s="79">
        <v>674</v>
      </c>
      <c r="AQ113" s="79">
        <v>0</v>
      </c>
      <c r="AR113" s="80">
        <v>4.4639099999999998E-4</v>
      </c>
      <c r="AS113" s="80">
        <v>1.3076200000000001E-4</v>
      </c>
      <c r="AT113" s="79">
        <v>6432.1760000000004</v>
      </c>
      <c r="AU113" s="79">
        <v>0</v>
      </c>
      <c r="AV113" s="79">
        <v>2366</v>
      </c>
      <c r="AW113" s="79">
        <v>4567.9308927018301</v>
      </c>
      <c r="AX113" s="79">
        <v>16</v>
      </c>
      <c r="AY113" s="79">
        <v>16</v>
      </c>
      <c r="AZ113" s="79">
        <v>2865</v>
      </c>
      <c r="BA113" s="79">
        <v>1</v>
      </c>
      <c r="BB113" s="79">
        <v>0</v>
      </c>
      <c r="BC113" s="79">
        <v>0</v>
      </c>
      <c r="BD113" s="79">
        <v>0</v>
      </c>
      <c r="BE113" s="79">
        <v>0</v>
      </c>
      <c r="BF113" s="79">
        <v>0</v>
      </c>
      <c r="BG113" s="79">
        <v>0</v>
      </c>
      <c r="BH113" s="79">
        <v>0</v>
      </c>
      <c r="BI113" s="79">
        <v>0</v>
      </c>
      <c r="BJ113" s="79">
        <v>0</v>
      </c>
      <c r="BK113" s="79">
        <v>18</v>
      </c>
      <c r="BL113" s="79">
        <v>2768</v>
      </c>
      <c r="BM113" s="79">
        <v>135</v>
      </c>
      <c r="BN113" s="79">
        <v>127</v>
      </c>
      <c r="BO113">
        <v>4953</v>
      </c>
      <c r="BP113">
        <v>276</v>
      </c>
      <c r="BQ113">
        <v>4875</v>
      </c>
      <c r="BR113">
        <v>255</v>
      </c>
      <c r="BS113">
        <v>4794</v>
      </c>
      <c r="BT113">
        <v>251</v>
      </c>
      <c r="BU113">
        <v>4774</v>
      </c>
      <c r="BV113">
        <v>281</v>
      </c>
      <c r="BW113">
        <v>4750</v>
      </c>
      <c r="BX113">
        <v>304</v>
      </c>
      <c r="BY113">
        <v>4730</v>
      </c>
      <c r="BZ113">
        <v>339</v>
      </c>
      <c r="CB113">
        <v>307.2</v>
      </c>
      <c r="CC113">
        <v>70</v>
      </c>
      <c r="CD113">
        <v>25</v>
      </c>
      <c r="CE113">
        <v>6943.47</v>
      </c>
      <c r="CF113">
        <v>1746.6</v>
      </c>
      <c r="CG113">
        <v>101.94125874125901</v>
      </c>
      <c r="CH113">
        <v>194</v>
      </c>
      <c r="CI113">
        <v>81</v>
      </c>
      <c r="CJ113">
        <v>60</v>
      </c>
      <c r="CK113" s="81">
        <v>1270</v>
      </c>
      <c r="CL113">
        <v>529</v>
      </c>
      <c r="CM113">
        <v>3707.6701400933998</v>
      </c>
      <c r="CN113">
        <v>0.27500000000000002</v>
      </c>
      <c r="CO113">
        <v>18709</v>
      </c>
      <c r="CP113">
        <v>3285</v>
      </c>
      <c r="CQ113">
        <v>656</v>
      </c>
      <c r="CR113">
        <v>527</v>
      </c>
      <c r="CS113">
        <v>545</v>
      </c>
      <c r="CT113">
        <v>345</v>
      </c>
      <c r="CU113">
        <v>299.07172689304502</v>
      </c>
      <c r="CV113">
        <v>182.49478845106199</v>
      </c>
      <c r="CW113">
        <v>72.326529871073205</v>
      </c>
      <c r="CX113">
        <v>813.4</v>
      </c>
      <c r="CY113">
        <v>496.34</v>
      </c>
      <c r="CZ113">
        <v>196.71</v>
      </c>
      <c r="DA113">
        <v>170409</v>
      </c>
      <c r="DE113">
        <v>339</v>
      </c>
      <c r="DF113" t="s">
        <v>252</v>
      </c>
      <c r="DG113">
        <v>1250</v>
      </c>
      <c r="DH113">
        <v>1260</v>
      </c>
      <c r="DI113">
        <v>1286</v>
      </c>
      <c r="DJ113">
        <v>1288</v>
      </c>
      <c r="DK113">
        <v>1304</v>
      </c>
      <c r="DO113">
        <v>267</v>
      </c>
      <c r="DP113" t="s">
        <v>214</v>
      </c>
      <c r="DQ113">
        <v>16924</v>
      </c>
      <c r="DR113">
        <v>1</v>
      </c>
      <c r="DS113">
        <v>1100</v>
      </c>
      <c r="DV113">
        <v>1652</v>
      </c>
      <c r="DW113" t="s">
        <v>112</v>
      </c>
      <c r="DX113">
        <v>3744.7529196790301</v>
      </c>
      <c r="DY113">
        <v>608</v>
      </c>
      <c r="DZ113">
        <v>590</v>
      </c>
      <c r="EA113">
        <v>347</v>
      </c>
      <c r="EB113">
        <v>2081</v>
      </c>
      <c r="EC113">
        <v>1224</v>
      </c>
      <c r="ED113">
        <v>460</v>
      </c>
      <c r="EE113" s="82">
        <v>0.18763752359467201</v>
      </c>
      <c r="EF113" s="82">
        <v>0.46927942762387398</v>
      </c>
    </row>
    <row r="114" spans="1:136" x14ac:dyDescent="0.35">
      <c r="A114" s="72">
        <v>289</v>
      </c>
      <c r="B114" s="72">
        <v>5</v>
      </c>
      <c r="D114" s="72" t="s">
        <v>329</v>
      </c>
      <c r="E114" s="79">
        <v>3104000000</v>
      </c>
      <c r="F114" s="79">
        <v>405300000</v>
      </c>
      <c r="G114" s="79">
        <v>420700000</v>
      </c>
      <c r="H114" s="79">
        <v>38774</v>
      </c>
      <c r="I114" s="79">
        <v>1</v>
      </c>
      <c r="J114" s="79">
        <v>420.7</v>
      </c>
      <c r="K114" s="79">
        <v>5911</v>
      </c>
      <c r="L114" s="79">
        <v>6249</v>
      </c>
      <c r="M114" s="79">
        <v>1922</v>
      </c>
      <c r="N114" s="79">
        <v>4981</v>
      </c>
      <c r="O114" s="79">
        <v>3040.6</v>
      </c>
      <c r="P114" s="79">
        <v>742</v>
      </c>
      <c r="Q114" s="79">
        <v>2296</v>
      </c>
      <c r="R114" s="79">
        <v>1340</v>
      </c>
      <c r="S114" s="79">
        <v>0</v>
      </c>
      <c r="T114" s="79">
        <v>927</v>
      </c>
      <c r="U114" s="79">
        <v>22931</v>
      </c>
      <c r="V114" s="79">
        <v>41630</v>
      </c>
      <c r="W114" s="79">
        <v>35830</v>
      </c>
      <c r="X114" s="79">
        <v>431.64</v>
      </c>
      <c r="Y114" s="79">
        <v>1542.4</v>
      </c>
      <c r="Z114" s="79">
        <v>0</v>
      </c>
      <c r="AA114" s="79">
        <v>0</v>
      </c>
      <c r="AB114" s="79">
        <v>35.999999999999801</v>
      </c>
      <c r="AC114" s="79">
        <v>3042</v>
      </c>
      <c r="AD114" s="79">
        <v>3042</v>
      </c>
      <c r="AE114" s="79">
        <v>194</v>
      </c>
      <c r="AF114" s="79">
        <v>0</v>
      </c>
      <c r="AG114" s="79">
        <v>156</v>
      </c>
      <c r="AH114" s="79">
        <v>138</v>
      </c>
      <c r="AI114" s="79">
        <v>18</v>
      </c>
      <c r="AJ114" s="79">
        <v>19404</v>
      </c>
      <c r="AK114" s="79">
        <v>19404</v>
      </c>
      <c r="AL114" s="79">
        <v>9</v>
      </c>
      <c r="AM114" s="79">
        <v>0</v>
      </c>
      <c r="AN114" s="79">
        <v>0</v>
      </c>
      <c r="AO114" s="79">
        <v>1800</v>
      </c>
      <c r="AP114" s="79">
        <v>2670</v>
      </c>
      <c r="AQ114" s="79">
        <v>2670</v>
      </c>
      <c r="AR114" s="80">
        <v>5.4911200000000004E-4</v>
      </c>
      <c r="AS114" s="80">
        <v>1.3787420000000001E-3</v>
      </c>
      <c r="AT114" s="79">
        <v>38788.595999999998</v>
      </c>
      <c r="AU114" s="79">
        <v>0</v>
      </c>
      <c r="AV114" s="79">
        <v>793</v>
      </c>
      <c r="AW114" s="79">
        <v>9501.7867737948109</v>
      </c>
      <c r="AX114" s="79">
        <v>3</v>
      </c>
      <c r="AY114" s="79">
        <v>3</v>
      </c>
      <c r="AZ114" s="79">
        <v>3529</v>
      </c>
      <c r="BA114" s="79">
        <v>1</v>
      </c>
      <c r="BB114" s="79">
        <v>0</v>
      </c>
      <c r="BC114" s="79">
        <v>0</v>
      </c>
      <c r="BD114" s="79">
        <v>0</v>
      </c>
      <c r="BE114" s="79">
        <v>0</v>
      </c>
      <c r="BF114" s="79">
        <v>0</v>
      </c>
      <c r="BG114" s="79">
        <v>0</v>
      </c>
      <c r="BH114" s="79">
        <v>0</v>
      </c>
      <c r="BI114" s="79">
        <v>0</v>
      </c>
      <c r="BJ114" s="79">
        <v>0</v>
      </c>
      <c r="BK114" s="79">
        <v>22</v>
      </c>
      <c r="BL114" s="79">
        <v>13444</v>
      </c>
      <c r="BM114" s="79">
        <v>138</v>
      </c>
      <c r="BN114" s="79">
        <v>18</v>
      </c>
      <c r="BO114">
        <v>6107</v>
      </c>
      <c r="BP114">
        <v>1720</v>
      </c>
      <c r="BQ114">
        <v>6133</v>
      </c>
      <c r="BR114">
        <v>1758</v>
      </c>
      <c r="BS114">
        <v>6106</v>
      </c>
      <c r="BT114">
        <v>1847</v>
      </c>
      <c r="BU114">
        <v>6081</v>
      </c>
      <c r="BV114">
        <v>1829</v>
      </c>
      <c r="BW114">
        <v>6003</v>
      </c>
      <c r="BX114">
        <v>1857</v>
      </c>
      <c r="BY114">
        <v>5952</v>
      </c>
      <c r="BZ114">
        <v>1890</v>
      </c>
      <c r="CB114">
        <v>662.03200000000004</v>
      </c>
      <c r="CC114">
        <v>64</v>
      </c>
      <c r="CD114">
        <v>81</v>
      </c>
      <c r="CE114">
        <v>10475.36</v>
      </c>
      <c r="CF114">
        <v>2252.85</v>
      </c>
      <c r="CG114">
        <v>187.927449210464</v>
      </c>
      <c r="CH114">
        <v>335</v>
      </c>
      <c r="CI114">
        <v>193</v>
      </c>
      <c r="CJ114">
        <v>157.666666666667</v>
      </c>
      <c r="CK114" s="81">
        <v>1554</v>
      </c>
      <c r="CL114">
        <v>565</v>
      </c>
      <c r="CM114">
        <v>2982.6374564579601</v>
      </c>
      <c r="CN114">
        <v>1.1619999999999999</v>
      </c>
      <c r="CO114">
        <v>32525</v>
      </c>
      <c r="CP114">
        <v>3469</v>
      </c>
      <c r="CQ114">
        <v>858</v>
      </c>
      <c r="CR114">
        <v>913</v>
      </c>
      <c r="CS114">
        <v>697</v>
      </c>
      <c r="CT114">
        <v>383</v>
      </c>
      <c r="CU114">
        <v>349.910317460317</v>
      </c>
      <c r="CV114">
        <v>204.96314162028401</v>
      </c>
      <c r="CW114">
        <v>81.170418470418497</v>
      </c>
      <c r="CX114">
        <v>1011.7723</v>
      </c>
      <c r="CY114">
        <v>592.65480000000002</v>
      </c>
      <c r="CZ114">
        <v>234.70580000000001</v>
      </c>
      <c r="DA114">
        <v>21593</v>
      </c>
      <c r="DE114">
        <v>340</v>
      </c>
      <c r="DF114" t="s">
        <v>255</v>
      </c>
      <c r="DG114">
        <v>4482</v>
      </c>
      <c r="DH114">
        <v>4464</v>
      </c>
      <c r="DI114">
        <v>4507</v>
      </c>
      <c r="DJ114">
        <v>4453</v>
      </c>
      <c r="DK114">
        <v>4421</v>
      </c>
      <c r="DO114">
        <v>268</v>
      </c>
      <c r="DP114" t="s">
        <v>215</v>
      </c>
      <c r="DQ114">
        <v>83946</v>
      </c>
      <c r="DR114">
        <v>1</v>
      </c>
      <c r="DS114">
        <v>2360</v>
      </c>
      <c r="DV114">
        <v>907</v>
      </c>
      <c r="DW114" t="s">
        <v>113</v>
      </c>
      <c r="DX114">
        <v>2194.02697441602</v>
      </c>
      <c r="DY114">
        <v>394</v>
      </c>
      <c r="DZ114">
        <v>367</v>
      </c>
      <c r="EA114">
        <v>173</v>
      </c>
      <c r="EB114">
        <v>1323</v>
      </c>
      <c r="EC114">
        <v>806</v>
      </c>
      <c r="ED114">
        <v>256</v>
      </c>
      <c r="EE114" s="82">
        <v>0.15294292995342601</v>
      </c>
      <c r="EF114" s="82">
        <v>0.48170966454611602</v>
      </c>
    </row>
    <row r="115" spans="1:136" x14ac:dyDescent="0.35">
      <c r="A115" s="72">
        <v>1960</v>
      </c>
      <c r="B115" s="72">
        <v>5</v>
      </c>
      <c r="D115" s="72" t="s">
        <v>334</v>
      </c>
      <c r="E115" s="79">
        <v>4048400000</v>
      </c>
      <c r="F115" s="79">
        <v>596400000</v>
      </c>
      <c r="G115" s="79">
        <v>690200000</v>
      </c>
      <c r="H115" s="79">
        <v>50697</v>
      </c>
      <c r="I115" s="79">
        <v>10</v>
      </c>
      <c r="J115" s="79">
        <v>690.2</v>
      </c>
      <c r="K115" s="79">
        <v>10988</v>
      </c>
      <c r="L115" s="79">
        <v>9611</v>
      </c>
      <c r="M115" s="79">
        <v>2892</v>
      </c>
      <c r="N115" s="79">
        <v>4922</v>
      </c>
      <c r="O115" s="79">
        <v>2843.2</v>
      </c>
      <c r="P115" s="79">
        <v>481</v>
      </c>
      <c r="Q115" s="79">
        <v>2298</v>
      </c>
      <c r="R115" s="79">
        <v>1145</v>
      </c>
      <c r="S115" s="79">
        <v>0</v>
      </c>
      <c r="T115" s="79">
        <v>1236</v>
      </c>
      <c r="U115" s="79">
        <v>20796</v>
      </c>
      <c r="V115" s="79">
        <v>42410</v>
      </c>
      <c r="W115" s="79">
        <v>10220</v>
      </c>
      <c r="X115" s="79">
        <v>0</v>
      </c>
      <c r="Y115" s="79">
        <v>1105.5999999999999</v>
      </c>
      <c r="Z115" s="79">
        <v>0</v>
      </c>
      <c r="AA115" s="79">
        <v>0</v>
      </c>
      <c r="AB115" s="79">
        <v>598.79999999999995</v>
      </c>
      <c r="AC115" s="79">
        <v>21581</v>
      </c>
      <c r="AD115" s="79">
        <v>26760.44</v>
      </c>
      <c r="AE115" s="79">
        <v>1331</v>
      </c>
      <c r="AF115" s="79">
        <v>0</v>
      </c>
      <c r="AG115" s="79">
        <v>509</v>
      </c>
      <c r="AH115" s="79">
        <v>360.57</v>
      </c>
      <c r="AI115" s="79">
        <v>257.5</v>
      </c>
      <c r="AJ115" s="79">
        <v>20788</v>
      </c>
      <c r="AK115" s="79">
        <v>24737.72</v>
      </c>
      <c r="AL115" s="79">
        <v>12</v>
      </c>
      <c r="AM115" s="79">
        <v>0</v>
      </c>
      <c r="AN115" s="79">
        <v>0</v>
      </c>
      <c r="AO115" s="79">
        <v>1150</v>
      </c>
      <c r="AP115" s="79">
        <v>0</v>
      </c>
      <c r="AQ115" s="79">
        <v>0</v>
      </c>
      <c r="AR115" s="80">
        <v>6.7941200000000001E-4</v>
      </c>
      <c r="AS115" s="80">
        <v>2.02363E-4</v>
      </c>
      <c r="AT115" s="79">
        <v>9396.1759999999995</v>
      </c>
      <c r="AU115" s="79">
        <v>0</v>
      </c>
      <c r="AV115" s="79">
        <v>8006.68</v>
      </c>
      <c r="AW115" s="79">
        <v>29097.228063896699</v>
      </c>
      <c r="AX115" s="79">
        <v>25</v>
      </c>
      <c r="AY115" s="79">
        <v>31.25</v>
      </c>
      <c r="AZ115" s="79">
        <v>6585</v>
      </c>
      <c r="BA115" s="79">
        <v>1</v>
      </c>
      <c r="BB115" s="79">
        <v>0</v>
      </c>
      <c r="BC115" s="79">
        <v>0</v>
      </c>
      <c r="BD115" s="79">
        <v>0</v>
      </c>
      <c r="BE115" s="79">
        <v>0</v>
      </c>
      <c r="BF115" s="79">
        <v>0</v>
      </c>
      <c r="BG115" s="79">
        <v>0</v>
      </c>
      <c r="BH115" s="79">
        <v>0</v>
      </c>
      <c r="BI115" s="79">
        <v>0</v>
      </c>
      <c r="BJ115" s="79">
        <v>0</v>
      </c>
      <c r="BK115" s="79">
        <v>47</v>
      </c>
      <c r="BL115" s="79">
        <v>5224</v>
      </c>
      <c r="BM115" s="79">
        <v>303</v>
      </c>
      <c r="BN115" s="79">
        <v>206</v>
      </c>
      <c r="BO115">
        <v>12059</v>
      </c>
      <c r="BP115">
        <v>712</v>
      </c>
      <c r="BQ115">
        <v>11926</v>
      </c>
      <c r="BR115">
        <v>741</v>
      </c>
      <c r="BS115">
        <v>11791</v>
      </c>
      <c r="BT115">
        <v>758</v>
      </c>
      <c r="BU115">
        <v>11688</v>
      </c>
      <c r="BV115">
        <v>820</v>
      </c>
      <c r="BW115">
        <v>11544</v>
      </c>
      <c r="BX115">
        <v>971</v>
      </c>
      <c r="BY115">
        <v>11419</v>
      </c>
      <c r="BZ115">
        <v>1143</v>
      </c>
      <c r="CB115">
        <v>791.13599999999997</v>
      </c>
      <c r="CC115">
        <v>334</v>
      </c>
      <c r="CD115">
        <v>113</v>
      </c>
      <c r="CE115">
        <v>15632.54</v>
      </c>
      <c r="CF115">
        <v>4243.68</v>
      </c>
      <c r="CG115">
        <v>376.017711474603</v>
      </c>
      <c r="CH115">
        <v>453</v>
      </c>
      <c r="CI115">
        <v>168.666666666667</v>
      </c>
      <c r="CJ115">
        <v>120.333333333333</v>
      </c>
      <c r="CK115" s="81">
        <v>1817</v>
      </c>
      <c r="CL115">
        <v>467</v>
      </c>
      <c r="CM115">
        <v>7090.6268011294896</v>
      </c>
      <c r="CN115">
        <v>0.255</v>
      </c>
      <c r="CO115">
        <v>41086</v>
      </c>
      <c r="CP115">
        <v>5855</v>
      </c>
      <c r="CQ115">
        <v>864</v>
      </c>
      <c r="CR115">
        <v>1027</v>
      </c>
      <c r="CS115">
        <v>885</v>
      </c>
      <c r="CT115">
        <v>441</v>
      </c>
      <c r="CU115">
        <v>486.22166634596903</v>
      </c>
      <c r="CV115">
        <v>276.00431017894903</v>
      </c>
      <c r="CW115">
        <v>84.661381566288199</v>
      </c>
      <c r="CX115">
        <v>1313.5725</v>
      </c>
      <c r="CY115">
        <v>745.65099999999995</v>
      </c>
      <c r="CZ115">
        <v>228.72049999999999</v>
      </c>
      <c r="DA115">
        <v>52879</v>
      </c>
      <c r="DE115">
        <v>342</v>
      </c>
      <c r="DF115" t="s">
        <v>279</v>
      </c>
      <c r="DG115">
        <v>10027</v>
      </c>
      <c r="DH115">
        <v>9986</v>
      </c>
      <c r="DI115">
        <v>9958</v>
      </c>
      <c r="DJ115">
        <v>9873</v>
      </c>
      <c r="DK115">
        <v>9761</v>
      </c>
      <c r="DO115">
        <v>302</v>
      </c>
      <c r="DP115" t="s">
        <v>223</v>
      </c>
      <c r="DQ115">
        <v>12180</v>
      </c>
      <c r="DR115">
        <v>1</v>
      </c>
      <c r="DS115">
        <v>774</v>
      </c>
      <c r="DV115">
        <v>689</v>
      </c>
      <c r="DW115" t="s">
        <v>814</v>
      </c>
      <c r="DX115">
        <v>1326.16076058773</v>
      </c>
      <c r="DY115">
        <v>277</v>
      </c>
      <c r="DZ115">
        <v>261</v>
      </c>
      <c r="EA115">
        <v>160</v>
      </c>
      <c r="EB115">
        <v>1067</v>
      </c>
      <c r="EC115">
        <v>597</v>
      </c>
      <c r="ED115">
        <v>225</v>
      </c>
      <c r="EE115" s="82">
        <v>0.121914451236233</v>
      </c>
      <c r="EF115" s="82">
        <v>0.33432256961095702</v>
      </c>
    </row>
    <row r="116" spans="1:136" x14ac:dyDescent="0.35">
      <c r="A116" s="72">
        <v>668</v>
      </c>
      <c r="B116" s="72">
        <v>5</v>
      </c>
      <c r="D116" s="72" t="s">
        <v>335</v>
      </c>
      <c r="E116" s="79">
        <v>1538400000</v>
      </c>
      <c r="F116" s="79">
        <v>203700000</v>
      </c>
      <c r="G116" s="79">
        <v>245350000</v>
      </c>
      <c r="H116" s="79">
        <v>19076</v>
      </c>
      <c r="I116" s="79">
        <v>5</v>
      </c>
      <c r="J116" s="79">
        <v>245.35</v>
      </c>
      <c r="K116" s="79">
        <v>3426</v>
      </c>
      <c r="L116" s="79">
        <v>3967</v>
      </c>
      <c r="M116" s="79">
        <v>1196</v>
      </c>
      <c r="N116" s="79">
        <v>2408</v>
      </c>
      <c r="O116" s="79">
        <v>1587.1</v>
      </c>
      <c r="P116" s="79">
        <v>228.666666666667</v>
      </c>
      <c r="Q116" s="79">
        <v>1072.6666666666699</v>
      </c>
      <c r="R116" s="79">
        <v>245</v>
      </c>
      <c r="S116" s="79">
        <v>0</v>
      </c>
      <c r="T116" s="79">
        <v>475</v>
      </c>
      <c r="U116" s="79">
        <v>8430</v>
      </c>
      <c r="V116" s="79">
        <v>14260</v>
      </c>
      <c r="W116" s="79">
        <v>2310</v>
      </c>
      <c r="X116" s="79">
        <v>0</v>
      </c>
      <c r="Y116" s="79">
        <v>183.2</v>
      </c>
      <c r="Z116" s="79">
        <v>0</v>
      </c>
      <c r="AA116" s="79">
        <v>0</v>
      </c>
      <c r="AB116" s="79">
        <v>0</v>
      </c>
      <c r="AC116" s="79">
        <v>7638</v>
      </c>
      <c r="AD116" s="79">
        <v>8096.28</v>
      </c>
      <c r="AE116" s="79">
        <v>883</v>
      </c>
      <c r="AF116" s="79">
        <v>0</v>
      </c>
      <c r="AG116" s="79">
        <v>214</v>
      </c>
      <c r="AH116" s="79">
        <v>150.15</v>
      </c>
      <c r="AI116" s="79">
        <v>75.260000000000005</v>
      </c>
      <c r="AJ116" s="79">
        <v>8209</v>
      </c>
      <c r="AK116" s="79">
        <v>8619.4500000000007</v>
      </c>
      <c r="AL116" s="79">
        <v>0</v>
      </c>
      <c r="AM116" s="79">
        <v>0</v>
      </c>
      <c r="AN116" s="79">
        <v>0</v>
      </c>
      <c r="AO116" s="79">
        <v>0</v>
      </c>
      <c r="AP116" s="79">
        <v>836</v>
      </c>
      <c r="AQ116" s="79">
        <v>0</v>
      </c>
      <c r="AR116" s="80">
        <v>2.87903E-4</v>
      </c>
      <c r="AS116" s="80">
        <v>7.3732000000000005E-5</v>
      </c>
      <c r="AT116" s="79">
        <v>3398.5259999999998</v>
      </c>
      <c r="AU116" s="79">
        <v>0</v>
      </c>
      <c r="AV116" s="79">
        <v>2400.9</v>
      </c>
      <c r="AW116" s="79">
        <v>5479.3185119117497</v>
      </c>
      <c r="AX116" s="79">
        <v>12</v>
      </c>
      <c r="AY116" s="79">
        <v>12.72</v>
      </c>
      <c r="AZ116" s="79">
        <v>2497</v>
      </c>
      <c r="BA116" s="79">
        <v>1</v>
      </c>
      <c r="BB116" s="79">
        <v>0</v>
      </c>
      <c r="BC116" s="79">
        <v>0</v>
      </c>
      <c r="BD116" s="79">
        <v>0</v>
      </c>
      <c r="BE116" s="79">
        <v>0</v>
      </c>
      <c r="BF116" s="79">
        <v>0</v>
      </c>
      <c r="BG116" s="79">
        <v>0</v>
      </c>
      <c r="BH116" s="79">
        <v>0</v>
      </c>
      <c r="BI116" s="79">
        <v>0</v>
      </c>
      <c r="BJ116" s="79">
        <v>0</v>
      </c>
      <c r="BK116" s="79">
        <v>6</v>
      </c>
      <c r="BL116" s="79">
        <v>2332</v>
      </c>
      <c r="BM116" s="79">
        <v>143</v>
      </c>
      <c r="BN116" s="79">
        <v>71</v>
      </c>
      <c r="BO116">
        <v>4035</v>
      </c>
      <c r="BP116">
        <v>356</v>
      </c>
      <c r="BQ116">
        <v>4008</v>
      </c>
      <c r="BR116">
        <v>367</v>
      </c>
      <c r="BS116">
        <v>3885</v>
      </c>
      <c r="BT116">
        <v>357</v>
      </c>
      <c r="BU116">
        <v>3839</v>
      </c>
      <c r="BV116">
        <v>342</v>
      </c>
      <c r="BW116">
        <v>3760</v>
      </c>
      <c r="BX116">
        <v>333</v>
      </c>
      <c r="BY116">
        <v>3688</v>
      </c>
      <c r="BZ116">
        <v>343</v>
      </c>
      <c r="CB116">
        <v>263.80200000000002</v>
      </c>
      <c r="CC116">
        <v>100</v>
      </c>
      <c r="CD116">
        <v>47</v>
      </c>
      <c r="CE116">
        <v>5572.6</v>
      </c>
      <c r="CF116">
        <v>1404.84</v>
      </c>
      <c r="CG116">
        <v>87.210916724019299</v>
      </c>
      <c r="CH116">
        <v>180</v>
      </c>
      <c r="CI116">
        <v>67.3333333333333</v>
      </c>
      <c r="CJ116">
        <v>41.6666666666667</v>
      </c>
      <c r="CK116" s="81">
        <v>844</v>
      </c>
      <c r="CL116">
        <v>200</v>
      </c>
      <c r="CM116">
        <v>2870.4721467929198</v>
      </c>
      <c r="CN116">
        <v>0.23599999999999999</v>
      </c>
      <c r="CO116">
        <v>15109</v>
      </c>
      <c r="CP116">
        <v>2371</v>
      </c>
      <c r="CQ116">
        <v>400</v>
      </c>
      <c r="CR116">
        <v>431</v>
      </c>
      <c r="CS116">
        <v>381</v>
      </c>
      <c r="CT116">
        <v>201</v>
      </c>
      <c r="CU116">
        <v>282.07807284687499</v>
      </c>
      <c r="CV116">
        <v>156.02262151297401</v>
      </c>
      <c r="CW116">
        <v>52.974223413326797</v>
      </c>
      <c r="CX116">
        <v>644.00260000000003</v>
      </c>
      <c r="CY116">
        <v>356.20979999999997</v>
      </c>
      <c r="CZ116">
        <v>120.9436</v>
      </c>
      <c r="DA116">
        <v>16136</v>
      </c>
      <c r="DE116">
        <v>344</v>
      </c>
      <c r="DF116" t="s">
        <v>305</v>
      </c>
      <c r="DG116">
        <v>57035</v>
      </c>
      <c r="DH116">
        <v>58865</v>
      </c>
      <c r="DI116">
        <v>60349</v>
      </c>
      <c r="DJ116">
        <v>61917</v>
      </c>
      <c r="DK116">
        <v>63621</v>
      </c>
      <c r="DO116">
        <v>269</v>
      </c>
      <c r="DP116" t="s">
        <v>228</v>
      </c>
      <c r="DQ116">
        <v>9745</v>
      </c>
      <c r="DR116">
        <v>1</v>
      </c>
      <c r="DS116">
        <v>638</v>
      </c>
      <c r="DV116">
        <v>784</v>
      </c>
      <c r="DW116" t="s">
        <v>114</v>
      </c>
      <c r="DX116">
        <v>3205.6300246103401</v>
      </c>
      <c r="DY116">
        <v>613</v>
      </c>
      <c r="DZ116">
        <v>518</v>
      </c>
      <c r="EA116">
        <v>214</v>
      </c>
      <c r="EB116">
        <v>1983</v>
      </c>
      <c r="EC116">
        <v>1118</v>
      </c>
      <c r="ED116">
        <v>326</v>
      </c>
      <c r="EE116" s="82">
        <v>0.180041060942635</v>
      </c>
      <c r="EF116" s="82">
        <v>0.44921487196198601</v>
      </c>
    </row>
    <row r="117" spans="1:136" x14ac:dyDescent="0.35">
      <c r="A117" s="72">
        <v>293</v>
      </c>
      <c r="B117" s="72">
        <v>5</v>
      </c>
      <c r="D117" s="72" t="s">
        <v>338</v>
      </c>
      <c r="E117" s="79">
        <v>1077600000</v>
      </c>
      <c r="F117" s="79">
        <v>72450000</v>
      </c>
      <c r="G117" s="79">
        <v>73500000</v>
      </c>
      <c r="H117" s="79">
        <v>14944</v>
      </c>
      <c r="I117" s="79">
        <v>1</v>
      </c>
      <c r="J117" s="79">
        <v>73.5</v>
      </c>
      <c r="K117" s="79">
        <v>2746</v>
      </c>
      <c r="L117" s="79">
        <v>2882</v>
      </c>
      <c r="M117" s="79">
        <v>769</v>
      </c>
      <c r="N117" s="79">
        <v>2051</v>
      </c>
      <c r="O117" s="79">
        <v>1379</v>
      </c>
      <c r="P117" s="79">
        <v>374</v>
      </c>
      <c r="Q117" s="79">
        <v>1319</v>
      </c>
      <c r="R117" s="79">
        <v>720</v>
      </c>
      <c r="S117" s="79">
        <v>0</v>
      </c>
      <c r="T117" s="79">
        <v>622</v>
      </c>
      <c r="U117" s="79">
        <v>6822</v>
      </c>
      <c r="V117" s="79">
        <v>12750</v>
      </c>
      <c r="W117" s="79">
        <v>4280</v>
      </c>
      <c r="X117" s="79">
        <v>0</v>
      </c>
      <c r="Y117" s="79">
        <v>0</v>
      </c>
      <c r="Z117" s="79">
        <v>0</v>
      </c>
      <c r="AA117" s="79">
        <v>0</v>
      </c>
      <c r="AB117" s="79">
        <v>0</v>
      </c>
      <c r="AC117" s="79">
        <v>702</v>
      </c>
      <c r="AD117" s="79">
        <v>702</v>
      </c>
      <c r="AE117" s="79">
        <v>82</v>
      </c>
      <c r="AF117" s="79">
        <v>0</v>
      </c>
      <c r="AG117" s="79">
        <v>64</v>
      </c>
      <c r="AH117" s="79">
        <v>61</v>
      </c>
      <c r="AI117" s="79">
        <v>2</v>
      </c>
      <c r="AJ117" s="79">
        <v>6720</v>
      </c>
      <c r="AK117" s="79">
        <v>6720</v>
      </c>
      <c r="AL117" s="79">
        <v>0</v>
      </c>
      <c r="AM117" s="79">
        <v>0</v>
      </c>
      <c r="AN117" s="79">
        <v>0</v>
      </c>
      <c r="AO117" s="79">
        <v>0</v>
      </c>
      <c r="AP117" s="79">
        <v>0</v>
      </c>
      <c r="AQ117" s="79">
        <v>0</v>
      </c>
      <c r="AR117" s="80">
        <v>5.8205000000000003E-5</v>
      </c>
      <c r="AS117" s="80">
        <v>5.3436000000000001E-5</v>
      </c>
      <c r="AT117" s="79">
        <v>7728</v>
      </c>
      <c r="AU117" s="79">
        <v>0</v>
      </c>
      <c r="AV117" s="79">
        <v>427</v>
      </c>
      <c r="AW117" s="79">
        <v>8139.1428571428596</v>
      </c>
      <c r="AX117" s="79">
        <v>1</v>
      </c>
      <c r="AY117" s="79">
        <v>1</v>
      </c>
      <c r="AZ117" s="79">
        <v>1206</v>
      </c>
      <c r="BA117" s="79">
        <v>1</v>
      </c>
      <c r="BB117" s="79">
        <v>0</v>
      </c>
      <c r="BC117" s="79">
        <v>0</v>
      </c>
      <c r="BD117" s="79">
        <v>0</v>
      </c>
      <c r="BE117" s="79">
        <v>0</v>
      </c>
      <c r="BF117" s="79">
        <v>0</v>
      </c>
      <c r="BG117" s="79">
        <v>0</v>
      </c>
      <c r="BH117" s="79">
        <v>0</v>
      </c>
      <c r="BI117" s="79">
        <v>0</v>
      </c>
      <c r="BJ117" s="79">
        <v>0</v>
      </c>
      <c r="BK117" s="79">
        <v>14</v>
      </c>
      <c r="BL117" s="79">
        <v>2032</v>
      </c>
      <c r="BM117" s="79">
        <v>61</v>
      </c>
      <c r="BN117" s="79">
        <v>2</v>
      </c>
      <c r="BO117">
        <v>3425</v>
      </c>
      <c r="BP117">
        <v>0</v>
      </c>
      <c r="BQ117">
        <v>3296</v>
      </c>
      <c r="BR117">
        <v>0</v>
      </c>
      <c r="BS117">
        <v>3271</v>
      </c>
      <c r="BT117">
        <v>0</v>
      </c>
      <c r="BU117">
        <v>3162</v>
      </c>
      <c r="BV117">
        <v>0</v>
      </c>
      <c r="BW117">
        <v>3052</v>
      </c>
      <c r="BX117">
        <v>0</v>
      </c>
      <c r="BY117">
        <v>2978</v>
      </c>
      <c r="BZ117">
        <v>0</v>
      </c>
      <c r="CB117">
        <v>461.32799999999997</v>
      </c>
      <c r="CC117">
        <v>53</v>
      </c>
      <c r="CD117">
        <v>19</v>
      </c>
      <c r="CE117">
        <v>4212.18</v>
      </c>
      <c r="CF117">
        <v>972.99</v>
      </c>
      <c r="CG117">
        <v>135.870045106726</v>
      </c>
      <c r="CH117">
        <v>228</v>
      </c>
      <c r="CI117">
        <v>135</v>
      </c>
      <c r="CJ117">
        <v>109.666666666667</v>
      </c>
      <c r="CK117" s="81">
        <v>945</v>
      </c>
      <c r="CL117">
        <v>266</v>
      </c>
      <c r="CM117">
        <v>2325.0118472101899</v>
      </c>
      <c r="CN117">
        <v>0.91700000000000004</v>
      </c>
      <c r="CO117">
        <v>12062</v>
      </c>
      <c r="CP117">
        <v>1845</v>
      </c>
      <c r="CQ117">
        <v>268</v>
      </c>
      <c r="CR117">
        <v>403</v>
      </c>
      <c r="CS117">
        <v>294</v>
      </c>
      <c r="CT117">
        <v>139</v>
      </c>
      <c r="CU117">
        <v>247.276041666667</v>
      </c>
      <c r="CV117">
        <v>114.50624999999999</v>
      </c>
      <c r="CW117">
        <v>38.9895833333333</v>
      </c>
      <c r="CX117">
        <v>595.75199999999995</v>
      </c>
      <c r="CY117">
        <v>275.87520000000001</v>
      </c>
      <c r="CZ117">
        <v>93.936000000000007</v>
      </c>
      <c r="DA117">
        <v>0</v>
      </c>
      <c r="DE117">
        <v>345</v>
      </c>
      <c r="DF117" t="s">
        <v>311</v>
      </c>
      <c r="DG117">
        <v>15365</v>
      </c>
      <c r="DH117">
        <v>15199</v>
      </c>
      <c r="DI117">
        <v>15166</v>
      </c>
      <c r="DJ117">
        <v>15228</v>
      </c>
      <c r="DK117">
        <v>15070</v>
      </c>
      <c r="DO117">
        <v>1586</v>
      </c>
      <c r="DP117" t="s">
        <v>232</v>
      </c>
      <c r="DQ117">
        <v>13576</v>
      </c>
      <c r="DR117">
        <v>1</v>
      </c>
      <c r="DS117">
        <v>738</v>
      </c>
      <c r="DV117">
        <v>1924</v>
      </c>
      <c r="DW117" t="s">
        <v>115</v>
      </c>
      <c r="DX117">
        <v>5766.5166185324797</v>
      </c>
      <c r="DY117">
        <v>1081</v>
      </c>
      <c r="DZ117">
        <v>1050</v>
      </c>
      <c r="EA117">
        <v>602</v>
      </c>
      <c r="EB117">
        <v>3592</v>
      </c>
      <c r="EC117">
        <v>2233</v>
      </c>
      <c r="ED117">
        <v>858</v>
      </c>
      <c r="EE117" s="82">
        <v>0.120897016607258</v>
      </c>
      <c r="EF117" s="82">
        <v>0.418704494192155</v>
      </c>
    </row>
    <row r="118" spans="1:136" x14ac:dyDescent="0.35">
      <c r="A118" s="72">
        <v>296</v>
      </c>
      <c r="B118" s="72">
        <v>5</v>
      </c>
      <c r="D118" s="72" t="s">
        <v>344</v>
      </c>
      <c r="E118" s="79">
        <v>3481200000</v>
      </c>
      <c r="F118" s="79">
        <v>557550000</v>
      </c>
      <c r="G118" s="79">
        <v>582400000</v>
      </c>
      <c r="H118" s="79">
        <v>40951</v>
      </c>
      <c r="I118" s="79">
        <v>2</v>
      </c>
      <c r="J118" s="79">
        <v>582.4</v>
      </c>
      <c r="K118" s="79">
        <v>7991</v>
      </c>
      <c r="L118" s="79">
        <v>8491</v>
      </c>
      <c r="M118" s="79">
        <v>2605</v>
      </c>
      <c r="N118" s="79">
        <v>5134</v>
      </c>
      <c r="O118" s="79">
        <v>3332.1</v>
      </c>
      <c r="P118" s="79">
        <v>741.33333333333303</v>
      </c>
      <c r="Q118" s="79">
        <v>2681.3333333333298</v>
      </c>
      <c r="R118" s="79">
        <v>1220</v>
      </c>
      <c r="S118" s="79">
        <v>0</v>
      </c>
      <c r="T118" s="79">
        <v>1273</v>
      </c>
      <c r="U118" s="79">
        <v>18066</v>
      </c>
      <c r="V118" s="79">
        <v>41970</v>
      </c>
      <c r="W118" s="79">
        <v>33180</v>
      </c>
      <c r="X118" s="79">
        <v>447.48</v>
      </c>
      <c r="Y118" s="79">
        <v>1965.6</v>
      </c>
      <c r="Z118" s="79">
        <v>0</v>
      </c>
      <c r="AA118" s="79">
        <v>0</v>
      </c>
      <c r="AB118" s="79">
        <v>453.9</v>
      </c>
      <c r="AC118" s="79">
        <v>6598</v>
      </c>
      <c r="AD118" s="79">
        <v>6663.98</v>
      </c>
      <c r="AE118" s="79">
        <v>359</v>
      </c>
      <c r="AF118" s="79">
        <v>0</v>
      </c>
      <c r="AG118" s="79">
        <v>321</v>
      </c>
      <c r="AH118" s="79">
        <v>247</v>
      </c>
      <c r="AI118" s="79">
        <v>75.48</v>
      </c>
      <c r="AJ118" s="79">
        <v>18019</v>
      </c>
      <c r="AK118" s="79">
        <v>18019</v>
      </c>
      <c r="AL118" s="79">
        <v>5</v>
      </c>
      <c r="AM118" s="79">
        <v>0</v>
      </c>
      <c r="AN118" s="79">
        <v>0</v>
      </c>
      <c r="AO118" s="79">
        <v>0</v>
      </c>
      <c r="AP118" s="79">
        <v>0</v>
      </c>
      <c r="AQ118" s="79">
        <v>0</v>
      </c>
      <c r="AR118" s="80">
        <v>2.63255E-4</v>
      </c>
      <c r="AS118" s="80">
        <v>2.0608000000000001E-4</v>
      </c>
      <c r="AT118" s="79">
        <v>22145.350999999999</v>
      </c>
      <c r="AU118" s="79">
        <v>0</v>
      </c>
      <c r="AV118" s="79">
        <v>1550.35</v>
      </c>
      <c r="AW118" s="79">
        <v>9125.8276340376597</v>
      </c>
      <c r="AX118" s="79">
        <v>7</v>
      </c>
      <c r="AY118" s="79">
        <v>7.14</v>
      </c>
      <c r="AZ118" s="79">
        <v>4260</v>
      </c>
      <c r="BA118" s="79">
        <v>1</v>
      </c>
      <c r="BB118" s="79">
        <v>0</v>
      </c>
      <c r="BC118" s="79">
        <v>0</v>
      </c>
      <c r="BD118" s="79">
        <v>0</v>
      </c>
      <c r="BE118" s="79">
        <v>0</v>
      </c>
      <c r="BF118" s="79">
        <v>0</v>
      </c>
      <c r="BG118" s="79">
        <v>0</v>
      </c>
      <c r="BH118" s="79">
        <v>0</v>
      </c>
      <c r="BI118" s="79">
        <v>0</v>
      </c>
      <c r="BJ118" s="79">
        <v>0</v>
      </c>
      <c r="BK118" s="79">
        <v>30</v>
      </c>
      <c r="BL118" s="79">
        <v>5310</v>
      </c>
      <c r="BM118" s="79">
        <v>247</v>
      </c>
      <c r="BN118" s="79">
        <v>74</v>
      </c>
      <c r="BO118">
        <v>9274</v>
      </c>
      <c r="BP118">
        <v>1821</v>
      </c>
      <c r="BQ118">
        <v>9179</v>
      </c>
      <c r="BR118">
        <v>1933</v>
      </c>
      <c r="BS118">
        <v>9106</v>
      </c>
      <c r="BT118">
        <v>2046</v>
      </c>
      <c r="BU118">
        <v>9028</v>
      </c>
      <c r="BV118">
        <v>2261</v>
      </c>
      <c r="BW118">
        <v>8998</v>
      </c>
      <c r="BX118">
        <v>2381</v>
      </c>
      <c r="BY118">
        <v>8923</v>
      </c>
      <c r="BZ118">
        <v>2360</v>
      </c>
      <c r="CB118">
        <v>759.14499999999998</v>
      </c>
      <c r="CC118">
        <v>83</v>
      </c>
      <c r="CD118">
        <v>65</v>
      </c>
      <c r="CE118">
        <v>12156.42</v>
      </c>
      <c r="CF118">
        <v>3197.24</v>
      </c>
      <c r="CG118">
        <v>254.15996434481701</v>
      </c>
      <c r="CH118">
        <v>446</v>
      </c>
      <c r="CI118">
        <v>198</v>
      </c>
      <c r="CJ118">
        <v>172.666666666667</v>
      </c>
      <c r="CK118" s="81">
        <v>1940</v>
      </c>
      <c r="CL118">
        <v>500</v>
      </c>
      <c r="CM118">
        <v>6306.4178791591103</v>
      </c>
      <c r="CN118">
        <v>1.411</v>
      </c>
      <c r="CO118">
        <v>32460</v>
      </c>
      <c r="CP118">
        <v>5135</v>
      </c>
      <c r="CQ118">
        <v>751</v>
      </c>
      <c r="CR118">
        <v>1026</v>
      </c>
      <c r="CS118">
        <v>915</v>
      </c>
      <c r="CT118">
        <v>385</v>
      </c>
      <c r="CU118">
        <v>586.94075142904705</v>
      </c>
      <c r="CV118">
        <v>340.44042954659</v>
      </c>
      <c r="CW118">
        <v>97.8234585715078</v>
      </c>
      <c r="CX118">
        <v>1376.5637999999999</v>
      </c>
      <c r="CY118">
        <v>798.44169999999997</v>
      </c>
      <c r="CZ118">
        <v>229.4273</v>
      </c>
      <c r="DA118">
        <v>8796</v>
      </c>
      <c r="DE118">
        <v>351</v>
      </c>
      <c r="DF118" t="s">
        <v>351</v>
      </c>
      <c r="DG118">
        <v>3005</v>
      </c>
      <c r="DH118">
        <v>3032</v>
      </c>
      <c r="DI118">
        <v>3062</v>
      </c>
      <c r="DJ118">
        <v>3041</v>
      </c>
      <c r="DK118">
        <v>3074</v>
      </c>
      <c r="DO118">
        <v>1509</v>
      </c>
      <c r="DP118" t="s">
        <v>239</v>
      </c>
      <c r="DQ118">
        <v>17545</v>
      </c>
      <c r="DR118">
        <v>1</v>
      </c>
      <c r="DS118">
        <v>638</v>
      </c>
      <c r="DV118">
        <v>664</v>
      </c>
      <c r="DW118" t="s">
        <v>116</v>
      </c>
      <c r="DX118">
        <v>5820.1575070158997</v>
      </c>
      <c r="DY118">
        <v>999</v>
      </c>
      <c r="DZ118">
        <v>891</v>
      </c>
      <c r="EA118">
        <v>660</v>
      </c>
      <c r="EB118">
        <v>2882</v>
      </c>
      <c r="EC118">
        <v>1872</v>
      </c>
      <c r="ED118">
        <v>869</v>
      </c>
      <c r="EE118" s="82">
        <v>0.212089522602601</v>
      </c>
      <c r="EF118" s="82">
        <v>0.44921487196198601</v>
      </c>
    </row>
    <row r="119" spans="1:136" x14ac:dyDescent="0.35">
      <c r="A119" s="72">
        <v>294</v>
      </c>
      <c r="B119" s="72">
        <v>5</v>
      </c>
      <c r="D119" s="72" t="s">
        <v>347</v>
      </c>
      <c r="E119" s="79">
        <v>1999200000</v>
      </c>
      <c r="F119" s="79">
        <v>467600000</v>
      </c>
      <c r="G119" s="79">
        <v>505750000</v>
      </c>
      <c r="H119" s="79">
        <v>28903</v>
      </c>
      <c r="I119" s="79">
        <v>1</v>
      </c>
      <c r="J119" s="79">
        <v>505.75</v>
      </c>
      <c r="K119" s="79">
        <v>5407</v>
      </c>
      <c r="L119" s="79">
        <v>6639</v>
      </c>
      <c r="M119" s="79">
        <v>2089</v>
      </c>
      <c r="N119" s="79">
        <v>4453</v>
      </c>
      <c r="O119" s="79">
        <v>3074.9</v>
      </c>
      <c r="P119" s="79">
        <v>615.66666666666697</v>
      </c>
      <c r="Q119" s="79">
        <v>2290.6666666666702</v>
      </c>
      <c r="R119" s="79">
        <v>1005</v>
      </c>
      <c r="S119" s="79">
        <v>0</v>
      </c>
      <c r="T119" s="79">
        <v>811</v>
      </c>
      <c r="U119" s="79">
        <v>13302</v>
      </c>
      <c r="V119" s="79">
        <v>29540</v>
      </c>
      <c r="W119" s="79">
        <v>28470</v>
      </c>
      <c r="X119" s="79">
        <v>617.76</v>
      </c>
      <c r="Y119" s="79">
        <v>1362.4</v>
      </c>
      <c r="Z119" s="79">
        <v>0</v>
      </c>
      <c r="AA119" s="79">
        <v>0</v>
      </c>
      <c r="AB119" s="79">
        <v>5.6999999999998199</v>
      </c>
      <c r="AC119" s="79">
        <v>13814</v>
      </c>
      <c r="AD119" s="79">
        <v>13814</v>
      </c>
      <c r="AE119" s="79">
        <v>68</v>
      </c>
      <c r="AF119" s="79">
        <v>0</v>
      </c>
      <c r="AG119" s="79">
        <v>294</v>
      </c>
      <c r="AH119" s="79">
        <v>167</v>
      </c>
      <c r="AI119" s="79">
        <v>127</v>
      </c>
      <c r="AJ119" s="79">
        <v>13781</v>
      </c>
      <c r="AK119" s="79">
        <v>13781</v>
      </c>
      <c r="AL119" s="79">
        <v>0</v>
      </c>
      <c r="AM119" s="79">
        <v>0</v>
      </c>
      <c r="AN119" s="79">
        <v>0</v>
      </c>
      <c r="AO119" s="79">
        <v>0</v>
      </c>
      <c r="AP119" s="79">
        <v>2524</v>
      </c>
      <c r="AQ119" s="79">
        <v>0</v>
      </c>
      <c r="AR119" s="80">
        <v>1.009533E-3</v>
      </c>
      <c r="AS119" s="80">
        <v>3.87291E-4</v>
      </c>
      <c r="AT119" s="79">
        <v>16482.076000000001</v>
      </c>
      <c r="AU119" s="79">
        <v>0</v>
      </c>
      <c r="AV119" s="79">
        <v>1278</v>
      </c>
      <c r="AW119" s="79">
        <v>2660.8582336839099</v>
      </c>
      <c r="AX119" s="79">
        <v>9</v>
      </c>
      <c r="AY119" s="79">
        <v>9</v>
      </c>
      <c r="AZ119" s="79">
        <v>3025</v>
      </c>
      <c r="BA119" s="79">
        <v>1</v>
      </c>
      <c r="BB119" s="79">
        <v>0</v>
      </c>
      <c r="BC119" s="79">
        <v>0</v>
      </c>
      <c r="BD119" s="79">
        <v>0</v>
      </c>
      <c r="BE119" s="79">
        <v>0</v>
      </c>
      <c r="BF119" s="79">
        <v>0</v>
      </c>
      <c r="BG119" s="79">
        <v>0</v>
      </c>
      <c r="BH119" s="79">
        <v>0</v>
      </c>
      <c r="BI119" s="79">
        <v>0</v>
      </c>
      <c r="BJ119" s="79">
        <v>0</v>
      </c>
      <c r="BK119" s="79">
        <v>27</v>
      </c>
      <c r="BL119" s="79">
        <v>4282</v>
      </c>
      <c r="BM119" s="79">
        <v>167</v>
      </c>
      <c r="BN119" s="79">
        <v>127</v>
      </c>
      <c r="BO119">
        <v>6336</v>
      </c>
      <c r="BP119">
        <v>1543</v>
      </c>
      <c r="BQ119">
        <v>6300</v>
      </c>
      <c r="BR119">
        <v>1551</v>
      </c>
      <c r="BS119">
        <v>6232</v>
      </c>
      <c r="BT119">
        <v>1557</v>
      </c>
      <c r="BU119">
        <v>6053</v>
      </c>
      <c r="BV119">
        <v>1565</v>
      </c>
      <c r="BW119">
        <v>5983</v>
      </c>
      <c r="BX119">
        <v>1555</v>
      </c>
      <c r="BY119">
        <v>5929</v>
      </c>
      <c r="BZ119">
        <v>1649</v>
      </c>
      <c r="CB119">
        <v>627.21199999999999</v>
      </c>
      <c r="CC119">
        <v>96</v>
      </c>
      <c r="CD119">
        <v>133</v>
      </c>
      <c r="CE119">
        <v>7660.2</v>
      </c>
      <c r="CF119">
        <v>1734.51</v>
      </c>
      <c r="CG119">
        <v>166.169058052434</v>
      </c>
      <c r="CH119">
        <v>314</v>
      </c>
      <c r="CI119">
        <v>161.333333333333</v>
      </c>
      <c r="CJ119">
        <v>141</v>
      </c>
      <c r="CK119" s="81">
        <v>1675</v>
      </c>
      <c r="CL119">
        <v>501</v>
      </c>
      <c r="CM119">
        <v>4858.26880541829</v>
      </c>
      <c r="CN119">
        <v>1.4810000000000001</v>
      </c>
      <c r="CO119">
        <v>22264</v>
      </c>
      <c r="CP119">
        <v>3740</v>
      </c>
      <c r="CQ119">
        <v>810</v>
      </c>
      <c r="CR119">
        <v>744</v>
      </c>
      <c r="CS119">
        <v>667</v>
      </c>
      <c r="CT119">
        <v>392</v>
      </c>
      <c r="CU119">
        <v>513.636151222698</v>
      </c>
      <c r="CV119">
        <v>318.40086350772799</v>
      </c>
      <c r="CW119">
        <v>120.488063275524</v>
      </c>
      <c r="CX119">
        <v>1220.06</v>
      </c>
      <c r="CY119">
        <v>756.31</v>
      </c>
      <c r="CZ119">
        <v>286.2</v>
      </c>
      <c r="DA119">
        <v>27349</v>
      </c>
      <c r="DE119">
        <v>352</v>
      </c>
      <c r="DF119" t="s">
        <v>346</v>
      </c>
      <c r="DG119">
        <v>5571</v>
      </c>
      <c r="DH119">
        <v>5438</v>
      </c>
      <c r="DI119">
        <v>5282</v>
      </c>
      <c r="DJ119">
        <v>5186</v>
      </c>
      <c r="DK119">
        <v>5093</v>
      </c>
      <c r="DO119">
        <v>1734</v>
      </c>
      <c r="DP119" t="s">
        <v>242</v>
      </c>
      <c r="DQ119">
        <v>19634</v>
      </c>
      <c r="DR119">
        <v>1.01</v>
      </c>
      <c r="DS119">
        <v>792</v>
      </c>
      <c r="DV119">
        <v>785</v>
      </c>
      <c r="DW119" t="s">
        <v>117</v>
      </c>
      <c r="DX119">
        <v>2538.6330790847001</v>
      </c>
      <c r="DY119">
        <v>548</v>
      </c>
      <c r="DZ119">
        <v>497</v>
      </c>
      <c r="EA119">
        <v>256</v>
      </c>
      <c r="EB119">
        <v>1931</v>
      </c>
      <c r="EC119">
        <v>1093</v>
      </c>
      <c r="ED119">
        <v>352</v>
      </c>
      <c r="EE119" s="82">
        <v>0.14886119783204599</v>
      </c>
      <c r="EF119" s="82">
        <v>0.39000213880868401</v>
      </c>
    </row>
    <row r="120" spans="1:136" x14ac:dyDescent="0.35">
      <c r="A120" s="72">
        <v>297</v>
      </c>
      <c r="B120" s="72">
        <v>5</v>
      </c>
      <c r="D120" s="72" t="s">
        <v>353</v>
      </c>
      <c r="E120" s="79">
        <v>2285200000</v>
      </c>
      <c r="F120" s="79">
        <v>497000000</v>
      </c>
      <c r="G120" s="79">
        <v>522900000</v>
      </c>
      <c r="H120" s="79">
        <v>28451</v>
      </c>
      <c r="I120" s="79">
        <v>7</v>
      </c>
      <c r="J120" s="79">
        <v>522.9</v>
      </c>
      <c r="K120" s="79">
        <v>6468</v>
      </c>
      <c r="L120" s="79">
        <v>5106</v>
      </c>
      <c r="M120" s="79">
        <v>1600</v>
      </c>
      <c r="N120" s="79">
        <v>3042</v>
      </c>
      <c r="O120" s="79">
        <v>1897.7</v>
      </c>
      <c r="P120" s="79">
        <v>326</v>
      </c>
      <c r="Q120" s="79">
        <v>1426</v>
      </c>
      <c r="R120" s="79">
        <v>1150</v>
      </c>
      <c r="S120" s="79">
        <v>0</v>
      </c>
      <c r="T120" s="79">
        <v>799</v>
      </c>
      <c r="U120" s="79">
        <v>11850</v>
      </c>
      <c r="V120" s="79">
        <v>24790</v>
      </c>
      <c r="W120" s="79">
        <v>4600</v>
      </c>
      <c r="X120" s="79">
        <v>368.28</v>
      </c>
      <c r="Y120" s="79">
        <v>1676.8</v>
      </c>
      <c r="Z120" s="79">
        <v>0</v>
      </c>
      <c r="AA120" s="79">
        <v>0</v>
      </c>
      <c r="AB120" s="79">
        <v>268.89999999999998</v>
      </c>
      <c r="AC120" s="79">
        <v>7852</v>
      </c>
      <c r="AD120" s="79">
        <v>8951.2800000000007</v>
      </c>
      <c r="AE120" s="79">
        <v>1052</v>
      </c>
      <c r="AF120" s="79">
        <v>0</v>
      </c>
      <c r="AG120" s="79">
        <v>250</v>
      </c>
      <c r="AH120" s="79">
        <v>195.49</v>
      </c>
      <c r="AI120" s="79">
        <v>87.78</v>
      </c>
      <c r="AJ120" s="79">
        <v>11443</v>
      </c>
      <c r="AK120" s="79">
        <v>12930.59</v>
      </c>
      <c r="AL120" s="79">
        <v>21</v>
      </c>
      <c r="AM120" s="79">
        <v>0</v>
      </c>
      <c r="AN120" s="79">
        <v>0</v>
      </c>
      <c r="AO120" s="79">
        <v>4350</v>
      </c>
      <c r="AP120" s="79">
        <v>906</v>
      </c>
      <c r="AQ120" s="79">
        <v>906</v>
      </c>
      <c r="AR120" s="80">
        <v>4.1790700000000002E-4</v>
      </c>
      <c r="AS120" s="80">
        <v>1.6507100000000001E-4</v>
      </c>
      <c r="AT120" s="79">
        <v>7678.2529999999997</v>
      </c>
      <c r="AU120" s="79">
        <v>0</v>
      </c>
      <c r="AV120" s="79">
        <v>3982.02</v>
      </c>
      <c r="AW120" s="79">
        <v>17415.501273584901</v>
      </c>
      <c r="AX120" s="79">
        <v>11</v>
      </c>
      <c r="AY120" s="79">
        <v>12.54</v>
      </c>
      <c r="AZ120" s="79">
        <v>3624</v>
      </c>
      <c r="BA120" s="79">
        <v>1</v>
      </c>
      <c r="BB120" s="79">
        <v>0</v>
      </c>
      <c r="BC120" s="79">
        <v>0</v>
      </c>
      <c r="BD120" s="79">
        <v>0</v>
      </c>
      <c r="BE120" s="79">
        <v>0</v>
      </c>
      <c r="BF120" s="79">
        <v>0</v>
      </c>
      <c r="BG120" s="79">
        <v>0</v>
      </c>
      <c r="BH120" s="79">
        <v>0</v>
      </c>
      <c r="BI120" s="79">
        <v>0</v>
      </c>
      <c r="BJ120" s="79">
        <v>0</v>
      </c>
      <c r="BK120" s="79">
        <v>13</v>
      </c>
      <c r="BL120" s="79">
        <v>3486</v>
      </c>
      <c r="BM120" s="79">
        <v>173</v>
      </c>
      <c r="BN120" s="79">
        <v>77</v>
      </c>
      <c r="BO120">
        <v>6795</v>
      </c>
      <c r="BP120">
        <v>1661</v>
      </c>
      <c r="BQ120">
        <v>6815</v>
      </c>
      <c r="BR120">
        <v>1663</v>
      </c>
      <c r="BS120">
        <v>6767</v>
      </c>
      <c r="BT120">
        <v>1685</v>
      </c>
      <c r="BU120">
        <v>6708</v>
      </c>
      <c r="BV120">
        <v>1722</v>
      </c>
      <c r="BW120">
        <v>6698</v>
      </c>
      <c r="BX120">
        <v>1766</v>
      </c>
      <c r="BY120">
        <v>6690</v>
      </c>
      <c r="BZ120">
        <v>1731</v>
      </c>
      <c r="CB120">
        <v>485.1</v>
      </c>
      <c r="CC120">
        <v>180</v>
      </c>
      <c r="CD120">
        <v>103</v>
      </c>
      <c r="CE120">
        <v>8362.08</v>
      </c>
      <c r="CF120">
        <v>2282.52</v>
      </c>
      <c r="CG120">
        <v>284.00452104563601</v>
      </c>
      <c r="CH120">
        <v>289</v>
      </c>
      <c r="CI120">
        <v>108.666666666667</v>
      </c>
      <c r="CJ120">
        <v>85.6666666666667</v>
      </c>
      <c r="CK120" s="81">
        <v>1100</v>
      </c>
      <c r="CL120">
        <v>271</v>
      </c>
      <c r="CM120">
        <v>3728.8442740442201</v>
      </c>
      <c r="CN120">
        <v>0.24</v>
      </c>
      <c r="CO120">
        <v>23345</v>
      </c>
      <c r="CP120">
        <v>2986</v>
      </c>
      <c r="CQ120">
        <v>520</v>
      </c>
      <c r="CR120">
        <v>570</v>
      </c>
      <c r="CS120">
        <v>506</v>
      </c>
      <c r="CT120">
        <v>244</v>
      </c>
      <c r="CU120">
        <v>303.98357948090501</v>
      </c>
      <c r="CV120">
        <v>186.23762125316799</v>
      </c>
      <c r="CW120">
        <v>59.038818491654297</v>
      </c>
      <c r="CX120">
        <v>747.31410000000005</v>
      </c>
      <c r="CY120">
        <v>457.84710000000001</v>
      </c>
      <c r="CZ120">
        <v>145.1412</v>
      </c>
      <c r="DA120">
        <v>6747</v>
      </c>
      <c r="DE120">
        <v>353</v>
      </c>
      <c r="DF120" t="s">
        <v>162</v>
      </c>
      <c r="DG120">
        <v>8666</v>
      </c>
      <c r="DH120">
        <v>8588</v>
      </c>
      <c r="DI120">
        <v>8536</v>
      </c>
      <c r="DJ120">
        <v>8379</v>
      </c>
      <c r="DK120">
        <v>8297</v>
      </c>
      <c r="DO120">
        <v>273</v>
      </c>
      <c r="DP120" t="s">
        <v>248</v>
      </c>
      <c r="DQ120">
        <v>11307</v>
      </c>
      <c r="DR120">
        <v>1</v>
      </c>
      <c r="DS120">
        <v>898</v>
      </c>
      <c r="DV120">
        <v>1942</v>
      </c>
      <c r="DW120" t="s">
        <v>118</v>
      </c>
      <c r="DX120">
        <v>7084.7688083470603</v>
      </c>
      <c r="DY120">
        <v>1803</v>
      </c>
      <c r="DZ120">
        <v>1610</v>
      </c>
      <c r="EA120">
        <v>961</v>
      </c>
      <c r="EB120">
        <v>4186</v>
      </c>
      <c r="EC120">
        <v>2904</v>
      </c>
      <c r="ED120">
        <v>1320</v>
      </c>
      <c r="EE120" s="82">
        <v>0.16705751473282299</v>
      </c>
      <c r="EF120" s="82">
        <v>0.21909265902528599</v>
      </c>
    </row>
    <row r="121" spans="1:136" x14ac:dyDescent="0.35">
      <c r="A121" s="72">
        <v>299</v>
      </c>
      <c r="B121" s="72">
        <v>5</v>
      </c>
      <c r="D121" s="72" t="s">
        <v>357</v>
      </c>
      <c r="E121" s="79">
        <v>3136400000</v>
      </c>
      <c r="F121" s="79">
        <v>550200000</v>
      </c>
      <c r="G121" s="79">
        <v>574350000</v>
      </c>
      <c r="H121" s="79">
        <v>43488</v>
      </c>
      <c r="I121" s="79">
        <v>6</v>
      </c>
      <c r="J121" s="79">
        <v>574.35</v>
      </c>
      <c r="K121" s="79">
        <v>7872</v>
      </c>
      <c r="L121" s="79">
        <v>10423</v>
      </c>
      <c r="M121" s="79">
        <v>3217</v>
      </c>
      <c r="N121" s="79">
        <v>6240</v>
      </c>
      <c r="O121" s="79">
        <v>4244.1000000000004</v>
      </c>
      <c r="P121" s="79">
        <v>913.33333333333303</v>
      </c>
      <c r="Q121" s="79">
        <v>3448.3333333333298</v>
      </c>
      <c r="R121" s="79">
        <v>1200</v>
      </c>
      <c r="S121" s="79">
        <v>0</v>
      </c>
      <c r="T121" s="79">
        <v>1409</v>
      </c>
      <c r="U121" s="79">
        <v>20024</v>
      </c>
      <c r="V121" s="79">
        <v>40020</v>
      </c>
      <c r="W121" s="79">
        <v>24610</v>
      </c>
      <c r="X121" s="79">
        <v>479.16</v>
      </c>
      <c r="Y121" s="79">
        <v>1707.2</v>
      </c>
      <c r="Z121" s="79">
        <v>0</v>
      </c>
      <c r="AA121" s="79">
        <v>0</v>
      </c>
      <c r="AB121" s="79">
        <v>0</v>
      </c>
      <c r="AC121" s="79">
        <v>9256</v>
      </c>
      <c r="AD121" s="79">
        <v>9256</v>
      </c>
      <c r="AE121" s="79">
        <v>1354</v>
      </c>
      <c r="AF121" s="79">
        <v>0</v>
      </c>
      <c r="AG121" s="79">
        <v>327</v>
      </c>
      <c r="AH121" s="79">
        <v>236</v>
      </c>
      <c r="AI121" s="79">
        <v>91</v>
      </c>
      <c r="AJ121" s="79">
        <v>19959</v>
      </c>
      <c r="AK121" s="79">
        <v>19959</v>
      </c>
      <c r="AL121" s="79">
        <v>6</v>
      </c>
      <c r="AM121" s="79">
        <v>0</v>
      </c>
      <c r="AN121" s="79">
        <v>0</v>
      </c>
      <c r="AO121" s="79">
        <v>0</v>
      </c>
      <c r="AP121" s="79">
        <v>0</v>
      </c>
      <c r="AQ121" s="79">
        <v>0</v>
      </c>
      <c r="AR121" s="80">
        <v>4.2519900000000002E-4</v>
      </c>
      <c r="AS121" s="80">
        <v>4.5495600000000001E-4</v>
      </c>
      <c r="AT121" s="79">
        <v>20817.237000000001</v>
      </c>
      <c r="AU121" s="79">
        <v>0</v>
      </c>
      <c r="AV121" s="79">
        <v>3293</v>
      </c>
      <c r="AW121" s="79">
        <v>13497.2652214892</v>
      </c>
      <c r="AX121" s="79">
        <v>13</v>
      </c>
      <c r="AY121" s="79">
        <v>13</v>
      </c>
      <c r="AZ121" s="79">
        <v>4002</v>
      </c>
      <c r="BA121" s="79">
        <v>1</v>
      </c>
      <c r="BB121" s="79">
        <v>0</v>
      </c>
      <c r="BC121" s="79">
        <v>0</v>
      </c>
      <c r="BD121" s="79">
        <v>0</v>
      </c>
      <c r="BE121" s="79">
        <v>0</v>
      </c>
      <c r="BF121" s="79">
        <v>0</v>
      </c>
      <c r="BG121" s="79">
        <v>0</v>
      </c>
      <c r="BH121" s="79">
        <v>0</v>
      </c>
      <c r="BI121" s="79">
        <v>0</v>
      </c>
      <c r="BJ121" s="79">
        <v>0</v>
      </c>
      <c r="BK121" s="79">
        <v>42</v>
      </c>
      <c r="BL121" s="79">
        <v>6338</v>
      </c>
      <c r="BM121" s="79">
        <v>236</v>
      </c>
      <c r="BN121" s="79">
        <v>91</v>
      </c>
      <c r="BO121">
        <v>8879</v>
      </c>
      <c r="BP121">
        <v>2212</v>
      </c>
      <c r="BQ121">
        <v>8755</v>
      </c>
      <c r="BR121">
        <v>2251</v>
      </c>
      <c r="BS121">
        <v>8688</v>
      </c>
      <c r="BT121">
        <v>2245</v>
      </c>
      <c r="BU121">
        <v>8634</v>
      </c>
      <c r="BV121">
        <v>2297</v>
      </c>
      <c r="BW121">
        <v>8476</v>
      </c>
      <c r="BX121">
        <v>2351</v>
      </c>
      <c r="BY121">
        <v>8365</v>
      </c>
      <c r="BZ121">
        <v>2443</v>
      </c>
      <c r="CB121">
        <v>936.76800000000003</v>
      </c>
      <c r="CC121">
        <v>141</v>
      </c>
      <c r="CD121">
        <v>51</v>
      </c>
      <c r="CE121">
        <v>12160.68</v>
      </c>
      <c r="CF121">
        <v>2727.74</v>
      </c>
      <c r="CG121">
        <v>206.69711715544699</v>
      </c>
      <c r="CH121">
        <v>507</v>
      </c>
      <c r="CI121">
        <v>230</v>
      </c>
      <c r="CJ121">
        <v>231.666666666667</v>
      </c>
      <c r="CK121" s="81">
        <v>2535</v>
      </c>
      <c r="CL121">
        <v>692</v>
      </c>
      <c r="CM121">
        <v>7316.1868181291302</v>
      </c>
      <c r="CN121">
        <v>1.9530000000000001</v>
      </c>
      <c r="CO121">
        <v>33065</v>
      </c>
      <c r="CP121">
        <v>6211</v>
      </c>
      <c r="CQ121">
        <v>995</v>
      </c>
      <c r="CR121">
        <v>1261</v>
      </c>
      <c r="CS121">
        <v>1098</v>
      </c>
      <c r="CT121">
        <v>499</v>
      </c>
      <c r="CU121">
        <v>812.07565008266999</v>
      </c>
      <c r="CV121">
        <v>482.269592664963</v>
      </c>
      <c r="CW121">
        <v>153.101457988877</v>
      </c>
      <c r="CX121">
        <v>1954.9460999999999</v>
      </c>
      <c r="CY121">
        <v>1160.9892</v>
      </c>
      <c r="CZ121">
        <v>368.56799999999998</v>
      </c>
      <c r="DA121">
        <v>42018</v>
      </c>
      <c r="DE121">
        <v>355</v>
      </c>
      <c r="DF121" t="s">
        <v>356</v>
      </c>
      <c r="DG121">
        <v>13010</v>
      </c>
      <c r="DH121">
        <v>13060</v>
      </c>
      <c r="DI121">
        <v>13093</v>
      </c>
      <c r="DJ121">
        <v>13176</v>
      </c>
      <c r="DK121">
        <v>13199</v>
      </c>
      <c r="DO121">
        <v>274</v>
      </c>
      <c r="DP121" t="s">
        <v>251</v>
      </c>
      <c r="DQ121">
        <v>15315</v>
      </c>
      <c r="DR121">
        <v>1</v>
      </c>
      <c r="DS121">
        <v>903</v>
      </c>
      <c r="DV121">
        <v>512</v>
      </c>
      <c r="DW121" t="s">
        <v>119</v>
      </c>
      <c r="DX121">
        <v>5527.4334462426305</v>
      </c>
      <c r="DY121">
        <v>904</v>
      </c>
      <c r="DZ121">
        <v>781</v>
      </c>
      <c r="EA121">
        <v>435</v>
      </c>
      <c r="EB121">
        <v>2352</v>
      </c>
      <c r="EC121">
        <v>1481</v>
      </c>
      <c r="ED121">
        <v>592</v>
      </c>
      <c r="EE121" s="82">
        <v>0.23560615945614</v>
      </c>
      <c r="EF121" s="82">
        <v>0.46520230991337802</v>
      </c>
    </row>
    <row r="122" spans="1:136" x14ac:dyDescent="0.35">
      <c r="A122" s="72">
        <v>301</v>
      </c>
      <c r="B122" s="72">
        <v>5</v>
      </c>
      <c r="D122" s="72" t="s">
        <v>362</v>
      </c>
      <c r="E122" s="79">
        <v>3514400000</v>
      </c>
      <c r="F122" s="79">
        <v>674100000</v>
      </c>
      <c r="G122" s="79">
        <v>719600000</v>
      </c>
      <c r="H122" s="79">
        <v>47609</v>
      </c>
      <c r="I122" s="79">
        <v>1</v>
      </c>
      <c r="J122" s="79">
        <v>719.6</v>
      </c>
      <c r="K122" s="79">
        <v>9275</v>
      </c>
      <c r="L122" s="79">
        <v>10243</v>
      </c>
      <c r="M122" s="79">
        <v>2862</v>
      </c>
      <c r="N122" s="79">
        <v>7670</v>
      </c>
      <c r="O122" s="79">
        <v>5422.5</v>
      </c>
      <c r="P122" s="79">
        <v>1571.6666666666699</v>
      </c>
      <c r="Q122" s="79">
        <v>5113.6666666666697</v>
      </c>
      <c r="R122" s="79">
        <v>2785</v>
      </c>
      <c r="S122" s="79">
        <v>0</v>
      </c>
      <c r="T122" s="79">
        <v>1853</v>
      </c>
      <c r="U122" s="79">
        <v>23137</v>
      </c>
      <c r="V122" s="79">
        <v>54070</v>
      </c>
      <c r="W122" s="79">
        <v>60090</v>
      </c>
      <c r="X122" s="79">
        <v>1188.3800000000001</v>
      </c>
      <c r="Y122" s="79">
        <v>4383.2</v>
      </c>
      <c r="Z122" s="79">
        <v>0</v>
      </c>
      <c r="AA122" s="79">
        <v>0</v>
      </c>
      <c r="AB122" s="79">
        <v>0</v>
      </c>
      <c r="AC122" s="79">
        <v>4092</v>
      </c>
      <c r="AD122" s="79">
        <v>4092</v>
      </c>
      <c r="AE122" s="79">
        <v>201</v>
      </c>
      <c r="AF122" s="79">
        <v>0</v>
      </c>
      <c r="AG122" s="79">
        <v>268</v>
      </c>
      <c r="AH122" s="79">
        <v>224</v>
      </c>
      <c r="AI122" s="79">
        <v>44</v>
      </c>
      <c r="AJ122" s="79">
        <v>22475</v>
      </c>
      <c r="AK122" s="79">
        <v>22475</v>
      </c>
      <c r="AL122" s="79">
        <v>28</v>
      </c>
      <c r="AM122" s="79">
        <v>0</v>
      </c>
      <c r="AN122" s="79">
        <v>0</v>
      </c>
      <c r="AO122" s="79">
        <v>5750</v>
      </c>
      <c r="AP122" s="79">
        <v>4318</v>
      </c>
      <c r="AQ122" s="79">
        <v>4318</v>
      </c>
      <c r="AR122" s="80">
        <v>1.9470749999999999E-3</v>
      </c>
      <c r="AS122" s="80">
        <v>1.4612200000000001E-3</v>
      </c>
      <c r="AT122" s="79">
        <v>36701.675000000003</v>
      </c>
      <c r="AU122" s="79">
        <v>0</v>
      </c>
      <c r="AV122" s="79">
        <v>1373</v>
      </c>
      <c r="AW122" s="79">
        <v>15226.451665502</v>
      </c>
      <c r="AX122" s="79">
        <v>1</v>
      </c>
      <c r="AY122" s="79">
        <v>1</v>
      </c>
      <c r="AZ122" s="79">
        <v>4878</v>
      </c>
      <c r="BA122" s="79">
        <v>1</v>
      </c>
      <c r="BB122" s="79">
        <v>0</v>
      </c>
      <c r="BC122" s="79">
        <v>0</v>
      </c>
      <c r="BD122" s="79">
        <v>0</v>
      </c>
      <c r="BE122" s="79">
        <v>0</v>
      </c>
      <c r="BF122" s="79">
        <v>0</v>
      </c>
      <c r="BG122" s="79">
        <v>0</v>
      </c>
      <c r="BH122" s="79">
        <v>0</v>
      </c>
      <c r="BI122" s="79">
        <v>0</v>
      </c>
      <c r="BJ122" s="79">
        <v>0</v>
      </c>
      <c r="BK122" s="79">
        <v>84</v>
      </c>
      <c r="BL122" s="79">
        <v>8649</v>
      </c>
      <c r="BM122" s="79">
        <v>224</v>
      </c>
      <c r="BN122" s="79">
        <v>44</v>
      </c>
      <c r="BO122">
        <v>10626</v>
      </c>
      <c r="BP122">
        <v>5497</v>
      </c>
      <c r="BQ122">
        <v>10547</v>
      </c>
      <c r="BR122">
        <v>5475</v>
      </c>
      <c r="BS122">
        <v>10524</v>
      </c>
      <c r="BT122">
        <v>5467</v>
      </c>
      <c r="BU122">
        <v>10378</v>
      </c>
      <c r="BV122">
        <v>5493</v>
      </c>
      <c r="BW122">
        <v>10184</v>
      </c>
      <c r="BX122">
        <v>5603</v>
      </c>
      <c r="BY122">
        <v>10039</v>
      </c>
      <c r="BZ122">
        <v>5710</v>
      </c>
      <c r="CB122">
        <v>1428.35</v>
      </c>
      <c r="CC122">
        <v>173</v>
      </c>
      <c r="CD122">
        <v>150</v>
      </c>
      <c r="CE122">
        <v>13273.8</v>
      </c>
      <c r="CF122">
        <v>2945.8</v>
      </c>
      <c r="CG122">
        <v>482.37626169549202</v>
      </c>
      <c r="CH122">
        <v>648</v>
      </c>
      <c r="CI122">
        <v>442.33333333333297</v>
      </c>
      <c r="CJ122">
        <v>404.33333333333297</v>
      </c>
      <c r="CK122" s="81">
        <v>3542</v>
      </c>
      <c r="CL122">
        <v>1179</v>
      </c>
      <c r="CM122">
        <v>7960.6924110049604</v>
      </c>
      <c r="CN122">
        <v>4.4169999999999998</v>
      </c>
      <c r="CO122">
        <v>37366</v>
      </c>
      <c r="CP122">
        <v>6238</v>
      </c>
      <c r="CQ122">
        <v>1143</v>
      </c>
      <c r="CR122">
        <v>1640</v>
      </c>
      <c r="CS122">
        <v>1063</v>
      </c>
      <c r="CT122">
        <v>601</v>
      </c>
      <c r="CU122">
        <v>991.37052280311502</v>
      </c>
      <c r="CV122">
        <v>491.22180200222499</v>
      </c>
      <c r="CW122">
        <v>198.32235817575099</v>
      </c>
      <c r="CX122">
        <v>2158.8685999999998</v>
      </c>
      <c r="CY122">
        <v>1069.7144000000001</v>
      </c>
      <c r="CZ122">
        <v>431.87880000000001</v>
      </c>
      <c r="DA122">
        <v>62639</v>
      </c>
      <c r="DE122">
        <v>356</v>
      </c>
      <c r="DF122" t="s">
        <v>212</v>
      </c>
      <c r="DG122">
        <v>12313</v>
      </c>
      <c r="DH122">
        <v>12203</v>
      </c>
      <c r="DI122">
        <v>12182</v>
      </c>
      <c r="DJ122">
        <v>12020</v>
      </c>
      <c r="DK122">
        <v>11945</v>
      </c>
      <c r="DO122">
        <v>275</v>
      </c>
      <c r="DP122" t="s">
        <v>254</v>
      </c>
      <c r="DQ122">
        <v>21782</v>
      </c>
      <c r="DR122">
        <v>1</v>
      </c>
      <c r="DS122">
        <v>1445</v>
      </c>
      <c r="DV122">
        <v>513</v>
      </c>
      <c r="DW122" t="s">
        <v>120</v>
      </c>
      <c r="DX122">
        <v>10436.5529081774</v>
      </c>
      <c r="DY122">
        <v>1826</v>
      </c>
      <c r="DZ122">
        <v>1490</v>
      </c>
      <c r="EA122">
        <v>890</v>
      </c>
      <c r="EB122">
        <v>4911</v>
      </c>
      <c r="EC122">
        <v>2920</v>
      </c>
      <c r="ED122">
        <v>1163</v>
      </c>
      <c r="EE122" s="82">
        <v>0.21563746886972401</v>
      </c>
      <c r="EF122" s="82">
        <v>0.44921487196198601</v>
      </c>
    </row>
    <row r="123" spans="1:136" x14ac:dyDescent="0.35">
      <c r="A123" s="72">
        <v>307</v>
      </c>
      <c r="B123" s="72">
        <v>6</v>
      </c>
      <c r="D123" s="72" t="s">
        <v>24</v>
      </c>
      <c r="E123" s="79">
        <v>15272000000</v>
      </c>
      <c r="F123" s="79">
        <v>2529100000</v>
      </c>
      <c r="G123" s="79">
        <v>2586150000</v>
      </c>
      <c r="H123" s="79">
        <v>156286</v>
      </c>
      <c r="I123" s="79">
        <v>1</v>
      </c>
      <c r="J123" s="79">
        <v>2586.15</v>
      </c>
      <c r="K123" s="79">
        <v>35167</v>
      </c>
      <c r="L123" s="79">
        <v>22978</v>
      </c>
      <c r="M123" s="79">
        <v>6736</v>
      </c>
      <c r="N123" s="79">
        <v>19160</v>
      </c>
      <c r="O123" s="79">
        <v>12379.4</v>
      </c>
      <c r="P123" s="79">
        <v>3435</v>
      </c>
      <c r="Q123" s="79">
        <v>11455</v>
      </c>
      <c r="R123" s="79">
        <v>16255</v>
      </c>
      <c r="S123" s="79">
        <v>0</v>
      </c>
      <c r="T123" s="79">
        <v>5286</v>
      </c>
      <c r="U123" s="79">
        <v>70774</v>
      </c>
      <c r="V123" s="79">
        <v>180160</v>
      </c>
      <c r="W123" s="79">
        <v>248820</v>
      </c>
      <c r="X123" s="79">
        <v>5199.8999999999996</v>
      </c>
      <c r="Y123" s="79">
        <v>12014.4</v>
      </c>
      <c r="Z123" s="79">
        <v>0</v>
      </c>
      <c r="AA123" s="79">
        <v>0</v>
      </c>
      <c r="AB123" s="79">
        <v>0</v>
      </c>
      <c r="AC123" s="79">
        <v>6253</v>
      </c>
      <c r="AD123" s="79">
        <v>6253</v>
      </c>
      <c r="AE123" s="79">
        <v>133</v>
      </c>
      <c r="AF123" s="79">
        <v>0</v>
      </c>
      <c r="AG123" s="79">
        <v>667</v>
      </c>
      <c r="AH123" s="79">
        <v>623</v>
      </c>
      <c r="AI123" s="79">
        <v>44</v>
      </c>
      <c r="AJ123" s="79">
        <v>67806</v>
      </c>
      <c r="AK123" s="79">
        <v>67806</v>
      </c>
      <c r="AL123" s="79">
        <v>40</v>
      </c>
      <c r="AM123" s="79">
        <v>0</v>
      </c>
      <c r="AN123" s="79">
        <v>0</v>
      </c>
      <c r="AO123" s="79">
        <v>6800</v>
      </c>
      <c r="AP123" s="79">
        <v>8558</v>
      </c>
      <c r="AQ123" s="79">
        <v>8558</v>
      </c>
      <c r="AR123" s="80">
        <v>3.2054090000000002E-3</v>
      </c>
      <c r="AS123" s="80">
        <v>4.5012940000000003E-3</v>
      </c>
      <c r="AT123" s="79">
        <v>155479.158</v>
      </c>
      <c r="AU123" s="79">
        <v>0</v>
      </c>
      <c r="AV123" s="79">
        <v>2465</v>
      </c>
      <c r="AW123" s="79">
        <v>60326.493892890699</v>
      </c>
      <c r="AX123" s="79">
        <v>3</v>
      </c>
      <c r="AY123" s="79">
        <v>3</v>
      </c>
      <c r="AZ123" s="79">
        <v>18820</v>
      </c>
      <c r="BA123" s="79">
        <v>1</v>
      </c>
      <c r="BB123" s="79">
        <v>0</v>
      </c>
      <c r="BC123" s="79">
        <v>0</v>
      </c>
      <c r="BD123" s="79">
        <v>0</v>
      </c>
      <c r="BE123" s="79">
        <v>0</v>
      </c>
      <c r="BF123" s="79">
        <v>0</v>
      </c>
      <c r="BG123" s="79">
        <v>0</v>
      </c>
      <c r="BH123" s="79">
        <v>0</v>
      </c>
      <c r="BI123" s="79">
        <v>0</v>
      </c>
      <c r="BJ123" s="79">
        <v>0</v>
      </c>
      <c r="BK123" s="79">
        <v>106</v>
      </c>
      <c r="BL123" s="79">
        <v>25051</v>
      </c>
      <c r="BM123" s="79">
        <v>623</v>
      </c>
      <c r="BN123" s="79">
        <v>44</v>
      </c>
      <c r="BO123">
        <v>34932</v>
      </c>
      <c r="BP123">
        <v>13670</v>
      </c>
      <c r="BQ123">
        <v>35280</v>
      </c>
      <c r="BR123">
        <v>13810</v>
      </c>
      <c r="BS123">
        <v>35646</v>
      </c>
      <c r="BT123">
        <v>14143</v>
      </c>
      <c r="BU123">
        <v>35992</v>
      </c>
      <c r="BV123">
        <v>14395</v>
      </c>
      <c r="BW123">
        <v>36216</v>
      </c>
      <c r="BX123">
        <v>14488</v>
      </c>
      <c r="BY123">
        <v>36285</v>
      </c>
      <c r="BZ123">
        <v>14645</v>
      </c>
      <c r="CB123">
        <v>3692.5349999999999</v>
      </c>
      <c r="CC123">
        <v>270</v>
      </c>
      <c r="CD123">
        <v>459</v>
      </c>
      <c r="CE123">
        <v>49332.24</v>
      </c>
      <c r="CF123">
        <v>13959.31</v>
      </c>
      <c r="CG123">
        <v>1690.8839342834499</v>
      </c>
      <c r="CH123">
        <v>1910</v>
      </c>
      <c r="CI123">
        <v>1036.6666666666699</v>
      </c>
      <c r="CJ123">
        <v>917.66666666666697</v>
      </c>
      <c r="CK123" s="81">
        <v>8020</v>
      </c>
      <c r="CL123">
        <v>1952</v>
      </c>
      <c r="CM123">
        <v>16225.409391544399</v>
      </c>
      <c r="CN123">
        <v>6.9530000000000003</v>
      </c>
      <c r="CO123">
        <v>133308</v>
      </c>
      <c r="CP123">
        <v>13453</v>
      </c>
      <c r="CQ123">
        <v>2789</v>
      </c>
      <c r="CR123">
        <v>3645</v>
      </c>
      <c r="CS123">
        <v>2712</v>
      </c>
      <c r="CT123">
        <v>1486</v>
      </c>
      <c r="CU123">
        <v>1621.4118426098</v>
      </c>
      <c r="CV123">
        <v>891.31095773235404</v>
      </c>
      <c r="CW123">
        <v>359.84717281656498</v>
      </c>
      <c r="CX123">
        <v>3494.6734999999999</v>
      </c>
      <c r="CY123">
        <v>1921.067</v>
      </c>
      <c r="CZ123">
        <v>775.58849999999995</v>
      </c>
      <c r="DA123">
        <v>128927</v>
      </c>
      <c r="DE123">
        <v>358</v>
      </c>
      <c r="DF123" t="s">
        <v>12</v>
      </c>
      <c r="DG123">
        <v>6453</v>
      </c>
      <c r="DH123">
        <v>6775</v>
      </c>
      <c r="DI123">
        <v>7054</v>
      </c>
      <c r="DJ123">
        <v>7131</v>
      </c>
      <c r="DK123">
        <v>7138</v>
      </c>
      <c r="DO123">
        <v>277</v>
      </c>
      <c r="DP123" t="s">
        <v>263</v>
      </c>
      <c r="DQ123">
        <v>666</v>
      </c>
      <c r="DR123">
        <v>1</v>
      </c>
      <c r="DS123">
        <v>914</v>
      </c>
      <c r="DV123">
        <v>786</v>
      </c>
      <c r="DW123" t="s">
        <v>121</v>
      </c>
      <c r="DX123">
        <v>1397.7973744292201</v>
      </c>
      <c r="DY123">
        <v>317</v>
      </c>
      <c r="DZ123">
        <v>269</v>
      </c>
      <c r="EA123">
        <v>113</v>
      </c>
      <c r="EB123">
        <v>962</v>
      </c>
      <c r="EC123">
        <v>544</v>
      </c>
      <c r="ED123">
        <v>158</v>
      </c>
      <c r="EE123" s="82">
        <v>0.14854149616451301</v>
      </c>
      <c r="EF123" s="82">
        <v>0.45316433785906901</v>
      </c>
    </row>
    <row r="124" spans="1:136" x14ac:dyDescent="0.35">
      <c r="A124" s="72">
        <v>308</v>
      </c>
      <c r="B124" s="72">
        <v>6</v>
      </c>
      <c r="D124" s="72" t="s">
        <v>33</v>
      </c>
      <c r="E124" s="79">
        <v>2943200000</v>
      </c>
      <c r="F124" s="79">
        <v>311150000</v>
      </c>
      <c r="G124" s="79">
        <v>318150000</v>
      </c>
      <c r="H124" s="79">
        <v>24767</v>
      </c>
      <c r="I124" s="79">
        <v>1</v>
      </c>
      <c r="J124" s="79">
        <v>318.14999999999998</v>
      </c>
      <c r="K124" s="79">
        <v>4806</v>
      </c>
      <c r="L124" s="79">
        <v>5775</v>
      </c>
      <c r="M124" s="79">
        <v>1842</v>
      </c>
      <c r="N124" s="79">
        <v>3234</v>
      </c>
      <c r="O124" s="79">
        <v>1985</v>
      </c>
      <c r="P124" s="79">
        <v>364</v>
      </c>
      <c r="Q124" s="79">
        <v>1886</v>
      </c>
      <c r="R124" s="79">
        <v>1190</v>
      </c>
      <c r="S124" s="79">
        <v>0</v>
      </c>
      <c r="T124" s="79">
        <v>771</v>
      </c>
      <c r="U124" s="79">
        <v>12109</v>
      </c>
      <c r="V124" s="79">
        <v>21520</v>
      </c>
      <c r="W124" s="79">
        <v>7890</v>
      </c>
      <c r="X124" s="79">
        <v>0</v>
      </c>
      <c r="Y124" s="79">
        <v>1148</v>
      </c>
      <c r="Z124" s="79">
        <v>0</v>
      </c>
      <c r="AA124" s="79">
        <v>0</v>
      </c>
      <c r="AB124" s="79">
        <v>99.599999999999895</v>
      </c>
      <c r="AC124" s="79">
        <v>3253</v>
      </c>
      <c r="AD124" s="79">
        <v>3253</v>
      </c>
      <c r="AE124" s="79">
        <v>48</v>
      </c>
      <c r="AF124" s="79">
        <v>0</v>
      </c>
      <c r="AG124" s="79">
        <v>125</v>
      </c>
      <c r="AH124" s="79">
        <v>110</v>
      </c>
      <c r="AI124" s="79">
        <v>14</v>
      </c>
      <c r="AJ124" s="79">
        <v>12490</v>
      </c>
      <c r="AK124" s="79">
        <v>12490</v>
      </c>
      <c r="AL124" s="79">
        <v>0</v>
      </c>
      <c r="AM124" s="79">
        <v>0</v>
      </c>
      <c r="AN124" s="79">
        <v>0</v>
      </c>
      <c r="AO124" s="79">
        <v>0</v>
      </c>
      <c r="AP124" s="79">
        <v>2959</v>
      </c>
      <c r="AQ124" s="79">
        <v>0</v>
      </c>
      <c r="AR124" s="80">
        <v>5.3931300000000003E-4</v>
      </c>
      <c r="AS124" s="80">
        <v>3.8862899999999998E-4</v>
      </c>
      <c r="AT124" s="79">
        <v>19859.099999999999</v>
      </c>
      <c r="AU124" s="79">
        <v>0</v>
      </c>
      <c r="AV124" s="79">
        <v>621</v>
      </c>
      <c r="AW124" s="79">
        <v>4659.2871857012997</v>
      </c>
      <c r="AX124" s="79">
        <v>5</v>
      </c>
      <c r="AY124" s="79">
        <v>5</v>
      </c>
      <c r="AZ124" s="79">
        <v>3682</v>
      </c>
      <c r="BA124" s="79">
        <v>1</v>
      </c>
      <c r="BB124" s="79">
        <v>0</v>
      </c>
      <c r="BC124" s="79">
        <v>0</v>
      </c>
      <c r="BD124" s="79">
        <v>0</v>
      </c>
      <c r="BE124" s="79">
        <v>0</v>
      </c>
      <c r="BF124" s="79">
        <v>0</v>
      </c>
      <c r="BG124" s="79">
        <v>0</v>
      </c>
      <c r="BH124" s="79">
        <v>0</v>
      </c>
      <c r="BI124" s="79">
        <v>0</v>
      </c>
      <c r="BJ124" s="79">
        <v>0</v>
      </c>
      <c r="BK124" s="79">
        <v>9</v>
      </c>
      <c r="BL124" s="79">
        <v>4223</v>
      </c>
      <c r="BM124" s="79">
        <v>110</v>
      </c>
      <c r="BN124" s="79">
        <v>14</v>
      </c>
      <c r="BO124">
        <v>5016</v>
      </c>
      <c r="BP124">
        <v>1214</v>
      </c>
      <c r="BQ124">
        <v>4975</v>
      </c>
      <c r="BR124">
        <v>1255</v>
      </c>
      <c r="BS124">
        <v>5008</v>
      </c>
      <c r="BT124">
        <v>1346</v>
      </c>
      <c r="BU124">
        <v>4919</v>
      </c>
      <c r="BV124">
        <v>1377</v>
      </c>
      <c r="BW124">
        <v>4860</v>
      </c>
      <c r="BX124">
        <v>1385</v>
      </c>
      <c r="BY124">
        <v>4786</v>
      </c>
      <c r="BZ124">
        <v>1426</v>
      </c>
      <c r="CB124">
        <v>451.76400000000001</v>
      </c>
      <c r="CC124">
        <v>40</v>
      </c>
      <c r="CD124">
        <v>46</v>
      </c>
      <c r="CE124">
        <v>8753.2000000000007</v>
      </c>
      <c r="CF124">
        <v>2215.08</v>
      </c>
      <c r="CG124">
        <v>184.498208144796</v>
      </c>
      <c r="CH124">
        <v>297</v>
      </c>
      <c r="CI124">
        <v>90</v>
      </c>
      <c r="CJ124">
        <v>81</v>
      </c>
      <c r="CK124" s="81">
        <v>1522</v>
      </c>
      <c r="CL124">
        <v>784</v>
      </c>
      <c r="CM124">
        <v>3081.08307817789</v>
      </c>
      <c r="CN124">
        <v>0.60799999999999998</v>
      </c>
      <c r="CO124">
        <v>18992</v>
      </c>
      <c r="CP124">
        <v>3140</v>
      </c>
      <c r="CQ124">
        <v>793</v>
      </c>
      <c r="CR124">
        <v>807</v>
      </c>
      <c r="CS124">
        <v>715</v>
      </c>
      <c r="CT124">
        <v>405</v>
      </c>
      <c r="CU124">
        <v>308.95436349079301</v>
      </c>
      <c r="CV124">
        <v>210.26060848678901</v>
      </c>
      <c r="CW124">
        <v>92.972377902321796</v>
      </c>
      <c r="CX124">
        <v>620.33040000000005</v>
      </c>
      <c r="CY124">
        <v>422.16930000000002</v>
      </c>
      <c r="CZ124">
        <v>186.67349999999999</v>
      </c>
      <c r="DA124">
        <v>339604</v>
      </c>
      <c r="DE124">
        <v>361</v>
      </c>
      <c r="DF124" t="s">
        <v>17</v>
      </c>
      <c r="DG124">
        <v>21526</v>
      </c>
      <c r="DH124">
        <v>21408</v>
      </c>
      <c r="DI124">
        <v>21134</v>
      </c>
      <c r="DJ124">
        <v>21135</v>
      </c>
      <c r="DK124">
        <v>21043</v>
      </c>
      <c r="DO124">
        <v>279</v>
      </c>
      <c r="DP124" t="s">
        <v>266</v>
      </c>
      <c r="DQ124">
        <v>4055</v>
      </c>
      <c r="DR124">
        <v>1</v>
      </c>
      <c r="DS124">
        <v>897</v>
      </c>
      <c r="DV124">
        <v>14</v>
      </c>
      <c r="DW124" t="s">
        <v>122</v>
      </c>
      <c r="DX124">
        <v>36715.199681059901</v>
      </c>
      <c r="DY124">
        <v>5480</v>
      </c>
      <c r="DZ124">
        <v>3233</v>
      </c>
      <c r="EA124">
        <v>1806</v>
      </c>
      <c r="EB124">
        <v>10814</v>
      </c>
      <c r="EC124">
        <v>5435</v>
      </c>
      <c r="ED124">
        <v>2340</v>
      </c>
      <c r="EE124" s="82">
        <v>0.236161287697744</v>
      </c>
      <c r="EF124" s="82">
        <v>0.57301140477143597</v>
      </c>
    </row>
    <row r="125" spans="1:136" x14ac:dyDescent="0.35">
      <c r="A125" s="72">
        <v>312</v>
      </c>
      <c r="B125" s="72">
        <v>6</v>
      </c>
      <c r="D125" s="72" t="s">
        <v>65</v>
      </c>
      <c r="E125" s="79">
        <v>1752800000</v>
      </c>
      <c r="F125" s="79">
        <v>214900000</v>
      </c>
      <c r="G125" s="79">
        <v>230650000</v>
      </c>
      <c r="H125" s="79">
        <v>15192</v>
      </c>
      <c r="I125" s="79">
        <v>3</v>
      </c>
      <c r="J125" s="79">
        <v>230.65</v>
      </c>
      <c r="K125" s="79">
        <v>3332</v>
      </c>
      <c r="L125" s="79">
        <v>3364</v>
      </c>
      <c r="M125" s="79">
        <v>1192</v>
      </c>
      <c r="N125" s="79">
        <v>1232</v>
      </c>
      <c r="O125" s="79">
        <v>588</v>
      </c>
      <c r="P125" s="79">
        <v>133.666666666667</v>
      </c>
      <c r="Q125" s="79">
        <v>597.66666666666697</v>
      </c>
      <c r="R125" s="79">
        <v>405</v>
      </c>
      <c r="S125" s="79">
        <v>0</v>
      </c>
      <c r="T125" s="79">
        <v>356</v>
      </c>
      <c r="U125" s="79">
        <v>6587</v>
      </c>
      <c r="V125" s="79">
        <v>8680</v>
      </c>
      <c r="W125" s="79">
        <v>650</v>
      </c>
      <c r="X125" s="79">
        <v>51.9</v>
      </c>
      <c r="Y125" s="79">
        <v>0</v>
      </c>
      <c r="Z125" s="79">
        <v>0</v>
      </c>
      <c r="AA125" s="79">
        <v>0</v>
      </c>
      <c r="AB125" s="79">
        <v>0</v>
      </c>
      <c r="AC125" s="79">
        <v>3689</v>
      </c>
      <c r="AD125" s="79">
        <v>3762.78</v>
      </c>
      <c r="AE125" s="79">
        <v>68</v>
      </c>
      <c r="AF125" s="79">
        <v>0</v>
      </c>
      <c r="AG125" s="79">
        <v>113</v>
      </c>
      <c r="AH125" s="79">
        <v>81</v>
      </c>
      <c r="AI125" s="79">
        <v>32.96</v>
      </c>
      <c r="AJ125" s="79">
        <v>6440</v>
      </c>
      <c r="AK125" s="79">
        <v>6440</v>
      </c>
      <c r="AL125" s="79">
        <v>0</v>
      </c>
      <c r="AM125" s="79">
        <v>0</v>
      </c>
      <c r="AN125" s="79">
        <v>0</v>
      </c>
      <c r="AO125" s="79">
        <v>0</v>
      </c>
      <c r="AP125" s="79">
        <v>0</v>
      </c>
      <c r="AQ125" s="79">
        <v>0</v>
      </c>
      <c r="AR125" s="80">
        <v>4.5543000000000001E-5</v>
      </c>
      <c r="AS125" s="80">
        <v>4.6032999999999998E-5</v>
      </c>
      <c r="AT125" s="79">
        <v>4243.96</v>
      </c>
      <c r="AU125" s="79">
        <v>0</v>
      </c>
      <c r="AV125" s="79">
        <v>923.1</v>
      </c>
      <c r="AW125" s="79">
        <v>3848.1817194570099</v>
      </c>
      <c r="AX125" s="79">
        <v>3</v>
      </c>
      <c r="AY125" s="79">
        <v>3.09</v>
      </c>
      <c r="AZ125" s="79">
        <v>2068</v>
      </c>
      <c r="BA125" s="79">
        <v>1</v>
      </c>
      <c r="BB125" s="79">
        <v>0</v>
      </c>
      <c r="BC125" s="79">
        <v>0</v>
      </c>
      <c r="BD125" s="79">
        <v>0</v>
      </c>
      <c r="BE125" s="79">
        <v>0</v>
      </c>
      <c r="BF125" s="79">
        <v>0</v>
      </c>
      <c r="BG125" s="79">
        <v>0</v>
      </c>
      <c r="BH125" s="79">
        <v>0</v>
      </c>
      <c r="BI125" s="79">
        <v>0</v>
      </c>
      <c r="BJ125" s="79">
        <v>0</v>
      </c>
      <c r="BK125" s="79">
        <v>5</v>
      </c>
      <c r="BL125" s="79">
        <v>1981</v>
      </c>
      <c r="BM125" s="79">
        <v>81</v>
      </c>
      <c r="BN125" s="79">
        <v>32</v>
      </c>
      <c r="BO125">
        <v>3397</v>
      </c>
      <c r="BP125">
        <v>0</v>
      </c>
      <c r="BQ125">
        <v>3358</v>
      </c>
      <c r="BR125">
        <v>0</v>
      </c>
      <c r="BS125">
        <v>3309</v>
      </c>
      <c r="BT125">
        <v>0</v>
      </c>
      <c r="BU125">
        <v>3258</v>
      </c>
      <c r="BV125">
        <v>0</v>
      </c>
      <c r="BW125">
        <v>3246</v>
      </c>
      <c r="BX125">
        <v>0</v>
      </c>
      <c r="BY125">
        <v>3227</v>
      </c>
      <c r="BZ125">
        <v>0</v>
      </c>
      <c r="CB125">
        <v>156.60400000000001</v>
      </c>
      <c r="CC125">
        <v>14</v>
      </c>
      <c r="CD125">
        <v>10</v>
      </c>
      <c r="CE125">
        <v>5671.6</v>
      </c>
      <c r="CF125">
        <v>1526.5</v>
      </c>
      <c r="CG125">
        <v>66.768368509212706</v>
      </c>
      <c r="CH125">
        <v>117</v>
      </c>
      <c r="CI125">
        <v>33.6666666666667</v>
      </c>
      <c r="CJ125">
        <v>22.3333333333333</v>
      </c>
      <c r="CK125" s="81">
        <v>464</v>
      </c>
      <c r="CL125">
        <v>116</v>
      </c>
      <c r="CM125">
        <v>2001.4403357476499</v>
      </c>
      <c r="CN125">
        <v>7.1999999999999995E-2</v>
      </c>
      <c r="CO125">
        <v>11828</v>
      </c>
      <c r="CP125">
        <v>1753</v>
      </c>
      <c r="CQ125">
        <v>419</v>
      </c>
      <c r="CR125">
        <v>316</v>
      </c>
      <c r="CS125">
        <v>371</v>
      </c>
      <c r="CT125">
        <v>205</v>
      </c>
      <c r="CU125">
        <v>95.960869565217394</v>
      </c>
      <c r="CV125">
        <v>74.230434782608697</v>
      </c>
      <c r="CW125">
        <v>28.578260869565199</v>
      </c>
      <c r="CX125">
        <v>285.13630000000001</v>
      </c>
      <c r="CY125">
        <v>220.5669</v>
      </c>
      <c r="CZ125">
        <v>84.916899999999998</v>
      </c>
      <c r="DA125">
        <v>0</v>
      </c>
      <c r="DE125">
        <v>362</v>
      </c>
      <c r="DF125" t="s">
        <v>25</v>
      </c>
      <c r="DG125">
        <v>15881</v>
      </c>
      <c r="DH125">
        <v>16020</v>
      </c>
      <c r="DI125">
        <v>16257</v>
      </c>
      <c r="DJ125">
        <v>16583</v>
      </c>
      <c r="DK125">
        <v>16811</v>
      </c>
      <c r="DO125">
        <v>281</v>
      </c>
      <c r="DP125" t="s">
        <v>295</v>
      </c>
      <c r="DQ125">
        <v>18069</v>
      </c>
      <c r="DR125">
        <v>1.1399999999999999</v>
      </c>
      <c r="DS125">
        <v>1415</v>
      </c>
      <c r="DV125">
        <v>15</v>
      </c>
      <c r="DW125" t="s">
        <v>797</v>
      </c>
      <c r="DX125">
        <v>1426.30553827007</v>
      </c>
      <c r="DY125">
        <v>240</v>
      </c>
      <c r="DZ125">
        <v>199</v>
      </c>
      <c r="EA125">
        <v>112</v>
      </c>
      <c r="EB125">
        <v>795</v>
      </c>
      <c r="EC125">
        <v>462</v>
      </c>
      <c r="ED125">
        <v>163</v>
      </c>
      <c r="EE125" s="82">
        <v>0.18412460921714499</v>
      </c>
      <c r="EF125" s="82">
        <v>0.55829946497093697</v>
      </c>
    </row>
    <row r="126" spans="1:136" x14ac:dyDescent="0.35">
      <c r="A126" s="72">
        <v>313</v>
      </c>
      <c r="B126" s="72">
        <v>6</v>
      </c>
      <c r="D126" s="72" t="s">
        <v>66</v>
      </c>
      <c r="E126" s="79">
        <v>1938400000</v>
      </c>
      <c r="F126" s="79">
        <v>365050000</v>
      </c>
      <c r="G126" s="79">
        <v>373800000</v>
      </c>
      <c r="H126" s="79">
        <v>21576</v>
      </c>
      <c r="I126" s="79">
        <v>1</v>
      </c>
      <c r="J126" s="79">
        <v>373.8</v>
      </c>
      <c r="K126" s="79">
        <v>5051</v>
      </c>
      <c r="L126" s="79">
        <v>3521</v>
      </c>
      <c r="M126" s="79">
        <v>1089</v>
      </c>
      <c r="N126" s="79">
        <v>2012</v>
      </c>
      <c r="O126" s="79">
        <v>1166.9000000000001</v>
      </c>
      <c r="P126" s="79">
        <v>162.666666666667</v>
      </c>
      <c r="Q126" s="79">
        <v>968.66666666666697</v>
      </c>
      <c r="R126" s="79">
        <v>690</v>
      </c>
      <c r="S126" s="79">
        <v>0</v>
      </c>
      <c r="T126" s="79">
        <v>432</v>
      </c>
      <c r="U126" s="79">
        <v>8462</v>
      </c>
      <c r="V126" s="79">
        <v>18720</v>
      </c>
      <c r="W126" s="79">
        <v>6290</v>
      </c>
      <c r="X126" s="79">
        <v>0</v>
      </c>
      <c r="Y126" s="79">
        <v>306.39999999999998</v>
      </c>
      <c r="Z126" s="79">
        <v>0</v>
      </c>
      <c r="AA126" s="79">
        <v>0</v>
      </c>
      <c r="AB126" s="79">
        <v>40.9</v>
      </c>
      <c r="AC126" s="79">
        <v>3040</v>
      </c>
      <c r="AD126" s="79">
        <v>3040</v>
      </c>
      <c r="AE126" s="79">
        <v>442</v>
      </c>
      <c r="AF126" s="79">
        <v>0</v>
      </c>
      <c r="AG126" s="79">
        <v>142</v>
      </c>
      <c r="AH126" s="79">
        <v>121</v>
      </c>
      <c r="AI126" s="79">
        <v>21</v>
      </c>
      <c r="AJ126" s="79">
        <v>8451</v>
      </c>
      <c r="AK126" s="79">
        <v>8451</v>
      </c>
      <c r="AL126" s="79">
        <v>0</v>
      </c>
      <c r="AM126" s="79">
        <v>0</v>
      </c>
      <c r="AN126" s="79">
        <v>0</v>
      </c>
      <c r="AO126" s="79">
        <v>0</v>
      </c>
      <c r="AP126" s="79">
        <v>717</v>
      </c>
      <c r="AQ126" s="79">
        <v>0</v>
      </c>
      <c r="AR126" s="80">
        <v>7.5710000000000005E-5</v>
      </c>
      <c r="AS126" s="80">
        <v>4.4685999999999999E-5</v>
      </c>
      <c r="AT126" s="79">
        <v>9921.4740000000002</v>
      </c>
      <c r="AU126" s="79">
        <v>0</v>
      </c>
      <c r="AV126" s="79">
        <v>1003</v>
      </c>
      <c r="AW126" s="79">
        <v>6215.0281447444004</v>
      </c>
      <c r="AX126" s="79">
        <v>2</v>
      </c>
      <c r="AY126" s="79">
        <v>2</v>
      </c>
      <c r="AZ126" s="79">
        <v>2410</v>
      </c>
      <c r="BA126" s="79">
        <v>1</v>
      </c>
      <c r="BB126" s="79">
        <v>0</v>
      </c>
      <c r="BC126" s="79">
        <v>0</v>
      </c>
      <c r="BD126" s="79">
        <v>0</v>
      </c>
      <c r="BE126" s="79">
        <v>0</v>
      </c>
      <c r="BF126" s="79">
        <v>0</v>
      </c>
      <c r="BG126" s="79">
        <v>0</v>
      </c>
      <c r="BH126" s="79">
        <v>0</v>
      </c>
      <c r="BI126" s="79">
        <v>0</v>
      </c>
      <c r="BJ126" s="79">
        <v>0</v>
      </c>
      <c r="BK126" s="79">
        <v>16</v>
      </c>
      <c r="BL126" s="79">
        <v>2045</v>
      </c>
      <c r="BM126" s="79">
        <v>121</v>
      </c>
      <c r="BN126" s="79">
        <v>21</v>
      </c>
      <c r="BO126">
        <v>5062</v>
      </c>
      <c r="BP126">
        <v>311</v>
      </c>
      <c r="BQ126">
        <v>5081</v>
      </c>
      <c r="BR126">
        <v>288</v>
      </c>
      <c r="BS126">
        <v>5062</v>
      </c>
      <c r="BT126">
        <v>298</v>
      </c>
      <c r="BU126">
        <v>5044</v>
      </c>
      <c r="BV126">
        <v>303</v>
      </c>
      <c r="BW126">
        <v>5035</v>
      </c>
      <c r="BX126">
        <v>352</v>
      </c>
      <c r="BY126">
        <v>5018</v>
      </c>
      <c r="BZ126">
        <v>444</v>
      </c>
      <c r="CB126">
        <v>282.85599999999999</v>
      </c>
      <c r="CC126">
        <v>160</v>
      </c>
      <c r="CD126">
        <v>58</v>
      </c>
      <c r="CE126">
        <v>5833.36</v>
      </c>
      <c r="CF126">
        <v>1825.05</v>
      </c>
      <c r="CG126">
        <v>183.71752549889101</v>
      </c>
      <c r="CH126">
        <v>174</v>
      </c>
      <c r="CI126">
        <v>50</v>
      </c>
      <c r="CJ126">
        <v>36.3333333333333</v>
      </c>
      <c r="CK126" s="81">
        <v>806</v>
      </c>
      <c r="CL126">
        <v>210</v>
      </c>
      <c r="CM126">
        <v>2036.3068837343301</v>
      </c>
      <c r="CN126">
        <v>0.11</v>
      </c>
      <c r="CO126">
        <v>18055</v>
      </c>
      <c r="CP126">
        <v>2124</v>
      </c>
      <c r="CQ126">
        <v>308</v>
      </c>
      <c r="CR126">
        <v>354</v>
      </c>
      <c r="CS126">
        <v>333</v>
      </c>
      <c r="CT126">
        <v>129</v>
      </c>
      <c r="CU126">
        <v>178.25912909714799</v>
      </c>
      <c r="CV126">
        <v>103.69682877765899</v>
      </c>
      <c r="CW126">
        <v>26.511040113596</v>
      </c>
      <c r="CX126">
        <v>545.3184</v>
      </c>
      <c r="CY126">
        <v>317.22239999999999</v>
      </c>
      <c r="CZ126">
        <v>81.100800000000007</v>
      </c>
      <c r="DA126">
        <v>0</v>
      </c>
      <c r="DE126">
        <v>363</v>
      </c>
      <c r="DF126" t="s">
        <v>26</v>
      </c>
      <c r="DG126">
        <v>139257</v>
      </c>
      <c r="DH126">
        <v>141065</v>
      </c>
      <c r="DI126">
        <v>142968</v>
      </c>
      <c r="DJ126">
        <v>144042</v>
      </c>
      <c r="DK126">
        <v>145634</v>
      </c>
      <c r="DO126">
        <v>285</v>
      </c>
      <c r="DP126" t="s">
        <v>323</v>
      </c>
      <c r="DQ126">
        <v>10946</v>
      </c>
      <c r="DR126">
        <v>1</v>
      </c>
      <c r="DS126">
        <v>586</v>
      </c>
      <c r="DV126">
        <v>1729</v>
      </c>
      <c r="DW126" t="s">
        <v>123</v>
      </c>
      <c r="DX126">
        <v>1992.5449930779901</v>
      </c>
      <c r="DY126">
        <v>366</v>
      </c>
      <c r="DZ126">
        <v>400</v>
      </c>
      <c r="EA126">
        <v>175</v>
      </c>
      <c r="EB126">
        <v>1343</v>
      </c>
      <c r="EC126">
        <v>838</v>
      </c>
      <c r="ED126">
        <v>253</v>
      </c>
      <c r="EE126" s="82">
        <v>0.17593754231795999</v>
      </c>
      <c r="EF126" s="82">
        <v>0.44140850577478302</v>
      </c>
    </row>
    <row r="127" spans="1:136" x14ac:dyDescent="0.35">
      <c r="A127" s="72">
        <v>310</v>
      </c>
      <c r="B127" s="72">
        <v>6</v>
      </c>
      <c r="D127" s="72" t="s">
        <v>76</v>
      </c>
      <c r="E127" s="79">
        <v>5980000000</v>
      </c>
      <c r="F127" s="79">
        <v>495600000</v>
      </c>
      <c r="G127" s="79">
        <v>540400000</v>
      </c>
      <c r="H127" s="79">
        <v>42824</v>
      </c>
      <c r="I127" s="79">
        <v>4</v>
      </c>
      <c r="J127" s="79">
        <v>540.4</v>
      </c>
      <c r="K127" s="79">
        <v>8931</v>
      </c>
      <c r="L127" s="79">
        <v>10194</v>
      </c>
      <c r="M127" s="79">
        <v>3296</v>
      </c>
      <c r="N127" s="79">
        <v>4953</v>
      </c>
      <c r="O127" s="79">
        <v>2932.7</v>
      </c>
      <c r="P127" s="79">
        <v>652.66666666666697</v>
      </c>
      <c r="Q127" s="79">
        <v>2361.6666666666702</v>
      </c>
      <c r="R127" s="79">
        <v>2075</v>
      </c>
      <c r="S127" s="79">
        <v>0</v>
      </c>
      <c r="T127" s="79">
        <v>1323</v>
      </c>
      <c r="U127" s="79">
        <v>19888</v>
      </c>
      <c r="V127" s="79">
        <v>34940</v>
      </c>
      <c r="W127" s="79">
        <v>12220</v>
      </c>
      <c r="X127" s="79">
        <v>1031.08</v>
      </c>
      <c r="Y127" s="79">
        <v>1976</v>
      </c>
      <c r="Z127" s="79">
        <v>0</v>
      </c>
      <c r="AA127" s="79">
        <v>0</v>
      </c>
      <c r="AB127" s="79">
        <v>157.80000000000001</v>
      </c>
      <c r="AC127" s="79">
        <v>6619</v>
      </c>
      <c r="AD127" s="79">
        <v>6619</v>
      </c>
      <c r="AE127" s="79">
        <v>94</v>
      </c>
      <c r="AF127" s="79">
        <v>0</v>
      </c>
      <c r="AG127" s="79">
        <v>242</v>
      </c>
      <c r="AH127" s="79">
        <v>204</v>
      </c>
      <c r="AI127" s="79">
        <v>37</v>
      </c>
      <c r="AJ127" s="79">
        <v>20203</v>
      </c>
      <c r="AK127" s="79">
        <v>20203</v>
      </c>
      <c r="AL127" s="79">
        <v>0</v>
      </c>
      <c r="AM127" s="79">
        <v>0</v>
      </c>
      <c r="AN127" s="79">
        <v>0</v>
      </c>
      <c r="AO127" s="79">
        <v>0</v>
      </c>
      <c r="AP127" s="79">
        <v>2889</v>
      </c>
      <c r="AQ127" s="79">
        <v>0</v>
      </c>
      <c r="AR127" s="80">
        <v>5.8828799999999996E-4</v>
      </c>
      <c r="AS127" s="80">
        <v>8.0894400000000003E-4</v>
      </c>
      <c r="AT127" s="79">
        <v>25354.764999999999</v>
      </c>
      <c r="AU127" s="79">
        <v>0</v>
      </c>
      <c r="AV127" s="79">
        <v>1876</v>
      </c>
      <c r="AW127" s="79">
        <v>11967.4994786236</v>
      </c>
      <c r="AX127" s="79">
        <v>10</v>
      </c>
      <c r="AY127" s="79">
        <v>10</v>
      </c>
      <c r="AZ127" s="79">
        <v>5954</v>
      </c>
      <c r="BA127" s="79">
        <v>1</v>
      </c>
      <c r="BB127" s="79">
        <v>0</v>
      </c>
      <c r="BC127" s="79">
        <v>0</v>
      </c>
      <c r="BD127" s="79">
        <v>0</v>
      </c>
      <c r="BE127" s="79">
        <v>0</v>
      </c>
      <c r="BF127" s="79">
        <v>0</v>
      </c>
      <c r="BG127" s="79">
        <v>0</v>
      </c>
      <c r="BH127" s="79">
        <v>0</v>
      </c>
      <c r="BI127" s="79">
        <v>0</v>
      </c>
      <c r="BJ127" s="79">
        <v>0</v>
      </c>
      <c r="BK127" s="79">
        <v>20</v>
      </c>
      <c r="BL127" s="79">
        <v>7158</v>
      </c>
      <c r="BM127" s="79">
        <v>204</v>
      </c>
      <c r="BN127" s="79">
        <v>37</v>
      </c>
      <c r="BO127">
        <v>9279</v>
      </c>
      <c r="BP127">
        <v>2102</v>
      </c>
      <c r="BQ127">
        <v>9177</v>
      </c>
      <c r="BR127">
        <v>2129</v>
      </c>
      <c r="BS127">
        <v>9103</v>
      </c>
      <c r="BT127">
        <v>2203</v>
      </c>
      <c r="BU127">
        <v>9036</v>
      </c>
      <c r="BV127">
        <v>2227</v>
      </c>
      <c r="BW127">
        <v>8956</v>
      </c>
      <c r="BX127">
        <v>2239</v>
      </c>
      <c r="BY127">
        <v>8847</v>
      </c>
      <c r="BZ127">
        <v>2285</v>
      </c>
      <c r="CB127">
        <v>830.58299999999997</v>
      </c>
      <c r="CC127">
        <v>105</v>
      </c>
      <c r="CD127">
        <v>60</v>
      </c>
      <c r="CE127">
        <v>17462.900000000001</v>
      </c>
      <c r="CF127">
        <v>4594.2</v>
      </c>
      <c r="CG127">
        <v>322.513892623716</v>
      </c>
      <c r="CH127">
        <v>492</v>
      </c>
      <c r="CI127">
        <v>195.333333333333</v>
      </c>
      <c r="CJ127">
        <v>158.666666666667</v>
      </c>
      <c r="CK127" s="81">
        <v>1709</v>
      </c>
      <c r="CL127">
        <v>421</v>
      </c>
      <c r="CM127">
        <v>5741.1951386430701</v>
      </c>
      <c r="CN127">
        <v>0.80700000000000005</v>
      </c>
      <c r="CO127">
        <v>32630</v>
      </c>
      <c r="CP127">
        <v>5228</v>
      </c>
      <c r="CQ127">
        <v>1670</v>
      </c>
      <c r="CR127">
        <v>1305</v>
      </c>
      <c r="CS127">
        <v>1236</v>
      </c>
      <c r="CT127">
        <v>856</v>
      </c>
      <c r="CU127">
        <v>489.33978617037099</v>
      </c>
      <c r="CV127">
        <v>337.93622729297601</v>
      </c>
      <c r="CW127">
        <v>167.081012720883</v>
      </c>
      <c r="CX127">
        <v>827.91759999999999</v>
      </c>
      <c r="CY127">
        <v>571.7568</v>
      </c>
      <c r="CZ127">
        <v>282.68560000000002</v>
      </c>
      <c r="DA127">
        <v>36534</v>
      </c>
      <c r="DE127">
        <v>370</v>
      </c>
      <c r="DF127" t="s">
        <v>38</v>
      </c>
      <c r="DG127">
        <v>1891</v>
      </c>
      <c r="DH127">
        <v>1880</v>
      </c>
      <c r="DI127">
        <v>1847</v>
      </c>
      <c r="DJ127">
        <v>1858</v>
      </c>
      <c r="DK127">
        <v>1843</v>
      </c>
      <c r="DO127">
        <v>289</v>
      </c>
      <c r="DP127" t="s">
        <v>329</v>
      </c>
      <c r="DQ127">
        <v>19153</v>
      </c>
      <c r="DR127">
        <v>1</v>
      </c>
      <c r="DS127">
        <v>1975</v>
      </c>
      <c r="DV127">
        <v>158</v>
      </c>
      <c r="DW127" t="s">
        <v>124</v>
      </c>
      <c r="DX127">
        <v>2955.1170032832601</v>
      </c>
      <c r="DY127">
        <v>575</v>
      </c>
      <c r="DZ127">
        <v>566</v>
      </c>
      <c r="EA127">
        <v>245</v>
      </c>
      <c r="EB127">
        <v>1882</v>
      </c>
      <c r="EC127">
        <v>1278</v>
      </c>
      <c r="ED127">
        <v>353</v>
      </c>
      <c r="EE127" s="82">
        <v>0.176851883387976</v>
      </c>
      <c r="EF127" s="82">
        <v>0.473389425315906</v>
      </c>
    </row>
    <row r="128" spans="1:136" x14ac:dyDescent="0.35">
      <c r="A128" s="72">
        <v>736</v>
      </c>
      <c r="B128" s="72">
        <v>6</v>
      </c>
      <c r="D128" s="72" t="s">
        <v>78</v>
      </c>
      <c r="E128" s="79">
        <v>5178800000</v>
      </c>
      <c r="F128" s="79">
        <v>598500000</v>
      </c>
      <c r="G128" s="79">
        <v>646450000</v>
      </c>
      <c r="H128" s="79">
        <v>44059</v>
      </c>
      <c r="I128" s="79">
        <v>5</v>
      </c>
      <c r="J128" s="79">
        <v>646.45000000000005</v>
      </c>
      <c r="K128" s="79">
        <v>8656</v>
      </c>
      <c r="L128" s="79">
        <v>8970</v>
      </c>
      <c r="M128" s="79">
        <v>2837</v>
      </c>
      <c r="N128" s="79">
        <v>4445</v>
      </c>
      <c r="O128" s="79">
        <v>2520.1</v>
      </c>
      <c r="P128" s="79">
        <v>461.33333333333297</v>
      </c>
      <c r="Q128" s="79">
        <v>1850.3333333333301</v>
      </c>
      <c r="R128" s="79">
        <v>2000</v>
      </c>
      <c r="S128" s="79">
        <v>0</v>
      </c>
      <c r="T128" s="79">
        <v>1377</v>
      </c>
      <c r="U128" s="79">
        <v>19151</v>
      </c>
      <c r="V128" s="79">
        <v>32490</v>
      </c>
      <c r="W128" s="79">
        <v>5240</v>
      </c>
      <c r="X128" s="79">
        <v>0</v>
      </c>
      <c r="Y128" s="79">
        <v>1308</v>
      </c>
      <c r="Z128" s="79">
        <v>0</v>
      </c>
      <c r="AA128" s="79">
        <v>0</v>
      </c>
      <c r="AB128" s="79">
        <v>0</v>
      </c>
      <c r="AC128" s="79">
        <v>9967</v>
      </c>
      <c r="AD128" s="79">
        <v>13156.44</v>
      </c>
      <c r="AE128" s="79">
        <v>1731</v>
      </c>
      <c r="AF128" s="79">
        <v>0</v>
      </c>
      <c r="AG128" s="79">
        <v>303</v>
      </c>
      <c r="AH128" s="79">
        <v>304.2</v>
      </c>
      <c r="AI128" s="79">
        <v>91.77</v>
      </c>
      <c r="AJ128" s="79">
        <v>19249</v>
      </c>
      <c r="AK128" s="79">
        <v>25023.7</v>
      </c>
      <c r="AL128" s="79">
        <v>0</v>
      </c>
      <c r="AM128" s="79">
        <v>0</v>
      </c>
      <c r="AN128" s="79">
        <v>0</v>
      </c>
      <c r="AO128" s="79">
        <v>0</v>
      </c>
      <c r="AP128" s="79">
        <v>0</v>
      </c>
      <c r="AQ128" s="79">
        <v>0</v>
      </c>
      <c r="AR128" s="80">
        <v>2.2641600000000001E-4</v>
      </c>
      <c r="AS128" s="80">
        <v>1.6967999999999999E-4</v>
      </c>
      <c r="AT128" s="79">
        <v>16727.381000000001</v>
      </c>
      <c r="AU128" s="79">
        <v>0</v>
      </c>
      <c r="AV128" s="79">
        <v>17034.599999999999</v>
      </c>
      <c r="AW128" s="79">
        <v>167756.99648145001</v>
      </c>
      <c r="AX128" s="79">
        <v>23</v>
      </c>
      <c r="AY128" s="79">
        <v>30.59</v>
      </c>
      <c r="AZ128" s="79">
        <v>6243</v>
      </c>
      <c r="BA128" s="79">
        <v>1</v>
      </c>
      <c r="BB128" s="79">
        <v>0</v>
      </c>
      <c r="BC128" s="79">
        <v>0</v>
      </c>
      <c r="BD128" s="79">
        <v>0</v>
      </c>
      <c r="BE128" s="79">
        <v>0</v>
      </c>
      <c r="BF128" s="79">
        <v>0</v>
      </c>
      <c r="BG128" s="79">
        <v>0</v>
      </c>
      <c r="BH128" s="79">
        <v>0</v>
      </c>
      <c r="BI128" s="79">
        <v>0</v>
      </c>
      <c r="BJ128" s="79">
        <v>0</v>
      </c>
      <c r="BK128" s="79">
        <v>11</v>
      </c>
      <c r="BL128" s="79">
        <v>5701</v>
      </c>
      <c r="BM128" s="79">
        <v>234</v>
      </c>
      <c r="BN128" s="79">
        <v>69</v>
      </c>
      <c r="BO128">
        <v>10183</v>
      </c>
      <c r="BP128">
        <v>1810</v>
      </c>
      <c r="BQ128">
        <v>9930</v>
      </c>
      <c r="BR128">
        <v>1846</v>
      </c>
      <c r="BS128">
        <v>9732</v>
      </c>
      <c r="BT128">
        <v>1894</v>
      </c>
      <c r="BU128">
        <v>9583</v>
      </c>
      <c r="BV128">
        <v>1898</v>
      </c>
      <c r="BW128">
        <v>9328</v>
      </c>
      <c r="BX128">
        <v>1833</v>
      </c>
      <c r="BY128">
        <v>9143</v>
      </c>
      <c r="BZ128">
        <v>1832</v>
      </c>
      <c r="CB128">
        <v>701.13599999999997</v>
      </c>
      <c r="CC128">
        <v>88</v>
      </c>
      <c r="CD128">
        <v>101</v>
      </c>
      <c r="CE128">
        <v>16807.650000000001</v>
      </c>
      <c r="CF128">
        <v>4244.7299999999996</v>
      </c>
      <c r="CG128">
        <v>211.79035407786299</v>
      </c>
      <c r="CH128">
        <v>469</v>
      </c>
      <c r="CI128">
        <v>158.666666666667</v>
      </c>
      <c r="CJ128">
        <v>121.666666666667</v>
      </c>
      <c r="CK128" s="81">
        <v>1389</v>
      </c>
      <c r="CL128">
        <v>299</v>
      </c>
      <c r="CM128">
        <v>5385.1406642239799</v>
      </c>
      <c r="CN128">
        <v>0.223</v>
      </c>
      <c r="CO128">
        <v>35089</v>
      </c>
      <c r="CP128">
        <v>5196</v>
      </c>
      <c r="CQ128">
        <v>937</v>
      </c>
      <c r="CR128">
        <v>1068</v>
      </c>
      <c r="CS128">
        <v>946</v>
      </c>
      <c r="CT128">
        <v>499</v>
      </c>
      <c r="CU128">
        <v>427.71919060730397</v>
      </c>
      <c r="CV128">
        <v>263.28230557431601</v>
      </c>
      <c r="CW128">
        <v>95.572393371084203</v>
      </c>
      <c r="CX128">
        <v>912.7998</v>
      </c>
      <c r="CY128">
        <v>561.87339999999995</v>
      </c>
      <c r="CZ128">
        <v>203.96199999999999</v>
      </c>
      <c r="DA128">
        <v>25269</v>
      </c>
      <c r="DE128">
        <v>373</v>
      </c>
      <c r="DF128" t="s">
        <v>43</v>
      </c>
      <c r="DG128">
        <v>6017</v>
      </c>
      <c r="DH128">
        <v>5882</v>
      </c>
      <c r="DI128">
        <v>5788</v>
      </c>
      <c r="DJ128">
        <v>5654</v>
      </c>
      <c r="DK128">
        <v>5436</v>
      </c>
      <c r="DO128">
        <v>668</v>
      </c>
      <c r="DP128" t="s">
        <v>335</v>
      </c>
      <c r="DQ128">
        <v>8121</v>
      </c>
      <c r="DR128">
        <v>1.05</v>
      </c>
      <c r="DS128">
        <v>409</v>
      </c>
      <c r="DV128">
        <v>788</v>
      </c>
      <c r="DW128" t="s">
        <v>125</v>
      </c>
      <c r="DX128">
        <v>1278.1937071541599</v>
      </c>
      <c r="DY128">
        <v>301</v>
      </c>
      <c r="DZ128">
        <v>289</v>
      </c>
      <c r="EA128">
        <v>160</v>
      </c>
      <c r="EB128">
        <v>1108</v>
      </c>
      <c r="EC128">
        <v>641</v>
      </c>
      <c r="ED128">
        <v>232</v>
      </c>
      <c r="EE128" s="82">
        <v>0.101037072531324</v>
      </c>
      <c r="EF128" s="82">
        <v>0.32517440509773998</v>
      </c>
    </row>
    <row r="129" spans="1:136" x14ac:dyDescent="0.35">
      <c r="A129" s="72">
        <v>317</v>
      </c>
      <c r="B129" s="72">
        <v>6</v>
      </c>
      <c r="D129" s="72" t="s">
        <v>99</v>
      </c>
      <c r="E129" s="79">
        <v>1060800000</v>
      </c>
      <c r="F129" s="79">
        <v>117600000</v>
      </c>
      <c r="G129" s="79">
        <v>125300000</v>
      </c>
      <c r="H129" s="79">
        <v>9113</v>
      </c>
      <c r="I129" s="79">
        <v>1</v>
      </c>
      <c r="J129" s="79">
        <v>125.3</v>
      </c>
      <c r="K129" s="79">
        <v>1910</v>
      </c>
      <c r="L129" s="79">
        <v>1849</v>
      </c>
      <c r="M129" s="79">
        <v>553</v>
      </c>
      <c r="N129" s="79">
        <v>848</v>
      </c>
      <c r="O129" s="79">
        <v>456.1</v>
      </c>
      <c r="P129" s="79">
        <v>84</v>
      </c>
      <c r="Q129" s="79">
        <v>414</v>
      </c>
      <c r="R129" s="79">
        <v>225</v>
      </c>
      <c r="S129" s="79">
        <v>0</v>
      </c>
      <c r="T129" s="79">
        <v>299</v>
      </c>
      <c r="U129" s="79">
        <v>3920</v>
      </c>
      <c r="V129" s="79">
        <v>6590</v>
      </c>
      <c r="W129" s="79">
        <v>800</v>
      </c>
      <c r="X129" s="79">
        <v>0</v>
      </c>
      <c r="Y129" s="79">
        <v>0</v>
      </c>
      <c r="Z129" s="79">
        <v>0</v>
      </c>
      <c r="AA129" s="79">
        <v>0</v>
      </c>
      <c r="AB129" s="79">
        <v>0</v>
      </c>
      <c r="AC129" s="79">
        <v>3106</v>
      </c>
      <c r="AD129" s="79">
        <v>3106</v>
      </c>
      <c r="AE129" s="79">
        <v>265</v>
      </c>
      <c r="AF129" s="79">
        <v>0</v>
      </c>
      <c r="AG129" s="79">
        <v>56</v>
      </c>
      <c r="AH129" s="79">
        <v>44</v>
      </c>
      <c r="AI129" s="79">
        <v>12</v>
      </c>
      <c r="AJ129" s="79">
        <v>3919</v>
      </c>
      <c r="AK129" s="79">
        <v>3919</v>
      </c>
      <c r="AL129" s="79">
        <v>0</v>
      </c>
      <c r="AM129" s="79">
        <v>0</v>
      </c>
      <c r="AN129" s="79">
        <v>0</v>
      </c>
      <c r="AO129" s="79">
        <v>0</v>
      </c>
      <c r="AP129" s="79">
        <v>0</v>
      </c>
      <c r="AQ129" s="79">
        <v>0</v>
      </c>
      <c r="AR129" s="80">
        <v>3.4081000000000001E-5</v>
      </c>
      <c r="AS129" s="80">
        <v>1.5818999999999999E-5</v>
      </c>
      <c r="AT129" s="79">
        <v>3621.1559999999999</v>
      </c>
      <c r="AU129" s="79">
        <v>0</v>
      </c>
      <c r="AV129" s="79">
        <v>782</v>
      </c>
      <c r="AW129" s="79">
        <v>2114.0213586472901</v>
      </c>
      <c r="AX129" s="79">
        <v>3</v>
      </c>
      <c r="AY129" s="79">
        <v>3</v>
      </c>
      <c r="AZ129" s="79">
        <v>1377</v>
      </c>
      <c r="BA129" s="79">
        <v>1</v>
      </c>
      <c r="BB129" s="79">
        <v>0</v>
      </c>
      <c r="BC129" s="79">
        <v>0</v>
      </c>
      <c r="BD129" s="79">
        <v>0</v>
      </c>
      <c r="BE129" s="79">
        <v>0</v>
      </c>
      <c r="BF129" s="79">
        <v>0</v>
      </c>
      <c r="BG129" s="79">
        <v>0</v>
      </c>
      <c r="BH129" s="79">
        <v>0</v>
      </c>
      <c r="BI129" s="79">
        <v>0</v>
      </c>
      <c r="BJ129" s="79">
        <v>0</v>
      </c>
      <c r="BK129" s="79">
        <v>4</v>
      </c>
      <c r="BL129" s="79">
        <v>1133</v>
      </c>
      <c r="BM129" s="79">
        <v>44</v>
      </c>
      <c r="BN129" s="79">
        <v>12</v>
      </c>
      <c r="BO129">
        <v>2219</v>
      </c>
      <c r="BP129">
        <v>0</v>
      </c>
      <c r="BQ129">
        <v>2184</v>
      </c>
      <c r="BR129">
        <v>0</v>
      </c>
      <c r="BS129">
        <v>2148</v>
      </c>
      <c r="BT129">
        <v>0</v>
      </c>
      <c r="BU129">
        <v>2099</v>
      </c>
      <c r="BV129">
        <v>0</v>
      </c>
      <c r="BW129">
        <v>2066</v>
      </c>
      <c r="BX129">
        <v>0</v>
      </c>
      <c r="BY129">
        <v>2011</v>
      </c>
      <c r="BZ129">
        <v>0</v>
      </c>
      <c r="CB129">
        <v>158.53</v>
      </c>
      <c r="CC129">
        <v>23</v>
      </c>
      <c r="CD129">
        <v>14</v>
      </c>
      <c r="CE129">
        <v>3167.66</v>
      </c>
      <c r="CF129">
        <v>818.25</v>
      </c>
      <c r="CG129">
        <v>41.112591362126203</v>
      </c>
      <c r="CH129">
        <v>108</v>
      </c>
      <c r="CI129">
        <v>27</v>
      </c>
      <c r="CJ129">
        <v>22.3333333333333</v>
      </c>
      <c r="CK129" s="81">
        <v>330</v>
      </c>
      <c r="CL129">
        <v>96</v>
      </c>
      <c r="CM129">
        <v>1046.8708888137901</v>
      </c>
      <c r="CN129">
        <v>4.5999999999999999E-2</v>
      </c>
      <c r="CO129">
        <v>7264</v>
      </c>
      <c r="CP129">
        <v>1135</v>
      </c>
      <c r="CQ129">
        <v>161</v>
      </c>
      <c r="CR129">
        <v>253</v>
      </c>
      <c r="CS129">
        <v>201</v>
      </c>
      <c r="CT129">
        <v>83</v>
      </c>
      <c r="CU129">
        <v>84.143990813983194</v>
      </c>
      <c r="CV129">
        <v>47.134600663434597</v>
      </c>
      <c r="CW129">
        <v>15.362388364378701</v>
      </c>
      <c r="CX129">
        <v>235.04730000000001</v>
      </c>
      <c r="CY129">
        <v>131.66550000000001</v>
      </c>
      <c r="CZ129">
        <v>42.913200000000003</v>
      </c>
      <c r="DA129">
        <v>3285</v>
      </c>
      <c r="DE129">
        <v>375</v>
      </c>
      <c r="DF129" t="s">
        <v>49</v>
      </c>
      <c r="DG129">
        <v>7876</v>
      </c>
      <c r="DH129">
        <v>7981</v>
      </c>
      <c r="DI129">
        <v>8065</v>
      </c>
      <c r="DJ129">
        <v>8160</v>
      </c>
      <c r="DK129">
        <v>8204</v>
      </c>
      <c r="DO129">
        <v>293</v>
      </c>
      <c r="DP129" t="s">
        <v>338</v>
      </c>
      <c r="DQ129">
        <v>6692</v>
      </c>
      <c r="DR129">
        <v>1</v>
      </c>
      <c r="DS129">
        <v>1148</v>
      </c>
      <c r="DV129">
        <v>392</v>
      </c>
      <c r="DW129" t="s">
        <v>126</v>
      </c>
      <c r="DX129">
        <v>24777.335381971101</v>
      </c>
      <c r="DY129">
        <v>5018</v>
      </c>
      <c r="DZ129">
        <v>3510</v>
      </c>
      <c r="EA129">
        <v>1788</v>
      </c>
      <c r="EB129">
        <v>10599</v>
      </c>
      <c r="EC129">
        <v>6104</v>
      </c>
      <c r="ED129">
        <v>2386</v>
      </c>
      <c r="EE129" s="82">
        <v>0.22793773253882799</v>
      </c>
      <c r="EF129" s="82">
        <v>0.42241600566415499</v>
      </c>
    </row>
    <row r="130" spans="1:136" x14ac:dyDescent="0.35">
      <c r="A130" s="72">
        <v>321</v>
      </c>
      <c r="B130" s="72">
        <v>6</v>
      </c>
      <c r="D130" s="72" t="s">
        <v>159</v>
      </c>
      <c r="E130" s="79">
        <v>5168000000</v>
      </c>
      <c r="F130" s="79">
        <v>627550000</v>
      </c>
      <c r="G130" s="79">
        <v>654850000</v>
      </c>
      <c r="H130" s="79">
        <v>49911</v>
      </c>
      <c r="I130" s="79">
        <v>2</v>
      </c>
      <c r="J130" s="79">
        <v>654.85</v>
      </c>
      <c r="K130" s="79">
        <v>11972</v>
      </c>
      <c r="L130" s="79">
        <v>7142</v>
      </c>
      <c r="M130" s="79">
        <v>1870</v>
      </c>
      <c r="N130" s="79">
        <v>4066</v>
      </c>
      <c r="O130" s="79">
        <v>2025.3</v>
      </c>
      <c r="P130" s="79">
        <v>564.33333333333303</v>
      </c>
      <c r="Q130" s="79">
        <v>2526.3333333333298</v>
      </c>
      <c r="R130" s="79">
        <v>2245</v>
      </c>
      <c r="S130" s="79">
        <v>0</v>
      </c>
      <c r="T130" s="79">
        <v>1486</v>
      </c>
      <c r="U130" s="79">
        <v>20538</v>
      </c>
      <c r="V130" s="79">
        <v>49700</v>
      </c>
      <c r="W130" s="79">
        <v>31220</v>
      </c>
      <c r="X130" s="79">
        <v>1223.74</v>
      </c>
      <c r="Y130" s="79">
        <v>1775.2</v>
      </c>
      <c r="Z130" s="79">
        <v>0</v>
      </c>
      <c r="AA130" s="79">
        <v>0</v>
      </c>
      <c r="AB130" s="79">
        <v>368.8</v>
      </c>
      <c r="AC130" s="79">
        <v>5493</v>
      </c>
      <c r="AD130" s="79">
        <v>6481.74</v>
      </c>
      <c r="AE130" s="79">
        <v>406</v>
      </c>
      <c r="AF130" s="79">
        <v>0</v>
      </c>
      <c r="AG130" s="79">
        <v>254</v>
      </c>
      <c r="AH130" s="79">
        <v>240.54</v>
      </c>
      <c r="AI130" s="79">
        <v>49.98</v>
      </c>
      <c r="AJ130" s="79">
        <v>20407</v>
      </c>
      <c r="AK130" s="79">
        <v>23263.98</v>
      </c>
      <c r="AL130" s="79">
        <v>0</v>
      </c>
      <c r="AM130" s="79">
        <v>0</v>
      </c>
      <c r="AN130" s="79">
        <v>0</v>
      </c>
      <c r="AO130" s="79">
        <v>0</v>
      </c>
      <c r="AP130" s="79">
        <v>0</v>
      </c>
      <c r="AQ130" s="79">
        <v>0</v>
      </c>
      <c r="AR130" s="80">
        <v>7.4672999999999995E-5</v>
      </c>
      <c r="AS130" s="80">
        <v>2.9285000000000002E-5</v>
      </c>
      <c r="AT130" s="79">
        <v>30977.826000000001</v>
      </c>
      <c r="AU130" s="79">
        <v>0</v>
      </c>
      <c r="AV130" s="79">
        <v>2793.06</v>
      </c>
      <c r="AW130" s="79">
        <v>41403.200891676599</v>
      </c>
      <c r="AX130" s="79">
        <v>9</v>
      </c>
      <c r="AY130" s="79">
        <v>10.71</v>
      </c>
      <c r="AZ130" s="79">
        <v>5821</v>
      </c>
      <c r="BA130" s="79">
        <v>1</v>
      </c>
      <c r="BB130" s="79">
        <v>0</v>
      </c>
      <c r="BC130" s="79">
        <v>0</v>
      </c>
      <c r="BD130" s="79">
        <v>0</v>
      </c>
      <c r="BE130" s="79">
        <v>0</v>
      </c>
      <c r="BF130" s="79">
        <v>0</v>
      </c>
      <c r="BG130" s="79">
        <v>0</v>
      </c>
      <c r="BH130" s="79">
        <v>0</v>
      </c>
      <c r="BI130" s="79">
        <v>0</v>
      </c>
      <c r="BJ130" s="79">
        <v>0</v>
      </c>
      <c r="BK130" s="79">
        <v>16</v>
      </c>
      <c r="BL130" s="79">
        <v>5486</v>
      </c>
      <c r="BM130" s="79">
        <v>211</v>
      </c>
      <c r="BN130" s="79">
        <v>42</v>
      </c>
      <c r="BO130">
        <v>12727</v>
      </c>
      <c r="BP130">
        <v>1682</v>
      </c>
      <c r="BQ130">
        <v>12637</v>
      </c>
      <c r="BR130">
        <v>1597</v>
      </c>
      <c r="BS130">
        <v>12560</v>
      </c>
      <c r="BT130">
        <v>1737</v>
      </c>
      <c r="BU130">
        <v>12411</v>
      </c>
      <c r="BV130">
        <v>1863</v>
      </c>
      <c r="BW130">
        <v>12276</v>
      </c>
      <c r="BX130">
        <v>2031</v>
      </c>
      <c r="BY130">
        <v>12202</v>
      </c>
      <c r="BZ130">
        <v>2107</v>
      </c>
      <c r="CB130">
        <v>730.29200000000003</v>
      </c>
      <c r="CC130">
        <v>52</v>
      </c>
      <c r="CD130">
        <v>37</v>
      </c>
      <c r="CE130">
        <v>17128.349999999999</v>
      </c>
      <c r="CF130">
        <v>5305.5</v>
      </c>
      <c r="CG130">
        <v>380.35581002638497</v>
      </c>
      <c r="CH130">
        <v>577</v>
      </c>
      <c r="CI130">
        <v>205</v>
      </c>
      <c r="CJ130">
        <v>159</v>
      </c>
      <c r="CK130" s="81">
        <v>1962</v>
      </c>
      <c r="CL130">
        <v>520</v>
      </c>
      <c r="CM130">
        <v>4973.3934420178402</v>
      </c>
      <c r="CN130">
        <v>0.26100000000000001</v>
      </c>
      <c r="CO130">
        <v>42769</v>
      </c>
      <c r="CP130">
        <v>4563</v>
      </c>
      <c r="CQ130">
        <v>709</v>
      </c>
      <c r="CR130">
        <v>899</v>
      </c>
      <c r="CS130">
        <v>660</v>
      </c>
      <c r="CT130">
        <v>376</v>
      </c>
      <c r="CU130">
        <v>290.19342382515799</v>
      </c>
      <c r="CV130">
        <v>130.60688979271799</v>
      </c>
      <c r="CW130">
        <v>51.210604204439697</v>
      </c>
      <c r="CX130">
        <v>890.35799999999995</v>
      </c>
      <c r="CY130">
        <v>400.72199999999998</v>
      </c>
      <c r="CZ130">
        <v>157.12200000000001</v>
      </c>
      <c r="DA130">
        <v>0</v>
      </c>
      <c r="DE130">
        <v>376</v>
      </c>
      <c r="DF130" t="s">
        <v>51</v>
      </c>
      <c r="DG130">
        <v>1861</v>
      </c>
      <c r="DH130">
        <v>1828</v>
      </c>
      <c r="DI130">
        <v>1818</v>
      </c>
      <c r="DJ130">
        <v>1815</v>
      </c>
      <c r="DK130">
        <v>1813</v>
      </c>
      <c r="DO130">
        <v>296</v>
      </c>
      <c r="DP130" t="s">
        <v>344</v>
      </c>
      <c r="DQ130">
        <v>17971</v>
      </c>
      <c r="DR130">
        <v>1</v>
      </c>
      <c r="DS130">
        <v>1229</v>
      </c>
      <c r="DV130">
        <v>393</v>
      </c>
      <c r="DW130" t="s">
        <v>811</v>
      </c>
      <c r="DX130">
        <v>519.42620232172499</v>
      </c>
      <c r="DY130">
        <v>114</v>
      </c>
      <c r="DZ130">
        <v>115</v>
      </c>
      <c r="EA130">
        <v>53</v>
      </c>
      <c r="EB130">
        <v>393</v>
      </c>
      <c r="EC130">
        <v>241</v>
      </c>
      <c r="ED130">
        <v>78</v>
      </c>
      <c r="EE130" s="82">
        <v>0.101249981527208</v>
      </c>
      <c r="EF130" s="82">
        <v>0.337414606567638</v>
      </c>
    </row>
    <row r="131" spans="1:136" x14ac:dyDescent="0.35">
      <c r="A131" s="72">
        <v>353</v>
      </c>
      <c r="B131" s="72">
        <v>6</v>
      </c>
      <c r="D131" s="72" t="s">
        <v>162</v>
      </c>
      <c r="E131" s="79">
        <v>2959600000</v>
      </c>
      <c r="F131" s="79">
        <v>261450000</v>
      </c>
      <c r="G131" s="79">
        <v>277550000</v>
      </c>
      <c r="H131" s="79">
        <v>34160</v>
      </c>
      <c r="I131" s="79">
        <v>1</v>
      </c>
      <c r="J131" s="79">
        <v>277.55</v>
      </c>
      <c r="K131" s="79">
        <v>7502</v>
      </c>
      <c r="L131" s="79">
        <v>5916</v>
      </c>
      <c r="M131" s="79">
        <v>1774</v>
      </c>
      <c r="N131" s="79">
        <v>3578</v>
      </c>
      <c r="O131" s="79">
        <v>2135.1</v>
      </c>
      <c r="P131" s="79">
        <v>525.33333333333303</v>
      </c>
      <c r="Q131" s="79">
        <v>2052.3333333333298</v>
      </c>
      <c r="R131" s="79">
        <v>3365</v>
      </c>
      <c r="S131" s="79">
        <v>0</v>
      </c>
      <c r="T131" s="79">
        <v>1254</v>
      </c>
      <c r="U131" s="79">
        <v>14695</v>
      </c>
      <c r="V131" s="79">
        <v>32950</v>
      </c>
      <c r="W131" s="79">
        <v>14140</v>
      </c>
      <c r="X131" s="79">
        <v>645.48</v>
      </c>
      <c r="Y131" s="79">
        <v>1168</v>
      </c>
      <c r="Z131" s="79">
        <v>0</v>
      </c>
      <c r="AA131" s="79">
        <v>0</v>
      </c>
      <c r="AB131" s="79">
        <v>394.1</v>
      </c>
      <c r="AC131" s="79">
        <v>2092</v>
      </c>
      <c r="AD131" s="79">
        <v>2468.56</v>
      </c>
      <c r="AE131" s="79">
        <v>76</v>
      </c>
      <c r="AF131" s="79">
        <v>0</v>
      </c>
      <c r="AG131" s="79">
        <v>151</v>
      </c>
      <c r="AH131" s="79">
        <v>159.72</v>
      </c>
      <c r="AI131" s="79">
        <v>22.04</v>
      </c>
      <c r="AJ131" s="79">
        <v>14429</v>
      </c>
      <c r="AK131" s="79">
        <v>17459.09</v>
      </c>
      <c r="AL131" s="79">
        <v>10</v>
      </c>
      <c r="AM131" s="79">
        <v>0</v>
      </c>
      <c r="AN131" s="79">
        <v>0</v>
      </c>
      <c r="AO131" s="79">
        <v>2950</v>
      </c>
      <c r="AP131" s="79">
        <v>703</v>
      </c>
      <c r="AQ131" s="79">
        <v>703</v>
      </c>
      <c r="AR131" s="80">
        <v>1.29636E-4</v>
      </c>
      <c r="AS131" s="80">
        <v>3.4884400000000001E-4</v>
      </c>
      <c r="AT131" s="79">
        <v>26751.366000000002</v>
      </c>
      <c r="AU131" s="79">
        <v>0</v>
      </c>
      <c r="AV131" s="79">
        <v>1129.26</v>
      </c>
      <c r="AW131" s="79">
        <v>32072.2693726937</v>
      </c>
      <c r="AX131" s="79">
        <v>2</v>
      </c>
      <c r="AY131" s="79">
        <v>2.3199999999999998</v>
      </c>
      <c r="AZ131" s="79">
        <v>3590</v>
      </c>
      <c r="BA131" s="79">
        <v>1</v>
      </c>
      <c r="BB131" s="79">
        <v>0</v>
      </c>
      <c r="BC131" s="79">
        <v>0</v>
      </c>
      <c r="BD131" s="79">
        <v>0</v>
      </c>
      <c r="BE131" s="79">
        <v>0</v>
      </c>
      <c r="BF131" s="79">
        <v>0</v>
      </c>
      <c r="BG131" s="79">
        <v>0</v>
      </c>
      <c r="BH131" s="79">
        <v>0</v>
      </c>
      <c r="BI131" s="79">
        <v>0</v>
      </c>
      <c r="BJ131" s="79">
        <v>0</v>
      </c>
      <c r="BK131" s="79">
        <v>21</v>
      </c>
      <c r="BL131" s="79">
        <v>4392</v>
      </c>
      <c r="BM131" s="79">
        <v>132</v>
      </c>
      <c r="BN131" s="79">
        <v>19</v>
      </c>
      <c r="BO131">
        <v>8666</v>
      </c>
      <c r="BP131">
        <v>969</v>
      </c>
      <c r="BQ131">
        <v>8588</v>
      </c>
      <c r="BR131">
        <v>961</v>
      </c>
      <c r="BS131">
        <v>8536</v>
      </c>
      <c r="BT131">
        <v>1048</v>
      </c>
      <c r="BU131">
        <v>8379</v>
      </c>
      <c r="BV131">
        <v>1240</v>
      </c>
      <c r="BW131">
        <v>8297</v>
      </c>
      <c r="BX131">
        <v>1555</v>
      </c>
      <c r="BY131">
        <v>8182</v>
      </c>
      <c r="BZ131">
        <v>1759</v>
      </c>
      <c r="CB131">
        <v>735.19600000000003</v>
      </c>
      <c r="CC131">
        <v>75</v>
      </c>
      <c r="CD131">
        <v>85</v>
      </c>
      <c r="CE131">
        <v>11059.51</v>
      </c>
      <c r="CF131">
        <v>3247.04</v>
      </c>
      <c r="CG131">
        <v>292.02079540850798</v>
      </c>
      <c r="CH131">
        <v>516</v>
      </c>
      <c r="CI131">
        <v>192</v>
      </c>
      <c r="CJ131">
        <v>146.333333333333</v>
      </c>
      <c r="CK131" s="81">
        <v>1527</v>
      </c>
      <c r="CL131">
        <v>351</v>
      </c>
      <c r="CM131">
        <v>4859.2727720594703</v>
      </c>
      <c r="CN131">
        <v>0.68300000000000005</v>
      </c>
      <c r="CO131">
        <v>28244</v>
      </c>
      <c r="CP131">
        <v>3479</v>
      </c>
      <c r="CQ131">
        <v>663</v>
      </c>
      <c r="CR131">
        <v>780</v>
      </c>
      <c r="CS131">
        <v>603</v>
      </c>
      <c r="CT131">
        <v>359</v>
      </c>
      <c r="CU131">
        <v>325.54023147827297</v>
      </c>
      <c r="CV131">
        <v>187.18563310000701</v>
      </c>
      <c r="CW131">
        <v>70.731013930279303</v>
      </c>
      <c r="CX131">
        <v>798.38</v>
      </c>
      <c r="CY131">
        <v>459.06849999999997</v>
      </c>
      <c r="CZ131">
        <v>173.46619999999999</v>
      </c>
      <c r="DA131">
        <v>7938</v>
      </c>
      <c r="DE131">
        <v>377</v>
      </c>
      <c r="DF131" t="s">
        <v>52</v>
      </c>
      <c r="DG131">
        <v>5067</v>
      </c>
      <c r="DH131">
        <v>5056</v>
      </c>
      <c r="DI131">
        <v>5046</v>
      </c>
      <c r="DJ131">
        <v>4987</v>
      </c>
      <c r="DK131">
        <v>4944</v>
      </c>
      <c r="DO131">
        <v>294</v>
      </c>
      <c r="DP131" t="s">
        <v>347</v>
      </c>
      <c r="DQ131">
        <v>13700</v>
      </c>
      <c r="DR131">
        <v>1</v>
      </c>
      <c r="DS131">
        <v>1182</v>
      </c>
      <c r="DV131">
        <v>394</v>
      </c>
      <c r="DW131" t="s">
        <v>127</v>
      </c>
      <c r="DX131">
        <v>14076.7017738903</v>
      </c>
      <c r="DY131">
        <v>3096</v>
      </c>
      <c r="DZ131">
        <v>2333</v>
      </c>
      <c r="EA131">
        <v>1225</v>
      </c>
      <c r="EB131">
        <v>9327</v>
      </c>
      <c r="EC131">
        <v>4947</v>
      </c>
      <c r="ED131">
        <v>1726</v>
      </c>
      <c r="EE131" s="82">
        <v>0.13105347275113699</v>
      </c>
      <c r="EF131" s="82">
        <v>0.35643063385123003</v>
      </c>
    </row>
    <row r="132" spans="1:136" x14ac:dyDescent="0.35">
      <c r="A132" s="72">
        <v>327</v>
      </c>
      <c r="B132" s="72">
        <v>6</v>
      </c>
      <c r="D132" s="72" t="s">
        <v>184</v>
      </c>
      <c r="E132" s="79">
        <v>3259200000</v>
      </c>
      <c r="F132" s="79">
        <v>360150000</v>
      </c>
      <c r="G132" s="79">
        <v>375200000</v>
      </c>
      <c r="H132" s="79">
        <v>30030</v>
      </c>
      <c r="I132" s="79">
        <v>2</v>
      </c>
      <c r="J132" s="79">
        <v>375.2</v>
      </c>
      <c r="K132" s="79">
        <v>6231</v>
      </c>
      <c r="L132" s="79">
        <v>6448</v>
      </c>
      <c r="M132" s="79">
        <v>2003</v>
      </c>
      <c r="N132" s="79">
        <v>2815</v>
      </c>
      <c r="O132" s="79">
        <v>1519.6</v>
      </c>
      <c r="P132" s="79">
        <v>319.33333333333297</v>
      </c>
      <c r="Q132" s="79">
        <v>1482.3333333333301</v>
      </c>
      <c r="R132" s="79">
        <v>835</v>
      </c>
      <c r="S132" s="79">
        <v>0</v>
      </c>
      <c r="T132" s="79">
        <v>814</v>
      </c>
      <c r="U132" s="79">
        <v>13216</v>
      </c>
      <c r="V132" s="79">
        <v>26930</v>
      </c>
      <c r="W132" s="79">
        <v>11440</v>
      </c>
      <c r="X132" s="79">
        <v>736.98</v>
      </c>
      <c r="Y132" s="79">
        <v>0</v>
      </c>
      <c r="Z132" s="79">
        <v>0</v>
      </c>
      <c r="AA132" s="79">
        <v>0</v>
      </c>
      <c r="AB132" s="79">
        <v>0</v>
      </c>
      <c r="AC132" s="79">
        <v>5855</v>
      </c>
      <c r="AD132" s="79">
        <v>5855</v>
      </c>
      <c r="AE132" s="79">
        <v>34</v>
      </c>
      <c r="AF132" s="79">
        <v>0</v>
      </c>
      <c r="AG132" s="79">
        <v>172</v>
      </c>
      <c r="AH132" s="79">
        <v>127</v>
      </c>
      <c r="AI132" s="79">
        <v>45</v>
      </c>
      <c r="AJ132" s="79">
        <v>12954</v>
      </c>
      <c r="AK132" s="79">
        <v>12954</v>
      </c>
      <c r="AL132" s="79">
        <v>0</v>
      </c>
      <c r="AM132" s="79">
        <v>0</v>
      </c>
      <c r="AN132" s="79">
        <v>0</v>
      </c>
      <c r="AO132" s="79">
        <v>0</v>
      </c>
      <c r="AP132" s="79">
        <v>0</v>
      </c>
      <c r="AQ132" s="79">
        <v>0</v>
      </c>
      <c r="AR132" s="80">
        <v>6.7461999999999999E-5</v>
      </c>
      <c r="AS132" s="80">
        <v>6.6707999999999999E-5</v>
      </c>
      <c r="AT132" s="79">
        <v>16101.822</v>
      </c>
      <c r="AU132" s="79">
        <v>0</v>
      </c>
      <c r="AV132" s="79">
        <v>917</v>
      </c>
      <c r="AW132" s="79">
        <v>4676.09271523179</v>
      </c>
      <c r="AX132" s="79">
        <v>4</v>
      </c>
      <c r="AY132" s="79">
        <v>4</v>
      </c>
      <c r="AZ132" s="79">
        <v>3733</v>
      </c>
      <c r="BA132" s="79">
        <v>1</v>
      </c>
      <c r="BB132" s="79">
        <v>0</v>
      </c>
      <c r="BC132" s="79">
        <v>0</v>
      </c>
      <c r="BD132" s="79">
        <v>0</v>
      </c>
      <c r="BE132" s="79">
        <v>0</v>
      </c>
      <c r="BF132" s="79">
        <v>0</v>
      </c>
      <c r="BG132" s="79">
        <v>0</v>
      </c>
      <c r="BH132" s="79">
        <v>0</v>
      </c>
      <c r="BI132" s="79">
        <v>0</v>
      </c>
      <c r="BJ132" s="79">
        <v>0</v>
      </c>
      <c r="BK132" s="79">
        <v>7</v>
      </c>
      <c r="BL132" s="79">
        <v>3928</v>
      </c>
      <c r="BM132" s="79">
        <v>127</v>
      </c>
      <c r="BN132" s="79">
        <v>45</v>
      </c>
      <c r="BO132">
        <v>6571</v>
      </c>
      <c r="BP132">
        <v>0</v>
      </c>
      <c r="BQ132">
        <v>6573</v>
      </c>
      <c r="BR132">
        <v>0</v>
      </c>
      <c r="BS132">
        <v>6468</v>
      </c>
      <c r="BT132">
        <v>0</v>
      </c>
      <c r="BU132">
        <v>6429</v>
      </c>
      <c r="BV132">
        <v>0</v>
      </c>
      <c r="BW132">
        <v>6355</v>
      </c>
      <c r="BX132">
        <v>0</v>
      </c>
      <c r="BY132">
        <v>6247</v>
      </c>
      <c r="BZ132">
        <v>0</v>
      </c>
      <c r="CB132">
        <v>348.93599999999998</v>
      </c>
      <c r="CC132">
        <v>43</v>
      </c>
      <c r="CD132">
        <v>41</v>
      </c>
      <c r="CE132">
        <v>10825.08</v>
      </c>
      <c r="CF132">
        <v>2697.24</v>
      </c>
      <c r="CG132">
        <v>246.785363636364</v>
      </c>
      <c r="CH132">
        <v>306</v>
      </c>
      <c r="CI132">
        <v>77.6666666666667</v>
      </c>
      <c r="CJ132">
        <v>59.3333333333333</v>
      </c>
      <c r="CK132" s="81">
        <v>1163</v>
      </c>
      <c r="CL132">
        <v>273</v>
      </c>
      <c r="CM132">
        <v>3541.9600668736598</v>
      </c>
      <c r="CN132">
        <v>0.14699999999999999</v>
      </c>
      <c r="CO132">
        <v>23582</v>
      </c>
      <c r="CP132">
        <v>3766</v>
      </c>
      <c r="CQ132">
        <v>679</v>
      </c>
      <c r="CR132">
        <v>779</v>
      </c>
      <c r="CS132">
        <v>706</v>
      </c>
      <c r="CT132">
        <v>366</v>
      </c>
      <c r="CU132">
        <v>276.024301374093</v>
      </c>
      <c r="CV132">
        <v>165.638042303536</v>
      </c>
      <c r="CW132">
        <v>58.888312490350501</v>
      </c>
      <c r="CX132">
        <v>736.95960000000002</v>
      </c>
      <c r="CY132">
        <v>442.23840000000001</v>
      </c>
      <c r="CZ132">
        <v>157.22640000000001</v>
      </c>
      <c r="DA132">
        <v>26918</v>
      </c>
      <c r="DE132">
        <v>383</v>
      </c>
      <c r="DF132" t="s">
        <v>69</v>
      </c>
      <c r="DG132">
        <v>7679</v>
      </c>
      <c r="DH132">
        <v>7538</v>
      </c>
      <c r="DI132">
        <v>7362</v>
      </c>
      <c r="DJ132">
        <v>7152</v>
      </c>
      <c r="DK132">
        <v>6965</v>
      </c>
      <c r="DO132">
        <v>297</v>
      </c>
      <c r="DP132" t="s">
        <v>353</v>
      </c>
      <c r="DQ132">
        <v>11251</v>
      </c>
      <c r="DR132">
        <v>1.1299999999999999</v>
      </c>
      <c r="DS132">
        <v>674</v>
      </c>
      <c r="DV132">
        <v>1655</v>
      </c>
      <c r="DW132" t="s">
        <v>128</v>
      </c>
      <c r="DX132">
        <v>3701.7731837439201</v>
      </c>
      <c r="DY132">
        <v>666</v>
      </c>
      <c r="DZ132">
        <v>672</v>
      </c>
      <c r="EA132">
        <v>300</v>
      </c>
      <c r="EB132">
        <v>2426</v>
      </c>
      <c r="EC132">
        <v>1429</v>
      </c>
      <c r="ED132">
        <v>428</v>
      </c>
      <c r="EE132" s="82">
        <v>0.177161813697508</v>
      </c>
      <c r="EF132" s="82">
        <v>0.43755088512974499</v>
      </c>
    </row>
    <row r="133" spans="1:136" x14ac:dyDescent="0.35">
      <c r="A133" s="72">
        <v>331</v>
      </c>
      <c r="B133" s="72">
        <v>6</v>
      </c>
      <c r="D133" s="72" t="s">
        <v>189</v>
      </c>
      <c r="E133" s="79">
        <v>1233200000</v>
      </c>
      <c r="F133" s="79">
        <v>173600000</v>
      </c>
      <c r="G133" s="79">
        <v>204400000</v>
      </c>
      <c r="H133" s="79">
        <v>14473</v>
      </c>
      <c r="I133" s="79">
        <v>2</v>
      </c>
      <c r="J133" s="79">
        <v>204.4</v>
      </c>
      <c r="K133" s="79">
        <v>3133</v>
      </c>
      <c r="L133" s="79">
        <v>2457</v>
      </c>
      <c r="M133" s="79">
        <v>754</v>
      </c>
      <c r="N133" s="79">
        <v>1262</v>
      </c>
      <c r="O133" s="79">
        <v>689.3</v>
      </c>
      <c r="P133" s="79">
        <v>126.333333333333</v>
      </c>
      <c r="Q133" s="79">
        <v>647.33333333333303</v>
      </c>
      <c r="R133" s="79">
        <v>480</v>
      </c>
      <c r="S133" s="79">
        <v>0</v>
      </c>
      <c r="T133" s="79">
        <v>343</v>
      </c>
      <c r="U133" s="79">
        <v>5737</v>
      </c>
      <c r="V133" s="79">
        <v>9260</v>
      </c>
      <c r="W133" s="79">
        <v>470</v>
      </c>
      <c r="X133" s="79">
        <v>0</v>
      </c>
      <c r="Y133" s="79">
        <v>0</v>
      </c>
      <c r="Z133" s="79">
        <v>0</v>
      </c>
      <c r="AA133" s="79">
        <v>0</v>
      </c>
      <c r="AB133" s="79">
        <v>0</v>
      </c>
      <c r="AC133" s="79">
        <v>7578</v>
      </c>
      <c r="AD133" s="79">
        <v>10457.64</v>
      </c>
      <c r="AE133" s="79">
        <v>320</v>
      </c>
      <c r="AF133" s="79">
        <v>0</v>
      </c>
      <c r="AG133" s="79">
        <v>138</v>
      </c>
      <c r="AH133" s="79">
        <v>129.01</v>
      </c>
      <c r="AI133" s="79">
        <v>58.38</v>
      </c>
      <c r="AJ133" s="79">
        <v>5727</v>
      </c>
      <c r="AK133" s="79">
        <v>7616.91</v>
      </c>
      <c r="AL133" s="79">
        <v>0</v>
      </c>
      <c r="AM133" s="79">
        <v>0</v>
      </c>
      <c r="AN133" s="79">
        <v>0</v>
      </c>
      <c r="AO133" s="79">
        <v>0</v>
      </c>
      <c r="AP133" s="79">
        <v>0</v>
      </c>
      <c r="AQ133" s="79">
        <v>0</v>
      </c>
      <c r="AR133" s="80">
        <v>9.5358000000000004E-5</v>
      </c>
      <c r="AS133" s="80">
        <v>2.4828E-5</v>
      </c>
      <c r="AT133" s="79">
        <v>2096.0819999999999</v>
      </c>
      <c r="AU133" s="79">
        <v>0</v>
      </c>
      <c r="AV133" s="79">
        <v>6265.2</v>
      </c>
      <c r="AW133" s="79">
        <v>29147.353917447501</v>
      </c>
      <c r="AX133" s="79">
        <v>13</v>
      </c>
      <c r="AY133" s="79">
        <v>18.07</v>
      </c>
      <c r="AZ133" s="79">
        <v>1801</v>
      </c>
      <c r="BA133" s="79">
        <v>1</v>
      </c>
      <c r="BB133" s="79">
        <v>0</v>
      </c>
      <c r="BC133" s="79">
        <v>0</v>
      </c>
      <c r="BD133" s="79">
        <v>0</v>
      </c>
      <c r="BE133" s="79">
        <v>0</v>
      </c>
      <c r="BF133" s="79">
        <v>0</v>
      </c>
      <c r="BG133" s="79">
        <v>0</v>
      </c>
      <c r="BH133" s="79">
        <v>0</v>
      </c>
      <c r="BI133" s="79">
        <v>0</v>
      </c>
      <c r="BJ133" s="79">
        <v>0</v>
      </c>
      <c r="BK133" s="79">
        <v>14</v>
      </c>
      <c r="BL133" s="79">
        <v>1457</v>
      </c>
      <c r="BM133" s="79">
        <v>97</v>
      </c>
      <c r="BN133" s="79">
        <v>42</v>
      </c>
      <c r="BO133">
        <v>3722</v>
      </c>
      <c r="BP133">
        <v>0</v>
      </c>
      <c r="BQ133">
        <v>3681</v>
      </c>
      <c r="BR133">
        <v>0</v>
      </c>
      <c r="BS133">
        <v>3585</v>
      </c>
      <c r="BT133">
        <v>0</v>
      </c>
      <c r="BU133">
        <v>3527</v>
      </c>
      <c r="BV133">
        <v>0</v>
      </c>
      <c r="BW133">
        <v>3468</v>
      </c>
      <c r="BX133">
        <v>0</v>
      </c>
      <c r="BY133">
        <v>3422</v>
      </c>
      <c r="BZ133">
        <v>0</v>
      </c>
      <c r="CB133">
        <v>253.773</v>
      </c>
      <c r="CC133">
        <v>55</v>
      </c>
      <c r="CD133">
        <v>38</v>
      </c>
      <c r="CE133">
        <v>4208.25</v>
      </c>
      <c r="CF133">
        <v>1213.26</v>
      </c>
      <c r="CG133">
        <v>99.311972375690601</v>
      </c>
      <c r="CH133">
        <v>153</v>
      </c>
      <c r="CI133">
        <v>59.3333333333333</v>
      </c>
      <c r="CJ133">
        <v>35</v>
      </c>
      <c r="CK133" s="81">
        <v>521</v>
      </c>
      <c r="CL133">
        <v>146</v>
      </c>
      <c r="CM133">
        <v>1605.4438005086199</v>
      </c>
      <c r="CN133">
        <v>7.4999999999999997E-2</v>
      </c>
      <c r="CO133">
        <v>12016</v>
      </c>
      <c r="CP133">
        <v>1495</v>
      </c>
      <c r="CQ133">
        <v>208</v>
      </c>
      <c r="CR133">
        <v>280</v>
      </c>
      <c r="CS133">
        <v>224</v>
      </c>
      <c r="CT133">
        <v>98</v>
      </c>
      <c r="CU133">
        <v>112.175240090798</v>
      </c>
      <c r="CV133">
        <v>62.827763226820302</v>
      </c>
      <c r="CW133">
        <v>18.294674349572201</v>
      </c>
      <c r="CX133">
        <v>356.95600000000002</v>
      </c>
      <c r="CY133">
        <v>199.92599999999999</v>
      </c>
      <c r="CZ133">
        <v>58.216000000000001</v>
      </c>
      <c r="DA133">
        <v>0</v>
      </c>
      <c r="DE133">
        <v>384</v>
      </c>
      <c r="DF133" t="s">
        <v>85</v>
      </c>
      <c r="DG133">
        <v>4841</v>
      </c>
      <c r="DH133">
        <v>4797</v>
      </c>
      <c r="DI133">
        <v>4882</v>
      </c>
      <c r="DJ133">
        <v>4818</v>
      </c>
      <c r="DK133">
        <v>4814</v>
      </c>
      <c r="DO133">
        <v>299</v>
      </c>
      <c r="DP133" t="s">
        <v>357</v>
      </c>
      <c r="DQ133">
        <v>19849</v>
      </c>
      <c r="DR133">
        <v>1</v>
      </c>
      <c r="DS133">
        <v>1043</v>
      </c>
      <c r="DV133">
        <v>160</v>
      </c>
      <c r="DW133" t="s">
        <v>129</v>
      </c>
      <c r="DX133">
        <v>7024.1478920742002</v>
      </c>
      <c r="DY133">
        <v>1067</v>
      </c>
      <c r="DZ133">
        <v>1153</v>
      </c>
      <c r="EA133">
        <v>562</v>
      </c>
      <c r="EB133">
        <v>3798</v>
      </c>
      <c r="EC133">
        <v>2375</v>
      </c>
      <c r="ED133">
        <v>795</v>
      </c>
      <c r="EE133" s="82">
        <v>0.17169565977156201</v>
      </c>
      <c r="EF133" s="82">
        <v>0.52542617575569694</v>
      </c>
    </row>
    <row r="134" spans="1:136" x14ac:dyDescent="0.35">
      <c r="A134" s="72">
        <v>335</v>
      </c>
      <c r="B134" s="72">
        <v>6</v>
      </c>
      <c r="D134" s="72" t="s">
        <v>208</v>
      </c>
      <c r="E134" s="79">
        <v>1272000000</v>
      </c>
      <c r="F134" s="79">
        <v>157150000</v>
      </c>
      <c r="G134" s="79">
        <v>175000000</v>
      </c>
      <c r="H134" s="79">
        <v>13996</v>
      </c>
      <c r="I134" s="79">
        <v>2</v>
      </c>
      <c r="J134" s="79">
        <v>175</v>
      </c>
      <c r="K134" s="79">
        <v>3129</v>
      </c>
      <c r="L134" s="79">
        <v>2683</v>
      </c>
      <c r="M134" s="79">
        <v>847</v>
      </c>
      <c r="N134" s="79">
        <v>1256</v>
      </c>
      <c r="O134" s="79">
        <v>680.7</v>
      </c>
      <c r="P134" s="79">
        <v>108.333333333333</v>
      </c>
      <c r="Q134" s="79">
        <v>494.33333333333297</v>
      </c>
      <c r="R134" s="79">
        <v>455</v>
      </c>
      <c r="S134" s="79">
        <v>0</v>
      </c>
      <c r="T134" s="79">
        <v>342</v>
      </c>
      <c r="U134" s="79">
        <v>5722</v>
      </c>
      <c r="V134" s="79">
        <v>9910</v>
      </c>
      <c r="W134" s="79">
        <v>800</v>
      </c>
      <c r="X134" s="79">
        <v>0</v>
      </c>
      <c r="Y134" s="79">
        <v>0</v>
      </c>
      <c r="Z134" s="79">
        <v>0</v>
      </c>
      <c r="AA134" s="79">
        <v>0</v>
      </c>
      <c r="AB134" s="79">
        <v>0</v>
      </c>
      <c r="AC134" s="79">
        <v>3759</v>
      </c>
      <c r="AD134" s="79">
        <v>4999.47</v>
      </c>
      <c r="AE134" s="79">
        <v>61</v>
      </c>
      <c r="AF134" s="79">
        <v>0</v>
      </c>
      <c r="AG134" s="79">
        <v>109</v>
      </c>
      <c r="AH134" s="79">
        <v>90.72</v>
      </c>
      <c r="AI134" s="79">
        <v>38.36</v>
      </c>
      <c r="AJ134" s="79">
        <v>5753</v>
      </c>
      <c r="AK134" s="79">
        <v>6443.36</v>
      </c>
      <c r="AL134" s="79">
        <v>10</v>
      </c>
      <c r="AM134" s="79">
        <v>0</v>
      </c>
      <c r="AN134" s="79">
        <v>0</v>
      </c>
      <c r="AO134" s="79">
        <v>1650</v>
      </c>
      <c r="AP134" s="79">
        <v>0</v>
      </c>
      <c r="AQ134" s="79">
        <v>0</v>
      </c>
      <c r="AR134" s="80">
        <v>8.2126000000000006E-5</v>
      </c>
      <c r="AS134" s="80">
        <v>2.8126000000000001E-5</v>
      </c>
      <c r="AT134" s="79">
        <v>4297.491</v>
      </c>
      <c r="AU134" s="79">
        <v>0</v>
      </c>
      <c r="AV134" s="79">
        <v>1554.77</v>
      </c>
      <c r="AW134" s="79">
        <v>10618.1643246073</v>
      </c>
      <c r="AX134" s="79">
        <v>4</v>
      </c>
      <c r="AY134" s="79">
        <v>5.48</v>
      </c>
      <c r="AZ134" s="79">
        <v>1672</v>
      </c>
      <c r="BA134" s="79">
        <v>1</v>
      </c>
      <c r="BB134" s="79">
        <v>0</v>
      </c>
      <c r="BC134" s="79">
        <v>0</v>
      </c>
      <c r="BD134" s="79">
        <v>0</v>
      </c>
      <c r="BE134" s="79">
        <v>0</v>
      </c>
      <c r="BF134" s="79">
        <v>0</v>
      </c>
      <c r="BG134" s="79">
        <v>0</v>
      </c>
      <c r="BH134" s="79">
        <v>0</v>
      </c>
      <c r="BI134" s="79">
        <v>0</v>
      </c>
      <c r="BJ134" s="79">
        <v>0</v>
      </c>
      <c r="BK134" s="79">
        <v>10</v>
      </c>
      <c r="BL134" s="79">
        <v>1565</v>
      </c>
      <c r="BM134" s="79">
        <v>81</v>
      </c>
      <c r="BN134" s="79">
        <v>28</v>
      </c>
      <c r="BO134">
        <v>3465</v>
      </c>
      <c r="BP134">
        <v>0</v>
      </c>
      <c r="BQ134">
        <v>3421</v>
      </c>
      <c r="BR134">
        <v>0</v>
      </c>
      <c r="BS134">
        <v>3409</v>
      </c>
      <c r="BT134">
        <v>0</v>
      </c>
      <c r="BU134">
        <v>3398</v>
      </c>
      <c r="BV134">
        <v>0</v>
      </c>
      <c r="BW134">
        <v>3360</v>
      </c>
      <c r="BX134">
        <v>0</v>
      </c>
      <c r="BY134">
        <v>3319</v>
      </c>
      <c r="BZ134">
        <v>0</v>
      </c>
      <c r="CB134">
        <v>200.256</v>
      </c>
      <c r="CC134">
        <v>31</v>
      </c>
      <c r="CD134">
        <v>27</v>
      </c>
      <c r="CE134">
        <v>4641.2</v>
      </c>
      <c r="CF134">
        <v>1275.1199999999999</v>
      </c>
      <c r="CG134">
        <v>55.898423580786002</v>
      </c>
      <c r="CH134">
        <v>141</v>
      </c>
      <c r="CI134">
        <v>45.6666666666667</v>
      </c>
      <c r="CJ134">
        <v>34.3333333333333</v>
      </c>
      <c r="CK134" s="81">
        <v>386</v>
      </c>
      <c r="CL134">
        <v>78</v>
      </c>
      <c r="CM134">
        <v>1496.81954871944</v>
      </c>
      <c r="CN134">
        <v>7.0000000000000007E-2</v>
      </c>
      <c r="CO134">
        <v>11313</v>
      </c>
      <c r="CP134">
        <v>1638</v>
      </c>
      <c r="CQ134">
        <v>198</v>
      </c>
      <c r="CR134">
        <v>290</v>
      </c>
      <c r="CS134">
        <v>273</v>
      </c>
      <c r="CT134">
        <v>113</v>
      </c>
      <c r="CU134">
        <v>117.729271684339</v>
      </c>
      <c r="CV134">
        <v>71.702450895185095</v>
      </c>
      <c r="CW134">
        <v>18.6946984182166</v>
      </c>
      <c r="CX134">
        <v>332.62849999999997</v>
      </c>
      <c r="CY134">
        <v>202.58580000000001</v>
      </c>
      <c r="CZ134">
        <v>52.819400000000002</v>
      </c>
      <c r="DA134">
        <v>0</v>
      </c>
      <c r="DE134">
        <v>385</v>
      </c>
      <c r="DF134" t="s">
        <v>97</v>
      </c>
      <c r="DG134">
        <v>8261</v>
      </c>
      <c r="DH134">
        <v>8169</v>
      </c>
      <c r="DI134">
        <v>8082</v>
      </c>
      <c r="DJ134">
        <v>8016</v>
      </c>
      <c r="DK134">
        <v>7907</v>
      </c>
      <c r="DO134">
        <v>301</v>
      </c>
      <c r="DP134" t="s">
        <v>362</v>
      </c>
      <c r="DQ134">
        <v>22423</v>
      </c>
      <c r="DR134">
        <v>1</v>
      </c>
      <c r="DS134">
        <v>1623</v>
      </c>
      <c r="DV134">
        <v>243</v>
      </c>
      <c r="DW134" t="s">
        <v>130</v>
      </c>
      <c r="DX134">
        <v>5666.1050279329602</v>
      </c>
      <c r="DY134">
        <v>1006</v>
      </c>
      <c r="DZ134">
        <v>920</v>
      </c>
      <c r="EA134">
        <v>490</v>
      </c>
      <c r="EB134">
        <v>2979</v>
      </c>
      <c r="EC134">
        <v>1795</v>
      </c>
      <c r="ED134">
        <v>687</v>
      </c>
      <c r="EE134" s="82">
        <v>0.18162955554117799</v>
      </c>
      <c r="EF134" s="82">
        <v>0.46115767919659201</v>
      </c>
    </row>
    <row r="135" spans="1:136" x14ac:dyDescent="0.35">
      <c r="A135" s="72">
        <v>356</v>
      </c>
      <c r="B135" s="72">
        <v>6</v>
      </c>
      <c r="D135" s="72" t="s">
        <v>212</v>
      </c>
      <c r="E135" s="79">
        <v>5348000000</v>
      </c>
      <c r="F135" s="79">
        <v>1234800000</v>
      </c>
      <c r="G135" s="79">
        <v>1242850000</v>
      </c>
      <c r="H135" s="79">
        <v>63036</v>
      </c>
      <c r="I135" s="79">
        <v>1</v>
      </c>
      <c r="J135" s="79">
        <v>1242.8499999999999</v>
      </c>
      <c r="K135" s="79">
        <v>11820</v>
      </c>
      <c r="L135" s="79">
        <v>12581</v>
      </c>
      <c r="M135" s="79">
        <v>3402</v>
      </c>
      <c r="N135" s="79">
        <v>8016</v>
      </c>
      <c r="O135" s="79">
        <v>5129.3999999999996</v>
      </c>
      <c r="P135" s="79">
        <v>1244.3333333333301</v>
      </c>
      <c r="Q135" s="79">
        <v>4529.3333333333303</v>
      </c>
      <c r="R135" s="79">
        <v>6925</v>
      </c>
      <c r="S135" s="79">
        <v>0</v>
      </c>
      <c r="T135" s="79">
        <v>2303</v>
      </c>
      <c r="U135" s="79">
        <v>29570</v>
      </c>
      <c r="V135" s="79">
        <v>67150</v>
      </c>
      <c r="W135" s="79">
        <v>49040</v>
      </c>
      <c r="X135" s="79">
        <v>508.86</v>
      </c>
      <c r="Y135" s="79">
        <v>4430.3999999999996</v>
      </c>
      <c r="Z135" s="79">
        <v>0</v>
      </c>
      <c r="AA135" s="79">
        <v>0</v>
      </c>
      <c r="AB135" s="79">
        <v>0</v>
      </c>
      <c r="AC135" s="79">
        <v>2344</v>
      </c>
      <c r="AD135" s="79">
        <v>2672.16</v>
      </c>
      <c r="AE135" s="79">
        <v>221</v>
      </c>
      <c r="AF135" s="79">
        <v>0</v>
      </c>
      <c r="AG135" s="79">
        <v>315</v>
      </c>
      <c r="AH135" s="79">
        <v>326.04000000000002</v>
      </c>
      <c r="AI135" s="79">
        <v>33.64</v>
      </c>
      <c r="AJ135" s="79">
        <v>28866</v>
      </c>
      <c r="AK135" s="79">
        <v>32907.24</v>
      </c>
      <c r="AL135" s="79">
        <v>0</v>
      </c>
      <c r="AM135" s="79">
        <v>0</v>
      </c>
      <c r="AN135" s="79">
        <v>0</v>
      </c>
      <c r="AO135" s="79">
        <v>0</v>
      </c>
      <c r="AP135" s="79">
        <v>567</v>
      </c>
      <c r="AQ135" s="79">
        <v>0</v>
      </c>
      <c r="AR135" s="80">
        <v>1.5291099999999999E-4</v>
      </c>
      <c r="AS135" s="80">
        <v>5.8019899999999999E-4</v>
      </c>
      <c r="AT135" s="79">
        <v>55740.245999999999</v>
      </c>
      <c r="AU135" s="79">
        <v>0</v>
      </c>
      <c r="AV135" s="79">
        <v>2435.04</v>
      </c>
      <c r="AW135" s="79">
        <v>99849.024000000005</v>
      </c>
      <c r="AX135" s="79">
        <v>1</v>
      </c>
      <c r="AY135" s="79">
        <v>1.1599999999999999</v>
      </c>
      <c r="AZ135" s="79">
        <v>6337</v>
      </c>
      <c r="BA135" s="79">
        <v>1</v>
      </c>
      <c r="BB135" s="79">
        <v>0</v>
      </c>
      <c r="BC135" s="79">
        <v>0</v>
      </c>
      <c r="BD135" s="79">
        <v>0</v>
      </c>
      <c r="BE135" s="79">
        <v>0</v>
      </c>
      <c r="BF135" s="79">
        <v>0</v>
      </c>
      <c r="BG135" s="79">
        <v>0</v>
      </c>
      <c r="BH135" s="79">
        <v>0</v>
      </c>
      <c r="BI135" s="79">
        <v>0</v>
      </c>
      <c r="BJ135" s="79">
        <v>0</v>
      </c>
      <c r="BK135" s="79">
        <v>35</v>
      </c>
      <c r="BL135" s="79">
        <v>10414</v>
      </c>
      <c r="BM135" s="79">
        <v>286</v>
      </c>
      <c r="BN135" s="79">
        <v>29</v>
      </c>
      <c r="BO135">
        <v>12313</v>
      </c>
      <c r="BP135">
        <v>5537</v>
      </c>
      <c r="BQ135">
        <v>12203</v>
      </c>
      <c r="BR135">
        <v>5558</v>
      </c>
      <c r="BS135">
        <v>12182</v>
      </c>
      <c r="BT135">
        <v>5672</v>
      </c>
      <c r="BU135">
        <v>12020</v>
      </c>
      <c r="BV135">
        <v>5624</v>
      </c>
      <c r="BW135">
        <v>11945</v>
      </c>
      <c r="BX135">
        <v>5415</v>
      </c>
      <c r="BY135">
        <v>11909</v>
      </c>
      <c r="BZ135">
        <v>5430</v>
      </c>
      <c r="CB135">
        <v>1371.12</v>
      </c>
      <c r="CC135">
        <v>178</v>
      </c>
      <c r="CD135">
        <v>216</v>
      </c>
      <c r="CE135">
        <v>19709.8</v>
      </c>
      <c r="CF135">
        <v>4404.4799999999996</v>
      </c>
      <c r="CG135">
        <v>475.47841762333201</v>
      </c>
      <c r="CH135">
        <v>844</v>
      </c>
      <c r="CI135">
        <v>370.33333333333297</v>
      </c>
      <c r="CJ135">
        <v>327.66666666666703</v>
      </c>
      <c r="CK135" s="81">
        <v>3285</v>
      </c>
      <c r="CL135">
        <v>723</v>
      </c>
      <c r="CM135">
        <v>10105.441842296999</v>
      </c>
      <c r="CN135">
        <v>2.3570000000000002</v>
      </c>
      <c r="CO135">
        <v>50455</v>
      </c>
      <c r="CP135">
        <v>8259</v>
      </c>
      <c r="CQ135">
        <v>920</v>
      </c>
      <c r="CR135">
        <v>2009</v>
      </c>
      <c r="CS135">
        <v>1191</v>
      </c>
      <c r="CT135">
        <v>492</v>
      </c>
      <c r="CU135">
        <v>951.92253169819196</v>
      </c>
      <c r="CV135">
        <v>438.73375597588898</v>
      </c>
      <c r="CW135">
        <v>125.098648929536</v>
      </c>
      <c r="CX135">
        <v>2364.5798</v>
      </c>
      <c r="CY135">
        <v>1089.8166000000001</v>
      </c>
      <c r="CZ135">
        <v>310.74560000000002</v>
      </c>
      <c r="DA135">
        <v>26460</v>
      </c>
      <c r="DE135">
        <v>388</v>
      </c>
      <c r="DF135" t="s">
        <v>105</v>
      </c>
      <c r="DG135">
        <v>3883</v>
      </c>
      <c r="DH135">
        <v>3844</v>
      </c>
      <c r="DI135">
        <v>3804</v>
      </c>
      <c r="DJ135">
        <v>3748</v>
      </c>
      <c r="DK135">
        <v>3672</v>
      </c>
      <c r="DO135">
        <v>307</v>
      </c>
      <c r="DP135" t="s">
        <v>24</v>
      </c>
      <c r="DQ135">
        <v>67147</v>
      </c>
      <c r="DR135">
        <v>1</v>
      </c>
      <c r="DS135">
        <v>2271</v>
      </c>
      <c r="DV135">
        <v>523</v>
      </c>
      <c r="DW135" t="s">
        <v>131</v>
      </c>
      <c r="DX135">
        <v>1830.454283242</v>
      </c>
      <c r="DY135">
        <v>315</v>
      </c>
      <c r="DZ135">
        <v>350</v>
      </c>
      <c r="EA135">
        <v>207</v>
      </c>
      <c r="EB135">
        <v>1111</v>
      </c>
      <c r="EC135">
        <v>719</v>
      </c>
      <c r="ED135">
        <v>289</v>
      </c>
      <c r="EE135" s="82">
        <v>0.151539684381201</v>
      </c>
      <c r="EF135" s="82">
        <v>0.43755088512974499</v>
      </c>
    </row>
    <row r="136" spans="1:136" x14ac:dyDescent="0.35">
      <c r="A136" s="72">
        <v>589</v>
      </c>
      <c r="B136" s="72">
        <v>6</v>
      </c>
      <c r="D136" s="72" t="s">
        <v>241</v>
      </c>
      <c r="E136" s="79">
        <v>1004000000</v>
      </c>
      <c r="F136" s="79">
        <v>117600000</v>
      </c>
      <c r="G136" s="79">
        <v>139300000</v>
      </c>
      <c r="H136" s="79">
        <v>10201</v>
      </c>
      <c r="I136" s="79">
        <v>1</v>
      </c>
      <c r="J136" s="79">
        <v>139.30000000000001</v>
      </c>
      <c r="K136" s="79">
        <v>2135</v>
      </c>
      <c r="L136" s="79">
        <v>2065</v>
      </c>
      <c r="M136" s="79">
        <v>684</v>
      </c>
      <c r="N136" s="79">
        <v>1154</v>
      </c>
      <c r="O136" s="79">
        <v>719</v>
      </c>
      <c r="P136" s="79">
        <v>81</v>
      </c>
      <c r="Q136" s="79">
        <v>384</v>
      </c>
      <c r="R136" s="79">
        <v>220</v>
      </c>
      <c r="S136" s="79">
        <v>0</v>
      </c>
      <c r="T136" s="79">
        <v>257</v>
      </c>
      <c r="U136" s="79">
        <v>4328</v>
      </c>
      <c r="V136" s="79">
        <v>8020</v>
      </c>
      <c r="W136" s="79">
        <v>700</v>
      </c>
      <c r="X136" s="79">
        <v>0</v>
      </c>
      <c r="Y136" s="79">
        <v>0</v>
      </c>
      <c r="Z136" s="79">
        <v>0</v>
      </c>
      <c r="AA136" s="79">
        <v>0</v>
      </c>
      <c r="AB136" s="79">
        <v>0</v>
      </c>
      <c r="AC136" s="79">
        <v>3901</v>
      </c>
      <c r="AD136" s="79">
        <v>6397.64</v>
      </c>
      <c r="AE136" s="79">
        <v>109</v>
      </c>
      <c r="AF136" s="79">
        <v>0</v>
      </c>
      <c r="AG136" s="79">
        <v>85</v>
      </c>
      <c r="AH136" s="79">
        <v>76.959999999999994</v>
      </c>
      <c r="AI136" s="79">
        <v>55.11</v>
      </c>
      <c r="AJ136" s="79">
        <v>4350</v>
      </c>
      <c r="AK136" s="79">
        <v>6438</v>
      </c>
      <c r="AL136" s="79">
        <v>13</v>
      </c>
      <c r="AM136" s="79">
        <v>0</v>
      </c>
      <c r="AN136" s="79">
        <v>0</v>
      </c>
      <c r="AO136" s="79">
        <v>3350</v>
      </c>
      <c r="AP136" s="79">
        <v>707</v>
      </c>
      <c r="AQ136" s="79">
        <v>707</v>
      </c>
      <c r="AR136" s="80">
        <v>1.83189E-4</v>
      </c>
      <c r="AS136" s="80">
        <v>4.7942999999999998E-5</v>
      </c>
      <c r="AT136" s="79">
        <v>3723.6</v>
      </c>
      <c r="AU136" s="79">
        <v>0</v>
      </c>
      <c r="AV136" s="79">
        <v>4685.4799999999996</v>
      </c>
      <c r="AW136" s="79">
        <v>33621.987221945099</v>
      </c>
      <c r="AX136" s="79">
        <v>3</v>
      </c>
      <c r="AY136" s="79">
        <v>5.01</v>
      </c>
      <c r="AZ136" s="79">
        <v>1475</v>
      </c>
      <c r="BA136" s="79">
        <v>1</v>
      </c>
      <c r="BB136" s="79">
        <v>0</v>
      </c>
      <c r="BC136" s="79">
        <v>0</v>
      </c>
      <c r="BD136" s="79">
        <v>0</v>
      </c>
      <c r="BE136" s="79">
        <v>0</v>
      </c>
      <c r="BF136" s="79">
        <v>0</v>
      </c>
      <c r="BG136" s="79">
        <v>0</v>
      </c>
      <c r="BH136" s="79">
        <v>0</v>
      </c>
      <c r="BI136" s="79">
        <v>0</v>
      </c>
      <c r="BJ136" s="79">
        <v>0</v>
      </c>
      <c r="BK136" s="79">
        <v>1</v>
      </c>
      <c r="BL136" s="79">
        <v>1291</v>
      </c>
      <c r="BM136" s="79">
        <v>52</v>
      </c>
      <c r="BN136" s="79">
        <v>33</v>
      </c>
      <c r="BO136">
        <v>2366</v>
      </c>
      <c r="BP136">
        <v>0</v>
      </c>
      <c r="BQ136">
        <v>2316</v>
      </c>
      <c r="BR136">
        <v>0</v>
      </c>
      <c r="BS136">
        <v>2301</v>
      </c>
      <c r="BT136">
        <v>0</v>
      </c>
      <c r="BU136">
        <v>2286</v>
      </c>
      <c r="BV136">
        <v>0</v>
      </c>
      <c r="BW136">
        <v>2259</v>
      </c>
      <c r="BX136">
        <v>0</v>
      </c>
      <c r="BY136">
        <v>2231</v>
      </c>
      <c r="BZ136">
        <v>0</v>
      </c>
      <c r="CB136">
        <v>175.07</v>
      </c>
      <c r="CC136">
        <v>23</v>
      </c>
      <c r="CD136">
        <v>22</v>
      </c>
      <c r="CE136">
        <v>3340.91</v>
      </c>
      <c r="CF136">
        <v>935.2</v>
      </c>
      <c r="CG136">
        <v>23.233669527897</v>
      </c>
      <c r="CH136">
        <v>124</v>
      </c>
      <c r="CI136">
        <v>33.3333333333333</v>
      </c>
      <c r="CJ136">
        <v>25</v>
      </c>
      <c r="CK136" s="81">
        <v>303</v>
      </c>
      <c r="CL136">
        <v>69</v>
      </c>
      <c r="CM136">
        <v>1175.63758781968</v>
      </c>
      <c r="CN136">
        <v>5.0999999999999997E-2</v>
      </c>
      <c r="CO136">
        <v>8136</v>
      </c>
      <c r="CP136">
        <v>1182</v>
      </c>
      <c r="CQ136">
        <v>199</v>
      </c>
      <c r="CR136">
        <v>257</v>
      </c>
      <c r="CS136">
        <v>237</v>
      </c>
      <c r="CT136">
        <v>103</v>
      </c>
      <c r="CU136">
        <v>126.114252873563</v>
      </c>
      <c r="CV136">
        <v>77.023908045976995</v>
      </c>
      <c r="CW136">
        <v>21.8179310344828</v>
      </c>
      <c r="CX136">
        <v>264.60840000000002</v>
      </c>
      <c r="CY136">
        <v>161.6088</v>
      </c>
      <c r="CZ136">
        <v>45.7776</v>
      </c>
      <c r="DA136">
        <v>0</v>
      </c>
      <c r="DE136">
        <v>392</v>
      </c>
      <c r="DF136" t="s">
        <v>126</v>
      </c>
      <c r="DG136">
        <v>28977</v>
      </c>
      <c r="DH136">
        <v>29251</v>
      </c>
      <c r="DI136">
        <v>29639</v>
      </c>
      <c r="DJ136">
        <v>29950</v>
      </c>
      <c r="DK136">
        <v>30465</v>
      </c>
      <c r="DO136">
        <v>308</v>
      </c>
      <c r="DP136" t="s">
        <v>33</v>
      </c>
      <c r="DQ136">
        <v>12394</v>
      </c>
      <c r="DR136">
        <v>1</v>
      </c>
      <c r="DS136">
        <v>1577</v>
      </c>
      <c r="DV136">
        <v>17</v>
      </c>
      <c r="DW136" t="s">
        <v>798</v>
      </c>
      <c r="DX136">
        <v>2289.8803261743401</v>
      </c>
      <c r="DY136">
        <v>601</v>
      </c>
      <c r="DZ136">
        <v>592</v>
      </c>
      <c r="EA136">
        <v>391</v>
      </c>
      <c r="EB136">
        <v>1651</v>
      </c>
      <c r="EC136">
        <v>1166</v>
      </c>
      <c r="ED136">
        <v>559</v>
      </c>
      <c r="EE136" s="82">
        <v>0.14498559175931799</v>
      </c>
      <c r="EF136" s="82">
        <v>0.27402784895566401</v>
      </c>
    </row>
    <row r="137" spans="1:136" x14ac:dyDescent="0.35">
      <c r="A137" s="72">
        <v>339</v>
      </c>
      <c r="B137" s="72">
        <v>6</v>
      </c>
      <c r="D137" s="72" t="s">
        <v>252</v>
      </c>
      <c r="E137" s="79">
        <v>482000000</v>
      </c>
      <c r="F137" s="79">
        <v>108500000</v>
      </c>
      <c r="G137" s="79">
        <v>118650000</v>
      </c>
      <c r="H137" s="79">
        <v>5259</v>
      </c>
      <c r="I137" s="79">
        <v>1</v>
      </c>
      <c r="J137" s="79">
        <v>118.65</v>
      </c>
      <c r="K137" s="79">
        <v>1373</v>
      </c>
      <c r="L137" s="79">
        <v>801</v>
      </c>
      <c r="M137" s="79">
        <v>232</v>
      </c>
      <c r="N137" s="79">
        <v>435</v>
      </c>
      <c r="O137" s="79">
        <v>232.7</v>
      </c>
      <c r="P137" s="79">
        <v>32</v>
      </c>
      <c r="Q137" s="79">
        <v>144</v>
      </c>
      <c r="R137" s="79">
        <v>70</v>
      </c>
      <c r="S137" s="79">
        <v>0</v>
      </c>
      <c r="T137" s="79">
        <v>85</v>
      </c>
      <c r="U137" s="79">
        <v>1996</v>
      </c>
      <c r="V137" s="79">
        <v>3470</v>
      </c>
      <c r="W137" s="79">
        <v>300</v>
      </c>
      <c r="X137" s="79">
        <v>0</v>
      </c>
      <c r="Y137" s="79">
        <v>0</v>
      </c>
      <c r="Z137" s="79">
        <v>0</v>
      </c>
      <c r="AA137" s="79">
        <v>0</v>
      </c>
      <c r="AB137" s="79">
        <v>0</v>
      </c>
      <c r="AC137" s="79">
        <v>1839</v>
      </c>
      <c r="AD137" s="79">
        <v>1839</v>
      </c>
      <c r="AE137" s="79">
        <v>12</v>
      </c>
      <c r="AF137" s="79">
        <v>0</v>
      </c>
      <c r="AG137" s="79">
        <v>63</v>
      </c>
      <c r="AH137" s="79">
        <v>32</v>
      </c>
      <c r="AI137" s="79">
        <v>30</v>
      </c>
      <c r="AJ137" s="79">
        <v>2023</v>
      </c>
      <c r="AK137" s="79">
        <v>2023</v>
      </c>
      <c r="AL137" s="79">
        <v>0</v>
      </c>
      <c r="AM137" s="79">
        <v>0</v>
      </c>
      <c r="AN137" s="79">
        <v>0</v>
      </c>
      <c r="AO137" s="79">
        <v>0</v>
      </c>
      <c r="AP137" s="79">
        <v>0</v>
      </c>
      <c r="AQ137" s="79">
        <v>0</v>
      </c>
      <c r="AR137" s="80">
        <v>2.3407000000000001E-5</v>
      </c>
      <c r="AS137" s="80">
        <v>7.3950000000000003E-6</v>
      </c>
      <c r="AT137" s="79">
        <v>971.04</v>
      </c>
      <c r="AU137" s="79">
        <v>0</v>
      </c>
      <c r="AV137" s="79">
        <v>385</v>
      </c>
      <c r="AW137" s="79">
        <v>1093.84927066451</v>
      </c>
      <c r="AX137" s="79">
        <v>1</v>
      </c>
      <c r="AY137" s="79">
        <v>1</v>
      </c>
      <c r="AZ137" s="79">
        <v>792</v>
      </c>
      <c r="BA137" s="79">
        <v>1</v>
      </c>
      <c r="BB137" s="79">
        <v>0</v>
      </c>
      <c r="BC137" s="79">
        <v>0</v>
      </c>
      <c r="BD137" s="79">
        <v>0</v>
      </c>
      <c r="BE137" s="79">
        <v>0</v>
      </c>
      <c r="BF137" s="79">
        <v>0</v>
      </c>
      <c r="BG137" s="79">
        <v>0</v>
      </c>
      <c r="BH137" s="79">
        <v>0</v>
      </c>
      <c r="BI137" s="79">
        <v>0</v>
      </c>
      <c r="BJ137" s="79">
        <v>0</v>
      </c>
      <c r="BK137" s="79">
        <v>0</v>
      </c>
      <c r="BL137" s="79">
        <v>512</v>
      </c>
      <c r="BM137" s="79">
        <v>32</v>
      </c>
      <c r="BN137" s="79">
        <v>30</v>
      </c>
      <c r="BO137">
        <v>1250</v>
      </c>
      <c r="BP137">
        <v>0</v>
      </c>
      <c r="BQ137">
        <v>1260</v>
      </c>
      <c r="BR137">
        <v>0</v>
      </c>
      <c r="BS137">
        <v>1286</v>
      </c>
      <c r="BT137">
        <v>0</v>
      </c>
      <c r="BU137">
        <v>1288</v>
      </c>
      <c r="BV137">
        <v>0</v>
      </c>
      <c r="BW137">
        <v>1304</v>
      </c>
      <c r="BX137">
        <v>0</v>
      </c>
      <c r="BY137">
        <v>1311</v>
      </c>
      <c r="BZ137">
        <v>0</v>
      </c>
      <c r="CB137">
        <v>75.515000000000001</v>
      </c>
      <c r="CC137">
        <v>15</v>
      </c>
      <c r="CD137">
        <v>12</v>
      </c>
      <c r="CE137">
        <v>1491</v>
      </c>
      <c r="CF137">
        <v>463.68</v>
      </c>
      <c r="CG137">
        <v>42.156424206815501</v>
      </c>
      <c r="CH137">
        <v>41</v>
      </c>
      <c r="CI137">
        <v>11.3333333333333</v>
      </c>
      <c r="CJ137">
        <v>6.3333333333333304</v>
      </c>
      <c r="CK137" s="81">
        <v>112</v>
      </c>
      <c r="CL137">
        <v>24</v>
      </c>
      <c r="CM137">
        <v>372.61748564640698</v>
      </c>
      <c r="CN137">
        <v>2.5999999999999999E-2</v>
      </c>
      <c r="CO137">
        <v>4458</v>
      </c>
      <c r="CP137">
        <v>510</v>
      </c>
      <c r="CQ137">
        <v>59</v>
      </c>
      <c r="CR137">
        <v>89</v>
      </c>
      <c r="CS137">
        <v>79</v>
      </c>
      <c r="CT137">
        <v>33</v>
      </c>
      <c r="CU137">
        <v>35.773455264458697</v>
      </c>
      <c r="CV137">
        <v>19.324567474048401</v>
      </c>
      <c r="CW137">
        <v>5.5213049925852697</v>
      </c>
      <c r="CX137">
        <v>121.29</v>
      </c>
      <c r="CY137">
        <v>65.52</v>
      </c>
      <c r="CZ137">
        <v>18.72</v>
      </c>
      <c r="DA137">
        <v>0</v>
      </c>
      <c r="DE137">
        <v>393</v>
      </c>
      <c r="DF137" t="s">
        <v>811</v>
      </c>
      <c r="DG137">
        <v>1234</v>
      </c>
      <c r="DH137">
        <v>1200</v>
      </c>
      <c r="DI137">
        <v>1184</v>
      </c>
      <c r="DJ137">
        <v>1162</v>
      </c>
      <c r="DK137">
        <v>1150</v>
      </c>
      <c r="DO137">
        <v>312</v>
      </c>
      <c r="DP137" t="s">
        <v>65</v>
      </c>
      <c r="DQ137">
        <v>6431</v>
      </c>
      <c r="DR137">
        <v>1</v>
      </c>
      <c r="DS137">
        <v>658</v>
      </c>
      <c r="DV137">
        <v>72</v>
      </c>
      <c r="DW137" t="s">
        <v>132</v>
      </c>
      <c r="DX137">
        <v>2805.5313762456199</v>
      </c>
      <c r="DY137">
        <v>553</v>
      </c>
      <c r="DZ137">
        <v>378</v>
      </c>
      <c r="EA137">
        <v>190</v>
      </c>
      <c r="EB137">
        <v>1441</v>
      </c>
      <c r="EC137">
        <v>813</v>
      </c>
      <c r="ED137">
        <v>243</v>
      </c>
      <c r="EE137" s="82">
        <v>0.26392935221761898</v>
      </c>
      <c r="EF137" s="82">
        <v>0.59324584449704798</v>
      </c>
    </row>
    <row r="138" spans="1:136" x14ac:dyDescent="0.35">
      <c r="A138" s="72">
        <v>340</v>
      </c>
      <c r="B138" s="72">
        <v>6</v>
      </c>
      <c r="D138" s="72" t="s">
        <v>255</v>
      </c>
      <c r="E138" s="79">
        <v>1863600000</v>
      </c>
      <c r="F138" s="79">
        <v>206500000</v>
      </c>
      <c r="G138" s="79">
        <v>230650000</v>
      </c>
      <c r="H138" s="79">
        <v>20004</v>
      </c>
      <c r="I138" s="79">
        <v>3</v>
      </c>
      <c r="J138" s="79">
        <v>230.65</v>
      </c>
      <c r="K138" s="79">
        <v>4395</v>
      </c>
      <c r="L138" s="79">
        <v>4220</v>
      </c>
      <c r="M138" s="79">
        <v>1397</v>
      </c>
      <c r="N138" s="79">
        <v>2220</v>
      </c>
      <c r="O138" s="79">
        <v>1398.1</v>
      </c>
      <c r="P138" s="79">
        <v>256.33333333333297</v>
      </c>
      <c r="Q138" s="79">
        <v>1142.3333333333301</v>
      </c>
      <c r="R138" s="79">
        <v>710</v>
      </c>
      <c r="S138" s="79">
        <v>0</v>
      </c>
      <c r="T138" s="79">
        <v>455</v>
      </c>
      <c r="U138" s="79">
        <v>8557</v>
      </c>
      <c r="V138" s="79">
        <v>16900</v>
      </c>
      <c r="W138" s="79">
        <v>4030</v>
      </c>
      <c r="X138" s="79">
        <v>0</v>
      </c>
      <c r="Y138" s="79">
        <v>202.4</v>
      </c>
      <c r="Z138" s="79">
        <v>0</v>
      </c>
      <c r="AA138" s="79">
        <v>0</v>
      </c>
      <c r="AB138" s="79">
        <v>108.9</v>
      </c>
      <c r="AC138" s="79">
        <v>4207</v>
      </c>
      <c r="AD138" s="79">
        <v>4207</v>
      </c>
      <c r="AE138" s="79">
        <v>169</v>
      </c>
      <c r="AF138" s="79">
        <v>0</v>
      </c>
      <c r="AG138" s="79">
        <v>130</v>
      </c>
      <c r="AH138" s="79">
        <v>90</v>
      </c>
      <c r="AI138" s="79">
        <v>40</v>
      </c>
      <c r="AJ138" s="79">
        <v>8219</v>
      </c>
      <c r="AK138" s="79">
        <v>8219</v>
      </c>
      <c r="AL138" s="79">
        <v>5</v>
      </c>
      <c r="AM138" s="79">
        <v>0</v>
      </c>
      <c r="AN138" s="79">
        <v>0</v>
      </c>
      <c r="AO138" s="79">
        <v>0</v>
      </c>
      <c r="AP138" s="79">
        <v>872</v>
      </c>
      <c r="AQ138" s="79">
        <v>872</v>
      </c>
      <c r="AR138" s="80">
        <v>1.7055600000000001E-4</v>
      </c>
      <c r="AS138" s="80">
        <v>2.3299900000000001E-4</v>
      </c>
      <c r="AT138" s="79">
        <v>7545.0420000000004</v>
      </c>
      <c r="AU138" s="79">
        <v>0</v>
      </c>
      <c r="AV138" s="79">
        <v>672</v>
      </c>
      <c r="AW138" s="79">
        <v>3071.9122486288802</v>
      </c>
      <c r="AX138" s="79">
        <v>7</v>
      </c>
      <c r="AY138" s="79">
        <v>7</v>
      </c>
      <c r="AZ138" s="79">
        <v>2244</v>
      </c>
      <c r="BA138" s="79">
        <v>1</v>
      </c>
      <c r="BB138" s="79">
        <v>0</v>
      </c>
      <c r="BC138" s="79">
        <v>0</v>
      </c>
      <c r="BD138" s="79">
        <v>0</v>
      </c>
      <c r="BE138" s="79">
        <v>0</v>
      </c>
      <c r="BF138" s="79">
        <v>0</v>
      </c>
      <c r="BG138" s="79">
        <v>0</v>
      </c>
      <c r="BH138" s="79">
        <v>0</v>
      </c>
      <c r="BI138" s="79">
        <v>0</v>
      </c>
      <c r="BJ138" s="79">
        <v>0</v>
      </c>
      <c r="BK138" s="79">
        <v>21</v>
      </c>
      <c r="BL138" s="79">
        <v>2564</v>
      </c>
      <c r="BM138" s="79">
        <v>90</v>
      </c>
      <c r="BN138" s="79">
        <v>40</v>
      </c>
      <c r="BO138">
        <v>4482</v>
      </c>
      <c r="BP138">
        <v>131</v>
      </c>
      <c r="BQ138">
        <v>4464</v>
      </c>
      <c r="BR138">
        <v>165</v>
      </c>
      <c r="BS138">
        <v>4507</v>
      </c>
      <c r="BT138">
        <v>169</v>
      </c>
      <c r="BU138">
        <v>4453</v>
      </c>
      <c r="BV138">
        <v>209</v>
      </c>
      <c r="BW138">
        <v>4421</v>
      </c>
      <c r="BX138">
        <v>263</v>
      </c>
      <c r="BY138">
        <v>4400</v>
      </c>
      <c r="BZ138">
        <v>492</v>
      </c>
      <c r="CB138">
        <v>408.73500000000001</v>
      </c>
      <c r="CC138">
        <v>145</v>
      </c>
      <c r="CD138">
        <v>53</v>
      </c>
      <c r="CE138">
        <v>5782.7</v>
      </c>
      <c r="CF138">
        <v>1476.68</v>
      </c>
      <c r="CG138">
        <v>151.95491476304099</v>
      </c>
      <c r="CH138">
        <v>169</v>
      </c>
      <c r="CI138">
        <v>76.6666666666667</v>
      </c>
      <c r="CJ138">
        <v>57.6666666666667</v>
      </c>
      <c r="CK138" s="81">
        <v>886</v>
      </c>
      <c r="CL138">
        <v>340</v>
      </c>
      <c r="CM138">
        <v>2574.7416494845402</v>
      </c>
      <c r="CN138">
        <v>0.34399999999999997</v>
      </c>
      <c r="CO138">
        <v>15784</v>
      </c>
      <c r="CP138">
        <v>2342</v>
      </c>
      <c r="CQ138">
        <v>481</v>
      </c>
      <c r="CR138">
        <v>438</v>
      </c>
      <c r="CS138">
        <v>479</v>
      </c>
      <c r="CT138">
        <v>243</v>
      </c>
      <c r="CU138">
        <v>239.168828324614</v>
      </c>
      <c r="CV138">
        <v>166.53362939530399</v>
      </c>
      <c r="CW138">
        <v>62.258741939408701</v>
      </c>
      <c r="CX138">
        <v>583.49</v>
      </c>
      <c r="CY138">
        <v>406.28500000000003</v>
      </c>
      <c r="CZ138">
        <v>151.88999999999999</v>
      </c>
      <c r="DA138">
        <v>64970</v>
      </c>
      <c r="DE138">
        <v>394</v>
      </c>
      <c r="DF138" t="s">
        <v>127</v>
      </c>
      <c r="DG138">
        <v>34322</v>
      </c>
      <c r="DH138">
        <v>34335</v>
      </c>
      <c r="DI138">
        <v>34226</v>
      </c>
      <c r="DJ138">
        <v>34180</v>
      </c>
      <c r="DK138">
        <v>33772</v>
      </c>
      <c r="DO138">
        <v>313</v>
      </c>
      <c r="DP138" t="s">
        <v>66</v>
      </c>
      <c r="DQ138">
        <v>8287</v>
      </c>
      <c r="DR138">
        <v>1</v>
      </c>
      <c r="DS138">
        <v>1157</v>
      </c>
      <c r="DV138">
        <v>244</v>
      </c>
      <c r="DW138" t="s">
        <v>133</v>
      </c>
      <c r="DX138">
        <v>1334.18433179724</v>
      </c>
      <c r="DY138">
        <v>254</v>
      </c>
      <c r="DZ138">
        <v>267</v>
      </c>
      <c r="EA138">
        <v>161</v>
      </c>
      <c r="EB138">
        <v>925</v>
      </c>
      <c r="EC138">
        <v>587</v>
      </c>
      <c r="ED138">
        <v>227</v>
      </c>
      <c r="EE138" s="82">
        <v>0.145796671296469</v>
      </c>
      <c r="EF138" s="82">
        <v>0.40413750931708498</v>
      </c>
    </row>
    <row r="139" spans="1:136" x14ac:dyDescent="0.35">
      <c r="A139" s="72">
        <v>342</v>
      </c>
      <c r="B139" s="72">
        <v>6</v>
      </c>
      <c r="D139" s="72" t="s">
        <v>279</v>
      </c>
      <c r="E139" s="79">
        <v>5123600000</v>
      </c>
      <c r="F139" s="79">
        <v>661500000</v>
      </c>
      <c r="G139" s="79">
        <v>673400000</v>
      </c>
      <c r="H139" s="79">
        <v>46194</v>
      </c>
      <c r="I139" s="79">
        <v>2</v>
      </c>
      <c r="J139" s="79">
        <v>673.4</v>
      </c>
      <c r="K139" s="79">
        <v>9421</v>
      </c>
      <c r="L139" s="79">
        <v>10389</v>
      </c>
      <c r="M139" s="79">
        <v>3228</v>
      </c>
      <c r="N139" s="79">
        <v>5595</v>
      </c>
      <c r="O139" s="79">
        <v>3501.4</v>
      </c>
      <c r="P139" s="79">
        <v>742.66666666666697</v>
      </c>
      <c r="Q139" s="79">
        <v>2891.6666666666702</v>
      </c>
      <c r="R139" s="79">
        <v>4155</v>
      </c>
      <c r="S139" s="79">
        <v>0</v>
      </c>
      <c r="T139" s="79">
        <v>1388</v>
      </c>
      <c r="U139" s="79">
        <v>20876</v>
      </c>
      <c r="V139" s="79">
        <v>42520</v>
      </c>
      <c r="W139" s="79">
        <v>23330</v>
      </c>
      <c r="X139" s="79">
        <v>529.38</v>
      </c>
      <c r="Y139" s="79">
        <v>1164.8</v>
      </c>
      <c r="Z139" s="79">
        <v>0</v>
      </c>
      <c r="AA139" s="79">
        <v>0</v>
      </c>
      <c r="AB139" s="79">
        <v>0</v>
      </c>
      <c r="AC139" s="79">
        <v>4625</v>
      </c>
      <c r="AD139" s="79">
        <v>4625</v>
      </c>
      <c r="AE139" s="79">
        <v>18</v>
      </c>
      <c r="AF139" s="79">
        <v>0</v>
      </c>
      <c r="AG139" s="79">
        <v>263</v>
      </c>
      <c r="AH139" s="79">
        <v>236</v>
      </c>
      <c r="AI139" s="79">
        <v>27</v>
      </c>
      <c r="AJ139" s="79">
        <v>20936</v>
      </c>
      <c r="AK139" s="79">
        <v>20936</v>
      </c>
      <c r="AL139" s="79">
        <v>0</v>
      </c>
      <c r="AM139" s="79">
        <v>0</v>
      </c>
      <c r="AN139" s="79">
        <v>0</v>
      </c>
      <c r="AO139" s="79">
        <v>0</v>
      </c>
      <c r="AP139" s="79">
        <v>1926</v>
      </c>
      <c r="AQ139" s="79">
        <v>0</v>
      </c>
      <c r="AR139" s="80">
        <v>5.4898299999999996E-4</v>
      </c>
      <c r="AS139" s="80">
        <v>9.1144700000000002E-4</v>
      </c>
      <c r="AT139" s="79">
        <v>30796.856</v>
      </c>
      <c r="AU139" s="79">
        <v>0</v>
      </c>
      <c r="AV139" s="79">
        <v>378</v>
      </c>
      <c r="AW139" s="79">
        <v>3760.78656041353</v>
      </c>
      <c r="AX139" s="79">
        <v>4</v>
      </c>
      <c r="AY139" s="79">
        <v>4</v>
      </c>
      <c r="AZ139" s="79">
        <v>6184</v>
      </c>
      <c r="BA139" s="79">
        <v>1</v>
      </c>
      <c r="BB139" s="79">
        <v>0</v>
      </c>
      <c r="BC139" s="79">
        <v>0</v>
      </c>
      <c r="BD139" s="79">
        <v>0</v>
      </c>
      <c r="BE139" s="79">
        <v>0</v>
      </c>
      <c r="BF139" s="79">
        <v>0</v>
      </c>
      <c r="BG139" s="79">
        <v>0</v>
      </c>
      <c r="BH139" s="79">
        <v>0</v>
      </c>
      <c r="BI139" s="79">
        <v>0</v>
      </c>
      <c r="BJ139" s="79">
        <v>0</v>
      </c>
      <c r="BK139" s="79">
        <v>30</v>
      </c>
      <c r="BL139" s="79">
        <v>6998</v>
      </c>
      <c r="BM139" s="79">
        <v>236</v>
      </c>
      <c r="BN139" s="79">
        <v>27</v>
      </c>
      <c r="BO139">
        <v>10027</v>
      </c>
      <c r="BP139">
        <v>1508</v>
      </c>
      <c r="BQ139">
        <v>9986</v>
      </c>
      <c r="BR139">
        <v>1551</v>
      </c>
      <c r="BS139">
        <v>9958</v>
      </c>
      <c r="BT139">
        <v>1565</v>
      </c>
      <c r="BU139">
        <v>9873</v>
      </c>
      <c r="BV139">
        <v>1564</v>
      </c>
      <c r="BW139">
        <v>9761</v>
      </c>
      <c r="BX139">
        <v>1549</v>
      </c>
      <c r="BY139">
        <v>9675</v>
      </c>
      <c r="BZ139">
        <v>1475</v>
      </c>
      <c r="CB139">
        <v>998.62599999999998</v>
      </c>
      <c r="CC139">
        <v>97</v>
      </c>
      <c r="CD139">
        <v>145</v>
      </c>
      <c r="CE139">
        <v>16320.8</v>
      </c>
      <c r="CF139">
        <v>3997.6</v>
      </c>
      <c r="CG139">
        <v>325.47372297010099</v>
      </c>
      <c r="CH139">
        <v>534</v>
      </c>
      <c r="CI139">
        <v>233.666666666667</v>
      </c>
      <c r="CJ139">
        <v>181</v>
      </c>
      <c r="CK139" s="81">
        <v>2149</v>
      </c>
      <c r="CL139">
        <v>535</v>
      </c>
      <c r="CM139">
        <v>6065.3909169652898</v>
      </c>
      <c r="CN139">
        <v>1.0009999999999999</v>
      </c>
      <c r="CO139">
        <v>35805</v>
      </c>
      <c r="CP139">
        <v>5857</v>
      </c>
      <c r="CQ139">
        <v>1304</v>
      </c>
      <c r="CR139">
        <v>1364</v>
      </c>
      <c r="CS139">
        <v>1177</v>
      </c>
      <c r="CT139">
        <v>738</v>
      </c>
      <c r="CU139">
        <v>619.13368360718403</v>
      </c>
      <c r="CV139">
        <v>385.66241880015298</v>
      </c>
      <c r="CW139">
        <v>169.24994268246101</v>
      </c>
      <c r="CX139">
        <v>1249.0547999999999</v>
      </c>
      <c r="CY139">
        <v>778.0444</v>
      </c>
      <c r="CZ139">
        <v>341.44880000000001</v>
      </c>
      <c r="DA139">
        <v>68299</v>
      </c>
      <c r="DE139">
        <v>396</v>
      </c>
      <c r="DF139" t="s">
        <v>134</v>
      </c>
      <c r="DG139">
        <v>8272</v>
      </c>
      <c r="DH139">
        <v>8184</v>
      </c>
      <c r="DI139">
        <v>8032</v>
      </c>
      <c r="DJ139">
        <v>7953</v>
      </c>
      <c r="DK139">
        <v>7814</v>
      </c>
      <c r="DO139">
        <v>310</v>
      </c>
      <c r="DP139" t="s">
        <v>76</v>
      </c>
      <c r="DQ139">
        <v>20090</v>
      </c>
      <c r="DR139">
        <v>1</v>
      </c>
      <c r="DS139">
        <v>1245</v>
      </c>
      <c r="DV139">
        <v>396</v>
      </c>
      <c r="DW139" t="s">
        <v>134</v>
      </c>
      <c r="DX139">
        <v>5024.1734264120496</v>
      </c>
      <c r="DY139">
        <v>1011</v>
      </c>
      <c r="DZ139">
        <v>996</v>
      </c>
      <c r="EA139">
        <v>551</v>
      </c>
      <c r="EB139">
        <v>2787</v>
      </c>
      <c r="EC139">
        <v>2033</v>
      </c>
      <c r="ED139">
        <v>788</v>
      </c>
      <c r="EE139" s="82">
        <v>0.18608207643844901</v>
      </c>
      <c r="EF139" s="82">
        <v>0.43372316852071502</v>
      </c>
    </row>
    <row r="140" spans="1:136" x14ac:dyDescent="0.35">
      <c r="A140" s="72">
        <v>1904</v>
      </c>
      <c r="B140" s="72">
        <v>6</v>
      </c>
      <c r="D140" s="72" t="s">
        <v>288</v>
      </c>
      <c r="E140" s="79">
        <v>7201200000</v>
      </c>
      <c r="F140" s="79">
        <v>676550000</v>
      </c>
      <c r="G140" s="79">
        <v>722400000</v>
      </c>
      <c r="H140" s="79">
        <v>64336</v>
      </c>
      <c r="I140" s="79">
        <v>8</v>
      </c>
      <c r="J140" s="79">
        <v>722.4</v>
      </c>
      <c r="K140" s="79">
        <v>13304</v>
      </c>
      <c r="L140" s="79">
        <v>12970</v>
      </c>
      <c r="M140" s="79">
        <v>3889</v>
      </c>
      <c r="N140" s="79">
        <v>6694</v>
      </c>
      <c r="O140" s="79">
        <v>3831.1</v>
      </c>
      <c r="P140" s="79">
        <v>825.66666666666697</v>
      </c>
      <c r="Q140" s="79">
        <v>3319.6666666666702</v>
      </c>
      <c r="R140" s="79">
        <v>3540</v>
      </c>
      <c r="S140" s="79">
        <v>0</v>
      </c>
      <c r="T140" s="79">
        <v>1994</v>
      </c>
      <c r="U140" s="79">
        <v>28401</v>
      </c>
      <c r="V140" s="79">
        <v>51190</v>
      </c>
      <c r="W140" s="79">
        <v>15680</v>
      </c>
      <c r="X140" s="79">
        <v>205.92</v>
      </c>
      <c r="Y140" s="79">
        <v>3448.8</v>
      </c>
      <c r="Z140" s="79">
        <v>0</v>
      </c>
      <c r="AA140" s="79">
        <v>0</v>
      </c>
      <c r="AB140" s="79">
        <v>190.4</v>
      </c>
      <c r="AC140" s="79">
        <v>9617</v>
      </c>
      <c r="AD140" s="79">
        <v>13559.97</v>
      </c>
      <c r="AE140" s="79">
        <v>1065</v>
      </c>
      <c r="AF140" s="79">
        <v>0</v>
      </c>
      <c r="AG140" s="79">
        <v>330</v>
      </c>
      <c r="AH140" s="79">
        <v>314.39999999999998</v>
      </c>
      <c r="AI140" s="79">
        <v>99.83</v>
      </c>
      <c r="AJ140" s="79">
        <v>28629</v>
      </c>
      <c r="AK140" s="79">
        <v>34354.800000000003</v>
      </c>
      <c r="AL140" s="79">
        <v>0</v>
      </c>
      <c r="AM140" s="79">
        <v>0</v>
      </c>
      <c r="AN140" s="79">
        <v>0</v>
      </c>
      <c r="AO140" s="79">
        <v>0</v>
      </c>
      <c r="AP140" s="79">
        <v>1520</v>
      </c>
      <c r="AQ140" s="79">
        <v>0</v>
      </c>
      <c r="AR140" s="80">
        <v>4.9929200000000003E-4</v>
      </c>
      <c r="AS140" s="80">
        <v>5.8178600000000004E-4</v>
      </c>
      <c r="AT140" s="79">
        <v>33553.188000000002</v>
      </c>
      <c r="AU140" s="79">
        <v>0</v>
      </c>
      <c r="AV140" s="79">
        <v>15201.21</v>
      </c>
      <c r="AW140" s="79">
        <v>171788.86454222101</v>
      </c>
      <c r="AX140" s="79">
        <v>19</v>
      </c>
      <c r="AY140" s="79">
        <v>28.31</v>
      </c>
      <c r="AZ140" s="79">
        <v>7942</v>
      </c>
      <c r="BA140" s="79">
        <v>1</v>
      </c>
      <c r="BB140" s="79">
        <v>0</v>
      </c>
      <c r="BC140" s="79">
        <v>0</v>
      </c>
      <c r="BD140" s="79">
        <v>0</v>
      </c>
      <c r="BE140" s="79">
        <v>0</v>
      </c>
      <c r="BF140" s="79">
        <v>0</v>
      </c>
      <c r="BG140" s="79">
        <v>0</v>
      </c>
      <c r="BH140" s="79">
        <v>0</v>
      </c>
      <c r="BI140" s="79">
        <v>0</v>
      </c>
      <c r="BJ140" s="79">
        <v>0</v>
      </c>
      <c r="BK140" s="79">
        <v>18</v>
      </c>
      <c r="BL140" s="79">
        <v>8925</v>
      </c>
      <c r="BM140" s="79">
        <v>262</v>
      </c>
      <c r="BN140" s="79">
        <v>67</v>
      </c>
      <c r="BO140">
        <v>13854</v>
      </c>
      <c r="BP140">
        <v>3746</v>
      </c>
      <c r="BQ140">
        <v>13785</v>
      </c>
      <c r="BR140">
        <v>3862</v>
      </c>
      <c r="BS140">
        <v>13753</v>
      </c>
      <c r="BT140">
        <v>3939</v>
      </c>
      <c r="BU140">
        <v>13676</v>
      </c>
      <c r="BV140">
        <v>4024</v>
      </c>
      <c r="BW140">
        <v>13636</v>
      </c>
      <c r="BX140">
        <v>4052</v>
      </c>
      <c r="BY140">
        <v>13595</v>
      </c>
      <c r="BZ140">
        <v>4131</v>
      </c>
      <c r="CB140">
        <v>1011.104</v>
      </c>
      <c r="CC140">
        <v>160</v>
      </c>
      <c r="CD140">
        <v>110</v>
      </c>
      <c r="CE140">
        <v>23138.74</v>
      </c>
      <c r="CF140">
        <v>6126.84</v>
      </c>
      <c r="CG140">
        <v>361.33281332197902</v>
      </c>
      <c r="CH140">
        <v>676</v>
      </c>
      <c r="CI140">
        <v>222.333333333333</v>
      </c>
      <c r="CJ140">
        <v>193</v>
      </c>
      <c r="CK140" s="81">
        <v>2494</v>
      </c>
      <c r="CL140">
        <v>428</v>
      </c>
      <c r="CM140">
        <v>8176.6304690841498</v>
      </c>
      <c r="CN140">
        <v>0.76500000000000001</v>
      </c>
      <c r="CO140">
        <v>51366</v>
      </c>
      <c r="CP140">
        <v>7803</v>
      </c>
      <c r="CQ140">
        <v>1278</v>
      </c>
      <c r="CR140">
        <v>1812</v>
      </c>
      <c r="CS140">
        <v>1375</v>
      </c>
      <c r="CT140">
        <v>650</v>
      </c>
      <c r="CU140">
        <v>669.22809389080999</v>
      </c>
      <c r="CV140">
        <v>371.88259806489901</v>
      </c>
      <c r="CW140">
        <v>122.979527751581</v>
      </c>
      <c r="CX140">
        <v>1566.3132000000001</v>
      </c>
      <c r="CY140">
        <v>870.38279999999997</v>
      </c>
      <c r="CZ140">
        <v>287.83080000000001</v>
      </c>
      <c r="DA140">
        <v>33031</v>
      </c>
      <c r="DE140">
        <v>397</v>
      </c>
      <c r="DF140" t="s">
        <v>135</v>
      </c>
      <c r="DG140">
        <v>5557</v>
      </c>
      <c r="DH140">
        <v>5713</v>
      </c>
      <c r="DI140">
        <v>5706</v>
      </c>
      <c r="DJ140">
        <v>5714</v>
      </c>
      <c r="DK140">
        <v>5689</v>
      </c>
      <c r="DO140">
        <v>736</v>
      </c>
      <c r="DP140" t="s">
        <v>78</v>
      </c>
      <c r="DQ140">
        <v>19050</v>
      </c>
      <c r="DR140">
        <v>1.3</v>
      </c>
      <c r="DS140">
        <v>862</v>
      </c>
      <c r="DV140">
        <v>397</v>
      </c>
      <c r="DW140" t="s">
        <v>135</v>
      </c>
      <c r="DX140">
        <v>2941.4936634494302</v>
      </c>
      <c r="DY140">
        <v>954</v>
      </c>
      <c r="DZ140">
        <v>951</v>
      </c>
      <c r="EA140">
        <v>579</v>
      </c>
      <c r="EB140">
        <v>2333</v>
      </c>
      <c r="EC140">
        <v>1737</v>
      </c>
      <c r="ED140">
        <v>791</v>
      </c>
      <c r="EE140" s="82">
        <v>0.12848327353188099</v>
      </c>
      <c r="EF140" s="82">
        <v>0.16898180588766201</v>
      </c>
    </row>
    <row r="141" spans="1:136" x14ac:dyDescent="0.35">
      <c r="A141" s="72">
        <v>344</v>
      </c>
      <c r="B141" s="72">
        <v>6</v>
      </c>
      <c r="D141" s="72" t="s">
        <v>305</v>
      </c>
      <c r="E141" s="79">
        <v>35563600000</v>
      </c>
      <c r="F141" s="79">
        <v>8527050000</v>
      </c>
      <c r="G141" s="79">
        <v>8617350000</v>
      </c>
      <c r="H141" s="79">
        <v>352866</v>
      </c>
      <c r="I141" s="79">
        <v>2</v>
      </c>
      <c r="J141" s="79">
        <v>8617.35</v>
      </c>
      <c r="K141" s="79">
        <v>69968</v>
      </c>
      <c r="L141" s="79">
        <v>36587</v>
      </c>
      <c r="M141" s="79">
        <v>11338</v>
      </c>
      <c r="N141" s="79">
        <v>48034</v>
      </c>
      <c r="O141" s="79">
        <v>31963.599999999999</v>
      </c>
      <c r="P141" s="79">
        <v>10215.666666666701</v>
      </c>
      <c r="Q141" s="79">
        <v>25160.666666666701</v>
      </c>
      <c r="R141" s="79">
        <v>59640</v>
      </c>
      <c r="S141" s="79">
        <v>0</v>
      </c>
      <c r="T141" s="79">
        <v>10078</v>
      </c>
      <c r="U141" s="79">
        <v>184246</v>
      </c>
      <c r="V141" s="79">
        <v>406280</v>
      </c>
      <c r="W141" s="79">
        <v>720110</v>
      </c>
      <c r="X141" s="79">
        <v>8267.4071999999996</v>
      </c>
      <c r="Y141" s="79">
        <v>11464</v>
      </c>
      <c r="Z141" s="79">
        <v>1077.7</v>
      </c>
      <c r="AA141" s="79">
        <v>7229.49999999999</v>
      </c>
      <c r="AB141" s="79">
        <v>3259.6</v>
      </c>
      <c r="AC141" s="79">
        <v>9375</v>
      </c>
      <c r="AD141" s="79">
        <v>9656.25</v>
      </c>
      <c r="AE141" s="79">
        <v>546</v>
      </c>
      <c r="AF141" s="79">
        <v>0</v>
      </c>
      <c r="AG141" s="79">
        <v>1281</v>
      </c>
      <c r="AH141" s="79">
        <v>1190.79</v>
      </c>
      <c r="AI141" s="79">
        <v>108.12</v>
      </c>
      <c r="AJ141" s="79">
        <v>160704</v>
      </c>
      <c r="AK141" s="79">
        <v>162311.04000000001</v>
      </c>
      <c r="AL141" s="79">
        <v>0</v>
      </c>
      <c r="AM141" s="79">
        <v>0</v>
      </c>
      <c r="AN141" s="79">
        <v>132</v>
      </c>
      <c r="AO141" s="79">
        <v>14100</v>
      </c>
      <c r="AP141" s="79">
        <v>39725</v>
      </c>
      <c r="AQ141" s="79">
        <v>37288</v>
      </c>
      <c r="AR141" s="80">
        <v>2.9825601E-2</v>
      </c>
      <c r="AS141" s="80">
        <v>2.8403813E-2</v>
      </c>
      <c r="AT141" s="79">
        <v>545429.37600000005</v>
      </c>
      <c r="AU141" s="79">
        <v>0</v>
      </c>
      <c r="AV141" s="79">
        <v>5275.66</v>
      </c>
      <c r="AW141" s="79">
        <v>203908.24722104601</v>
      </c>
      <c r="AX141" s="79">
        <v>4</v>
      </c>
      <c r="AY141" s="79">
        <v>4.24</v>
      </c>
      <c r="AZ141" s="79">
        <v>45844</v>
      </c>
      <c r="BA141" s="79">
        <v>1</v>
      </c>
      <c r="BB141" s="79">
        <v>0</v>
      </c>
      <c r="BC141" s="79">
        <v>0</v>
      </c>
      <c r="BD141" s="79">
        <v>0</v>
      </c>
      <c r="BE141" s="79">
        <v>1</v>
      </c>
      <c r="BF141" s="79">
        <v>0</v>
      </c>
      <c r="BG141" s="79">
        <v>0</v>
      </c>
      <c r="BH141" s="79">
        <v>0</v>
      </c>
      <c r="BI141" s="79">
        <v>0</v>
      </c>
      <c r="BJ141" s="79">
        <v>0</v>
      </c>
      <c r="BK141" s="79">
        <v>97</v>
      </c>
      <c r="BL141" s="79">
        <v>93120</v>
      </c>
      <c r="BM141" s="79">
        <v>1179</v>
      </c>
      <c r="BN141" s="79">
        <v>102</v>
      </c>
      <c r="BO141">
        <v>57035</v>
      </c>
      <c r="BP141">
        <v>10064</v>
      </c>
      <c r="BQ141">
        <v>58865</v>
      </c>
      <c r="BR141">
        <v>10169</v>
      </c>
      <c r="BS141">
        <v>60349</v>
      </c>
      <c r="BT141">
        <v>10412</v>
      </c>
      <c r="BU141">
        <v>61917</v>
      </c>
      <c r="BV141">
        <v>10729</v>
      </c>
      <c r="BW141">
        <v>63621</v>
      </c>
      <c r="BX141">
        <v>11157</v>
      </c>
      <c r="BY141">
        <v>65293</v>
      </c>
      <c r="BZ141">
        <v>11552</v>
      </c>
      <c r="CB141">
        <v>10005.424000000001</v>
      </c>
      <c r="CC141">
        <v>858</v>
      </c>
      <c r="CD141">
        <v>2067</v>
      </c>
      <c r="CE141">
        <v>104616.92</v>
      </c>
      <c r="CF141">
        <v>26348</v>
      </c>
      <c r="CG141">
        <v>3499.2801101560999</v>
      </c>
      <c r="CH141">
        <v>3692</v>
      </c>
      <c r="CI141">
        <v>2859.6666666666702</v>
      </c>
      <c r="CJ141">
        <v>2240</v>
      </c>
      <c r="CK141" s="81">
        <v>14945</v>
      </c>
      <c r="CL141">
        <v>3855</v>
      </c>
      <c r="CM141">
        <v>26172.880715113901</v>
      </c>
      <c r="CN141">
        <v>22.698</v>
      </c>
      <c r="CO141">
        <v>316279</v>
      </c>
      <c r="CP141">
        <v>20927</v>
      </c>
      <c r="CQ141">
        <v>4322</v>
      </c>
      <c r="CR141">
        <v>7200</v>
      </c>
      <c r="CS141">
        <v>4628</v>
      </c>
      <c r="CT141">
        <v>2279</v>
      </c>
      <c r="CU141">
        <v>2900.32118180008</v>
      </c>
      <c r="CV141">
        <v>1657.61052867384</v>
      </c>
      <c r="CW141">
        <v>606.83581989247295</v>
      </c>
      <c r="CX141">
        <v>6051.53</v>
      </c>
      <c r="CY141">
        <v>3458.61</v>
      </c>
      <c r="CZ141">
        <v>1266.165</v>
      </c>
      <c r="DA141">
        <v>199289</v>
      </c>
      <c r="DE141">
        <v>398</v>
      </c>
      <c r="DF141" t="s">
        <v>138</v>
      </c>
      <c r="DG141">
        <v>12145</v>
      </c>
      <c r="DH141">
        <v>12156</v>
      </c>
      <c r="DI141">
        <v>12378</v>
      </c>
      <c r="DJ141">
        <v>12498</v>
      </c>
      <c r="DK141">
        <v>12561</v>
      </c>
      <c r="DO141">
        <v>317</v>
      </c>
      <c r="DP141" t="s">
        <v>99</v>
      </c>
      <c r="DQ141">
        <v>3818</v>
      </c>
      <c r="DR141">
        <v>1</v>
      </c>
      <c r="DS141">
        <v>910</v>
      </c>
      <c r="DV141">
        <v>246</v>
      </c>
      <c r="DW141" t="s">
        <v>136</v>
      </c>
      <c r="DX141">
        <v>2118.70742358079</v>
      </c>
      <c r="DY141">
        <v>388</v>
      </c>
      <c r="DZ141">
        <v>389</v>
      </c>
      <c r="EA141">
        <v>232</v>
      </c>
      <c r="EB141">
        <v>1418</v>
      </c>
      <c r="EC141">
        <v>890</v>
      </c>
      <c r="ED141">
        <v>323</v>
      </c>
      <c r="EE141" s="82">
        <v>0.16610241441607501</v>
      </c>
      <c r="EF141" s="82">
        <v>0.43755088512974499</v>
      </c>
    </row>
    <row r="142" spans="1:136" x14ac:dyDescent="0.35">
      <c r="A142" s="72">
        <v>1581</v>
      </c>
      <c r="B142" s="72">
        <v>6</v>
      </c>
      <c r="D142" s="72" t="s">
        <v>306</v>
      </c>
      <c r="E142" s="79">
        <v>5953200000</v>
      </c>
      <c r="F142" s="79">
        <v>544600000</v>
      </c>
      <c r="G142" s="79">
        <v>587650000</v>
      </c>
      <c r="H142" s="79">
        <v>49515</v>
      </c>
      <c r="I142" s="79">
        <v>6</v>
      </c>
      <c r="J142" s="79">
        <v>587.65</v>
      </c>
      <c r="K142" s="79">
        <v>9881</v>
      </c>
      <c r="L142" s="79">
        <v>12035</v>
      </c>
      <c r="M142" s="79">
        <v>4040</v>
      </c>
      <c r="N142" s="79">
        <v>5418</v>
      </c>
      <c r="O142" s="79">
        <v>2948.6</v>
      </c>
      <c r="P142" s="79">
        <v>646.33333333333303</v>
      </c>
      <c r="Q142" s="79">
        <v>2969.3333333333298</v>
      </c>
      <c r="R142" s="79">
        <v>2065</v>
      </c>
      <c r="S142" s="79">
        <v>0</v>
      </c>
      <c r="T142" s="79">
        <v>1216</v>
      </c>
      <c r="U142" s="79">
        <v>23244</v>
      </c>
      <c r="V142" s="79">
        <v>40320</v>
      </c>
      <c r="W142" s="79">
        <v>8070</v>
      </c>
      <c r="X142" s="79">
        <v>845.48559999999998</v>
      </c>
      <c r="Y142" s="79">
        <v>1792.8</v>
      </c>
      <c r="Z142" s="79">
        <v>0</v>
      </c>
      <c r="AA142" s="79">
        <v>0</v>
      </c>
      <c r="AB142" s="79">
        <v>0</v>
      </c>
      <c r="AC142" s="79">
        <v>13205</v>
      </c>
      <c r="AD142" s="79">
        <v>13205</v>
      </c>
      <c r="AE142" s="79">
        <v>189</v>
      </c>
      <c r="AF142" s="79">
        <v>0</v>
      </c>
      <c r="AG142" s="79">
        <v>319</v>
      </c>
      <c r="AH142" s="79">
        <v>247</v>
      </c>
      <c r="AI142" s="79">
        <v>71</v>
      </c>
      <c r="AJ142" s="79">
        <v>24694</v>
      </c>
      <c r="AK142" s="79">
        <v>24694</v>
      </c>
      <c r="AL142" s="79">
        <v>0</v>
      </c>
      <c r="AM142" s="79">
        <v>0</v>
      </c>
      <c r="AN142" s="79">
        <v>0</v>
      </c>
      <c r="AO142" s="79">
        <v>0</v>
      </c>
      <c r="AP142" s="79">
        <v>1930</v>
      </c>
      <c r="AQ142" s="79">
        <v>0</v>
      </c>
      <c r="AR142" s="80">
        <v>5.9320800000000002E-4</v>
      </c>
      <c r="AS142" s="80">
        <v>4.0565300000000001E-4</v>
      </c>
      <c r="AT142" s="79">
        <v>19286.013999999999</v>
      </c>
      <c r="AU142" s="79">
        <v>0</v>
      </c>
      <c r="AV142" s="79">
        <v>1634</v>
      </c>
      <c r="AW142" s="79">
        <v>6040.5786172913204</v>
      </c>
      <c r="AX142" s="79">
        <v>18</v>
      </c>
      <c r="AY142" s="79">
        <v>18</v>
      </c>
      <c r="AZ142" s="79">
        <v>6995</v>
      </c>
      <c r="BA142" s="79">
        <v>1</v>
      </c>
      <c r="BB142" s="79">
        <v>0</v>
      </c>
      <c r="BC142" s="79">
        <v>0</v>
      </c>
      <c r="BD142" s="79">
        <v>0</v>
      </c>
      <c r="BE142" s="79">
        <v>0</v>
      </c>
      <c r="BF142" s="79">
        <v>0</v>
      </c>
      <c r="BG142" s="79">
        <v>0</v>
      </c>
      <c r="BH142" s="79">
        <v>0</v>
      </c>
      <c r="BI142" s="79">
        <v>0</v>
      </c>
      <c r="BJ142" s="79">
        <v>0</v>
      </c>
      <c r="BK142" s="79">
        <v>34</v>
      </c>
      <c r="BL142" s="79">
        <v>7614</v>
      </c>
      <c r="BM142" s="79">
        <v>247</v>
      </c>
      <c r="BN142" s="79">
        <v>71</v>
      </c>
      <c r="BO142">
        <v>10682</v>
      </c>
      <c r="BP142">
        <v>2328</v>
      </c>
      <c r="BQ142">
        <v>10552</v>
      </c>
      <c r="BR142">
        <v>2257</v>
      </c>
      <c r="BS142">
        <v>10497</v>
      </c>
      <c r="BT142">
        <v>2315</v>
      </c>
      <c r="BU142">
        <v>10254</v>
      </c>
      <c r="BV142">
        <v>2306</v>
      </c>
      <c r="BW142">
        <v>10038</v>
      </c>
      <c r="BX142">
        <v>2375</v>
      </c>
      <c r="BY142">
        <v>9859</v>
      </c>
      <c r="BZ142">
        <v>2320</v>
      </c>
      <c r="CB142">
        <v>780.59900000000005</v>
      </c>
      <c r="CC142">
        <v>64</v>
      </c>
      <c r="CD142">
        <v>102</v>
      </c>
      <c r="CE142">
        <v>17856.62</v>
      </c>
      <c r="CF142">
        <v>4576.88</v>
      </c>
      <c r="CG142">
        <v>343.24326229508199</v>
      </c>
      <c r="CH142">
        <v>431</v>
      </c>
      <c r="CI142">
        <v>163</v>
      </c>
      <c r="CJ142">
        <v>109</v>
      </c>
      <c r="CK142" s="81">
        <v>2323</v>
      </c>
      <c r="CL142">
        <v>890</v>
      </c>
      <c r="CM142">
        <v>7027.4836968622403</v>
      </c>
      <c r="CN142">
        <v>1.0069999999999999</v>
      </c>
      <c r="CO142">
        <v>37480</v>
      </c>
      <c r="CP142">
        <v>6184</v>
      </c>
      <c r="CQ142">
        <v>1811</v>
      </c>
      <c r="CR142">
        <v>1390</v>
      </c>
      <c r="CS142">
        <v>1359</v>
      </c>
      <c r="CT142">
        <v>842</v>
      </c>
      <c r="CU142">
        <v>460.06948246537598</v>
      </c>
      <c r="CV142">
        <v>328.484595448287</v>
      </c>
      <c r="CW142">
        <v>141.01792338219801</v>
      </c>
      <c r="CX142">
        <v>1118.9112</v>
      </c>
      <c r="CY142">
        <v>798.8904</v>
      </c>
      <c r="CZ142">
        <v>342.9624</v>
      </c>
      <c r="DA142">
        <v>200212</v>
      </c>
      <c r="DE142">
        <v>399</v>
      </c>
      <c r="DF142" t="s">
        <v>141</v>
      </c>
      <c r="DG142">
        <v>4841</v>
      </c>
      <c r="DH142">
        <v>4828</v>
      </c>
      <c r="DI142">
        <v>4819</v>
      </c>
      <c r="DJ142">
        <v>4780</v>
      </c>
      <c r="DK142">
        <v>4721</v>
      </c>
      <c r="DO142">
        <v>321</v>
      </c>
      <c r="DP142" t="s">
        <v>159</v>
      </c>
      <c r="DQ142">
        <v>20165</v>
      </c>
      <c r="DR142">
        <v>1.1399999999999999</v>
      </c>
      <c r="DS142">
        <v>1492</v>
      </c>
      <c r="DV142">
        <v>74</v>
      </c>
      <c r="DW142" t="s">
        <v>137</v>
      </c>
      <c r="DX142">
        <v>7658.9257122570298</v>
      </c>
      <c r="DY142">
        <v>1240</v>
      </c>
      <c r="DZ142">
        <v>1184</v>
      </c>
      <c r="EA142">
        <v>714</v>
      </c>
      <c r="EB142">
        <v>3636</v>
      </c>
      <c r="EC142">
        <v>2373</v>
      </c>
      <c r="ED142">
        <v>965</v>
      </c>
      <c r="EE142" s="82">
        <v>0.223817254873035</v>
      </c>
      <c r="EF142" s="82">
        <v>0.50311442937072404</v>
      </c>
    </row>
    <row r="143" spans="1:136" x14ac:dyDescent="0.35">
      <c r="A143" s="72">
        <v>345</v>
      </c>
      <c r="B143" s="72">
        <v>6</v>
      </c>
      <c r="D143" s="72" t="s">
        <v>311</v>
      </c>
      <c r="E143" s="79">
        <v>5303600000</v>
      </c>
      <c r="F143" s="79">
        <v>1035650000</v>
      </c>
      <c r="G143" s="79">
        <v>1044050000</v>
      </c>
      <c r="H143" s="79">
        <v>65589</v>
      </c>
      <c r="I143" s="79">
        <v>1</v>
      </c>
      <c r="J143" s="79">
        <v>1044.05</v>
      </c>
      <c r="K143" s="79">
        <v>14832</v>
      </c>
      <c r="L143" s="79">
        <v>11696</v>
      </c>
      <c r="M143" s="79">
        <v>3602</v>
      </c>
      <c r="N143" s="79">
        <v>8318</v>
      </c>
      <c r="O143" s="79">
        <v>5526.4</v>
      </c>
      <c r="P143" s="79">
        <v>1260</v>
      </c>
      <c r="Q143" s="79">
        <v>4537</v>
      </c>
      <c r="R143" s="79">
        <v>5675</v>
      </c>
      <c r="S143" s="79">
        <v>0</v>
      </c>
      <c r="T143" s="79">
        <v>1916</v>
      </c>
      <c r="U143" s="79">
        <v>28297</v>
      </c>
      <c r="V143" s="79">
        <v>75540</v>
      </c>
      <c r="W143" s="79">
        <v>79610</v>
      </c>
      <c r="X143" s="79">
        <v>1153.74</v>
      </c>
      <c r="Y143" s="79">
        <v>4917.6000000000004</v>
      </c>
      <c r="Z143" s="79">
        <v>0</v>
      </c>
      <c r="AA143" s="79">
        <v>0</v>
      </c>
      <c r="AB143" s="79">
        <v>0</v>
      </c>
      <c r="AC143" s="79">
        <v>1942</v>
      </c>
      <c r="AD143" s="79">
        <v>1942</v>
      </c>
      <c r="AE143" s="79">
        <v>30</v>
      </c>
      <c r="AF143" s="79">
        <v>0</v>
      </c>
      <c r="AG143" s="79">
        <v>346</v>
      </c>
      <c r="AH143" s="79">
        <v>341</v>
      </c>
      <c r="AI143" s="79">
        <v>5</v>
      </c>
      <c r="AJ143" s="79">
        <v>27916</v>
      </c>
      <c r="AK143" s="79">
        <v>27916</v>
      </c>
      <c r="AL143" s="79">
        <v>0</v>
      </c>
      <c r="AM143" s="79">
        <v>0</v>
      </c>
      <c r="AN143" s="79">
        <v>0</v>
      </c>
      <c r="AO143" s="79">
        <v>0</v>
      </c>
      <c r="AP143" s="79">
        <v>2384</v>
      </c>
      <c r="AQ143" s="79">
        <v>0</v>
      </c>
      <c r="AR143" s="80">
        <v>5.5279000000000005E-4</v>
      </c>
      <c r="AS143" s="80">
        <v>1.4079470000000001E-3</v>
      </c>
      <c r="AT143" s="79">
        <v>61331.451999999997</v>
      </c>
      <c r="AU143" s="79">
        <v>0</v>
      </c>
      <c r="AV143" s="79">
        <v>859</v>
      </c>
      <c r="AW143" s="79">
        <v>28570.461967545602</v>
      </c>
      <c r="AX143" s="79">
        <v>1</v>
      </c>
      <c r="AY143" s="79">
        <v>1</v>
      </c>
      <c r="AZ143" s="79">
        <v>6418</v>
      </c>
      <c r="BA143" s="79">
        <v>1</v>
      </c>
      <c r="BB143" s="79">
        <v>0</v>
      </c>
      <c r="BC143" s="79">
        <v>0</v>
      </c>
      <c r="BD143" s="79">
        <v>0</v>
      </c>
      <c r="BE143" s="79">
        <v>0</v>
      </c>
      <c r="BF143" s="79">
        <v>0</v>
      </c>
      <c r="BG143" s="79">
        <v>0</v>
      </c>
      <c r="BH143" s="79">
        <v>0</v>
      </c>
      <c r="BI143" s="79">
        <v>0</v>
      </c>
      <c r="BJ143" s="79">
        <v>0</v>
      </c>
      <c r="BK143" s="79">
        <v>51</v>
      </c>
      <c r="BL143" s="79">
        <v>8923</v>
      </c>
      <c r="BM143" s="79">
        <v>341</v>
      </c>
      <c r="BN143" s="79">
        <v>5</v>
      </c>
      <c r="BO143">
        <v>15365</v>
      </c>
      <c r="BP143">
        <v>6018</v>
      </c>
      <c r="BQ143">
        <v>15199</v>
      </c>
      <c r="BR143">
        <v>5962</v>
      </c>
      <c r="BS143">
        <v>15166</v>
      </c>
      <c r="BT143">
        <v>6042</v>
      </c>
      <c r="BU143">
        <v>15228</v>
      </c>
      <c r="BV143">
        <v>6130</v>
      </c>
      <c r="BW143">
        <v>15070</v>
      </c>
      <c r="BX143">
        <v>6162</v>
      </c>
      <c r="BY143">
        <v>14943</v>
      </c>
      <c r="BZ143">
        <v>6145</v>
      </c>
      <c r="CB143">
        <v>1705.68</v>
      </c>
      <c r="CC143">
        <v>299</v>
      </c>
      <c r="CD143">
        <v>226</v>
      </c>
      <c r="CE143">
        <v>17901</v>
      </c>
      <c r="CF143">
        <v>4696.3900000000003</v>
      </c>
      <c r="CG143">
        <v>716.86441914516399</v>
      </c>
      <c r="CH143">
        <v>769</v>
      </c>
      <c r="CI143">
        <v>441.33333333333297</v>
      </c>
      <c r="CJ143">
        <v>353.33333333333297</v>
      </c>
      <c r="CK143" s="81">
        <v>3277</v>
      </c>
      <c r="CL143">
        <v>932</v>
      </c>
      <c r="CM143">
        <v>9452.6024840165501</v>
      </c>
      <c r="CN143">
        <v>2.1429999999999998</v>
      </c>
      <c r="CO143">
        <v>53893</v>
      </c>
      <c r="CP143">
        <v>6815</v>
      </c>
      <c r="CQ143">
        <v>1279</v>
      </c>
      <c r="CR143">
        <v>1343</v>
      </c>
      <c r="CS143">
        <v>1245</v>
      </c>
      <c r="CT143">
        <v>685</v>
      </c>
      <c r="CU143">
        <v>839.76890672015998</v>
      </c>
      <c r="CV143">
        <v>499.07058317810601</v>
      </c>
      <c r="CW143">
        <v>181.534202607823</v>
      </c>
      <c r="CX143">
        <v>2007.7385999999999</v>
      </c>
      <c r="CY143">
        <v>1193.1893</v>
      </c>
      <c r="CZ143">
        <v>434.01609999999999</v>
      </c>
      <c r="DA143">
        <v>34126</v>
      </c>
      <c r="DE143">
        <v>400</v>
      </c>
      <c r="DF143" t="s">
        <v>82</v>
      </c>
      <c r="DG143">
        <v>11421</v>
      </c>
      <c r="DH143">
        <v>11170</v>
      </c>
      <c r="DI143">
        <v>10979</v>
      </c>
      <c r="DJ143">
        <v>10803</v>
      </c>
      <c r="DK143">
        <v>10730</v>
      </c>
      <c r="DO143">
        <v>353</v>
      </c>
      <c r="DP143" t="s">
        <v>162</v>
      </c>
      <c r="DQ143">
        <v>14396</v>
      </c>
      <c r="DR143">
        <v>1.21</v>
      </c>
      <c r="DS143">
        <v>1844</v>
      </c>
      <c r="DV143">
        <v>398</v>
      </c>
      <c r="DW143" t="s">
        <v>138</v>
      </c>
      <c r="DX143">
        <v>6091.4944649446497</v>
      </c>
      <c r="DY143">
        <v>1187</v>
      </c>
      <c r="DZ143">
        <v>881</v>
      </c>
      <c r="EA143">
        <v>338</v>
      </c>
      <c r="EB143">
        <v>3669</v>
      </c>
      <c r="EC143">
        <v>1941</v>
      </c>
      <c r="ED143">
        <v>499</v>
      </c>
      <c r="EE143" s="82">
        <v>0.16012018383058499</v>
      </c>
      <c r="EF143" s="82">
        <v>0.46927942762387398</v>
      </c>
    </row>
    <row r="144" spans="1:136" x14ac:dyDescent="0.35">
      <c r="A144" s="72">
        <v>1961</v>
      </c>
      <c r="B144" s="72">
        <v>6</v>
      </c>
      <c r="D144" s="72" t="s">
        <v>317</v>
      </c>
      <c r="E144" s="79">
        <v>4269600000</v>
      </c>
      <c r="F144" s="79">
        <v>584500000</v>
      </c>
      <c r="G144" s="79">
        <v>606900000</v>
      </c>
      <c r="H144" s="79">
        <v>55712</v>
      </c>
      <c r="I144" s="79">
        <v>6</v>
      </c>
      <c r="J144" s="79">
        <v>606.9</v>
      </c>
      <c r="K144" s="79">
        <v>11774</v>
      </c>
      <c r="L144" s="79">
        <v>11100</v>
      </c>
      <c r="M144" s="79">
        <v>3444</v>
      </c>
      <c r="N144" s="79">
        <v>6408</v>
      </c>
      <c r="O144" s="79">
        <v>4043</v>
      </c>
      <c r="P144" s="79">
        <v>733.66666666666697</v>
      </c>
      <c r="Q144" s="79">
        <v>3350.6666666666702</v>
      </c>
      <c r="R144" s="79">
        <v>4275</v>
      </c>
      <c r="S144" s="79">
        <v>0</v>
      </c>
      <c r="T144" s="79">
        <v>1573</v>
      </c>
      <c r="U144" s="79">
        <v>23602</v>
      </c>
      <c r="V144" s="79">
        <v>49980</v>
      </c>
      <c r="W144" s="79">
        <v>12340</v>
      </c>
      <c r="X144" s="79">
        <v>184.14</v>
      </c>
      <c r="Y144" s="79">
        <v>1450.4</v>
      </c>
      <c r="Z144" s="79">
        <v>0</v>
      </c>
      <c r="AA144" s="79">
        <v>0</v>
      </c>
      <c r="AB144" s="79">
        <v>0</v>
      </c>
      <c r="AC144" s="79">
        <v>14634</v>
      </c>
      <c r="AD144" s="79">
        <v>19024.2</v>
      </c>
      <c r="AE144" s="79">
        <v>698</v>
      </c>
      <c r="AF144" s="79">
        <v>0</v>
      </c>
      <c r="AG144" s="79">
        <v>405</v>
      </c>
      <c r="AH144" s="79">
        <v>354.24</v>
      </c>
      <c r="AI144" s="79">
        <v>154.44</v>
      </c>
      <c r="AJ144" s="79">
        <v>23650</v>
      </c>
      <c r="AK144" s="79">
        <v>29089.5</v>
      </c>
      <c r="AL144" s="79">
        <v>20</v>
      </c>
      <c r="AM144" s="79">
        <v>0</v>
      </c>
      <c r="AN144" s="79">
        <v>0</v>
      </c>
      <c r="AO144" s="79">
        <v>2200</v>
      </c>
      <c r="AP144" s="79">
        <v>2225</v>
      </c>
      <c r="AQ144" s="79">
        <v>1400</v>
      </c>
      <c r="AR144" s="80">
        <v>8.9642200000000002E-4</v>
      </c>
      <c r="AS144" s="80">
        <v>6.3300800000000001E-4</v>
      </c>
      <c r="AT144" s="79">
        <v>21308.65</v>
      </c>
      <c r="AU144" s="79">
        <v>0</v>
      </c>
      <c r="AV144" s="79">
        <v>6672.9</v>
      </c>
      <c r="AW144" s="79">
        <v>53402.779024263</v>
      </c>
      <c r="AX144" s="79">
        <v>18</v>
      </c>
      <c r="AY144" s="79">
        <v>23.76</v>
      </c>
      <c r="AZ144" s="79">
        <v>5982</v>
      </c>
      <c r="BA144" s="79">
        <v>1</v>
      </c>
      <c r="BB144" s="79">
        <v>0</v>
      </c>
      <c r="BC144" s="79">
        <v>0</v>
      </c>
      <c r="BD144" s="79">
        <v>0</v>
      </c>
      <c r="BE144" s="79">
        <v>0</v>
      </c>
      <c r="BF144" s="79">
        <v>0</v>
      </c>
      <c r="BG144" s="79">
        <v>0</v>
      </c>
      <c r="BH144" s="79">
        <v>0</v>
      </c>
      <c r="BI144" s="79">
        <v>0</v>
      </c>
      <c r="BJ144" s="79">
        <v>0</v>
      </c>
      <c r="BK144" s="79">
        <v>26</v>
      </c>
      <c r="BL144" s="79">
        <v>6678</v>
      </c>
      <c r="BM144" s="79">
        <v>288</v>
      </c>
      <c r="BN144" s="79">
        <v>117</v>
      </c>
      <c r="BO144">
        <v>12553</v>
      </c>
      <c r="BP144">
        <v>1670</v>
      </c>
      <c r="BQ144">
        <v>12462</v>
      </c>
      <c r="BR144">
        <v>1712</v>
      </c>
      <c r="BS144">
        <v>12286</v>
      </c>
      <c r="BT144">
        <v>1708</v>
      </c>
      <c r="BU144">
        <v>12143</v>
      </c>
      <c r="BV144">
        <v>1755</v>
      </c>
      <c r="BW144">
        <v>12043</v>
      </c>
      <c r="BX144">
        <v>1801</v>
      </c>
      <c r="BY144">
        <v>11932</v>
      </c>
      <c r="BZ144">
        <v>1879</v>
      </c>
      <c r="CB144">
        <v>1106.7560000000001</v>
      </c>
      <c r="CC144">
        <v>169</v>
      </c>
      <c r="CD144">
        <v>194</v>
      </c>
      <c r="CE144">
        <v>15763.05</v>
      </c>
      <c r="CF144">
        <v>4104.54</v>
      </c>
      <c r="CG144">
        <v>553.35113405590403</v>
      </c>
      <c r="CH144">
        <v>612</v>
      </c>
      <c r="CI144">
        <v>244</v>
      </c>
      <c r="CJ144">
        <v>194.333333333333</v>
      </c>
      <c r="CK144" s="81">
        <v>2617</v>
      </c>
      <c r="CL144">
        <v>606</v>
      </c>
      <c r="CM144">
        <v>8876.9866063549707</v>
      </c>
      <c r="CN144">
        <v>0.95399999999999996</v>
      </c>
      <c r="CO144">
        <v>44612</v>
      </c>
      <c r="CP144">
        <v>6437</v>
      </c>
      <c r="CQ144">
        <v>1219</v>
      </c>
      <c r="CR144">
        <v>1244</v>
      </c>
      <c r="CS144">
        <v>1116</v>
      </c>
      <c r="CT144">
        <v>584</v>
      </c>
      <c r="CU144">
        <v>679.18980972515897</v>
      </c>
      <c r="CV144">
        <v>407.03522198731503</v>
      </c>
      <c r="CW144">
        <v>137.786807610994</v>
      </c>
      <c r="CX144">
        <v>1707.9927</v>
      </c>
      <c r="CY144">
        <v>1023.5919</v>
      </c>
      <c r="CZ144">
        <v>346.49939999999998</v>
      </c>
      <c r="DA144">
        <v>15611</v>
      </c>
      <c r="DE144">
        <v>402</v>
      </c>
      <c r="DF144" t="s">
        <v>152</v>
      </c>
      <c r="DG144">
        <v>17136</v>
      </c>
      <c r="DH144">
        <v>17162</v>
      </c>
      <c r="DI144">
        <v>17270</v>
      </c>
      <c r="DJ144">
        <v>17394</v>
      </c>
      <c r="DK144">
        <v>17520</v>
      </c>
      <c r="DO144">
        <v>327</v>
      </c>
      <c r="DP144" t="s">
        <v>184</v>
      </c>
      <c r="DQ144">
        <v>12685</v>
      </c>
      <c r="DR144">
        <v>1</v>
      </c>
      <c r="DS144">
        <v>1217</v>
      </c>
      <c r="DV144">
        <v>917</v>
      </c>
      <c r="DW144" t="s">
        <v>139</v>
      </c>
      <c r="DX144">
        <v>19194.375956866101</v>
      </c>
      <c r="DY144">
        <v>3136</v>
      </c>
      <c r="DZ144">
        <v>2623</v>
      </c>
      <c r="EA144">
        <v>1381</v>
      </c>
      <c r="EB144">
        <v>7173</v>
      </c>
      <c r="EC144">
        <v>4626</v>
      </c>
      <c r="ED144">
        <v>1825</v>
      </c>
      <c r="EE144" s="82">
        <v>0.31606606890655597</v>
      </c>
      <c r="EF144" s="82">
        <v>0.61422283246947096</v>
      </c>
    </row>
    <row r="145" spans="1:136" x14ac:dyDescent="0.35">
      <c r="A145" s="72">
        <v>352</v>
      </c>
      <c r="B145" s="72">
        <v>6</v>
      </c>
      <c r="D145" s="72" t="s">
        <v>346</v>
      </c>
      <c r="E145" s="79">
        <v>2118800000</v>
      </c>
      <c r="F145" s="79">
        <v>173600000</v>
      </c>
      <c r="G145" s="79">
        <v>198100000</v>
      </c>
      <c r="H145" s="79">
        <v>23762</v>
      </c>
      <c r="I145" s="79">
        <v>3</v>
      </c>
      <c r="J145" s="79">
        <v>198.1</v>
      </c>
      <c r="K145" s="79">
        <v>4847</v>
      </c>
      <c r="L145" s="79">
        <v>4589</v>
      </c>
      <c r="M145" s="79">
        <v>1237</v>
      </c>
      <c r="N145" s="79">
        <v>2274</v>
      </c>
      <c r="O145" s="79">
        <v>1268.9000000000001</v>
      </c>
      <c r="P145" s="79">
        <v>270.33333333333297</v>
      </c>
      <c r="Q145" s="79">
        <v>1235.3333333333301</v>
      </c>
      <c r="R145" s="79">
        <v>705</v>
      </c>
      <c r="S145" s="79">
        <v>0</v>
      </c>
      <c r="T145" s="79">
        <v>679</v>
      </c>
      <c r="U145" s="79">
        <v>10156</v>
      </c>
      <c r="V145" s="79">
        <v>22860</v>
      </c>
      <c r="W145" s="79">
        <v>6970</v>
      </c>
      <c r="X145" s="79">
        <v>174.24</v>
      </c>
      <c r="Y145" s="79">
        <v>601.6</v>
      </c>
      <c r="Z145" s="79">
        <v>0</v>
      </c>
      <c r="AA145" s="79">
        <v>0</v>
      </c>
      <c r="AB145" s="79">
        <v>0</v>
      </c>
      <c r="AC145" s="79">
        <v>4764</v>
      </c>
      <c r="AD145" s="79">
        <v>5097.4799999999996</v>
      </c>
      <c r="AE145" s="79">
        <v>277</v>
      </c>
      <c r="AF145" s="79">
        <v>0</v>
      </c>
      <c r="AG145" s="79">
        <v>137</v>
      </c>
      <c r="AH145" s="79">
        <v>107.8</v>
      </c>
      <c r="AI145" s="79">
        <v>42.4</v>
      </c>
      <c r="AJ145" s="79">
        <v>10051</v>
      </c>
      <c r="AK145" s="79">
        <v>11056.1</v>
      </c>
      <c r="AL145" s="79">
        <v>13</v>
      </c>
      <c r="AM145" s="79">
        <v>0</v>
      </c>
      <c r="AN145" s="79">
        <v>0</v>
      </c>
      <c r="AO145" s="79">
        <v>1250</v>
      </c>
      <c r="AP145" s="79">
        <v>591</v>
      </c>
      <c r="AQ145" s="79">
        <v>591</v>
      </c>
      <c r="AR145" s="80">
        <v>1.3178800000000001E-4</v>
      </c>
      <c r="AS145" s="80">
        <v>1.0825E-4</v>
      </c>
      <c r="AT145" s="79">
        <v>11196.814</v>
      </c>
      <c r="AU145" s="79">
        <v>0</v>
      </c>
      <c r="AV145" s="79">
        <v>1367.46</v>
      </c>
      <c r="AW145" s="79">
        <v>8170.8095219202596</v>
      </c>
      <c r="AX145" s="79">
        <v>5</v>
      </c>
      <c r="AY145" s="79">
        <v>5.3</v>
      </c>
      <c r="AZ145" s="79">
        <v>2727</v>
      </c>
      <c r="BA145" s="79">
        <v>1</v>
      </c>
      <c r="BB145" s="79">
        <v>0</v>
      </c>
      <c r="BC145" s="79">
        <v>0</v>
      </c>
      <c r="BD145" s="79">
        <v>0</v>
      </c>
      <c r="BE145" s="79">
        <v>0</v>
      </c>
      <c r="BF145" s="79">
        <v>0</v>
      </c>
      <c r="BG145" s="79">
        <v>0</v>
      </c>
      <c r="BH145" s="79">
        <v>0</v>
      </c>
      <c r="BI145" s="79">
        <v>0</v>
      </c>
      <c r="BJ145" s="79">
        <v>0</v>
      </c>
      <c r="BK145" s="79">
        <v>9</v>
      </c>
      <c r="BL145" s="79">
        <v>2740</v>
      </c>
      <c r="BM145" s="79">
        <v>98</v>
      </c>
      <c r="BN145" s="79">
        <v>40</v>
      </c>
      <c r="BO145">
        <v>5571</v>
      </c>
      <c r="BP145">
        <v>774</v>
      </c>
      <c r="BQ145">
        <v>5438</v>
      </c>
      <c r="BR145">
        <v>877</v>
      </c>
      <c r="BS145">
        <v>5282</v>
      </c>
      <c r="BT145">
        <v>906</v>
      </c>
      <c r="BU145">
        <v>5186</v>
      </c>
      <c r="BV145">
        <v>915</v>
      </c>
      <c r="BW145">
        <v>5093</v>
      </c>
      <c r="BX145">
        <v>913</v>
      </c>
      <c r="BY145">
        <v>5011</v>
      </c>
      <c r="BZ145">
        <v>941</v>
      </c>
      <c r="CB145">
        <v>353.83100000000002</v>
      </c>
      <c r="CC145">
        <v>65</v>
      </c>
      <c r="CD145">
        <v>53</v>
      </c>
      <c r="CE145">
        <v>7774.26</v>
      </c>
      <c r="CF145">
        <v>1951.08</v>
      </c>
      <c r="CG145">
        <v>195.12347120418801</v>
      </c>
      <c r="CH145">
        <v>277</v>
      </c>
      <c r="CI145">
        <v>91.3333333333333</v>
      </c>
      <c r="CJ145">
        <v>67</v>
      </c>
      <c r="CK145" s="81">
        <v>965</v>
      </c>
      <c r="CL145">
        <v>217</v>
      </c>
      <c r="CM145">
        <v>3243.5170646595998</v>
      </c>
      <c r="CN145">
        <v>0.23899999999999999</v>
      </c>
      <c r="CO145">
        <v>19173</v>
      </c>
      <c r="CP145">
        <v>3004</v>
      </c>
      <c r="CQ145">
        <v>348</v>
      </c>
      <c r="CR145">
        <v>614</v>
      </c>
      <c r="CS145">
        <v>396</v>
      </c>
      <c r="CT145">
        <v>179</v>
      </c>
      <c r="CU145">
        <v>241.38262859417</v>
      </c>
      <c r="CV145">
        <v>108.824176698836</v>
      </c>
      <c r="CW145">
        <v>31.814028454880098</v>
      </c>
      <c r="CX145">
        <v>687.55520000000001</v>
      </c>
      <c r="CY145">
        <v>309.97519999999997</v>
      </c>
      <c r="CZ145">
        <v>90.619200000000006</v>
      </c>
      <c r="DA145">
        <v>0</v>
      </c>
      <c r="DE145">
        <v>405</v>
      </c>
      <c r="DF145" t="s">
        <v>157</v>
      </c>
      <c r="DG145">
        <v>15511</v>
      </c>
      <c r="DH145">
        <v>15517</v>
      </c>
      <c r="DI145">
        <v>15597</v>
      </c>
      <c r="DJ145">
        <v>15645</v>
      </c>
      <c r="DK145">
        <v>15518</v>
      </c>
      <c r="DO145">
        <v>331</v>
      </c>
      <c r="DP145" t="s">
        <v>189</v>
      </c>
      <c r="DQ145">
        <v>5648</v>
      </c>
      <c r="DR145">
        <v>1.33</v>
      </c>
      <c r="DS145">
        <v>361</v>
      </c>
      <c r="DV145">
        <v>1658</v>
      </c>
      <c r="DW145" t="s">
        <v>140</v>
      </c>
      <c r="DX145">
        <v>1555.0752671755699</v>
      </c>
      <c r="DY145">
        <v>353</v>
      </c>
      <c r="DZ145">
        <v>373</v>
      </c>
      <c r="EA145">
        <v>191</v>
      </c>
      <c r="EB145">
        <v>1239</v>
      </c>
      <c r="EC145">
        <v>834</v>
      </c>
      <c r="ED145">
        <v>292</v>
      </c>
      <c r="EE145" s="82">
        <v>0.118041961185582</v>
      </c>
      <c r="EF145" s="82">
        <v>0.31918005985734399</v>
      </c>
    </row>
    <row r="146" spans="1:136" x14ac:dyDescent="0.35">
      <c r="A146" s="72">
        <v>632</v>
      </c>
      <c r="B146" s="72">
        <v>6</v>
      </c>
      <c r="D146" s="72" t="s">
        <v>349</v>
      </c>
      <c r="E146" s="79">
        <v>4916400000</v>
      </c>
      <c r="F146" s="79">
        <v>736750000</v>
      </c>
      <c r="G146" s="79">
        <v>770350000</v>
      </c>
      <c r="H146" s="79">
        <v>52197</v>
      </c>
      <c r="I146" s="79">
        <v>4</v>
      </c>
      <c r="J146" s="79">
        <v>770.35</v>
      </c>
      <c r="K146" s="79">
        <v>11569</v>
      </c>
      <c r="L146" s="79">
        <v>9692</v>
      </c>
      <c r="M146" s="79">
        <v>2982</v>
      </c>
      <c r="N146" s="79">
        <v>5318</v>
      </c>
      <c r="O146" s="79">
        <v>3108.3</v>
      </c>
      <c r="P146" s="79">
        <v>576.33333333333303</v>
      </c>
      <c r="Q146" s="79">
        <v>2751.3333333333298</v>
      </c>
      <c r="R146" s="79">
        <v>2825</v>
      </c>
      <c r="S146" s="79">
        <v>0</v>
      </c>
      <c r="T146" s="79">
        <v>1471</v>
      </c>
      <c r="U146" s="79">
        <v>22445</v>
      </c>
      <c r="V146" s="79">
        <v>50310</v>
      </c>
      <c r="W146" s="79">
        <v>21520</v>
      </c>
      <c r="X146" s="79">
        <v>883.08</v>
      </c>
      <c r="Y146" s="79">
        <v>4120</v>
      </c>
      <c r="Z146" s="79">
        <v>0</v>
      </c>
      <c r="AA146" s="79">
        <v>0</v>
      </c>
      <c r="AB146" s="79">
        <v>0</v>
      </c>
      <c r="AC146" s="79">
        <v>8898</v>
      </c>
      <c r="AD146" s="79">
        <v>14503.74</v>
      </c>
      <c r="AE146" s="79">
        <v>395</v>
      </c>
      <c r="AF146" s="79">
        <v>0</v>
      </c>
      <c r="AG146" s="79">
        <v>325</v>
      </c>
      <c r="AH146" s="79">
        <v>354.83</v>
      </c>
      <c r="AI146" s="79">
        <v>109.85</v>
      </c>
      <c r="AJ146" s="79">
        <v>22097</v>
      </c>
      <c r="AK146" s="79">
        <v>30272.89</v>
      </c>
      <c r="AL146" s="79">
        <v>9</v>
      </c>
      <c r="AM146" s="79">
        <v>0</v>
      </c>
      <c r="AN146" s="79">
        <v>0</v>
      </c>
      <c r="AO146" s="79">
        <v>3900</v>
      </c>
      <c r="AP146" s="79">
        <v>1651</v>
      </c>
      <c r="AQ146" s="79">
        <v>1651</v>
      </c>
      <c r="AR146" s="80">
        <v>3.46795E-4</v>
      </c>
      <c r="AS146" s="80">
        <v>3.0283399999999998E-4</v>
      </c>
      <c r="AT146" s="79">
        <v>30162.404999999999</v>
      </c>
      <c r="AU146" s="79">
        <v>0</v>
      </c>
      <c r="AV146" s="79">
        <v>15559.98</v>
      </c>
      <c r="AW146" s="79">
        <v>226010.14542774099</v>
      </c>
      <c r="AX146" s="79">
        <v>9</v>
      </c>
      <c r="AY146" s="79">
        <v>15.21</v>
      </c>
      <c r="AZ146" s="79">
        <v>6527</v>
      </c>
      <c r="BA146" s="79">
        <v>1</v>
      </c>
      <c r="BB146" s="79">
        <v>0</v>
      </c>
      <c r="BC146" s="79">
        <v>0</v>
      </c>
      <c r="BD146" s="79">
        <v>0</v>
      </c>
      <c r="BE146" s="79">
        <v>0</v>
      </c>
      <c r="BF146" s="79">
        <v>0</v>
      </c>
      <c r="BG146" s="79">
        <v>0</v>
      </c>
      <c r="BH146" s="79">
        <v>0</v>
      </c>
      <c r="BI146" s="79">
        <v>0</v>
      </c>
      <c r="BJ146" s="79">
        <v>0</v>
      </c>
      <c r="BK146" s="79">
        <v>24</v>
      </c>
      <c r="BL146" s="79">
        <v>6771</v>
      </c>
      <c r="BM146" s="79">
        <v>259</v>
      </c>
      <c r="BN146" s="79">
        <v>65</v>
      </c>
      <c r="BO146">
        <v>11850</v>
      </c>
      <c r="BP146">
        <v>5114</v>
      </c>
      <c r="BQ146">
        <v>11831</v>
      </c>
      <c r="BR146">
        <v>5183</v>
      </c>
      <c r="BS146">
        <v>11867</v>
      </c>
      <c r="BT146">
        <v>5285</v>
      </c>
      <c r="BU146">
        <v>11795</v>
      </c>
      <c r="BV146">
        <v>5349</v>
      </c>
      <c r="BW146">
        <v>11806</v>
      </c>
      <c r="BX146">
        <v>5300</v>
      </c>
      <c r="BY146">
        <v>11782</v>
      </c>
      <c r="BZ146">
        <v>5433</v>
      </c>
      <c r="CB146">
        <v>856.10599999999999</v>
      </c>
      <c r="CC146">
        <v>130</v>
      </c>
      <c r="CD146">
        <v>138</v>
      </c>
      <c r="CE146">
        <v>17208.57</v>
      </c>
      <c r="CF146">
        <v>4793.25</v>
      </c>
      <c r="CG146">
        <v>431.95552803066602</v>
      </c>
      <c r="CH146">
        <v>573</v>
      </c>
      <c r="CI146">
        <v>183</v>
      </c>
      <c r="CJ146">
        <v>127</v>
      </c>
      <c r="CK146" s="81">
        <v>2175</v>
      </c>
      <c r="CL146">
        <v>538</v>
      </c>
      <c r="CM146">
        <v>6904.7241641093797</v>
      </c>
      <c r="CN146">
        <v>0.39200000000000002</v>
      </c>
      <c r="CO146">
        <v>42505</v>
      </c>
      <c r="CP146">
        <v>5694</v>
      </c>
      <c r="CQ146">
        <v>1016</v>
      </c>
      <c r="CR146">
        <v>1088</v>
      </c>
      <c r="CS146">
        <v>1015</v>
      </c>
      <c r="CT146">
        <v>530</v>
      </c>
      <c r="CU146">
        <v>492.05020591030501</v>
      </c>
      <c r="CV146">
        <v>297.36824908358602</v>
      </c>
      <c r="CW146">
        <v>102.967624564421</v>
      </c>
      <c r="CX146">
        <v>1201.9128000000001</v>
      </c>
      <c r="CY146">
        <v>726.37040000000002</v>
      </c>
      <c r="CZ146">
        <v>251.51519999999999</v>
      </c>
      <c r="DA146">
        <v>36742</v>
      </c>
      <c r="DE146">
        <v>406</v>
      </c>
      <c r="DF146" t="s">
        <v>160</v>
      </c>
      <c r="DG146">
        <v>9245</v>
      </c>
      <c r="DH146">
        <v>9086</v>
      </c>
      <c r="DI146">
        <v>8923</v>
      </c>
      <c r="DJ146">
        <v>8763</v>
      </c>
      <c r="DK146">
        <v>8564</v>
      </c>
      <c r="DO146">
        <v>335</v>
      </c>
      <c r="DP146" t="s">
        <v>208</v>
      </c>
      <c r="DQ146">
        <v>5750</v>
      </c>
      <c r="DR146">
        <v>1.1200000000000001</v>
      </c>
      <c r="DS146">
        <v>744</v>
      </c>
      <c r="DV146">
        <v>399</v>
      </c>
      <c r="DW146" t="s">
        <v>141</v>
      </c>
      <c r="DX146">
        <v>2455.5585838991301</v>
      </c>
      <c r="DY146">
        <v>688</v>
      </c>
      <c r="DZ146">
        <v>721</v>
      </c>
      <c r="EA146">
        <v>383</v>
      </c>
      <c r="EB146">
        <v>1984</v>
      </c>
      <c r="EC146">
        <v>1473</v>
      </c>
      <c r="ED146">
        <v>570</v>
      </c>
      <c r="EE146" s="82">
        <v>0.13257800567333999</v>
      </c>
      <c r="EF146" s="82">
        <v>0.31034094060455802</v>
      </c>
    </row>
    <row r="147" spans="1:136" x14ac:dyDescent="0.35">
      <c r="A147" s="72">
        <v>351</v>
      </c>
      <c r="B147" s="72">
        <v>6</v>
      </c>
      <c r="D147" s="72" t="s">
        <v>351</v>
      </c>
      <c r="E147" s="79">
        <v>1200000000</v>
      </c>
      <c r="F147" s="79">
        <v>147700000</v>
      </c>
      <c r="G147" s="79">
        <v>170800000</v>
      </c>
      <c r="H147" s="79">
        <v>13166</v>
      </c>
      <c r="I147" s="79">
        <v>1</v>
      </c>
      <c r="J147" s="79">
        <v>170.8</v>
      </c>
      <c r="K147" s="79">
        <v>3187</v>
      </c>
      <c r="L147" s="79">
        <v>2460</v>
      </c>
      <c r="M147" s="79">
        <v>801</v>
      </c>
      <c r="N147" s="79">
        <v>1161</v>
      </c>
      <c r="O147" s="79">
        <v>634.4</v>
      </c>
      <c r="P147" s="79">
        <v>111</v>
      </c>
      <c r="Q147" s="79">
        <v>652</v>
      </c>
      <c r="R147" s="79">
        <v>315</v>
      </c>
      <c r="S147" s="79">
        <v>0</v>
      </c>
      <c r="T147" s="79">
        <v>299</v>
      </c>
      <c r="U147" s="79">
        <v>5349</v>
      </c>
      <c r="V147" s="79">
        <v>11710</v>
      </c>
      <c r="W147" s="79">
        <v>2660</v>
      </c>
      <c r="X147" s="79">
        <v>0</v>
      </c>
      <c r="Y147" s="79">
        <v>0</v>
      </c>
      <c r="Z147" s="79">
        <v>0</v>
      </c>
      <c r="AA147" s="79">
        <v>0</v>
      </c>
      <c r="AB147" s="79">
        <v>0</v>
      </c>
      <c r="AC147" s="79">
        <v>3652</v>
      </c>
      <c r="AD147" s="79">
        <v>3652</v>
      </c>
      <c r="AE147" s="79">
        <v>31</v>
      </c>
      <c r="AF147" s="79">
        <v>0</v>
      </c>
      <c r="AG147" s="79">
        <v>100</v>
      </c>
      <c r="AH147" s="79">
        <v>62</v>
      </c>
      <c r="AI147" s="79">
        <v>38</v>
      </c>
      <c r="AJ147" s="79">
        <v>5266</v>
      </c>
      <c r="AK147" s="79">
        <v>5266</v>
      </c>
      <c r="AL147" s="79">
        <v>0</v>
      </c>
      <c r="AM147" s="79">
        <v>0</v>
      </c>
      <c r="AN147" s="79">
        <v>0</v>
      </c>
      <c r="AO147" s="79">
        <v>0</v>
      </c>
      <c r="AP147" s="79">
        <v>0</v>
      </c>
      <c r="AQ147" s="79">
        <v>0</v>
      </c>
      <c r="AR147" s="80">
        <v>5.0538999999999998E-5</v>
      </c>
      <c r="AS147" s="80">
        <v>2.5939999999999999E-5</v>
      </c>
      <c r="AT147" s="79">
        <v>4992.1679999999997</v>
      </c>
      <c r="AU147" s="79">
        <v>0</v>
      </c>
      <c r="AV147" s="79">
        <v>584</v>
      </c>
      <c r="AW147" s="79">
        <v>2087.6850393700802</v>
      </c>
      <c r="AX147" s="79">
        <v>1</v>
      </c>
      <c r="AY147" s="79">
        <v>1</v>
      </c>
      <c r="AZ147" s="79">
        <v>1426</v>
      </c>
      <c r="BA147" s="79">
        <v>1</v>
      </c>
      <c r="BB147" s="79">
        <v>0</v>
      </c>
      <c r="BC147" s="79">
        <v>0</v>
      </c>
      <c r="BD147" s="79">
        <v>0</v>
      </c>
      <c r="BE147" s="79">
        <v>0</v>
      </c>
      <c r="BF147" s="79">
        <v>0</v>
      </c>
      <c r="BG147" s="79">
        <v>0</v>
      </c>
      <c r="BH147" s="79">
        <v>0</v>
      </c>
      <c r="BI147" s="79">
        <v>0</v>
      </c>
      <c r="BJ147" s="79">
        <v>0</v>
      </c>
      <c r="BK147" s="79">
        <v>14</v>
      </c>
      <c r="BL147" s="79">
        <v>1337</v>
      </c>
      <c r="BM147" s="79">
        <v>62</v>
      </c>
      <c r="BN147" s="79">
        <v>38</v>
      </c>
      <c r="BO147">
        <v>3005</v>
      </c>
      <c r="BP147">
        <v>0</v>
      </c>
      <c r="BQ147">
        <v>3032</v>
      </c>
      <c r="BR147">
        <v>0</v>
      </c>
      <c r="BS147">
        <v>3062</v>
      </c>
      <c r="BT147">
        <v>0</v>
      </c>
      <c r="BU147">
        <v>3041</v>
      </c>
      <c r="BV147">
        <v>0</v>
      </c>
      <c r="BW147">
        <v>3074</v>
      </c>
      <c r="BX147">
        <v>0</v>
      </c>
      <c r="BY147">
        <v>3094</v>
      </c>
      <c r="BZ147">
        <v>0</v>
      </c>
      <c r="CB147">
        <v>210.34200000000001</v>
      </c>
      <c r="CC147">
        <v>65</v>
      </c>
      <c r="CD147">
        <v>30</v>
      </c>
      <c r="CE147">
        <v>3685.04</v>
      </c>
      <c r="CF147">
        <v>1057.4000000000001</v>
      </c>
      <c r="CG147">
        <v>142.68137070254099</v>
      </c>
      <c r="CH147">
        <v>99</v>
      </c>
      <c r="CI147">
        <v>45</v>
      </c>
      <c r="CJ147">
        <v>22</v>
      </c>
      <c r="CK147" s="81">
        <v>541</v>
      </c>
      <c r="CL147">
        <v>256</v>
      </c>
      <c r="CM147">
        <v>1381.643187251</v>
      </c>
      <c r="CN147">
        <v>6.4000000000000001E-2</v>
      </c>
      <c r="CO147">
        <v>10706</v>
      </c>
      <c r="CP147">
        <v>1365</v>
      </c>
      <c r="CQ147">
        <v>294</v>
      </c>
      <c r="CR147">
        <v>234</v>
      </c>
      <c r="CS147">
        <v>256</v>
      </c>
      <c r="CT147">
        <v>141</v>
      </c>
      <c r="CU147">
        <v>98.786175465248803</v>
      </c>
      <c r="CV147">
        <v>64.933839726547703</v>
      </c>
      <c r="CW147">
        <v>25.178427649069501</v>
      </c>
      <c r="CX147">
        <v>314.06</v>
      </c>
      <c r="CY147">
        <v>206.43700000000001</v>
      </c>
      <c r="CZ147">
        <v>80.046999999999997</v>
      </c>
      <c r="DA147">
        <v>83220</v>
      </c>
      <c r="DE147">
        <v>415</v>
      </c>
      <c r="DF147" t="s">
        <v>174</v>
      </c>
      <c r="DG147">
        <v>2125</v>
      </c>
      <c r="DH147">
        <v>2109</v>
      </c>
      <c r="DI147">
        <v>2068</v>
      </c>
      <c r="DJ147">
        <v>2111</v>
      </c>
      <c r="DK147">
        <v>2111</v>
      </c>
      <c r="DO147">
        <v>356</v>
      </c>
      <c r="DP147" t="s">
        <v>212</v>
      </c>
      <c r="DQ147">
        <v>28632</v>
      </c>
      <c r="DR147">
        <v>1.1399999999999999</v>
      </c>
      <c r="DS147">
        <v>1921</v>
      </c>
      <c r="DV147">
        <v>163</v>
      </c>
      <c r="DW147" t="s">
        <v>142</v>
      </c>
      <c r="DX147">
        <v>4370.6014102032404</v>
      </c>
      <c r="DY147">
        <v>752</v>
      </c>
      <c r="DZ147">
        <v>754</v>
      </c>
      <c r="EA147">
        <v>393</v>
      </c>
      <c r="EB147">
        <v>2603</v>
      </c>
      <c r="EC147">
        <v>1579</v>
      </c>
      <c r="ED147">
        <v>577</v>
      </c>
      <c r="EE147" s="82">
        <v>0.18588444598399001</v>
      </c>
      <c r="EF147" s="82">
        <v>0.49876271685266299</v>
      </c>
    </row>
    <row r="148" spans="1:136" x14ac:dyDescent="0.35">
      <c r="A148" s="72">
        <v>355</v>
      </c>
      <c r="B148" s="72">
        <v>6</v>
      </c>
      <c r="D148" s="72" t="s">
        <v>356</v>
      </c>
      <c r="E148" s="79">
        <v>7631600000</v>
      </c>
      <c r="F148" s="79">
        <v>1017450000</v>
      </c>
      <c r="G148" s="79">
        <v>1093050000</v>
      </c>
      <c r="H148" s="79">
        <v>63934</v>
      </c>
      <c r="I148" s="79">
        <v>3</v>
      </c>
      <c r="J148" s="79">
        <v>1093.05</v>
      </c>
      <c r="K148" s="79">
        <v>13696</v>
      </c>
      <c r="L148" s="79">
        <v>13331</v>
      </c>
      <c r="M148" s="79">
        <v>4200</v>
      </c>
      <c r="N148" s="79">
        <v>8731</v>
      </c>
      <c r="O148" s="79">
        <v>5703.4</v>
      </c>
      <c r="P148" s="79">
        <v>1346.6666666666699</v>
      </c>
      <c r="Q148" s="79">
        <v>4759.6666666666697</v>
      </c>
      <c r="R148" s="79">
        <v>6215</v>
      </c>
      <c r="S148" s="79">
        <v>0</v>
      </c>
      <c r="T148" s="79">
        <v>2079</v>
      </c>
      <c r="U148" s="79">
        <v>30900</v>
      </c>
      <c r="V148" s="79">
        <v>65520</v>
      </c>
      <c r="W148" s="79">
        <v>47770</v>
      </c>
      <c r="X148" s="79">
        <v>3572.2984000000001</v>
      </c>
      <c r="Y148" s="79">
        <v>5426.4</v>
      </c>
      <c r="Z148" s="79">
        <v>0</v>
      </c>
      <c r="AA148" s="79">
        <v>0</v>
      </c>
      <c r="AB148" s="79">
        <v>263.29999999999899</v>
      </c>
      <c r="AC148" s="79">
        <v>4851</v>
      </c>
      <c r="AD148" s="79">
        <v>4851</v>
      </c>
      <c r="AE148" s="79">
        <v>14</v>
      </c>
      <c r="AF148" s="79">
        <v>0</v>
      </c>
      <c r="AG148" s="79">
        <v>299</v>
      </c>
      <c r="AH148" s="79">
        <v>275</v>
      </c>
      <c r="AI148" s="79">
        <v>25</v>
      </c>
      <c r="AJ148" s="79">
        <v>30276</v>
      </c>
      <c r="AK148" s="79">
        <v>30276</v>
      </c>
      <c r="AL148" s="79">
        <v>0</v>
      </c>
      <c r="AM148" s="79">
        <v>0</v>
      </c>
      <c r="AN148" s="79">
        <v>0</v>
      </c>
      <c r="AO148" s="79">
        <v>0</v>
      </c>
      <c r="AP148" s="79">
        <v>4932</v>
      </c>
      <c r="AQ148" s="79">
        <v>0</v>
      </c>
      <c r="AR148" s="80">
        <v>1.3231569999999999E-3</v>
      </c>
      <c r="AS148" s="80">
        <v>2.0160909999999998E-3</v>
      </c>
      <c r="AT148" s="79">
        <v>47684.7</v>
      </c>
      <c r="AU148" s="79">
        <v>0</v>
      </c>
      <c r="AV148" s="79">
        <v>530</v>
      </c>
      <c r="AW148" s="79">
        <v>6965.0606372045204</v>
      </c>
      <c r="AX148" s="79">
        <v>4</v>
      </c>
      <c r="AY148" s="79">
        <v>4</v>
      </c>
      <c r="AZ148" s="79">
        <v>8161</v>
      </c>
      <c r="BA148" s="79">
        <v>1</v>
      </c>
      <c r="BB148" s="79">
        <v>0</v>
      </c>
      <c r="BC148" s="79">
        <v>0</v>
      </c>
      <c r="BD148" s="79">
        <v>0</v>
      </c>
      <c r="BE148" s="79">
        <v>0</v>
      </c>
      <c r="BF148" s="79">
        <v>0</v>
      </c>
      <c r="BG148" s="79">
        <v>0</v>
      </c>
      <c r="BH148" s="79">
        <v>0</v>
      </c>
      <c r="BI148" s="79">
        <v>0</v>
      </c>
      <c r="BJ148" s="79">
        <v>0</v>
      </c>
      <c r="BK148" s="79">
        <v>32</v>
      </c>
      <c r="BL148" s="79">
        <v>11721</v>
      </c>
      <c r="BM148" s="79">
        <v>275</v>
      </c>
      <c r="BN148" s="79">
        <v>25</v>
      </c>
      <c r="BO148">
        <v>13010</v>
      </c>
      <c r="BP148">
        <v>5927</v>
      </c>
      <c r="BQ148">
        <v>13060</v>
      </c>
      <c r="BR148">
        <v>5911</v>
      </c>
      <c r="BS148">
        <v>13093</v>
      </c>
      <c r="BT148">
        <v>5822</v>
      </c>
      <c r="BU148">
        <v>13176</v>
      </c>
      <c r="BV148">
        <v>5840</v>
      </c>
      <c r="BW148">
        <v>13199</v>
      </c>
      <c r="BX148">
        <v>5912</v>
      </c>
      <c r="BY148">
        <v>13214</v>
      </c>
      <c r="BZ148">
        <v>6052</v>
      </c>
      <c r="CB148">
        <v>1602.432</v>
      </c>
      <c r="CC148">
        <v>101</v>
      </c>
      <c r="CD148">
        <v>211</v>
      </c>
      <c r="CE148">
        <v>22528.74</v>
      </c>
      <c r="CF148">
        <v>6353.71</v>
      </c>
      <c r="CG148">
        <v>605.04972207084495</v>
      </c>
      <c r="CH148">
        <v>731</v>
      </c>
      <c r="CI148">
        <v>390</v>
      </c>
      <c r="CJ148">
        <v>319.33333333333297</v>
      </c>
      <c r="CK148" s="81">
        <v>3413</v>
      </c>
      <c r="CL148">
        <v>1308</v>
      </c>
      <c r="CM148">
        <v>8674.4363031256999</v>
      </c>
      <c r="CN148">
        <v>2.8980000000000001</v>
      </c>
      <c r="CO148">
        <v>50603</v>
      </c>
      <c r="CP148">
        <v>7149</v>
      </c>
      <c r="CQ148">
        <v>1982</v>
      </c>
      <c r="CR148">
        <v>1956</v>
      </c>
      <c r="CS148">
        <v>1525</v>
      </c>
      <c r="CT148">
        <v>975</v>
      </c>
      <c r="CU148">
        <v>870.31668648434402</v>
      </c>
      <c r="CV148">
        <v>548.18648434403497</v>
      </c>
      <c r="CW148">
        <v>245.08268595587299</v>
      </c>
      <c r="CX148">
        <v>1433.586</v>
      </c>
      <c r="CY148">
        <v>902.97299999999996</v>
      </c>
      <c r="CZ148">
        <v>403.70030000000003</v>
      </c>
      <c r="DA148">
        <v>491263</v>
      </c>
      <c r="DE148">
        <v>416</v>
      </c>
      <c r="DF148" t="s">
        <v>175</v>
      </c>
      <c r="DG148">
        <v>6552</v>
      </c>
      <c r="DH148">
        <v>6493</v>
      </c>
      <c r="DI148">
        <v>6433</v>
      </c>
      <c r="DJ148">
        <v>6318</v>
      </c>
      <c r="DK148">
        <v>6164</v>
      </c>
      <c r="DO148">
        <v>589</v>
      </c>
      <c r="DP148" t="s">
        <v>241</v>
      </c>
      <c r="DQ148">
        <v>4326</v>
      </c>
      <c r="DR148">
        <v>1.48</v>
      </c>
      <c r="DS148">
        <v>851</v>
      </c>
      <c r="DV148">
        <v>530</v>
      </c>
      <c r="DW148" t="s">
        <v>143</v>
      </c>
      <c r="DX148">
        <v>4788.20996708437</v>
      </c>
      <c r="DY148">
        <v>1112</v>
      </c>
      <c r="DZ148">
        <v>762</v>
      </c>
      <c r="EA148">
        <v>382</v>
      </c>
      <c r="EB148">
        <v>3367</v>
      </c>
      <c r="EC148">
        <v>1549</v>
      </c>
      <c r="ED148">
        <v>534</v>
      </c>
      <c r="EE148" s="82">
        <v>0.15871028566481299</v>
      </c>
      <c r="EF148" s="82">
        <v>0.40056396059305099</v>
      </c>
    </row>
    <row r="149" spans="1:136" x14ac:dyDescent="0.35">
      <c r="A149" s="72">
        <v>358</v>
      </c>
      <c r="B149" s="72">
        <v>7</v>
      </c>
      <c r="D149" s="72" t="s">
        <v>12</v>
      </c>
      <c r="E149" s="79">
        <v>3579600000</v>
      </c>
      <c r="F149" s="79">
        <v>639800000</v>
      </c>
      <c r="G149" s="79">
        <v>645400000</v>
      </c>
      <c r="H149" s="79">
        <v>31728</v>
      </c>
      <c r="I149" s="79">
        <v>2</v>
      </c>
      <c r="J149" s="79">
        <v>645.4</v>
      </c>
      <c r="K149" s="79">
        <v>7038</v>
      </c>
      <c r="L149" s="79">
        <v>5830</v>
      </c>
      <c r="M149" s="79">
        <v>1904</v>
      </c>
      <c r="N149" s="79">
        <v>3191</v>
      </c>
      <c r="O149" s="79">
        <v>1877.3</v>
      </c>
      <c r="P149" s="79">
        <v>227</v>
      </c>
      <c r="Q149" s="79">
        <v>1236</v>
      </c>
      <c r="R149" s="79">
        <v>1460</v>
      </c>
      <c r="S149" s="79">
        <v>0</v>
      </c>
      <c r="T149" s="79">
        <v>960</v>
      </c>
      <c r="U149" s="79">
        <v>13447</v>
      </c>
      <c r="V149" s="79">
        <v>25300</v>
      </c>
      <c r="W149" s="79">
        <v>4060</v>
      </c>
      <c r="X149" s="79">
        <v>0</v>
      </c>
      <c r="Y149" s="79">
        <v>0</v>
      </c>
      <c r="Z149" s="79">
        <v>0</v>
      </c>
      <c r="AA149" s="79">
        <v>0</v>
      </c>
      <c r="AB149" s="79">
        <v>0</v>
      </c>
      <c r="AC149" s="79">
        <v>2008</v>
      </c>
      <c r="AD149" s="79">
        <v>2409.6</v>
      </c>
      <c r="AE149" s="79">
        <v>1221</v>
      </c>
      <c r="AF149" s="79">
        <v>0</v>
      </c>
      <c r="AG149" s="79">
        <v>286</v>
      </c>
      <c r="AH149" s="79">
        <v>282.24</v>
      </c>
      <c r="AI149" s="79">
        <v>68.930000000000007</v>
      </c>
      <c r="AJ149" s="79">
        <v>13137</v>
      </c>
      <c r="AK149" s="79">
        <v>16552.62</v>
      </c>
      <c r="AL149" s="79">
        <v>0</v>
      </c>
      <c r="AM149" s="79">
        <v>0</v>
      </c>
      <c r="AN149" s="79">
        <v>0</v>
      </c>
      <c r="AO149" s="79">
        <v>0</v>
      </c>
      <c r="AP149" s="79">
        <v>1605</v>
      </c>
      <c r="AQ149" s="79">
        <v>0</v>
      </c>
      <c r="AR149" s="80">
        <v>2.2255300000000001E-4</v>
      </c>
      <c r="AS149" s="80">
        <v>1.25499E-4</v>
      </c>
      <c r="AT149" s="79">
        <v>12099.177</v>
      </c>
      <c r="AU149" s="79">
        <v>0</v>
      </c>
      <c r="AV149" s="79">
        <v>4166.3999999999996</v>
      </c>
      <c r="AW149" s="79">
        <v>93716.002725301994</v>
      </c>
      <c r="AX149" s="79">
        <v>3</v>
      </c>
      <c r="AY149" s="79">
        <v>3.39</v>
      </c>
      <c r="AZ149" s="79">
        <v>4225</v>
      </c>
      <c r="BA149" s="79">
        <v>1</v>
      </c>
      <c r="BB149" s="79">
        <v>0</v>
      </c>
      <c r="BC149" s="79">
        <v>0</v>
      </c>
      <c r="BD149" s="79">
        <v>0</v>
      </c>
      <c r="BE149" s="79">
        <v>0</v>
      </c>
      <c r="BF149" s="79">
        <v>0</v>
      </c>
      <c r="BG149" s="79">
        <v>0</v>
      </c>
      <c r="BH149" s="79">
        <v>0</v>
      </c>
      <c r="BI149" s="79">
        <v>0</v>
      </c>
      <c r="BJ149" s="79">
        <v>0</v>
      </c>
      <c r="BK149" s="79">
        <v>9</v>
      </c>
      <c r="BL149" s="79">
        <v>3790</v>
      </c>
      <c r="BM149" s="79">
        <v>224</v>
      </c>
      <c r="BN149" s="79">
        <v>61</v>
      </c>
      <c r="BO149">
        <v>6453</v>
      </c>
      <c r="BP149">
        <v>0</v>
      </c>
      <c r="BQ149">
        <v>6775</v>
      </c>
      <c r="BR149">
        <v>0</v>
      </c>
      <c r="BS149">
        <v>7054</v>
      </c>
      <c r="BT149">
        <v>0</v>
      </c>
      <c r="BU149">
        <v>7131</v>
      </c>
      <c r="BV149">
        <v>0</v>
      </c>
      <c r="BW149">
        <v>7138</v>
      </c>
      <c r="BX149">
        <v>0</v>
      </c>
      <c r="BY149">
        <v>7128</v>
      </c>
      <c r="BZ149">
        <v>0</v>
      </c>
      <c r="CB149">
        <v>450.43200000000002</v>
      </c>
      <c r="CC149">
        <v>164</v>
      </c>
      <c r="CD149">
        <v>100</v>
      </c>
      <c r="CE149">
        <v>10602.09</v>
      </c>
      <c r="CF149">
        <v>3261.14</v>
      </c>
      <c r="CG149">
        <v>158.31624304648099</v>
      </c>
      <c r="CH149">
        <v>341</v>
      </c>
      <c r="CI149">
        <v>84</v>
      </c>
      <c r="CJ149">
        <v>61.6666666666667</v>
      </c>
      <c r="CK149" s="81">
        <v>1009</v>
      </c>
      <c r="CL149">
        <v>270</v>
      </c>
      <c r="CM149">
        <v>3723.4656493817702</v>
      </c>
      <c r="CN149">
        <v>0.159</v>
      </c>
      <c r="CO149">
        <v>25898</v>
      </c>
      <c r="CP149">
        <v>3213</v>
      </c>
      <c r="CQ149">
        <v>713</v>
      </c>
      <c r="CR149">
        <v>584</v>
      </c>
      <c r="CS149">
        <v>660</v>
      </c>
      <c r="CT149">
        <v>358</v>
      </c>
      <c r="CU149">
        <v>278.94417294663901</v>
      </c>
      <c r="CV149">
        <v>191.63121717287001</v>
      </c>
      <c r="CW149">
        <v>72.879881251427307</v>
      </c>
      <c r="CX149">
        <v>634.59519999999998</v>
      </c>
      <c r="CY149">
        <v>435.95909999999998</v>
      </c>
      <c r="CZ149">
        <v>165.80099999999999</v>
      </c>
      <c r="DA149">
        <v>36773</v>
      </c>
      <c r="DE149">
        <v>417</v>
      </c>
      <c r="DF149" t="s">
        <v>177</v>
      </c>
      <c r="DG149">
        <v>2289</v>
      </c>
      <c r="DH149">
        <v>2221</v>
      </c>
      <c r="DI149">
        <v>2212</v>
      </c>
      <c r="DJ149">
        <v>2152</v>
      </c>
      <c r="DK149">
        <v>2100</v>
      </c>
      <c r="DO149">
        <v>339</v>
      </c>
      <c r="DP149" t="s">
        <v>252</v>
      </c>
      <c r="DQ149">
        <v>2005</v>
      </c>
      <c r="DR149">
        <v>1</v>
      </c>
      <c r="DS149">
        <v>477</v>
      </c>
      <c r="DV149">
        <v>794</v>
      </c>
      <c r="DW149" t="s">
        <v>144</v>
      </c>
      <c r="DX149">
        <v>13444.2243944115</v>
      </c>
      <c r="DY149">
        <v>2123</v>
      </c>
      <c r="DZ149">
        <v>1694</v>
      </c>
      <c r="EA149">
        <v>813</v>
      </c>
      <c r="EB149">
        <v>5866</v>
      </c>
      <c r="EC149">
        <v>3345</v>
      </c>
      <c r="ED149">
        <v>1106</v>
      </c>
      <c r="EE149" s="82">
        <v>0.236576817404654</v>
      </c>
      <c r="EF149" s="82">
        <v>0.52088851256685498</v>
      </c>
    </row>
    <row r="150" spans="1:136" x14ac:dyDescent="0.35">
      <c r="A150" s="72">
        <v>361</v>
      </c>
      <c r="B150" s="72">
        <v>7</v>
      </c>
      <c r="D150" s="72" t="s">
        <v>17</v>
      </c>
      <c r="E150" s="79">
        <v>9211600000</v>
      </c>
      <c r="F150" s="79">
        <v>2074450000</v>
      </c>
      <c r="G150" s="79">
        <v>2117850000</v>
      </c>
      <c r="H150" s="79">
        <v>108558</v>
      </c>
      <c r="I150" s="79">
        <v>5</v>
      </c>
      <c r="J150" s="79">
        <v>2117.85</v>
      </c>
      <c r="K150" s="79">
        <v>20578</v>
      </c>
      <c r="L150" s="79">
        <v>20915</v>
      </c>
      <c r="M150" s="79">
        <v>6144</v>
      </c>
      <c r="N150" s="79">
        <v>16856</v>
      </c>
      <c r="O150" s="79">
        <v>11697.1</v>
      </c>
      <c r="P150" s="79">
        <v>2525</v>
      </c>
      <c r="Q150" s="79">
        <v>9626</v>
      </c>
      <c r="R150" s="79">
        <v>8345</v>
      </c>
      <c r="S150" s="79">
        <v>0</v>
      </c>
      <c r="T150" s="79">
        <v>4239</v>
      </c>
      <c r="U150" s="79">
        <v>52689</v>
      </c>
      <c r="V150" s="79">
        <v>119450</v>
      </c>
      <c r="W150" s="79">
        <v>129620</v>
      </c>
      <c r="X150" s="79">
        <v>3264.22</v>
      </c>
      <c r="Y150" s="79">
        <v>5756.8</v>
      </c>
      <c r="Z150" s="79">
        <v>0</v>
      </c>
      <c r="AA150" s="79">
        <v>0</v>
      </c>
      <c r="AB150" s="79">
        <v>0</v>
      </c>
      <c r="AC150" s="79">
        <v>11027</v>
      </c>
      <c r="AD150" s="79">
        <v>12019.43</v>
      </c>
      <c r="AE150" s="79">
        <v>708</v>
      </c>
      <c r="AF150" s="79">
        <v>0</v>
      </c>
      <c r="AG150" s="79">
        <v>548</v>
      </c>
      <c r="AH150" s="79">
        <v>489.3</v>
      </c>
      <c r="AI150" s="79">
        <v>91.3</v>
      </c>
      <c r="AJ150" s="79">
        <v>51589</v>
      </c>
      <c r="AK150" s="79">
        <v>54168.45</v>
      </c>
      <c r="AL150" s="79">
        <v>0</v>
      </c>
      <c r="AM150" s="79">
        <v>47</v>
      </c>
      <c r="AN150" s="79">
        <v>0</v>
      </c>
      <c r="AO150" s="79">
        <v>8600</v>
      </c>
      <c r="AP150" s="79">
        <v>7019</v>
      </c>
      <c r="AQ150" s="79">
        <v>7019</v>
      </c>
      <c r="AR150" s="80">
        <v>5.9157480000000002E-3</v>
      </c>
      <c r="AS150" s="80">
        <v>6.6916470000000002E-3</v>
      </c>
      <c r="AT150" s="79">
        <v>116384.784</v>
      </c>
      <c r="AU150" s="79">
        <v>0</v>
      </c>
      <c r="AV150" s="79">
        <v>11300.03</v>
      </c>
      <c r="AW150" s="79">
        <v>186612.72838006</v>
      </c>
      <c r="AX150" s="79">
        <v>13</v>
      </c>
      <c r="AY150" s="79">
        <v>14.3</v>
      </c>
      <c r="AZ150" s="79">
        <v>12463</v>
      </c>
      <c r="BA150" s="79">
        <v>1</v>
      </c>
      <c r="BB150" s="79">
        <v>0</v>
      </c>
      <c r="BC150" s="79">
        <v>0</v>
      </c>
      <c r="BD150" s="79">
        <v>0</v>
      </c>
      <c r="BE150" s="79">
        <v>0</v>
      </c>
      <c r="BF150" s="79">
        <v>0</v>
      </c>
      <c r="BG150" s="79">
        <v>0</v>
      </c>
      <c r="BH150" s="79">
        <v>0</v>
      </c>
      <c r="BI150" s="79">
        <v>0</v>
      </c>
      <c r="BJ150" s="79">
        <v>0</v>
      </c>
      <c r="BK150" s="79">
        <v>139</v>
      </c>
      <c r="BL150" s="79">
        <v>20930</v>
      </c>
      <c r="BM150" s="79">
        <v>466</v>
      </c>
      <c r="BN150" s="79">
        <v>83</v>
      </c>
      <c r="BO150">
        <v>21526</v>
      </c>
      <c r="BP150">
        <v>7435</v>
      </c>
      <c r="BQ150">
        <v>21408</v>
      </c>
      <c r="BR150">
        <v>7288</v>
      </c>
      <c r="BS150">
        <v>21134</v>
      </c>
      <c r="BT150">
        <v>7362</v>
      </c>
      <c r="BU150">
        <v>21135</v>
      </c>
      <c r="BV150">
        <v>7428</v>
      </c>
      <c r="BW150">
        <v>21043</v>
      </c>
      <c r="BX150">
        <v>7472</v>
      </c>
      <c r="BY150">
        <v>20997</v>
      </c>
      <c r="BZ150">
        <v>7598</v>
      </c>
      <c r="CB150">
        <v>2510.5160000000001</v>
      </c>
      <c r="CC150">
        <v>220</v>
      </c>
      <c r="CD150">
        <v>325</v>
      </c>
      <c r="CE150">
        <v>33058.559999999998</v>
      </c>
      <c r="CF150">
        <v>7447.44</v>
      </c>
      <c r="CG150">
        <v>733.01017981920404</v>
      </c>
      <c r="CH150">
        <v>1416</v>
      </c>
      <c r="CI150">
        <v>676</v>
      </c>
      <c r="CJ150">
        <v>621.33333333333303</v>
      </c>
      <c r="CK150" s="81">
        <v>7101</v>
      </c>
      <c r="CL150">
        <v>1885</v>
      </c>
      <c r="CM150">
        <v>14527.393668168899</v>
      </c>
      <c r="CN150">
        <v>5.3209999999999997</v>
      </c>
      <c r="CO150">
        <v>87643</v>
      </c>
      <c r="CP150">
        <v>12542</v>
      </c>
      <c r="CQ150">
        <v>2229</v>
      </c>
      <c r="CR150">
        <v>3433</v>
      </c>
      <c r="CS150">
        <v>2345</v>
      </c>
      <c r="CT150">
        <v>1124</v>
      </c>
      <c r="CU150">
        <v>1890.3006978231799</v>
      </c>
      <c r="CV150">
        <v>1012.60440403962</v>
      </c>
      <c r="CW150">
        <v>356.42949465971401</v>
      </c>
      <c r="CX150">
        <v>3945.9020999999998</v>
      </c>
      <c r="CY150">
        <v>2113.7577999999999</v>
      </c>
      <c r="CZ150">
        <v>744.02760000000001</v>
      </c>
      <c r="DA150">
        <v>60805</v>
      </c>
      <c r="DE150">
        <v>420</v>
      </c>
      <c r="DF150" t="s">
        <v>196</v>
      </c>
      <c r="DG150">
        <v>9877</v>
      </c>
      <c r="DH150">
        <v>9843</v>
      </c>
      <c r="DI150">
        <v>9791</v>
      </c>
      <c r="DJ150">
        <v>9665</v>
      </c>
      <c r="DK150">
        <v>9594</v>
      </c>
      <c r="DO150">
        <v>340</v>
      </c>
      <c r="DP150" t="s">
        <v>255</v>
      </c>
      <c r="DQ150">
        <v>8112</v>
      </c>
      <c r="DR150">
        <v>1</v>
      </c>
      <c r="DS150">
        <v>915</v>
      </c>
      <c r="DV150">
        <v>531</v>
      </c>
      <c r="DW150" t="s">
        <v>145</v>
      </c>
      <c r="DX150">
        <v>2723.8719480963</v>
      </c>
      <c r="DY150">
        <v>541</v>
      </c>
      <c r="DZ150">
        <v>558</v>
      </c>
      <c r="EA150">
        <v>311</v>
      </c>
      <c r="EB150">
        <v>1745</v>
      </c>
      <c r="EC150">
        <v>1142</v>
      </c>
      <c r="ED150">
        <v>447</v>
      </c>
      <c r="EE150" s="82">
        <v>0.12352469621666599</v>
      </c>
      <c r="EF150" s="82">
        <v>0.37291119083034402</v>
      </c>
    </row>
    <row r="151" spans="1:136" x14ac:dyDescent="0.35">
      <c r="A151" s="72">
        <v>362</v>
      </c>
      <c r="B151" s="72">
        <v>7</v>
      </c>
      <c r="D151" s="72" t="s">
        <v>25</v>
      </c>
      <c r="E151" s="79">
        <v>12974400000</v>
      </c>
      <c r="F151" s="79">
        <v>1686650000</v>
      </c>
      <c r="G151" s="79">
        <v>1716050000</v>
      </c>
      <c r="H151" s="79">
        <v>90838</v>
      </c>
      <c r="I151" s="79">
        <v>1</v>
      </c>
      <c r="J151" s="79">
        <v>1716.05</v>
      </c>
      <c r="K151" s="79">
        <v>18707</v>
      </c>
      <c r="L151" s="79">
        <v>17401</v>
      </c>
      <c r="M151" s="79">
        <v>5681</v>
      </c>
      <c r="N151" s="79">
        <v>10562</v>
      </c>
      <c r="O151" s="79">
        <v>6281.5</v>
      </c>
      <c r="P151" s="79">
        <v>1066.6666666666699</v>
      </c>
      <c r="Q151" s="79">
        <v>3977.6666666666702</v>
      </c>
      <c r="R151" s="79">
        <v>7265</v>
      </c>
      <c r="S151" s="79">
        <v>0</v>
      </c>
      <c r="T151" s="79">
        <v>3111</v>
      </c>
      <c r="U151" s="79">
        <v>44069</v>
      </c>
      <c r="V151" s="79">
        <v>90620</v>
      </c>
      <c r="W151" s="79">
        <v>57250</v>
      </c>
      <c r="X151" s="79">
        <v>465.3</v>
      </c>
      <c r="Y151" s="79">
        <v>4736</v>
      </c>
      <c r="Z151" s="79">
        <v>0</v>
      </c>
      <c r="AA151" s="79">
        <v>1237.9000000000001</v>
      </c>
      <c r="AB151" s="79">
        <v>129.599999999999</v>
      </c>
      <c r="AC151" s="79">
        <v>4124</v>
      </c>
      <c r="AD151" s="79">
        <v>5361.2</v>
      </c>
      <c r="AE151" s="79">
        <v>284</v>
      </c>
      <c r="AF151" s="79">
        <v>0</v>
      </c>
      <c r="AG151" s="79">
        <v>321</v>
      </c>
      <c r="AH151" s="79">
        <v>391.3</v>
      </c>
      <c r="AI151" s="79">
        <v>26</v>
      </c>
      <c r="AJ151" s="79">
        <v>42805</v>
      </c>
      <c r="AK151" s="79">
        <v>55646.5</v>
      </c>
      <c r="AL151" s="79">
        <v>0</v>
      </c>
      <c r="AM151" s="79">
        <v>0</v>
      </c>
      <c r="AN151" s="79">
        <v>0</v>
      </c>
      <c r="AO151" s="79">
        <v>0</v>
      </c>
      <c r="AP151" s="79">
        <v>1241</v>
      </c>
      <c r="AQ151" s="79">
        <v>0</v>
      </c>
      <c r="AR151" s="80">
        <v>7.1556899999999999E-4</v>
      </c>
      <c r="AS151" s="80">
        <v>3.213704E-3</v>
      </c>
      <c r="AT151" s="79">
        <v>106670.06</v>
      </c>
      <c r="AU151" s="79">
        <v>0</v>
      </c>
      <c r="AV151" s="79">
        <v>4950.3999999999996</v>
      </c>
      <c r="AW151" s="79">
        <v>176866.20208711401</v>
      </c>
      <c r="AX151" s="79">
        <v>7</v>
      </c>
      <c r="AY151" s="79">
        <v>9.1</v>
      </c>
      <c r="AZ151" s="79">
        <v>10519</v>
      </c>
      <c r="BA151" s="79">
        <v>1</v>
      </c>
      <c r="BB151" s="79">
        <v>0</v>
      </c>
      <c r="BC151" s="79">
        <v>0</v>
      </c>
      <c r="BD151" s="79">
        <v>0</v>
      </c>
      <c r="BE151" s="79">
        <v>0</v>
      </c>
      <c r="BF151" s="79">
        <v>0</v>
      </c>
      <c r="BG151" s="79">
        <v>0</v>
      </c>
      <c r="BH151" s="79">
        <v>0</v>
      </c>
      <c r="BI151" s="79">
        <v>0</v>
      </c>
      <c r="BJ151" s="79">
        <v>0</v>
      </c>
      <c r="BK151" s="79">
        <v>25</v>
      </c>
      <c r="BL151" s="79">
        <v>18754</v>
      </c>
      <c r="BM151" s="79">
        <v>301</v>
      </c>
      <c r="BN151" s="79">
        <v>20</v>
      </c>
      <c r="BO151">
        <v>15881</v>
      </c>
      <c r="BP151">
        <v>5264</v>
      </c>
      <c r="BQ151">
        <v>16020</v>
      </c>
      <c r="BR151">
        <v>5333</v>
      </c>
      <c r="BS151">
        <v>16257</v>
      </c>
      <c r="BT151">
        <v>5500</v>
      </c>
      <c r="BU151">
        <v>16583</v>
      </c>
      <c r="BV151">
        <v>5567</v>
      </c>
      <c r="BW151">
        <v>16811</v>
      </c>
      <c r="BX151">
        <v>5674</v>
      </c>
      <c r="BY151">
        <v>17054</v>
      </c>
      <c r="BZ151">
        <v>5707</v>
      </c>
      <c r="CB151">
        <v>1664.923</v>
      </c>
      <c r="CC151">
        <v>52</v>
      </c>
      <c r="CD151">
        <v>128</v>
      </c>
      <c r="CE151">
        <v>34660.800000000003</v>
      </c>
      <c r="CF151">
        <v>9558.6</v>
      </c>
      <c r="CG151">
        <v>301.67710023425798</v>
      </c>
      <c r="CH151">
        <v>1136</v>
      </c>
      <c r="CI151">
        <v>330.33333333333297</v>
      </c>
      <c r="CJ151">
        <v>285.66666666666703</v>
      </c>
      <c r="CK151" s="81">
        <v>2911</v>
      </c>
      <c r="CL151">
        <v>691</v>
      </c>
      <c r="CM151">
        <v>9431.9292891808309</v>
      </c>
      <c r="CN151">
        <v>0.6</v>
      </c>
      <c r="CO151">
        <v>73437</v>
      </c>
      <c r="CP151">
        <v>8914</v>
      </c>
      <c r="CQ151">
        <v>2806</v>
      </c>
      <c r="CR151">
        <v>2603</v>
      </c>
      <c r="CS151">
        <v>2356</v>
      </c>
      <c r="CT151">
        <v>1587</v>
      </c>
      <c r="CU151">
        <v>868.74150216096302</v>
      </c>
      <c r="CV151">
        <v>613.988926527275</v>
      </c>
      <c r="CW151">
        <v>314.918794533349</v>
      </c>
      <c r="CX151">
        <v>1802.64</v>
      </c>
      <c r="CY151">
        <v>1274.028</v>
      </c>
      <c r="CZ151">
        <v>653.45699999999999</v>
      </c>
      <c r="DA151">
        <v>133948</v>
      </c>
      <c r="DE151">
        <v>431</v>
      </c>
      <c r="DF151" t="s">
        <v>235</v>
      </c>
      <c r="DG151">
        <v>2104</v>
      </c>
      <c r="DH151">
        <v>2048</v>
      </c>
      <c r="DI151">
        <v>2009</v>
      </c>
      <c r="DJ151">
        <v>1973</v>
      </c>
      <c r="DK151">
        <v>1935</v>
      </c>
      <c r="DO151">
        <v>342</v>
      </c>
      <c r="DP151" t="s">
        <v>279</v>
      </c>
      <c r="DQ151">
        <v>20841</v>
      </c>
      <c r="DR151">
        <v>1</v>
      </c>
      <c r="DS151">
        <v>1470</v>
      </c>
      <c r="DV151">
        <v>164</v>
      </c>
      <c r="DW151" t="s">
        <v>146</v>
      </c>
      <c r="DX151">
        <v>12661.4882930514</v>
      </c>
      <c r="DY151">
        <v>2021</v>
      </c>
      <c r="DZ151">
        <v>1808</v>
      </c>
      <c r="EA151">
        <v>1159</v>
      </c>
      <c r="EB151">
        <v>5590</v>
      </c>
      <c r="EC151">
        <v>3504</v>
      </c>
      <c r="ED151">
        <v>1561</v>
      </c>
      <c r="EE151" s="82">
        <v>0.22890399763745201</v>
      </c>
      <c r="EF151" s="82">
        <v>0.52088851256685498</v>
      </c>
    </row>
    <row r="152" spans="1:136" x14ac:dyDescent="0.35">
      <c r="A152" s="72">
        <v>363</v>
      </c>
      <c r="B152" s="72">
        <v>7</v>
      </c>
      <c r="D152" s="72" t="s">
        <v>26</v>
      </c>
      <c r="E152" s="79">
        <v>127936800000</v>
      </c>
      <c r="F152" s="79">
        <v>25765950000</v>
      </c>
      <c r="G152" s="79">
        <v>25920300000</v>
      </c>
      <c r="H152" s="79">
        <v>862965</v>
      </c>
      <c r="I152" s="79">
        <v>4</v>
      </c>
      <c r="J152" s="79">
        <v>25920.3</v>
      </c>
      <c r="K152" s="79">
        <v>148059</v>
      </c>
      <c r="L152" s="79">
        <v>107980</v>
      </c>
      <c r="M152" s="79">
        <v>30877</v>
      </c>
      <c r="N152" s="79">
        <v>154731</v>
      </c>
      <c r="O152" s="79">
        <v>109533.1</v>
      </c>
      <c r="P152" s="79">
        <v>40465</v>
      </c>
      <c r="Q152" s="79">
        <v>79200</v>
      </c>
      <c r="R152" s="79">
        <v>208335</v>
      </c>
      <c r="S152" s="79">
        <v>35742</v>
      </c>
      <c r="T152" s="79">
        <v>40415</v>
      </c>
      <c r="U152" s="79">
        <v>480897</v>
      </c>
      <c r="V152" s="79">
        <v>952670</v>
      </c>
      <c r="W152" s="79">
        <v>1798540</v>
      </c>
      <c r="X152" s="79">
        <v>16274.936600000001</v>
      </c>
      <c r="Y152" s="79">
        <v>31820.799999999999</v>
      </c>
      <c r="Z152" s="79">
        <v>4772.7</v>
      </c>
      <c r="AA152" s="79">
        <v>0</v>
      </c>
      <c r="AB152" s="79">
        <v>4985.2</v>
      </c>
      <c r="AC152" s="79">
        <v>16520</v>
      </c>
      <c r="AD152" s="79">
        <v>21641.200000000001</v>
      </c>
      <c r="AE152" s="79">
        <v>3156</v>
      </c>
      <c r="AF152" s="79">
        <v>2273</v>
      </c>
      <c r="AG152" s="79">
        <v>2387</v>
      </c>
      <c r="AH152" s="79">
        <v>2786.37</v>
      </c>
      <c r="AI152" s="79">
        <v>340.6</v>
      </c>
      <c r="AJ152" s="79">
        <v>451979</v>
      </c>
      <c r="AK152" s="79">
        <v>592092.49</v>
      </c>
      <c r="AL152" s="79">
        <v>0</v>
      </c>
      <c r="AM152" s="79">
        <v>0</v>
      </c>
      <c r="AN152" s="79">
        <v>425</v>
      </c>
      <c r="AO152" s="79">
        <v>83000</v>
      </c>
      <c r="AP152" s="79">
        <v>198950</v>
      </c>
      <c r="AQ152" s="79">
        <v>196621</v>
      </c>
      <c r="AR152" s="80">
        <v>0.21133982800000001</v>
      </c>
      <c r="AS152" s="80">
        <v>0.14053195900000001</v>
      </c>
      <c r="AT152" s="79">
        <v>2737636.8029999998</v>
      </c>
      <c r="AU152" s="79">
        <v>1200908.203</v>
      </c>
      <c r="AV152" s="79">
        <v>18979.28</v>
      </c>
      <c r="AW152" s="79">
        <v>1988976.4334569999</v>
      </c>
      <c r="AX152" s="79">
        <v>20</v>
      </c>
      <c r="AY152" s="79">
        <v>26.2</v>
      </c>
      <c r="AZ152" s="79">
        <v>153239</v>
      </c>
      <c r="BA152" s="79">
        <v>1</v>
      </c>
      <c r="BB152" s="79">
        <v>1</v>
      </c>
      <c r="BC152" s="79">
        <v>0</v>
      </c>
      <c r="BD152" s="79">
        <v>0</v>
      </c>
      <c r="BE152" s="79">
        <v>0</v>
      </c>
      <c r="BF152" s="79">
        <v>0</v>
      </c>
      <c r="BG152" s="79">
        <v>0</v>
      </c>
      <c r="BH152" s="79">
        <v>0</v>
      </c>
      <c r="BI152" s="79">
        <v>0</v>
      </c>
      <c r="BJ152" s="79">
        <v>0</v>
      </c>
      <c r="BK152" s="79">
        <v>694</v>
      </c>
      <c r="BL152" s="79">
        <v>257453</v>
      </c>
      <c r="BM152" s="79">
        <v>2127</v>
      </c>
      <c r="BN152" s="79">
        <v>260</v>
      </c>
      <c r="BO152">
        <v>139257</v>
      </c>
      <c r="BP152">
        <v>31628</v>
      </c>
      <c r="BQ152">
        <v>141065</v>
      </c>
      <c r="BR152">
        <v>32242</v>
      </c>
      <c r="BS152">
        <v>142968</v>
      </c>
      <c r="BT152">
        <v>33665</v>
      </c>
      <c r="BU152">
        <v>144042</v>
      </c>
      <c r="BV152">
        <v>34911</v>
      </c>
      <c r="BW152">
        <v>145634</v>
      </c>
      <c r="BX152">
        <v>36114</v>
      </c>
      <c r="BY152">
        <v>147436</v>
      </c>
      <c r="BZ152">
        <v>36812</v>
      </c>
      <c r="CB152">
        <v>36422.514000000003</v>
      </c>
      <c r="CC152">
        <v>2319</v>
      </c>
      <c r="CD152">
        <v>5132</v>
      </c>
      <c r="CE152">
        <v>291538.26</v>
      </c>
      <c r="CF152">
        <v>52806.64</v>
      </c>
      <c r="CG152">
        <v>4508.1768244373798</v>
      </c>
      <c r="CH152">
        <v>15342</v>
      </c>
      <c r="CI152">
        <v>10500.666666666701</v>
      </c>
      <c r="CJ152">
        <v>10243</v>
      </c>
      <c r="CK152" s="81">
        <v>38735</v>
      </c>
      <c r="CL152">
        <v>8694</v>
      </c>
      <c r="CM152">
        <v>72439.0641293917</v>
      </c>
      <c r="CN152">
        <v>111.78100000000001</v>
      </c>
      <c r="CO152">
        <v>754985</v>
      </c>
      <c r="CP152">
        <v>65993</v>
      </c>
      <c r="CQ152">
        <v>11110</v>
      </c>
      <c r="CR152">
        <v>29977</v>
      </c>
      <c r="CS152">
        <v>15348</v>
      </c>
      <c r="CT152">
        <v>6653</v>
      </c>
      <c r="CU152">
        <v>12187.3352500891</v>
      </c>
      <c r="CV152">
        <v>5918.2126494815002</v>
      </c>
      <c r="CW152">
        <v>2090.91923916819</v>
      </c>
      <c r="CX152">
        <v>22786.399000000001</v>
      </c>
      <c r="CY152">
        <v>11065.1551</v>
      </c>
      <c r="CZ152">
        <v>3909.3467999999998</v>
      </c>
      <c r="DA152">
        <v>713520</v>
      </c>
      <c r="DE152">
        <v>432</v>
      </c>
      <c r="DF152" t="s">
        <v>236</v>
      </c>
      <c r="DG152">
        <v>2766</v>
      </c>
      <c r="DH152">
        <v>2754</v>
      </c>
      <c r="DI152">
        <v>2692</v>
      </c>
      <c r="DJ152">
        <v>2615</v>
      </c>
      <c r="DK152">
        <v>2569</v>
      </c>
      <c r="DO152">
        <v>1904</v>
      </c>
      <c r="DP152" t="s">
        <v>288</v>
      </c>
      <c r="DQ152">
        <v>28542</v>
      </c>
      <c r="DR152">
        <v>1.2</v>
      </c>
      <c r="DS152">
        <v>1175</v>
      </c>
      <c r="DV152">
        <v>252</v>
      </c>
      <c r="DW152" t="s">
        <v>148</v>
      </c>
      <c r="DX152">
        <v>1743.63038516405</v>
      </c>
      <c r="DY152">
        <v>410</v>
      </c>
      <c r="DZ152">
        <v>408</v>
      </c>
      <c r="EA152">
        <v>184</v>
      </c>
      <c r="EB152">
        <v>1304</v>
      </c>
      <c r="EC152">
        <v>878</v>
      </c>
      <c r="ED152">
        <v>270</v>
      </c>
      <c r="EE152" s="82">
        <v>0.13954257249128299</v>
      </c>
      <c r="EF152" s="82">
        <v>0.337414606567638</v>
      </c>
    </row>
    <row r="153" spans="1:136" x14ac:dyDescent="0.35">
      <c r="A153" s="72">
        <v>370</v>
      </c>
      <c r="B153" s="72">
        <v>7</v>
      </c>
      <c r="D153" s="72" t="s">
        <v>38</v>
      </c>
      <c r="E153" s="79">
        <v>1117200000</v>
      </c>
      <c r="F153" s="79">
        <v>161350000</v>
      </c>
      <c r="G153" s="79">
        <v>186550000</v>
      </c>
      <c r="H153" s="79">
        <v>9748</v>
      </c>
      <c r="I153" s="79">
        <v>2</v>
      </c>
      <c r="J153" s="79">
        <v>186.55</v>
      </c>
      <c r="K153" s="79">
        <v>1983</v>
      </c>
      <c r="L153" s="79">
        <v>1958</v>
      </c>
      <c r="M153" s="79">
        <v>602</v>
      </c>
      <c r="N153" s="79">
        <v>973</v>
      </c>
      <c r="O153" s="79">
        <v>568.29999999999995</v>
      </c>
      <c r="P153" s="79">
        <v>69.3333333333333</v>
      </c>
      <c r="Q153" s="79">
        <v>582.33333333333303</v>
      </c>
      <c r="R153" s="79">
        <v>220</v>
      </c>
      <c r="S153" s="79">
        <v>0</v>
      </c>
      <c r="T153" s="79">
        <v>243</v>
      </c>
      <c r="U153" s="79">
        <v>4159</v>
      </c>
      <c r="V153" s="79">
        <v>5220</v>
      </c>
      <c r="W153" s="79">
        <v>230</v>
      </c>
      <c r="X153" s="79">
        <v>0</v>
      </c>
      <c r="Y153" s="79">
        <v>0</v>
      </c>
      <c r="Z153" s="79">
        <v>0</v>
      </c>
      <c r="AA153" s="79">
        <v>0</v>
      </c>
      <c r="AB153" s="79">
        <v>0</v>
      </c>
      <c r="AC153" s="79">
        <v>7059</v>
      </c>
      <c r="AD153" s="79">
        <v>8682.57</v>
      </c>
      <c r="AE153" s="79">
        <v>148</v>
      </c>
      <c r="AF153" s="79">
        <v>0</v>
      </c>
      <c r="AG153" s="79">
        <v>99</v>
      </c>
      <c r="AH153" s="79">
        <v>51.25</v>
      </c>
      <c r="AI153" s="79">
        <v>71.34</v>
      </c>
      <c r="AJ153" s="79">
        <v>4047</v>
      </c>
      <c r="AK153" s="79">
        <v>5058.75</v>
      </c>
      <c r="AL153" s="79">
        <v>0</v>
      </c>
      <c r="AM153" s="79">
        <v>0</v>
      </c>
      <c r="AN153" s="79">
        <v>0</v>
      </c>
      <c r="AO153" s="79">
        <v>0</v>
      </c>
      <c r="AP153" s="79">
        <v>0</v>
      </c>
      <c r="AQ153" s="79">
        <v>0</v>
      </c>
      <c r="AR153" s="80">
        <v>1.7574999999999999E-4</v>
      </c>
      <c r="AS153" s="80">
        <v>4.1353000000000002E-5</v>
      </c>
      <c r="AT153" s="79">
        <v>2513.1869999999999</v>
      </c>
      <c r="AU153" s="79">
        <v>0</v>
      </c>
      <c r="AV153" s="79">
        <v>3792.09</v>
      </c>
      <c r="AW153" s="79">
        <v>6113.9721104481796</v>
      </c>
      <c r="AX153" s="79">
        <v>4</v>
      </c>
      <c r="AY153" s="79">
        <v>4.92</v>
      </c>
      <c r="AZ153" s="79">
        <v>1368</v>
      </c>
      <c r="BA153" s="79">
        <v>1</v>
      </c>
      <c r="BB153" s="79">
        <v>0</v>
      </c>
      <c r="BC153" s="79">
        <v>0</v>
      </c>
      <c r="BD153" s="79">
        <v>0</v>
      </c>
      <c r="BE153" s="79">
        <v>0</v>
      </c>
      <c r="BF153" s="79">
        <v>0</v>
      </c>
      <c r="BG153" s="79">
        <v>0</v>
      </c>
      <c r="BH153" s="79">
        <v>0</v>
      </c>
      <c r="BI153" s="79">
        <v>0</v>
      </c>
      <c r="BJ153" s="79">
        <v>0</v>
      </c>
      <c r="BK153" s="79">
        <v>3</v>
      </c>
      <c r="BL153" s="79">
        <v>1057</v>
      </c>
      <c r="BM153" s="79">
        <v>41</v>
      </c>
      <c r="BN153" s="79">
        <v>58</v>
      </c>
      <c r="BO153">
        <v>1891</v>
      </c>
      <c r="BP153">
        <v>0</v>
      </c>
      <c r="BQ153">
        <v>1880</v>
      </c>
      <c r="BR153">
        <v>0</v>
      </c>
      <c r="BS153">
        <v>1847</v>
      </c>
      <c r="BT153">
        <v>0</v>
      </c>
      <c r="BU153">
        <v>1858</v>
      </c>
      <c r="BV153">
        <v>0</v>
      </c>
      <c r="BW153">
        <v>1843</v>
      </c>
      <c r="BX153">
        <v>0</v>
      </c>
      <c r="BY153">
        <v>1823</v>
      </c>
      <c r="BZ153">
        <v>0</v>
      </c>
      <c r="CB153">
        <v>146.74199999999999</v>
      </c>
      <c r="CC153">
        <v>16</v>
      </c>
      <c r="CD153">
        <v>9</v>
      </c>
      <c r="CE153">
        <v>3236.54</v>
      </c>
      <c r="CF153">
        <v>771</v>
      </c>
      <c r="CG153">
        <v>28.539512144344201</v>
      </c>
      <c r="CH153">
        <v>96</v>
      </c>
      <c r="CI153">
        <v>26</v>
      </c>
      <c r="CJ153">
        <v>20.3333333333333</v>
      </c>
      <c r="CK153" s="81">
        <v>513</v>
      </c>
      <c r="CL153">
        <v>201</v>
      </c>
      <c r="CM153">
        <v>1028.3824425094899</v>
      </c>
      <c r="CN153">
        <v>4.9000000000000002E-2</v>
      </c>
      <c r="CO153">
        <v>7790</v>
      </c>
      <c r="CP153">
        <v>1141</v>
      </c>
      <c r="CQ153">
        <v>215</v>
      </c>
      <c r="CR153">
        <v>204</v>
      </c>
      <c r="CS153">
        <v>204</v>
      </c>
      <c r="CT153">
        <v>118</v>
      </c>
      <c r="CU153">
        <v>100.263454410675</v>
      </c>
      <c r="CV153">
        <v>59.2593526068693</v>
      </c>
      <c r="CW153">
        <v>23.4509760316284</v>
      </c>
      <c r="CX153">
        <v>223.62479999999999</v>
      </c>
      <c r="CY153">
        <v>132.1704</v>
      </c>
      <c r="CZ153">
        <v>52.304400000000001</v>
      </c>
      <c r="DA153">
        <v>26280</v>
      </c>
      <c r="DE153">
        <v>437</v>
      </c>
      <c r="DF153" t="s">
        <v>240</v>
      </c>
      <c r="DG153">
        <v>2931</v>
      </c>
      <c r="DH153">
        <v>2905</v>
      </c>
      <c r="DI153">
        <v>2856</v>
      </c>
      <c r="DJ153">
        <v>2905</v>
      </c>
      <c r="DK153">
        <v>2872</v>
      </c>
      <c r="DO153">
        <v>344</v>
      </c>
      <c r="DP153" t="s">
        <v>305</v>
      </c>
      <c r="DQ153">
        <v>157920</v>
      </c>
      <c r="DR153">
        <v>1.01</v>
      </c>
      <c r="DS153">
        <v>3347</v>
      </c>
      <c r="DV153">
        <v>797</v>
      </c>
      <c r="DW153" t="s">
        <v>149</v>
      </c>
      <c r="DX153">
        <v>4911.2051155927202</v>
      </c>
      <c r="DY153">
        <v>912</v>
      </c>
      <c r="DZ153">
        <v>895</v>
      </c>
      <c r="EA153">
        <v>441</v>
      </c>
      <c r="EB153">
        <v>3111</v>
      </c>
      <c r="EC153">
        <v>1930</v>
      </c>
      <c r="ED153">
        <v>622</v>
      </c>
      <c r="EE153" s="82">
        <v>0.16421374626601701</v>
      </c>
      <c r="EF153" s="82">
        <v>0.41502120714199497</v>
      </c>
    </row>
    <row r="154" spans="1:136" x14ac:dyDescent="0.35">
      <c r="A154" s="72">
        <v>373</v>
      </c>
      <c r="B154" s="72">
        <v>7</v>
      </c>
      <c r="D154" s="72" t="s">
        <v>43</v>
      </c>
      <c r="E154" s="79">
        <v>4990800000</v>
      </c>
      <c r="F154" s="79">
        <v>480550000</v>
      </c>
      <c r="G154" s="79">
        <v>516250000</v>
      </c>
      <c r="H154" s="79">
        <v>29974</v>
      </c>
      <c r="I154" s="79">
        <v>4</v>
      </c>
      <c r="J154" s="79">
        <v>516.25</v>
      </c>
      <c r="K154" s="79">
        <v>4773</v>
      </c>
      <c r="L154" s="79">
        <v>9574</v>
      </c>
      <c r="M154" s="79">
        <v>3041</v>
      </c>
      <c r="N154" s="79">
        <v>3949</v>
      </c>
      <c r="O154" s="79">
        <v>2109.6999999999998</v>
      </c>
      <c r="P154" s="79">
        <v>304.33333333333297</v>
      </c>
      <c r="Q154" s="79">
        <v>1705.3333333333301</v>
      </c>
      <c r="R154" s="79">
        <v>480</v>
      </c>
      <c r="S154" s="79">
        <v>0</v>
      </c>
      <c r="T154" s="79">
        <v>952</v>
      </c>
      <c r="U154" s="79">
        <v>14709</v>
      </c>
      <c r="V154" s="79">
        <v>25720</v>
      </c>
      <c r="W154" s="79">
        <v>7520</v>
      </c>
      <c r="X154" s="79">
        <v>480.94</v>
      </c>
      <c r="Y154" s="79">
        <v>1622.4</v>
      </c>
      <c r="Z154" s="79">
        <v>0</v>
      </c>
      <c r="AA154" s="79">
        <v>0</v>
      </c>
      <c r="AB154" s="79">
        <v>273.5</v>
      </c>
      <c r="AC154" s="79">
        <v>9887</v>
      </c>
      <c r="AD154" s="79">
        <v>10183.61</v>
      </c>
      <c r="AE154" s="79">
        <v>93</v>
      </c>
      <c r="AF154" s="79">
        <v>2043</v>
      </c>
      <c r="AG154" s="79">
        <v>213</v>
      </c>
      <c r="AH154" s="79">
        <v>187.68</v>
      </c>
      <c r="AI154" s="79">
        <v>29.87</v>
      </c>
      <c r="AJ154" s="79">
        <v>18393</v>
      </c>
      <c r="AK154" s="79">
        <v>18760.86</v>
      </c>
      <c r="AL154" s="79">
        <v>0</v>
      </c>
      <c r="AM154" s="79">
        <v>0</v>
      </c>
      <c r="AN154" s="79">
        <v>0</v>
      </c>
      <c r="AO154" s="79">
        <v>0</v>
      </c>
      <c r="AP154" s="79">
        <v>1819</v>
      </c>
      <c r="AQ154" s="79">
        <v>0</v>
      </c>
      <c r="AR154" s="80">
        <v>6.1442699999999996E-4</v>
      </c>
      <c r="AS154" s="80">
        <v>3.6347700000000002E-4</v>
      </c>
      <c r="AT154" s="79">
        <v>15027.081</v>
      </c>
      <c r="AU154" s="79">
        <v>0</v>
      </c>
      <c r="AV154" s="79">
        <v>2234.0700000000002</v>
      </c>
      <c r="AW154" s="79">
        <v>6709.82106012024</v>
      </c>
      <c r="AX154" s="79">
        <v>5</v>
      </c>
      <c r="AY154" s="79">
        <v>5.15</v>
      </c>
      <c r="AZ154" s="79">
        <v>4296</v>
      </c>
      <c r="BA154" s="79">
        <v>1</v>
      </c>
      <c r="BB154" s="79">
        <v>0</v>
      </c>
      <c r="BC154" s="79">
        <v>0</v>
      </c>
      <c r="BD154" s="79">
        <v>0</v>
      </c>
      <c r="BE154" s="79">
        <v>0</v>
      </c>
      <c r="BF154" s="79">
        <v>0</v>
      </c>
      <c r="BG154" s="79">
        <v>0</v>
      </c>
      <c r="BH154" s="79">
        <v>0</v>
      </c>
      <c r="BI154" s="79">
        <v>0</v>
      </c>
      <c r="BJ154" s="79">
        <v>0</v>
      </c>
      <c r="BK154" s="79">
        <v>5</v>
      </c>
      <c r="BL154" s="79">
        <v>5110</v>
      </c>
      <c r="BM154" s="79">
        <v>184</v>
      </c>
      <c r="BN154" s="79">
        <v>29</v>
      </c>
      <c r="BO154">
        <v>6017</v>
      </c>
      <c r="BP154">
        <v>1595</v>
      </c>
      <c r="BQ154">
        <v>5882</v>
      </c>
      <c r="BR154">
        <v>1538</v>
      </c>
      <c r="BS154">
        <v>5788</v>
      </c>
      <c r="BT154">
        <v>1500</v>
      </c>
      <c r="BU154">
        <v>5654</v>
      </c>
      <c r="BV154">
        <v>1551</v>
      </c>
      <c r="BW154">
        <v>5436</v>
      </c>
      <c r="BX154">
        <v>1619</v>
      </c>
      <c r="BY154">
        <v>5276</v>
      </c>
      <c r="BZ154">
        <v>1732</v>
      </c>
      <c r="CB154">
        <v>420.024</v>
      </c>
      <c r="CC154">
        <v>26</v>
      </c>
      <c r="CD154">
        <v>51</v>
      </c>
      <c r="CE154">
        <v>11635.68</v>
      </c>
      <c r="CF154">
        <v>2280.42</v>
      </c>
      <c r="CG154">
        <v>60.512730093817702</v>
      </c>
      <c r="CH154">
        <v>349</v>
      </c>
      <c r="CI154">
        <v>79</v>
      </c>
      <c r="CJ154">
        <v>59.3333333333333</v>
      </c>
      <c r="CK154" s="81">
        <v>1401</v>
      </c>
      <c r="CL154">
        <v>453</v>
      </c>
      <c r="CM154">
        <v>4568.5649453962496</v>
      </c>
      <c r="CN154">
        <v>0.32100000000000001</v>
      </c>
      <c r="CO154">
        <v>20400</v>
      </c>
      <c r="CP154">
        <v>5321</v>
      </c>
      <c r="CQ154">
        <v>1212</v>
      </c>
      <c r="CR154">
        <v>1324</v>
      </c>
      <c r="CS154">
        <v>1035</v>
      </c>
      <c r="CT154">
        <v>522</v>
      </c>
      <c r="CU154">
        <v>385.625585820693</v>
      </c>
      <c r="CV154">
        <v>245.00185940303399</v>
      </c>
      <c r="CW154">
        <v>87.746452454738204</v>
      </c>
      <c r="CX154">
        <v>1004.5656</v>
      </c>
      <c r="CY154">
        <v>638.23680000000002</v>
      </c>
      <c r="CZ154">
        <v>228.58199999999999</v>
      </c>
      <c r="DA154">
        <v>68335</v>
      </c>
      <c r="DE154">
        <v>439</v>
      </c>
      <c r="DF154" t="s">
        <v>247</v>
      </c>
      <c r="DG154">
        <v>17009</v>
      </c>
      <c r="DH154">
        <v>16810</v>
      </c>
      <c r="DI154">
        <v>16546</v>
      </c>
      <c r="DJ154">
        <v>16190</v>
      </c>
      <c r="DK154">
        <v>16040</v>
      </c>
      <c r="DO154">
        <v>1581</v>
      </c>
      <c r="DP154" t="s">
        <v>306</v>
      </c>
      <c r="DQ154">
        <v>24591</v>
      </c>
      <c r="DR154">
        <v>1</v>
      </c>
      <c r="DS154">
        <v>778</v>
      </c>
      <c r="DV154">
        <v>534</v>
      </c>
      <c r="DW154" t="s">
        <v>150</v>
      </c>
      <c r="DX154">
        <v>2916.9316040232902</v>
      </c>
      <c r="DY154">
        <v>547</v>
      </c>
      <c r="DZ154">
        <v>459</v>
      </c>
      <c r="EA154">
        <v>270</v>
      </c>
      <c r="EB154">
        <v>1597</v>
      </c>
      <c r="EC154">
        <v>939</v>
      </c>
      <c r="ED154">
        <v>374</v>
      </c>
      <c r="EE154" s="82">
        <v>0.196798087507458</v>
      </c>
      <c r="EF154" s="82">
        <v>0.418704494192155</v>
      </c>
    </row>
    <row r="155" spans="1:136" x14ac:dyDescent="0.35">
      <c r="A155" s="72">
        <v>375</v>
      </c>
      <c r="B155" s="72">
        <v>7</v>
      </c>
      <c r="D155" s="72" t="s">
        <v>49</v>
      </c>
      <c r="E155" s="79">
        <v>3322400000</v>
      </c>
      <c r="F155" s="79">
        <v>690900000</v>
      </c>
      <c r="G155" s="79">
        <v>700350000</v>
      </c>
      <c r="H155" s="79">
        <v>41176</v>
      </c>
      <c r="I155" s="79">
        <v>2</v>
      </c>
      <c r="J155" s="79">
        <v>700.35</v>
      </c>
      <c r="K155" s="79">
        <v>7976</v>
      </c>
      <c r="L155" s="79">
        <v>7456</v>
      </c>
      <c r="M155" s="79">
        <v>2300</v>
      </c>
      <c r="N155" s="79">
        <v>6309</v>
      </c>
      <c r="O155" s="79">
        <v>4374.3999999999996</v>
      </c>
      <c r="P155" s="79">
        <v>954.66666666666697</v>
      </c>
      <c r="Q155" s="79">
        <v>3431.6666666666702</v>
      </c>
      <c r="R155" s="79">
        <v>3670</v>
      </c>
      <c r="S155" s="79">
        <v>0</v>
      </c>
      <c r="T155" s="79">
        <v>1602</v>
      </c>
      <c r="U155" s="79">
        <v>19439</v>
      </c>
      <c r="V155" s="79">
        <v>39190</v>
      </c>
      <c r="W155" s="79">
        <v>20900</v>
      </c>
      <c r="X155" s="79">
        <v>543.6</v>
      </c>
      <c r="Y155" s="79">
        <v>1250.4000000000001</v>
      </c>
      <c r="Z155" s="79">
        <v>0</v>
      </c>
      <c r="AA155" s="79">
        <v>0</v>
      </c>
      <c r="AB155" s="79">
        <v>72.499999999999801</v>
      </c>
      <c r="AC155" s="79">
        <v>1837</v>
      </c>
      <c r="AD155" s="79">
        <v>1892.11</v>
      </c>
      <c r="AE155" s="79">
        <v>52</v>
      </c>
      <c r="AF155" s="79">
        <v>120</v>
      </c>
      <c r="AG155" s="79">
        <v>237</v>
      </c>
      <c r="AH155" s="79">
        <v>193.8</v>
      </c>
      <c r="AI155" s="79">
        <v>48.3</v>
      </c>
      <c r="AJ155" s="79">
        <v>19346</v>
      </c>
      <c r="AK155" s="79">
        <v>19732.919999999998</v>
      </c>
      <c r="AL155" s="79">
        <v>17</v>
      </c>
      <c r="AM155" s="79">
        <v>0</v>
      </c>
      <c r="AN155" s="79">
        <v>0</v>
      </c>
      <c r="AO155" s="79">
        <v>0</v>
      </c>
      <c r="AP155" s="79">
        <v>3506</v>
      </c>
      <c r="AQ155" s="79">
        <v>2217</v>
      </c>
      <c r="AR155" s="80">
        <v>1.089345E-3</v>
      </c>
      <c r="AS155" s="80">
        <v>1.9743389999999999E-3</v>
      </c>
      <c r="AT155" s="79">
        <v>52698.504000000001</v>
      </c>
      <c r="AU155" s="79">
        <v>0</v>
      </c>
      <c r="AV155" s="79">
        <v>603.58000000000004</v>
      </c>
      <c r="AW155" s="79">
        <v>13785.349878242499</v>
      </c>
      <c r="AX155" s="79">
        <v>3</v>
      </c>
      <c r="AY155" s="79">
        <v>3.15</v>
      </c>
      <c r="AZ155" s="79">
        <v>4458</v>
      </c>
      <c r="BA155" s="79">
        <v>1</v>
      </c>
      <c r="BB155" s="79">
        <v>0</v>
      </c>
      <c r="BC155" s="79">
        <v>0</v>
      </c>
      <c r="BD155" s="79">
        <v>0</v>
      </c>
      <c r="BE155" s="79">
        <v>0</v>
      </c>
      <c r="BF155" s="79">
        <v>0</v>
      </c>
      <c r="BG155" s="79">
        <v>0</v>
      </c>
      <c r="BH155" s="79">
        <v>0</v>
      </c>
      <c r="BI155" s="79">
        <v>0</v>
      </c>
      <c r="BJ155" s="79">
        <v>0</v>
      </c>
      <c r="BK155" s="79">
        <v>20</v>
      </c>
      <c r="BL155" s="79">
        <v>7287</v>
      </c>
      <c r="BM155" s="79">
        <v>190</v>
      </c>
      <c r="BN155" s="79">
        <v>46</v>
      </c>
      <c r="BO155">
        <v>7876</v>
      </c>
      <c r="BP155">
        <v>1355</v>
      </c>
      <c r="BQ155">
        <v>7981</v>
      </c>
      <c r="BR155">
        <v>1422</v>
      </c>
      <c r="BS155">
        <v>8065</v>
      </c>
      <c r="BT155">
        <v>1550</v>
      </c>
      <c r="BU155">
        <v>8160</v>
      </c>
      <c r="BV155">
        <v>1672</v>
      </c>
      <c r="BW155">
        <v>8204</v>
      </c>
      <c r="BX155">
        <v>1704</v>
      </c>
      <c r="BY155">
        <v>8243</v>
      </c>
      <c r="BZ155">
        <v>1758</v>
      </c>
      <c r="CB155">
        <v>1084.7360000000001</v>
      </c>
      <c r="CC155">
        <v>145</v>
      </c>
      <c r="CD155">
        <v>135</v>
      </c>
      <c r="CE155">
        <v>11731.02</v>
      </c>
      <c r="CF155">
        <v>2810.17</v>
      </c>
      <c r="CG155">
        <v>267.06612378453502</v>
      </c>
      <c r="CH155">
        <v>597</v>
      </c>
      <c r="CI155">
        <v>290</v>
      </c>
      <c r="CJ155">
        <v>255</v>
      </c>
      <c r="CK155" s="81">
        <v>2477</v>
      </c>
      <c r="CL155">
        <v>614</v>
      </c>
      <c r="CM155">
        <v>6202.0749997519697</v>
      </c>
      <c r="CN155">
        <v>1.9430000000000001</v>
      </c>
      <c r="CO155">
        <v>33720</v>
      </c>
      <c r="CP155">
        <v>4196</v>
      </c>
      <c r="CQ155">
        <v>960</v>
      </c>
      <c r="CR155">
        <v>1096</v>
      </c>
      <c r="CS155">
        <v>916</v>
      </c>
      <c r="CT155">
        <v>476</v>
      </c>
      <c r="CU155">
        <v>620.90883903649296</v>
      </c>
      <c r="CV155">
        <v>378.966938902099</v>
      </c>
      <c r="CW155">
        <v>148.10462111030699</v>
      </c>
      <c r="CX155">
        <v>1381.5126</v>
      </c>
      <c r="CY155">
        <v>843.19560000000001</v>
      </c>
      <c r="CZ155">
        <v>329.53050000000002</v>
      </c>
      <c r="DA155">
        <v>0</v>
      </c>
      <c r="DE155">
        <v>441</v>
      </c>
      <c r="DF155" t="s">
        <v>265</v>
      </c>
      <c r="DG155">
        <v>10344</v>
      </c>
      <c r="DH155">
        <v>10284</v>
      </c>
      <c r="DI155">
        <v>10261</v>
      </c>
      <c r="DJ155">
        <v>10108</v>
      </c>
      <c r="DK155">
        <v>9950</v>
      </c>
      <c r="DO155">
        <v>345</v>
      </c>
      <c r="DP155" t="s">
        <v>311</v>
      </c>
      <c r="DQ155">
        <v>27637</v>
      </c>
      <c r="DR155">
        <v>1</v>
      </c>
      <c r="DS155">
        <v>2187</v>
      </c>
      <c r="DV155">
        <v>798</v>
      </c>
      <c r="DW155" t="s">
        <v>151</v>
      </c>
      <c r="DX155">
        <v>1552.84720025308</v>
      </c>
      <c r="DY155">
        <v>336</v>
      </c>
      <c r="DZ155">
        <v>341</v>
      </c>
      <c r="EA155">
        <v>133</v>
      </c>
      <c r="EB155">
        <v>1161</v>
      </c>
      <c r="EC155">
        <v>747</v>
      </c>
      <c r="ED155">
        <v>209</v>
      </c>
      <c r="EE155" s="82">
        <v>0.12521351707803999</v>
      </c>
      <c r="EF155" s="82">
        <v>0.37291119083034402</v>
      </c>
    </row>
    <row r="156" spans="1:136" x14ac:dyDescent="0.35">
      <c r="A156" s="72">
        <v>376</v>
      </c>
      <c r="B156" s="72">
        <v>7</v>
      </c>
      <c r="D156" s="72" t="s">
        <v>51</v>
      </c>
      <c r="E156" s="79">
        <v>2426400000</v>
      </c>
      <c r="F156" s="79">
        <v>81550000</v>
      </c>
      <c r="G156" s="79">
        <v>82950000</v>
      </c>
      <c r="H156" s="79">
        <v>11202</v>
      </c>
      <c r="I156" s="79">
        <v>2</v>
      </c>
      <c r="J156" s="79">
        <v>82.95</v>
      </c>
      <c r="K156" s="79">
        <v>2455</v>
      </c>
      <c r="L156" s="79">
        <v>2821</v>
      </c>
      <c r="M156" s="79">
        <v>828</v>
      </c>
      <c r="N156" s="79">
        <v>1041</v>
      </c>
      <c r="O156" s="79">
        <v>545.79999999999995</v>
      </c>
      <c r="P156" s="79">
        <v>107</v>
      </c>
      <c r="Q156" s="79">
        <v>380</v>
      </c>
      <c r="R156" s="79">
        <v>555</v>
      </c>
      <c r="S156" s="79">
        <v>0</v>
      </c>
      <c r="T156" s="79">
        <v>324</v>
      </c>
      <c r="U156" s="79">
        <v>4905</v>
      </c>
      <c r="V156" s="79">
        <v>7230</v>
      </c>
      <c r="W156" s="79">
        <v>550</v>
      </c>
      <c r="X156" s="79">
        <v>0</v>
      </c>
      <c r="Y156" s="79">
        <v>0</v>
      </c>
      <c r="Z156" s="79">
        <v>0</v>
      </c>
      <c r="AA156" s="79">
        <v>407.9</v>
      </c>
      <c r="AB156" s="79">
        <v>0</v>
      </c>
      <c r="AC156" s="79">
        <v>1109</v>
      </c>
      <c r="AD156" s="79">
        <v>1109</v>
      </c>
      <c r="AE156" s="79">
        <v>447</v>
      </c>
      <c r="AF156" s="79">
        <v>0</v>
      </c>
      <c r="AG156" s="79">
        <v>59</v>
      </c>
      <c r="AH156" s="79">
        <v>57</v>
      </c>
      <c r="AI156" s="79">
        <v>2</v>
      </c>
      <c r="AJ156" s="79">
        <v>4952</v>
      </c>
      <c r="AK156" s="79">
        <v>4952</v>
      </c>
      <c r="AL156" s="79">
        <v>0</v>
      </c>
      <c r="AM156" s="79">
        <v>0</v>
      </c>
      <c r="AN156" s="79">
        <v>0</v>
      </c>
      <c r="AO156" s="79">
        <v>0</v>
      </c>
      <c r="AP156" s="79">
        <v>779</v>
      </c>
      <c r="AQ156" s="79">
        <v>0</v>
      </c>
      <c r="AR156" s="80">
        <v>1.12701E-4</v>
      </c>
      <c r="AS156" s="80">
        <v>5.1777000000000002E-5</v>
      </c>
      <c r="AT156" s="79">
        <v>5283.7839999999997</v>
      </c>
      <c r="AU156" s="79">
        <v>0</v>
      </c>
      <c r="AV156" s="79">
        <v>411</v>
      </c>
      <c r="AW156" s="79">
        <v>2958.8830334190202</v>
      </c>
      <c r="AX156" s="79">
        <v>3</v>
      </c>
      <c r="AY156" s="79">
        <v>3</v>
      </c>
      <c r="AZ156" s="79">
        <v>1817</v>
      </c>
      <c r="BA156" s="79">
        <v>1</v>
      </c>
      <c r="BB156" s="79">
        <v>0</v>
      </c>
      <c r="BC156" s="79">
        <v>0</v>
      </c>
      <c r="BD156" s="79">
        <v>0</v>
      </c>
      <c r="BE156" s="79">
        <v>0</v>
      </c>
      <c r="BF156" s="79">
        <v>0</v>
      </c>
      <c r="BG156" s="79">
        <v>0</v>
      </c>
      <c r="BH156" s="79">
        <v>0</v>
      </c>
      <c r="BI156" s="79">
        <v>0</v>
      </c>
      <c r="BJ156" s="79">
        <v>0</v>
      </c>
      <c r="BK156" s="79">
        <v>9</v>
      </c>
      <c r="BL156" s="79">
        <v>1470</v>
      </c>
      <c r="BM156" s="79">
        <v>57</v>
      </c>
      <c r="BN156" s="79">
        <v>2</v>
      </c>
      <c r="BO156">
        <v>1861</v>
      </c>
      <c r="BP156">
        <v>0</v>
      </c>
      <c r="BQ156">
        <v>1828</v>
      </c>
      <c r="BR156">
        <v>0</v>
      </c>
      <c r="BS156">
        <v>1818</v>
      </c>
      <c r="BT156">
        <v>0</v>
      </c>
      <c r="BU156">
        <v>1815</v>
      </c>
      <c r="BV156">
        <v>0</v>
      </c>
      <c r="BW156">
        <v>1813</v>
      </c>
      <c r="BX156">
        <v>0</v>
      </c>
      <c r="BY156">
        <v>1806</v>
      </c>
      <c r="BZ156">
        <v>0</v>
      </c>
      <c r="CB156">
        <v>262.685</v>
      </c>
      <c r="CC156">
        <v>26</v>
      </c>
      <c r="CD156">
        <v>23</v>
      </c>
      <c r="CE156">
        <v>4699.6499999999996</v>
      </c>
      <c r="CF156">
        <v>1118.4100000000001</v>
      </c>
      <c r="CG156">
        <v>51.406992136304098</v>
      </c>
      <c r="CH156">
        <v>129</v>
      </c>
      <c r="CI156">
        <v>36</v>
      </c>
      <c r="CJ156">
        <v>24</v>
      </c>
      <c r="CK156" s="81">
        <v>273</v>
      </c>
      <c r="CL156">
        <v>43</v>
      </c>
      <c r="CM156">
        <v>1440.5432051548501</v>
      </c>
      <c r="CN156">
        <v>6.0999999999999999E-2</v>
      </c>
      <c r="CO156">
        <v>8381</v>
      </c>
      <c r="CP156">
        <v>1778</v>
      </c>
      <c r="CQ156">
        <v>215</v>
      </c>
      <c r="CR156">
        <v>414</v>
      </c>
      <c r="CS156">
        <v>277</v>
      </c>
      <c r="CT156">
        <v>120</v>
      </c>
      <c r="CU156">
        <v>126.750807754443</v>
      </c>
      <c r="CV156">
        <v>66.681946688206807</v>
      </c>
      <c r="CW156">
        <v>17.855331179321499</v>
      </c>
      <c r="CX156">
        <v>115.80500000000001</v>
      </c>
      <c r="CY156">
        <v>60.923499999999997</v>
      </c>
      <c r="CZ156">
        <v>16.313400000000001</v>
      </c>
      <c r="DA156">
        <v>7924</v>
      </c>
      <c r="DE156">
        <v>448</v>
      </c>
      <c r="DF156" t="s">
        <v>292</v>
      </c>
      <c r="DG156">
        <v>2996</v>
      </c>
      <c r="DH156">
        <v>2959</v>
      </c>
      <c r="DI156">
        <v>2901</v>
      </c>
      <c r="DJ156">
        <v>2828</v>
      </c>
      <c r="DK156">
        <v>2748</v>
      </c>
      <c r="DO156">
        <v>620</v>
      </c>
      <c r="DP156" t="s">
        <v>810</v>
      </c>
      <c r="DQ156">
        <v>8508</v>
      </c>
      <c r="DR156">
        <v>1.1499999999999999</v>
      </c>
      <c r="DS156">
        <v>904</v>
      </c>
      <c r="DV156">
        <v>402</v>
      </c>
      <c r="DW156" t="s">
        <v>152</v>
      </c>
      <c r="DX156">
        <v>13659.7081421609</v>
      </c>
      <c r="DY156">
        <v>2597</v>
      </c>
      <c r="DZ156">
        <v>2106</v>
      </c>
      <c r="EA156">
        <v>1290</v>
      </c>
      <c r="EB156">
        <v>6033</v>
      </c>
      <c r="EC156">
        <v>3903</v>
      </c>
      <c r="ED156">
        <v>1742</v>
      </c>
      <c r="EE156" s="82">
        <v>0.222292148789867</v>
      </c>
      <c r="EF156" s="82">
        <v>0.376279479847973</v>
      </c>
    </row>
    <row r="157" spans="1:136" x14ac:dyDescent="0.35">
      <c r="A157" s="72">
        <v>377</v>
      </c>
      <c r="B157" s="72">
        <v>7</v>
      </c>
      <c r="D157" s="72" t="s">
        <v>52</v>
      </c>
      <c r="E157" s="79">
        <v>5511600000</v>
      </c>
      <c r="F157" s="79">
        <v>238350000</v>
      </c>
      <c r="G157" s="79">
        <v>250950000</v>
      </c>
      <c r="H157" s="79">
        <v>23410</v>
      </c>
      <c r="I157" s="79">
        <v>3</v>
      </c>
      <c r="J157" s="79">
        <v>250.95</v>
      </c>
      <c r="K157" s="79">
        <v>5206</v>
      </c>
      <c r="L157" s="79">
        <v>6169</v>
      </c>
      <c r="M157" s="79">
        <v>1997</v>
      </c>
      <c r="N157" s="79">
        <v>1958</v>
      </c>
      <c r="O157" s="79">
        <v>921.9</v>
      </c>
      <c r="P157" s="79">
        <v>179</v>
      </c>
      <c r="Q157" s="79">
        <v>866</v>
      </c>
      <c r="R157" s="79">
        <v>485</v>
      </c>
      <c r="S157" s="79">
        <v>0</v>
      </c>
      <c r="T157" s="79">
        <v>610</v>
      </c>
      <c r="U157" s="79">
        <v>10387</v>
      </c>
      <c r="V157" s="79">
        <v>12930</v>
      </c>
      <c r="W157" s="79">
        <v>1010</v>
      </c>
      <c r="X157" s="79">
        <v>0</v>
      </c>
      <c r="Y157" s="79">
        <v>1263.2</v>
      </c>
      <c r="Z157" s="79">
        <v>0</v>
      </c>
      <c r="AA157" s="79">
        <v>0</v>
      </c>
      <c r="AB157" s="79">
        <v>297.5</v>
      </c>
      <c r="AC157" s="79">
        <v>3984</v>
      </c>
      <c r="AD157" s="79">
        <v>3984</v>
      </c>
      <c r="AE157" s="79">
        <v>79</v>
      </c>
      <c r="AF157" s="79">
        <v>460</v>
      </c>
      <c r="AG157" s="79">
        <v>118</v>
      </c>
      <c r="AH157" s="79">
        <v>106</v>
      </c>
      <c r="AI157" s="79">
        <v>12</v>
      </c>
      <c r="AJ157" s="79">
        <v>10361</v>
      </c>
      <c r="AK157" s="79">
        <v>10361</v>
      </c>
      <c r="AL157" s="79">
        <v>0</v>
      </c>
      <c r="AM157" s="79">
        <v>0</v>
      </c>
      <c r="AN157" s="79">
        <v>0</v>
      </c>
      <c r="AO157" s="79">
        <v>0</v>
      </c>
      <c r="AP157" s="79">
        <v>2464</v>
      </c>
      <c r="AQ157" s="79">
        <v>0</v>
      </c>
      <c r="AR157" s="80">
        <v>4.6462400000000002E-4</v>
      </c>
      <c r="AS157" s="80">
        <v>1.53929E-4</v>
      </c>
      <c r="AT157" s="79">
        <v>11138.075000000001</v>
      </c>
      <c r="AU157" s="79">
        <v>0</v>
      </c>
      <c r="AV157" s="79">
        <v>1144</v>
      </c>
      <c r="AW157" s="79">
        <v>6591.4447452621198</v>
      </c>
      <c r="AX157" s="79">
        <v>5</v>
      </c>
      <c r="AY157" s="79">
        <v>5</v>
      </c>
      <c r="AZ157" s="79">
        <v>3524</v>
      </c>
      <c r="BA157" s="79">
        <v>1</v>
      </c>
      <c r="BB157" s="79">
        <v>0</v>
      </c>
      <c r="BC157" s="79">
        <v>0</v>
      </c>
      <c r="BD157" s="79">
        <v>0</v>
      </c>
      <c r="BE157" s="79">
        <v>0</v>
      </c>
      <c r="BF157" s="79">
        <v>0</v>
      </c>
      <c r="BG157" s="79">
        <v>0</v>
      </c>
      <c r="BH157" s="79">
        <v>0</v>
      </c>
      <c r="BI157" s="79">
        <v>0</v>
      </c>
      <c r="BJ157" s="79">
        <v>0</v>
      </c>
      <c r="BK157" s="79">
        <v>4</v>
      </c>
      <c r="BL157" s="79">
        <v>3063</v>
      </c>
      <c r="BM157" s="79">
        <v>106</v>
      </c>
      <c r="BN157" s="79">
        <v>12</v>
      </c>
      <c r="BO157">
        <v>5067</v>
      </c>
      <c r="BP157">
        <v>1165</v>
      </c>
      <c r="BQ157">
        <v>5056</v>
      </c>
      <c r="BR157">
        <v>1241</v>
      </c>
      <c r="BS157">
        <v>5046</v>
      </c>
      <c r="BT157">
        <v>1370</v>
      </c>
      <c r="BU157">
        <v>4987</v>
      </c>
      <c r="BV157">
        <v>1463</v>
      </c>
      <c r="BW157">
        <v>4944</v>
      </c>
      <c r="BX157">
        <v>1608</v>
      </c>
      <c r="BY157">
        <v>4837</v>
      </c>
      <c r="BZ157">
        <v>1753</v>
      </c>
      <c r="CB157">
        <v>354.00799999999998</v>
      </c>
      <c r="CC157">
        <v>17</v>
      </c>
      <c r="CD157">
        <v>18</v>
      </c>
      <c r="CE157">
        <v>9432.2800000000007</v>
      </c>
      <c r="CF157">
        <v>2565.65</v>
      </c>
      <c r="CG157">
        <v>92.351941601618904</v>
      </c>
      <c r="CH157">
        <v>223</v>
      </c>
      <c r="CI157">
        <v>44.3333333333333</v>
      </c>
      <c r="CJ157">
        <v>29.6666666666667</v>
      </c>
      <c r="CK157" s="81">
        <v>687</v>
      </c>
      <c r="CL157">
        <v>172</v>
      </c>
      <c r="CM157">
        <v>2842.7568532472201</v>
      </c>
      <c r="CN157">
        <v>0.10299999999999999</v>
      </c>
      <c r="CO157">
        <v>17241</v>
      </c>
      <c r="CP157">
        <v>3180</v>
      </c>
      <c r="CQ157">
        <v>992</v>
      </c>
      <c r="CR157">
        <v>634</v>
      </c>
      <c r="CS157">
        <v>611</v>
      </c>
      <c r="CT157">
        <v>487</v>
      </c>
      <c r="CU157">
        <v>171.81632081845399</v>
      </c>
      <c r="CV157">
        <v>119.141405269762</v>
      </c>
      <c r="CW157">
        <v>58.725412604960901</v>
      </c>
      <c r="CX157">
        <v>110.4532</v>
      </c>
      <c r="CY157">
        <v>76.590800000000002</v>
      </c>
      <c r="CZ157">
        <v>37.752000000000002</v>
      </c>
      <c r="DA157">
        <v>61688</v>
      </c>
      <c r="DE157">
        <v>450</v>
      </c>
      <c r="DF157" t="s">
        <v>302</v>
      </c>
      <c r="DG157">
        <v>3002</v>
      </c>
      <c r="DH157">
        <v>3052</v>
      </c>
      <c r="DI157">
        <v>3059</v>
      </c>
      <c r="DJ157">
        <v>3055</v>
      </c>
      <c r="DK157">
        <v>3068</v>
      </c>
      <c r="DO157">
        <v>352</v>
      </c>
      <c r="DP157" t="s">
        <v>346</v>
      </c>
      <c r="DQ157">
        <v>10059</v>
      </c>
      <c r="DR157">
        <v>1.1100000000000001</v>
      </c>
      <c r="DS157">
        <v>1124</v>
      </c>
      <c r="DV157">
        <v>1735</v>
      </c>
      <c r="DW157" t="s">
        <v>154</v>
      </c>
      <c r="DX157">
        <v>4065.8927307378199</v>
      </c>
      <c r="DY157">
        <v>787</v>
      </c>
      <c r="DZ157">
        <v>955</v>
      </c>
      <c r="EA157">
        <v>514</v>
      </c>
      <c r="EB157">
        <v>2791</v>
      </c>
      <c r="EC157">
        <v>1972</v>
      </c>
      <c r="ED157">
        <v>706</v>
      </c>
      <c r="EE157" s="82">
        <v>0.16048387025035701</v>
      </c>
      <c r="EF157" s="82">
        <v>0.42615606722440202</v>
      </c>
    </row>
    <row r="158" spans="1:136" x14ac:dyDescent="0.35">
      <c r="A158" s="72">
        <v>383</v>
      </c>
      <c r="B158" s="72">
        <v>7</v>
      </c>
      <c r="D158" s="72" t="s">
        <v>69</v>
      </c>
      <c r="E158" s="79">
        <v>4004000000</v>
      </c>
      <c r="F158" s="79">
        <v>311850000</v>
      </c>
      <c r="G158" s="79">
        <v>331800000</v>
      </c>
      <c r="H158" s="79">
        <v>35772</v>
      </c>
      <c r="I158" s="79">
        <v>3</v>
      </c>
      <c r="J158" s="79">
        <v>331.8</v>
      </c>
      <c r="K158" s="79">
        <v>6605</v>
      </c>
      <c r="L158" s="79">
        <v>8792</v>
      </c>
      <c r="M158" s="79">
        <v>2925</v>
      </c>
      <c r="N158" s="79">
        <v>3672</v>
      </c>
      <c r="O158" s="79">
        <v>2052.6999999999998</v>
      </c>
      <c r="P158" s="79">
        <v>329.33333333333297</v>
      </c>
      <c r="Q158" s="79">
        <v>1715.3333333333301</v>
      </c>
      <c r="R158" s="79">
        <v>695</v>
      </c>
      <c r="S158" s="79">
        <v>0</v>
      </c>
      <c r="T158" s="79">
        <v>928</v>
      </c>
      <c r="U158" s="79">
        <v>16179</v>
      </c>
      <c r="V158" s="79">
        <v>30860</v>
      </c>
      <c r="W158" s="79">
        <v>8540</v>
      </c>
      <c r="X158" s="79">
        <v>0</v>
      </c>
      <c r="Y158" s="79">
        <v>2955.2</v>
      </c>
      <c r="Z158" s="79">
        <v>0</v>
      </c>
      <c r="AA158" s="79">
        <v>0</v>
      </c>
      <c r="AB158" s="79">
        <v>0</v>
      </c>
      <c r="AC158" s="79">
        <v>4956</v>
      </c>
      <c r="AD158" s="79">
        <v>5055.12</v>
      </c>
      <c r="AE158" s="79">
        <v>566</v>
      </c>
      <c r="AF158" s="79">
        <v>519</v>
      </c>
      <c r="AG158" s="79">
        <v>187</v>
      </c>
      <c r="AH158" s="79">
        <v>169.68</v>
      </c>
      <c r="AI158" s="79">
        <v>19.38</v>
      </c>
      <c r="AJ158" s="79">
        <v>16193</v>
      </c>
      <c r="AK158" s="79">
        <v>16354.93</v>
      </c>
      <c r="AL158" s="79">
        <v>0</v>
      </c>
      <c r="AM158" s="79">
        <v>0</v>
      </c>
      <c r="AN158" s="79">
        <v>0</v>
      </c>
      <c r="AO158" s="79">
        <v>0</v>
      </c>
      <c r="AP158" s="79">
        <v>0</v>
      </c>
      <c r="AQ158" s="79">
        <v>0</v>
      </c>
      <c r="AR158" s="80">
        <v>2.6911300000000002E-4</v>
      </c>
      <c r="AS158" s="80">
        <v>2.25453E-4</v>
      </c>
      <c r="AT158" s="79">
        <v>21617.654999999999</v>
      </c>
      <c r="AU158" s="79">
        <v>0</v>
      </c>
      <c r="AV158" s="79">
        <v>1987.98</v>
      </c>
      <c r="AW158" s="79">
        <v>17120.4196015936</v>
      </c>
      <c r="AX158" s="79">
        <v>7</v>
      </c>
      <c r="AY158" s="79">
        <v>7.14</v>
      </c>
      <c r="AZ158" s="79">
        <v>4038</v>
      </c>
      <c r="BA158" s="79">
        <v>1</v>
      </c>
      <c r="BB158" s="79">
        <v>0</v>
      </c>
      <c r="BC158" s="79">
        <v>0</v>
      </c>
      <c r="BD158" s="79">
        <v>0</v>
      </c>
      <c r="BE158" s="79">
        <v>0</v>
      </c>
      <c r="BF158" s="79">
        <v>0</v>
      </c>
      <c r="BG158" s="79">
        <v>0</v>
      </c>
      <c r="BH158" s="79">
        <v>0</v>
      </c>
      <c r="BI158" s="79">
        <v>0</v>
      </c>
      <c r="BJ158" s="79">
        <v>0</v>
      </c>
      <c r="BK158" s="79">
        <v>8</v>
      </c>
      <c r="BL158" s="79">
        <v>5128</v>
      </c>
      <c r="BM158" s="79">
        <v>168</v>
      </c>
      <c r="BN158" s="79">
        <v>19</v>
      </c>
      <c r="BO158">
        <v>7679</v>
      </c>
      <c r="BP158">
        <v>3501</v>
      </c>
      <c r="BQ158">
        <v>7538</v>
      </c>
      <c r="BR158">
        <v>3517</v>
      </c>
      <c r="BS158">
        <v>7362</v>
      </c>
      <c r="BT158">
        <v>3573</v>
      </c>
      <c r="BU158">
        <v>7152</v>
      </c>
      <c r="BV158">
        <v>3593</v>
      </c>
      <c r="BW158">
        <v>6965</v>
      </c>
      <c r="BX158">
        <v>3642</v>
      </c>
      <c r="BY158">
        <v>6766</v>
      </c>
      <c r="BZ158">
        <v>3649</v>
      </c>
      <c r="CB158">
        <v>402.90499999999997</v>
      </c>
      <c r="CC158">
        <v>20</v>
      </c>
      <c r="CD158">
        <v>34</v>
      </c>
      <c r="CE158">
        <v>13012.74</v>
      </c>
      <c r="CF158">
        <v>3075.82</v>
      </c>
      <c r="CG158">
        <v>135.52540957546299</v>
      </c>
      <c r="CH158">
        <v>379</v>
      </c>
      <c r="CI158">
        <v>93</v>
      </c>
      <c r="CJ158">
        <v>64.3333333333333</v>
      </c>
      <c r="CK158" s="81">
        <v>1386</v>
      </c>
      <c r="CL158">
        <v>393</v>
      </c>
      <c r="CM158">
        <v>4782.6804253843502</v>
      </c>
      <c r="CN158">
        <v>0.17199999999999999</v>
      </c>
      <c r="CO158">
        <v>26980</v>
      </c>
      <c r="CP158">
        <v>4789</v>
      </c>
      <c r="CQ158">
        <v>1078</v>
      </c>
      <c r="CR158">
        <v>994</v>
      </c>
      <c r="CS158">
        <v>955</v>
      </c>
      <c r="CT158">
        <v>530</v>
      </c>
      <c r="CU158">
        <v>373.57542765392498</v>
      </c>
      <c r="CV158">
        <v>258.21959488667898</v>
      </c>
      <c r="CW158">
        <v>98.622898783424901</v>
      </c>
      <c r="CX158">
        <v>914.45410000000004</v>
      </c>
      <c r="CY158">
        <v>632.08109999999999</v>
      </c>
      <c r="CZ158">
        <v>241.4134</v>
      </c>
      <c r="DA158">
        <v>19266</v>
      </c>
      <c r="DE158">
        <v>451</v>
      </c>
      <c r="DF158" t="s">
        <v>303</v>
      </c>
      <c r="DG158">
        <v>6374</v>
      </c>
      <c r="DH158">
        <v>6388</v>
      </c>
      <c r="DI158">
        <v>6315</v>
      </c>
      <c r="DJ158">
        <v>6362</v>
      </c>
      <c r="DK158">
        <v>6345</v>
      </c>
      <c r="DO158">
        <v>632</v>
      </c>
      <c r="DP158" t="s">
        <v>349</v>
      </c>
      <c r="DQ158">
        <v>21847</v>
      </c>
      <c r="DR158">
        <v>1.37</v>
      </c>
      <c r="DS158">
        <v>1345</v>
      </c>
      <c r="DV158">
        <v>1911</v>
      </c>
      <c r="DW158" t="s">
        <v>155</v>
      </c>
      <c r="DX158">
        <v>5747.4046368770396</v>
      </c>
      <c r="DY158">
        <v>1036</v>
      </c>
      <c r="DZ158">
        <v>900</v>
      </c>
      <c r="EA158">
        <v>439</v>
      </c>
      <c r="EB158">
        <v>3522</v>
      </c>
      <c r="EC158">
        <v>2052</v>
      </c>
      <c r="ED158">
        <v>650</v>
      </c>
      <c r="EE158" s="82">
        <v>0.175562383702212</v>
      </c>
      <c r="EF158" s="82">
        <v>0.46520230991337802</v>
      </c>
    </row>
    <row r="159" spans="1:136" x14ac:dyDescent="0.35">
      <c r="A159" s="72">
        <v>400</v>
      </c>
      <c r="B159" s="72">
        <v>7</v>
      </c>
      <c r="D159" s="72" t="s">
        <v>82</v>
      </c>
      <c r="E159" s="79">
        <v>3626000000</v>
      </c>
      <c r="F159" s="79">
        <v>766850000</v>
      </c>
      <c r="G159" s="79">
        <v>807800000</v>
      </c>
      <c r="H159" s="79">
        <v>55604</v>
      </c>
      <c r="I159" s="79">
        <v>2</v>
      </c>
      <c r="J159" s="79">
        <v>807.8</v>
      </c>
      <c r="K159" s="79">
        <v>9791</v>
      </c>
      <c r="L159" s="79">
        <v>12515</v>
      </c>
      <c r="M159" s="79">
        <v>3846</v>
      </c>
      <c r="N159" s="79">
        <v>9484</v>
      </c>
      <c r="O159" s="79">
        <v>6477.6</v>
      </c>
      <c r="P159" s="79">
        <v>1728.3333333333301</v>
      </c>
      <c r="Q159" s="79">
        <v>6052.3333333333303</v>
      </c>
      <c r="R159" s="79">
        <v>2950</v>
      </c>
      <c r="S159" s="79">
        <v>0</v>
      </c>
      <c r="T159" s="79">
        <v>2380</v>
      </c>
      <c r="U159" s="79">
        <v>28173</v>
      </c>
      <c r="V159" s="79">
        <v>59160</v>
      </c>
      <c r="W159" s="79">
        <v>55850</v>
      </c>
      <c r="X159" s="79">
        <v>1643.98</v>
      </c>
      <c r="Y159" s="79">
        <v>1988</v>
      </c>
      <c r="Z159" s="79">
        <v>0</v>
      </c>
      <c r="AA159" s="79">
        <v>0</v>
      </c>
      <c r="AB159" s="79">
        <v>0</v>
      </c>
      <c r="AC159" s="79">
        <v>4500</v>
      </c>
      <c r="AD159" s="79">
        <v>4995</v>
      </c>
      <c r="AE159" s="79">
        <v>352</v>
      </c>
      <c r="AF159" s="79">
        <v>10000</v>
      </c>
      <c r="AG159" s="79">
        <v>333</v>
      </c>
      <c r="AH159" s="79">
        <v>297.57</v>
      </c>
      <c r="AI159" s="79">
        <v>67.8</v>
      </c>
      <c r="AJ159" s="79">
        <v>30064</v>
      </c>
      <c r="AK159" s="79">
        <v>32769.760000000002</v>
      </c>
      <c r="AL159" s="79">
        <v>0</v>
      </c>
      <c r="AM159" s="79">
        <v>0</v>
      </c>
      <c r="AN159" s="79">
        <v>0</v>
      </c>
      <c r="AO159" s="79">
        <v>0</v>
      </c>
      <c r="AP159" s="79">
        <v>7694</v>
      </c>
      <c r="AQ159" s="79">
        <v>0</v>
      </c>
      <c r="AR159" s="80">
        <v>1.566914E-3</v>
      </c>
      <c r="AS159" s="80">
        <v>2.4964900000000001E-3</v>
      </c>
      <c r="AT159" s="79">
        <v>50748.031999999999</v>
      </c>
      <c r="AU159" s="79">
        <v>0</v>
      </c>
      <c r="AV159" s="79">
        <v>3055.83</v>
      </c>
      <c r="AW159" s="79">
        <v>49241.5134460017</v>
      </c>
      <c r="AX159" s="79">
        <v>4</v>
      </c>
      <c r="AY159" s="79">
        <v>4.5199999999999996</v>
      </c>
      <c r="AZ159" s="79">
        <v>3688</v>
      </c>
      <c r="BA159" s="79">
        <v>1</v>
      </c>
      <c r="BB159" s="79">
        <v>0</v>
      </c>
      <c r="BC159" s="79">
        <v>0</v>
      </c>
      <c r="BD159" s="79">
        <v>0</v>
      </c>
      <c r="BE159" s="79">
        <v>0</v>
      </c>
      <c r="BF159" s="79">
        <v>0</v>
      </c>
      <c r="BG159" s="79">
        <v>0</v>
      </c>
      <c r="BH159" s="79">
        <v>0</v>
      </c>
      <c r="BI159" s="79">
        <v>0</v>
      </c>
      <c r="BJ159" s="79">
        <v>0</v>
      </c>
      <c r="BK159" s="79">
        <v>33</v>
      </c>
      <c r="BL159" s="79">
        <v>10791</v>
      </c>
      <c r="BM159" s="79">
        <v>273</v>
      </c>
      <c r="BN159" s="79">
        <v>60</v>
      </c>
      <c r="BO159">
        <v>11421</v>
      </c>
      <c r="BP159">
        <v>2802</v>
      </c>
      <c r="BQ159">
        <v>11170</v>
      </c>
      <c r="BR159">
        <v>2756</v>
      </c>
      <c r="BS159">
        <v>10979</v>
      </c>
      <c r="BT159">
        <v>2775</v>
      </c>
      <c r="BU159">
        <v>10803</v>
      </c>
      <c r="BV159">
        <v>2762</v>
      </c>
      <c r="BW159">
        <v>10730</v>
      </c>
      <c r="BX159">
        <v>2861</v>
      </c>
      <c r="BY159">
        <v>10525</v>
      </c>
      <c r="BZ159">
        <v>2828</v>
      </c>
      <c r="CB159">
        <v>1791.7529999999999</v>
      </c>
      <c r="CC159">
        <v>386</v>
      </c>
      <c r="CD159">
        <v>201</v>
      </c>
      <c r="CE159">
        <v>15528.92</v>
      </c>
      <c r="CF159">
        <v>3139.19</v>
      </c>
      <c r="CG159">
        <v>273.71887425222798</v>
      </c>
      <c r="CH159">
        <v>870</v>
      </c>
      <c r="CI159">
        <v>479.33333333333297</v>
      </c>
      <c r="CJ159">
        <v>494</v>
      </c>
      <c r="CK159" s="81">
        <v>4324</v>
      </c>
      <c r="CL159">
        <v>1583</v>
      </c>
      <c r="CM159">
        <v>9744.4095601954705</v>
      </c>
      <c r="CN159">
        <v>4.3209999999999997</v>
      </c>
      <c r="CO159">
        <v>43089</v>
      </c>
      <c r="CP159">
        <v>7349</v>
      </c>
      <c r="CQ159">
        <v>1320</v>
      </c>
      <c r="CR159">
        <v>1883</v>
      </c>
      <c r="CS159">
        <v>1391</v>
      </c>
      <c r="CT159">
        <v>682</v>
      </c>
      <c r="CU159">
        <v>1016.75739755189</v>
      </c>
      <c r="CV159">
        <v>587.12945715806302</v>
      </c>
      <c r="CW159">
        <v>197.57714209686</v>
      </c>
      <c r="CX159">
        <v>2589.3153000000002</v>
      </c>
      <c r="CY159">
        <v>1495.2075</v>
      </c>
      <c r="CZ159">
        <v>503.15789999999998</v>
      </c>
      <c r="DA159">
        <v>243201</v>
      </c>
      <c r="DE159">
        <v>453</v>
      </c>
      <c r="DF159" t="s">
        <v>314</v>
      </c>
      <c r="DG159">
        <v>14776</v>
      </c>
      <c r="DH159">
        <v>14553</v>
      </c>
      <c r="DI159">
        <v>14334</v>
      </c>
      <c r="DJ159">
        <v>14051</v>
      </c>
      <c r="DK159">
        <v>13773</v>
      </c>
      <c r="DO159">
        <v>351</v>
      </c>
      <c r="DP159" t="s">
        <v>351</v>
      </c>
      <c r="DQ159">
        <v>5184</v>
      </c>
      <c r="DR159">
        <v>1</v>
      </c>
      <c r="DS159">
        <v>933</v>
      </c>
      <c r="DV159">
        <v>118</v>
      </c>
      <c r="DW159" t="s">
        <v>156</v>
      </c>
      <c r="DX159">
        <v>8716.5734899328909</v>
      </c>
      <c r="DY159">
        <v>1331</v>
      </c>
      <c r="DZ159">
        <v>1273</v>
      </c>
      <c r="EA159">
        <v>724</v>
      </c>
      <c r="EB159">
        <v>3999</v>
      </c>
      <c r="EC159">
        <v>2574</v>
      </c>
      <c r="ED159">
        <v>989</v>
      </c>
      <c r="EE159" s="82">
        <v>0.24606056415487099</v>
      </c>
      <c r="EF159" s="82">
        <v>0.57800256657042004</v>
      </c>
    </row>
    <row r="160" spans="1:136" x14ac:dyDescent="0.35">
      <c r="A160" s="72">
        <v>384</v>
      </c>
      <c r="B160" s="72">
        <v>7</v>
      </c>
      <c r="D160" s="72" t="s">
        <v>85</v>
      </c>
      <c r="E160" s="79">
        <v>3189600000</v>
      </c>
      <c r="F160" s="79">
        <v>410900000</v>
      </c>
      <c r="G160" s="79">
        <v>423500000</v>
      </c>
      <c r="H160" s="79">
        <v>29196</v>
      </c>
      <c r="I160" s="79">
        <v>1</v>
      </c>
      <c r="J160" s="79">
        <v>423.5</v>
      </c>
      <c r="K160" s="79">
        <v>5241</v>
      </c>
      <c r="L160" s="79">
        <v>4585</v>
      </c>
      <c r="M160" s="79">
        <v>1408</v>
      </c>
      <c r="N160" s="79">
        <v>3792</v>
      </c>
      <c r="O160" s="79">
        <v>2353.4</v>
      </c>
      <c r="P160" s="79">
        <v>465.66666666666703</v>
      </c>
      <c r="Q160" s="79">
        <v>1602.6666666666699</v>
      </c>
      <c r="R160" s="79">
        <v>5220</v>
      </c>
      <c r="S160" s="79">
        <v>0</v>
      </c>
      <c r="T160" s="79">
        <v>1244</v>
      </c>
      <c r="U160" s="79">
        <v>14928</v>
      </c>
      <c r="V160" s="79">
        <v>22010</v>
      </c>
      <c r="W160" s="79">
        <v>3810</v>
      </c>
      <c r="X160" s="79">
        <v>0</v>
      </c>
      <c r="Y160" s="79">
        <v>0</v>
      </c>
      <c r="Z160" s="79">
        <v>0</v>
      </c>
      <c r="AA160" s="79">
        <v>0</v>
      </c>
      <c r="AB160" s="79">
        <v>0</v>
      </c>
      <c r="AC160" s="79">
        <v>1188</v>
      </c>
      <c r="AD160" s="79">
        <v>1912.68</v>
      </c>
      <c r="AE160" s="79">
        <v>105</v>
      </c>
      <c r="AF160" s="79">
        <v>110</v>
      </c>
      <c r="AG160" s="79">
        <v>96</v>
      </c>
      <c r="AH160" s="79">
        <v>142.6</v>
      </c>
      <c r="AI160" s="79">
        <v>6.68</v>
      </c>
      <c r="AJ160" s="79">
        <v>14386</v>
      </c>
      <c r="AK160" s="79">
        <v>22298.3</v>
      </c>
      <c r="AL160" s="79">
        <v>0</v>
      </c>
      <c r="AM160" s="79">
        <v>0</v>
      </c>
      <c r="AN160" s="79">
        <v>0</v>
      </c>
      <c r="AO160" s="79">
        <v>0</v>
      </c>
      <c r="AP160" s="79">
        <v>763</v>
      </c>
      <c r="AQ160" s="79">
        <v>0</v>
      </c>
      <c r="AR160" s="80">
        <v>1.0310399999999999E-4</v>
      </c>
      <c r="AS160" s="80">
        <v>5.8070099999999998E-4</v>
      </c>
      <c r="AT160" s="79">
        <v>36223.947999999997</v>
      </c>
      <c r="AU160" s="79">
        <v>0</v>
      </c>
      <c r="AV160" s="79">
        <v>1529.5</v>
      </c>
      <c r="AW160" s="79">
        <v>101572.725939675</v>
      </c>
      <c r="AX160" s="79">
        <v>1</v>
      </c>
      <c r="AY160" s="79">
        <v>1.67</v>
      </c>
      <c r="AZ160" s="79">
        <v>3269</v>
      </c>
      <c r="BA160" s="79">
        <v>1</v>
      </c>
      <c r="BB160" s="79">
        <v>0</v>
      </c>
      <c r="BC160" s="79">
        <v>0</v>
      </c>
      <c r="BD160" s="79">
        <v>0</v>
      </c>
      <c r="BE160" s="79">
        <v>0</v>
      </c>
      <c r="BF160" s="79">
        <v>0</v>
      </c>
      <c r="BG160" s="79">
        <v>0</v>
      </c>
      <c r="BH160" s="79">
        <v>0</v>
      </c>
      <c r="BI160" s="79">
        <v>0</v>
      </c>
      <c r="BJ160" s="79">
        <v>0</v>
      </c>
      <c r="BK160" s="79">
        <v>11</v>
      </c>
      <c r="BL160" s="79">
        <v>6867</v>
      </c>
      <c r="BM160" s="79">
        <v>92</v>
      </c>
      <c r="BN160" s="79">
        <v>4</v>
      </c>
      <c r="BO160">
        <v>4841</v>
      </c>
      <c r="BP160">
        <v>0</v>
      </c>
      <c r="BQ160">
        <v>4797</v>
      </c>
      <c r="BR160">
        <v>0</v>
      </c>
      <c r="BS160">
        <v>4882</v>
      </c>
      <c r="BT160">
        <v>0</v>
      </c>
      <c r="BU160">
        <v>4818</v>
      </c>
      <c r="BV160">
        <v>0</v>
      </c>
      <c r="BW160">
        <v>4814</v>
      </c>
      <c r="BX160">
        <v>0</v>
      </c>
      <c r="BY160">
        <v>4768</v>
      </c>
      <c r="BZ160">
        <v>0</v>
      </c>
      <c r="CB160">
        <v>833.31899999999996</v>
      </c>
      <c r="CC160">
        <v>53</v>
      </c>
      <c r="CD160">
        <v>70</v>
      </c>
      <c r="CE160">
        <v>8794.7999999999993</v>
      </c>
      <c r="CF160">
        <v>1992.4</v>
      </c>
      <c r="CG160">
        <v>81.225498091603001</v>
      </c>
      <c r="CH160">
        <v>452</v>
      </c>
      <c r="CI160">
        <v>150.666666666667</v>
      </c>
      <c r="CJ160">
        <v>138.666666666667</v>
      </c>
      <c r="CK160" s="81">
        <v>1137</v>
      </c>
      <c r="CL160">
        <v>250</v>
      </c>
      <c r="CM160">
        <v>3098.2133830104299</v>
      </c>
      <c r="CN160">
        <v>0.59</v>
      </c>
      <c r="CO160">
        <v>24611</v>
      </c>
      <c r="CP160">
        <v>2608</v>
      </c>
      <c r="CQ160">
        <v>569</v>
      </c>
      <c r="CR160">
        <v>705</v>
      </c>
      <c r="CS160">
        <v>520</v>
      </c>
      <c r="CT160">
        <v>285</v>
      </c>
      <c r="CU160">
        <v>283.50077853468599</v>
      </c>
      <c r="CV160">
        <v>163.09883219797001</v>
      </c>
      <c r="CW160">
        <v>67.562505213401906</v>
      </c>
      <c r="CX160">
        <v>725.60709999999995</v>
      </c>
      <c r="CY160">
        <v>417.44389999999999</v>
      </c>
      <c r="CZ160">
        <v>172.92310000000001</v>
      </c>
      <c r="DA160">
        <v>0</v>
      </c>
      <c r="DE160">
        <v>457</v>
      </c>
      <c r="DF160" t="s">
        <v>333</v>
      </c>
      <c r="DG160">
        <v>3314</v>
      </c>
      <c r="DH160">
        <v>3351</v>
      </c>
      <c r="DI160">
        <v>3454</v>
      </c>
      <c r="DJ160">
        <v>3485</v>
      </c>
      <c r="DK160">
        <v>3534</v>
      </c>
      <c r="DO160">
        <v>355</v>
      </c>
      <c r="DP160" t="s">
        <v>356</v>
      </c>
      <c r="DQ160">
        <v>30187</v>
      </c>
      <c r="DR160">
        <v>1</v>
      </c>
      <c r="DS160">
        <v>1569</v>
      </c>
      <c r="DV160">
        <v>405</v>
      </c>
      <c r="DW160" t="s">
        <v>157</v>
      </c>
      <c r="DX160">
        <v>10484.2648909524</v>
      </c>
      <c r="DY160">
        <v>2142</v>
      </c>
      <c r="DZ160">
        <v>1416</v>
      </c>
      <c r="EA160">
        <v>672</v>
      </c>
      <c r="EB160">
        <v>5563</v>
      </c>
      <c r="EC160">
        <v>2682</v>
      </c>
      <c r="ED160">
        <v>928</v>
      </c>
      <c r="EE160" s="82">
        <v>0.21858351487290401</v>
      </c>
      <c r="EF160" s="82">
        <v>0.473389425315906</v>
      </c>
    </row>
    <row r="161" spans="1:136" x14ac:dyDescent="0.35">
      <c r="A161" s="72">
        <v>498</v>
      </c>
      <c r="B161" s="72">
        <v>7</v>
      </c>
      <c r="D161" s="72" t="s">
        <v>91</v>
      </c>
      <c r="E161" s="79">
        <v>1679200000</v>
      </c>
      <c r="F161" s="79">
        <v>160300000</v>
      </c>
      <c r="G161" s="79">
        <v>190050000</v>
      </c>
      <c r="H161" s="79">
        <v>19597</v>
      </c>
      <c r="I161" s="79">
        <v>3</v>
      </c>
      <c r="J161" s="79">
        <v>190.05</v>
      </c>
      <c r="K161" s="79">
        <v>3972</v>
      </c>
      <c r="L161" s="79">
        <v>4158</v>
      </c>
      <c r="M161" s="79">
        <v>1215</v>
      </c>
      <c r="N161" s="79">
        <v>2151</v>
      </c>
      <c r="O161" s="79">
        <v>1307.8</v>
      </c>
      <c r="P161" s="79">
        <v>152</v>
      </c>
      <c r="Q161" s="79">
        <v>1081</v>
      </c>
      <c r="R161" s="79">
        <v>375</v>
      </c>
      <c r="S161" s="79">
        <v>0</v>
      </c>
      <c r="T161" s="79">
        <v>497</v>
      </c>
      <c r="U161" s="79">
        <v>8301</v>
      </c>
      <c r="V161" s="79">
        <v>15170</v>
      </c>
      <c r="W161" s="79">
        <v>2120</v>
      </c>
      <c r="X161" s="79">
        <v>93.42</v>
      </c>
      <c r="Y161" s="79">
        <v>0</v>
      </c>
      <c r="Z161" s="79">
        <v>0</v>
      </c>
      <c r="AA161" s="79">
        <v>0</v>
      </c>
      <c r="AB161" s="79">
        <v>0</v>
      </c>
      <c r="AC161" s="79">
        <v>5887</v>
      </c>
      <c r="AD161" s="79">
        <v>7299.88</v>
      </c>
      <c r="AE161" s="79">
        <v>67</v>
      </c>
      <c r="AF161" s="79">
        <v>2105</v>
      </c>
      <c r="AG161" s="79">
        <v>174</v>
      </c>
      <c r="AH161" s="79">
        <v>137.94</v>
      </c>
      <c r="AI161" s="79">
        <v>75</v>
      </c>
      <c r="AJ161" s="79">
        <v>8432</v>
      </c>
      <c r="AK161" s="79">
        <v>10202.719999999999</v>
      </c>
      <c r="AL161" s="79">
        <v>0</v>
      </c>
      <c r="AM161" s="79">
        <v>0</v>
      </c>
      <c r="AN161" s="79">
        <v>0</v>
      </c>
      <c r="AO161" s="79">
        <v>0</v>
      </c>
      <c r="AP161" s="79">
        <v>596</v>
      </c>
      <c r="AQ161" s="79">
        <v>0</v>
      </c>
      <c r="AR161" s="80">
        <v>1.7064200000000001E-4</v>
      </c>
      <c r="AS161" s="80">
        <v>5.5639E-5</v>
      </c>
      <c r="AT161" s="79">
        <v>4199.1360000000004</v>
      </c>
      <c r="AU161" s="79">
        <v>0</v>
      </c>
      <c r="AV161" s="79">
        <v>2731.72</v>
      </c>
      <c r="AW161" s="79">
        <v>12386.8575411488</v>
      </c>
      <c r="AX161" s="79">
        <v>11</v>
      </c>
      <c r="AY161" s="79">
        <v>13.75</v>
      </c>
      <c r="AZ161" s="79">
        <v>2317</v>
      </c>
      <c r="BA161" s="79">
        <v>1</v>
      </c>
      <c r="BB161" s="79">
        <v>0</v>
      </c>
      <c r="BC161" s="79">
        <v>0</v>
      </c>
      <c r="BD161" s="79">
        <v>0</v>
      </c>
      <c r="BE161" s="79">
        <v>0</v>
      </c>
      <c r="BF161" s="79">
        <v>0</v>
      </c>
      <c r="BG161" s="79">
        <v>0</v>
      </c>
      <c r="BH161" s="79">
        <v>0</v>
      </c>
      <c r="BI161" s="79">
        <v>0</v>
      </c>
      <c r="BJ161" s="79">
        <v>0</v>
      </c>
      <c r="BK161" s="79">
        <v>15</v>
      </c>
      <c r="BL161" s="79">
        <v>2251</v>
      </c>
      <c r="BM161" s="79">
        <v>114</v>
      </c>
      <c r="BN161" s="79">
        <v>60</v>
      </c>
      <c r="BO161">
        <v>4487</v>
      </c>
      <c r="BP161">
        <v>0</v>
      </c>
      <c r="BQ161">
        <v>4475</v>
      </c>
      <c r="BR161">
        <v>0</v>
      </c>
      <c r="BS161">
        <v>4436</v>
      </c>
      <c r="BT161">
        <v>0</v>
      </c>
      <c r="BU161">
        <v>4330</v>
      </c>
      <c r="BV161">
        <v>0</v>
      </c>
      <c r="BW161">
        <v>4259</v>
      </c>
      <c r="BX161">
        <v>0</v>
      </c>
      <c r="BY161">
        <v>4175</v>
      </c>
      <c r="BZ161">
        <v>0</v>
      </c>
      <c r="CB161">
        <v>297.89999999999998</v>
      </c>
      <c r="CC161">
        <v>36</v>
      </c>
      <c r="CD161">
        <v>23</v>
      </c>
      <c r="CE161">
        <v>5845.68</v>
      </c>
      <c r="CF161">
        <v>1547.09</v>
      </c>
      <c r="CG161">
        <v>124.87741254563601</v>
      </c>
      <c r="CH161">
        <v>203</v>
      </c>
      <c r="CI161">
        <v>59.3333333333333</v>
      </c>
      <c r="CJ161">
        <v>42.6666666666667</v>
      </c>
      <c r="CK161" s="81">
        <v>929</v>
      </c>
      <c r="CL161">
        <v>267</v>
      </c>
      <c r="CM161">
        <v>1736.4558247422699</v>
      </c>
      <c r="CN161">
        <v>9.7000000000000003E-2</v>
      </c>
      <c r="CO161">
        <v>15439</v>
      </c>
      <c r="CP161">
        <v>2580</v>
      </c>
      <c r="CQ161">
        <v>363</v>
      </c>
      <c r="CR161">
        <v>427</v>
      </c>
      <c r="CS161">
        <v>333</v>
      </c>
      <c r="CT161">
        <v>177</v>
      </c>
      <c r="CU161">
        <v>243.50640417457299</v>
      </c>
      <c r="CV161">
        <v>129.042884250474</v>
      </c>
      <c r="CW161">
        <v>39.240203984819701</v>
      </c>
      <c r="CX161">
        <v>645.74099999999999</v>
      </c>
      <c r="CY161">
        <v>342.20159999999998</v>
      </c>
      <c r="CZ161">
        <v>104.05889999999999</v>
      </c>
      <c r="DA161">
        <v>8395</v>
      </c>
      <c r="DE161">
        <v>473</v>
      </c>
      <c r="DF161" t="s">
        <v>354</v>
      </c>
      <c r="DG161">
        <v>2847</v>
      </c>
      <c r="DH161">
        <v>2825</v>
      </c>
      <c r="DI161">
        <v>2746</v>
      </c>
      <c r="DJ161">
        <v>2700</v>
      </c>
      <c r="DK161">
        <v>2679</v>
      </c>
      <c r="DO161">
        <v>358</v>
      </c>
      <c r="DP161" t="s">
        <v>12</v>
      </c>
      <c r="DQ161">
        <v>12932</v>
      </c>
      <c r="DR161">
        <v>1.27</v>
      </c>
      <c r="DS161">
        <v>904</v>
      </c>
      <c r="DV161">
        <v>1507</v>
      </c>
      <c r="DW161" t="s">
        <v>158</v>
      </c>
      <c r="DX161">
        <v>4800.7310020935902</v>
      </c>
      <c r="DY161">
        <v>835</v>
      </c>
      <c r="DZ161">
        <v>856</v>
      </c>
      <c r="EA161">
        <v>453</v>
      </c>
      <c r="EB161">
        <v>2991</v>
      </c>
      <c r="EC161">
        <v>1927</v>
      </c>
      <c r="ED161">
        <v>633</v>
      </c>
      <c r="EE161" s="82">
        <v>0.15132085656442201</v>
      </c>
      <c r="EF161" s="82">
        <v>0.43755088512974499</v>
      </c>
    </row>
    <row r="162" spans="1:136" x14ac:dyDescent="0.35">
      <c r="A162" s="72">
        <v>385</v>
      </c>
      <c r="B162" s="72">
        <v>7</v>
      </c>
      <c r="D162" s="72" t="s">
        <v>97</v>
      </c>
      <c r="E162" s="79">
        <v>3319600000</v>
      </c>
      <c r="F162" s="79">
        <v>434350000</v>
      </c>
      <c r="G162" s="79">
        <v>439600000</v>
      </c>
      <c r="H162" s="79">
        <v>36099</v>
      </c>
      <c r="I162" s="79">
        <v>2</v>
      </c>
      <c r="J162" s="79">
        <v>439.6</v>
      </c>
      <c r="K162" s="79">
        <v>7286</v>
      </c>
      <c r="L162" s="79">
        <v>7499</v>
      </c>
      <c r="M162" s="79">
        <v>2298</v>
      </c>
      <c r="N162" s="79">
        <v>3704</v>
      </c>
      <c r="O162" s="79">
        <v>2174.8000000000002</v>
      </c>
      <c r="P162" s="79">
        <v>304.66666666666703</v>
      </c>
      <c r="Q162" s="79">
        <v>1858.6666666666699</v>
      </c>
      <c r="R162" s="79">
        <v>935</v>
      </c>
      <c r="S162" s="79">
        <v>0</v>
      </c>
      <c r="T162" s="79">
        <v>864</v>
      </c>
      <c r="U162" s="79">
        <v>15119</v>
      </c>
      <c r="V162" s="79">
        <v>31140</v>
      </c>
      <c r="W162" s="79">
        <v>11590</v>
      </c>
      <c r="X162" s="79">
        <v>178.2</v>
      </c>
      <c r="Y162" s="79">
        <v>1552</v>
      </c>
      <c r="Z162" s="79">
        <v>0</v>
      </c>
      <c r="AA162" s="79">
        <v>0</v>
      </c>
      <c r="AB162" s="79">
        <v>0</v>
      </c>
      <c r="AC162" s="79">
        <v>5430</v>
      </c>
      <c r="AD162" s="79">
        <v>7493.4</v>
      </c>
      <c r="AE162" s="79">
        <v>307</v>
      </c>
      <c r="AF162" s="79">
        <v>2262</v>
      </c>
      <c r="AG162" s="79">
        <v>201</v>
      </c>
      <c r="AH162" s="79">
        <v>245.66</v>
      </c>
      <c r="AI162" s="79">
        <v>38.36</v>
      </c>
      <c r="AJ162" s="79">
        <v>15292</v>
      </c>
      <c r="AK162" s="79">
        <v>21714.639999999999</v>
      </c>
      <c r="AL162" s="79">
        <v>31</v>
      </c>
      <c r="AM162" s="79">
        <v>0</v>
      </c>
      <c r="AN162" s="79">
        <v>0</v>
      </c>
      <c r="AO162" s="79">
        <v>8100</v>
      </c>
      <c r="AP162" s="79">
        <v>1933</v>
      </c>
      <c r="AQ162" s="79">
        <v>950</v>
      </c>
      <c r="AR162" s="80">
        <v>3.7418899999999998E-4</v>
      </c>
      <c r="AS162" s="80">
        <v>1.5284900000000001E-4</v>
      </c>
      <c r="AT162" s="79">
        <v>19864.308000000001</v>
      </c>
      <c r="AU162" s="79">
        <v>0</v>
      </c>
      <c r="AV162" s="79">
        <v>7572.06</v>
      </c>
      <c r="AW162" s="79">
        <v>138230.91751438001</v>
      </c>
      <c r="AX162" s="79">
        <v>12</v>
      </c>
      <c r="AY162" s="79">
        <v>16.440000000000001</v>
      </c>
      <c r="AZ162" s="79">
        <v>4846</v>
      </c>
      <c r="BA162" s="79">
        <v>1</v>
      </c>
      <c r="BB162" s="79">
        <v>0</v>
      </c>
      <c r="BC162" s="79">
        <v>0</v>
      </c>
      <c r="BD162" s="79">
        <v>0</v>
      </c>
      <c r="BE162" s="79">
        <v>0</v>
      </c>
      <c r="BF162" s="79">
        <v>0</v>
      </c>
      <c r="BG162" s="79">
        <v>0</v>
      </c>
      <c r="BH162" s="79">
        <v>0</v>
      </c>
      <c r="BI162" s="79">
        <v>0</v>
      </c>
      <c r="BJ162" s="79">
        <v>0</v>
      </c>
      <c r="BK162" s="79">
        <v>17</v>
      </c>
      <c r="BL162" s="79">
        <v>4157</v>
      </c>
      <c r="BM162" s="79">
        <v>173</v>
      </c>
      <c r="BN162" s="79">
        <v>28</v>
      </c>
      <c r="BO162">
        <v>8261</v>
      </c>
      <c r="BP162">
        <v>2212</v>
      </c>
      <c r="BQ162">
        <v>8169</v>
      </c>
      <c r="BR162">
        <v>2249</v>
      </c>
      <c r="BS162">
        <v>8082</v>
      </c>
      <c r="BT162">
        <v>2180</v>
      </c>
      <c r="BU162">
        <v>8016</v>
      </c>
      <c r="BV162">
        <v>2189</v>
      </c>
      <c r="BW162">
        <v>7907</v>
      </c>
      <c r="BX162">
        <v>2175</v>
      </c>
      <c r="BY162">
        <v>7786</v>
      </c>
      <c r="BZ162">
        <v>2089</v>
      </c>
      <c r="CB162">
        <v>408.01600000000002</v>
      </c>
      <c r="CC162">
        <v>228</v>
      </c>
      <c r="CD162">
        <v>92</v>
      </c>
      <c r="CE162">
        <v>11546.34</v>
      </c>
      <c r="CF162">
        <v>3310.4</v>
      </c>
      <c r="CG162">
        <v>125.23597363974299</v>
      </c>
      <c r="CH162">
        <v>316</v>
      </c>
      <c r="CI162">
        <v>99</v>
      </c>
      <c r="CJ162">
        <v>68</v>
      </c>
      <c r="CK162" s="81">
        <v>1554</v>
      </c>
      <c r="CL162">
        <v>272</v>
      </c>
      <c r="CM162">
        <v>4732.3127252220502</v>
      </c>
      <c r="CN162">
        <v>0.18</v>
      </c>
      <c r="CO162">
        <v>28600</v>
      </c>
      <c r="CP162">
        <v>4641</v>
      </c>
      <c r="CQ162">
        <v>560</v>
      </c>
      <c r="CR162">
        <v>879</v>
      </c>
      <c r="CS162">
        <v>725</v>
      </c>
      <c r="CT162">
        <v>293</v>
      </c>
      <c r="CU162">
        <v>407.59722730839701</v>
      </c>
      <c r="CV162">
        <v>230.535626471358</v>
      </c>
      <c r="CW162">
        <v>57.4561339262359</v>
      </c>
      <c r="CX162">
        <v>1021.4424</v>
      </c>
      <c r="CY162">
        <v>577.72439999999995</v>
      </c>
      <c r="CZ162">
        <v>143.98560000000001</v>
      </c>
      <c r="DA162">
        <v>12316</v>
      </c>
      <c r="DE162">
        <v>479</v>
      </c>
      <c r="DF162" t="s">
        <v>352</v>
      </c>
      <c r="DG162">
        <v>30977</v>
      </c>
      <c r="DH162">
        <v>31113</v>
      </c>
      <c r="DI162">
        <v>31293</v>
      </c>
      <c r="DJ162">
        <v>31415</v>
      </c>
      <c r="DK162">
        <v>31374</v>
      </c>
      <c r="DO162">
        <v>361</v>
      </c>
      <c r="DP162" t="s">
        <v>17</v>
      </c>
      <c r="DQ162">
        <v>51339</v>
      </c>
      <c r="DR162">
        <v>1.05</v>
      </c>
      <c r="DS162">
        <v>2243</v>
      </c>
      <c r="DV162">
        <v>321</v>
      </c>
      <c r="DW162" t="s">
        <v>159</v>
      </c>
      <c r="DX162">
        <v>4013.8040172895999</v>
      </c>
      <c r="DY162">
        <v>826</v>
      </c>
      <c r="DZ162">
        <v>654</v>
      </c>
      <c r="EA162">
        <v>371</v>
      </c>
      <c r="EB162">
        <v>2695</v>
      </c>
      <c r="EC162">
        <v>1288</v>
      </c>
      <c r="ED162">
        <v>506</v>
      </c>
      <c r="EE162" s="82">
        <v>9.9048054415551701E-2</v>
      </c>
      <c r="EF162" s="82">
        <v>0.30454739891698501</v>
      </c>
    </row>
    <row r="163" spans="1:136" x14ac:dyDescent="0.35">
      <c r="A163" s="72">
        <v>388</v>
      </c>
      <c r="B163" s="72">
        <v>7</v>
      </c>
      <c r="D163" s="72" t="s">
        <v>105</v>
      </c>
      <c r="E163" s="79">
        <v>1394400000</v>
      </c>
      <c r="F163" s="79">
        <v>267750000</v>
      </c>
      <c r="G163" s="79">
        <v>277550000</v>
      </c>
      <c r="H163" s="79">
        <v>18507</v>
      </c>
      <c r="I163" s="79">
        <v>1</v>
      </c>
      <c r="J163" s="79">
        <v>277.55</v>
      </c>
      <c r="K163" s="79">
        <v>3565</v>
      </c>
      <c r="L163" s="79">
        <v>3990</v>
      </c>
      <c r="M163" s="79">
        <v>1189</v>
      </c>
      <c r="N163" s="79">
        <v>2968</v>
      </c>
      <c r="O163" s="79">
        <v>2087.5</v>
      </c>
      <c r="P163" s="79">
        <v>352.33333333333297</v>
      </c>
      <c r="Q163" s="79">
        <v>1645.3333333333301</v>
      </c>
      <c r="R163" s="79">
        <v>795</v>
      </c>
      <c r="S163" s="79">
        <v>0</v>
      </c>
      <c r="T163" s="79">
        <v>688</v>
      </c>
      <c r="U163" s="79">
        <v>8817</v>
      </c>
      <c r="V163" s="79">
        <v>18750</v>
      </c>
      <c r="W163" s="79">
        <v>10120</v>
      </c>
      <c r="X163" s="79">
        <v>0</v>
      </c>
      <c r="Y163" s="79">
        <v>1200.8</v>
      </c>
      <c r="Z163" s="79">
        <v>0</v>
      </c>
      <c r="AA163" s="79">
        <v>0</v>
      </c>
      <c r="AB163" s="79">
        <v>0</v>
      </c>
      <c r="AC163" s="79">
        <v>1263</v>
      </c>
      <c r="AD163" s="79">
        <v>1540.86</v>
      </c>
      <c r="AE163" s="79">
        <v>231</v>
      </c>
      <c r="AF163" s="79">
        <v>10000</v>
      </c>
      <c r="AG163" s="79">
        <v>121</v>
      </c>
      <c r="AH163" s="79">
        <v>125</v>
      </c>
      <c r="AI163" s="79">
        <v>25.41</v>
      </c>
      <c r="AJ163" s="79">
        <v>8805</v>
      </c>
      <c r="AK163" s="79">
        <v>11006.25</v>
      </c>
      <c r="AL163" s="79">
        <v>0</v>
      </c>
      <c r="AM163" s="79">
        <v>54</v>
      </c>
      <c r="AN163" s="79">
        <v>0</v>
      </c>
      <c r="AO163" s="79">
        <v>10700</v>
      </c>
      <c r="AP163" s="79">
        <v>2330</v>
      </c>
      <c r="AQ163" s="79">
        <v>2330</v>
      </c>
      <c r="AR163" s="80">
        <v>8.4585699999999999E-4</v>
      </c>
      <c r="AS163" s="80">
        <v>2.7025600000000002E-4</v>
      </c>
      <c r="AT163" s="79">
        <v>12230.145</v>
      </c>
      <c r="AU163" s="79">
        <v>0</v>
      </c>
      <c r="AV163" s="79">
        <v>1671.4</v>
      </c>
      <c r="AW163" s="79">
        <v>24875.687309236899</v>
      </c>
      <c r="AX163" s="79">
        <v>1</v>
      </c>
      <c r="AY163" s="79">
        <v>1.21</v>
      </c>
      <c r="AZ163" s="79">
        <v>2061</v>
      </c>
      <c r="BA163" s="79">
        <v>1</v>
      </c>
      <c r="BB163" s="79">
        <v>0</v>
      </c>
      <c r="BC163" s="79">
        <v>0</v>
      </c>
      <c r="BD163" s="79">
        <v>0</v>
      </c>
      <c r="BE163" s="79">
        <v>0</v>
      </c>
      <c r="BF163" s="79">
        <v>0</v>
      </c>
      <c r="BG163" s="79">
        <v>0</v>
      </c>
      <c r="BH163" s="79">
        <v>0</v>
      </c>
      <c r="BI163" s="79">
        <v>0</v>
      </c>
      <c r="BJ163" s="79">
        <v>0</v>
      </c>
      <c r="BK163" s="79">
        <v>14</v>
      </c>
      <c r="BL163" s="79">
        <v>3208</v>
      </c>
      <c r="BM163" s="79">
        <v>100</v>
      </c>
      <c r="BN163" s="79">
        <v>21</v>
      </c>
      <c r="BO163">
        <v>3883</v>
      </c>
      <c r="BP163">
        <v>1406</v>
      </c>
      <c r="BQ163">
        <v>3844</v>
      </c>
      <c r="BR163">
        <v>1480</v>
      </c>
      <c r="BS163">
        <v>3804</v>
      </c>
      <c r="BT163">
        <v>1558</v>
      </c>
      <c r="BU163">
        <v>3748</v>
      </c>
      <c r="BV163">
        <v>1564</v>
      </c>
      <c r="BW163">
        <v>3672</v>
      </c>
      <c r="BX163">
        <v>1586</v>
      </c>
      <c r="BY163">
        <v>3682</v>
      </c>
      <c r="BZ163">
        <v>1642</v>
      </c>
      <c r="CB163">
        <v>456.32</v>
      </c>
      <c r="CC163">
        <v>78</v>
      </c>
      <c r="CD163">
        <v>43</v>
      </c>
      <c r="CE163">
        <v>5309.06</v>
      </c>
      <c r="CF163">
        <v>1195.3399999999999</v>
      </c>
      <c r="CG163">
        <v>99.037439024390196</v>
      </c>
      <c r="CH163">
        <v>238</v>
      </c>
      <c r="CI163">
        <v>121.666666666667</v>
      </c>
      <c r="CJ163">
        <v>111</v>
      </c>
      <c r="CK163" s="81">
        <v>1293</v>
      </c>
      <c r="CL163">
        <v>420</v>
      </c>
      <c r="CM163">
        <v>2366.0479978325702</v>
      </c>
      <c r="CN163">
        <v>0.67900000000000005</v>
      </c>
      <c r="CO163">
        <v>14517</v>
      </c>
      <c r="CP163">
        <v>2408</v>
      </c>
      <c r="CQ163">
        <v>393</v>
      </c>
      <c r="CR163">
        <v>612</v>
      </c>
      <c r="CS163">
        <v>408</v>
      </c>
      <c r="CT163">
        <v>217</v>
      </c>
      <c r="CU163">
        <v>367.475865985236</v>
      </c>
      <c r="CV163">
        <v>198.67404883588901</v>
      </c>
      <c r="CW163">
        <v>67.568143100511094</v>
      </c>
      <c r="CX163">
        <v>779.80499999999995</v>
      </c>
      <c r="CY163">
        <v>421.59780000000001</v>
      </c>
      <c r="CZ163">
        <v>143.3835</v>
      </c>
      <c r="DA163">
        <v>0</v>
      </c>
      <c r="DE163">
        <v>482</v>
      </c>
      <c r="DF163" t="s">
        <v>15</v>
      </c>
      <c r="DG163">
        <v>4625</v>
      </c>
      <c r="DH163">
        <v>4648</v>
      </c>
      <c r="DI163">
        <v>4697</v>
      </c>
      <c r="DJ163">
        <v>4726</v>
      </c>
      <c r="DK163">
        <v>4706</v>
      </c>
      <c r="DO163">
        <v>362</v>
      </c>
      <c r="DP163" t="s">
        <v>25</v>
      </c>
      <c r="DQ163">
        <v>42509</v>
      </c>
      <c r="DR163">
        <v>1.3</v>
      </c>
      <c r="DS163">
        <v>2476</v>
      </c>
      <c r="DV163">
        <v>406</v>
      </c>
      <c r="DW163" t="s">
        <v>160</v>
      </c>
      <c r="DX163">
        <v>5174.1080815256</v>
      </c>
      <c r="DY163">
        <v>1373</v>
      </c>
      <c r="DZ163">
        <v>963</v>
      </c>
      <c r="EA163">
        <v>475</v>
      </c>
      <c r="EB163">
        <v>3525</v>
      </c>
      <c r="EC163">
        <v>1895</v>
      </c>
      <c r="ED163">
        <v>703</v>
      </c>
      <c r="EE163" s="82">
        <v>0.17259407204707899</v>
      </c>
      <c r="EF163" s="82">
        <v>0.34682182854538701</v>
      </c>
    </row>
    <row r="164" spans="1:136" x14ac:dyDescent="0.35">
      <c r="A164" s="72">
        <v>1942</v>
      </c>
      <c r="B164" s="72">
        <v>7</v>
      </c>
      <c r="D164" s="72" t="s">
        <v>118</v>
      </c>
      <c r="E164" s="79">
        <v>8406400000</v>
      </c>
      <c r="F164" s="79">
        <v>630700000</v>
      </c>
      <c r="G164" s="79">
        <v>648900000</v>
      </c>
      <c r="H164" s="79">
        <v>57715</v>
      </c>
      <c r="I164" s="79">
        <v>3</v>
      </c>
      <c r="J164" s="79">
        <v>648.9</v>
      </c>
      <c r="K164" s="79">
        <v>13248</v>
      </c>
      <c r="L164" s="79">
        <v>12266</v>
      </c>
      <c r="M164" s="79">
        <v>4119</v>
      </c>
      <c r="N164" s="79">
        <v>7141</v>
      </c>
      <c r="O164" s="79">
        <v>4471</v>
      </c>
      <c r="P164" s="79">
        <v>851</v>
      </c>
      <c r="Q164" s="79">
        <v>2665</v>
      </c>
      <c r="R164" s="79">
        <v>2785</v>
      </c>
      <c r="S164" s="79">
        <v>0</v>
      </c>
      <c r="T164" s="79">
        <v>1846</v>
      </c>
      <c r="U164" s="79">
        <v>26497</v>
      </c>
      <c r="V164" s="79">
        <v>56930</v>
      </c>
      <c r="W164" s="79">
        <v>35800</v>
      </c>
      <c r="X164" s="79">
        <v>798.48</v>
      </c>
      <c r="Y164" s="79">
        <v>3295.2</v>
      </c>
      <c r="Z164" s="79">
        <v>0</v>
      </c>
      <c r="AA164" s="79">
        <v>0</v>
      </c>
      <c r="AB164" s="79">
        <v>0</v>
      </c>
      <c r="AC164" s="79">
        <v>4150</v>
      </c>
      <c r="AD164" s="79">
        <v>4316</v>
      </c>
      <c r="AE164" s="79">
        <v>1271</v>
      </c>
      <c r="AF164" s="79">
        <v>2101</v>
      </c>
      <c r="AG164" s="79">
        <v>268</v>
      </c>
      <c r="AH164" s="79">
        <v>252.5</v>
      </c>
      <c r="AI164" s="79">
        <v>18.899999999999999</v>
      </c>
      <c r="AJ164" s="79">
        <v>26700</v>
      </c>
      <c r="AK164" s="79">
        <v>26967</v>
      </c>
      <c r="AL164" s="79">
        <v>27</v>
      </c>
      <c r="AM164" s="79">
        <v>0</v>
      </c>
      <c r="AN164" s="79">
        <v>0</v>
      </c>
      <c r="AO164" s="79">
        <v>11150</v>
      </c>
      <c r="AP164" s="79">
        <v>6822</v>
      </c>
      <c r="AQ164" s="79">
        <v>651</v>
      </c>
      <c r="AR164" s="80">
        <v>1.9120840000000001E-3</v>
      </c>
      <c r="AS164" s="80">
        <v>1.1700020000000001E-3</v>
      </c>
      <c r="AT164" s="79">
        <v>50916.9</v>
      </c>
      <c r="AU164" s="79">
        <v>0</v>
      </c>
      <c r="AV164" s="79">
        <v>3132.48</v>
      </c>
      <c r="AW164" s="79">
        <v>42363.086810551598</v>
      </c>
      <c r="AX164" s="79">
        <v>9</v>
      </c>
      <c r="AY164" s="79">
        <v>9.4499999999999993</v>
      </c>
      <c r="AZ164" s="79">
        <v>9513</v>
      </c>
      <c r="BA164" s="79">
        <v>1</v>
      </c>
      <c r="BB164" s="79">
        <v>0</v>
      </c>
      <c r="BC164" s="79">
        <v>0</v>
      </c>
      <c r="BD164" s="79">
        <v>0</v>
      </c>
      <c r="BE164" s="79">
        <v>0</v>
      </c>
      <c r="BF164" s="79">
        <v>0</v>
      </c>
      <c r="BG164" s="79">
        <v>0</v>
      </c>
      <c r="BH164" s="79">
        <v>0</v>
      </c>
      <c r="BI164" s="79">
        <v>0</v>
      </c>
      <c r="BJ164" s="79">
        <v>0</v>
      </c>
      <c r="BK164" s="79">
        <v>23</v>
      </c>
      <c r="BL164" s="79">
        <v>10002</v>
      </c>
      <c r="BM164" s="79">
        <v>250</v>
      </c>
      <c r="BN164" s="79">
        <v>18</v>
      </c>
      <c r="BO164">
        <v>13142</v>
      </c>
      <c r="BP164">
        <v>4216</v>
      </c>
      <c r="BQ164">
        <v>13204</v>
      </c>
      <c r="BR164">
        <v>4245</v>
      </c>
      <c r="BS164">
        <v>13304</v>
      </c>
      <c r="BT164">
        <v>4356</v>
      </c>
      <c r="BU164">
        <v>13346</v>
      </c>
      <c r="BV164">
        <v>4462</v>
      </c>
      <c r="BW164">
        <v>13271</v>
      </c>
      <c r="BX164">
        <v>4542</v>
      </c>
      <c r="BY164">
        <v>13159</v>
      </c>
      <c r="BZ164">
        <v>4557</v>
      </c>
      <c r="CB164">
        <v>1020.096</v>
      </c>
      <c r="CC164">
        <v>71</v>
      </c>
      <c r="CD164">
        <v>88</v>
      </c>
      <c r="CE164">
        <v>25053.16</v>
      </c>
      <c r="CF164">
        <v>6899.61</v>
      </c>
      <c r="CG164">
        <v>354.41704203564598</v>
      </c>
      <c r="CH164">
        <v>708</v>
      </c>
      <c r="CI164">
        <v>199</v>
      </c>
      <c r="CJ164">
        <v>158.666666666667</v>
      </c>
      <c r="CK164" s="81">
        <v>1814</v>
      </c>
      <c r="CL164">
        <v>439</v>
      </c>
      <c r="CM164">
        <v>6052.3384048257403</v>
      </c>
      <c r="CN164">
        <v>1.147</v>
      </c>
      <c r="CO164">
        <v>45449</v>
      </c>
      <c r="CP164">
        <v>6312</v>
      </c>
      <c r="CQ164">
        <v>1835</v>
      </c>
      <c r="CR164">
        <v>1807</v>
      </c>
      <c r="CS164">
        <v>1646</v>
      </c>
      <c r="CT164">
        <v>994</v>
      </c>
      <c r="CU164">
        <v>702.46610486891404</v>
      </c>
      <c r="CV164">
        <v>495.49397003745298</v>
      </c>
      <c r="CW164">
        <v>224.88962546816501</v>
      </c>
      <c r="CX164">
        <v>919.12450000000001</v>
      </c>
      <c r="CY164">
        <v>648.31690000000003</v>
      </c>
      <c r="CZ164">
        <v>294.25130000000001</v>
      </c>
      <c r="DA164">
        <v>35037</v>
      </c>
      <c r="DE164">
        <v>484</v>
      </c>
      <c r="DF164" t="s">
        <v>20</v>
      </c>
      <c r="DG164">
        <v>24107</v>
      </c>
      <c r="DH164">
        <v>23961</v>
      </c>
      <c r="DI164">
        <v>23826</v>
      </c>
      <c r="DJ164">
        <v>23736</v>
      </c>
      <c r="DK164">
        <v>23565</v>
      </c>
      <c r="DO164">
        <v>363</v>
      </c>
      <c r="DP164" t="s">
        <v>26</v>
      </c>
      <c r="DQ164">
        <v>443654</v>
      </c>
      <c r="DR164">
        <v>1.31</v>
      </c>
      <c r="DS164">
        <v>6020</v>
      </c>
      <c r="DV164">
        <v>677</v>
      </c>
      <c r="DW164" t="s">
        <v>161</v>
      </c>
      <c r="DX164">
        <v>3838.4351175668098</v>
      </c>
      <c r="DY164">
        <v>698</v>
      </c>
      <c r="DZ164">
        <v>714</v>
      </c>
      <c r="EA164">
        <v>425</v>
      </c>
      <c r="EB164">
        <v>2295</v>
      </c>
      <c r="EC164">
        <v>1475</v>
      </c>
      <c r="ED164">
        <v>598</v>
      </c>
      <c r="EE164" s="82">
        <v>0.18313307645989599</v>
      </c>
      <c r="EF164" s="82">
        <v>0.45316433785906901</v>
      </c>
    </row>
    <row r="165" spans="1:136" x14ac:dyDescent="0.35">
      <c r="A165" s="72">
        <v>392</v>
      </c>
      <c r="B165" s="72">
        <v>7</v>
      </c>
      <c r="D165" s="72" t="s">
        <v>126</v>
      </c>
      <c r="E165" s="79">
        <v>19872800000</v>
      </c>
      <c r="F165" s="79">
        <v>2595600000</v>
      </c>
      <c r="G165" s="79">
        <v>2642500000</v>
      </c>
      <c r="H165" s="79">
        <v>161265</v>
      </c>
      <c r="I165" s="79">
        <v>1</v>
      </c>
      <c r="J165" s="79">
        <v>2642.5</v>
      </c>
      <c r="K165" s="79">
        <v>32221</v>
      </c>
      <c r="L165" s="79">
        <v>27471</v>
      </c>
      <c r="M165" s="79">
        <v>8457</v>
      </c>
      <c r="N165" s="79">
        <v>25056</v>
      </c>
      <c r="O165" s="79">
        <v>17421.7</v>
      </c>
      <c r="P165" s="79">
        <v>3724.6666666666702</v>
      </c>
      <c r="Q165" s="79">
        <v>12053.666666666701</v>
      </c>
      <c r="R165" s="79">
        <v>16755</v>
      </c>
      <c r="S165" s="79">
        <v>0</v>
      </c>
      <c r="T165" s="79">
        <v>5934</v>
      </c>
      <c r="U165" s="79">
        <v>79460</v>
      </c>
      <c r="V165" s="79">
        <v>183700</v>
      </c>
      <c r="W165" s="79">
        <v>206070</v>
      </c>
      <c r="X165" s="79">
        <v>5065.72</v>
      </c>
      <c r="Y165" s="79">
        <v>9144.7999999999993</v>
      </c>
      <c r="Z165" s="79">
        <v>0</v>
      </c>
      <c r="AA165" s="79">
        <v>346.29999999999598</v>
      </c>
      <c r="AB165" s="79">
        <v>0</v>
      </c>
      <c r="AC165" s="79">
        <v>2916</v>
      </c>
      <c r="AD165" s="79">
        <v>2974.32</v>
      </c>
      <c r="AE165" s="79">
        <v>293</v>
      </c>
      <c r="AF165" s="79">
        <v>0</v>
      </c>
      <c r="AG165" s="79">
        <v>586</v>
      </c>
      <c r="AH165" s="79">
        <v>590.58000000000004</v>
      </c>
      <c r="AI165" s="79">
        <v>7.14</v>
      </c>
      <c r="AJ165" s="79">
        <v>76343</v>
      </c>
      <c r="AK165" s="79">
        <v>77869.86</v>
      </c>
      <c r="AL165" s="79">
        <v>0</v>
      </c>
      <c r="AM165" s="79">
        <v>0</v>
      </c>
      <c r="AN165" s="79">
        <v>107</v>
      </c>
      <c r="AO165" s="79">
        <v>11850</v>
      </c>
      <c r="AP165" s="79">
        <v>30680</v>
      </c>
      <c r="AQ165" s="79">
        <v>30680</v>
      </c>
      <c r="AR165" s="80">
        <v>2.0210842E-2</v>
      </c>
      <c r="AS165" s="80">
        <v>1.251585E-2</v>
      </c>
      <c r="AT165" s="79">
        <v>269032.73200000002</v>
      </c>
      <c r="AU165" s="79">
        <v>9466.5319999999992</v>
      </c>
      <c r="AV165" s="79">
        <v>1741.14</v>
      </c>
      <c r="AW165" s="79">
        <v>98366.122062947994</v>
      </c>
      <c r="AX165" s="79">
        <v>2</v>
      </c>
      <c r="AY165" s="79">
        <v>2.04</v>
      </c>
      <c r="AZ165" s="79">
        <v>21623</v>
      </c>
      <c r="BA165" s="79">
        <v>1</v>
      </c>
      <c r="BB165" s="79">
        <v>0</v>
      </c>
      <c r="BC165" s="79">
        <v>0</v>
      </c>
      <c r="BD165" s="79">
        <v>0</v>
      </c>
      <c r="BE165" s="79">
        <v>0</v>
      </c>
      <c r="BF165" s="79">
        <v>0</v>
      </c>
      <c r="BG165" s="79">
        <v>0</v>
      </c>
      <c r="BH165" s="79">
        <v>0</v>
      </c>
      <c r="BI165" s="79">
        <v>0</v>
      </c>
      <c r="BJ165" s="79">
        <v>0</v>
      </c>
      <c r="BK165" s="79">
        <v>37</v>
      </c>
      <c r="BL165" s="79">
        <v>34113</v>
      </c>
      <c r="BM165" s="79">
        <v>579</v>
      </c>
      <c r="BN165" s="79">
        <v>7</v>
      </c>
      <c r="BO165">
        <v>28977</v>
      </c>
      <c r="BP165">
        <v>10722</v>
      </c>
      <c r="BQ165">
        <v>29251</v>
      </c>
      <c r="BR165">
        <v>10672</v>
      </c>
      <c r="BS165">
        <v>29639</v>
      </c>
      <c r="BT165">
        <v>10797</v>
      </c>
      <c r="BU165">
        <v>29950</v>
      </c>
      <c r="BV165">
        <v>10824</v>
      </c>
      <c r="BW165">
        <v>30465</v>
      </c>
      <c r="BX165">
        <v>10956</v>
      </c>
      <c r="BY165">
        <v>30984</v>
      </c>
      <c r="BZ165">
        <v>11033</v>
      </c>
      <c r="CB165">
        <v>4027.625</v>
      </c>
      <c r="CC165">
        <v>301</v>
      </c>
      <c r="CD165">
        <v>726</v>
      </c>
      <c r="CE165">
        <v>53690.97</v>
      </c>
      <c r="CF165">
        <v>13103.28</v>
      </c>
      <c r="CG165">
        <v>1212.9408978102199</v>
      </c>
      <c r="CH165">
        <v>2049</v>
      </c>
      <c r="CI165">
        <v>963.66666666666697</v>
      </c>
      <c r="CJ165">
        <v>822.33333333333303</v>
      </c>
      <c r="CK165" s="81">
        <v>8329</v>
      </c>
      <c r="CL165">
        <v>1971</v>
      </c>
      <c r="CM165">
        <v>17015.935519160201</v>
      </c>
      <c r="CN165">
        <v>7.4009999999999998</v>
      </c>
      <c r="CO165">
        <v>133794</v>
      </c>
      <c r="CP165">
        <v>15586</v>
      </c>
      <c r="CQ165">
        <v>3428</v>
      </c>
      <c r="CR165">
        <v>5136</v>
      </c>
      <c r="CS165">
        <v>3591</v>
      </c>
      <c r="CT165">
        <v>1826</v>
      </c>
      <c r="CU165">
        <v>2455.9204563614198</v>
      </c>
      <c r="CV165">
        <v>1419.4225272782101</v>
      </c>
      <c r="CW165">
        <v>552.70761431958397</v>
      </c>
      <c r="CX165">
        <v>4545.8688000000002</v>
      </c>
      <c r="CY165">
        <v>2627.328</v>
      </c>
      <c r="CZ165">
        <v>1023.0528</v>
      </c>
      <c r="DA165">
        <v>107275</v>
      </c>
      <c r="DE165">
        <v>489</v>
      </c>
      <c r="DF165" t="s">
        <v>34</v>
      </c>
      <c r="DG165">
        <v>11629</v>
      </c>
      <c r="DH165">
        <v>11772</v>
      </c>
      <c r="DI165">
        <v>11832</v>
      </c>
      <c r="DJ165">
        <v>11837</v>
      </c>
      <c r="DK165">
        <v>11894</v>
      </c>
      <c r="DO165">
        <v>370</v>
      </c>
      <c r="DP165" t="s">
        <v>38</v>
      </c>
      <c r="DQ165">
        <v>3958</v>
      </c>
      <c r="DR165">
        <v>1.24</v>
      </c>
      <c r="DS165">
        <v>610</v>
      </c>
      <c r="DV165">
        <v>353</v>
      </c>
      <c r="DW165" t="s">
        <v>162</v>
      </c>
      <c r="DX165">
        <v>3577.1260374173598</v>
      </c>
      <c r="DY165">
        <v>756</v>
      </c>
      <c r="DZ165">
        <v>561</v>
      </c>
      <c r="EA165">
        <v>344</v>
      </c>
      <c r="EB165">
        <v>2147</v>
      </c>
      <c r="EC165">
        <v>1181</v>
      </c>
      <c r="ED165">
        <v>468</v>
      </c>
      <c r="EE165" s="82">
        <v>0.14848055275197</v>
      </c>
      <c r="EF165" s="82">
        <v>0.36295171754800198</v>
      </c>
    </row>
    <row r="166" spans="1:136" x14ac:dyDescent="0.35">
      <c r="A166" s="72">
        <v>394</v>
      </c>
      <c r="B166" s="72">
        <v>7</v>
      </c>
      <c r="D166" s="72" t="s">
        <v>127</v>
      </c>
      <c r="E166" s="79">
        <v>15109600000</v>
      </c>
      <c r="F166" s="79">
        <v>7078050000</v>
      </c>
      <c r="G166" s="79">
        <v>7144200000</v>
      </c>
      <c r="H166" s="79">
        <v>154235</v>
      </c>
      <c r="I166" s="79">
        <v>10</v>
      </c>
      <c r="J166" s="79">
        <v>7144.2</v>
      </c>
      <c r="K166" s="79">
        <v>33077</v>
      </c>
      <c r="L166" s="79">
        <v>25742</v>
      </c>
      <c r="M166" s="79">
        <v>7693</v>
      </c>
      <c r="N166" s="79">
        <v>14742</v>
      </c>
      <c r="O166" s="79">
        <v>8331.7000000000007</v>
      </c>
      <c r="P166" s="79">
        <v>2028.6666666666699</v>
      </c>
      <c r="Q166" s="79">
        <v>8124.6666666666697</v>
      </c>
      <c r="R166" s="79">
        <v>13590</v>
      </c>
      <c r="S166" s="79">
        <v>0</v>
      </c>
      <c r="T166" s="79">
        <v>5424</v>
      </c>
      <c r="U166" s="79">
        <v>66068</v>
      </c>
      <c r="V166" s="79">
        <v>137800</v>
      </c>
      <c r="W166" s="79">
        <v>76800</v>
      </c>
      <c r="X166" s="79">
        <v>2144.7199999999998</v>
      </c>
      <c r="Y166" s="79">
        <v>6435.2</v>
      </c>
      <c r="Z166" s="79">
        <v>0</v>
      </c>
      <c r="AA166" s="79">
        <v>0</v>
      </c>
      <c r="AB166" s="79">
        <v>1569.4</v>
      </c>
      <c r="AC166" s="79">
        <v>19742</v>
      </c>
      <c r="AD166" s="79">
        <v>22703.3</v>
      </c>
      <c r="AE166" s="79">
        <v>889</v>
      </c>
      <c r="AF166" s="79">
        <v>0</v>
      </c>
      <c r="AG166" s="79">
        <v>1047</v>
      </c>
      <c r="AH166" s="79">
        <v>910.86</v>
      </c>
      <c r="AI166" s="79">
        <v>285.2</v>
      </c>
      <c r="AJ166" s="79">
        <v>64103</v>
      </c>
      <c r="AK166" s="79">
        <v>73077.42</v>
      </c>
      <c r="AL166" s="79">
        <v>0</v>
      </c>
      <c r="AM166" s="79">
        <v>0</v>
      </c>
      <c r="AN166" s="79">
        <v>0</v>
      </c>
      <c r="AO166" s="79">
        <v>0</v>
      </c>
      <c r="AP166" s="79">
        <v>4976</v>
      </c>
      <c r="AQ166" s="79">
        <v>0</v>
      </c>
      <c r="AR166" s="80">
        <v>7.0674099999999999E-4</v>
      </c>
      <c r="AS166" s="80">
        <v>7.8339100000000004E-4</v>
      </c>
      <c r="AT166" s="79">
        <v>97692.971999999994</v>
      </c>
      <c r="AU166" s="79">
        <v>0</v>
      </c>
      <c r="AV166" s="79">
        <v>12461.4</v>
      </c>
      <c r="AW166" s="79">
        <v>104422.425306577</v>
      </c>
      <c r="AX166" s="79">
        <v>30</v>
      </c>
      <c r="AY166" s="79">
        <v>34.5</v>
      </c>
      <c r="AZ166" s="79">
        <v>19570</v>
      </c>
      <c r="BA166" s="79">
        <v>1</v>
      </c>
      <c r="BB166" s="79">
        <v>0</v>
      </c>
      <c r="BC166" s="79">
        <v>0</v>
      </c>
      <c r="BD166" s="79">
        <v>0</v>
      </c>
      <c r="BE166" s="79">
        <v>0</v>
      </c>
      <c r="BF166" s="79">
        <v>0</v>
      </c>
      <c r="BG166" s="79">
        <v>0</v>
      </c>
      <c r="BH166" s="79">
        <v>0</v>
      </c>
      <c r="BI166" s="79">
        <v>0</v>
      </c>
      <c r="BJ166" s="79">
        <v>0</v>
      </c>
      <c r="BK166" s="79">
        <v>51</v>
      </c>
      <c r="BL166" s="79">
        <v>19813</v>
      </c>
      <c r="BM166" s="79">
        <v>799</v>
      </c>
      <c r="BN166" s="79">
        <v>248</v>
      </c>
      <c r="BO166">
        <v>35556</v>
      </c>
      <c r="BP166">
        <v>5886</v>
      </c>
      <c r="BQ166">
        <v>35535</v>
      </c>
      <c r="BR166">
        <v>5959</v>
      </c>
      <c r="BS166">
        <v>35410</v>
      </c>
      <c r="BT166">
        <v>6314</v>
      </c>
      <c r="BU166">
        <v>35342</v>
      </c>
      <c r="BV166">
        <v>6558</v>
      </c>
      <c r="BW166">
        <v>34922</v>
      </c>
      <c r="BX166">
        <v>6779</v>
      </c>
      <c r="BY166">
        <v>34445</v>
      </c>
      <c r="BZ166">
        <v>7109</v>
      </c>
      <c r="CB166">
        <v>2679.2370000000001</v>
      </c>
      <c r="CC166">
        <v>458</v>
      </c>
      <c r="CD166">
        <v>389</v>
      </c>
      <c r="CE166">
        <v>50553.36</v>
      </c>
      <c r="CF166">
        <v>14631.52</v>
      </c>
      <c r="CG166">
        <v>929.39903894633505</v>
      </c>
      <c r="CH166">
        <v>2094</v>
      </c>
      <c r="CI166">
        <v>702</v>
      </c>
      <c r="CJ166">
        <v>594</v>
      </c>
      <c r="CK166" s="81">
        <v>6096</v>
      </c>
      <c r="CL166">
        <v>1357</v>
      </c>
      <c r="CM166">
        <v>18091.990744590101</v>
      </c>
      <c r="CN166">
        <v>1.75</v>
      </c>
      <c r="CO166">
        <v>128493</v>
      </c>
      <c r="CP166">
        <v>15618</v>
      </c>
      <c r="CQ166">
        <v>2431</v>
      </c>
      <c r="CR166">
        <v>3296</v>
      </c>
      <c r="CS166">
        <v>2545</v>
      </c>
      <c r="CT166">
        <v>1326</v>
      </c>
      <c r="CU166">
        <v>1277.51087000608</v>
      </c>
      <c r="CV166">
        <v>708.22634354086404</v>
      </c>
      <c r="CW166">
        <v>239.93133238694</v>
      </c>
      <c r="CX166">
        <v>3471.6028000000001</v>
      </c>
      <c r="CY166">
        <v>1924.5868</v>
      </c>
      <c r="CZ166">
        <v>652.00720000000001</v>
      </c>
      <c r="DA166">
        <v>233734</v>
      </c>
      <c r="DE166">
        <v>498</v>
      </c>
      <c r="DF166" t="s">
        <v>91</v>
      </c>
      <c r="DG166">
        <v>4487</v>
      </c>
      <c r="DH166">
        <v>4475</v>
      </c>
      <c r="DI166">
        <v>4436</v>
      </c>
      <c r="DJ166">
        <v>4330</v>
      </c>
      <c r="DK166">
        <v>4259</v>
      </c>
      <c r="DO166">
        <v>373</v>
      </c>
      <c r="DP166" t="s">
        <v>43</v>
      </c>
      <c r="DQ166">
        <v>18326</v>
      </c>
      <c r="DR166">
        <v>1.02</v>
      </c>
      <c r="DS166">
        <v>814</v>
      </c>
      <c r="DV166">
        <v>1884</v>
      </c>
      <c r="DW166" t="s">
        <v>163</v>
      </c>
      <c r="DX166">
        <v>2739.8355571583102</v>
      </c>
      <c r="DY166">
        <v>537</v>
      </c>
      <c r="DZ166">
        <v>504</v>
      </c>
      <c r="EA166">
        <v>246</v>
      </c>
      <c r="EB166">
        <v>1954</v>
      </c>
      <c r="EC166">
        <v>1129</v>
      </c>
      <c r="ED166">
        <v>381</v>
      </c>
      <c r="EE166" s="82">
        <v>0.135179017781829</v>
      </c>
      <c r="EF166" s="82">
        <v>0.35643063385123003</v>
      </c>
    </row>
    <row r="167" spans="1:136" x14ac:dyDescent="0.35">
      <c r="A167" s="72">
        <v>396</v>
      </c>
      <c r="B167" s="72">
        <v>7</v>
      </c>
      <c r="D167" s="72" t="s">
        <v>134</v>
      </c>
      <c r="E167" s="79">
        <v>3597200000</v>
      </c>
      <c r="F167" s="79">
        <v>320600000</v>
      </c>
      <c r="G167" s="79">
        <v>340550000</v>
      </c>
      <c r="H167" s="79">
        <v>39164</v>
      </c>
      <c r="I167" s="79">
        <v>1</v>
      </c>
      <c r="J167" s="79">
        <v>340.55</v>
      </c>
      <c r="K167" s="79">
        <v>7286</v>
      </c>
      <c r="L167" s="79">
        <v>8591</v>
      </c>
      <c r="M167" s="79">
        <v>2961</v>
      </c>
      <c r="N167" s="79">
        <v>5024</v>
      </c>
      <c r="O167" s="79">
        <v>3262.8</v>
      </c>
      <c r="P167" s="79">
        <v>818.66666666666697</v>
      </c>
      <c r="Q167" s="79">
        <v>2894.6666666666702</v>
      </c>
      <c r="R167" s="79">
        <v>2305</v>
      </c>
      <c r="S167" s="79">
        <v>0</v>
      </c>
      <c r="T167" s="79">
        <v>1420</v>
      </c>
      <c r="U167" s="79">
        <v>17845</v>
      </c>
      <c r="V167" s="79">
        <v>40680</v>
      </c>
      <c r="W167" s="79">
        <v>22200</v>
      </c>
      <c r="X167" s="79">
        <v>2509</v>
      </c>
      <c r="Y167" s="79">
        <v>1226.4000000000001</v>
      </c>
      <c r="Z167" s="79">
        <v>0</v>
      </c>
      <c r="AA167" s="79">
        <v>0</v>
      </c>
      <c r="AB167" s="79">
        <v>0</v>
      </c>
      <c r="AC167" s="79">
        <v>2727</v>
      </c>
      <c r="AD167" s="79">
        <v>2781.54</v>
      </c>
      <c r="AE167" s="79">
        <v>44</v>
      </c>
      <c r="AF167" s="79">
        <v>397</v>
      </c>
      <c r="AG167" s="79">
        <v>164</v>
      </c>
      <c r="AH167" s="79">
        <v>153.52000000000001</v>
      </c>
      <c r="AI167" s="79">
        <v>12.36</v>
      </c>
      <c r="AJ167" s="79">
        <v>17612</v>
      </c>
      <c r="AK167" s="79">
        <v>17788.12</v>
      </c>
      <c r="AL167" s="79">
        <v>0</v>
      </c>
      <c r="AM167" s="79">
        <v>0</v>
      </c>
      <c r="AN167" s="79">
        <v>0</v>
      </c>
      <c r="AO167" s="79">
        <v>0</v>
      </c>
      <c r="AP167" s="79">
        <v>780</v>
      </c>
      <c r="AQ167" s="79">
        <v>0</v>
      </c>
      <c r="AR167" s="80">
        <v>8.8505999999999996E-5</v>
      </c>
      <c r="AS167" s="80">
        <v>1.0293310000000001E-3</v>
      </c>
      <c r="AT167" s="79">
        <v>41000.735999999997</v>
      </c>
      <c r="AU167" s="79">
        <v>0</v>
      </c>
      <c r="AV167" s="79">
        <v>1139.3399999999999</v>
      </c>
      <c r="AW167" s="79">
        <v>20773.738895705501</v>
      </c>
      <c r="AX167" s="79">
        <v>3</v>
      </c>
      <c r="AY167" s="79">
        <v>3.09</v>
      </c>
      <c r="AZ167" s="79">
        <v>3258</v>
      </c>
      <c r="BA167" s="79">
        <v>1</v>
      </c>
      <c r="BB167" s="79">
        <v>0</v>
      </c>
      <c r="BC167" s="79">
        <v>0</v>
      </c>
      <c r="BD167" s="79">
        <v>0</v>
      </c>
      <c r="BE167" s="79">
        <v>0</v>
      </c>
      <c r="BF167" s="79">
        <v>0</v>
      </c>
      <c r="BG167" s="79">
        <v>0</v>
      </c>
      <c r="BH167" s="79">
        <v>0</v>
      </c>
      <c r="BI167" s="79">
        <v>0</v>
      </c>
      <c r="BJ167" s="79">
        <v>0</v>
      </c>
      <c r="BK167" s="79">
        <v>13</v>
      </c>
      <c r="BL167" s="79">
        <v>5753</v>
      </c>
      <c r="BM167" s="79">
        <v>152</v>
      </c>
      <c r="BN167" s="79">
        <v>12</v>
      </c>
      <c r="BO167">
        <v>8272</v>
      </c>
      <c r="BP167">
        <v>1581</v>
      </c>
      <c r="BQ167">
        <v>8184</v>
      </c>
      <c r="BR167">
        <v>1584</v>
      </c>
      <c r="BS167">
        <v>8032</v>
      </c>
      <c r="BT167">
        <v>1648</v>
      </c>
      <c r="BU167">
        <v>7953</v>
      </c>
      <c r="BV167">
        <v>1775</v>
      </c>
      <c r="BW167">
        <v>7814</v>
      </c>
      <c r="BX167">
        <v>1857</v>
      </c>
      <c r="BY167">
        <v>7669</v>
      </c>
      <c r="BZ167">
        <v>1916</v>
      </c>
      <c r="CB167">
        <v>939.89400000000001</v>
      </c>
      <c r="CC167">
        <v>138</v>
      </c>
      <c r="CD167">
        <v>174</v>
      </c>
      <c r="CE167">
        <v>11924.58</v>
      </c>
      <c r="CF167">
        <v>2862.91</v>
      </c>
      <c r="CG167">
        <v>203.15158160476</v>
      </c>
      <c r="CH167">
        <v>579</v>
      </c>
      <c r="CI167">
        <v>279.66666666666703</v>
      </c>
      <c r="CJ167">
        <v>249.666666666667</v>
      </c>
      <c r="CK167" s="81">
        <v>2076</v>
      </c>
      <c r="CL167">
        <v>542</v>
      </c>
      <c r="CM167">
        <v>5750.2984727346802</v>
      </c>
      <c r="CN167">
        <v>1.827</v>
      </c>
      <c r="CO167">
        <v>30573</v>
      </c>
      <c r="CP167">
        <v>4520</v>
      </c>
      <c r="CQ167">
        <v>1110</v>
      </c>
      <c r="CR167">
        <v>1037</v>
      </c>
      <c r="CS167">
        <v>962</v>
      </c>
      <c r="CT167">
        <v>589</v>
      </c>
      <c r="CU167">
        <v>524.65646150351995</v>
      </c>
      <c r="CV167">
        <v>376.81894163070598</v>
      </c>
      <c r="CW167">
        <v>154.13636157165601</v>
      </c>
      <c r="CX167">
        <v>1228.2384</v>
      </c>
      <c r="CY167">
        <v>882.14580000000001</v>
      </c>
      <c r="CZ167">
        <v>360.83839999999998</v>
      </c>
      <c r="DA167">
        <v>115636</v>
      </c>
      <c r="DE167">
        <v>501</v>
      </c>
      <c r="DF167" t="s">
        <v>61</v>
      </c>
      <c r="DG167">
        <v>3223</v>
      </c>
      <c r="DH167">
        <v>3197</v>
      </c>
      <c r="DI167">
        <v>3174</v>
      </c>
      <c r="DJ167">
        <v>3143</v>
      </c>
      <c r="DK167">
        <v>3132</v>
      </c>
      <c r="DO167">
        <v>375</v>
      </c>
      <c r="DP167" t="s">
        <v>49</v>
      </c>
      <c r="DQ167">
        <v>19252</v>
      </c>
      <c r="DR167">
        <v>1.02</v>
      </c>
      <c r="DS167">
        <v>2722</v>
      </c>
      <c r="DV167">
        <v>166</v>
      </c>
      <c r="DW167" t="s">
        <v>164</v>
      </c>
      <c r="DX167">
        <v>6656.7615344981004</v>
      </c>
      <c r="DY167">
        <v>984</v>
      </c>
      <c r="DZ167">
        <v>929</v>
      </c>
      <c r="EA167">
        <v>472</v>
      </c>
      <c r="EB167">
        <v>3104</v>
      </c>
      <c r="EC167">
        <v>1934</v>
      </c>
      <c r="ED167">
        <v>685</v>
      </c>
      <c r="EE167" s="82">
        <v>0.202635094312516</v>
      </c>
      <c r="EF167" s="82">
        <v>0.53927286471392499</v>
      </c>
    </row>
    <row r="168" spans="1:136" x14ac:dyDescent="0.35">
      <c r="A168" s="72">
        <v>397</v>
      </c>
      <c r="B168" s="72">
        <v>7</v>
      </c>
      <c r="D168" s="72" t="s">
        <v>135</v>
      </c>
      <c r="E168" s="79">
        <v>4795200000</v>
      </c>
      <c r="F168" s="79">
        <v>243250000</v>
      </c>
      <c r="G168" s="79">
        <v>277550000</v>
      </c>
      <c r="H168" s="79">
        <v>27286</v>
      </c>
      <c r="I168" s="79">
        <v>1</v>
      </c>
      <c r="J168" s="79">
        <v>277.55</v>
      </c>
      <c r="K168" s="79">
        <v>5847</v>
      </c>
      <c r="L168" s="79">
        <v>7272</v>
      </c>
      <c r="M168" s="79">
        <v>2480</v>
      </c>
      <c r="N168" s="79">
        <v>2967</v>
      </c>
      <c r="O168" s="79">
        <v>1681</v>
      </c>
      <c r="P168" s="79">
        <v>254</v>
      </c>
      <c r="Q168" s="79">
        <v>1314</v>
      </c>
      <c r="R168" s="79">
        <v>830</v>
      </c>
      <c r="S168" s="79">
        <v>0</v>
      </c>
      <c r="T168" s="79">
        <v>778</v>
      </c>
      <c r="U168" s="79">
        <v>12662</v>
      </c>
      <c r="V168" s="79">
        <v>22650</v>
      </c>
      <c r="W168" s="79">
        <v>5970</v>
      </c>
      <c r="X168" s="79">
        <v>0</v>
      </c>
      <c r="Y168" s="79">
        <v>1348</v>
      </c>
      <c r="Z168" s="79">
        <v>0</v>
      </c>
      <c r="AA168" s="79">
        <v>0</v>
      </c>
      <c r="AB168" s="79">
        <v>0</v>
      </c>
      <c r="AC168" s="79">
        <v>918</v>
      </c>
      <c r="AD168" s="79">
        <v>918</v>
      </c>
      <c r="AE168" s="79">
        <v>47</v>
      </c>
      <c r="AF168" s="79">
        <v>0</v>
      </c>
      <c r="AG168" s="79">
        <v>120</v>
      </c>
      <c r="AH168" s="79">
        <v>114</v>
      </c>
      <c r="AI168" s="79">
        <v>6</v>
      </c>
      <c r="AJ168" s="79">
        <v>12860</v>
      </c>
      <c r="AK168" s="79">
        <v>12860</v>
      </c>
      <c r="AL168" s="79">
        <v>0</v>
      </c>
      <c r="AM168" s="79">
        <v>0</v>
      </c>
      <c r="AN168" s="79">
        <v>0</v>
      </c>
      <c r="AO168" s="79">
        <v>0</v>
      </c>
      <c r="AP168" s="79">
        <v>3226</v>
      </c>
      <c r="AQ168" s="79">
        <v>0</v>
      </c>
      <c r="AR168" s="80">
        <v>7.3676799999999995E-4</v>
      </c>
      <c r="AS168" s="80">
        <v>3.1776200000000002E-4</v>
      </c>
      <c r="AT168" s="79">
        <v>22633.599999999999</v>
      </c>
      <c r="AU168" s="79">
        <v>0</v>
      </c>
      <c r="AV168" s="79">
        <v>712</v>
      </c>
      <c r="AW168" s="79">
        <v>20132.2611398964</v>
      </c>
      <c r="AX168" s="79">
        <v>1</v>
      </c>
      <c r="AY168" s="79">
        <v>1</v>
      </c>
      <c r="AZ168" s="79">
        <v>3813</v>
      </c>
      <c r="BA168" s="79">
        <v>1</v>
      </c>
      <c r="BB168" s="79">
        <v>0</v>
      </c>
      <c r="BC168" s="79">
        <v>0</v>
      </c>
      <c r="BD168" s="79">
        <v>0</v>
      </c>
      <c r="BE168" s="79">
        <v>0</v>
      </c>
      <c r="BF168" s="79">
        <v>0</v>
      </c>
      <c r="BG168" s="79">
        <v>0</v>
      </c>
      <c r="BH168" s="79">
        <v>0</v>
      </c>
      <c r="BI168" s="79">
        <v>0</v>
      </c>
      <c r="BJ168" s="79">
        <v>0</v>
      </c>
      <c r="BK168" s="79">
        <v>6</v>
      </c>
      <c r="BL168" s="79">
        <v>4362</v>
      </c>
      <c r="BM168" s="79">
        <v>114</v>
      </c>
      <c r="BN168" s="79">
        <v>6</v>
      </c>
      <c r="BO168">
        <v>5557</v>
      </c>
      <c r="BP168">
        <v>1769</v>
      </c>
      <c r="BQ168">
        <v>5713</v>
      </c>
      <c r="BR168">
        <v>1730</v>
      </c>
      <c r="BS168">
        <v>5706</v>
      </c>
      <c r="BT168">
        <v>1779</v>
      </c>
      <c r="BU168">
        <v>5714</v>
      </c>
      <c r="BV168">
        <v>1814</v>
      </c>
      <c r="BW168">
        <v>5689</v>
      </c>
      <c r="BX168">
        <v>1802</v>
      </c>
      <c r="BY168">
        <v>5672</v>
      </c>
      <c r="BZ168">
        <v>1738</v>
      </c>
      <c r="CB168">
        <v>339.12599999999998</v>
      </c>
      <c r="CC168">
        <v>12</v>
      </c>
      <c r="CD168">
        <v>17</v>
      </c>
      <c r="CE168">
        <v>11660.37</v>
      </c>
      <c r="CF168">
        <v>3005.06</v>
      </c>
      <c r="CG168">
        <v>104.572501100514</v>
      </c>
      <c r="CH168">
        <v>269</v>
      </c>
      <c r="CI168">
        <v>58</v>
      </c>
      <c r="CJ168">
        <v>48</v>
      </c>
      <c r="CK168" s="81">
        <v>1060</v>
      </c>
      <c r="CL168">
        <v>381</v>
      </c>
      <c r="CM168">
        <v>3804.5854770978099</v>
      </c>
      <c r="CN168">
        <v>0.12</v>
      </c>
      <c r="CO168">
        <v>20014</v>
      </c>
      <c r="CP168">
        <v>3622</v>
      </c>
      <c r="CQ168">
        <v>1170</v>
      </c>
      <c r="CR168">
        <v>944</v>
      </c>
      <c r="CS168">
        <v>950</v>
      </c>
      <c r="CT168">
        <v>626</v>
      </c>
      <c r="CU168">
        <v>300.64541213063802</v>
      </c>
      <c r="CV168">
        <v>232.411975116641</v>
      </c>
      <c r="CW168">
        <v>111.369517884914</v>
      </c>
      <c r="CX168">
        <v>388.47</v>
      </c>
      <c r="CY168">
        <v>300.30419999999998</v>
      </c>
      <c r="CZ168">
        <v>143.90280000000001</v>
      </c>
      <c r="DA168">
        <v>196178</v>
      </c>
      <c r="DE168">
        <v>502</v>
      </c>
      <c r="DF168" t="s">
        <v>68</v>
      </c>
      <c r="DG168">
        <v>13758</v>
      </c>
      <c r="DH168">
        <v>13653</v>
      </c>
      <c r="DI168">
        <v>13753</v>
      </c>
      <c r="DJ168">
        <v>13621</v>
      </c>
      <c r="DK168">
        <v>13443</v>
      </c>
      <c r="DO168">
        <v>376</v>
      </c>
      <c r="DP168" t="s">
        <v>51</v>
      </c>
      <c r="DQ168">
        <v>4876</v>
      </c>
      <c r="DR168">
        <v>1</v>
      </c>
      <c r="DS168">
        <v>1036</v>
      </c>
      <c r="DV168">
        <v>678</v>
      </c>
      <c r="DW168" t="s">
        <v>165</v>
      </c>
      <c r="DX168">
        <v>1227.5974378881999</v>
      </c>
      <c r="DY168">
        <v>220</v>
      </c>
      <c r="DZ168">
        <v>232</v>
      </c>
      <c r="EA168">
        <v>175</v>
      </c>
      <c r="EB168">
        <v>866</v>
      </c>
      <c r="EC168">
        <v>525</v>
      </c>
      <c r="ED168">
        <v>241</v>
      </c>
      <c r="EE168" s="82">
        <v>0.12130835368454999</v>
      </c>
      <c r="EF168" s="82">
        <v>0.41136582378160802</v>
      </c>
    </row>
    <row r="169" spans="1:136" x14ac:dyDescent="0.35">
      <c r="A169" s="72">
        <v>398</v>
      </c>
      <c r="B169" s="72">
        <v>7</v>
      </c>
      <c r="D169" s="72" t="s">
        <v>138</v>
      </c>
      <c r="E169" s="79">
        <v>4344000000</v>
      </c>
      <c r="F169" s="79">
        <v>763000000</v>
      </c>
      <c r="G169" s="79">
        <v>791350000</v>
      </c>
      <c r="H169" s="79">
        <v>56742</v>
      </c>
      <c r="I169" s="79">
        <v>2</v>
      </c>
      <c r="J169" s="79">
        <v>791.35</v>
      </c>
      <c r="K169" s="79">
        <v>12693</v>
      </c>
      <c r="L169" s="79">
        <v>9932</v>
      </c>
      <c r="M169" s="79">
        <v>3038</v>
      </c>
      <c r="N169" s="79">
        <v>6176</v>
      </c>
      <c r="O169" s="79">
        <v>3815.6</v>
      </c>
      <c r="P169" s="79">
        <v>791.33333333333303</v>
      </c>
      <c r="Q169" s="79">
        <v>4417.3333333333303</v>
      </c>
      <c r="R169" s="79">
        <v>4215</v>
      </c>
      <c r="S169" s="79">
        <v>0</v>
      </c>
      <c r="T169" s="79">
        <v>1929</v>
      </c>
      <c r="U169" s="79">
        <v>24725</v>
      </c>
      <c r="V169" s="79">
        <v>64450</v>
      </c>
      <c r="W169" s="79">
        <v>55500</v>
      </c>
      <c r="X169" s="79">
        <v>1558.38</v>
      </c>
      <c r="Y169" s="79">
        <v>3452.8</v>
      </c>
      <c r="Z169" s="79">
        <v>0</v>
      </c>
      <c r="AA169" s="79">
        <v>0</v>
      </c>
      <c r="AB169" s="79">
        <v>459.4</v>
      </c>
      <c r="AC169" s="79">
        <v>3811</v>
      </c>
      <c r="AD169" s="79">
        <v>3887.22</v>
      </c>
      <c r="AE169" s="79">
        <v>189</v>
      </c>
      <c r="AF169" s="79">
        <v>0</v>
      </c>
      <c r="AG169" s="79">
        <v>303</v>
      </c>
      <c r="AH169" s="79">
        <v>260</v>
      </c>
      <c r="AI169" s="79">
        <v>43.68</v>
      </c>
      <c r="AJ169" s="79">
        <v>23604</v>
      </c>
      <c r="AK169" s="79">
        <v>23604</v>
      </c>
      <c r="AL169" s="79">
        <v>0</v>
      </c>
      <c r="AM169" s="79">
        <v>0</v>
      </c>
      <c r="AN169" s="79">
        <v>0</v>
      </c>
      <c r="AO169" s="79">
        <v>0</v>
      </c>
      <c r="AP169" s="79">
        <v>0</v>
      </c>
      <c r="AQ169" s="79">
        <v>0</v>
      </c>
      <c r="AR169" s="80">
        <v>1.43218E-4</v>
      </c>
      <c r="AS169" s="80">
        <v>1.9029100000000001E-4</v>
      </c>
      <c r="AT169" s="79">
        <v>39701.928</v>
      </c>
      <c r="AU169" s="79">
        <v>0</v>
      </c>
      <c r="AV169" s="79">
        <v>2478.6</v>
      </c>
      <c r="AW169" s="79">
        <v>35160.1803</v>
      </c>
      <c r="AX169" s="79">
        <v>4</v>
      </c>
      <c r="AY169" s="79">
        <v>4.16</v>
      </c>
      <c r="AZ169" s="79">
        <v>5333</v>
      </c>
      <c r="BA169" s="79">
        <v>1</v>
      </c>
      <c r="BB169" s="79">
        <v>0</v>
      </c>
      <c r="BC169" s="79">
        <v>0</v>
      </c>
      <c r="BD169" s="79">
        <v>0</v>
      </c>
      <c r="BE169" s="79">
        <v>0</v>
      </c>
      <c r="BF169" s="79">
        <v>0</v>
      </c>
      <c r="BG169" s="79">
        <v>0</v>
      </c>
      <c r="BH169" s="79">
        <v>0</v>
      </c>
      <c r="BI169" s="79">
        <v>0</v>
      </c>
      <c r="BJ169" s="79">
        <v>0</v>
      </c>
      <c r="BK169" s="79">
        <v>84</v>
      </c>
      <c r="BL169" s="79">
        <v>7042</v>
      </c>
      <c r="BM169" s="79">
        <v>260</v>
      </c>
      <c r="BN169" s="79">
        <v>42</v>
      </c>
      <c r="BO169">
        <v>12145</v>
      </c>
      <c r="BP169">
        <v>3506</v>
      </c>
      <c r="BQ169">
        <v>12156</v>
      </c>
      <c r="BR169">
        <v>3674</v>
      </c>
      <c r="BS169">
        <v>12378</v>
      </c>
      <c r="BT169">
        <v>3787</v>
      </c>
      <c r="BU169">
        <v>12498</v>
      </c>
      <c r="BV169">
        <v>3959</v>
      </c>
      <c r="BW169">
        <v>12561</v>
      </c>
      <c r="BX169">
        <v>4234</v>
      </c>
      <c r="BY169">
        <v>12557</v>
      </c>
      <c r="BZ169">
        <v>4450</v>
      </c>
      <c r="CB169">
        <v>1294.6859999999999</v>
      </c>
      <c r="CC169">
        <v>168</v>
      </c>
      <c r="CD169">
        <v>132</v>
      </c>
      <c r="CE169">
        <v>15200.9</v>
      </c>
      <c r="CF169">
        <v>4144.2</v>
      </c>
      <c r="CG169">
        <v>515.04944547257105</v>
      </c>
      <c r="CH169">
        <v>753</v>
      </c>
      <c r="CI169">
        <v>271.66666666666703</v>
      </c>
      <c r="CJ169">
        <v>237.333333333333</v>
      </c>
      <c r="CK169" s="81">
        <v>3626</v>
      </c>
      <c r="CL169">
        <v>1203</v>
      </c>
      <c r="CM169">
        <v>7217.8408203682802</v>
      </c>
      <c r="CN169">
        <v>1.135</v>
      </c>
      <c r="CO169">
        <v>46810</v>
      </c>
      <c r="CP169">
        <v>6166</v>
      </c>
      <c r="CQ169">
        <v>728</v>
      </c>
      <c r="CR169">
        <v>1185</v>
      </c>
      <c r="CS169">
        <v>969</v>
      </c>
      <c r="CT169">
        <v>332</v>
      </c>
      <c r="CU169">
        <v>600.69350957464803</v>
      </c>
      <c r="CV169">
        <v>344.962311472632</v>
      </c>
      <c r="CW169">
        <v>79.370428740891398</v>
      </c>
      <c r="CX169">
        <v>1743.5472</v>
      </c>
      <c r="CY169">
        <v>1001.2728</v>
      </c>
      <c r="CZ169">
        <v>230.37719999999999</v>
      </c>
      <c r="DA169">
        <v>193115</v>
      </c>
      <c r="DE169">
        <v>503</v>
      </c>
      <c r="DF169" t="s">
        <v>80</v>
      </c>
      <c r="DG169">
        <v>16011</v>
      </c>
      <c r="DH169">
        <v>15741</v>
      </c>
      <c r="DI169">
        <v>15631</v>
      </c>
      <c r="DJ169">
        <v>15623</v>
      </c>
      <c r="DK169">
        <v>15349</v>
      </c>
      <c r="DO169">
        <v>377</v>
      </c>
      <c r="DP169" t="s">
        <v>52</v>
      </c>
      <c r="DQ169">
        <v>10253</v>
      </c>
      <c r="DR169">
        <v>1</v>
      </c>
      <c r="DS169">
        <v>1067</v>
      </c>
      <c r="DV169">
        <v>537</v>
      </c>
      <c r="DW169" t="s">
        <v>166</v>
      </c>
      <c r="DX169">
        <v>7239.2931282290301</v>
      </c>
      <c r="DY169">
        <v>1388</v>
      </c>
      <c r="DZ169">
        <v>1251</v>
      </c>
      <c r="EA169">
        <v>565</v>
      </c>
      <c r="EB169">
        <v>4141</v>
      </c>
      <c r="EC169">
        <v>2479</v>
      </c>
      <c r="ED169">
        <v>817</v>
      </c>
      <c r="EE169" s="82">
        <v>0.17325305281504699</v>
      </c>
      <c r="EF169" s="82">
        <v>0.44140850577478302</v>
      </c>
    </row>
    <row r="170" spans="1:136" x14ac:dyDescent="0.35">
      <c r="A170" s="72">
        <v>399</v>
      </c>
      <c r="B170" s="72">
        <v>7</v>
      </c>
      <c r="D170" s="72" t="s">
        <v>141</v>
      </c>
      <c r="E170" s="79">
        <v>2846800000</v>
      </c>
      <c r="F170" s="79">
        <v>228200000</v>
      </c>
      <c r="G170" s="79">
        <v>244650000</v>
      </c>
      <c r="H170" s="79">
        <v>23464</v>
      </c>
      <c r="I170" s="79">
        <v>1</v>
      </c>
      <c r="J170" s="79">
        <v>244.65</v>
      </c>
      <c r="K170" s="79">
        <v>4500</v>
      </c>
      <c r="L170" s="79">
        <v>6219</v>
      </c>
      <c r="M170" s="79">
        <v>2181</v>
      </c>
      <c r="N170" s="79">
        <v>2506</v>
      </c>
      <c r="O170" s="79">
        <v>1445.6</v>
      </c>
      <c r="P170" s="79">
        <v>228.333333333333</v>
      </c>
      <c r="Q170" s="79">
        <v>1264.3333333333301</v>
      </c>
      <c r="R170" s="79">
        <v>445</v>
      </c>
      <c r="S170" s="79">
        <v>0</v>
      </c>
      <c r="T170" s="79">
        <v>616</v>
      </c>
      <c r="U170" s="79">
        <v>10827</v>
      </c>
      <c r="V170" s="79">
        <v>22530</v>
      </c>
      <c r="W170" s="79">
        <v>8410</v>
      </c>
      <c r="X170" s="79">
        <v>0</v>
      </c>
      <c r="Y170" s="79">
        <v>274.39999999999998</v>
      </c>
      <c r="Z170" s="79">
        <v>0</v>
      </c>
      <c r="AA170" s="79">
        <v>0</v>
      </c>
      <c r="AB170" s="79">
        <v>10.8</v>
      </c>
      <c r="AC170" s="79">
        <v>1870</v>
      </c>
      <c r="AD170" s="79">
        <v>1870</v>
      </c>
      <c r="AE170" s="79">
        <v>31</v>
      </c>
      <c r="AF170" s="79">
        <v>0</v>
      </c>
      <c r="AG170" s="79">
        <v>120</v>
      </c>
      <c r="AH170" s="79">
        <v>112</v>
      </c>
      <c r="AI170" s="79">
        <v>8</v>
      </c>
      <c r="AJ170" s="79">
        <v>10604</v>
      </c>
      <c r="AK170" s="79">
        <v>10604</v>
      </c>
      <c r="AL170" s="79">
        <v>0</v>
      </c>
      <c r="AM170" s="79">
        <v>0</v>
      </c>
      <c r="AN170" s="79">
        <v>0</v>
      </c>
      <c r="AO170" s="79">
        <v>0</v>
      </c>
      <c r="AP170" s="79">
        <v>929</v>
      </c>
      <c r="AQ170" s="79">
        <v>0</v>
      </c>
      <c r="AR170" s="80">
        <v>2.29972E-4</v>
      </c>
      <c r="AS170" s="80">
        <v>1.4641099999999999E-4</v>
      </c>
      <c r="AT170" s="79">
        <v>13912.448</v>
      </c>
      <c r="AU170" s="79">
        <v>0</v>
      </c>
      <c r="AV170" s="79">
        <v>912</v>
      </c>
      <c r="AW170" s="79">
        <v>11256.7953708574</v>
      </c>
      <c r="AX170" s="79">
        <v>3</v>
      </c>
      <c r="AY170" s="79">
        <v>3</v>
      </c>
      <c r="AZ170" s="79">
        <v>2647</v>
      </c>
      <c r="BA170" s="79">
        <v>1</v>
      </c>
      <c r="BB170" s="79">
        <v>0</v>
      </c>
      <c r="BC170" s="79">
        <v>0</v>
      </c>
      <c r="BD170" s="79">
        <v>0</v>
      </c>
      <c r="BE170" s="79">
        <v>0</v>
      </c>
      <c r="BF170" s="79">
        <v>0</v>
      </c>
      <c r="BG170" s="79">
        <v>0</v>
      </c>
      <c r="BH170" s="79">
        <v>0</v>
      </c>
      <c r="BI170" s="79">
        <v>0</v>
      </c>
      <c r="BJ170" s="79">
        <v>0</v>
      </c>
      <c r="BK170" s="79">
        <v>4</v>
      </c>
      <c r="BL170" s="79">
        <v>3726</v>
      </c>
      <c r="BM170" s="79">
        <v>112</v>
      </c>
      <c r="BN170" s="79">
        <v>8</v>
      </c>
      <c r="BO170">
        <v>4841</v>
      </c>
      <c r="BP170">
        <v>302</v>
      </c>
      <c r="BQ170">
        <v>4828</v>
      </c>
      <c r="BR170">
        <v>288</v>
      </c>
      <c r="BS170">
        <v>4819</v>
      </c>
      <c r="BT170">
        <v>314</v>
      </c>
      <c r="BU170">
        <v>4780</v>
      </c>
      <c r="BV170">
        <v>342</v>
      </c>
      <c r="BW170">
        <v>4721</v>
      </c>
      <c r="BX170">
        <v>344</v>
      </c>
      <c r="BY170">
        <v>4608</v>
      </c>
      <c r="BZ170">
        <v>284</v>
      </c>
      <c r="CB170">
        <v>274.5</v>
      </c>
      <c r="CC170">
        <v>11</v>
      </c>
      <c r="CD170">
        <v>33</v>
      </c>
      <c r="CE170">
        <v>8669.0400000000009</v>
      </c>
      <c r="CF170">
        <v>2002.44</v>
      </c>
      <c r="CG170">
        <v>97.046762589928093</v>
      </c>
      <c r="CH170">
        <v>223</v>
      </c>
      <c r="CI170">
        <v>58.6666666666667</v>
      </c>
      <c r="CJ170">
        <v>38.3333333333333</v>
      </c>
      <c r="CK170" s="81">
        <v>1036</v>
      </c>
      <c r="CL170">
        <v>314</v>
      </c>
      <c r="CM170">
        <v>3266.20038256424</v>
      </c>
      <c r="CN170">
        <v>0.23200000000000001</v>
      </c>
      <c r="CO170">
        <v>17245</v>
      </c>
      <c r="CP170">
        <v>3205</v>
      </c>
      <c r="CQ170">
        <v>833</v>
      </c>
      <c r="CR170">
        <v>678</v>
      </c>
      <c r="CS170">
        <v>743</v>
      </c>
      <c r="CT170">
        <v>412</v>
      </c>
      <c r="CU170">
        <v>268.83470388532601</v>
      </c>
      <c r="CV170">
        <v>206.806412674462</v>
      </c>
      <c r="CW170">
        <v>80.704941531497596</v>
      </c>
      <c r="CX170">
        <v>611.91160000000002</v>
      </c>
      <c r="CY170">
        <v>470.7251</v>
      </c>
      <c r="CZ170">
        <v>183.69759999999999</v>
      </c>
      <c r="DA170">
        <v>10660</v>
      </c>
      <c r="DE170">
        <v>505</v>
      </c>
      <c r="DF170" t="s">
        <v>90</v>
      </c>
      <c r="DG170">
        <v>25168</v>
      </c>
      <c r="DH170">
        <v>24908</v>
      </c>
      <c r="DI170">
        <v>24763</v>
      </c>
      <c r="DJ170">
        <v>24611</v>
      </c>
      <c r="DK170">
        <v>24398</v>
      </c>
      <c r="DO170">
        <v>383</v>
      </c>
      <c r="DP170" t="s">
        <v>69</v>
      </c>
      <c r="DQ170">
        <v>16040</v>
      </c>
      <c r="DR170">
        <v>1.01</v>
      </c>
      <c r="DS170">
        <v>1334</v>
      </c>
      <c r="DV170">
        <v>928</v>
      </c>
      <c r="DW170" t="s">
        <v>167</v>
      </c>
      <c r="DX170">
        <v>9580.3711104264803</v>
      </c>
      <c r="DY170">
        <v>1586</v>
      </c>
      <c r="DZ170">
        <v>1382</v>
      </c>
      <c r="EA170">
        <v>611</v>
      </c>
      <c r="EB170">
        <v>4113</v>
      </c>
      <c r="EC170">
        <v>2610</v>
      </c>
      <c r="ED170">
        <v>839</v>
      </c>
      <c r="EE170" s="82">
        <v>0.29428640671769202</v>
      </c>
      <c r="EF170" s="82">
        <v>0.63598400690815204</v>
      </c>
    </row>
    <row r="171" spans="1:136" x14ac:dyDescent="0.35">
      <c r="A171" s="72">
        <v>402</v>
      </c>
      <c r="B171" s="72">
        <v>7</v>
      </c>
      <c r="D171" s="72" t="s">
        <v>152</v>
      </c>
      <c r="E171" s="79">
        <v>10561600000</v>
      </c>
      <c r="F171" s="79">
        <v>1574300000</v>
      </c>
      <c r="G171" s="79">
        <v>1595650000</v>
      </c>
      <c r="H171" s="79">
        <v>90238</v>
      </c>
      <c r="I171" s="79">
        <v>2</v>
      </c>
      <c r="J171" s="79">
        <v>1595.65</v>
      </c>
      <c r="K171" s="79">
        <v>18514</v>
      </c>
      <c r="L171" s="79">
        <v>17122</v>
      </c>
      <c r="M171" s="79">
        <v>5523</v>
      </c>
      <c r="N171" s="79">
        <v>13743</v>
      </c>
      <c r="O171" s="79">
        <v>9475.5</v>
      </c>
      <c r="P171" s="79">
        <v>2162.3333333333298</v>
      </c>
      <c r="Q171" s="79">
        <v>6133.3333333333303</v>
      </c>
      <c r="R171" s="79">
        <v>7370</v>
      </c>
      <c r="S171" s="79">
        <v>0</v>
      </c>
      <c r="T171" s="79">
        <v>3254</v>
      </c>
      <c r="U171" s="79">
        <v>43794</v>
      </c>
      <c r="V171" s="79">
        <v>97990</v>
      </c>
      <c r="W171" s="79">
        <v>91090</v>
      </c>
      <c r="X171" s="79">
        <v>3531.88</v>
      </c>
      <c r="Y171" s="79">
        <v>6707.2</v>
      </c>
      <c r="Z171" s="79">
        <v>0</v>
      </c>
      <c r="AA171" s="79">
        <v>0</v>
      </c>
      <c r="AB171" s="79">
        <v>1204.3</v>
      </c>
      <c r="AC171" s="79">
        <v>4559</v>
      </c>
      <c r="AD171" s="79">
        <v>4559</v>
      </c>
      <c r="AE171" s="79">
        <v>76</v>
      </c>
      <c r="AF171" s="79">
        <v>0</v>
      </c>
      <c r="AG171" s="79">
        <v>393</v>
      </c>
      <c r="AH171" s="79">
        <v>382</v>
      </c>
      <c r="AI171" s="79">
        <v>11</v>
      </c>
      <c r="AJ171" s="79">
        <v>42675</v>
      </c>
      <c r="AK171" s="79">
        <v>42675</v>
      </c>
      <c r="AL171" s="79">
        <v>0</v>
      </c>
      <c r="AM171" s="79">
        <v>0</v>
      </c>
      <c r="AN171" s="79">
        <v>0</v>
      </c>
      <c r="AO171" s="79">
        <v>0</v>
      </c>
      <c r="AP171" s="79">
        <v>13746</v>
      </c>
      <c r="AQ171" s="79">
        <v>0</v>
      </c>
      <c r="AR171" s="80">
        <v>4.6107020000000004E-3</v>
      </c>
      <c r="AS171" s="80">
        <v>3.890148E-3</v>
      </c>
      <c r="AT171" s="79">
        <v>116033.325</v>
      </c>
      <c r="AU171" s="79">
        <v>0</v>
      </c>
      <c r="AV171" s="79">
        <v>743</v>
      </c>
      <c r="AW171" s="79">
        <v>14465.3363538296</v>
      </c>
      <c r="AX171" s="79">
        <v>5</v>
      </c>
      <c r="AY171" s="79">
        <v>5</v>
      </c>
      <c r="AZ171" s="79">
        <v>12614</v>
      </c>
      <c r="BA171" s="79">
        <v>1</v>
      </c>
      <c r="BB171" s="79">
        <v>0</v>
      </c>
      <c r="BC171" s="79">
        <v>0</v>
      </c>
      <c r="BD171" s="79">
        <v>0</v>
      </c>
      <c r="BE171" s="79">
        <v>0</v>
      </c>
      <c r="BF171" s="79">
        <v>0</v>
      </c>
      <c r="BG171" s="79">
        <v>0</v>
      </c>
      <c r="BH171" s="79">
        <v>0</v>
      </c>
      <c r="BI171" s="79">
        <v>0</v>
      </c>
      <c r="BJ171" s="79">
        <v>0</v>
      </c>
      <c r="BK171" s="79">
        <v>59</v>
      </c>
      <c r="BL171" s="79">
        <v>17728</v>
      </c>
      <c r="BM171" s="79">
        <v>382</v>
      </c>
      <c r="BN171" s="79">
        <v>11</v>
      </c>
      <c r="BO171">
        <v>17136</v>
      </c>
      <c r="BP171">
        <v>6527</v>
      </c>
      <c r="BQ171">
        <v>17162</v>
      </c>
      <c r="BR171">
        <v>6544</v>
      </c>
      <c r="BS171">
        <v>17270</v>
      </c>
      <c r="BT171">
        <v>6684</v>
      </c>
      <c r="BU171">
        <v>17394</v>
      </c>
      <c r="BV171">
        <v>6739</v>
      </c>
      <c r="BW171">
        <v>17520</v>
      </c>
      <c r="BX171">
        <v>6925</v>
      </c>
      <c r="BY171">
        <v>17528</v>
      </c>
      <c r="BZ171">
        <v>7112</v>
      </c>
      <c r="CB171">
        <v>2203.1660000000002</v>
      </c>
      <c r="CC171">
        <v>150</v>
      </c>
      <c r="CD171">
        <v>263</v>
      </c>
      <c r="CE171">
        <v>31461.1</v>
      </c>
      <c r="CF171">
        <v>8221.6</v>
      </c>
      <c r="CG171">
        <v>664.92687125167799</v>
      </c>
      <c r="CH171">
        <v>1095</v>
      </c>
      <c r="CI171">
        <v>509</v>
      </c>
      <c r="CJ171">
        <v>446</v>
      </c>
      <c r="CK171" s="81">
        <v>3971</v>
      </c>
      <c r="CL171">
        <v>1031</v>
      </c>
      <c r="CM171">
        <v>10847.8754320847</v>
      </c>
      <c r="CN171">
        <v>4.6529999999999996</v>
      </c>
      <c r="CO171">
        <v>73116</v>
      </c>
      <c r="CP171">
        <v>9195</v>
      </c>
      <c r="CQ171">
        <v>2404</v>
      </c>
      <c r="CR171">
        <v>2668</v>
      </c>
      <c r="CS171">
        <v>2139</v>
      </c>
      <c r="CT171">
        <v>1265</v>
      </c>
      <c r="CU171">
        <v>1348.8848857645</v>
      </c>
      <c r="CV171">
        <v>881.93757469244304</v>
      </c>
      <c r="CW171">
        <v>381.24038664323399</v>
      </c>
      <c r="CX171">
        <v>2285.415</v>
      </c>
      <c r="CY171">
        <v>1494.2664</v>
      </c>
      <c r="CZ171">
        <v>645.93539999999996</v>
      </c>
      <c r="DA171">
        <v>49630</v>
      </c>
      <c r="DE171">
        <v>512</v>
      </c>
      <c r="DF171" t="s">
        <v>119</v>
      </c>
      <c r="DG171">
        <v>7587</v>
      </c>
      <c r="DH171">
        <v>7596</v>
      </c>
      <c r="DI171">
        <v>7638</v>
      </c>
      <c r="DJ171">
        <v>7574</v>
      </c>
      <c r="DK171">
        <v>7499</v>
      </c>
      <c r="DO171">
        <v>400</v>
      </c>
      <c r="DP171" t="s">
        <v>82</v>
      </c>
      <c r="DQ171">
        <v>30045</v>
      </c>
      <c r="DR171">
        <v>1.0900000000000001</v>
      </c>
      <c r="DS171">
        <v>1690</v>
      </c>
      <c r="DV171">
        <v>1598</v>
      </c>
      <c r="DW171" t="s">
        <v>168</v>
      </c>
      <c r="DX171">
        <v>2443.2244675041002</v>
      </c>
      <c r="DY171">
        <v>469</v>
      </c>
      <c r="DZ171">
        <v>419</v>
      </c>
      <c r="EA171">
        <v>218</v>
      </c>
      <c r="EB171">
        <v>1643</v>
      </c>
      <c r="EC171">
        <v>887</v>
      </c>
      <c r="ED171">
        <v>305</v>
      </c>
      <c r="EE171" s="82">
        <v>0.162261106430238</v>
      </c>
      <c r="EF171" s="82">
        <v>0.41502120714199497</v>
      </c>
    </row>
    <row r="172" spans="1:136" x14ac:dyDescent="0.35">
      <c r="A172" s="72">
        <v>1911</v>
      </c>
      <c r="B172" s="72">
        <v>7</v>
      </c>
      <c r="D172" s="72" t="s">
        <v>155</v>
      </c>
      <c r="E172" s="79">
        <v>3435600000</v>
      </c>
      <c r="F172" s="79">
        <v>924000000</v>
      </c>
      <c r="G172" s="79">
        <v>1023750000</v>
      </c>
      <c r="H172" s="79">
        <v>47815</v>
      </c>
      <c r="I172" s="79">
        <v>10</v>
      </c>
      <c r="J172" s="79">
        <v>1023.75</v>
      </c>
      <c r="K172" s="79">
        <v>9492</v>
      </c>
      <c r="L172" s="79">
        <v>9803</v>
      </c>
      <c r="M172" s="79">
        <v>3057</v>
      </c>
      <c r="N172" s="79">
        <v>5819</v>
      </c>
      <c r="O172" s="79">
        <v>3723.1</v>
      </c>
      <c r="P172" s="79">
        <v>581.66666666666697</v>
      </c>
      <c r="Q172" s="79">
        <v>2984.6666666666702</v>
      </c>
      <c r="R172" s="79">
        <v>770</v>
      </c>
      <c r="S172" s="79">
        <v>0</v>
      </c>
      <c r="T172" s="79">
        <v>1301</v>
      </c>
      <c r="U172" s="79">
        <v>20844</v>
      </c>
      <c r="V172" s="79">
        <v>42010</v>
      </c>
      <c r="W172" s="79">
        <v>7400</v>
      </c>
      <c r="X172" s="79">
        <v>0</v>
      </c>
      <c r="Y172" s="79">
        <v>799.2</v>
      </c>
      <c r="Z172" s="79">
        <v>0</v>
      </c>
      <c r="AA172" s="79">
        <v>0</v>
      </c>
      <c r="AB172" s="79">
        <v>0</v>
      </c>
      <c r="AC172" s="79">
        <v>35747</v>
      </c>
      <c r="AD172" s="79">
        <v>41109.050000000003</v>
      </c>
      <c r="AE172" s="79">
        <v>1777</v>
      </c>
      <c r="AF172" s="79">
        <v>10000</v>
      </c>
      <c r="AG172" s="79">
        <v>521</v>
      </c>
      <c r="AH172" s="79">
        <v>296.39999999999998</v>
      </c>
      <c r="AI172" s="79">
        <v>300.14999999999998</v>
      </c>
      <c r="AJ172" s="79">
        <v>20959</v>
      </c>
      <c r="AK172" s="79">
        <v>23893.26</v>
      </c>
      <c r="AL172" s="79">
        <v>0</v>
      </c>
      <c r="AM172" s="79">
        <v>0</v>
      </c>
      <c r="AN172" s="79">
        <v>0</v>
      </c>
      <c r="AO172" s="79">
        <v>0</v>
      </c>
      <c r="AP172" s="79">
        <v>0</v>
      </c>
      <c r="AQ172" s="79">
        <v>0</v>
      </c>
      <c r="AR172" s="80">
        <v>5.69079E-4</v>
      </c>
      <c r="AS172" s="80">
        <v>2.33618E-4</v>
      </c>
      <c r="AT172" s="79">
        <v>9033.3289999999997</v>
      </c>
      <c r="AU172" s="79">
        <v>0</v>
      </c>
      <c r="AV172" s="79">
        <v>12845.5</v>
      </c>
      <c r="AW172" s="79">
        <v>19419.332613793798</v>
      </c>
      <c r="AX172" s="79">
        <v>29</v>
      </c>
      <c r="AY172" s="79">
        <v>33.35</v>
      </c>
      <c r="AZ172" s="79">
        <v>5706</v>
      </c>
      <c r="BA172" s="79">
        <v>1</v>
      </c>
      <c r="BB172" s="79">
        <v>0</v>
      </c>
      <c r="BC172" s="79">
        <v>0</v>
      </c>
      <c r="BD172" s="79">
        <v>0</v>
      </c>
      <c r="BE172" s="79">
        <v>0</v>
      </c>
      <c r="BF172" s="79">
        <v>0</v>
      </c>
      <c r="BG172" s="79">
        <v>0</v>
      </c>
      <c r="BH172" s="79">
        <v>0</v>
      </c>
      <c r="BI172" s="79">
        <v>0</v>
      </c>
      <c r="BJ172" s="79">
        <v>0</v>
      </c>
      <c r="BK172" s="79">
        <v>23</v>
      </c>
      <c r="BL172" s="79">
        <v>6093</v>
      </c>
      <c r="BM172" s="79">
        <v>260</v>
      </c>
      <c r="BN172" s="79">
        <v>261</v>
      </c>
      <c r="BO172">
        <v>10978</v>
      </c>
      <c r="BP172">
        <v>1011</v>
      </c>
      <c r="BQ172">
        <v>10908</v>
      </c>
      <c r="BR172">
        <v>987</v>
      </c>
      <c r="BS172">
        <v>10775</v>
      </c>
      <c r="BT172">
        <v>996</v>
      </c>
      <c r="BU172">
        <v>10632</v>
      </c>
      <c r="BV172">
        <v>1029</v>
      </c>
      <c r="BW172">
        <v>10449</v>
      </c>
      <c r="BX172">
        <v>1039</v>
      </c>
      <c r="BY172">
        <v>10211</v>
      </c>
      <c r="BZ172">
        <v>1083</v>
      </c>
      <c r="CB172">
        <v>882.75599999999997</v>
      </c>
      <c r="CC172">
        <v>165</v>
      </c>
      <c r="CD172">
        <v>88</v>
      </c>
      <c r="CE172">
        <v>13706.86</v>
      </c>
      <c r="CF172">
        <v>3504.8</v>
      </c>
      <c r="CG172">
        <v>170.25446616541399</v>
      </c>
      <c r="CH172">
        <v>480</v>
      </c>
      <c r="CI172">
        <v>191.333333333333</v>
      </c>
      <c r="CJ172">
        <v>155.333333333333</v>
      </c>
      <c r="CK172" s="81">
        <v>2403</v>
      </c>
      <c r="CL172">
        <v>538</v>
      </c>
      <c r="CM172">
        <v>5418.9662894880803</v>
      </c>
      <c r="CN172">
        <v>0.6</v>
      </c>
      <c r="CO172">
        <v>38012</v>
      </c>
      <c r="CP172">
        <v>5830</v>
      </c>
      <c r="CQ172">
        <v>916</v>
      </c>
      <c r="CR172">
        <v>1067</v>
      </c>
      <c r="CS172">
        <v>957</v>
      </c>
      <c r="CT172">
        <v>436</v>
      </c>
      <c r="CU172">
        <v>636.82969130206595</v>
      </c>
      <c r="CV172">
        <v>381.38726561381702</v>
      </c>
      <c r="CW172">
        <v>115.819514289804</v>
      </c>
      <c r="CX172">
        <v>1667.742</v>
      </c>
      <c r="CY172">
        <v>998.78440000000001</v>
      </c>
      <c r="CZ172">
        <v>303.31040000000002</v>
      </c>
      <c r="DA172">
        <v>0</v>
      </c>
      <c r="DE172">
        <v>513</v>
      </c>
      <c r="DF172" t="s">
        <v>120</v>
      </c>
      <c r="DG172">
        <v>16200</v>
      </c>
      <c r="DH172">
        <v>16066</v>
      </c>
      <c r="DI172">
        <v>15935</v>
      </c>
      <c r="DJ172">
        <v>15816</v>
      </c>
      <c r="DK172">
        <v>15643</v>
      </c>
      <c r="DO172">
        <v>384</v>
      </c>
      <c r="DP172" t="s">
        <v>85</v>
      </c>
      <c r="DQ172">
        <v>13691</v>
      </c>
      <c r="DR172">
        <v>1.55</v>
      </c>
      <c r="DS172">
        <v>2423</v>
      </c>
      <c r="DV172">
        <v>79</v>
      </c>
      <c r="DW172" t="s">
        <v>806</v>
      </c>
      <c r="DX172">
        <v>1938.05463762674</v>
      </c>
      <c r="DY172">
        <v>292</v>
      </c>
      <c r="DZ172">
        <v>263</v>
      </c>
      <c r="EA172">
        <v>106</v>
      </c>
      <c r="EB172">
        <v>915</v>
      </c>
      <c r="EC172">
        <v>556</v>
      </c>
      <c r="ED172">
        <v>145</v>
      </c>
      <c r="EE172" s="82">
        <v>0.24405372583467699</v>
      </c>
      <c r="EF172" s="82">
        <v>0.59324584449704798</v>
      </c>
    </row>
    <row r="173" spans="1:136" x14ac:dyDescent="0.35">
      <c r="A173" s="72">
        <v>405</v>
      </c>
      <c r="B173" s="72">
        <v>7</v>
      </c>
      <c r="D173" s="72" t="s">
        <v>157</v>
      </c>
      <c r="E173" s="79">
        <v>5517200000</v>
      </c>
      <c r="F173" s="79">
        <v>974050000</v>
      </c>
      <c r="G173" s="79">
        <v>984900000</v>
      </c>
      <c r="H173" s="79">
        <v>73004</v>
      </c>
      <c r="I173" s="79">
        <v>1</v>
      </c>
      <c r="J173" s="79">
        <v>984.9</v>
      </c>
      <c r="K173" s="79">
        <v>14844</v>
      </c>
      <c r="L173" s="79">
        <v>13883</v>
      </c>
      <c r="M173" s="79">
        <v>3936</v>
      </c>
      <c r="N173" s="79">
        <v>10546</v>
      </c>
      <c r="O173" s="79">
        <v>7259.8</v>
      </c>
      <c r="P173" s="79">
        <v>1671.3333333333301</v>
      </c>
      <c r="Q173" s="79">
        <v>6664.3333333333303</v>
      </c>
      <c r="R173" s="79">
        <v>6725</v>
      </c>
      <c r="S173" s="79">
        <v>0</v>
      </c>
      <c r="T173" s="79">
        <v>3053</v>
      </c>
      <c r="U173" s="79">
        <v>33691</v>
      </c>
      <c r="V173" s="79">
        <v>85590</v>
      </c>
      <c r="W173" s="79">
        <v>87840</v>
      </c>
      <c r="X173" s="79">
        <v>2551.6999999999998</v>
      </c>
      <c r="Y173" s="79">
        <v>6098.4</v>
      </c>
      <c r="Z173" s="79">
        <v>0</v>
      </c>
      <c r="AA173" s="79">
        <v>0</v>
      </c>
      <c r="AB173" s="79">
        <v>0</v>
      </c>
      <c r="AC173" s="79">
        <v>2029</v>
      </c>
      <c r="AD173" s="79">
        <v>2698.57</v>
      </c>
      <c r="AE173" s="79">
        <v>116</v>
      </c>
      <c r="AF173" s="79">
        <v>3201</v>
      </c>
      <c r="AG173" s="79">
        <v>342</v>
      </c>
      <c r="AH173" s="79">
        <v>450.87</v>
      </c>
      <c r="AI173" s="79">
        <v>3.84</v>
      </c>
      <c r="AJ173" s="79">
        <v>32862</v>
      </c>
      <c r="AK173" s="79">
        <v>43706.46</v>
      </c>
      <c r="AL173" s="79">
        <v>0</v>
      </c>
      <c r="AM173" s="79">
        <v>46</v>
      </c>
      <c r="AN173" s="79">
        <v>0</v>
      </c>
      <c r="AO173" s="79">
        <v>5150</v>
      </c>
      <c r="AP173" s="79">
        <v>3299</v>
      </c>
      <c r="AQ173" s="79">
        <v>3299</v>
      </c>
      <c r="AR173" s="80">
        <v>1.0728199999999999E-3</v>
      </c>
      <c r="AS173" s="80">
        <v>9.0026500000000003E-4</v>
      </c>
      <c r="AT173" s="79">
        <v>54583.781999999999</v>
      </c>
      <c r="AU173" s="79">
        <v>0</v>
      </c>
      <c r="AV173" s="79">
        <v>2687.93</v>
      </c>
      <c r="AW173" s="79">
        <v>195503.35062004699</v>
      </c>
      <c r="AX173" s="79">
        <v>1</v>
      </c>
      <c r="AY173" s="79">
        <v>1.28</v>
      </c>
      <c r="AZ173" s="79">
        <v>7407</v>
      </c>
      <c r="BA173" s="79">
        <v>1</v>
      </c>
      <c r="BB173" s="79">
        <v>0</v>
      </c>
      <c r="BC173" s="79">
        <v>0</v>
      </c>
      <c r="BD173" s="79">
        <v>0</v>
      </c>
      <c r="BE173" s="79">
        <v>0</v>
      </c>
      <c r="BF173" s="79">
        <v>0</v>
      </c>
      <c r="BG173" s="79">
        <v>0</v>
      </c>
      <c r="BH173" s="79">
        <v>0</v>
      </c>
      <c r="BI173" s="79">
        <v>0</v>
      </c>
      <c r="BJ173" s="79">
        <v>0</v>
      </c>
      <c r="BK173" s="79">
        <v>84</v>
      </c>
      <c r="BL173" s="79">
        <v>12006</v>
      </c>
      <c r="BM173" s="79">
        <v>339</v>
      </c>
      <c r="BN173" s="79">
        <v>3</v>
      </c>
      <c r="BO173">
        <v>15511</v>
      </c>
      <c r="BP173">
        <v>7370</v>
      </c>
      <c r="BQ173">
        <v>15517</v>
      </c>
      <c r="BR173">
        <v>7453</v>
      </c>
      <c r="BS173">
        <v>15597</v>
      </c>
      <c r="BT173">
        <v>7592</v>
      </c>
      <c r="BU173">
        <v>15645</v>
      </c>
      <c r="BV173">
        <v>7753</v>
      </c>
      <c r="BW173">
        <v>15518</v>
      </c>
      <c r="BX173">
        <v>8022</v>
      </c>
      <c r="BY173">
        <v>15500</v>
      </c>
      <c r="BZ173">
        <v>8108</v>
      </c>
      <c r="CB173">
        <v>2078.16</v>
      </c>
      <c r="CC173">
        <v>248</v>
      </c>
      <c r="CD173">
        <v>229</v>
      </c>
      <c r="CE173">
        <v>21441.55</v>
      </c>
      <c r="CF173">
        <v>5372.27</v>
      </c>
      <c r="CG173">
        <v>641.96547055324197</v>
      </c>
      <c r="CH173">
        <v>1154</v>
      </c>
      <c r="CI173">
        <v>486.66666666666703</v>
      </c>
      <c r="CJ173">
        <v>441.33333333333297</v>
      </c>
      <c r="CK173" s="81">
        <v>4993</v>
      </c>
      <c r="CL173">
        <v>1501</v>
      </c>
      <c r="CM173">
        <v>8733.8970437288699</v>
      </c>
      <c r="CN173">
        <v>3.4460000000000002</v>
      </c>
      <c r="CO173">
        <v>59121</v>
      </c>
      <c r="CP173">
        <v>8661</v>
      </c>
      <c r="CQ173">
        <v>1286</v>
      </c>
      <c r="CR173">
        <v>2217</v>
      </c>
      <c r="CS173">
        <v>1476</v>
      </c>
      <c r="CT173">
        <v>684</v>
      </c>
      <c r="CU173">
        <v>1253.7083865863301</v>
      </c>
      <c r="CV173">
        <v>625.86006329499105</v>
      </c>
      <c r="CW173">
        <v>207.66271072971799</v>
      </c>
      <c r="CX173">
        <v>2685.9775</v>
      </c>
      <c r="CY173">
        <v>1340.8588999999999</v>
      </c>
      <c r="CZ173">
        <v>444.90199999999999</v>
      </c>
      <c r="DA173">
        <v>44488</v>
      </c>
      <c r="DE173">
        <v>518</v>
      </c>
      <c r="DF173" t="s">
        <v>270</v>
      </c>
      <c r="DG173">
        <v>99550</v>
      </c>
      <c r="DH173">
        <v>100716</v>
      </c>
      <c r="DI173">
        <v>102336</v>
      </c>
      <c r="DJ173">
        <v>103959</v>
      </c>
      <c r="DK173">
        <v>104864</v>
      </c>
      <c r="DO173">
        <v>498</v>
      </c>
      <c r="DP173" t="s">
        <v>91</v>
      </c>
      <c r="DQ173">
        <v>8354</v>
      </c>
      <c r="DR173">
        <v>1.21</v>
      </c>
      <c r="DS173">
        <v>487</v>
      </c>
      <c r="DV173">
        <v>588</v>
      </c>
      <c r="DW173" t="s">
        <v>815</v>
      </c>
      <c r="DX173">
        <v>1154.36817262306</v>
      </c>
      <c r="DY173">
        <v>227</v>
      </c>
      <c r="DZ173">
        <v>201</v>
      </c>
      <c r="EA173">
        <v>106</v>
      </c>
      <c r="EB173">
        <v>834</v>
      </c>
      <c r="EC173">
        <v>486</v>
      </c>
      <c r="ED173">
        <v>156</v>
      </c>
      <c r="EE173" s="82">
        <v>0.150677127605442</v>
      </c>
      <c r="EF173" s="82">
        <v>0.376279479847973</v>
      </c>
    </row>
    <row r="174" spans="1:136" x14ac:dyDescent="0.35">
      <c r="A174" s="72">
        <v>406</v>
      </c>
      <c r="B174" s="72">
        <v>7</v>
      </c>
      <c r="D174" s="72" t="s">
        <v>160</v>
      </c>
      <c r="E174" s="79">
        <v>4630800000</v>
      </c>
      <c r="F174" s="79">
        <v>365400000</v>
      </c>
      <c r="G174" s="79">
        <v>379400000</v>
      </c>
      <c r="H174" s="79">
        <v>41273</v>
      </c>
      <c r="I174" s="79">
        <v>1</v>
      </c>
      <c r="J174" s="79">
        <v>379.4</v>
      </c>
      <c r="K174" s="79">
        <v>8046</v>
      </c>
      <c r="L174" s="79">
        <v>9422</v>
      </c>
      <c r="M174" s="79">
        <v>2867</v>
      </c>
      <c r="N174" s="79">
        <v>5196</v>
      </c>
      <c r="O174" s="79">
        <v>3296</v>
      </c>
      <c r="P174" s="79">
        <v>795.66666666666697</v>
      </c>
      <c r="Q174" s="79">
        <v>2599.6666666666702</v>
      </c>
      <c r="R174" s="79">
        <v>3030</v>
      </c>
      <c r="S174" s="79">
        <v>0</v>
      </c>
      <c r="T174" s="79">
        <v>1455</v>
      </c>
      <c r="U174" s="79">
        <v>19003</v>
      </c>
      <c r="V174" s="79">
        <v>42280</v>
      </c>
      <c r="W174" s="79">
        <v>24360</v>
      </c>
      <c r="X174" s="79">
        <v>802.68380000000002</v>
      </c>
      <c r="Y174" s="79">
        <v>1876.8</v>
      </c>
      <c r="Z174" s="79">
        <v>0</v>
      </c>
      <c r="AA174" s="79">
        <v>0</v>
      </c>
      <c r="AB174" s="79">
        <v>0</v>
      </c>
      <c r="AC174" s="79">
        <v>1581</v>
      </c>
      <c r="AD174" s="79">
        <v>1581</v>
      </c>
      <c r="AE174" s="79">
        <v>751</v>
      </c>
      <c r="AF174" s="79">
        <v>0</v>
      </c>
      <c r="AG174" s="79">
        <v>170</v>
      </c>
      <c r="AH174" s="79">
        <v>164</v>
      </c>
      <c r="AI174" s="79">
        <v>6</v>
      </c>
      <c r="AJ174" s="79">
        <v>19000</v>
      </c>
      <c r="AK174" s="79">
        <v>19000</v>
      </c>
      <c r="AL174" s="79">
        <v>0</v>
      </c>
      <c r="AM174" s="79">
        <v>0</v>
      </c>
      <c r="AN174" s="79">
        <v>0</v>
      </c>
      <c r="AO174" s="79">
        <v>0</v>
      </c>
      <c r="AP174" s="79">
        <v>1923</v>
      </c>
      <c r="AQ174" s="79">
        <v>0</v>
      </c>
      <c r="AR174" s="80">
        <v>3.67773E-4</v>
      </c>
      <c r="AS174" s="80">
        <v>2.27016E-4</v>
      </c>
      <c r="AT174" s="79">
        <v>38342</v>
      </c>
      <c r="AU174" s="79">
        <v>0</v>
      </c>
      <c r="AV174" s="79">
        <v>467</v>
      </c>
      <c r="AW174" s="79">
        <v>8265.2191252144094</v>
      </c>
      <c r="AX174" s="79">
        <v>5</v>
      </c>
      <c r="AY174" s="79">
        <v>5</v>
      </c>
      <c r="AZ174" s="79">
        <v>5081</v>
      </c>
      <c r="BA174" s="79">
        <v>1</v>
      </c>
      <c r="BB174" s="79">
        <v>0</v>
      </c>
      <c r="BC174" s="79">
        <v>0</v>
      </c>
      <c r="BD174" s="79">
        <v>0</v>
      </c>
      <c r="BE174" s="79">
        <v>0</v>
      </c>
      <c r="BF174" s="79">
        <v>0</v>
      </c>
      <c r="BG174" s="79">
        <v>0</v>
      </c>
      <c r="BH174" s="79">
        <v>0</v>
      </c>
      <c r="BI174" s="79">
        <v>0</v>
      </c>
      <c r="BJ174" s="79">
        <v>0</v>
      </c>
      <c r="BK174" s="79">
        <v>31</v>
      </c>
      <c r="BL174" s="79">
        <v>6321</v>
      </c>
      <c r="BM174" s="79">
        <v>164</v>
      </c>
      <c r="BN174" s="79">
        <v>6</v>
      </c>
      <c r="BO174">
        <v>9245</v>
      </c>
      <c r="BP174">
        <v>2272</v>
      </c>
      <c r="BQ174">
        <v>9086</v>
      </c>
      <c r="BR174">
        <v>2200</v>
      </c>
      <c r="BS174">
        <v>8923</v>
      </c>
      <c r="BT174">
        <v>2187</v>
      </c>
      <c r="BU174">
        <v>8763</v>
      </c>
      <c r="BV174">
        <v>2128</v>
      </c>
      <c r="BW174">
        <v>8564</v>
      </c>
      <c r="BX174">
        <v>2131</v>
      </c>
      <c r="BY174">
        <v>8427</v>
      </c>
      <c r="BZ174">
        <v>2176</v>
      </c>
      <c r="CB174">
        <v>820.69200000000001</v>
      </c>
      <c r="CC174">
        <v>78</v>
      </c>
      <c r="CD174">
        <v>74</v>
      </c>
      <c r="CE174">
        <v>14528.89</v>
      </c>
      <c r="CF174">
        <v>3502.84</v>
      </c>
      <c r="CG174">
        <v>283.598315352697</v>
      </c>
      <c r="CH174">
        <v>515</v>
      </c>
      <c r="CI174">
        <v>228.333333333333</v>
      </c>
      <c r="CJ174">
        <v>185.666666666667</v>
      </c>
      <c r="CK174" s="81">
        <v>1804</v>
      </c>
      <c r="CL174">
        <v>460</v>
      </c>
      <c r="CM174">
        <v>5646.5590003142197</v>
      </c>
      <c r="CN174">
        <v>1.4710000000000001</v>
      </c>
      <c r="CO174">
        <v>31851</v>
      </c>
      <c r="CP174">
        <v>5528</v>
      </c>
      <c r="CQ174">
        <v>1027</v>
      </c>
      <c r="CR174">
        <v>1395</v>
      </c>
      <c r="CS174">
        <v>1033</v>
      </c>
      <c r="CT174">
        <v>494</v>
      </c>
      <c r="CU174">
        <v>621.72968421052599</v>
      </c>
      <c r="CV174">
        <v>351.28421052631597</v>
      </c>
      <c r="CW174">
        <v>126.288842105263</v>
      </c>
      <c r="CX174">
        <v>1242.9312</v>
      </c>
      <c r="CY174">
        <v>702.27</v>
      </c>
      <c r="CZ174">
        <v>252.47040000000001</v>
      </c>
      <c r="DA174">
        <v>69350</v>
      </c>
      <c r="DE174">
        <v>523</v>
      </c>
      <c r="DF174" t="s">
        <v>131</v>
      </c>
      <c r="DG174">
        <v>4496</v>
      </c>
      <c r="DH174">
        <v>4402</v>
      </c>
      <c r="DI174">
        <v>4376</v>
      </c>
      <c r="DJ174">
        <v>4342</v>
      </c>
      <c r="DK174">
        <v>4300</v>
      </c>
      <c r="DO174">
        <v>385</v>
      </c>
      <c r="DP174" t="s">
        <v>97</v>
      </c>
      <c r="DQ174">
        <v>15181</v>
      </c>
      <c r="DR174">
        <v>1.42</v>
      </c>
      <c r="DS174">
        <v>1292</v>
      </c>
      <c r="DV174">
        <v>542</v>
      </c>
      <c r="DW174" t="s">
        <v>169</v>
      </c>
      <c r="DX174">
        <v>3383.1467806923802</v>
      </c>
      <c r="DY174">
        <v>707</v>
      </c>
      <c r="DZ174">
        <v>777</v>
      </c>
      <c r="EA174">
        <v>419</v>
      </c>
      <c r="EB174">
        <v>2209</v>
      </c>
      <c r="EC174">
        <v>1660</v>
      </c>
      <c r="ED174">
        <v>641</v>
      </c>
      <c r="EE174" s="82">
        <v>0.17086843720515399</v>
      </c>
      <c r="EF174" s="82">
        <v>0.39701708014307702</v>
      </c>
    </row>
    <row r="175" spans="1:136" x14ac:dyDescent="0.35">
      <c r="A175" s="72">
        <v>1598</v>
      </c>
      <c r="B175" s="72">
        <v>7</v>
      </c>
      <c r="D175" s="72" t="s">
        <v>168</v>
      </c>
      <c r="E175" s="79">
        <v>1855200000</v>
      </c>
      <c r="F175" s="79">
        <v>268100000</v>
      </c>
      <c r="G175" s="79">
        <v>306950000</v>
      </c>
      <c r="H175" s="79">
        <v>22738</v>
      </c>
      <c r="I175" s="79">
        <v>5</v>
      </c>
      <c r="J175" s="79">
        <v>306.95</v>
      </c>
      <c r="K175" s="79">
        <v>4731</v>
      </c>
      <c r="L175" s="79">
        <v>4556</v>
      </c>
      <c r="M175" s="79">
        <v>1352</v>
      </c>
      <c r="N175" s="79">
        <v>2451</v>
      </c>
      <c r="O175" s="79">
        <v>1509</v>
      </c>
      <c r="P175" s="79">
        <v>191.333333333333</v>
      </c>
      <c r="Q175" s="79">
        <v>1118.3333333333301</v>
      </c>
      <c r="R175" s="79">
        <v>400</v>
      </c>
      <c r="S175" s="79">
        <v>0</v>
      </c>
      <c r="T175" s="79">
        <v>549</v>
      </c>
      <c r="U175" s="79">
        <v>9528</v>
      </c>
      <c r="V175" s="79">
        <v>15370</v>
      </c>
      <c r="W175" s="79">
        <v>1160</v>
      </c>
      <c r="X175" s="79">
        <v>0</v>
      </c>
      <c r="Y175" s="79">
        <v>0</v>
      </c>
      <c r="Z175" s="79">
        <v>0</v>
      </c>
      <c r="AA175" s="79">
        <v>0</v>
      </c>
      <c r="AB175" s="79">
        <v>0</v>
      </c>
      <c r="AC175" s="79">
        <v>8036</v>
      </c>
      <c r="AD175" s="79">
        <v>10125.36</v>
      </c>
      <c r="AE175" s="79">
        <v>294</v>
      </c>
      <c r="AF175" s="79">
        <v>79</v>
      </c>
      <c r="AG175" s="79">
        <v>186</v>
      </c>
      <c r="AH175" s="79">
        <v>156.24</v>
      </c>
      <c r="AI175" s="79">
        <v>74.930000000000007</v>
      </c>
      <c r="AJ175" s="79">
        <v>9420</v>
      </c>
      <c r="AK175" s="79">
        <v>11680.8</v>
      </c>
      <c r="AL175" s="79">
        <v>0</v>
      </c>
      <c r="AM175" s="79">
        <v>0</v>
      </c>
      <c r="AN175" s="79">
        <v>0</v>
      </c>
      <c r="AO175" s="79">
        <v>0</v>
      </c>
      <c r="AP175" s="79">
        <v>0</v>
      </c>
      <c r="AQ175" s="79">
        <v>0</v>
      </c>
      <c r="AR175" s="80">
        <v>1.7902700000000001E-4</v>
      </c>
      <c r="AS175" s="80">
        <v>5.9729999999999999E-5</v>
      </c>
      <c r="AT175" s="79">
        <v>3965.82</v>
      </c>
      <c r="AU175" s="79">
        <v>0</v>
      </c>
      <c r="AV175" s="79">
        <v>7405.02</v>
      </c>
      <c r="AW175" s="79">
        <v>24526.0857478992</v>
      </c>
      <c r="AX175" s="79">
        <v>19</v>
      </c>
      <c r="AY175" s="79">
        <v>24.13</v>
      </c>
      <c r="AZ175" s="79">
        <v>2757</v>
      </c>
      <c r="BA175" s="79">
        <v>1</v>
      </c>
      <c r="BB175" s="79">
        <v>0</v>
      </c>
      <c r="BC175" s="79">
        <v>0</v>
      </c>
      <c r="BD175" s="79">
        <v>0</v>
      </c>
      <c r="BE175" s="79">
        <v>0</v>
      </c>
      <c r="BF175" s="79">
        <v>0</v>
      </c>
      <c r="BG175" s="79">
        <v>0</v>
      </c>
      <c r="BH175" s="79">
        <v>0</v>
      </c>
      <c r="BI175" s="79">
        <v>0</v>
      </c>
      <c r="BJ175" s="79">
        <v>0</v>
      </c>
      <c r="BK175" s="79">
        <v>16</v>
      </c>
      <c r="BL175" s="79">
        <v>2622</v>
      </c>
      <c r="BM175" s="79">
        <v>126</v>
      </c>
      <c r="BN175" s="79">
        <v>59</v>
      </c>
      <c r="BO175">
        <v>5304</v>
      </c>
      <c r="BP175">
        <v>0</v>
      </c>
      <c r="BQ175">
        <v>5289</v>
      </c>
      <c r="BR175">
        <v>0</v>
      </c>
      <c r="BS175">
        <v>5211</v>
      </c>
      <c r="BT175">
        <v>0</v>
      </c>
      <c r="BU175">
        <v>5211</v>
      </c>
      <c r="BV175">
        <v>0</v>
      </c>
      <c r="BW175">
        <v>5111</v>
      </c>
      <c r="BX175">
        <v>0</v>
      </c>
      <c r="BY175">
        <v>5100</v>
      </c>
      <c r="BZ175">
        <v>0</v>
      </c>
      <c r="CB175">
        <v>345.363</v>
      </c>
      <c r="CC175">
        <v>61</v>
      </c>
      <c r="CD175">
        <v>41</v>
      </c>
      <c r="CE175">
        <v>6568.21</v>
      </c>
      <c r="CF175">
        <v>1854</v>
      </c>
      <c r="CG175">
        <v>67.873325076537697</v>
      </c>
      <c r="CH175">
        <v>215</v>
      </c>
      <c r="CI175">
        <v>65.6666666666667</v>
      </c>
      <c r="CJ175">
        <v>38.3333333333333</v>
      </c>
      <c r="CK175" s="81">
        <v>927</v>
      </c>
      <c r="CL175">
        <v>255</v>
      </c>
      <c r="CM175">
        <v>2023.23778381024</v>
      </c>
      <c r="CN175">
        <v>0.114</v>
      </c>
      <c r="CO175">
        <v>18182</v>
      </c>
      <c r="CP175">
        <v>2735</v>
      </c>
      <c r="CQ175">
        <v>469</v>
      </c>
      <c r="CR175">
        <v>460</v>
      </c>
      <c r="CS175">
        <v>443</v>
      </c>
      <c r="CT175">
        <v>230</v>
      </c>
      <c r="CU175">
        <v>264.795859872611</v>
      </c>
      <c r="CV175">
        <v>151.38057324840801</v>
      </c>
      <c r="CW175">
        <v>51.2611464968153</v>
      </c>
      <c r="CX175">
        <v>685.995</v>
      </c>
      <c r="CY175">
        <v>392.17500000000001</v>
      </c>
      <c r="CZ175">
        <v>132.80000000000001</v>
      </c>
      <c r="DA175">
        <v>5840</v>
      </c>
      <c r="DE175">
        <v>530</v>
      </c>
      <c r="DF175" t="s">
        <v>143</v>
      </c>
      <c r="DG175">
        <v>8341</v>
      </c>
      <c r="DH175">
        <v>8258</v>
      </c>
      <c r="DI175">
        <v>8055</v>
      </c>
      <c r="DJ175">
        <v>7887</v>
      </c>
      <c r="DK175">
        <v>7789</v>
      </c>
      <c r="DO175">
        <v>388</v>
      </c>
      <c r="DP175" t="s">
        <v>105</v>
      </c>
      <c r="DQ175">
        <v>8761</v>
      </c>
      <c r="DR175">
        <v>1.25</v>
      </c>
      <c r="DS175">
        <v>1384</v>
      </c>
      <c r="DV175">
        <v>1931</v>
      </c>
      <c r="DW175" t="s">
        <v>170</v>
      </c>
      <c r="DX175">
        <v>6197.5879561728898</v>
      </c>
      <c r="DY175">
        <v>1188</v>
      </c>
      <c r="DZ175">
        <v>1144</v>
      </c>
      <c r="EA175">
        <v>651</v>
      </c>
      <c r="EB175">
        <v>4030</v>
      </c>
      <c r="EC175">
        <v>2519</v>
      </c>
      <c r="ED175">
        <v>930</v>
      </c>
      <c r="EE175" s="82">
        <v>0.161855161237658</v>
      </c>
      <c r="EF175" s="82">
        <v>0.38653349623005401</v>
      </c>
    </row>
    <row r="176" spans="1:136" x14ac:dyDescent="0.35">
      <c r="A176" s="72">
        <v>415</v>
      </c>
      <c r="B176" s="72">
        <v>7</v>
      </c>
      <c r="D176" s="72" t="s">
        <v>174</v>
      </c>
      <c r="E176" s="79">
        <v>1488000000</v>
      </c>
      <c r="F176" s="79">
        <v>83650000</v>
      </c>
      <c r="G176" s="79">
        <v>87500000</v>
      </c>
      <c r="H176" s="79">
        <v>11488</v>
      </c>
      <c r="I176" s="79">
        <v>1</v>
      </c>
      <c r="J176" s="79">
        <v>87.5</v>
      </c>
      <c r="K176" s="79">
        <v>2378</v>
      </c>
      <c r="L176" s="79">
        <v>2411</v>
      </c>
      <c r="M176" s="79">
        <v>767</v>
      </c>
      <c r="N176" s="79">
        <v>1132</v>
      </c>
      <c r="O176" s="79">
        <v>645.6</v>
      </c>
      <c r="P176" s="79">
        <v>114</v>
      </c>
      <c r="Q176" s="79">
        <v>507</v>
      </c>
      <c r="R176" s="79">
        <v>535</v>
      </c>
      <c r="S176" s="79">
        <v>0</v>
      </c>
      <c r="T176" s="79">
        <v>422</v>
      </c>
      <c r="U176" s="79">
        <v>4927</v>
      </c>
      <c r="V176" s="79">
        <v>5570</v>
      </c>
      <c r="W176" s="79">
        <v>320</v>
      </c>
      <c r="X176" s="79">
        <v>0</v>
      </c>
      <c r="Y176" s="79">
        <v>0</v>
      </c>
      <c r="Z176" s="79">
        <v>0</v>
      </c>
      <c r="AA176" s="79">
        <v>40.5</v>
      </c>
      <c r="AB176" s="79">
        <v>0</v>
      </c>
      <c r="AC176" s="79">
        <v>2245</v>
      </c>
      <c r="AD176" s="79">
        <v>3030.75</v>
      </c>
      <c r="AE176" s="79">
        <v>405</v>
      </c>
      <c r="AF176" s="79">
        <v>0</v>
      </c>
      <c r="AG176" s="79">
        <v>58</v>
      </c>
      <c r="AH176" s="79">
        <v>67</v>
      </c>
      <c r="AI176" s="79">
        <v>10.88</v>
      </c>
      <c r="AJ176" s="79">
        <v>4864</v>
      </c>
      <c r="AK176" s="79">
        <v>6517.76</v>
      </c>
      <c r="AL176" s="79">
        <v>0</v>
      </c>
      <c r="AM176" s="79">
        <v>0</v>
      </c>
      <c r="AN176" s="79">
        <v>0</v>
      </c>
      <c r="AO176" s="79">
        <v>0</v>
      </c>
      <c r="AP176" s="79">
        <v>0</v>
      </c>
      <c r="AQ176" s="79">
        <v>0</v>
      </c>
      <c r="AR176" s="80">
        <v>6.2769999999999997E-5</v>
      </c>
      <c r="AS176" s="80">
        <v>6.5520999999999998E-5</v>
      </c>
      <c r="AT176" s="79">
        <v>4956.4160000000002</v>
      </c>
      <c r="AU176" s="79">
        <v>0</v>
      </c>
      <c r="AV176" s="79">
        <v>5745.6</v>
      </c>
      <c r="AW176" s="79">
        <v>71047.861132075501</v>
      </c>
      <c r="AX176" s="79">
        <v>6</v>
      </c>
      <c r="AY176" s="79">
        <v>8.16</v>
      </c>
      <c r="AZ176" s="79">
        <v>1683</v>
      </c>
      <c r="BA176" s="79">
        <v>1</v>
      </c>
      <c r="BB176" s="79">
        <v>0</v>
      </c>
      <c r="BC176" s="79">
        <v>0</v>
      </c>
      <c r="BD176" s="79">
        <v>0</v>
      </c>
      <c r="BE176" s="79">
        <v>0</v>
      </c>
      <c r="BF176" s="79">
        <v>0</v>
      </c>
      <c r="BG176" s="79">
        <v>0</v>
      </c>
      <c r="BH176" s="79">
        <v>0</v>
      </c>
      <c r="BI176" s="79">
        <v>0</v>
      </c>
      <c r="BJ176" s="79">
        <v>0</v>
      </c>
      <c r="BK176" s="79">
        <v>2</v>
      </c>
      <c r="BL176" s="79">
        <v>1406</v>
      </c>
      <c r="BM176" s="79">
        <v>50</v>
      </c>
      <c r="BN176" s="79">
        <v>8</v>
      </c>
      <c r="BO176">
        <v>2125</v>
      </c>
      <c r="BP176">
        <v>0</v>
      </c>
      <c r="BQ176">
        <v>2109</v>
      </c>
      <c r="BR176">
        <v>0</v>
      </c>
      <c r="BS176">
        <v>2068</v>
      </c>
      <c r="BT176">
        <v>0</v>
      </c>
      <c r="BU176">
        <v>2111</v>
      </c>
      <c r="BV176">
        <v>0</v>
      </c>
      <c r="BW176">
        <v>2111</v>
      </c>
      <c r="BX176">
        <v>0</v>
      </c>
      <c r="BY176">
        <v>2092</v>
      </c>
      <c r="BZ176">
        <v>0</v>
      </c>
      <c r="CB176">
        <v>183.10599999999999</v>
      </c>
      <c r="CC176">
        <v>19</v>
      </c>
      <c r="CD176">
        <v>10</v>
      </c>
      <c r="CE176">
        <v>4233.42</v>
      </c>
      <c r="CF176">
        <v>1144.08</v>
      </c>
      <c r="CG176">
        <v>36.116026503567802</v>
      </c>
      <c r="CH176">
        <v>155</v>
      </c>
      <c r="CI176">
        <v>37</v>
      </c>
      <c r="CJ176">
        <v>26.3333333333333</v>
      </c>
      <c r="CK176" s="81">
        <v>393</v>
      </c>
      <c r="CL176">
        <v>66</v>
      </c>
      <c r="CM176">
        <v>1470.15422064316</v>
      </c>
      <c r="CN176">
        <v>6.6000000000000003E-2</v>
      </c>
      <c r="CO176">
        <v>9077</v>
      </c>
      <c r="CP176">
        <v>1369</v>
      </c>
      <c r="CQ176">
        <v>275</v>
      </c>
      <c r="CR176">
        <v>243</v>
      </c>
      <c r="CS176">
        <v>265</v>
      </c>
      <c r="CT176">
        <v>140</v>
      </c>
      <c r="CU176">
        <v>112.555263157895</v>
      </c>
      <c r="CV176">
        <v>72.337993421052602</v>
      </c>
      <c r="CW176">
        <v>26.546052631578899</v>
      </c>
      <c r="CX176">
        <v>248.6336</v>
      </c>
      <c r="CY176">
        <v>159.79400000000001</v>
      </c>
      <c r="CZ176">
        <v>58.64</v>
      </c>
      <c r="DA176">
        <v>3650</v>
      </c>
      <c r="DE176">
        <v>531</v>
      </c>
      <c r="DF176" t="s">
        <v>145</v>
      </c>
      <c r="DG176">
        <v>6560</v>
      </c>
      <c r="DH176">
        <v>6777</v>
      </c>
      <c r="DI176">
        <v>6840</v>
      </c>
      <c r="DJ176">
        <v>6929</v>
      </c>
      <c r="DK176">
        <v>7037</v>
      </c>
      <c r="DO176">
        <v>1942</v>
      </c>
      <c r="DP176" t="s">
        <v>118</v>
      </c>
      <c r="DQ176">
        <v>26529</v>
      </c>
      <c r="DR176">
        <v>1.01</v>
      </c>
      <c r="DS176">
        <v>1908</v>
      </c>
      <c r="DV176">
        <v>1659</v>
      </c>
      <c r="DW176" t="s">
        <v>171</v>
      </c>
      <c r="DX176">
        <v>2564.0331551968602</v>
      </c>
      <c r="DY176">
        <v>474</v>
      </c>
      <c r="DZ176">
        <v>496</v>
      </c>
      <c r="EA176">
        <v>228</v>
      </c>
      <c r="EB176">
        <v>1712</v>
      </c>
      <c r="EC176">
        <v>1030</v>
      </c>
      <c r="ED176">
        <v>314</v>
      </c>
      <c r="EE176" s="82">
        <v>0.17452175109174101</v>
      </c>
      <c r="EF176" s="82">
        <v>0.44140850577478302</v>
      </c>
    </row>
    <row r="177" spans="1:136" x14ac:dyDescent="0.35">
      <c r="A177" s="72">
        <v>416</v>
      </c>
      <c r="B177" s="72">
        <v>7</v>
      </c>
      <c r="D177" s="72" t="s">
        <v>175</v>
      </c>
      <c r="E177" s="79">
        <v>2529600000</v>
      </c>
      <c r="F177" s="79">
        <v>288050000</v>
      </c>
      <c r="G177" s="79">
        <v>298200000</v>
      </c>
      <c r="H177" s="79">
        <v>27992</v>
      </c>
      <c r="I177" s="79">
        <v>2</v>
      </c>
      <c r="J177" s="79">
        <v>298.2</v>
      </c>
      <c r="K177" s="79">
        <v>5836</v>
      </c>
      <c r="L177" s="79">
        <v>5690</v>
      </c>
      <c r="M177" s="79">
        <v>1621</v>
      </c>
      <c r="N177" s="79">
        <v>2928</v>
      </c>
      <c r="O177" s="79">
        <v>1767.6</v>
      </c>
      <c r="P177" s="79">
        <v>311</v>
      </c>
      <c r="Q177" s="79">
        <v>1692</v>
      </c>
      <c r="R177" s="79">
        <v>800</v>
      </c>
      <c r="S177" s="79">
        <v>0</v>
      </c>
      <c r="T177" s="79">
        <v>848</v>
      </c>
      <c r="U177" s="79">
        <v>11845</v>
      </c>
      <c r="V177" s="79">
        <v>25650</v>
      </c>
      <c r="W177" s="79">
        <v>9700</v>
      </c>
      <c r="X177" s="79">
        <v>0</v>
      </c>
      <c r="Y177" s="79">
        <v>384</v>
      </c>
      <c r="Z177" s="79">
        <v>0</v>
      </c>
      <c r="AA177" s="79">
        <v>0</v>
      </c>
      <c r="AB177" s="79">
        <v>0</v>
      </c>
      <c r="AC177" s="79">
        <v>2373</v>
      </c>
      <c r="AD177" s="79">
        <v>2373</v>
      </c>
      <c r="AE177" s="79">
        <v>330</v>
      </c>
      <c r="AF177" s="79">
        <v>0</v>
      </c>
      <c r="AG177" s="79">
        <v>167</v>
      </c>
      <c r="AH177" s="79">
        <v>154</v>
      </c>
      <c r="AI177" s="79">
        <v>13</v>
      </c>
      <c r="AJ177" s="79">
        <v>11604</v>
      </c>
      <c r="AK177" s="79">
        <v>11604</v>
      </c>
      <c r="AL177" s="79">
        <v>0</v>
      </c>
      <c r="AM177" s="79">
        <v>0</v>
      </c>
      <c r="AN177" s="79">
        <v>0</v>
      </c>
      <c r="AO177" s="79">
        <v>0</v>
      </c>
      <c r="AP177" s="79">
        <v>1101</v>
      </c>
      <c r="AQ177" s="79">
        <v>0</v>
      </c>
      <c r="AR177" s="80">
        <v>2.5177899999999999E-4</v>
      </c>
      <c r="AS177" s="80">
        <v>9.4746000000000004E-5</v>
      </c>
      <c r="AT177" s="79">
        <v>10838.136</v>
      </c>
      <c r="AU177" s="79">
        <v>0</v>
      </c>
      <c r="AV177" s="79">
        <v>3356</v>
      </c>
      <c r="AW177" s="79">
        <v>34754.403255641897</v>
      </c>
      <c r="AX177" s="79">
        <v>7</v>
      </c>
      <c r="AY177" s="79">
        <v>7</v>
      </c>
      <c r="AZ177" s="79">
        <v>3026</v>
      </c>
      <c r="BA177" s="79">
        <v>1</v>
      </c>
      <c r="BB177" s="79">
        <v>0</v>
      </c>
      <c r="BC177" s="79">
        <v>0</v>
      </c>
      <c r="BD177" s="79">
        <v>0</v>
      </c>
      <c r="BE177" s="79">
        <v>0</v>
      </c>
      <c r="BF177" s="79">
        <v>0</v>
      </c>
      <c r="BG177" s="79">
        <v>0</v>
      </c>
      <c r="BH177" s="79">
        <v>0</v>
      </c>
      <c r="BI177" s="79">
        <v>0</v>
      </c>
      <c r="BJ177" s="79">
        <v>0</v>
      </c>
      <c r="BK177" s="79">
        <v>26</v>
      </c>
      <c r="BL177" s="79">
        <v>3193</v>
      </c>
      <c r="BM177" s="79">
        <v>154</v>
      </c>
      <c r="BN177" s="79">
        <v>13</v>
      </c>
      <c r="BO177">
        <v>6552</v>
      </c>
      <c r="BP177">
        <v>488</v>
      </c>
      <c r="BQ177">
        <v>6493</v>
      </c>
      <c r="BR177">
        <v>549</v>
      </c>
      <c r="BS177">
        <v>6433</v>
      </c>
      <c r="BT177">
        <v>636</v>
      </c>
      <c r="BU177">
        <v>6318</v>
      </c>
      <c r="BV177">
        <v>675</v>
      </c>
      <c r="BW177">
        <v>6164</v>
      </c>
      <c r="BX177">
        <v>620</v>
      </c>
      <c r="BY177">
        <v>6069</v>
      </c>
      <c r="BZ177">
        <v>536</v>
      </c>
      <c r="CB177">
        <v>554.41999999999996</v>
      </c>
      <c r="CC177">
        <v>89</v>
      </c>
      <c r="CD177">
        <v>58</v>
      </c>
      <c r="CE177">
        <v>8496.4699999999993</v>
      </c>
      <c r="CF177">
        <v>2286.66</v>
      </c>
      <c r="CG177">
        <v>133.52122685388301</v>
      </c>
      <c r="CH177">
        <v>340</v>
      </c>
      <c r="CI177">
        <v>114.666666666667</v>
      </c>
      <c r="CJ177">
        <v>92.3333333333333</v>
      </c>
      <c r="CK177" s="81">
        <v>1381</v>
      </c>
      <c r="CL177">
        <v>343</v>
      </c>
      <c r="CM177">
        <v>3046.67836630597</v>
      </c>
      <c r="CN177">
        <v>0.35799999999999998</v>
      </c>
      <c r="CO177">
        <v>22302</v>
      </c>
      <c r="CP177">
        <v>3572</v>
      </c>
      <c r="CQ177">
        <v>497</v>
      </c>
      <c r="CR177">
        <v>579</v>
      </c>
      <c r="CS177">
        <v>477</v>
      </c>
      <c r="CT177">
        <v>266</v>
      </c>
      <c r="CU177">
        <v>330.70144777662898</v>
      </c>
      <c r="CV177">
        <v>170.60599793174799</v>
      </c>
      <c r="CW177">
        <v>57.122543950361901</v>
      </c>
      <c r="CX177">
        <v>869.4855</v>
      </c>
      <c r="CY177">
        <v>448.56</v>
      </c>
      <c r="CZ177">
        <v>150.1875</v>
      </c>
      <c r="DA177">
        <v>0</v>
      </c>
      <c r="DE177">
        <v>532</v>
      </c>
      <c r="DF177" t="s">
        <v>284</v>
      </c>
      <c r="DG177">
        <v>4989</v>
      </c>
      <c r="DH177">
        <v>4890</v>
      </c>
      <c r="DI177">
        <v>4858</v>
      </c>
      <c r="DJ177">
        <v>4825</v>
      </c>
      <c r="DK177">
        <v>4721</v>
      </c>
      <c r="DO177">
        <v>392</v>
      </c>
      <c r="DP177" t="s">
        <v>126</v>
      </c>
      <c r="DQ177">
        <v>75555</v>
      </c>
      <c r="DR177">
        <v>1.02</v>
      </c>
      <c r="DS177">
        <v>3500</v>
      </c>
      <c r="DV177">
        <v>1685</v>
      </c>
      <c r="DW177" t="s">
        <v>172</v>
      </c>
      <c r="DX177">
        <v>1526.72557070126</v>
      </c>
      <c r="DY177">
        <v>321</v>
      </c>
      <c r="DZ177">
        <v>293</v>
      </c>
      <c r="EA177">
        <v>157</v>
      </c>
      <c r="EB177">
        <v>1159</v>
      </c>
      <c r="EC177">
        <v>630</v>
      </c>
      <c r="ED177">
        <v>221</v>
      </c>
      <c r="EE177" s="82">
        <v>0.13922368704187801</v>
      </c>
      <c r="EF177" s="82">
        <v>0.43372316852071502</v>
      </c>
    </row>
    <row r="178" spans="1:136" x14ac:dyDescent="0.35">
      <c r="A178" s="72">
        <v>417</v>
      </c>
      <c r="B178" s="72">
        <v>7</v>
      </c>
      <c r="D178" s="72" t="s">
        <v>177</v>
      </c>
      <c r="E178" s="79">
        <v>2589200000</v>
      </c>
      <c r="F178" s="79">
        <v>173250000</v>
      </c>
      <c r="G178" s="79">
        <v>179200000</v>
      </c>
      <c r="H178" s="79">
        <v>11195</v>
      </c>
      <c r="I178" s="79">
        <v>1</v>
      </c>
      <c r="J178" s="79">
        <v>179.2</v>
      </c>
      <c r="K178" s="79">
        <v>2191</v>
      </c>
      <c r="L178" s="79">
        <v>3499</v>
      </c>
      <c r="M178" s="79">
        <v>1155</v>
      </c>
      <c r="N178" s="79">
        <v>1317</v>
      </c>
      <c r="O178" s="79">
        <v>755.4</v>
      </c>
      <c r="P178" s="79">
        <v>109.666666666667</v>
      </c>
      <c r="Q178" s="79">
        <v>427.66666666666703</v>
      </c>
      <c r="R178" s="79">
        <v>250</v>
      </c>
      <c r="S178" s="79">
        <v>0</v>
      </c>
      <c r="T178" s="79">
        <v>377</v>
      </c>
      <c r="U178" s="79">
        <v>5426</v>
      </c>
      <c r="V178" s="79">
        <v>8690</v>
      </c>
      <c r="W178" s="79">
        <v>1300</v>
      </c>
      <c r="X178" s="79">
        <v>0</v>
      </c>
      <c r="Y178" s="79">
        <v>1252.8</v>
      </c>
      <c r="Z178" s="79">
        <v>0</v>
      </c>
      <c r="AA178" s="79">
        <v>0</v>
      </c>
      <c r="AB178" s="79">
        <v>0</v>
      </c>
      <c r="AC178" s="79">
        <v>1239</v>
      </c>
      <c r="AD178" s="79">
        <v>1239</v>
      </c>
      <c r="AE178" s="79">
        <v>2</v>
      </c>
      <c r="AF178" s="79">
        <v>0</v>
      </c>
      <c r="AG178" s="79">
        <v>73</v>
      </c>
      <c r="AH178" s="79">
        <v>70</v>
      </c>
      <c r="AI178" s="79">
        <v>3</v>
      </c>
      <c r="AJ178" s="79">
        <v>5616</v>
      </c>
      <c r="AK178" s="79">
        <v>5616</v>
      </c>
      <c r="AL178" s="79">
        <v>0</v>
      </c>
      <c r="AM178" s="79">
        <v>0</v>
      </c>
      <c r="AN178" s="79">
        <v>0</v>
      </c>
      <c r="AO178" s="79">
        <v>0</v>
      </c>
      <c r="AP178" s="79">
        <v>1634</v>
      </c>
      <c r="AQ178" s="79">
        <v>0</v>
      </c>
      <c r="AR178" s="80">
        <v>2.7848400000000001E-4</v>
      </c>
      <c r="AS178" s="80">
        <v>8.7148E-5</v>
      </c>
      <c r="AT178" s="79">
        <v>6155.1360000000004</v>
      </c>
      <c r="AU178" s="79">
        <v>0</v>
      </c>
      <c r="AV178" s="79">
        <v>67</v>
      </c>
      <c r="AW178" s="79">
        <v>604.40370668815501</v>
      </c>
      <c r="AX178" s="79">
        <v>1</v>
      </c>
      <c r="AY178" s="79">
        <v>1</v>
      </c>
      <c r="AZ178" s="79">
        <v>2311</v>
      </c>
      <c r="BA178" s="79">
        <v>1</v>
      </c>
      <c r="BB178" s="79">
        <v>0</v>
      </c>
      <c r="BC178" s="79">
        <v>0</v>
      </c>
      <c r="BD178" s="79">
        <v>0</v>
      </c>
      <c r="BE178" s="79">
        <v>0</v>
      </c>
      <c r="BF178" s="79">
        <v>0</v>
      </c>
      <c r="BG178" s="79">
        <v>0</v>
      </c>
      <c r="BH178" s="79">
        <v>0</v>
      </c>
      <c r="BI178" s="79">
        <v>0</v>
      </c>
      <c r="BJ178" s="79">
        <v>0</v>
      </c>
      <c r="BK178" s="79">
        <v>5</v>
      </c>
      <c r="BL178" s="79">
        <v>1804</v>
      </c>
      <c r="BM178" s="79">
        <v>70</v>
      </c>
      <c r="BN178" s="79">
        <v>3</v>
      </c>
      <c r="BO178">
        <v>2289</v>
      </c>
      <c r="BP178">
        <v>1855</v>
      </c>
      <c r="BQ178">
        <v>2221</v>
      </c>
      <c r="BR178">
        <v>1856</v>
      </c>
      <c r="BS178">
        <v>2212</v>
      </c>
      <c r="BT178">
        <v>1827</v>
      </c>
      <c r="BU178">
        <v>2152</v>
      </c>
      <c r="BV178">
        <v>1812</v>
      </c>
      <c r="BW178">
        <v>2100</v>
      </c>
      <c r="BX178">
        <v>1785</v>
      </c>
      <c r="BY178">
        <v>2092</v>
      </c>
      <c r="BZ178">
        <v>1780</v>
      </c>
      <c r="CB178">
        <v>230.05500000000001</v>
      </c>
      <c r="CC178">
        <v>10</v>
      </c>
      <c r="CD178">
        <v>17</v>
      </c>
      <c r="CE178">
        <v>4805.38</v>
      </c>
      <c r="CF178">
        <v>1124.23</v>
      </c>
      <c r="CG178">
        <v>34.724705209656904</v>
      </c>
      <c r="CH178">
        <v>146</v>
      </c>
      <c r="CI178">
        <v>35</v>
      </c>
      <c r="CJ178">
        <v>27.6666666666667</v>
      </c>
      <c r="CK178" s="81">
        <v>318</v>
      </c>
      <c r="CL178">
        <v>74</v>
      </c>
      <c r="CM178">
        <v>1627.01484118291</v>
      </c>
      <c r="CN178">
        <v>9.6000000000000002E-2</v>
      </c>
      <c r="CO178">
        <v>7696</v>
      </c>
      <c r="CP178">
        <v>1690</v>
      </c>
      <c r="CQ178">
        <v>654</v>
      </c>
      <c r="CR178">
        <v>433</v>
      </c>
      <c r="CS178">
        <v>390</v>
      </c>
      <c r="CT178">
        <v>247</v>
      </c>
      <c r="CU178">
        <v>143.251602564103</v>
      </c>
      <c r="CV178">
        <v>101.015918803419</v>
      </c>
      <c r="CW178">
        <v>48.8266025641026</v>
      </c>
      <c r="CX178">
        <v>96.808499999999995</v>
      </c>
      <c r="CY178">
        <v>68.265900000000002</v>
      </c>
      <c r="CZ178">
        <v>32.996699999999997</v>
      </c>
      <c r="DA178">
        <v>39925</v>
      </c>
      <c r="DE178">
        <v>534</v>
      </c>
      <c r="DF178" t="s">
        <v>150</v>
      </c>
      <c r="DG178">
        <v>4241</v>
      </c>
      <c r="DH178">
        <v>4158</v>
      </c>
      <c r="DI178">
        <v>4189</v>
      </c>
      <c r="DJ178">
        <v>4220</v>
      </c>
      <c r="DK178">
        <v>4198</v>
      </c>
      <c r="DO178">
        <v>393</v>
      </c>
      <c r="DP178" t="s">
        <v>811</v>
      </c>
      <c r="DQ178">
        <v>2581</v>
      </c>
      <c r="DR178">
        <v>1.1399999999999999</v>
      </c>
      <c r="DS178">
        <v>603</v>
      </c>
      <c r="DV178">
        <v>882</v>
      </c>
      <c r="DW178" t="s">
        <v>173</v>
      </c>
      <c r="DX178">
        <v>6281.2657693623796</v>
      </c>
      <c r="DY178">
        <v>1134</v>
      </c>
      <c r="DZ178">
        <v>1029</v>
      </c>
      <c r="EA178">
        <v>471</v>
      </c>
      <c r="EB178">
        <v>3339</v>
      </c>
      <c r="EC178">
        <v>1964</v>
      </c>
      <c r="ED178">
        <v>649</v>
      </c>
      <c r="EE178" s="82">
        <v>0.238375573418218</v>
      </c>
      <c r="EF178" s="82">
        <v>0.53927286471392499</v>
      </c>
    </row>
    <row r="179" spans="1:136" x14ac:dyDescent="0.35">
      <c r="A179" s="72">
        <v>420</v>
      </c>
      <c r="B179" s="72">
        <v>7</v>
      </c>
      <c r="D179" s="72" t="s">
        <v>196</v>
      </c>
      <c r="E179" s="79">
        <v>3567600000</v>
      </c>
      <c r="F179" s="79">
        <v>674450000</v>
      </c>
      <c r="G179" s="79">
        <v>718200000</v>
      </c>
      <c r="H179" s="79">
        <v>44809</v>
      </c>
      <c r="I179" s="79">
        <v>7</v>
      </c>
      <c r="J179" s="79">
        <v>718.2</v>
      </c>
      <c r="K179" s="79">
        <v>9107</v>
      </c>
      <c r="L179" s="79">
        <v>9208</v>
      </c>
      <c r="M179" s="79">
        <v>2656</v>
      </c>
      <c r="N179" s="79">
        <v>5528</v>
      </c>
      <c r="O179" s="79">
        <v>3541.5</v>
      </c>
      <c r="P179" s="79">
        <v>538</v>
      </c>
      <c r="Q179" s="79">
        <v>3035</v>
      </c>
      <c r="R179" s="79">
        <v>1290</v>
      </c>
      <c r="S179" s="79">
        <v>0</v>
      </c>
      <c r="T179" s="79">
        <v>1206</v>
      </c>
      <c r="U179" s="79">
        <v>19545</v>
      </c>
      <c r="V179" s="79">
        <v>38600</v>
      </c>
      <c r="W179" s="79">
        <v>12600</v>
      </c>
      <c r="X179" s="79">
        <v>0</v>
      </c>
      <c r="Y179" s="79">
        <v>289.60000000000002</v>
      </c>
      <c r="Z179" s="79">
        <v>0</v>
      </c>
      <c r="AA179" s="79">
        <v>0</v>
      </c>
      <c r="AB179" s="79">
        <v>2.2999999999999501</v>
      </c>
      <c r="AC179" s="79">
        <v>12108</v>
      </c>
      <c r="AD179" s="79">
        <v>15498.24</v>
      </c>
      <c r="AE179" s="79">
        <v>610</v>
      </c>
      <c r="AF179" s="79">
        <v>10000</v>
      </c>
      <c r="AG179" s="79">
        <v>394</v>
      </c>
      <c r="AH179" s="79">
        <v>374.22</v>
      </c>
      <c r="AI179" s="79">
        <v>123.84</v>
      </c>
      <c r="AJ179" s="79">
        <v>19865</v>
      </c>
      <c r="AK179" s="79">
        <v>25029.9</v>
      </c>
      <c r="AL179" s="79">
        <v>31</v>
      </c>
      <c r="AM179" s="79">
        <v>0</v>
      </c>
      <c r="AN179" s="79">
        <v>0</v>
      </c>
      <c r="AO179" s="79">
        <v>5950</v>
      </c>
      <c r="AP179" s="79">
        <v>1776</v>
      </c>
      <c r="AQ179" s="79">
        <v>803</v>
      </c>
      <c r="AR179" s="80">
        <v>5.9836899999999996E-4</v>
      </c>
      <c r="AS179" s="80">
        <v>1.58083E-4</v>
      </c>
      <c r="AT179" s="79">
        <v>10329.799999999999</v>
      </c>
      <c r="AU179" s="79">
        <v>0</v>
      </c>
      <c r="AV179" s="79">
        <v>10777.6</v>
      </c>
      <c r="AW179" s="79">
        <v>54324.940550400999</v>
      </c>
      <c r="AX179" s="79">
        <v>21</v>
      </c>
      <c r="AY179" s="79">
        <v>27.09</v>
      </c>
      <c r="AZ179" s="79">
        <v>5465</v>
      </c>
      <c r="BA179" s="79">
        <v>1</v>
      </c>
      <c r="BB179" s="79">
        <v>0</v>
      </c>
      <c r="BC179" s="79">
        <v>0</v>
      </c>
      <c r="BD179" s="79">
        <v>0</v>
      </c>
      <c r="BE179" s="79">
        <v>0</v>
      </c>
      <c r="BF179" s="79">
        <v>0</v>
      </c>
      <c r="BG179" s="79">
        <v>0</v>
      </c>
      <c r="BH179" s="79">
        <v>0</v>
      </c>
      <c r="BI179" s="79">
        <v>0</v>
      </c>
      <c r="BJ179" s="79">
        <v>0</v>
      </c>
      <c r="BK179" s="79">
        <v>53</v>
      </c>
      <c r="BL179" s="79">
        <v>5742</v>
      </c>
      <c r="BM179" s="79">
        <v>297</v>
      </c>
      <c r="BN179" s="79">
        <v>96</v>
      </c>
      <c r="BO179">
        <v>9877</v>
      </c>
      <c r="BP179">
        <v>327</v>
      </c>
      <c r="BQ179">
        <v>9843</v>
      </c>
      <c r="BR179">
        <v>340</v>
      </c>
      <c r="BS179">
        <v>9791</v>
      </c>
      <c r="BT179">
        <v>332</v>
      </c>
      <c r="BU179">
        <v>9665</v>
      </c>
      <c r="BV179">
        <v>343</v>
      </c>
      <c r="BW179">
        <v>9594</v>
      </c>
      <c r="BX179">
        <v>373</v>
      </c>
      <c r="BY179">
        <v>9486</v>
      </c>
      <c r="BZ179">
        <v>376</v>
      </c>
      <c r="CB179">
        <v>828.73699999999997</v>
      </c>
      <c r="CC179">
        <v>139</v>
      </c>
      <c r="CD179">
        <v>98</v>
      </c>
      <c r="CE179">
        <v>12645.58</v>
      </c>
      <c r="CF179">
        <v>3292.08</v>
      </c>
      <c r="CG179">
        <v>257.764020881671</v>
      </c>
      <c r="CH179">
        <v>465</v>
      </c>
      <c r="CI179">
        <v>178</v>
      </c>
      <c r="CJ179">
        <v>140</v>
      </c>
      <c r="CK179" s="81">
        <v>2497</v>
      </c>
      <c r="CL179">
        <v>814</v>
      </c>
      <c r="CM179">
        <v>4999.9567981703804</v>
      </c>
      <c r="CN179">
        <v>0.66800000000000004</v>
      </c>
      <c r="CO179">
        <v>35601</v>
      </c>
      <c r="CP179">
        <v>5786</v>
      </c>
      <c r="CQ179">
        <v>766</v>
      </c>
      <c r="CR179">
        <v>1072</v>
      </c>
      <c r="CS179">
        <v>827</v>
      </c>
      <c r="CT179">
        <v>370</v>
      </c>
      <c r="CU179">
        <v>632.35341052101705</v>
      </c>
      <c r="CV179">
        <v>332.13262018625699</v>
      </c>
      <c r="CW179">
        <v>91.813365215202595</v>
      </c>
      <c r="CX179">
        <v>1621.3336999999999</v>
      </c>
      <c r="CY179">
        <v>851.57730000000004</v>
      </c>
      <c r="CZ179">
        <v>235.40649999999999</v>
      </c>
      <c r="DA179">
        <v>94170</v>
      </c>
      <c r="DE179">
        <v>537</v>
      </c>
      <c r="DF179" t="s">
        <v>166</v>
      </c>
      <c r="DG179">
        <v>14831</v>
      </c>
      <c r="DH179">
        <v>14747</v>
      </c>
      <c r="DI179">
        <v>14613</v>
      </c>
      <c r="DJ179">
        <v>14758</v>
      </c>
      <c r="DK179">
        <v>14729</v>
      </c>
      <c r="DO179">
        <v>394</v>
      </c>
      <c r="DP179" t="s">
        <v>127</v>
      </c>
      <c r="DQ179">
        <v>60924</v>
      </c>
      <c r="DR179">
        <v>1.1399999999999999</v>
      </c>
      <c r="DS179">
        <v>1556</v>
      </c>
      <c r="DV179">
        <v>415</v>
      </c>
      <c r="DW179" t="s">
        <v>174</v>
      </c>
      <c r="DX179">
        <v>1130.35049627792</v>
      </c>
      <c r="DY179">
        <v>252</v>
      </c>
      <c r="DZ179">
        <v>248</v>
      </c>
      <c r="EA179">
        <v>131</v>
      </c>
      <c r="EB179">
        <v>838</v>
      </c>
      <c r="EC179">
        <v>534</v>
      </c>
      <c r="ED179">
        <v>188</v>
      </c>
      <c r="EE179" s="82">
        <v>0.13315810566788699</v>
      </c>
      <c r="EF179" s="82">
        <v>0.29319128730346999</v>
      </c>
    </row>
    <row r="180" spans="1:136" x14ac:dyDescent="0.35">
      <c r="A180" s="72">
        <v>431</v>
      </c>
      <c r="B180" s="72">
        <v>7</v>
      </c>
      <c r="D180" s="72" t="s">
        <v>235</v>
      </c>
      <c r="E180" s="79">
        <v>1064400000</v>
      </c>
      <c r="F180" s="79">
        <v>123200000</v>
      </c>
      <c r="G180" s="79">
        <v>126700000</v>
      </c>
      <c r="H180" s="79">
        <v>9757</v>
      </c>
      <c r="I180" s="79">
        <v>1</v>
      </c>
      <c r="J180" s="79">
        <v>126.7</v>
      </c>
      <c r="K180" s="79">
        <v>1927</v>
      </c>
      <c r="L180" s="79">
        <v>1952</v>
      </c>
      <c r="M180" s="79">
        <v>663</v>
      </c>
      <c r="N180" s="79">
        <v>1062</v>
      </c>
      <c r="O180" s="79">
        <v>651.1</v>
      </c>
      <c r="P180" s="79">
        <v>103</v>
      </c>
      <c r="Q180" s="79">
        <v>483</v>
      </c>
      <c r="R180" s="79">
        <v>375</v>
      </c>
      <c r="S180" s="79">
        <v>0</v>
      </c>
      <c r="T180" s="79">
        <v>313</v>
      </c>
      <c r="U180" s="79">
        <v>4164</v>
      </c>
      <c r="V180" s="79">
        <v>4770</v>
      </c>
      <c r="W180" s="79">
        <v>270</v>
      </c>
      <c r="X180" s="79">
        <v>0</v>
      </c>
      <c r="Y180" s="79">
        <v>0</v>
      </c>
      <c r="Z180" s="79">
        <v>0</v>
      </c>
      <c r="AA180" s="79">
        <v>0</v>
      </c>
      <c r="AB180" s="79">
        <v>0</v>
      </c>
      <c r="AC180" s="79">
        <v>1154</v>
      </c>
      <c r="AD180" s="79">
        <v>1454.04</v>
      </c>
      <c r="AE180" s="79">
        <v>454</v>
      </c>
      <c r="AF180" s="79">
        <v>0</v>
      </c>
      <c r="AG180" s="79">
        <v>49</v>
      </c>
      <c r="AH180" s="79">
        <v>60.75</v>
      </c>
      <c r="AI180" s="79">
        <v>4.84</v>
      </c>
      <c r="AJ180" s="79">
        <v>4109</v>
      </c>
      <c r="AK180" s="79">
        <v>5547.15</v>
      </c>
      <c r="AL180" s="79">
        <v>0</v>
      </c>
      <c r="AM180" s="79">
        <v>0</v>
      </c>
      <c r="AN180" s="79">
        <v>0</v>
      </c>
      <c r="AO180" s="79">
        <v>0</v>
      </c>
      <c r="AP180" s="79">
        <v>797</v>
      </c>
      <c r="AQ180" s="79">
        <v>0</v>
      </c>
      <c r="AR180" s="80">
        <v>1.07664E-4</v>
      </c>
      <c r="AS180" s="80">
        <v>6.1731999999999998E-5</v>
      </c>
      <c r="AT180" s="79">
        <v>4363.7579999999998</v>
      </c>
      <c r="AU180" s="79">
        <v>0</v>
      </c>
      <c r="AV180" s="79">
        <v>4748.9399999999996</v>
      </c>
      <c r="AW180" s="79">
        <v>73969.3460820896</v>
      </c>
      <c r="AX180" s="79">
        <v>4</v>
      </c>
      <c r="AY180" s="79">
        <v>4.84</v>
      </c>
      <c r="AZ180" s="79">
        <v>1121</v>
      </c>
      <c r="BA180" s="79">
        <v>1</v>
      </c>
      <c r="BB180" s="79">
        <v>0</v>
      </c>
      <c r="BC180" s="79">
        <v>0</v>
      </c>
      <c r="BD180" s="79">
        <v>0</v>
      </c>
      <c r="BE180" s="79">
        <v>0</v>
      </c>
      <c r="BF180" s="79">
        <v>0</v>
      </c>
      <c r="BG180" s="79">
        <v>0</v>
      </c>
      <c r="BH180" s="79">
        <v>0</v>
      </c>
      <c r="BI180" s="79">
        <v>0</v>
      </c>
      <c r="BJ180" s="79">
        <v>0</v>
      </c>
      <c r="BK180" s="79">
        <v>0</v>
      </c>
      <c r="BL180" s="79">
        <v>1134</v>
      </c>
      <c r="BM180" s="79">
        <v>45</v>
      </c>
      <c r="BN180" s="79">
        <v>4</v>
      </c>
      <c r="BO180">
        <v>2104</v>
      </c>
      <c r="BP180">
        <v>0</v>
      </c>
      <c r="BQ180">
        <v>2048</v>
      </c>
      <c r="BR180">
        <v>0</v>
      </c>
      <c r="BS180">
        <v>2009</v>
      </c>
      <c r="BT180">
        <v>0</v>
      </c>
      <c r="BU180">
        <v>1973</v>
      </c>
      <c r="BV180">
        <v>0</v>
      </c>
      <c r="BW180">
        <v>1935</v>
      </c>
      <c r="BX180">
        <v>0</v>
      </c>
      <c r="BY180">
        <v>1891</v>
      </c>
      <c r="BZ180">
        <v>0</v>
      </c>
      <c r="CB180">
        <v>131.036</v>
      </c>
      <c r="CC180">
        <v>28</v>
      </c>
      <c r="CD180">
        <v>13</v>
      </c>
      <c r="CE180">
        <v>3231.89</v>
      </c>
      <c r="CF180">
        <v>962.4</v>
      </c>
      <c r="CG180">
        <v>43.868131894484399</v>
      </c>
      <c r="CH180">
        <v>122</v>
      </c>
      <c r="CI180">
        <v>36.3333333333333</v>
      </c>
      <c r="CJ180">
        <v>28</v>
      </c>
      <c r="CK180" s="81">
        <v>380</v>
      </c>
      <c r="CL180">
        <v>68</v>
      </c>
      <c r="CM180">
        <v>1036.3937962963</v>
      </c>
      <c r="CN180">
        <v>5.8999999999999997E-2</v>
      </c>
      <c r="CO180">
        <v>7805</v>
      </c>
      <c r="CP180">
        <v>1072</v>
      </c>
      <c r="CQ180">
        <v>217</v>
      </c>
      <c r="CR180">
        <v>204</v>
      </c>
      <c r="CS180">
        <v>233</v>
      </c>
      <c r="CT180">
        <v>107</v>
      </c>
      <c r="CU180">
        <v>104.581650036505</v>
      </c>
      <c r="CV180">
        <v>74.633268435142398</v>
      </c>
      <c r="CW180">
        <v>24.560842054027699</v>
      </c>
      <c r="CX180">
        <v>231</v>
      </c>
      <c r="CY180">
        <v>164.85</v>
      </c>
      <c r="CZ180">
        <v>54.25</v>
      </c>
      <c r="DA180">
        <v>0</v>
      </c>
      <c r="DE180">
        <v>542</v>
      </c>
      <c r="DF180" t="s">
        <v>169</v>
      </c>
      <c r="DG180">
        <v>6443</v>
      </c>
      <c r="DH180">
        <v>6432</v>
      </c>
      <c r="DI180">
        <v>6320</v>
      </c>
      <c r="DJ180">
        <v>6315</v>
      </c>
      <c r="DK180">
        <v>6303</v>
      </c>
      <c r="DO180">
        <v>396</v>
      </c>
      <c r="DP180" t="s">
        <v>134</v>
      </c>
      <c r="DQ180">
        <v>17562</v>
      </c>
      <c r="DR180">
        <v>1.01</v>
      </c>
      <c r="DS180">
        <v>2321</v>
      </c>
      <c r="DV180">
        <v>416</v>
      </c>
      <c r="DW180" t="s">
        <v>175</v>
      </c>
      <c r="DX180">
        <v>2894.0305518763798</v>
      </c>
      <c r="DY180">
        <v>548</v>
      </c>
      <c r="DZ180">
        <v>434</v>
      </c>
      <c r="EA180">
        <v>252</v>
      </c>
      <c r="EB180">
        <v>2100</v>
      </c>
      <c r="EC180">
        <v>1045</v>
      </c>
      <c r="ED180">
        <v>347</v>
      </c>
      <c r="EE180" s="82">
        <v>0.151567328918322</v>
      </c>
      <c r="EF180" s="82">
        <v>0.40056396059305099</v>
      </c>
    </row>
    <row r="181" spans="1:136" x14ac:dyDescent="0.35">
      <c r="A181" s="72">
        <v>432</v>
      </c>
      <c r="B181" s="72">
        <v>7</v>
      </c>
      <c r="D181" s="72" t="s">
        <v>236</v>
      </c>
      <c r="E181" s="79">
        <v>953600000</v>
      </c>
      <c r="F181" s="79">
        <v>156800000</v>
      </c>
      <c r="G181" s="79">
        <v>173950000</v>
      </c>
      <c r="H181" s="79">
        <v>11779</v>
      </c>
      <c r="I181" s="79">
        <v>1</v>
      </c>
      <c r="J181" s="79">
        <v>173.95</v>
      </c>
      <c r="K181" s="79">
        <v>2305</v>
      </c>
      <c r="L181" s="79">
        <v>2460</v>
      </c>
      <c r="M181" s="79">
        <v>764</v>
      </c>
      <c r="N181" s="79">
        <v>1403</v>
      </c>
      <c r="O181" s="79">
        <v>907.8</v>
      </c>
      <c r="P181" s="79">
        <v>107.333333333333</v>
      </c>
      <c r="Q181" s="79">
        <v>619.33333333333303</v>
      </c>
      <c r="R181" s="79">
        <v>185</v>
      </c>
      <c r="S181" s="79">
        <v>0</v>
      </c>
      <c r="T181" s="79">
        <v>283</v>
      </c>
      <c r="U181" s="79">
        <v>5048</v>
      </c>
      <c r="V181" s="79">
        <v>10650</v>
      </c>
      <c r="W181" s="79">
        <v>2020</v>
      </c>
      <c r="X181" s="79">
        <v>0</v>
      </c>
      <c r="Y181" s="79">
        <v>0</v>
      </c>
      <c r="Z181" s="79">
        <v>0</v>
      </c>
      <c r="AA181" s="79">
        <v>0</v>
      </c>
      <c r="AB181" s="79">
        <v>0</v>
      </c>
      <c r="AC181" s="79">
        <v>4149</v>
      </c>
      <c r="AD181" s="79">
        <v>4895.82</v>
      </c>
      <c r="AE181" s="79">
        <v>45</v>
      </c>
      <c r="AF181" s="79">
        <v>0</v>
      </c>
      <c r="AG181" s="79">
        <v>110</v>
      </c>
      <c r="AH181" s="79">
        <v>88.48</v>
      </c>
      <c r="AI181" s="79">
        <v>36.89</v>
      </c>
      <c r="AJ181" s="79">
        <v>4952</v>
      </c>
      <c r="AK181" s="79">
        <v>5546.24</v>
      </c>
      <c r="AL181" s="79">
        <v>0</v>
      </c>
      <c r="AM181" s="79">
        <v>0</v>
      </c>
      <c r="AN181" s="79">
        <v>0</v>
      </c>
      <c r="AO181" s="79">
        <v>0</v>
      </c>
      <c r="AP181" s="79">
        <v>0</v>
      </c>
      <c r="AQ181" s="79">
        <v>0</v>
      </c>
      <c r="AR181" s="80">
        <v>1.06526E-4</v>
      </c>
      <c r="AS181" s="80">
        <v>3.7902999999999999E-5</v>
      </c>
      <c r="AT181" s="79">
        <v>2530.4720000000002</v>
      </c>
      <c r="AU181" s="79">
        <v>0</v>
      </c>
      <c r="AV181" s="79">
        <v>1862.04</v>
      </c>
      <c r="AW181" s="79">
        <v>5229.6063805436297</v>
      </c>
      <c r="AX181" s="79">
        <v>6</v>
      </c>
      <c r="AY181" s="79">
        <v>7.14</v>
      </c>
      <c r="AZ181" s="79">
        <v>1439</v>
      </c>
      <c r="BA181" s="79">
        <v>1</v>
      </c>
      <c r="BB181" s="79">
        <v>0</v>
      </c>
      <c r="BC181" s="79">
        <v>0</v>
      </c>
      <c r="BD181" s="79">
        <v>0</v>
      </c>
      <c r="BE181" s="79">
        <v>0</v>
      </c>
      <c r="BF181" s="79">
        <v>0</v>
      </c>
      <c r="BG181" s="79">
        <v>0</v>
      </c>
      <c r="BH181" s="79">
        <v>0</v>
      </c>
      <c r="BI181" s="79">
        <v>0</v>
      </c>
      <c r="BJ181" s="79">
        <v>0</v>
      </c>
      <c r="BK181" s="79">
        <v>15</v>
      </c>
      <c r="BL181" s="79">
        <v>1514</v>
      </c>
      <c r="BM181" s="79">
        <v>79</v>
      </c>
      <c r="BN181" s="79">
        <v>31</v>
      </c>
      <c r="BO181">
        <v>2766</v>
      </c>
      <c r="BP181">
        <v>0</v>
      </c>
      <c r="BQ181">
        <v>2754</v>
      </c>
      <c r="BR181">
        <v>0</v>
      </c>
      <c r="BS181">
        <v>2692</v>
      </c>
      <c r="BT181">
        <v>0</v>
      </c>
      <c r="BU181">
        <v>2615</v>
      </c>
      <c r="BV181">
        <v>0</v>
      </c>
      <c r="BW181">
        <v>2569</v>
      </c>
      <c r="BX181">
        <v>0</v>
      </c>
      <c r="BY181">
        <v>2500</v>
      </c>
      <c r="BZ181">
        <v>0</v>
      </c>
      <c r="CB181">
        <v>154.435</v>
      </c>
      <c r="CC181">
        <v>34</v>
      </c>
      <c r="CD181">
        <v>14</v>
      </c>
      <c r="CE181">
        <v>3463.6</v>
      </c>
      <c r="CF181">
        <v>879.2</v>
      </c>
      <c r="CG181">
        <v>33.511347731000498</v>
      </c>
      <c r="CH181">
        <v>116</v>
      </c>
      <c r="CI181">
        <v>33.6666666666667</v>
      </c>
      <c r="CJ181">
        <v>25.6666666666667</v>
      </c>
      <c r="CK181" s="81">
        <v>512</v>
      </c>
      <c r="CL181">
        <v>124</v>
      </c>
      <c r="CM181">
        <v>1188.3739167254801</v>
      </c>
      <c r="CN181">
        <v>5.8999999999999997E-2</v>
      </c>
      <c r="CO181">
        <v>9319</v>
      </c>
      <c r="CP181">
        <v>1473</v>
      </c>
      <c r="CQ181">
        <v>223</v>
      </c>
      <c r="CR181">
        <v>250</v>
      </c>
      <c r="CS181">
        <v>254</v>
      </c>
      <c r="CT181">
        <v>124</v>
      </c>
      <c r="CU181">
        <v>162.971365105008</v>
      </c>
      <c r="CV181">
        <v>99.7260096930533</v>
      </c>
      <c r="CW181">
        <v>28.964539579967699</v>
      </c>
      <c r="CX181">
        <v>382.18110000000001</v>
      </c>
      <c r="CY181">
        <v>233.8656</v>
      </c>
      <c r="CZ181">
        <v>67.924199999999999</v>
      </c>
      <c r="DA181">
        <v>0</v>
      </c>
      <c r="DE181">
        <v>545</v>
      </c>
      <c r="DF181" t="s">
        <v>816</v>
      </c>
      <c r="DG181">
        <v>4758</v>
      </c>
      <c r="DH181">
        <v>4721</v>
      </c>
      <c r="DI181">
        <v>4669</v>
      </c>
      <c r="DJ181">
        <v>4609</v>
      </c>
      <c r="DK181">
        <v>4583</v>
      </c>
      <c r="DO181">
        <v>397</v>
      </c>
      <c r="DP181" t="s">
        <v>135</v>
      </c>
      <c r="DQ181">
        <v>12874</v>
      </c>
      <c r="DR181">
        <v>1</v>
      </c>
      <c r="DS181">
        <v>1753</v>
      </c>
      <c r="DV181">
        <v>1621</v>
      </c>
      <c r="DW181" t="s">
        <v>176</v>
      </c>
      <c r="DX181">
        <v>4316.4480922029197</v>
      </c>
      <c r="DY181">
        <v>941</v>
      </c>
      <c r="DZ181">
        <v>853</v>
      </c>
      <c r="EA181">
        <v>426</v>
      </c>
      <c r="EB181">
        <v>3216</v>
      </c>
      <c r="EC181">
        <v>1925</v>
      </c>
      <c r="ED181">
        <v>665</v>
      </c>
      <c r="EE181" s="82">
        <v>8.2374856016685705E-2</v>
      </c>
      <c r="EF181" s="82">
        <v>0.28487032065244899</v>
      </c>
    </row>
    <row r="182" spans="1:136" x14ac:dyDescent="0.35">
      <c r="A182" s="72">
        <v>437</v>
      </c>
      <c r="B182" s="72">
        <v>7</v>
      </c>
      <c r="D182" s="72" t="s">
        <v>240</v>
      </c>
      <c r="E182" s="79">
        <v>1956800000</v>
      </c>
      <c r="F182" s="79">
        <v>442750000</v>
      </c>
      <c r="G182" s="79">
        <v>453950000</v>
      </c>
      <c r="H182" s="79">
        <v>13916</v>
      </c>
      <c r="I182" s="79">
        <v>2</v>
      </c>
      <c r="J182" s="79">
        <v>453.95</v>
      </c>
      <c r="K182" s="79">
        <v>2912</v>
      </c>
      <c r="L182" s="79">
        <v>2853</v>
      </c>
      <c r="M182" s="79">
        <v>825</v>
      </c>
      <c r="N182" s="79">
        <v>1591</v>
      </c>
      <c r="O182" s="79">
        <v>970.4</v>
      </c>
      <c r="P182" s="79">
        <v>176.333333333333</v>
      </c>
      <c r="Q182" s="79">
        <v>625.33333333333303</v>
      </c>
      <c r="R182" s="79">
        <v>1050</v>
      </c>
      <c r="S182" s="79">
        <v>0</v>
      </c>
      <c r="T182" s="79">
        <v>534</v>
      </c>
      <c r="U182" s="79">
        <v>6399</v>
      </c>
      <c r="V182" s="79">
        <v>6660</v>
      </c>
      <c r="W182" s="79">
        <v>340</v>
      </c>
      <c r="X182" s="79">
        <v>301.02</v>
      </c>
      <c r="Y182" s="79">
        <v>0</v>
      </c>
      <c r="Z182" s="79">
        <v>0</v>
      </c>
      <c r="AA182" s="79">
        <v>0</v>
      </c>
      <c r="AB182" s="79">
        <v>0</v>
      </c>
      <c r="AC182" s="79">
        <v>2398</v>
      </c>
      <c r="AD182" s="79">
        <v>3357.2</v>
      </c>
      <c r="AE182" s="79">
        <v>181</v>
      </c>
      <c r="AF182" s="79">
        <v>0</v>
      </c>
      <c r="AG182" s="79">
        <v>98</v>
      </c>
      <c r="AH182" s="79">
        <v>115.37</v>
      </c>
      <c r="AI182" s="79">
        <v>21.15</v>
      </c>
      <c r="AJ182" s="79">
        <v>6206</v>
      </c>
      <c r="AK182" s="79">
        <v>8626.34</v>
      </c>
      <c r="AL182" s="79">
        <v>0</v>
      </c>
      <c r="AM182" s="79">
        <v>0</v>
      </c>
      <c r="AN182" s="79">
        <v>0</v>
      </c>
      <c r="AO182" s="79">
        <v>0</v>
      </c>
      <c r="AP182" s="79">
        <v>0</v>
      </c>
      <c r="AQ182" s="79">
        <v>0</v>
      </c>
      <c r="AR182" s="80">
        <v>1.39801E-4</v>
      </c>
      <c r="AS182" s="80">
        <v>2.3588999999999999E-4</v>
      </c>
      <c r="AT182" s="79">
        <v>7949.8860000000004</v>
      </c>
      <c r="AU182" s="79">
        <v>0</v>
      </c>
      <c r="AV182" s="79">
        <v>2429</v>
      </c>
      <c r="AW182" s="79">
        <v>35165.014346645999</v>
      </c>
      <c r="AX182" s="79">
        <v>3</v>
      </c>
      <c r="AY182" s="79">
        <v>4.2300000000000004</v>
      </c>
      <c r="AZ182" s="79">
        <v>2462</v>
      </c>
      <c r="BA182" s="79">
        <v>1</v>
      </c>
      <c r="BB182" s="79">
        <v>0</v>
      </c>
      <c r="BC182" s="79">
        <v>0</v>
      </c>
      <c r="BD182" s="79">
        <v>0</v>
      </c>
      <c r="BE182" s="79">
        <v>0</v>
      </c>
      <c r="BF182" s="79">
        <v>0</v>
      </c>
      <c r="BG182" s="79">
        <v>0</v>
      </c>
      <c r="BH182" s="79">
        <v>0</v>
      </c>
      <c r="BI182" s="79">
        <v>0</v>
      </c>
      <c r="BJ182" s="79">
        <v>0</v>
      </c>
      <c r="BK182" s="79">
        <v>5</v>
      </c>
      <c r="BL182" s="79">
        <v>2307</v>
      </c>
      <c r="BM182" s="79">
        <v>83</v>
      </c>
      <c r="BN182" s="79">
        <v>15</v>
      </c>
      <c r="BO182">
        <v>2931</v>
      </c>
      <c r="BP182">
        <v>0</v>
      </c>
      <c r="BQ182">
        <v>2905</v>
      </c>
      <c r="BR182">
        <v>0</v>
      </c>
      <c r="BS182">
        <v>2856</v>
      </c>
      <c r="BT182">
        <v>0</v>
      </c>
      <c r="BU182">
        <v>2905</v>
      </c>
      <c r="BV182">
        <v>0</v>
      </c>
      <c r="BW182">
        <v>2872</v>
      </c>
      <c r="BX182">
        <v>0</v>
      </c>
      <c r="BY182">
        <v>2912</v>
      </c>
      <c r="BZ182">
        <v>0</v>
      </c>
      <c r="CB182">
        <v>232.96</v>
      </c>
      <c r="CC182">
        <v>8</v>
      </c>
      <c r="CD182">
        <v>17</v>
      </c>
      <c r="CE182">
        <v>5704.79</v>
      </c>
      <c r="CF182">
        <v>1540.8</v>
      </c>
      <c r="CG182">
        <v>46.846190863862503</v>
      </c>
      <c r="CH182">
        <v>200</v>
      </c>
      <c r="CI182">
        <v>52</v>
      </c>
      <c r="CJ182">
        <v>51</v>
      </c>
      <c r="CK182" s="81">
        <v>449</v>
      </c>
      <c r="CL182">
        <v>116</v>
      </c>
      <c r="CM182">
        <v>1511.5322406979301</v>
      </c>
      <c r="CN182">
        <v>0.122</v>
      </c>
      <c r="CO182">
        <v>11063</v>
      </c>
      <c r="CP182">
        <v>1688</v>
      </c>
      <c r="CQ182">
        <v>340</v>
      </c>
      <c r="CR182">
        <v>465</v>
      </c>
      <c r="CS182">
        <v>315</v>
      </c>
      <c r="CT182">
        <v>205</v>
      </c>
      <c r="CU182">
        <v>174.97222043183999</v>
      </c>
      <c r="CV182">
        <v>93.8188849500483</v>
      </c>
      <c r="CW182">
        <v>42.687592652272002</v>
      </c>
      <c r="CX182">
        <v>286.12830000000002</v>
      </c>
      <c r="CY182">
        <v>153.41999999999999</v>
      </c>
      <c r="CZ182">
        <v>69.806100000000001</v>
      </c>
      <c r="DA182">
        <v>2392</v>
      </c>
      <c r="DE182">
        <v>546</v>
      </c>
      <c r="DF182" t="s">
        <v>179</v>
      </c>
      <c r="DG182">
        <v>20901</v>
      </c>
      <c r="DH182">
        <v>20835</v>
      </c>
      <c r="DI182">
        <v>20691</v>
      </c>
      <c r="DJ182">
        <v>20693</v>
      </c>
      <c r="DK182">
        <v>20526</v>
      </c>
      <c r="DO182">
        <v>398</v>
      </c>
      <c r="DP182" t="s">
        <v>138</v>
      </c>
      <c r="DQ182">
        <v>23418</v>
      </c>
      <c r="DR182">
        <v>1</v>
      </c>
      <c r="DS182">
        <v>1688</v>
      </c>
      <c r="DV182">
        <v>417</v>
      </c>
      <c r="DW182" t="s">
        <v>177</v>
      </c>
      <c r="DX182">
        <v>1314.44577822991</v>
      </c>
      <c r="DY182">
        <v>432</v>
      </c>
      <c r="DZ182">
        <v>375</v>
      </c>
      <c r="EA182">
        <v>234</v>
      </c>
      <c r="EB182">
        <v>1081</v>
      </c>
      <c r="EC182">
        <v>736</v>
      </c>
      <c r="ED182">
        <v>346</v>
      </c>
      <c r="EE182" s="82">
        <v>0.13658131357629699</v>
      </c>
      <c r="EF182" s="82">
        <v>9.0910549187738804E-2</v>
      </c>
    </row>
    <row r="183" spans="1:136" x14ac:dyDescent="0.35">
      <c r="A183" s="72">
        <v>439</v>
      </c>
      <c r="B183" s="72">
        <v>7</v>
      </c>
      <c r="D183" s="72" t="s">
        <v>247</v>
      </c>
      <c r="E183" s="79">
        <v>6902000000</v>
      </c>
      <c r="F183" s="79">
        <v>893550000</v>
      </c>
      <c r="G183" s="79">
        <v>917350000</v>
      </c>
      <c r="H183" s="79">
        <v>80117</v>
      </c>
      <c r="I183" s="79">
        <v>1</v>
      </c>
      <c r="J183" s="79">
        <v>917.35</v>
      </c>
      <c r="K183" s="79">
        <v>14773</v>
      </c>
      <c r="L183" s="79">
        <v>15777</v>
      </c>
      <c r="M183" s="79">
        <v>5063</v>
      </c>
      <c r="N183" s="79">
        <v>11083</v>
      </c>
      <c r="O183" s="79">
        <v>7453.2</v>
      </c>
      <c r="P183" s="79">
        <v>1676</v>
      </c>
      <c r="Q183" s="79">
        <v>7130</v>
      </c>
      <c r="R183" s="79">
        <v>7880</v>
      </c>
      <c r="S183" s="79">
        <v>0</v>
      </c>
      <c r="T183" s="79">
        <v>3562</v>
      </c>
      <c r="U183" s="79">
        <v>36959</v>
      </c>
      <c r="V183" s="79">
        <v>85960</v>
      </c>
      <c r="W183" s="79">
        <v>71130</v>
      </c>
      <c r="X183" s="79">
        <v>2171.6799999999998</v>
      </c>
      <c r="Y183" s="79">
        <v>3556</v>
      </c>
      <c r="Z183" s="79">
        <v>0</v>
      </c>
      <c r="AA183" s="79">
        <v>0</v>
      </c>
      <c r="AB183" s="79">
        <v>0</v>
      </c>
      <c r="AC183" s="79">
        <v>2289</v>
      </c>
      <c r="AD183" s="79">
        <v>2838.36</v>
      </c>
      <c r="AE183" s="79">
        <v>167</v>
      </c>
      <c r="AF183" s="79">
        <v>0</v>
      </c>
      <c r="AG183" s="79">
        <v>292</v>
      </c>
      <c r="AH183" s="79">
        <v>359.1</v>
      </c>
      <c r="AI183" s="79">
        <v>8.4</v>
      </c>
      <c r="AJ183" s="79">
        <v>36298</v>
      </c>
      <c r="AK183" s="79">
        <v>45735.48</v>
      </c>
      <c r="AL183" s="79">
        <v>15</v>
      </c>
      <c r="AM183" s="79">
        <v>0</v>
      </c>
      <c r="AN183" s="79">
        <v>0</v>
      </c>
      <c r="AO183" s="79">
        <v>2250</v>
      </c>
      <c r="AP183" s="79">
        <v>1496</v>
      </c>
      <c r="AQ183" s="79">
        <v>1496</v>
      </c>
      <c r="AR183" s="80">
        <v>3.3461500000000002E-4</v>
      </c>
      <c r="AS183" s="80">
        <v>1.6098709999999999E-3</v>
      </c>
      <c r="AT183" s="79">
        <v>80254.877999999997</v>
      </c>
      <c r="AU183" s="79">
        <v>0</v>
      </c>
      <c r="AV183" s="79">
        <v>3584.84</v>
      </c>
      <c r="AW183" s="79">
        <v>220088.18415309399</v>
      </c>
      <c r="AX183" s="79">
        <v>1</v>
      </c>
      <c r="AY183" s="79">
        <v>1.2</v>
      </c>
      <c r="AZ183" s="79">
        <v>7018</v>
      </c>
      <c r="BA183" s="79">
        <v>1</v>
      </c>
      <c r="BB183" s="79">
        <v>0</v>
      </c>
      <c r="BC183" s="79">
        <v>0</v>
      </c>
      <c r="BD183" s="79">
        <v>0</v>
      </c>
      <c r="BE183" s="79">
        <v>0</v>
      </c>
      <c r="BF183" s="79">
        <v>0</v>
      </c>
      <c r="BG183" s="79">
        <v>0</v>
      </c>
      <c r="BH183" s="79">
        <v>0</v>
      </c>
      <c r="BI183" s="79">
        <v>0</v>
      </c>
      <c r="BJ183" s="79">
        <v>0</v>
      </c>
      <c r="BK183" s="79">
        <v>32</v>
      </c>
      <c r="BL183" s="79">
        <v>12244</v>
      </c>
      <c r="BM183" s="79">
        <v>285</v>
      </c>
      <c r="BN183" s="79">
        <v>7</v>
      </c>
      <c r="BO183">
        <v>17009</v>
      </c>
      <c r="BP183">
        <v>4480</v>
      </c>
      <c r="BQ183">
        <v>16810</v>
      </c>
      <c r="BR183">
        <v>4409</v>
      </c>
      <c r="BS183">
        <v>16546</v>
      </c>
      <c r="BT183">
        <v>4440</v>
      </c>
      <c r="BU183">
        <v>16190</v>
      </c>
      <c r="BV183">
        <v>4251</v>
      </c>
      <c r="BW183">
        <v>16040</v>
      </c>
      <c r="BX183">
        <v>4196</v>
      </c>
      <c r="BY183">
        <v>15794</v>
      </c>
      <c r="BZ183">
        <v>4175</v>
      </c>
      <c r="CB183">
        <v>1876.171</v>
      </c>
      <c r="CC183">
        <v>163</v>
      </c>
      <c r="CD183">
        <v>174</v>
      </c>
      <c r="CE183">
        <v>22956.16</v>
      </c>
      <c r="CF183">
        <v>5809.86</v>
      </c>
      <c r="CG183">
        <v>462.175741310457</v>
      </c>
      <c r="CH183">
        <v>1264</v>
      </c>
      <c r="CI183">
        <v>505.66666666666703</v>
      </c>
      <c r="CJ183">
        <v>480.33333333333297</v>
      </c>
      <c r="CK183" s="81">
        <v>5454</v>
      </c>
      <c r="CL183">
        <v>1432</v>
      </c>
      <c r="CM183">
        <v>12823.8144981161</v>
      </c>
      <c r="CN183">
        <v>3.18</v>
      </c>
      <c r="CO183">
        <v>64340</v>
      </c>
      <c r="CP183">
        <v>8813</v>
      </c>
      <c r="CQ183">
        <v>1901</v>
      </c>
      <c r="CR183">
        <v>2108</v>
      </c>
      <c r="CS183">
        <v>1893</v>
      </c>
      <c r="CT183">
        <v>1094</v>
      </c>
      <c r="CU183">
        <v>1163.8309989531101</v>
      </c>
      <c r="CV183">
        <v>747.82507025180496</v>
      </c>
      <c r="CW183">
        <v>295.06442228221903</v>
      </c>
      <c r="CX183">
        <v>2682.6644000000001</v>
      </c>
      <c r="CY183">
        <v>1723.7585999999999</v>
      </c>
      <c r="CZ183">
        <v>680.13210000000004</v>
      </c>
      <c r="DA183">
        <v>218738</v>
      </c>
      <c r="DE183">
        <v>547</v>
      </c>
      <c r="DF183" t="s">
        <v>180</v>
      </c>
      <c r="DG183">
        <v>6016</v>
      </c>
      <c r="DH183">
        <v>5851</v>
      </c>
      <c r="DI183">
        <v>5788</v>
      </c>
      <c r="DJ183">
        <v>5719</v>
      </c>
      <c r="DK183">
        <v>5691</v>
      </c>
      <c r="DO183">
        <v>399</v>
      </c>
      <c r="DP183" t="s">
        <v>141</v>
      </c>
      <c r="DQ183">
        <v>10558</v>
      </c>
      <c r="DR183">
        <v>1</v>
      </c>
      <c r="DS183">
        <v>1304</v>
      </c>
      <c r="DV183">
        <v>22</v>
      </c>
      <c r="DW183" t="s">
        <v>799</v>
      </c>
      <c r="DX183">
        <v>2681.7188475390199</v>
      </c>
      <c r="DY183">
        <v>477</v>
      </c>
      <c r="DZ183">
        <v>478</v>
      </c>
      <c r="EA183">
        <v>246</v>
      </c>
      <c r="EB183">
        <v>1461</v>
      </c>
      <c r="EC183">
        <v>967</v>
      </c>
      <c r="ED183">
        <v>327</v>
      </c>
      <c r="EE183" s="82">
        <v>0.20546974000900101</v>
      </c>
      <c r="EF183" s="82">
        <v>0.50750240615976905</v>
      </c>
    </row>
    <row r="184" spans="1:136" x14ac:dyDescent="0.35">
      <c r="A184" s="72">
        <v>441</v>
      </c>
      <c r="B184" s="72">
        <v>7</v>
      </c>
      <c r="D184" s="72" t="s">
        <v>265</v>
      </c>
      <c r="E184" s="79">
        <v>4108400000</v>
      </c>
      <c r="F184" s="79">
        <v>595350000</v>
      </c>
      <c r="G184" s="79">
        <v>655900000</v>
      </c>
      <c r="H184" s="79">
        <v>46553</v>
      </c>
      <c r="I184" s="79">
        <v>9</v>
      </c>
      <c r="J184" s="79">
        <v>655.9</v>
      </c>
      <c r="K184" s="79">
        <v>8894</v>
      </c>
      <c r="L184" s="79">
        <v>11168</v>
      </c>
      <c r="M184" s="79">
        <v>3433</v>
      </c>
      <c r="N184" s="79">
        <v>5755</v>
      </c>
      <c r="O184" s="79">
        <v>3355.8</v>
      </c>
      <c r="P184" s="79">
        <v>548.33333333333303</v>
      </c>
      <c r="Q184" s="79">
        <v>2960.3333333333298</v>
      </c>
      <c r="R184" s="79">
        <v>825</v>
      </c>
      <c r="S184" s="79">
        <v>0</v>
      </c>
      <c r="T184" s="79">
        <v>1357</v>
      </c>
      <c r="U184" s="79">
        <v>21032</v>
      </c>
      <c r="V184" s="79">
        <v>41390</v>
      </c>
      <c r="W184" s="79">
        <v>14200</v>
      </c>
      <c r="X184" s="79">
        <v>1407.9</v>
      </c>
      <c r="Y184" s="79">
        <v>2520.8000000000002</v>
      </c>
      <c r="Z184" s="79">
        <v>0</v>
      </c>
      <c r="AA184" s="79">
        <v>0</v>
      </c>
      <c r="AB184" s="79">
        <v>0</v>
      </c>
      <c r="AC184" s="79">
        <v>16797</v>
      </c>
      <c r="AD184" s="79">
        <v>20324.37</v>
      </c>
      <c r="AE184" s="79">
        <v>402</v>
      </c>
      <c r="AF184" s="79">
        <v>1529</v>
      </c>
      <c r="AG184" s="79">
        <v>430</v>
      </c>
      <c r="AH184" s="79">
        <v>342.72</v>
      </c>
      <c r="AI184" s="79">
        <v>173.24</v>
      </c>
      <c r="AJ184" s="79">
        <v>23992</v>
      </c>
      <c r="AK184" s="79">
        <v>28550.48</v>
      </c>
      <c r="AL184" s="79">
        <v>6</v>
      </c>
      <c r="AM184" s="79">
        <v>0</v>
      </c>
      <c r="AN184" s="79">
        <v>0</v>
      </c>
      <c r="AO184" s="79">
        <v>0</v>
      </c>
      <c r="AP184" s="79">
        <v>845</v>
      </c>
      <c r="AQ184" s="79">
        <v>845</v>
      </c>
      <c r="AR184" s="80">
        <v>4.6075899999999998E-4</v>
      </c>
      <c r="AS184" s="80">
        <v>1.8069700000000001E-4</v>
      </c>
      <c r="AT184" s="79">
        <v>17682.103999999999</v>
      </c>
      <c r="AU184" s="79">
        <v>0</v>
      </c>
      <c r="AV184" s="79">
        <v>7349.54</v>
      </c>
      <c r="AW184" s="79">
        <v>32489.3871504157</v>
      </c>
      <c r="AX184" s="79">
        <v>23</v>
      </c>
      <c r="AY184" s="79">
        <v>28.06</v>
      </c>
      <c r="AZ184" s="79">
        <v>5477</v>
      </c>
      <c r="BA184" s="79">
        <v>1</v>
      </c>
      <c r="BB184" s="79">
        <v>0</v>
      </c>
      <c r="BC184" s="79">
        <v>0</v>
      </c>
      <c r="BD184" s="79">
        <v>0</v>
      </c>
      <c r="BE184" s="79">
        <v>0</v>
      </c>
      <c r="BF184" s="79">
        <v>0</v>
      </c>
      <c r="BG184" s="79">
        <v>0</v>
      </c>
      <c r="BH184" s="79">
        <v>0</v>
      </c>
      <c r="BI184" s="79">
        <v>0</v>
      </c>
      <c r="BJ184" s="79">
        <v>0</v>
      </c>
      <c r="BK184" s="79">
        <v>17</v>
      </c>
      <c r="BL184" s="79">
        <v>6709</v>
      </c>
      <c r="BM184" s="79">
        <v>288</v>
      </c>
      <c r="BN184" s="79">
        <v>142</v>
      </c>
      <c r="BO184">
        <v>10344</v>
      </c>
      <c r="BP184">
        <v>3109</v>
      </c>
      <c r="BQ184">
        <v>10284</v>
      </c>
      <c r="BR184">
        <v>3099</v>
      </c>
      <c r="BS184">
        <v>10261</v>
      </c>
      <c r="BT184">
        <v>3083</v>
      </c>
      <c r="BU184">
        <v>10108</v>
      </c>
      <c r="BV184">
        <v>3109</v>
      </c>
      <c r="BW184">
        <v>9950</v>
      </c>
      <c r="BX184">
        <v>3160</v>
      </c>
      <c r="BY184">
        <v>9690</v>
      </c>
      <c r="BZ184">
        <v>3082</v>
      </c>
      <c r="CB184">
        <v>738.202</v>
      </c>
      <c r="CC184">
        <v>80</v>
      </c>
      <c r="CD184">
        <v>44</v>
      </c>
      <c r="CE184">
        <v>13886.96</v>
      </c>
      <c r="CF184">
        <v>3263.04</v>
      </c>
      <c r="CG184">
        <v>141.737381531854</v>
      </c>
      <c r="CH184">
        <v>519</v>
      </c>
      <c r="CI184">
        <v>144.666666666667</v>
      </c>
      <c r="CJ184">
        <v>109</v>
      </c>
      <c r="CK184" s="81">
        <v>2412</v>
      </c>
      <c r="CL184">
        <v>719</v>
      </c>
      <c r="CM184">
        <v>5969.4422054203997</v>
      </c>
      <c r="CN184">
        <v>0.70099999999999996</v>
      </c>
      <c r="CO184">
        <v>35385</v>
      </c>
      <c r="CP184">
        <v>6642</v>
      </c>
      <c r="CQ184">
        <v>1093</v>
      </c>
      <c r="CR184">
        <v>1374</v>
      </c>
      <c r="CS184">
        <v>1117</v>
      </c>
      <c r="CT184">
        <v>594</v>
      </c>
      <c r="CU184">
        <v>575.43186062020698</v>
      </c>
      <c r="CV184">
        <v>338.349458152718</v>
      </c>
      <c r="CW184">
        <v>115.394089696566</v>
      </c>
      <c r="CX184">
        <v>1815.9195999999999</v>
      </c>
      <c r="CY184">
        <v>1067.7465999999999</v>
      </c>
      <c r="CZ184">
        <v>364.15499999999997</v>
      </c>
      <c r="DA184">
        <v>55934</v>
      </c>
      <c r="DE184">
        <v>553</v>
      </c>
      <c r="DF184" t="s">
        <v>186</v>
      </c>
      <c r="DG184">
        <v>4834</v>
      </c>
      <c r="DH184">
        <v>4762</v>
      </c>
      <c r="DI184">
        <v>4749</v>
      </c>
      <c r="DJ184">
        <v>4677</v>
      </c>
      <c r="DK184">
        <v>4616</v>
      </c>
      <c r="DO184">
        <v>402</v>
      </c>
      <c r="DP184" t="s">
        <v>152</v>
      </c>
      <c r="DQ184">
        <v>42383</v>
      </c>
      <c r="DR184">
        <v>1</v>
      </c>
      <c r="DS184">
        <v>2700</v>
      </c>
      <c r="DV184">
        <v>545</v>
      </c>
      <c r="DW184" t="s">
        <v>816</v>
      </c>
      <c r="DX184">
        <v>2683.3300699300698</v>
      </c>
      <c r="DY184">
        <v>492</v>
      </c>
      <c r="DZ184">
        <v>444</v>
      </c>
      <c r="EA184">
        <v>262</v>
      </c>
      <c r="EB184">
        <v>1460</v>
      </c>
      <c r="EC184">
        <v>919</v>
      </c>
      <c r="ED184">
        <v>348</v>
      </c>
      <c r="EE184" s="82">
        <v>0.19617329690177401</v>
      </c>
      <c r="EF184" s="82">
        <v>0.48592072440140599</v>
      </c>
    </row>
    <row r="185" spans="1:136" x14ac:dyDescent="0.35">
      <c r="A185" s="72">
        <v>532</v>
      </c>
      <c r="B185" s="72">
        <v>7</v>
      </c>
      <c r="D185" s="72" t="s">
        <v>284</v>
      </c>
      <c r="E185" s="79">
        <v>1564800000</v>
      </c>
      <c r="F185" s="79">
        <v>173250000</v>
      </c>
      <c r="G185" s="79">
        <v>180950000</v>
      </c>
      <c r="H185" s="79">
        <v>21706</v>
      </c>
      <c r="I185" s="79">
        <v>1</v>
      </c>
      <c r="J185" s="79">
        <v>180.95</v>
      </c>
      <c r="K185" s="79">
        <v>4421</v>
      </c>
      <c r="L185" s="79">
        <v>4653</v>
      </c>
      <c r="M185" s="79">
        <v>1349</v>
      </c>
      <c r="N185" s="79">
        <v>2568</v>
      </c>
      <c r="O185" s="79">
        <v>1643.7</v>
      </c>
      <c r="P185" s="79">
        <v>280</v>
      </c>
      <c r="Q185" s="79">
        <v>1608</v>
      </c>
      <c r="R185" s="79">
        <v>575</v>
      </c>
      <c r="S185" s="79">
        <v>0</v>
      </c>
      <c r="T185" s="79">
        <v>659</v>
      </c>
      <c r="U185" s="79">
        <v>9398</v>
      </c>
      <c r="V185" s="79">
        <v>23520</v>
      </c>
      <c r="W185" s="79">
        <v>13870</v>
      </c>
      <c r="X185" s="79">
        <v>857.34</v>
      </c>
      <c r="Y185" s="79">
        <v>1545.6</v>
      </c>
      <c r="Z185" s="79">
        <v>0</v>
      </c>
      <c r="AA185" s="79">
        <v>0</v>
      </c>
      <c r="AB185" s="79">
        <v>0</v>
      </c>
      <c r="AC185" s="79">
        <v>1446</v>
      </c>
      <c r="AD185" s="79">
        <v>1749.66</v>
      </c>
      <c r="AE185" s="79">
        <v>111</v>
      </c>
      <c r="AF185" s="79">
        <v>80</v>
      </c>
      <c r="AG185" s="79">
        <v>127</v>
      </c>
      <c r="AH185" s="79">
        <v>129.71</v>
      </c>
      <c r="AI185" s="79">
        <v>22.14</v>
      </c>
      <c r="AJ185" s="79">
        <v>9243</v>
      </c>
      <c r="AK185" s="79">
        <v>10999.17</v>
      </c>
      <c r="AL185" s="79">
        <v>0</v>
      </c>
      <c r="AM185" s="79">
        <v>0</v>
      </c>
      <c r="AN185" s="79">
        <v>0</v>
      </c>
      <c r="AO185" s="79">
        <v>0</v>
      </c>
      <c r="AP185" s="79">
        <v>1132</v>
      </c>
      <c r="AQ185" s="79">
        <v>0</v>
      </c>
      <c r="AR185" s="80">
        <v>1.57169E-4</v>
      </c>
      <c r="AS185" s="80">
        <v>8.1997999999999997E-5</v>
      </c>
      <c r="AT185" s="79">
        <v>10518.534</v>
      </c>
      <c r="AU185" s="79">
        <v>0</v>
      </c>
      <c r="AV185" s="79">
        <v>2389.75</v>
      </c>
      <c r="AW185" s="79">
        <v>33652.664547206201</v>
      </c>
      <c r="AX185" s="79">
        <v>1</v>
      </c>
      <c r="AY185" s="79">
        <v>1.23</v>
      </c>
      <c r="AZ185" s="79">
        <v>1789</v>
      </c>
      <c r="BA185" s="79">
        <v>1</v>
      </c>
      <c r="BB185" s="79">
        <v>0</v>
      </c>
      <c r="BC185" s="79">
        <v>0</v>
      </c>
      <c r="BD185" s="79">
        <v>0</v>
      </c>
      <c r="BE185" s="79">
        <v>0</v>
      </c>
      <c r="BF185" s="79">
        <v>0</v>
      </c>
      <c r="BG185" s="79">
        <v>0</v>
      </c>
      <c r="BH185" s="79">
        <v>0</v>
      </c>
      <c r="BI185" s="79">
        <v>0</v>
      </c>
      <c r="BJ185" s="79">
        <v>0</v>
      </c>
      <c r="BK185" s="79">
        <v>24</v>
      </c>
      <c r="BL185" s="79">
        <v>2589</v>
      </c>
      <c r="BM185" s="79">
        <v>109</v>
      </c>
      <c r="BN185" s="79">
        <v>18</v>
      </c>
      <c r="BO185">
        <v>4989</v>
      </c>
      <c r="BP185">
        <v>2467</v>
      </c>
      <c r="BQ185">
        <v>4890</v>
      </c>
      <c r="BR185">
        <v>2393</v>
      </c>
      <c r="BS185">
        <v>4858</v>
      </c>
      <c r="BT185">
        <v>2276</v>
      </c>
      <c r="BU185">
        <v>4825</v>
      </c>
      <c r="BV185">
        <v>2181</v>
      </c>
      <c r="BW185">
        <v>4721</v>
      </c>
      <c r="BX185">
        <v>2158</v>
      </c>
      <c r="BY185">
        <v>4688</v>
      </c>
      <c r="BZ185">
        <v>2090</v>
      </c>
      <c r="CB185">
        <v>464.20499999999998</v>
      </c>
      <c r="CC185">
        <v>81</v>
      </c>
      <c r="CD185">
        <v>36</v>
      </c>
      <c r="CE185">
        <v>5844.48</v>
      </c>
      <c r="CF185">
        <v>1547.52</v>
      </c>
      <c r="CG185">
        <v>144.41501173020501</v>
      </c>
      <c r="CH185">
        <v>247</v>
      </c>
      <c r="CI185">
        <v>101.333333333333</v>
      </c>
      <c r="CJ185">
        <v>81.6666666666667</v>
      </c>
      <c r="CK185" s="81">
        <v>1328</v>
      </c>
      <c r="CL185">
        <v>373</v>
      </c>
      <c r="CM185">
        <v>2748.8139878099801</v>
      </c>
      <c r="CN185">
        <v>0.48499999999999999</v>
      </c>
      <c r="CO185">
        <v>17053</v>
      </c>
      <c r="CP185">
        <v>2956</v>
      </c>
      <c r="CQ185">
        <v>348</v>
      </c>
      <c r="CR185">
        <v>528</v>
      </c>
      <c r="CS185">
        <v>386</v>
      </c>
      <c r="CT185">
        <v>154</v>
      </c>
      <c r="CU185">
        <v>317.78555663745499</v>
      </c>
      <c r="CV185">
        <v>167.339792275235</v>
      </c>
      <c r="CW185">
        <v>38.411684518013601</v>
      </c>
      <c r="CX185">
        <v>860.79790000000003</v>
      </c>
      <c r="CY185">
        <v>453.27969999999999</v>
      </c>
      <c r="CZ185">
        <v>104.0472</v>
      </c>
      <c r="DA185">
        <v>25137</v>
      </c>
      <c r="DE185">
        <v>556</v>
      </c>
      <c r="DF185" t="s">
        <v>194</v>
      </c>
      <c r="DG185">
        <v>6375</v>
      </c>
      <c r="DH185">
        <v>6325</v>
      </c>
      <c r="DI185">
        <v>6376</v>
      </c>
      <c r="DJ185">
        <v>6327</v>
      </c>
      <c r="DK185">
        <v>6332</v>
      </c>
      <c r="DO185">
        <v>1911</v>
      </c>
      <c r="DP185" t="s">
        <v>155</v>
      </c>
      <c r="DQ185">
        <v>20857</v>
      </c>
      <c r="DR185">
        <v>1.1399999999999999</v>
      </c>
      <c r="DS185">
        <v>431</v>
      </c>
      <c r="DV185">
        <v>80</v>
      </c>
      <c r="DW185" t="s">
        <v>178</v>
      </c>
      <c r="DX185">
        <v>21262.870622568102</v>
      </c>
      <c r="DY185">
        <v>3447</v>
      </c>
      <c r="DZ185">
        <v>2498</v>
      </c>
      <c r="EA185">
        <v>1515</v>
      </c>
      <c r="EB185">
        <v>8365</v>
      </c>
      <c r="EC185">
        <v>4728</v>
      </c>
      <c r="ED185">
        <v>1997</v>
      </c>
      <c r="EE185" s="82">
        <v>0.23723823350623499</v>
      </c>
      <c r="EF185" s="82">
        <v>0.56399883159937503</v>
      </c>
    </row>
    <row r="186" spans="1:136" x14ac:dyDescent="0.35">
      <c r="A186" s="72">
        <v>448</v>
      </c>
      <c r="B186" s="72">
        <v>7</v>
      </c>
      <c r="D186" s="72" t="s">
        <v>292</v>
      </c>
      <c r="E186" s="79">
        <v>2055200000</v>
      </c>
      <c r="F186" s="79">
        <v>398300000</v>
      </c>
      <c r="G186" s="79">
        <v>434700000</v>
      </c>
      <c r="H186" s="79">
        <v>13547</v>
      </c>
      <c r="I186" s="79">
        <v>5</v>
      </c>
      <c r="J186" s="79">
        <v>434.7</v>
      </c>
      <c r="K186" s="79">
        <v>2275</v>
      </c>
      <c r="L186" s="79">
        <v>3368</v>
      </c>
      <c r="M186" s="79">
        <v>1011</v>
      </c>
      <c r="N186" s="79">
        <v>2064</v>
      </c>
      <c r="O186" s="79">
        <v>991.1</v>
      </c>
      <c r="P186" s="79">
        <v>135.333333333333</v>
      </c>
      <c r="Q186" s="79">
        <v>979.33333333333303</v>
      </c>
      <c r="R186" s="79">
        <v>175</v>
      </c>
      <c r="S186" s="79">
        <v>0</v>
      </c>
      <c r="T186" s="79">
        <v>391</v>
      </c>
      <c r="U186" s="79">
        <v>6630</v>
      </c>
      <c r="V186" s="79">
        <v>12500</v>
      </c>
      <c r="W186" s="79">
        <v>6350</v>
      </c>
      <c r="X186" s="79">
        <v>51.48</v>
      </c>
      <c r="Y186" s="79">
        <v>589.6</v>
      </c>
      <c r="Z186" s="79">
        <v>0</v>
      </c>
      <c r="AA186" s="79">
        <v>0</v>
      </c>
      <c r="AB186" s="79">
        <v>0</v>
      </c>
      <c r="AC186" s="79">
        <v>16202</v>
      </c>
      <c r="AD186" s="79">
        <v>16364.02</v>
      </c>
      <c r="AE186" s="79">
        <v>288</v>
      </c>
      <c r="AF186" s="79">
        <v>10000</v>
      </c>
      <c r="AG186" s="79">
        <v>177</v>
      </c>
      <c r="AH186" s="79">
        <v>115</v>
      </c>
      <c r="AI186" s="79">
        <v>63.63</v>
      </c>
      <c r="AJ186" s="79">
        <v>10729</v>
      </c>
      <c r="AK186" s="79">
        <v>10729</v>
      </c>
      <c r="AL186" s="79">
        <v>0</v>
      </c>
      <c r="AM186" s="79">
        <v>0</v>
      </c>
      <c r="AN186" s="79">
        <v>0</v>
      </c>
      <c r="AO186" s="79">
        <v>0</v>
      </c>
      <c r="AP186" s="79">
        <v>636</v>
      </c>
      <c r="AQ186" s="79">
        <v>0</v>
      </c>
      <c r="AR186" s="80">
        <v>4.0226500000000001E-4</v>
      </c>
      <c r="AS186" s="80">
        <v>9.2826999999999997E-5</v>
      </c>
      <c r="AT186" s="79">
        <v>5021.1719999999996</v>
      </c>
      <c r="AU186" s="79">
        <v>0</v>
      </c>
      <c r="AV186" s="79">
        <v>3250.18</v>
      </c>
      <c r="AW186" s="79">
        <v>2670.1145215281999</v>
      </c>
      <c r="AX186" s="79">
        <v>22</v>
      </c>
      <c r="AY186" s="79">
        <v>22.22</v>
      </c>
      <c r="AZ186" s="79">
        <v>2347</v>
      </c>
      <c r="BA186" s="79">
        <v>1</v>
      </c>
      <c r="BB186" s="79">
        <v>0</v>
      </c>
      <c r="BC186" s="79">
        <v>0</v>
      </c>
      <c r="BD186" s="79">
        <v>0</v>
      </c>
      <c r="BE186" s="79">
        <v>0</v>
      </c>
      <c r="BF186" s="79">
        <v>0</v>
      </c>
      <c r="BG186" s="79">
        <v>1</v>
      </c>
      <c r="BH186" s="79">
        <v>2500</v>
      </c>
      <c r="BI186" s="79">
        <v>5000</v>
      </c>
      <c r="BJ186" s="79">
        <v>6047</v>
      </c>
      <c r="BK186" s="79">
        <v>8</v>
      </c>
      <c r="BL186" s="79">
        <v>2379</v>
      </c>
      <c r="BM186" s="79">
        <v>115</v>
      </c>
      <c r="BN186" s="79">
        <v>63</v>
      </c>
      <c r="BO186">
        <v>2996</v>
      </c>
      <c r="BP186">
        <v>915</v>
      </c>
      <c r="BQ186">
        <v>2959</v>
      </c>
      <c r="BR186">
        <v>943</v>
      </c>
      <c r="BS186">
        <v>2901</v>
      </c>
      <c r="BT186">
        <v>952</v>
      </c>
      <c r="BU186">
        <v>2828</v>
      </c>
      <c r="BV186">
        <v>922</v>
      </c>
      <c r="BW186">
        <v>2748</v>
      </c>
      <c r="BX186">
        <v>956</v>
      </c>
      <c r="BY186">
        <v>2663</v>
      </c>
      <c r="BZ186">
        <v>954</v>
      </c>
      <c r="CB186">
        <v>250.25</v>
      </c>
      <c r="CC186">
        <v>37</v>
      </c>
      <c r="CD186">
        <v>26</v>
      </c>
      <c r="CE186">
        <v>3951.88</v>
      </c>
      <c r="CF186">
        <v>839.48</v>
      </c>
      <c r="CG186">
        <v>55.966952789699597</v>
      </c>
      <c r="CH186">
        <v>126</v>
      </c>
      <c r="CI186">
        <v>38</v>
      </c>
      <c r="CJ186">
        <v>28</v>
      </c>
      <c r="CK186" s="81">
        <v>844</v>
      </c>
      <c r="CL186">
        <v>204</v>
      </c>
      <c r="CM186">
        <v>1913.3066627375899</v>
      </c>
      <c r="CN186">
        <v>0.09</v>
      </c>
      <c r="CO186">
        <v>10179</v>
      </c>
      <c r="CP186">
        <v>2060</v>
      </c>
      <c r="CQ186">
        <v>297</v>
      </c>
      <c r="CR186">
        <v>478</v>
      </c>
      <c r="CS186">
        <v>330</v>
      </c>
      <c r="CT186">
        <v>141</v>
      </c>
      <c r="CU186">
        <v>120.919927299842</v>
      </c>
      <c r="CV186">
        <v>65.771572373939804</v>
      </c>
      <c r="CW186">
        <v>18.290409171404601</v>
      </c>
      <c r="CX186">
        <v>647.16959999999995</v>
      </c>
      <c r="CY186">
        <v>352.01280000000003</v>
      </c>
      <c r="CZ186">
        <v>97.891199999999998</v>
      </c>
      <c r="DA186">
        <v>10729</v>
      </c>
      <c r="DE186">
        <v>569</v>
      </c>
      <c r="DF186" t="s">
        <v>213</v>
      </c>
      <c r="DG186">
        <v>6154</v>
      </c>
      <c r="DH186">
        <v>6059</v>
      </c>
      <c r="DI186">
        <v>5968</v>
      </c>
      <c r="DJ186">
        <v>5851</v>
      </c>
      <c r="DK186">
        <v>5716</v>
      </c>
      <c r="DO186">
        <v>405</v>
      </c>
      <c r="DP186" t="s">
        <v>157</v>
      </c>
      <c r="DQ186">
        <v>32909</v>
      </c>
      <c r="DR186">
        <v>1.33</v>
      </c>
      <c r="DS186">
        <v>1667</v>
      </c>
      <c r="DV186">
        <v>546</v>
      </c>
      <c r="DW186" t="s">
        <v>179</v>
      </c>
      <c r="DX186">
        <v>18399.8604819313</v>
      </c>
      <c r="DY186">
        <v>3307</v>
      </c>
      <c r="DZ186">
        <v>2091</v>
      </c>
      <c r="EA186">
        <v>1174</v>
      </c>
      <c r="EB186">
        <v>7467</v>
      </c>
      <c r="EC186">
        <v>3851</v>
      </c>
      <c r="ED186">
        <v>1582</v>
      </c>
      <c r="EE186" s="82">
        <v>0.198897975632016</v>
      </c>
      <c r="EF186" s="82">
        <v>0.42615606722440202</v>
      </c>
    </row>
    <row r="187" spans="1:136" x14ac:dyDescent="0.35">
      <c r="A187" s="72">
        <v>450</v>
      </c>
      <c r="B187" s="72">
        <v>7</v>
      </c>
      <c r="D187" s="72" t="s">
        <v>302</v>
      </c>
      <c r="E187" s="79">
        <v>1307600000</v>
      </c>
      <c r="F187" s="79">
        <v>105700000</v>
      </c>
      <c r="G187" s="79">
        <v>112000000</v>
      </c>
      <c r="H187" s="79">
        <v>13528</v>
      </c>
      <c r="I187" s="79">
        <v>1</v>
      </c>
      <c r="J187" s="79">
        <v>112</v>
      </c>
      <c r="K187" s="79">
        <v>2834</v>
      </c>
      <c r="L187" s="79">
        <v>2401</v>
      </c>
      <c r="M187" s="79">
        <v>745</v>
      </c>
      <c r="N187" s="79">
        <v>1230</v>
      </c>
      <c r="O187" s="79">
        <v>652.79999999999995</v>
      </c>
      <c r="P187" s="79">
        <v>143.666666666667</v>
      </c>
      <c r="Q187" s="79">
        <v>643.66666666666697</v>
      </c>
      <c r="R187" s="79">
        <v>325</v>
      </c>
      <c r="S187" s="79">
        <v>0</v>
      </c>
      <c r="T187" s="79">
        <v>403</v>
      </c>
      <c r="U187" s="79">
        <v>5661</v>
      </c>
      <c r="V187" s="79">
        <v>10520</v>
      </c>
      <c r="W187" s="79">
        <v>1740</v>
      </c>
      <c r="X187" s="79">
        <v>0</v>
      </c>
      <c r="Y187" s="79">
        <v>0</v>
      </c>
      <c r="Z187" s="79">
        <v>0</v>
      </c>
      <c r="AA187" s="79">
        <v>0</v>
      </c>
      <c r="AB187" s="79">
        <v>0</v>
      </c>
      <c r="AC187" s="79">
        <v>1913</v>
      </c>
      <c r="AD187" s="79">
        <v>2295.6</v>
      </c>
      <c r="AE187" s="79">
        <v>316</v>
      </c>
      <c r="AF187" s="79">
        <v>0</v>
      </c>
      <c r="AG187" s="79">
        <v>71</v>
      </c>
      <c r="AH187" s="79">
        <v>65.72</v>
      </c>
      <c r="AI187" s="79">
        <v>11.16</v>
      </c>
      <c r="AJ187" s="79">
        <v>5772</v>
      </c>
      <c r="AK187" s="79">
        <v>6118.32</v>
      </c>
      <c r="AL187" s="79">
        <v>0</v>
      </c>
      <c r="AM187" s="79">
        <v>0</v>
      </c>
      <c r="AN187" s="79">
        <v>0</v>
      </c>
      <c r="AO187" s="79">
        <v>0</v>
      </c>
      <c r="AP187" s="79">
        <v>841</v>
      </c>
      <c r="AQ187" s="79">
        <v>0</v>
      </c>
      <c r="AR187" s="80">
        <v>7.6898999999999997E-5</v>
      </c>
      <c r="AS187" s="80">
        <v>5.6538E-5</v>
      </c>
      <c r="AT187" s="79">
        <v>6314.5680000000002</v>
      </c>
      <c r="AU187" s="79">
        <v>0</v>
      </c>
      <c r="AV187" s="79">
        <v>1792.8</v>
      </c>
      <c r="AW187" s="79">
        <v>22970.289098250301</v>
      </c>
      <c r="AX187" s="79">
        <v>1</v>
      </c>
      <c r="AY187" s="79">
        <v>1.24</v>
      </c>
      <c r="AZ187" s="79">
        <v>1377</v>
      </c>
      <c r="BA187" s="79">
        <v>1</v>
      </c>
      <c r="BB187" s="79">
        <v>0</v>
      </c>
      <c r="BC187" s="79">
        <v>0</v>
      </c>
      <c r="BD187" s="79">
        <v>0</v>
      </c>
      <c r="BE187" s="79">
        <v>0</v>
      </c>
      <c r="BF187" s="79">
        <v>0</v>
      </c>
      <c r="BG187" s="79">
        <v>0</v>
      </c>
      <c r="BH187" s="79">
        <v>0</v>
      </c>
      <c r="BI187" s="79">
        <v>0</v>
      </c>
      <c r="BJ187" s="79">
        <v>0</v>
      </c>
      <c r="BK187" s="79">
        <v>0</v>
      </c>
      <c r="BL187" s="79">
        <v>1547</v>
      </c>
      <c r="BM187" s="79">
        <v>62</v>
      </c>
      <c r="BN187" s="79">
        <v>9</v>
      </c>
      <c r="BO187">
        <v>3002</v>
      </c>
      <c r="BP187">
        <v>0</v>
      </c>
      <c r="BQ187">
        <v>3052</v>
      </c>
      <c r="BR187">
        <v>0</v>
      </c>
      <c r="BS187">
        <v>3059</v>
      </c>
      <c r="BT187">
        <v>0</v>
      </c>
      <c r="BU187">
        <v>3055</v>
      </c>
      <c r="BV187">
        <v>0</v>
      </c>
      <c r="BW187">
        <v>3068</v>
      </c>
      <c r="BX187">
        <v>0</v>
      </c>
      <c r="BY187">
        <v>3065</v>
      </c>
      <c r="BZ187">
        <v>0</v>
      </c>
      <c r="CB187">
        <v>187.04400000000001</v>
      </c>
      <c r="CC187">
        <v>24</v>
      </c>
      <c r="CD187">
        <v>25</v>
      </c>
      <c r="CE187">
        <v>4379.7</v>
      </c>
      <c r="CF187">
        <v>1240.24</v>
      </c>
      <c r="CG187">
        <v>52.060803149606301</v>
      </c>
      <c r="CH187">
        <v>149</v>
      </c>
      <c r="CI187">
        <v>55.3333333333333</v>
      </c>
      <c r="CJ187">
        <v>43.3333333333333</v>
      </c>
      <c r="CK187" s="81">
        <v>500</v>
      </c>
      <c r="CL187">
        <v>115</v>
      </c>
      <c r="CM187">
        <v>990.09568862275501</v>
      </c>
      <c r="CN187">
        <v>0.13100000000000001</v>
      </c>
      <c r="CO187">
        <v>11127</v>
      </c>
      <c r="CP187">
        <v>1427</v>
      </c>
      <c r="CQ187">
        <v>229</v>
      </c>
      <c r="CR187">
        <v>244</v>
      </c>
      <c r="CS187">
        <v>238</v>
      </c>
      <c r="CT187">
        <v>124</v>
      </c>
      <c r="CU187">
        <v>98.734303534303507</v>
      </c>
      <c r="CV187">
        <v>60.394178794178799</v>
      </c>
      <c r="CW187">
        <v>19.339708939708899</v>
      </c>
      <c r="CX187">
        <v>316.81169999999997</v>
      </c>
      <c r="CY187">
        <v>193.7886</v>
      </c>
      <c r="CZ187">
        <v>62.055900000000001</v>
      </c>
      <c r="DA187">
        <v>0</v>
      </c>
      <c r="DE187">
        <v>575</v>
      </c>
      <c r="DF187" t="s">
        <v>221</v>
      </c>
      <c r="DG187">
        <v>4912</v>
      </c>
      <c r="DH187">
        <v>4861</v>
      </c>
      <c r="DI187">
        <v>4812</v>
      </c>
      <c r="DJ187">
        <v>4820</v>
      </c>
      <c r="DK187">
        <v>4808</v>
      </c>
      <c r="DO187">
        <v>406</v>
      </c>
      <c r="DP187" t="s">
        <v>160</v>
      </c>
      <c r="DQ187">
        <v>18981</v>
      </c>
      <c r="DR187">
        <v>1</v>
      </c>
      <c r="DS187">
        <v>2003</v>
      </c>
      <c r="DV187">
        <v>547</v>
      </c>
      <c r="DW187" t="s">
        <v>180</v>
      </c>
      <c r="DX187">
        <v>2855.3333605953999</v>
      </c>
      <c r="DY187">
        <v>831</v>
      </c>
      <c r="DZ187">
        <v>727</v>
      </c>
      <c r="EA187">
        <v>404</v>
      </c>
      <c r="EB187">
        <v>2186</v>
      </c>
      <c r="EC187">
        <v>1372</v>
      </c>
      <c r="ED187">
        <v>568</v>
      </c>
      <c r="EE187" s="82">
        <v>0.13404371808158999</v>
      </c>
      <c r="EF187" s="82">
        <v>0.34682182854538701</v>
      </c>
    </row>
    <row r="188" spans="1:136" x14ac:dyDescent="0.35">
      <c r="A188" s="72">
        <v>451</v>
      </c>
      <c r="B188" s="72">
        <v>7</v>
      </c>
      <c r="D188" s="72" t="s">
        <v>303</v>
      </c>
      <c r="E188" s="79">
        <v>2872000000</v>
      </c>
      <c r="F188" s="79">
        <v>499450000</v>
      </c>
      <c r="G188" s="79">
        <v>512050000</v>
      </c>
      <c r="H188" s="79">
        <v>29424</v>
      </c>
      <c r="I188" s="79">
        <v>1</v>
      </c>
      <c r="J188" s="79">
        <v>512.04999999999995</v>
      </c>
      <c r="K188" s="79">
        <v>6017</v>
      </c>
      <c r="L188" s="79">
        <v>5438</v>
      </c>
      <c r="M188" s="79">
        <v>1866</v>
      </c>
      <c r="N188" s="79">
        <v>3373</v>
      </c>
      <c r="O188" s="79">
        <v>2083.4</v>
      </c>
      <c r="P188" s="79">
        <v>330</v>
      </c>
      <c r="Q188" s="79">
        <v>1543</v>
      </c>
      <c r="R188" s="79">
        <v>2020</v>
      </c>
      <c r="S188" s="79">
        <v>0</v>
      </c>
      <c r="T188" s="79">
        <v>1125</v>
      </c>
      <c r="U188" s="79">
        <v>13052</v>
      </c>
      <c r="V188" s="79">
        <v>27480</v>
      </c>
      <c r="W188" s="79">
        <v>7460</v>
      </c>
      <c r="X188" s="79">
        <v>720.72</v>
      </c>
      <c r="Y188" s="79">
        <v>1909.6</v>
      </c>
      <c r="Z188" s="79">
        <v>0</v>
      </c>
      <c r="AA188" s="79">
        <v>0</v>
      </c>
      <c r="AB188" s="79">
        <v>0</v>
      </c>
      <c r="AC188" s="79">
        <v>1816</v>
      </c>
      <c r="AD188" s="79">
        <v>2433.44</v>
      </c>
      <c r="AE188" s="79">
        <v>126</v>
      </c>
      <c r="AF188" s="79">
        <v>0</v>
      </c>
      <c r="AG188" s="79">
        <v>167</v>
      </c>
      <c r="AH188" s="79">
        <v>160.47999999999999</v>
      </c>
      <c r="AI188" s="79">
        <v>64.680000000000007</v>
      </c>
      <c r="AJ188" s="79">
        <v>12896</v>
      </c>
      <c r="AK188" s="79">
        <v>17538.560000000001</v>
      </c>
      <c r="AL188" s="79">
        <v>0</v>
      </c>
      <c r="AM188" s="79">
        <v>0</v>
      </c>
      <c r="AN188" s="79">
        <v>0</v>
      </c>
      <c r="AO188" s="79">
        <v>0</v>
      </c>
      <c r="AP188" s="79">
        <v>0</v>
      </c>
      <c r="AQ188" s="79">
        <v>0</v>
      </c>
      <c r="AR188" s="80">
        <v>5.8717E-5</v>
      </c>
      <c r="AS188" s="80">
        <v>3.5199100000000001E-4</v>
      </c>
      <c r="AT188" s="79">
        <v>18467.072</v>
      </c>
      <c r="AU188" s="79">
        <v>0</v>
      </c>
      <c r="AV188" s="79">
        <v>3368.76</v>
      </c>
      <c r="AW188" s="79">
        <v>129654.083295572</v>
      </c>
      <c r="AX188" s="79">
        <v>2</v>
      </c>
      <c r="AY188" s="79">
        <v>2.64</v>
      </c>
      <c r="AZ188" s="79">
        <v>3379</v>
      </c>
      <c r="BA188" s="79">
        <v>1</v>
      </c>
      <c r="BB188" s="79">
        <v>0</v>
      </c>
      <c r="BC188" s="79">
        <v>0</v>
      </c>
      <c r="BD188" s="79">
        <v>0</v>
      </c>
      <c r="BE188" s="79">
        <v>0</v>
      </c>
      <c r="BF188" s="79">
        <v>0</v>
      </c>
      <c r="BG188" s="79">
        <v>0</v>
      </c>
      <c r="BH188" s="79">
        <v>0</v>
      </c>
      <c r="BI188" s="79">
        <v>0</v>
      </c>
      <c r="BJ188" s="79">
        <v>0</v>
      </c>
      <c r="BK188" s="79">
        <v>18</v>
      </c>
      <c r="BL188" s="79">
        <v>4210</v>
      </c>
      <c r="BM188" s="79">
        <v>118</v>
      </c>
      <c r="BN188" s="79">
        <v>49</v>
      </c>
      <c r="BO188">
        <v>6374</v>
      </c>
      <c r="BP188">
        <v>2457</v>
      </c>
      <c r="BQ188">
        <v>6388</v>
      </c>
      <c r="BR188">
        <v>2425</v>
      </c>
      <c r="BS188">
        <v>6315</v>
      </c>
      <c r="BT188">
        <v>2519</v>
      </c>
      <c r="BU188">
        <v>6362</v>
      </c>
      <c r="BV188">
        <v>2539</v>
      </c>
      <c r="BW188">
        <v>6345</v>
      </c>
      <c r="BX188">
        <v>2541</v>
      </c>
      <c r="BY188">
        <v>6228</v>
      </c>
      <c r="BZ188">
        <v>2484</v>
      </c>
      <c r="CB188">
        <v>667.88699999999994</v>
      </c>
      <c r="CC188">
        <v>68</v>
      </c>
      <c r="CD188">
        <v>51</v>
      </c>
      <c r="CE188">
        <v>9721.16</v>
      </c>
      <c r="CF188">
        <v>2638.95</v>
      </c>
      <c r="CG188">
        <v>195.570114879871</v>
      </c>
      <c r="CH188">
        <v>443</v>
      </c>
      <c r="CI188">
        <v>129.666666666667</v>
      </c>
      <c r="CJ188">
        <v>99</v>
      </c>
      <c r="CK188" s="81">
        <v>1213</v>
      </c>
      <c r="CL188">
        <v>314</v>
      </c>
      <c r="CM188">
        <v>3629.25241492752</v>
      </c>
      <c r="CN188">
        <v>0.151</v>
      </c>
      <c r="CO188">
        <v>23986</v>
      </c>
      <c r="CP188">
        <v>2887</v>
      </c>
      <c r="CQ188">
        <v>685</v>
      </c>
      <c r="CR188">
        <v>695</v>
      </c>
      <c r="CS188">
        <v>669</v>
      </c>
      <c r="CT188">
        <v>384</v>
      </c>
      <c r="CU188">
        <v>300.975046526055</v>
      </c>
      <c r="CV188">
        <v>214.70522642679899</v>
      </c>
      <c r="CW188">
        <v>84.3311724565757</v>
      </c>
      <c r="CX188">
        <v>694.71270000000004</v>
      </c>
      <c r="CY188">
        <v>495.58409999999998</v>
      </c>
      <c r="CZ188">
        <v>194.65379999999999</v>
      </c>
      <c r="DA188">
        <v>20075</v>
      </c>
      <c r="DE188">
        <v>576</v>
      </c>
      <c r="DF188" t="s">
        <v>818</v>
      </c>
      <c r="DG188">
        <v>3298</v>
      </c>
      <c r="DH188">
        <v>3300</v>
      </c>
      <c r="DI188">
        <v>3248</v>
      </c>
      <c r="DJ188">
        <v>3226</v>
      </c>
      <c r="DK188">
        <v>3233</v>
      </c>
      <c r="DO188">
        <v>1598</v>
      </c>
      <c r="DP188" t="s">
        <v>168</v>
      </c>
      <c r="DQ188">
        <v>9316</v>
      </c>
      <c r="DR188">
        <v>1.24</v>
      </c>
      <c r="DS188">
        <v>416</v>
      </c>
      <c r="DV188">
        <v>1916</v>
      </c>
      <c r="DW188" t="s">
        <v>181</v>
      </c>
      <c r="DX188">
        <v>10550.621517264401</v>
      </c>
      <c r="DY188">
        <v>2725</v>
      </c>
      <c r="DZ188">
        <v>2270</v>
      </c>
      <c r="EA188">
        <v>1324</v>
      </c>
      <c r="EB188">
        <v>6166</v>
      </c>
      <c r="EC188">
        <v>4092</v>
      </c>
      <c r="ED188">
        <v>1806</v>
      </c>
      <c r="EE188" s="82">
        <v>0.18757690572569699</v>
      </c>
      <c r="EF188" s="82">
        <v>0.34682182854538701</v>
      </c>
    </row>
    <row r="189" spans="1:136" x14ac:dyDescent="0.35">
      <c r="A189" s="72">
        <v>453</v>
      </c>
      <c r="B189" s="72">
        <v>7</v>
      </c>
      <c r="D189" s="72" t="s">
        <v>314</v>
      </c>
      <c r="E189" s="79">
        <v>6479600000</v>
      </c>
      <c r="F189" s="79">
        <v>1048250000</v>
      </c>
      <c r="G189" s="79">
        <v>1060150000</v>
      </c>
      <c r="H189" s="79">
        <v>68348</v>
      </c>
      <c r="I189" s="79">
        <v>1</v>
      </c>
      <c r="J189" s="79">
        <v>1060.1500000000001</v>
      </c>
      <c r="K189" s="79">
        <v>12986</v>
      </c>
      <c r="L189" s="79">
        <v>13716</v>
      </c>
      <c r="M189" s="79">
        <v>4228</v>
      </c>
      <c r="N189" s="79">
        <v>9367</v>
      </c>
      <c r="O189" s="79">
        <v>6252</v>
      </c>
      <c r="P189" s="79">
        <v>1371.3333333333301</v>
      </c>
      <c r="Q189" s="79">
        <v>4900.3333333333303</v>
      </c>
      <c r="R189" s="79">
        <v>3530</v>
      </c>
      <c r="S189" s="79">
        <v>0</v>
      </c>
      <c r="T189" s="79">
        <v>2550</v>
      </c>
      <c r="U189" s="79">
        <v>31743</v>
      </c>
      <c r="V189" s="79">
        <v>68790</v>
      </c>
      <c r="W189" s="79">
        <v>52420</v>
      </c>
      <c r="X189" s="79">
        <v>1072.82</v>
      </c>
      <c r="Y189" s="79">
        <v>3120</v>
      </c>
      <c r="Z189" s="79">
        <v>0</v>
      </c>
      <c r="AA189" s="79">
        <v>0</v>
      </c>
      <c r="AB189" s="79">
        <v>0</v>
      </c>
      <c r="AC189" s="79">
        <v>4516</v>
      </c>
      <c r="AD189" s="79">
        <v>4651.4799999999996</v>
      </c>
      <c r="AE189" s="79">
        <v>837</v>
      </c>
      <c r="AF189" s="79">
        <v>965</v>
      </c>
      <c r="AG189" s="79">
        <v>394</v>
      </c>
      <c r="AH189" s="79">
        <v>333.3</v>
      </c>
      <c r="AI189" s="79">
        <v>66.56</v>
      </c>
      <c r="AJ189" s="79">
        <v>31150</v>
      </c>
      <c r="AK189" s="79">
        <v>31461.5</v>
      </c>
      <c r="AL189" s="79">
        <v>0</v>
      </c>
      <c r="AM189" s="79">
        <v>0</v>
      </c>
      <c r="AN189" s="79">
        <v>0</v>
      </c>
      <c r="AO189" s="79">
        <v>0</v>
      </c>
      <c r="AP189" s="79">
        <v>10063</v>
      </c>
      <c r="AQ189" s="79">
        <v>0</v>
      </c>
      <c r="AR189" s="80">
        <v>1.594151E-3</v>
      </c>
      <c r="AS189" s="80">
        <v>2.8038680000000002E-3</v>
      </c>
      <c r="AT189" s="79">
        <v>56973.35</v>
      </c>
      <c r="AU189" s="79">
        <v>0</v>
      </c>
      <c r="AV189" s="79">
        <v>1892.11</v>
      </c>
      <c r="AW189" s="79">
        <v>27315.0681636466</v>
      </c>
      <c r="AX189" s="79">
        <v>6</v>
      </c>
      <c r="AY189" s="79">
        <v>6.24</v>
      </c>
      <c r="AZ189" s="79">
        <v>6839</v>
      </c>
      <c r="BA189" s="79">
        <v>1</v>
      </c>
      <c r="BB189" s="79">
        <v>0</v>
      </c>
      <c r="BC189" s="79">
        <v>0</v>
      </c>
      <c r="BD189" s="79">
        <v>0</v>
      </c>
      <c r="BE189" s="79">
        <v>0</v>
      </c>
      <c r="BF189" s="79">
        <v>0</v>
      </c>
      <c r="BG189" s="79">
        <v>0</v>
      </c>
      <c r="BH189" s="79">
        <v>0</v>
      </c>
      <c r="BI189" s="79">
        <v>0</v>
      </c>
      <c r="BJ189" s="79">
        <v>0</v>
      </c>
      <c r="BK189" s="79">
        <v>12</v>
      </c>
      <c r="BL189" s="79">
        <v>11118</v>
      </c>
      <c r="BM189" s="79">
        <v>330</v>
      </c>
      <c r="BN189" s="79">
        <v>64</v>
      </c>
      <c r="BO189">
        <v>14776</v>
      </c>
      <c r="BP189">
        <v>3553</v>
      </c>
      <c r="BQ189">
        <v>14553</v>
      </c>
      <c r="BR189">
        <v>3537</v>
      </c>
      <c r="BS189">
        <v>14334</v>
      </c>
      <c r="BT189">
        <v>3705</v>
      </c>
      <c r="BU189">
        <v>14051</v>
      </c>
      <c r="BV189">
        <v>3824</v>
      </c>
      <c r="BW189">
        <v>13773</v>
      </c>
      <c r="BX189">
        <v>3951</v>
      </c>
      <c r="BY189">
        <v>13592</v>
      </c>
      <c r="BZ189">
        <v>3990</v>
      </c>
      <c r="CB189">
        <v>1558.32</v>
      </c>
      <c r="CC189">
        <v>234</v>
      </c>
      <c r="CD189">
        <v>140</v>
      </c>
      <c r="CE189">
        <v>21331.35</v>
      </c>
      <c r="CF189">
        <v>5213.5600000000004</v>
      </c>
      <c r="CG189">
        <v>414.402849151765</v>
      </c>
      <c r="CH189">
        <v>908</v>
      </c>
      <c r="CI189">
        <v>408</v>
      </c>
      <c r="CJ189">
        <v>338.33333333333297</v>
      </c>
      <c r="CK189" s="81">
        <v>3529</v>
      </c>
      <c r="CL189">
        <v>824</v>
      </c>
      <c r="CM189">
        <v>9496.2861985529598</v>
      </c>
      <c r="CN189">
        <v>2.8380000000000001</v>
      </c>
      <c r="CO189">
        <v>54632</v>
      </c>
      <c r="CP189">
        <v>7569</v>
      </c>
      <c r="CQ189">
        <v>1919</v>
      </c>
      <c r="CR189">
        <v>1897</v>
      </c>
      <c r="CS189">
        <v>1572</v>
      </c>
      <c r="CT189">
        <v>1074</v>
      </c>
      <c r="CU189">
        <v>991.68963081862</v>
      </c>
      <c r="CV189">
        <v>602.92160513643705</v>
      </c>
      <c r="CW189">
        <v>281.59088282504001</v>
      </c>
      <c r="CX189">
        <v>2142.9117000000001</v>
      </c>
      <c r="CY189">
        <v>1302.8348000000001</v>
      </c>
      <c r="CZ189">
        <v>608.48109999999997</v>
      </c>
      <c r="DA189">
        <v>50550</v>
      </c>
      <c r="DE189">
        <v>579</v>
      </c>
      <c r="DF189" t="s">
        <v>224</v>
      </c>
      <c r="DG189">
        <v>5243</v>
      </c>
      <c r="DH189">
        <v>5190</v>
      </c>
      <c r="DI189">
        <v>5172</v>
      </c>
      <c r="DJ189">
        <v>5131</v>
      </c>
      <c r="DK189">
        <v>5132</v>
      </c>
      <c r="DO189">
        <v>415</v>
      </c>
      <c r="DP189" t="s">
        <v>174</v>
      </c>
      <c r="DQ189">
        <v>4848</v>
      </c>
      <c r="DR189">
        <v>1.34</v>
      </c>
      <c r="DS189">
        <v>1016</v>
      </c>
      <c r="DV189">
        <v>995</v>
      </c>
      <c r="DW189" t="s">
        <v>182</v>
      </c>
      <c r="DX189">
        <v>10890.8797578373</v>
      </c>
      <c r="DY189">
        <v>2077</v>
      </c>
      <c r="DZ189">
        <v>1038</v>
      </c>
      <c r="EA189">
        <v>446</v>
      </c>
      <c r="EB189">
        <v>5757</v>
      </c>
      <c r="EC189">
        <v>2258</v>
      </c>
      <c r="ED189">
        <v>617</v>
      </c>
      <c r="EE189" s="82">
        <v>0.227476313493019</v>
      </c>
      <c r="EF189" s="82">
        <v>0.53000245735465801</v>
      </c>
    </row>
    <row r="190" spans="1:136" x14ac:dyDescent="0.35">
      <c r="A190" s="72">
        <v>852</v>
      </c>
      <c r="B190" s="72">
        <v>7</v>
      </c>
      <c r="D190" s="72" t="s">
        <v>331</v>
      </c>
      <c r="E190" s="79">
        <v>2083200000</v>
      </c>
      <c r="F190" s="79">
        <v>108500000</v>
      </c>
      <c r="G190" s="79">
        <v>121100000</v>
      </c>
      <c r="H190" s="79">
        <v>17315</v>
      </c>
      <c r="I190" s="79">
        <v>4</v>
      </c>
      <c r="J190" s="79">
        <v>121.1</v>
      </c>
      <c r="K190" s="79">
        <v>3405</v>
      </c>
      <c r="L190" s="79">
        <v>4199</v>
      </c>
      <c r="M190" s="79">
        <v>1363</v>
      </c>
      <c r="N190" s="79">
        <v>1721</v>
      </c>
      <c r="O190" s="79">
        <v>989.7</v>
      </c>
      <c r="P190" s="79">
        <v>159</v>
      </c>
      <c r="Q190" s="79">
        <v>811</v>
      </c>
      <c r="R190" s="79">
        <v>440</v>
      </c>
      <c r="S190" s="79">
        <v>0</v>
      </c>
      <c r="T190" s="79">
        <v>489</v>
      </c>
      <c r="U190" s="79">
        <v>7597</v>
      </c>
      <c r="V190" s="79">
        <v>8940</v>
      </c>
      <c r="W190" s="79">
        <v>580</v>
      </c>
      <c r="X190" s="79">
        <v>0</v>
      </c>
      <c r="Y190" s="79">
        <v>260.8</v>
      </c>
      <c r="Z190" s="79">
        <v>0</v>
      </c>
      <c r="AA190" s="79">
        <v>0</v>
      </c>
      <c r="AB190" s="79">
        <v>152.19999999999999</v>
      </c>
      <c r="AC190" s="79">
        <v>5198</v>
      </c>
      <c r="AD190" s="79">
        <v>7433.14</v>
      </c>
      <c r="AE190" s="79">
        <v>412</v>
      </c>
      <c r="AF190" s="79">
        <v>5956</v>
      </c>
      <c r="AG190" s="79">
        <v>96</v>
      </c>
      <c r="AH190" s="79">
        <v>91</v>
      </c>
      <c r="AI190" s="79">
        <v>44.33</v>
      </c>
      <c r="AJ190" s="79">
        <v>7313</v>
      </c>
      <c r="AK190" s="79">
        <v>10238.200000000001</v>
      </c>
      <c r="AL190" s="79">
        <v>18</v>
      </c>
      <c r="AM190" s="79">
        <v>0</v>
      </c>
      <c r="AN190" s="79">
        <v>0</v>
      </c>
      <c r="AO190" s="79">
        <v>4600</v>
      </c>
      <c r="AP190" s="79">
        <v>568</v>
      </c>
      <c r="AQ190" s="79">
        <v>568</v>
      </c>
      <c r="AR190" s="80">
        <v>3.1241800000000002E-4</v>
      </c>
      <c r="AS190" s="80">
        <v>1.1174E-4</v>
      </c>
      <c r="AT190" s="79">
        <v>4826.58</v>
      </c>
      <c r="AU190" s="79">
        <v>0</v>
      </c>
      <c r="AV190" s="79">
        <v>4421.5600000000004</v>
      </c>
      <c r="AW190" s="79">
        <v>39131.2209803921</v>
      </c>
      <c r="AX190" s="79">
        <v>10</v>
      </c>
      <c r="AY190" s="79">
        <v>14.3</v>
      </c>
      <c r="AZ190" s="79">
        <v>2283</v>
      </c>
      <c r="BA190" s="79">
        <v>1</v>
      </c>
      <c r="BB190" s="79">
        <v>0</v>
      </c>
      <c r="BC190" s="79">
        <v>0</v>
      </c>
      <c r="BD190" s="79">
        <v>0</v>
      </c>
      <c r="BE190" s="79">
        <v>0</v>
      </c>
      <c r="BF190" s="79">
        <v>0</v>
      </c>
      <c r="BG190" s="79">
        <v>0</v>
      </c>
      <c r="BH190" s="79">
        <v>0</v>
      </c>
      <c r="BI190" s="79">
        <v>0</v>
      </c>
      <c r="BJ190" s="79">
        <v>0</v>
      </c>
      <c r="BK190" s="79">
        <v>9</v>
      </c>
      <c r="BL190" s="79">
        <v>2253</v>
      </c>
      <c r="BM190" s="79">
        <v>65</v>
      </c>
      <c r="BN190" s="79">
        <v>31</v>
      </c>
      <c r="BO190">
        <v>3594</v>
      </c>
      <c r="BP190">
        <v>158</v>
      </c>
      <c r="BQ190">
        <v>3562</v>
      </c>
      <c r="BR190">
        <v>133</v>
      </c>
      <c r="BS190">
        <v>3502</v>
      </c>
      <c r="BT190">
        <v>182</v>
      </c>
      <c r="BU190">
        <v>3412</v>
      </c>
      <c r="BV190">
        <v>186</v>
      </c>
      <c r="BW190">
        <v>3388</v>
      </c>
      <c r="BX190">
        <v>231</v>
      </c>
      <c r="BY190">
        <v>3366</v>
      </c>
      <c r="BZ190">
        <v>275</v>
      </c>
      <c r="CB190">
        <v>211.11</v>
      </c>
      <c r="CC190">
        <v>26</v>
      </c>
      <c r="CD190">
        <v>12</v>
      </c>
      <c r="CE190">
        <v>6354.6</v>
      </c>
      <c r="CF190">
        <v>1690.48</v>
      </c>
      <c r="CG190">
        <v>93.072077993408996</v>
      </c>
      <c r="CH190">
        <v>183</v>
      </c>
      <c r="CI190">
        <v>48</v>
      </c>
      <c r="CJ190">
        <v>27.6666666666667</v>
      </c>
      <c r="CK190" s="81">
        <v>652</v>
      </c>
      <c r="CL190">
        <v>113</v>
      </c>
      <c r="CM190">
        <v>2294.9779704114699</v>
      </c>
      <c r="CN190">
        <v>8.2000000000000003E-2</v>
      </c>
      <c r="CO190">
        <v>13116</v>
      </c>
      <c r="CP190">
        <v>2411</v>
      </c>
      <c r="CQ190">
        <v>425</v>
      </c>
      <c r="CR190">
        <v>473</v>
      </c>
      <c r="CS190">
        <v>458</v>
      </c>
      <c r="CT190">
        <v>203</v>
      </c>
      <c r="CU190">
        <v>202.05416381785901</v>
      </c>
      <c r="CV190">
        <v>132.898318063722</v>
      </c>
      <c r="CW190">
        <v>40.600300834130998</v>
      </c>
      <c r="CX190">
        <v>458.94819999999999</v>
      </c>
      <c r="CY190">
        <v>301.86680000000001</v>
      </c>
      <c r="CZ190">
        <v>92.22</v>
      </c>
      <c r="DA190">
        <v>0</v>
      </c>
      <c r="DE190">
        <v>584</v>
      </c>
      <c r="DF190" t="s">
        <v>819</v>
      </c>
      <c r="DG190">
        <v>5579</v>
      </c>
      <c r="DH190">
        <v>5445</v>
      </c>
      <c r="DI190">
        <v>5426</v>
      </c>
      <c r="DJ190">
        <v>5345</v>
      </c>
      <c r="DK190">
        <v>5271</v>
      </c>
      <c r="DO190">
        <v>416</v>
      </c>
      <c r="DP190" t="s">
        <v>175</v>
      </c>
      <c r="DQ190">
        <v>11504</v>
      </c>
      <c r="DR190">
        <v>1</v>
      </c>
      <c r="DS190">
        <v>921</v>
      </c>
      <c r="DV190">
        <v>1640</v>
      </c>
      <c r="DW190" t="s">
        <v>183</v>
      </c>
      <c r="DX190">
        <v>4235.3839047557103</v>
      </c>
      <c r="DY190">
        <v>792</v>
      </c>
      <c r="DZ190">
        <v>868</v>
      </c>
      <c r="EA190">
        <v>456</v>
      </c>
      <c r="EB190">
        <v>2927</v>
      </c>
      <c r="EC190">
        <v>1786</v>
      </c>
      <c r="ED190">
        <v>628</v>
      </c>
      <c r="EE190" s="82">
        <v>0.16091196357763299</v>
      </c>
      <c r="EF190" s="82">
        <v>0.42992500956889801</v>
      </c>
    </row>
    <row r="191" spans="1:136" x14ac:dyDescent="0.35">
      <c r="A191" s="72">
        <v>457</v>
      </c>
      <c r="B191" s="72">
        <v>7</v>
      </c>
      <c r="D191" s="72" t="s">
        <v>333</v>
      </c>
      <c r="E191" s="79">
        <v>2065200000</v>
      </c>
      <c r="F191" s="79">
        <v>331450000</v>
      </c>
      <c r="G191" s="79">
        <v>338450000</v>
      </c>
      <c r="H191" s="79">
        <v>19334</v>
      </c>
      <c r="I191" s="79">
        <v>1</v>
      </c>
      <c r="J191" s="79">
        <v>338.45</v>
      </c>
      <c r="K191" s="79">
        <v>3788</v>
      </c>
      <c r="L191" s="79">
        <v>3891</v>
      </c>
      <c r="M191" s="79">
        <v>1270</v>
      </c>
      <c r="N191" s="79">
        <v>2922</v>
      </c>
      <c r="O191" s="79">
        <v>2013.4</v>
      </c>
      <c r="P191" s="79">
        <v>396</v>
      </c>
      <c r="Q191" s="79">
        <v>1172</v>
      </c>
      <c r="R191" s="79">
        <v>2100</v>
      </c>
      <c r="S191" s="79">
        <v>0</v>
      </c>
      <c r="T191" s="79">
        <v>624</v>
      </c>
      <c r="U191" s="79">
        <v>9303</v>
      </c>
      <c r="V191" s="79">
        <v>14910</v>
      </c>
      <c r="W191" s="79">
        <v>2220</v>
      </c>
      <c r="X191" s="79">
        <v>0</v>
      </c>
      <c r="Y191" s="79">
        <v>1281.5999999999999</v>
      </c>
      <c r="Z191" s="79">
        <v>0</v>
      </c>
      <c r="AA191" s="79">
        <v>142.6</v>
      </c>
      <c r="AB191" s="79">
        <v>135.69999999999999</v>
      </c>
      <c r="AC191" s="79">
        <v>2272</v>
      </c>
      <c r="AD191" s="79">
        <v>2567.36</v>
      </c>
      <c r="AE191" s="79">
        <v>144</v>
      </c>
      <c r="AF191" s="79">
        <v>0</v>
      </c>
      <c r="AG191" s="79">
        <v>104</v>
      </c>
      <c r="AH191" s="79">
        <v>103.55</v>
      </c>
      <c r="AI191" s="79">
        <v>10.35</v>
      </c>
      <c r="AJ191" s="79">
        <v>9086</v>
      </c>
      <c r="AK191" s="79">
        <v>9903.74</v>
      </c>
      <c r="AL191" s="79">
        <v>19</v>
      </c>
      <c r="AM191" s="79">
        <v>0</v>
      </c>
      <c r="AN191" s="79">
        <v>0</v>
      </c>
      <c r="AO191" s="79">
        <v>4000</v>
      </c>
      <c r="AP191" s="79">
        <v>1741</v>
      </c>
      <c r="AQ191" s="79">
        <v>1741</v>
      </c>
      <c r="AR191" s="80">
        <v>6.0477700000000003E-4</v>
      </c>
      <c r="AS191" s="80">
        <v>9.11763E-4</v>
      </c>
      <c r="AT191" s="79">
        <v>15991.36</v>
      </c>
      <c r="AU191" s="79">
        <v>0</v>
      </c>
      <c r="AV191" s="79">
        <v>1158.25</v>
      </c>
      <c r="AW191" s="79">
        <v>11294.465057947</v>
      </c>
      <c r="AX191" s="79">
        <v>4</v>
      </c>
      <c r="AY191" s="79">
        <v>4.5999999999999996</v>
      </c>
      <c r="AZ191" s="79">
        <v>2609</v>
      </c>
      <c r="BA191" s="79">
        <v>1</v>
      </c>
      <c r="BB191" s="79">
        <v>0</v>
      </c>
      <c r="BC191" s="79">
        <v>0</v>
      </c>
      <c r="BD191" s="79">
        <v>0</v>
      </c>
      <c r="BE191" s="79">
        <v>0</v>
      </c>
      <c r="BF191" s="79">
        <v>0</v>
      </c>
      <c r="BG191" s="79">
        <v>0</v>
      </c>
      <c r="BH191" s="79">
        <v>0</v>
      </c>
      <c r="BI191" s="79">
        <v>0</v>
      </c>
      <c r="BJ191" s="79">
        <v>0</v>
      </c>
      <c r="BK191" s="79">
        <v>7</v>
      </c>
      <c r="BL191" s="79">
        <v>3562</v>
      </c>
      <c r="BM191" s="79">
        <v>95</v>
      </c>
      <c r="BN191" s="79">
        <v>9</v>
      </c>
      <c r="BO191">
        <v>3314</v>
      </c>
      <c r="BP191">
        <v>1333</v>
      </c>
      <c r="BQ191">
        <v>3351</v>
      </c>
      <c r="BR191">
        <v>1390</v>
      </c>
      <c r="BS191">
        <v>3454</v>
      </c>
      <c r="BT191">
        <v>1407</v>
      </c>
      <c r="BU191">
        <v>3485</v>
      </c>
      <c r="BV191">
        <v>1388</v>
      </c>
      <c r="BW191">
        <v>3534</v>
      </c>
      <c r="BX191">
        <v>1386</v>
      </c>
      <c r="BY191">
        <v>3564</v>
      </c>
      <c r="BZ191">
        <v>1390</v>
      </c>
      <c r="CB191">
        <v>473.5</v>
      </c>
      <c r="CC191">
        <v>41</v>
      </c>
      <c r="CD191">
        <v>66</v>
      </c>
      <c r="CE191">
        <v>6597.74</v>
      </c>
      <c r="CF191">
        <v>1558.44</v>
      </c>
      <c r="CG191">
        <v>97.234329889561806</v>
      </c>
      <c r="CH191">
        <v>225</v>
      </c>
      <c r="CI191">
        <v>119.666666666667</v>
      </c>
      <c r="CJ191">
        <v>97</v>
      </c>
      <c r="CK191" s="81">
        <v>776</v>
      </c>
      <c r="CL191">
        <v>178</v>
      </c>
      <c r="CM191">
        <v>2574.8407409002798</v>
      </c>
      <c r="CN191">
        <v>0.76800000000000002</v>
      </c>
      <c r="CO191">
        <v>15443</v>
      </c>
      <c r="CP191">
        <v>2090</v>
      </c>
      <c r="CQ191">
        <v>531</v>
      </c>
      <c r="CR191">
        <v>588</v>
      </c>
      <c r="CS191">
        <v>433</v>
      </c>
      <c r="CT191">
        <v>242</v>
      </c>
      <c r="CU191">
        <v>300.70259740259701</v>
      </c>
      <c r="CV191">
        <v>191.67851639885501</v>
      </c>
      <c r="CW191">
        <v>76.671406559542206</v>
      </c>
      <c r="CX191">
        <v>533.97950000000003</v>
      </c>
      <c r="CY191">
        <v>340.3775</v>
      </c>
      <c r="CZ191">
        <v>136.15100000000001</v>
      </c>
      <c r="DA191">
        <v>31552</v>
      </c>
      <c r="DE191">
        <v>585</v>
      </c>
      <c r="DF191" t="s">
        <v>812</v>
      </c>
      <c r="DG191">
        <v>5877</v>
      </c>
      <c r="DH191">
        <v>5863</v>
      </c>
      <c r="DI191">
        <v>5885</v>
      </c>
      <c r="DJ191">
        <v>5826</v>
      </c>
      <c r="DK191">
        <v>5795</v>
      </c>
      <c r="DO191">
        <v>417</v>
      </c>
      <c r="DP191" t="s">
        <v>177</v>
      </c>
      <c r="DQ191">
        <v>5556</v>
      </c>
      <c r="DR191">
        <v>1</v>
      </c>
      <c r="DS191">
        <v>1095</v>
      </c>
      <c r="DV191">
        <v>327</v>
      </c>
      <c r="DW191" t="s">
        <v>184</v>
      </c>
      <c r="DX191">
        <v>2772.2184913691199</v>
      </c>
      <c r="DY191">
        <v>749</v>
      </c>
      <c r="DZ191">
        <v>668</v>
      </c>
      <c r="EA191">
        <v>362</v>
      </c>
      <c r="EB191">
        <v>2282</v>
      </c>
      <c r="EC191">
        <v>1321</v>
      </c>
      <c r="ED191">
        <v>503</v>
      </c>
      <c r="EE191" s="82">
        <v>0.11854304228373</v>
      </c>
      <c r="EF191" s="82">
        <v>0.31326727033450502</v>
      </c>
    </row>
    <row r="192" spans="1:136" x14ac:dyDescent="0.35">
      <c r="A192" s="72">
        <v>1696</v>
      </c>
      <c r="B192" s="72">
        <v>7</v>
      </c>
      <c r="D192" s="72" t="s">
        <v>345</v>
      </c>
      <c r="E192" s="79">
        <v>3283600000</v>
      </c>
      <c r="F192" s="79">
        <v>273700000</v>
      </c>
      <c r="G192" s="79">
        <v>294000000</v>
      </c>
      <c r="H192" s="79">
        <v>24013</v>
      </c>
      <c r="I192" s="79">
        <v>4</v>
      </c>
      <c r="J192" s="79">
        <v>294</v>
      </c>
      <c r="K192" s="79">
        <v>4618</v>
      </c>
      <c r="L192" s="79">
        <v>5712</v>
      </c>
      <c r="M192" s="79">
        <v>1817</v>
      </c>
      <c r="N192" s="79">
        <v>2587</v>
      </c>
      <c r="O192" s="79">
        <v>1400.7</v>
      </c>
      <c r="P192" s="79">
        <v>223.666666666667</v>
      </c>
      <c r="Q192" s="79">
        <v>1004.66666666667</v>
      </c>
      <c r="R192" s="79">
        <v>585</v>
      </c>
      <c r="S192" s="79">
        <v>0</v>
      </c>
      <c r="T192" s="79">
        <v>688</v>
      </c>
      <c r="U192" s="79">
        <v>10731</v>
      </c>
      <c r="V192" s="79">
        <v>13600</v>
      </c>
      <c r="W192" s="79">
        <v>910</v>
      </c>
      <c r="X192" s="79">
        <v>0</v>
      </c>
      <c r="Y192" s="79">
        <v>0</v>
      </c>
      <c r="Z192" s="79">
        <v>0</v>
      </c>
      <c r="AA192" s="79">
        <v>0</v>
      </c>
      <c r="AB192" s="79">
        <v>0</v>
      </c>
      <c r="AC192" s="79">
        <v>4756</v>
      </c>
      <c r="AD192" s="79">
        <v>4803.5600000000004</v>
      </c>
      <c r="AE192" s="79">
        <v>2880</v>
      </c>
      <c r="AF192" s="79">
        <v>0</v>
      </c>
      <c r="AG192" s="79">
        <v>157</v>
      </c>
      <c r="AH192" s="79">
        <v>140.76</v>
      </c>
      <c r="AI192" s="79">
        <v>19.190000000000001</v>
      </c>
      <c r="AJ192" s="79">
        <v>11863</v>
      </c>
      <c r="AK192" s="79">
        <v>12100.26</v>
      </c>
      <c r="AL192" s="79">
        <v>0</v>
      </c>
      <c r="AM192" s="79">
        <v>0</v>
      </c>
      <c r="AN192" s="79">
        <v>0</v>
      </c>
      <c r="AO192" s="79">
        <v>0</v>
      </c>
      <c r="AP192" s="79">
        <v>0</v>
      </c>
      <c r="AQ192" s="79">
        <v>0</v>
      </c>
      <c r="AR192" s="80">
        <v>2.7410100000000001E-4</v>
      </c>
      <c r="AS192" s="80">
        <v>1.14014E-4</v>
      </c>
      <c r="AT192" s="79">
        <v>6951.7179999999998</v>
      </c>
      <c r="AU192" s="79">
        <v>0</v>
      </c>
      <c r="AV192" s="79">
        <v>8045.66</v>
      </c>
      <c r="AW192" s="79">
        <v>27956.528321110502</v>
      </c>
      <c r="AX192" s="79">
        <v>15</v>
      </c>
      <c r="AY192" s="79">
        <v>15.15</v>
      </c>
      <c r="AZ192" s="79">
        <v>3910</v>
      </c>
      <c r="BA192" s="79">
        <v>1</v>
      </c>
      <c r="BB192" s="79">
        <v>0</v>
      </c>
      <c r="BC192" s="79">
        <v>0</v>
      </c>
      <c r="BD192" s="79">
        <v>0</v>
      </c>
      <c r="BE192" s="79">
        <v>0</v>
      </c>
      <c r="BF192" s="79">
        <v>0</v>
      </c>
      <c r="BG192" s="79">
        <v>0</v>
      </c>
      <c r="BH192" s="79">
        <v>0</v>
      </c>
      <c r="BI192" s="79">
        <v>0</v>
      </c>
      <c r="BJ192" s="79">
        <v>0</v>
      </c>
      <c r="BK192" s="79">
        <v>6</v>
      </c>
      <c r="BL192" s="79">
        <v>3309</v>
      </c>
      <c r="BM192" s="79">
        <v>138</v>
      </c>
      <c r="BN192" s="79">
        <v>19</v>
      </c>
      <c r="BO192">
        <v>5009</v>
      </c>
      <c r="BP192">
        <v>0</v>
      </c>
      <c r="BQ192">
        <v>4979</v>
      </c>
      <c r="BR192">
        <v>0</v>
      </c>
      <c r="BS192">
        <v>4934</v>
      </c>
      <c r="BT192">
        <v>0</v>
      </c>
      <c r="BU192">
        <v>4828</v>
      </c>
      <c r="BV192">
        <v>0</v>
      </c>
      <c r="BW192">
        <v>4757</v>
      </c>
      <c r="BX192">
        <v>0</v>
      </c>
      <c r="BY192">
        <v>4687</v>
      </c>
      <c r="BZ192">
        <v>0</v>
      </c>
      <c r="CB192">
        <v>369.44</v>
      </c>
      <c r="CC192">
        <v>25</v>
      </c>
      <c r="CD192">
        <v>33</v>
      </c>
      <c r="CE192">
        <v>9158.49</v>
      </c>
      <c r="CF192">
        <v>2229.5500000000002</v>
      </c>
      <c r="CG192">
        <v>112.239462932455</v>
      </c>
      <c r="CH192">
        <v>241</v>
      </c>
      <c r="CI192">
        <v>63.3333333333333</v>
      </c>
      <c r="CJ192">
        <v>46.3333333333333</v>
      </c>
      <c r="CK192" s="81">
        <v>781</v>
      </c>
      <c r="CL192">
        <v>146</v>
      </c>
      <c r="CM192">
        <v>3302.4967991407102</v>
      </c>
      <c r="CN192">
        <v>0.115</v>
      </c>
      <c r="CO192">
        <v>18301</v>
      </c>
      <c r="CP192">
        <v>3243</v>
      </c>
      <c r="CQ192">
        <v>652</v>
      </c>
      <c r="CR192">
        <v>715</v>
      </c>
      <c r="CS192">
        <v>589</v>
      </c>
      <c r="CT192">
        <v>346</v>
      </c>
      <c r="CU192">
        <v>240.39662817162599</v>
      </c>
      <c r="CV192">
        <v>151.605732108236</v>
      </c>
      <c r="CW192">
        <v>56.438894040293398</v>
      </c>
      <c r="CX192">
        <v>596.95519999999999</v>
      </c>
      <c r="CY192">
        <v>376.46879999999999</v>
      </c>
      <c r="CZ192">
        <v>140.14959999999999</v>
      </c>
      <c r="DA192">
        <v>19845</v>
      </c>
      <c r="DE192">
        <v>588</v>
      </c>
      <c r="DF192" t="s">
        <v>815</v>
      </c>
      <c r="DG192">
        <v>2500</v>
      </c>
      <c r="DH192">
        <v>2481</v>
      </c>
      <c r="DI192">
        <v>2427</v>
      </c>
      <c r="DJ192">
        <v>2387</v>
      </c>
      <c r="DK192">
        <v>2362</v>
      </c>
      <c r="DO192">
        <v>420</v>
      </c>
      <c r="DP192" t="s">
        <v>196</v>
      </c>
      <c r="DQ192">
        <v>19689</v>
      </c>
      <c r="DR192">
        <v>1.26</v>
      </c>
      <c r="DS192">
        <v>517</v>
      </c>
      <c r="DV192">
        <v>733</v>
      </c>
      <c r="DW192" t="s">
        <v>808</v>
      </c>
      <c r="DX192">
        <v>1116.5147810624601</v>
      </c>
      <c r="DY192">
        <v>206</v>
      </c>
      <c r="DZ192">
        <v>189</v>
      </c>
      <c r="EA192">
        <v>101</v>
      </c>
      <c r="EB192">
        <v>818</v>
      </c>
      <c r="EC192">
        <v>427</v>
      </c>
      <c r="ED192">
        <v>141</v>
      </c>
      <c r="EE192" s="82">
        <v>0.14219409567515401</v>
      </c>
      <c r="EF192" s="82">
        <v>0.38653349623005401</v>
      </c>
    </row>
    <row r="193" spans="1:136" x14ac:dyDescent="0.35">
      <c r="A193" s="72">
        <v>880</v>
      </c>
      <c r="B193" s="72">
        <v>7</v>
      </c>
      <c r="D193" s="72" t="s">
        <v>350</v>
      </c>
      <c r="E193" s="79">
        <v>1468000000</v>
      </c>
      <c r="F193" s="79">
        <v>173600000</v>
      </c>
      <c r="G193" s="79">
        <v>186550000</v>
      </c>
      <c r="H193" s="79">
        <v>16329</v>
      </c>
      <c r="I193" s="79">
        <v>2</v>
      </c>
      <c r="J193" s="79">
        <v>186.55</v>
      </c>
      <c r="K193" s="79">
        <v>2994</v>
      </c>
      <c r="L193" s="79">
        <v>3739</v>
      </c>
      <c r="M193" s="79">
        <v>1324</v>
      </c>
      <c r="N193" s="79">
        <v>1986</v>
      </c>
      <c r="O193" s="79">
        <v>1276.0999999999999</v>
      </c>
      <c r="P193" s="79">
        <v>213.333333333333</v>
      </c>
      <c r="Q193" s="79">
        <v>915.33333333333303</v>
      </c>
      <c r="R193" s="79">
        <v>700</v>
      </c>
      <c r="S193" s="79">
        <v>0</v>
      </c>
      <c r="T193" s="79">
        <v>569</v>
      </c>
      <c r="U193" s="79">
        <v>7247</v>
      </c>
      <c r="V193" s="79">
        <v>9620</v>
      </c>
      <c r="W193" s="79">
        <v>1130</v>
      </c>
      <c r="X193" s="79">
        <v>0</v>
      </c>
      <c r="Y193" s="79">
        <v>0</v>
      </c>
      <c r="Z193" s="79">
        <v>0</v>
      </c>
      <c r="AA193" s="79">
        <v>0</v>
      </c>
      <c r="AB193" s="79">
        <v>0</v>
      </c>
      <c r="AC193" s="79">
        <v>3838</v>
      </c>
      <c r="AD193" s="79">
        <v>4490.46</v>
      </c>
      <c r="AE193" s="79">
        <v>680</v>
      </c>
      <c r="AF193" s="79">
        <v>0</v>
      </c>
      <c r="AG193" s="79">
        <v>94</v>
      </c>
      <c r="AH193" s="79">
        <v>84.32</v>
      </c>
      <c r="AI193" s="79">
        <v>29.9</v>
      </c>
      <c r="AJ193" s="79">
        <v>7099</v>
      </c>
      <c r="AK193" s="79">
        <v>8802.76</v>
      </c>
      <c r="AL193" s="79">
        <v>0</v>
      </c>
      <c r="AM193" s="79">
        <v>0</v>
      </c>
      <c r="AN193" s="79">
        <v>0</v>
      </c>
      <c r="AO193" s="79">
        <v>0</v>
      </c>
      <c r="AP193" s="79">
        <v>886</v>
      </c>
      <c r="AQ193" s="79">
        <v>0</v>
      </c>
      <c r="AR193" s="80">
        <v>1.80609E-4</v>
      </c>
      <c r="AS193" s="80">
        <v>1.9239600000000001E-4</v>
      </c>
      <c r="AT193" s="79">
        <v>10371.638999999999</v>
      </c>
      <c r="AU193" s="79">
        <v>0</v>
      </c>
      <c r="AV193" s="79">
        <v>7042.23</v>
      </c>
      <c r="AW193" s="79">
        <v>51864.091733067697</v>
      </c>
      <c r="AX193" s="79">
        <v>7</v>
      </c>
      <c r="AY193" s="79">
        <v>8.0500000000000007</v>
      </c>
      <c r="AZ193" s="79">
        <v>1681</v>
      </c>
      <c r="BA193" s="79">
        <v>1</v>
      </c>
      <c r="BB193" s="79">
        <v>0</v>
      </c>
      <c r="BC193" s="79">
        <v>0</v>
      </c>
      <c r="BD193" s="79">
        <v>0</v>
      </c>
      <c r="BE193" s="79">
        <v>0</v>
      </c>
      <c r="BF193" s="79">
        <v>0</v>
      </c>
      <c r="BG193" s="79">
        <v>0</v>
      </c>
      <c r="BH193" s="79">
        <v>0</v>
      </c>
      <c r="BI193" s="79">
        <v>0</v>
      </c>
      <c r="BJ193" s="79">
        <v>0</v>
      </c>
      <c r="BK193" s="79">
        <v>0</v>
      </c>
      <c r="BL193" s="79">
        <v>2235</v>
      </c>
      <c r="BM193" s="79">
        <v>68</v>
      </c>
      <c r="BN193" s="79">
        <v>26</v>
      </c>
      <c r="BO193">
        <v>3569</v>
      </c>
      <c r="BP193">
        <v>0</v>
      </c>
      <c r="BQ193">
        <v>3509</v>
      </c>
      <c r="BR193">
        <v>0</v>
      </c>
      <c r="BS193">
        <v>3428</v>
      </c>
      <c r="BT193">
        <v>0</v>
      </c>
      <c r="BU193">
        <v>3350</v>
      </c>
      <c r="BV193">
        <v>0</v>
      </c>
      <c r="BW193">
        <v>3234</v>
      </c>
      <c r="BX193">
        <v>0</v>
      </c>
      <c r="BY193">
        <v>3170</v>
      </c>
      <c r="BZ193">
        <v>0</v>
      </c>
      <c r="CB193">
        <v>293.41199999999998</v>
      </c>
      <c r="CC193">
        <v>43</v>
      </c>
      <c r="CD193">
        <v>51</v>
      </c>
      <c r="CE193">
        <v>5211.47</v>
      </c>
      <c r="CF193">
        <v>1210.3</v>
      </c>
      <c r="CG193">
        <v>106.44021744325001</v>
      </c>
      <c r="CH193">
        <v>187</v>
      </c>
      <c r="CI193">
        <v>77.6666666666667</v>
      </c>
      <c r="CJ193">
        <v>67.6666666666667</v>
      </c>
      <c r="CK193" s="81">
        <v>702</v>
      </c>
      <c r="CL193">
        <v>153</v>
      </c>
      <c r="CM193">
        <v>2293.7324616956098</v>
      </c>
      <c r="CN193">
        <v>0.248</v>
      </c>
      <c r="CO193">
        <v>12590</v>
      </c>
      <c r="CP193">
        <v>2030</v>
      </c>
      <c r="CQ193">
        <v>385</v>
      </c>
      <c r="CR193">
        <v>407</v>
      </c>
      <c r="CS193">
        <v>412</v>
      </c>
      <c r="CT193">
        <v>208</v>
      </c>
      <c r="CU193">
        <v>224.33762501760799</v>
      </c>
      <c r="CV193">
        <v>166.63539935202101</v>
      </c>
      <c r="CW193">
        <v>51.590463445555699</v>
      </c>
      <c r="CX193">
        <v>499.82400000000001</v>
      </c>
      <c r="CY193">
        <v>371.26350000000002</v>
      </c>
      <c r="CZ193">
        <v>114.9435</v>
      </c>
      <c r="DA193">
        <v>0</v>
      </c>
      <c r="DE193">
        <v>589</v>
      </c>
      <c r="DF193" t="s">
        <v>241</v>
      </c>
      <c r="DG193">
        <v>2366</v>
      </c>
      <c r="DH193">
        <v>2316</v>
      </c>
      <c r="DI193">
        <v>2301</v>
      </c>
      <c r="DJ193">
        <v>2286</v>
      </c>
      <c r="DK193">
        <v>2259</v>
      </c>
      <c r="DO193">
        <v>431</v>
      </c>
      <c r="DP193" t="s">
        <v>235</v>
      </c>
      <c r="DQ193">
        <v>4103</v>
      </c>
      <c r="DR193">
        <v>1.35</v>
      </c>
      <c r="DS193">
        <v>1063</v>
      </c>
      <c r="DV193">
        <v>1705</v>
      </c>
      <c r="DW193" t="s">
        <v>185</v>
      </c>
      <c r="DX193">
        <v>5316.8911167381502</v>
      </c>
      <c r="DY193">
        <v>1009</v>
      </c>
      <c r="DZ193">
        <v>851</v>
      </c>
      <c r="EA193">
        <v>455</v>
      </c>
      <c r="EB193">
        <v>3551</v>
      </c>
      <c r="EC193">
        <v>1898</v>
      </c>
      <c r="ED193">
        <v>630</v>
      </c>
      <c r="EE193" s="82">
        <v>0.16974233254214199</v>
      </c>
      <c r="EF193" s="82">
        <v>0.44140850577478302</v>
      </c>
    </row>
    <row r="194" spans="1:136" x14ac:dyDescent="0.35">
      <c r="A194" s="72">
        <v>479</v>
      </c>
      <c r="B194" s="72">
        <v>7</v>
      </c>
      <c r="D194" s="72" t="s">
        <v>352</v>
      </c>
      <c r="E194" s="79">
        <v>12600400000</v>
      </c>
      <c r="F194" s="79">
        <v>2229150000</v>
      </c>
      <c r="G194" s="79">
        <v>2248400000</v>
      </c>
      <c r="H194" s="79">
        <v>155885</v>
      </c>
      <c r="I194" s="79">
        <v>3</v>
      </c>
      <c r="J194" s="79">
        <v>2248.4</v>
      </c>
      <c r="K194" s="79">
        <v>31432</v>
      </c>
      <c r="L194" s="79">
        <v>28244</v>
      </c>
      <c r="M194" s="79">
        <v>9020</v>
      </c>
      <c r="N194" s="79">
        <v>22333</v>
      </c>
      <c r="O194" s="79">
        <v>15463.5</v>
      </c>
      <c r="P194" s="79">
        <v>4174.6666666666697</v>
      </c>
      <c r="Q194" s="79">
        <v>13722.666666666701</v>
      </c>
      <c r="R194" s="79">
        <v>25335</v>
      </c>
      <c r="S194" s="79">
        <v>0</v>
      </c>
      <c r="T194" s="79">
        <v>6964</v>
      </c>
      <c r="U194" s="79">
        <v>71518</v>
      </c>
      <c r="V194" s="79">
        <v>167940</v>
      </c>
      <c r="W194" s="79">
        <v>177150</v>
      </c>
      <c r="X194" s="79">
        <v>2473.04</v>
      </c>
      <c r="Y194" s="79">
        <v>7348.8</v>
      </c>
      <c r="Z194" s="79">
        <v>0</v>
      </c>
      <c r="AA194" s="79">
        <v>0</v>
      </c>
      <c r="AB194" s="79">
        <v>12</v>
      </c>
      <c r="AC194" s="79">
        <v>7361</v>
      </c>
      <c r="AD194" s="79">
        <v>9422.08</v>
      </c>
      <c r="AE194" s="79">
        <v>962</v>
      </c>
      <c r="AF194" s="79">
        <v>0</v>
      </c>
      <c r="AG194" s="79">
        <v>703</v>
      </c>
      <c r="AH194" s="79">
        <v>848.76</v>
      </c>
      <c r="AI194" s="79">
        <v>74.400000000000006</v>
      </c>
      <c r="AJ194" s="79">
        <v>68695</v>
      </c>
      <c r="AK194" s="79">
        <v>90677.4</v>
      </c>
      <c r="AL194" s="79">
        <v>12</v>
      </c>
      <c r="AM194" s="79">
        <v>0</v>
      </c>
      <c r="AN194" s="79">
        <v>0</v>
      </c>
      <c r="AO194" s="79">
        <v>10200</v>
      </c>
      <c r="AP194" s="79">
        <v>15821</v>
      </c>
      <c r="AQ194" s="79">
        <v>8346</v>
      </c>
      <c r="AR194" s="80">
        <v>6.0473640000000004E-3</v>
      </c>
      <c r="AS194" s="80">
        <v>9.5495489999999992E-3</v>
      </c>
      <c r="AT194" s="79">
        <v>139588.24</v>
      </c>
      <c r="AU194" s="79">
        <v>0</v>
      </c>
      <c r="AV194" s="79">
        <v>10522.88</v>
      </c>
      <c r="AW194" s="79">
        <v>471633.87893788301</v>
      </c>
      <c r="AX194" s="79">
        <v>7</v>
      </c>
      <c r="AY194" s="79">
        <v>8.68</v>
      </c>
      <c r="AZ194" s="79">
        <v>15777</v>
      </c>
      <c r="BA194" s="79">
        <v>1</v>
      </c>
      <c r="BB194" s="79">
        <v>0</v>
      </c>
      <c r="BC194" s="79">
        <v>0</v>
      </c>
      <c r="BD194" s="79">
        <v>0</v>
      </c>
      <c r="BE194" s="79">
        <v>0</v>
      </c>
      <c r="BF194" s="79">
        <v>0</v>
      </c>
      <c r="BG194" s="79">
        <v>0</v>
      </c>
      <c r="BH194" s="79">
        <v>0</v>
      </c>
      <c r="BI194" s="79">
        <v>0</v>
      </c>
      <c r="BJ194" s="79">
        <v>0</v>
      </c>
      <c r="BK194" s="79">
        <v>40</v>
      </c>
      <c r="BL194" s="79">
        <v>25202</v>
      </c>
      <c r="BM194" s="79">
        <v>643</v>
      </c>
      <c r="BN194" s="79">
        <v>60</v>
      </c>
      <c r="BO194">
        <v>30977</v>
      </c>
      <c r="BP194">
        <v>8340</v>
      </c>
      <c r="BQ194">
        <v>31113</v>
      </c>
      <c r="BR194">
        <v>8411</v>
      </c>
      <c r="BS194">
        <v>31293</v>
      </c>
      <c r="BT194">
        <v>8641</v>
      </c>
      <c r="BU194">
        <v>31415</v>
      </c>
      <c r="BV194">
        <v>8927</v>
      </c>
      <c r="BW194">
        <v>31374</v>
      </c>
      <c r="BX194">
        <v>9243</v>
      </c>
      <c r="BY194">
        <v>31375</v>
      </c>
      <c r="BZ194">
        <v>9464</v>
      </c>
      <c r="CB194">
        <v>4683.3680000000004</v>
      </c>
      <c r="CC194">
        <v>569</v>
      </c>
      <c r="CD194">
        <v>545</v>
      </c>
      <c r="CE194">
        <v>44076.06</v>
      </c>
      <c r="CF194">
        <v>11168.4</v>
      </c>
      <c r="CG194">
        <v>1104.60435402906</v>
      </c>
      <c r="CH194">
        <v>2624</v>
      </c>
      <c r="CI194">
        <v>1319.3333333333301</v>
      </c>
      <c r="CJ194">
        <v>1256.6666666666699</v>
      </c>
      <c r="CK194" s="81">
        <v>9548</v>
      </c>
      <c r="CL194">
        <v>2123</v>
      </c>
      <c r="CM194">
        <v>20919.913002243102</v>
      </c>
      <c r="CN194">
        <v>8.8330000000000002</v>
      </c>
      <c r="CO194">
        <v>127641</v>
      </c>
      <c r="CP194">
        <v>16241</v>
      </c>
      <c r="CQ194">
        <v>2983</v>
      </c>
      <c r="CR194">
        <v>3965</v>
      </c>
      <c r="CS194">
        <v>3186</v>
      </c>
      <c r="CT194">
        <v>1537</v>
      </c>
      <c r="CU194">
        <v>2335.6761918625798</v>
      </c>
      <c r="CV194">
        <v>1445.39098187641</v>
      </c>
      <c r="CW194">
        <v>479.24581847296002</v>
      </c>
      <c r="CX194">
        <v>5129.8944000000001</v>
      </c>
      <c r="CY194">
        <v>3174.5423999999998</v>
      </c>
      <c r="CZ194">
        <v>1052.5776000000001</v>
      </c>
      <c r="DA194">
        <v>79343</v>
      </c>
      <c r="DE194">
        <v>590</v>
      </c>
      <c r="DF194" t="s">
        <v>243</v>
      </c>
      <c r="DG194">
        <v>6992</v>
      </c>
      <c r="DH194">
        <v>7011</v>
      </c>
      <c r="DI194">
        <v>6942</v>
      </c>
      <c r="DJ194">
        <v>6930</v>
      </c>
      <c r="DK194">
        <v>6872</v>
      </c>
      <c r="DO194">
        <v>432</v>
      </c>
      <c r="DP194" t="s">
        <v>236</v>
      </c>
      <c r="DQ194">
        <v>4915</v>
      </c>
      <c r="DR194">
        <v>1.1200000000000001</v>
      </c>
      <c r="DS194">
        <v>509</v>
      </c>
      <c r="DV194">
        <v>553</v>
      </c>
      <c r="DW194" t="s">
        <v>186</v>
      </c>
      <c r="DX194">
        <v>2871.7811444466502</v>
      </c>
      <c r="DY194">
        <v>609</v>
      </c>
      <c r="DZ194">
        <v>567</v>
      </c>
      <c r="EA194">
        <v>329</v>
      </c>
      <c r="EB194">
        <v>1773</v>
      </c>
      <c r="EC194">
        <v>1139</v>
      </c>
      <c r="ED194">
        <v>448</v>
      </c>
      <c r="EE194" s="82">
        <v>0.184842406709646</v>
      </c>
      <c r="EF194" s="82">
        <v>0.40413750931708498</v>
      </c>
    </row>
    <row r="195" spans="1:136" x14ac:dyDescent="0.35">
      <c r="A195" s="72">
        <v>473</v>
      </c>
      <c r="B195" s="72">
        <v>7</v>
      </c>
      <c r="D195" s="72" t="s">
        <v>354</v>
      </c>
      <c r="E195" s="79">
        <v>2305200000</v>
      </c>
      <c r="F195" s="79">
        <v>209650000</v>
      </c>
      <c r="G195" s="79">
        <v>221550000</v>
      </c>
      <c r="H195" s="79">
        <v>17011</v>
      </c>
      <c r="I195" s="79">
        <v>2</v>
      </c>
      <c r="J195" s="79">
        <v>221.55</v>
      </c>
      <c r="K195" s="79">
        <v>2771</v>
      </c>
      <c r="L195" s="79">
        <v>4414</v>
      </c>
      <c r="M195" s="79">
        <v>1331</v>
      </c>
      <c r="N195" s="79">
        <v>2943</v>
      </c>
      <c r="O195" s="79">
        <v>1954</v>
      </c>
      <c r="P195" s="79">
        <v>393.33333333333297</v>
      </c>
      <c r="Q195" s="79">
        <v>1349.3333333333301</v>
      </c>
      <c r="R195" s="79">
        <v>680</v>
      </c>
      <c r="S195" s="79">
        <v>0</v>
      </c>
      <c r="T195" s="79">
        <v>735</v>
      </c>
      <c r="U195" s="79">
        <v>8807</v>
      </c>
      <c r="V195" s="79">
        <v>13320</v>
      </c>
      <c r="W195" s="79">
        <v>2020</v>
      </c>
      <c r="X195" s="79">
        <v>0</v>
      </c>
      <c r="Y195" s="79">
        <v>165.6</v>
      </c>
      <c r="Z195" s="79">
        <v>0</v>
      </c>
      <c r="AA195" s="79">
        <v>0</v>
      </c>
      <c r="AB195" s="79">
        <v>8.9999999999999698</v>
      </c>
      <c r="AC195" s="79">
        <v>3220</v>
      </c>
      <c r="AD195" s="79">
        <v>3220</v>
      </c>
      <c r="AE195" s="79">
        <v>162</v>
      </c>
      <c r="AF195" s="79">
        <v>1015</v>
      </c>
      <c r="AG195" s="79">
        <v>73</v>
      </c>
      <c r="AH195" s="79">
        <v>69</v>
      </c>
      <c r="AI195" s="79">
        <v>4</v>
      </c>
      <c r="AJ195" s="79">
        <v>9890</v>
      </c>
      <c r="AK195" s="79">
        <v>9890</v>
      </c>
      <c r="AL195" s="79">
        <v>0</v>
      </c>
      <c r="AM195" s="79">
        <v>0</v>
      </c>
      <c r="AN195" s="79">
        <v>0</v>
      </c>
      <c r="AO195" s="79">
        <v>0</v>
      </c>
      <c r="AP195" s="79">
        <v>2296</v>
      </c>
      <c r="AQ195" s="79">
        <v>0</v>
      </c>
      <c r="AR195" s="80">
        <v>4.87364E-4</v>
      </c>
      <c r="AS195" s="80">
        <v>7.7458500000000005E-4</v>
      </c>
      <c r="AT195" s="79">
        <v>17851.45</v>
      </c>
      <c r="AU195" s="79">
        <v>0</v>
      </c>
      <c r="AV195" s="79">
        <v>1528</v>
      </c>
      <c r="AW195" s="79">
        <v>7685.6321703134199</v>
      </c>
      <c r="AX195" s="79">
        <v>2</v>
      </c>
      <c r="AY195" s="79">
        <v>2</v>
      </c>
      <c r="AZ195" s="79">
        <v>2312</v>
      </c>
      <c r="BA195" s="79">
        <v>1</v>
      </c>
      <c r="BB195" s="79">
        <v>0</v>
      </c>
      <c r="BC195" s="79">
        <v>0</v>
      </c>
      <c r="BD195" s="79">
        <v>0</v>
      </c>
      <c r="BE195" s="79">
        <v>0</v>
      </c>
      <c r="BF195" s="79">
        <v>0</v>
      </c>
      <c r="BG195" s="79">
        <v>0</v>
      </c>
      <c r="BH195" s="79">
        <v>0</v>
      </c>
      <c r="BI195" s="79">
        <v>0</v>
      </c>
      <c r="BJ195" s="79">
        <v>0</v>
      </c>
      <c r="BK195" s="79">
        <v>5</v>
      </c>
      <c r="BL195" s="79">
        <v>3623</v>
      </c>
      <c r="BM195" s="79">
        <v>69</v>
      </c>
      <c r="BN195" s="79">
        <v>4</v>
      </c>
      <c r="BO195">
        <v>2847</v>
      </c>
      <c r="BP195">
        <v>180</v>
      </c>
      <c r="BQ195">
        <v>2825</v>
      </c>
      <c r="BR195">
        <v>167</v>
      </c>
      <c r="BS195">
        <v>2746</v>
      </c>
      <c r="BT195">
        <v>166</v>
      </c>
      <c r="BU195">
        <v>2700</v>
      </c>
      <c r="BV195">
        <v>158</v>
      </c>
      <c r="BW195">
        <v>2679</v>
      </c>
      <c r="BX195">
        <v>177</v>
      </c>
      <c r="BY195">
        <v>2639</v>
      </c>
      <c r="BZ195">
        <v>172</v>
      </c>
      <c r="CB195">
        <v>459.98599999999999</v>
      </c>
      <c r="CC195">
        <v>26</v>
      </c>
      <c r="CD195">
        <v>40</v>
      </c>
      <c r="CE195">
        <v>5919.2</v>
      </c>
      <c r="CF195">
        <v>1200.6099999999999</v>
      </c>
      <c r="CG195">
        <v>67.400264936135201</v>
      </c>
      <c r="CH195">
        <v>225</v>
      </c>
      <c r="CI195">
        <v>106.666666666667</v>
      </c>
      <c r="CJ195">
        <v>102</v>
      </c>
      <c r="CK195" s="81">
        <v>956</v>
      </c>
      <c r="CL195">
        <v>202</v>
      </c>
      <c r="CM195">
        <v>2727.0683396855602</v>
      </c>
      <c r="CN195">
        <v>0.96599999999999997</v>
      </c>
      <c r="CO195">
        <v>12597</v>
      </c>
      <c r="CP195">
        <v>2552</v>
      </c>
      <c r="CQ195">
        <v>531</v>
      </c>
      <c r="CR195">
        <v>759</v>
      </c>
      <c r="CS195">
        <v>562</v>
      </c>
      <c r="CT195">
        <v>287</v>
      </c>
      <c r="CU195">
        <v>334.88675429726999</v>
      </c>
      <c r="CV195">
        <v>196.58543983822</v>
      </c>
      <c r="CW195">
        <v>80.214762386248694</v>
      </c>
      <c r="CX195">
        <v>703.42499999999995</v>
      </c>
      <c r="CY195">
        <v>412.92500000000001</v>
      </c>
      <c r="CZ195">
        <v>168.49</v>
      </c>
      <c r="DA195">
        <v>73000</v>
      </c>
      <c r="DE195">
        <v>597</v>
      </c>
      <c r="DF195" t="s">
        <v>256</v>
      </c>
      <c r="DG195">
        <v>8216</v>
      </c>
      <c r="DH195">
        <v>8160</v>
      </c>
      <c r="DI195">
        <v>8189</v>
      </c>
      <c r="DJ195">
        <v>8251</v>
      </c>
      <c r="DK195">
        <v>8218</v>
      </c>
      <c r="DO195">
        <v>437</v>
      </c>
      <c r="DP195" t="s">
        <v>240</v>
      </c>
      <c r="DQ195">
        <v>5929</v>
      </c>
      <c r="DR195">
        <v>1.39</v>
      </c>
      <c r="DS195">
        <v>1242</v>
      </c>
      <c r="DV195">
        <v>262</v>
      </c>
      <c r="DW195" t="s">
        <v>187</v>
      </c>
      <c r="DX195">
        <v>3977.03768672057</v>
      </c>
      <c r="DY195">
        <v>882</v>
      </c>
      <c r="DZ195">
        <v>938</v>
      </c>
      <c r="EA195">
        <v>569</v>
      </c>
      <c r="EB195">
        <v>2967</v>
      </c>
      <c r="EC195">
        <v>2061</v>
      </c>
      <c r="ED195">
        <v>816</v>
      </c>
      <c r="EE195" s="82">
        <v>0.144424908531779</v>
      </c>
      <c r="EF195" s="82">
        <v>0.359679489169694</v>
      </c>
    </row>
    <row r="196" spans="1:136" x14ac:dyDescent="0.35">
      <c r="A196" s="72">
        <v>482</v>
      </c>
      <c r="B196" s="72">
        <v>8</v>
      </c>
      <c r="D196" s="72" t="s">
        <v>15</v>
      </c>
      <c r="E196" s="79">
        <v>1454400000</v>
      </c>
      <c r="F196" s="79">
        <v>332850000</v>
      </c>
      <c r="G196" s="79">
        <v>336000000</v>
      </c>
      <c r="H196" s="79">
        <v>20069</v>
      </c>
      <c r="I196" s="79">
        <v>1</v>
      </c>
      <c r="J196" s="79">
        <v>336</v>
      </c>
      <c r="K196" s="79">
        <v>4709</v>
      </c>
      <c r="L196" s="79">
        <v>3960</v>
      </c>
      <c r="M196" s="79">
        <v>1380</v>
      </c>
      <c r="N196" s="79">
        <v>2457</v>
      </c>
      <c r="O196" s="79">
        <v>1622.7</v>
      </c>
      <c r="P196" s="79">
        <v>333</v>
      </c>
      <c r="Q196" s="79">
        <v>1132</v>
      </c>
      <c r="R196" s="79">
        <v>1160</v>
      </c>
      <c r="S196" s="79">
        <v>0</v>
      </c>
      <c r="T196" s="79">
        <v>582</v>
      </c>
      <c r="U196" s="79">
        <v>8324</v>
      </c>
      <c r="V196" s="79">
        <v>17330</v>
      </c>
      <c r="W196" s="79">
        <v>3920</v>
      </c>
      <c r="X196" s="79">
        <v>0</v>
      </c>
      <c r="Y196" s="79">
        <v>0</v>
      </c>
      <c r="Z196" s="79">
        <v>0</v>
      </c>
      <c r="AA196" s="79">
        <v>0</v>
      </c>
      <c r="AB196" s="79">
        <v>0</v>
      </c>
      <c r="AC196" s="79">
        <v>874</v>
      </c>
      <c r="AD196" s="79">
        <v>1188.6400000000001</v>
      </c>
      <c r="AE196" s="79">
        <v>132</v>
      </c>
      <c r="AF196" s="79">
        <v>0</v>
      </c>
      <c r="AG196" s="79">
        <v>107</v>
      </c>
      <c r="AH196" s="79">
        <v>123.3</v>
      </c>
      <c r="AI196" s="79">
        <v>22.95</v>
      </c>
      <c r="AJ196" s="79">
        <v>8343</v>
      </c>
      <c r="AK196" s="79">
        <v>11429.91</v>
      </c>
      <c r="AL196" s="79">
        <v>0</v>
      </c>
      <c r="AM196" s="79">
        <v>0</v>
      </c>
      <c r="AN196" s="79">
        <v>0</v>
      </c>
      <c r="AO196" s="79">
        <v>0</v>
      </c>
      <c r="AP196" s="79">
        <v>1467</v>
      </c>
      <c r="AQ196" s="79">
        <v>0</v>
      </c>
      <c r="AR196" s="80">
        <v>2.1213199999999999E-4</v>
      </c>
      <c r="AS196" s="80">
        <v>5.8744400000000001E-4</v>
      </c>
      <c r="AT196" s="79">
        <v>12614.616</v>
      </c>
      <c r="AU196" s="79">
        <v>0</v>
      </c>
      <c r="AV196" s="79">
        <v>864.96</v>
      </c>
      <c r="AW196" s="79">
        <v>47262.295506958297</v>
      </c>
      <c r="AX196" s="79">
        <v>3</v>
      </c>
      <c r="AY196" s="79">
        <v>4.05</v>
      </c>
      <c r="AZ196" s="79">
        <v>1992</v>
      </c>
      <c r="BA196" s="79">
        <v>1</v>
      </c>
      <c r="BB196" s="79">
        <v>0</v>
      </c>
      <c r="BC196" s="79">
        <v>0</v>
      </c>
      <c r="BD196" s="79">
        <v>0</v>
      </c>
      <c r="BE196" s="79">
        <v>0</v>
      </c>
      <c r="BF196" s="79">
        <v>0</v>
      </c>
      <c r="BG196" s="79">
        <v>0</v>
      </c>
      <c r="BH196" s="79">
        <v>0</v>
      </c>
      <c r="BI196" s="79">
        <v>0</v>
      </c>
      <c r="BJ196" s="79">
        <v>0</v>
      </c>
      <c r="BK196" s="79">
        <v>31</v>
      </c>
      <c r="BL196" s="79">
        <v>2442</v>
      </c>
      <c r="BM196" s="79">
        <v>90</v>
      </c>
      <c r="BN196" s="79">
        <v>17</v>
      </c>
      <c r="BO196">
        <v>4625</v>
      </c>
      <c r="BP196">
        <v>0</v>
      </c>
      <c r="BQ196">
        <v>4648</v>
      </c>
      <c r="BR196">
        <v>0</v>
      </c>
      <c r="BS196">
        <v>4697</v>
      </c>
      <c r="BT196">
        <v>0</v>
      </c>
      <c r="BU196">
        <v>4726</v>
      </c>
      <c r="BV196">
        <v>0</v>
      </c>
      <c r="BW196">
        <v>4706</v>
      </c>
      <c r="BX196">
        <v>0</v>
      </c>
      <c r="BY196">
        <v>4736</v>
      </c>
      <c r="BZ196">
        <v>0</v>
      </c>
      <c r="CB196">
        <v>348.46600000000001</v>
      </c>
      <c r="CC196">
        <v>153</v>
      </c>
      <c r="CD196">
        <v>40</v>
      </c>
      <c r="CE196">
        <v>5471.22</v>
      </c>
      <c r="CF196">
        <v>1521.92</v>
      </c>
      <c r="CG196">
        <v>284.80729629629599</v>
      </c>
      <c r="CH196">
        <v>245</v>
      </c>
      <c r="CI196">
        <v>110.666666666667</v>
      </c>
      <c r="CJ196">
        <v>104</v>
      </c>
      <c r="CK196" s="81">
        <v>799</v>
      </c>
      <c r="CL196">
        <v>201</v>
      </c>
      <c r="CM196">
        <v>2827.46111751441</v>
      </c>
      <c r="CN196">
        <v>0.66900000000000004</v>
      </c>
      <c r="CO196">
        <v>16109</v>
      </c>
      <c r="CP196">
        <v>2066</v>
      </c>
      <c r="CQ196">
        <v>514</v>
      </c>
      <c r="CR196">
        <v>403</v>
      </c>
      <c r="CS196">
        <v>486</v>
      </c>
      <c r="CT196">
        <v>283</v>
      </c>
      <c r="CU196">
        <v>246.62394822006499</v>
      </c>
      <c r="CV196">
        <v>190.80291262135901</v>
      </c>
      <c r="CW196">
        <v>76.048867313915906</v>
      </c>
      <c r="CX196">
        <v>579.6028</v>
      </c>
      <c r="CY196">
        <v>448.4151</v>
      </c>
      <c r="CZ196">
        <v>178.7261</v>
      </c>
      <c r="DA196">
        <v>7938</v>
      </c>
      <c r="DE196">
        <v>599</v>
      </c>
      <c r="DF196" t="s">
        <v>262</v>
      </c>
      <c r="DG196">
        <v>119229</v>
      </c>
      <c r="DH196">
        <v>119522</v>
      </c>
      <c r="DI196">
        <v>119962</v>
      </c>
      <c r="DJ196">
        <v>120646</v>
      </c>
      <c r="DK196">
        <v>120838</v>
      </c>
      <c r="DO196">
        <v>439</v>
      </c>
      <c r="DP196" t="s">
        <v>247</v>
      </c>
      <c r="DQ196">
        <v>35974</v>
      </c>
      <c r="DR196">
        <v>1.26</v>
      </c>
      <c r="DS196">
        <v>2181</v>
      </c>
      <c r="DV196">
        <v>809</v>
      </c>
      <c r="DW196" t="s">
        <v>188</v>
      </c>
      <c r="DX196">
        <v>2863.6774063225898</v>
      </c>
      <c r="DY196">
        <v>503</v>
      </c>
      <c r="DZ196">
        <v>537</v>
      </c>
      <c r="EA196">
        <v>270</v>
      </c>
      <c r="EB196">
        <v>1752</v>
      </c>
      <c r="EC196">
        <v>1125</v>
      </c>
      <c r="ED196">
        <v>369</v>
      </c>
      <c r="EE196" s="82">
        <v>0.17270520962980601</v>
      </c>
      <c r="EF196" s="82">
        <v>0.43372316852071502</v>
      </c>
    </row>
    <row r="197" spans="1:136" x14ac:dyDescent="0.35">
      <c r="A197" s="72">
        <v>613</v>
      </c>
      <c r="B197" s="72">
        <v>8</v>
      </c>
      <c r="D197" s="72" t="s">
        <v>16</v>
      </c>
      <c r="E197" s="79">
        <v>2384400000</v>
      </c>
      <c r="F197" s="79">
        <v>287700000</v>
      </c>
      <c r="G197" s="79">
        <v>304850000</v>
      </c>
      <c r="H197" s="79">
        <v>25271</v>
      </c>
      <c r="I197" s="79">
        <v>2</v>
      </c>
      <c r="J197" s="79">
        <v>304.85000000000002</v>
      </c>
      <c r="K197" s="79">
        <v>5594</v>
      </c>
      <c r="L197" s="79">
        <v>4336</v>
      </c>
      <c r="M197" s="79">
        <v>1265</v>
      </c>
      <c r="N197" s="79">
        <v>2203</v>
      </c>
      <c r="O197" s="79">
        <v>1140.5999999999999</v>
      </c>
      <c r="P197" s="79">
        <v>288</v>
      </c>
      <c r="Q197" s="79">
        <v>1123</v>
      </c>
      <c r="R197" s="79">
        <v>2345</v>
      </c>
      <c r="S197" s="79">
        <v>0</v>
      </c>
      <c r="T197" s="79">
        <v>817</v>
      </c>
      <c r="U197" s="79">
        <v>10757</v>
      </c>
      <c r="V197" s="79">
        <v>16950</v>
      </c>
      <c r="W197" s="79">
        <v>2300</v>
      </c>
      <c r="X197" s="79">
        <v>0</v>
      </c>
      <c r="Y197" s="79">
        <v>0</v>
      </c>
      <c r="Z197" s="79">
        <v>0</v>
      </c>
      <c r="AA197" s="79">
        <v>0</v>
      </c>
      <c r="AB197" s="79">
        <v>0</v>
      </c>
      <c r="AC197" s="79">
        <v>2165</v>
      </c>
      <c r="AD197" s="79">
        <v>2662.95</v>
      </c>
      <c r="AE197" s="79">
        <v>211</v>
      </c>
      <c r="AF197" s="79">
        <v>0</v>
      </c>
      <c r="AG197" s="79">
        <v>124</v>
      </c>
      <c r="AH197" s="79">
        <v>139.52000000000001</v>
      </c>
      <c r="AI197" s="79">
        <v>17.850000000000001</v>
      </c>
      <c r="AJ197" s="79">
        <v>10624</v>
      </c>
      <c r="AK197" s="79">
        <v>13598.72</v>
      </c>
      <c r="AL197" s="79">
        <v>0</v>
      </c>
      <c r="AM197" s="79">
        <v>0</v>
      </c>
      <c r="AN197" s="79">
        <v>0</v>
      </c>
      <c r="AO197" s="79">
        <v>0</v>
      </c>
      <c r="AP197" s="79">
        <v>0</v>
      </c>
      <c r="AQ197" s="79">
        <v>0</v>
      </c>
      <c r="AR197" s="80">
        <v>6.9413999999999996E-5</v>
      </c>
      <c r="AS197" s="80">
        <v>1.8736E-4</v>
      </c>
      <c r="AT197" s="79">
        <v>10857.727999999999</v>
      </c>
      <c r="AU197" s="79">
        <v>0</v>
      </c>
      <c r="AV197" s="79">
        <v>1484.61</v>
      </c>
      <c r="AW197" s="79">
        <v>27956.6819065657</v>
      </c>
      <c r="AX197" s="79">
        <v>2</v>
      </c>
      <c r="AY197" s="79">
        <v>2.38</v>
      </c>
      <c r="AZ197" s="79">
        <v>2401</v>
      </c>
      <c r="BA197" s="79">
        <v>1</v>
      </c>
      <c r="BB197" s="79">
        <v>0</v>
      </c>
      <c r="BC197" s="79">
        <v>0</v>
      </c>
      <c r="BD197" s="79">
        <v>0</v>
      </c>
      <c r="BE197" s="79">
        <v>0</v>
      </c>
      <c r="BF197" s="79">
        <v>0</v>
      </c>
      <c r="BG197" s="79">
        <v>0</v>
      </c>
      <c r="BH197" s="79">
        <v>0</v>
      </c>
      <c r="BI197" s="79">
        <v>0</v>
      </c>
      <c r="BJ197" s="79">
        <v>0</v>
      </c>
      <c r="BK197" s="79">
        <v>11</v>
      </c>
      <c r="BL197" s="79">
        <v>2661</v>
      </c>
      <c r="BM197" s="79">
        <v>109</v>
      </c>
      <c r="BN197" s="79">
        <v>15</v>
      </c>
      <c r="BO197">
        <v>5316</v>
      </c>
      <c r="BP197">
        <v>227</v>
      </c>
      <c r="BQ197">
        <v>5535</v>
      </c>
      <c r="BR197">
        <v>80</v>
      </c>
      <c r="BS197">
        <v>5660</v>
      </c>
      <c r="BT197">
        <v>119</v>
      </c>
      <c r="BU197">
        <v>5700</v>
      </c>
      <c r="BV197">
        <v>126</v>
      </c>
      <c r="BW197">
        <v>5755</v>
      </c>
      <c r="BX197">
        <v>63</v>
      </c>
      <c r="BY197">
        <v>5743</v>
      </c>
      <c r="BZ197">
        <v>0</v>
      </c>
      <c r="CB197">
        <v>436.33199999999999</v>
      </c>
      <c r="CC197">
        <v>39</v>
      </c>
      <c r="CD197">
        <v>41</v>
      </c>
      <c r="CE197">
        <v>8449.4</v>
      </c>
      <c r="CF197">
        <v>2673.81</v>
      </c>
      <c r="CG197">
        <v>134.18573966659099</v>
      </c>
      <c r="CH197">
        <v>331</v>
      </c>
      <c r="CI197">
        <v>98.3333333333333</v>
      </c>
      <c r="CJ197">
        <v>87</v>
      </c>
      <c r="CK197" s="81">
        <v>835</v>
      </c>
      <c r="CL197">
        <v>277</v>
      </c>
      <c r="CM197">
        <v>2827.8031538923401</v>
      </c>
      <c r="CN197">
        <v>0.39</v>
      </c>
      <c r="CO197">
        <v>20935</v>
      </c>
      <c r="CP197">
        <v>2580</v>
      </c>
      <c r="CQ197">
        <v>491</v>
      </c>
      <c r="CR197">
        <v>505</v>
      </c>
      <c r="CS197">
        <v>464</v>
      </c>
      <c r="CT197">
        <v>252</v>
      </c>
      <c r="CU197">
        <v>170.703501506024</v>
      </c>
      <c r="CV197">
        <v>97.0540662650602</v>
      </c>
      <c r="CW197">
        <v>38.435128012048203</v>
      </c>
      <c r="CX197">
        <v>461.73599999999999</v>
      </c>
      <c r="CY197">
        <v>262.52159999999998</v>
      </c>
      <c r="CZ197">
        <v>103.9632</v>
      </c>
      <c r="DA197">
        <v>18434</v>
      </c>
      <c r="DE197">
        <v>603</v>
      </c>
      <c r="DF197" t="s">
        <v>258</v>
      </c>
      <c r="DG197">
        <v>7558</v>
      </c>
      <c r="DH197">
        <v>7540</v>
      </c>
      <c r="DI197">
        <v>7551</v>
      </c>
      <c r="DJ197">
        <v>7677</v>
      </c>
      <c r="DK197">
        <v>7794</v>
      </c>
      <c r="DO197">
        <v>441</v>
      </c>
      <c r="DP197" t="s">
        <v>265</v>
      </c>
      <c r="DQ197">
        <v>23810</v>
      </c>
      <c r="DR197">
        <v>1.19</v>
      </c>
      <c r="DS197">
        <v>725</v>
      </c>
      <c r="DV197">
        <v>331</v>
      </c>
      <c r="DW197" t="s">
        <v>189</v>
      </c>
      <c r="DX197">
        <v>1247.8722587719301</v>
      </c>
      <c r="DY197">
        <v>285</v>
      </c>
      <c r="DZ197">
        <v>211</v>
      </c>
      <c r="EA197">
        <v>87</v>
      </c>
      <c r="EB197">
        <v>917</v>
      </c>
      <c r="EC197">
        <v>499</v>
      </c>
      <c r="ED197">
        <v>139</v>
      </c>
      <c r="EE197" s="82">
        <v>0.120940555731574</v>
      </c>
      <c r="EF197" s="82">
        <v>0.38309035837626698</v>
      </c>
    </row>
    <row r="198" spans="1:136" x14ac:dyDescent="0.35">
      <c r="A198" s="72">
        <v>484</v>
      </c>
      <c r="B198" s="72">
        <v>8</v>
      </c>
      <c r="D198" s="72" t="s">
        <v>20</v>
      </c>
      <c r="E198" s="79">
        <v>9478400000</v>
      </c>
      <c r="F198" s="79">
        <v>1542450000</v>
      </c>
      <c r="G198" s="79">
        <v>1613850000</v>
      </c>
      <c r="H198" s="79">
        <v>110986</v>
      </c>
      <c r="I198" s="79">
        <v>5</v>
      </c>
      <c r="J198" s="79">
        <v>1613.85</v>
      </c>
      <c r="K198" s="79">
        <v>22638</v>
      </c>
      <c r="L198" s="79">
        <v>20832</v>
      </c>
      <c r="M198" s="79">
        <v>6254</v>
      </c>
      <c r="N198" s="79">
        <v>12843</v>
      </c>
      <c r="O198" s="79">
        <v>8045.7</v>
      </c>
      <c r="P198" s="79">
        <v>1691.6666666666699</v>
      </c>
      <c r="Q198" s="79">
        <v>6273.6666666666697</v>
      </c>
      <c r="R198" s="79">
        <v>7755</v>
      </c>
      <c r="S198" s="79">
        <v>0</v>
      </c>
      <c r="T198" s="79">
        <v>3402</v>
      </c>
      <c r="U198" s="79">
        <v>49661</v>
      </c>
      <c r="V198" s="79">
        <v>111490</v>
      </c>
      <c r="W198" s="79">
        <v>82310</v>
      </c>
      <c r="X198" s="79">
        <v>1995.88</v>
      </c>
      <c r="Y198" s="79">
        <v>5510.4</v>
      </c>
      <c r="Z198" s="79">
        <v>0</v>
      </c>
      <c r="AA198" s="79">
        <v>0</v>
      </c>
      <c r="AB198" s="79">
        <v>0</v>
      </c>
      <c r="AC198" s="79">
        <v>12640</v>
      </c>
      <c r="AD198" s="79">
        <v>16684.8</v>
      </c>
      <c r="AE198" s="79">
        <v>609</v>
      </c>
      <c r="AF198" s="79">
        <v>0</v>
      </c>
      <c r="AG198" s="79">
        <v>596</v>
      </c>
      <c r="AH198" s="79">
        <v>660.48</v>
      </c>
      <c r="AI198" s="79">
        <v>111.22</v>
      </c>
      <c r="AJ198" s="79">
        <v>47973</v>
      </c>
      <c r="AK198" s="79">
        <v>61885.17</v>
      </c>
      <c r="AL198" s="79">
        <v>0</v>
      </c>
      <c r="AM198" s="79">
        <v>0</v>
      </c>
      <c r="AN198" s="79">
        <v>0</v>
      </c>
      <c r="AO198" s="79">
        <v>0</v>
      </c>
      <c r="AP198" s="79">
        <v>3731</v>
      </c>
      <c r="AQ198" s="79">
        <v>0</v>
      </c>
      <c r="AR198" s="80">
        <v>1.1199599999999999E-3</v>
      </c>
      <c r="AS198" s="80">
        <v>2.3711610000000001E-3</v>
      </c>
      <c r="AT198" s="79">
        <v>87262.887000000002</v>
      </c>
      <c r="AU198" s="79">
        <v>0</v>
      </c>
      <c r="AV198" s="79">
        <v>14910.72</v>
      </c>
      <c r="AW198" s="79">
        <v>314454.69286436698</v>
      </c>
      <c r="AX198" s="79">
        <v>14</v>
      </c>
      <c r="AY198" s="79">
        <v>18.760000000000002</v>
      </c>
      <c r="AZ198" s="79">
        <v>11848</v>
      </c>
      <c r="BA198" s="79">
        <v>1</v>
      </c>
      <c r="BB198" s="79">
        <v>0</v>
      </c>
      <c r="BC198" s="79">
        <v>0</v>
      </c>
      <c r="BD198" s="79">
        <v>0</v>
      </c>
      <c r="BE198" s="79">
        <v>0</v>
      </c>
      <c r="BF198" s="79">
        <v>0</v>
      </c>
      <c r="BG198" s="79">
        <v>0</v>
      </c>
      <c r="BH198" s="79">
        <v>0</v>
      </c>
      <c r="BI198" s="79">
        <v>0</v>
      </c>
      <c r="BJ198" s="79">
        <v>0</v>
      </c>
      <c r="BK198" s="79">
        <v>59</v>
      </c>
      <c r="BL198" s="79">
        <v>15857</v>
      </c>
      <c r="BM198" s="79">
        <v>512</v>
      </c>
      <c r="BN198" s="79">
        <v>83</v>
      </c>
      <c r="BO198">
        <v>24107</v>
      </c>
      <c r="BP198">
        <v>6777</v>
      </c>
      <c r="BQ198">
        <v>23961</v>
      </c>
      <c r="BR198">
        <v>6822</v>
      </c>
      <c r="BS198">
        <v>23826</v>
      </c>
      <c r="BT198">
        <v>6962</v>
      </c>
      <c r="BU198">
        <v>23736</v>
      </c>
      <c r="BV198">
        <v>7173</v>
      </c>
      <c r="BW198">
        <v>23565</v>
      </c>
      <c r="BX198">
        <v>7385</v>
      </c>
      <c r="BY198">
        <v>23328</v>
      </c>
      <c r="BZ198">
        <v>7459</v>
      </c>
      <c r="CB198">
        <v>2082.6959999999999</v>
      </c>
      <c r="CC198">
        <v>382</v>
      </c>
      <c r="CD198">
        <v>318</v>
      </c>
      <c r="CE198">
        <v>34733.519999999997</v>
      </c>
      <c r="CF198">
        <v>8789.2199999999993</v>
      </c>
      <c r="CG198">
        <v>1030.6561948931701</v>
      </c>
      <c r="CH198">
        <v>1300</v>
      </c>
      <c r="CI198">
        <v>510.33333333333297</v>
      </c>
      <c r="CJ198">
        <v>403</v>
      </c>
      <c r="CK198" s="81">
        <v>4582</v>
      </c>
      <c r="CL198">
        <v>1445</v>
      </c>
      <c r="CM198">
        <v>15291.7242756577</v>
      </c>
      <c r="CN198">
        <v>2.3210000000000002</v>
      </c>
      <c r="CO198">
        <v>90154</v>
      </c>
      <c r="CP198">
        <v>12446</v>
      </c>
      <c r="CQ198">
        <v>2132</v>
      </c>
      <c r="CR198">
        <v>2492</v>
      </c>
      <c r="CS198">
        <v>2137</v>
      </c>
      <c r="CT198">
        <v>1066</v>
      </c>
      <c r="CU198">
        <v>1300.6150021887299</v>
      </c>
      <c r="CV198">
        <v>740.28557313488795</v>
      </c>
      <c r="CW198">
        <v>257.60730410856098</v>
      </c>
      <c r="CX198">
        <v>3105.8775000000001</v>
      </c>
      <c r="CY198">
        <v>1767.807</v>
      </c>
      <c r="CZ198">
        <v>615.16800000000001</v>
      </c>
      <c r="DA198">
        <v>259444</v>
      </c>
      <c r="DE198">
        <v>606</v>
      </c>
      <c r="DF198" t="s">
        <v>267</v>
      </c>
      <c r="DG198">
        <v>15330</v>
      </c>
      <c r="DH198">
        <v>15265</v>
      </c>
      <c r="DI198">
        <v>15231</v>
      </c>
      <c r="DJ198">
        <v>15292</v>
      </c>
      <c r="DK198">
        <v>15175</v>
      </c>
      <c r="DO198">
        <v>532</v>
      </c>
      <c r="DP198" t="s">
        <v>284</v>
      </c>
      <c r="DQ198">
        <v>9159</v>
      </c>
      <c r="DR198">
        <v>1.19</v>
      </c>
      <c r="DS198">
        <v>1124</v>
      </c>
      <c r="DV198">
        <v>24</v>
      </c>
      <c r="DW198" t="s">
        <v>190</v>
      </c>
      <c r="DX198">
        <v>1354.09949332105</v>
      </c>
      <c r="DY198">
        <v>267</v>
      </c>
      <c r="DZ198">
        <v>190</v>
      </c>
      <c r="EA198">
        <v>112</v>
      </c>
      <c r="EB198">
        <v>833</v>
      </c>
      <c r="EC198">
        <v>400</v>
      </c>
      <c r="ED198">
        <v>147</v>
      </c>
      <c r="EE198" s="82">
        <v>0.187861286845461</v>
      </c>
      <c r="EF198" s="82">
        <v>0.52542617575569694</v>
      </c>
    </row>
    <row r="199" spans="1:136" x14ac:dyDescent="0.35">
      <c r="A199" s="72">
        <v>489</v>
      </c>
      <c r="B199" s="72">
        <v>8</v>
      </c>
      <c r="D199" s="72" t="s">
        <v>34</v>
      </c>
      <c r="E199" s="79">
        <v>4426800000</v>
      </c>
      <c r="F199" s="79">
        <v>790650000</v>
      </c>
      <c r="G199" s="79">
        <v>793800000</v>
      </c>
      <c r="H199" s="79">
        <v>48673</v>
      </c>
      <c r="I199" s="79">
        <v>1</v>
      </c>
      <c r="J199" s="79">
        <v>793.8</v>
      </c>
      <c r="K199" s="79">
        <v>11174</v>
      </c>
      <c r="L199" s="79">
        <v>8348</v>
      </c>
      <c r="M199" s="79">
        <v>2579</v>
      </c>
      <c r="N199" s="79">
        <v>3825</v>
      </c>
      <c r="O199" s="79">
        <v>1886.2</v>
      </c>
      <c r="P199" s="79">
        <v>506.66666666666703</v>
      </c>
      <c r="Q199" s="79">
        <v>2040.6666666666699</v>
      </c>
      <c r="R199" s="79">
        <v>5760</v>
      </c>
      <c r="S199" s="79">
        <v>0</v>
      </c>
      <c r="T199" s="79">
        <v>1534</v>
      </c>
      <c r="U199" s="79">
        <v>19710</v>
      </c>
      <c r="V199" s="79">
        <v>45840</v>
      </c>
      <c r="W199" s="79">
        <v>19340</v>
      </c>
      <c r="X199" s="79">
        <v>2148.16</v>
      </c>
      <c r="Y199" s="79">
        <v>3401.6</v>
      </c>
      <c r="Z199" s="79">
        <v>0</v>
      </c>
      <c r="AA199" s="79">
        <v>0</v>
      </c>
      <c r="AB199" s="79">
        <v>1085.0999999999999</v>
      </c>
      <c r="AC199" s="79">
        <v>1944</v>
      </c>
      <c r="AD199" s="79">
        <v>2604.96</v>
      </c>
      <c r="AE199" s="79">
        <v>229</v>
      </c>
      <c r="AF199" s="79">
        <v>0</v>
      </c>
      <c r="AG199" s="79">
        <v>230</v>
      </c>
      <c r="AH199" s="79">
        <v>309.62</v>
      </c>
      <c r="AI199" s="79">
        <v>5.08</v>
      </c>
      <c r="AJ199" s="79">
        <v>19388</v>
      </c>
      <c r="AK199" s="79">
        <v>26561.56</v>
      </c>
      <c r="AL199" s="79">
        <v>0</v>
      </c>
      <c r="AM199" s="79">
        <v>0</v>
      </c>
      <c r="AN199" s="79">
        <v>0</v>
      </c>
      <c r="AO199" s="79">
        <v>0</v>
      </c>
      <c r="AP199" s="79">
        <v>716</v>
      </c>
      <c r="AQ199" s="79">
        <v>0</v>
      </c>
      <c r="AR199" s="80">
        <v>1.07892E-4</v>
      </c>
      <c r="AS199" s="80">
        <v>1.4540199999999999E-4</v>
      </c>
      <c r="AT199" s="79">
        <v>32300.407999999999</v>
      </c>
      <c r="AU199" s="79">
        <v>0</v>
      </c>
      <c r="AV199" s="79">
        <v>2864.92</v>
      </c>
      <c r="AW199" s="79">
        <v>164420.21627243399</v>
      </c>
      <c r="AX199" s="79">
        <v>4</v>
      </c>
      <c r="AY199" s="79">
        <v>5.08</v>
      </c>
      <c r="AZ199" s="79">
        <v>5405</v>
      </c>
      <c r="BA199" s="79">
        <v>1</v>
      </c>
      <c r="BB199" s="79">
        <v>0</v>
      </c>
      <c r="BC199" s="79">
        <v>0</v>
      </c>
      <c r="BD199" s="79">
        <v>0</v>
      </c>
      <c r="BE199" s="79">
        <v>0</v>
      </c>
      <c r="BF199" s="79">
        <v>0</v>
      </c>
      <c r="BG199" s="79">
        <v>0</v>
      </c>
      <c r="BH199" s="79">
        <v>0</v>
      </c>
      <c r="BI199" s="79">
        <v>0</v>
      </c>
      <c r="BJ199" s="79">
        <v>0</v>
      </c>
      <c r="BK199" s="79">
        <v>17</v>
      </c>
      <c r="BL199" s="79">
        <v>4796</v>
      </c>
      <c r="BM199" s="79">
        <v>226</v>
      </c>
      <c r="BN199" s="79">
        <v>4</v>
      </c>
      <c r="BO199">
        <v>11629</v>
      </c>
      <c r="BP199">
        <v>2879</v>
      </c>
      <c r="BQ199">
        <v>11772</v>
      </c>
      <c r="BR199">
        <v>3166</v>
      </c>
      <c r="BS199">
        <v>11832</v>
      </c>
      <c r="BT199">
        <v>3402</v>
      </c>
      <c r="BU199">
        <v>11837</v>
      </c>
      <c r="BV199">
        <v>3640</v>
      </c>
      <c r="BW199">
        <v>11894</v>
      </c>
      <c r="BX199">
        <v>3797</v>
      </c>
      <c r="BY199">
        <v>11723</v>
      </c>
      <c r="BZ199">
        <v>3738</v>
      </c>
      <c r="CB199">
        <v>826.87599999999998</v>
      </c>
      <c r="CC199">
        <v>106</v>
      </c>
      <c r="CD199">
        <v>88</v>
      </c>
      <c r="CE199">
        <v>16177.56</v>
      </c>
      <c r="CF199">
        <v>5062.2</v>
      </c>
      <c r="CG199">
        <v>295.65506354902197</v>
      </c>
      <c r="CH199">
        <v>647</v>
      </c>
      <c r="CI199">
        <v>189.333333333333</v>
      </c>
      <c r="CJ199">
        <v>145.333333333333</v>
      </c>
      <c r="CK199" s="81">
        <v>1534</v>
      </c>
      <c r="CL199">
        <v>419</v>
      </c>
      <c r="CM199">
        <v>5233.9975270052901</v>
      </c>
      <c r="CN199">
        <v>0.46600000000000003</v>
      </c>
      <c r="CO199">
        <v>40325</v>
      </c>
      <c r="CP199">
        <v>4868</v>
      </c>
      <c r="CQ199">
        <v>901</v>
      </c>
      <c r="CR199">
        <v>931</v>
      </c>
      <c r="CS199">
        <v>786</v>
      </c>
      <c r="CT199">
        <v>457</v>
      </c>
      <c r="CU199">
        <v>290.98536207963701</v>
      </c>
      <c r="CV199">
        <v>173.36540127914199</v>
      </c>
      <c r="CW199">
        <v>66.155147513926096</v>
      </c>
      <c r="CX199">
        <v>936.78120000000001</v>
      </c>
      <c r="CY199">
        <v>558.12239999999997</v>
      </c>
      <c r="CZ199">
        <v>212.976</v>
      </c>
      <c r="DA199">
        <v>27342</v>
      </c>
      <c r="DE199">
        <v>610</v>
      </c>
      <c r="DF199" t="s">
        <v>276</v>
      </c>
      <c r="DG199">
        <v>5322</v>
      </c>
      <c r="DH199">
        <v>5322</v>
      </c>
      <c r="DI199">
        <v>5260</v>
      </c>
      <c r="DJ199">
        <v>5336</v>
      </c>
      <c r="DK199">
        <v>5347</v>
      </c>
      <c r="DO199">
        <v>448</v>
      </c>
      <c r="DP199" t="s">
        <v>292</v>
      </c>
      <c r="DQ199">
        <v>10695</v>
      </c>
      <c r="DR199">
        <v>1</v>
      </c>
      <c r="DS199">
        <v>466</v>
      </c>
      <c r="DV199">
        <v>168</v>
      </c>
      <c r="DW199" t="s">
        <v>191</v>
      </c>
      <c r="DX199">
        <v>2842.1265932166798</v>
      </c>
      <c r="DY199">
        <v>510</v>
      </c>
      <c r="DZ199">
        <v>445</v>
      </c>
      <c r="EA199">
        <v>250</v>
      </c>
      <c r="EB199">
        <v>1798</v>
      </c>
      <c r="EC199">
        <v>1046</v>
      </c>
      <c r="ED199">
        <v>358</v>
      </c>
      <c r="EE199" s="82">
        <v>0.181649647529152</v>
      </c>
      <c r="EF199" s="82">
        <v>0.50750240615976905</v>
      </c>
    </row>
    <row r="200" spans="1:136" x14ac:dyDescent="0.35">
      <c r="A200" s="72">
        <v>1901</v>
      </c>
      <c r="B200" s="72">
        <v>8</v>
      </c>
      <c r="D200" s="72" t="s">
        <v>53</v>
      </c>
      <c r="E200" s="79">
        <v>3568800000</v>
      </c>
      <c r="F200" s="79">
        <v>464450000</v>
      </c>
      <c r="G200" s="79">
        <v>493500000</v>
      </c>
      <c r="H200" s="79">
        <v>34462</v>
      </c>
      <c r="I200" s="79">
        <v>6</v>
      </c>
      <c r="J200" s="79">
        <v>493.5</v>
      </c>
      <c r="K200" s="79">
        <v>7498</v>
      </c>
      <c r="L200" s="79">
        <v>6845</v>
      </c>
      <c r="M200" s="79">
        <v>2164</v>
      </c>
      <c r="N200" s="79">
        <v>3279</v>
      </c>
      <c r="O200" s="79">
        <v>1805.1</v>
      </c>
      <c r="P200" s="79">
        <v>287.33333333333297</v>
      </c>
      <c r="Q200" s="79">
        <v>1317.3333333333301</v>
      </c>
      <c r="R200" s="79">
        <v>1510</v>
      </c>
      <c r="S200" s="79">
        <v>0</v>
      </c>
      <c r="T200" s="79">
        <v>844</v>
      </c>
      <c r="U200" s="79">
        <v>14368</v>
      </c>
      <c r="V200" s="79">
        <v>27250</v>
      </c>
      <c r="W200" s="79">
        <v>4250</v>
      </c>
      <c r="X200" s="79">
        <v>0</v>
      </c>
      <c r="Y200" s="79">
        <v>0</v>
      </c>
      <c r="Z200" s="79">
        <v>0</v>
      </c>
      <c r="AA200" s="79">
        <v>0</v>
      </c>
      <c r="AB200" s="79">
        <v>0</v>
      </c>
      <c r="AC200" s="79">
        <v>7566</v>
      </c>
      <c r="AD200" s="79">
        <v>11500.32</v>
      </c>
      <c r="AE200" s="79">
        <v>1298</v>
      </c>
      <c r="AF200" s="79">
        <v>0</v>
      </c>
      <c r="AG200" s="79">
        <v>230</v>
      </c>
      <c r="AH200" s="79">
        <v>248.4</v>
      </c>
      <c r="AI200" s="79">
        <v>76.44</v>
      </c>
      <c r="AJ200" s="79">
        <v>14739</v>
      </c>
      <c r="AK200" s="79">
        <v>20339.82</v>
      </c>
      <c r="AL200" s="79">
        <v>0</v>
      </c>
      <c r="AM200" s="79">
        <v>0</v>
      </c>
      <c r="AN200" s="79">
        <v>0</v>
      </c>
      <c r="AO200" s="79">
        <v>0</v>
      </c>
      <c r="AP200" s="79">
        <v>870</v>
      </c>
      <c r="AQ200" s="79">
        <v>0</v>
      </c>
      <c r="AR200" s="80">
        <v>3.8592299999999998E-4</v>
      </c>
      <c r="AS200" s="80">
        <v>2.3670000000000001E-4</v>
      </c>
      <c r="AT200" s="79">
        <v>16566.635999999999</v>
      </c>
      <c r="AU200" s="79">
        <v>0</v>
      </c>
      <c r="AV200" s="79">
        <v>13719.52</v>
      </c>
      <c r="AW200" s="79">
        <v>149251.56288808701</v>
      </c>
      <c r="AX200" s="79">
        <v>18</v>
      </c>
      <c r="AY200" s="79">
        <v>28.08</v>
      </c>
      <c r="AZ200" s="79">
        <v>4564</v>
      </c>
      <c r="BA200" s="79">
        <v>1</v>
      </c>
      <c r="BB200" s="79">
        <v>0</v>
      </c>
      <c r="BC200" s="79">
        <v>0</v>
      </c>
      <c r="BD200" s="79">
        <v>0</v>
      </c>
      <c r="BE200" s="79">
        <v>0</v>
      </c>
      <c r="BF200" s="79">
        <v>0</v>
      </c>
      <c r="BG200" s="79">
        <v>0</v>
      </c>
      <c r="BH200" s="79">
        <v>0</v>
      </c>
      <c r="BI200" s="79">
        <v>0</v>
      </c>
      <c r="BJ200" s="79">
        <v>0</v>
      </c>
      <c r="BK200" s="79">
        <v>19</v>
      </c>
      <c r="BL200" s="79">
        <v>4039</v>
      </c>
      <c r="BM200" s="79">
        <v>180</v>
      </c>
      <c r="BN200" s="79">
        <v>49</v>
      </c>
      <c r="BO200">
        <v>7913</v>
      </c>
      <c r="BP200">
        <v>123</v>
      </c>
      <c r="BQ200">
        <v>7805</v>
      </c>
      <c r="BR200">
        <v>98</v>
      </c>
      <c r="BS200">
        <v>7780</v>
      </c>
      <c r="BT200">
        <v>105</v>
      </c>
      <c r="BU200">
        <v>7716</v>
      </c>
      <c r="BV200">
        <v>103</v>
      </c>
      <c r="BW200">
        <v>7575</v>
      </c>
      <c r="BX200">
        <v>51</v>
      </c>
      <c r="BY200">
        <v>7508</v>
      </c>
      <c r="BZ200">
        <v>0</v>
      </c>
      <c r="CB200">
        <v>592.34199999999998</v>
      </c>
      <c r="CC200">
        <v>123</v>
      </c>
      <c r="CD200">
        <v>75</v>
      </c>
      <c r="CE200">
        <v>11895.24</v>
      </c>
      <c r="CF200">
        <v>3005.31</v>
      </c>
      <c r="CG200">
        <v>234.749371556217</v>
      </c>
      <c r="CH200">
        <v>357</v>
      </c>
      <c r="CI200">
        <v>110</v>
      </c>
      <c r="CJ200">
        <v>66.3333333333333</v>
      </c>
      <c r="CK200" s="81">
        <v>1030</v>
      </c>
      <c r="CL200">
        <v>303</v>
      </c>
      <c r="CM200">
        <v>4381.4161179038001</v>
      </c>
      <c r="CN200">
        <v>0.17</v>
      </c>
      <c r="CO200">
        <v>27617</v>
      </c>
      <c r="CP200">
        <v>3978</v>
      </c>
      <c r="CQ200">
        <v>703</v>
      </c>
      <c r="CR200">
        <v>744</v>
      </c>
      <c r="CS200">
        <v>708</v>
      </c>
      <c r="CT200">
        <v>397</v>
      </c>
      <c r="CU200">
        <v>297.35957663342202</v>
      </c>
      <c r="CV200">
        <v>189.46262975778501</v>
      </c>
      <c r="CW200">
        <v>70.788235294117598</v>
      </c>
      <c r="CX200">
        <v>760.44960000000003</v>
      </c>
      <c r="CY200">
        <v>484.5204</v>
      </c>
      <c r="CZ200">
        <v>181.02959999999999</v>
      </c>
      <c r="DA200">
        <v>30295</v>
      </c>
      <c r="DE200">
        <v>611</v>
      </c>
      <c r="DF200" t="s">
        <v>813</v>
      </c>
      <c r="DG200">
        <v>2703</v>
      </c>
      <c r="DH200">
        <v>2642</v>
      </c>
      <c r="DI200">
        <v>2599</v>
      </c>
      <c r="DJ200">
        <v>2591</v>
      </c>
      <c r="DK200">
        <v>2547</v>
      </c>
      <c r="DO200">
        <v>450</v>
      </c>
      <c r="DP200" t="s">
        <v>302</v>
      </c>
      <c r="DQ200">
        <v>5760</v>
      </c>
      <c r="DR200">
        <v>1.06</v>
      </c>
      <c r="DS200">
        <v>1092</v>
      </c>
      <c r="DV200">
        <v>263</v>
      </c>
      <c r="DW200" t="s">
        <v>192</v>
      </c>
      <c r="DX200">
        <v>2646.6969330104898</v>
      </c>
      <c r="DY200">
        <v>506</v>
      </c>
      <c r="DZ200">
        <v>415</v>
      </c>
      <c r="EA200">
        <v>233</v>
      </c>
      <c r="EB200">
        <v>1684</v>
      </c>
      <c r="EC200">
        <v>905</v>
      </c>
      <c r="ED200">
        <v>313</v>
      </c>
      <c r="EE200" s="82">
        <v>0.16098973799531499</v>
      </c>
      <c r="EF200" s="82">
        <v>0.418704494192155</v>
      </c>
    </row>
    <row r="201" spans="1:136" x14ac:dyDescent="0.35">
      <c r="A201" s="72">
        <v>501</v>
      </c>
      <c r="B201" s="72">
        <v>8</v>
      </c>
      <c r="D201" s="72" t="s">
        <v>61</v>
      </c>
      <c r="E201" s="79">
        <v>1507600000</v>
      </c>
      <c r="F201" s="79">
        <v>229600000</v>
      </c>
      <c r="G201" s="79">
        <v>240800000</v>
      </c>
      <c r="H201" s="79">
        <v>17182</v>
      </c>
      <c r="I201" s="79">
        <v>3</v>
      </c>
      <c r="J201" s="79">
        <v>240.8</v>
      </c>
      <c r="K201" s="79">
        <v>3017</v>
      </c>
      <c r="L201" s="79">
        <v>3838</v>
      </c>
      <c r="M201" s="79">
        <v>1209</v>
      </c>
      <c r="N201" s="79">
        <v>1791</v>
      </c>
      <c r="O201" s="79">
        <v>988.8</v>
      </c>
      <c r="P201" s="79">
        <v>225.666666666667</v>
      </c>
      <c r="Q201" s="79">
        <v>828.66666666666697</v>
      </c>
      <c r="R201" s="79">
        <v>510</v>
      </c>
      <c r="S201" s="79">
        <v>0</v>
      </c>
      <c r="T201" s="79">
        <v>561</v>
      </c>
      <c r="U201" s="79">
        <v>7983</v>
      </c>
      <c r="V201" s="79">
        <v>13990</v>
      </c>
      <c r="W201" s="79">
        <v>2110</v>
      </c>
      <c r="X201" s="79">
        <v>746.14</v>
      </c>
      <c r="Y201" s="79">
        <v>1224.8</v>
      </c>
      <c r="Z201" s="79">
        <v>0</v>
      </c>
      <c r="AA201" s="79">
        <v>0</v>
      </c>
      <c r="AB201" s="79">
        <v>0</v>
      </c>
      <c r="AC201" s="79">
        <v>2756</v>
      </c>
      <c r="AD201" s="79">
        <v>3224.52</v>
      </c>
      <c r="AE201" s="79">
        <v>359</v>
      </c>
      <c r="AF201" s="79">
        <v>0</v>
      </c>
      <c r="AG201" s="79">
        <v>89</v>
      </c>
      <c r="AH201" s="79">
        <v>82.96</v>
      </c>
      <c r="AI201" s="79">
        <v>24.36</v>
      </c>
      <c r="AJ201" s="79">
        <v>8022</v>
      </c>
      <c r="AK201" s="79">
        <v>9786.84</v>
      </c>
      <c r="AL201" s="79">
        <v>26</v>
      </c>
      <c r="AM201" s="79">
        <v>0</v>
      </c>
      <c r="AN201" s="79">
        <v>0</v>
      </c>
      <c r="AO201" s="79">
        <v>5800</v>
      </c>
      <c r="AP201" s="79">
        <v>870</v>
      </c>
      <c r="AQ201" s="79">
        <v>870</v>
      </c>
      <c r="AR201" s="80">
        <v>3.4786700000000002E-4</v>
      </c>
      <c r="AS201" s="80">
        <v>1.5063399999999999E-4</v>
      </c>
      <c r="AT201" s="79">
        <v>7003.2060000000001</v>
      </c>
      <c r="AU201" s="79">
        <v>0</v>
      </c>
      <c r="AV201" s="79">
        <v>1852.11</v>
      </c>
      <c r="AW201" s="79">
        <v>18166.8623113965</v>
      </c>
      <c r="AX201" s="79">
        <v>3</v>
      </c>
      <c r="AY201" s="79">
        <v>3.48</v>
      </c>
      <c r="AZ201" s="79">
        <v>1833</v>
      </c>
      <c r="BA201" s="79">
        <v>1</v>
      </c>
      <c r="BB201" s="79">
        <v>0</v>
      </c>
      <c r="BC201" s="79">
        <v>0</v>
      </c>
      <c r="BD201" s="79">
        <v>0</v>
      </c>
      <c r="BE201" s="79">
        <v>0</v>
      </c>
      <c r="BF201" s="79">
        <v>0</v>
      </c>
      <c r="BG201" s="79">
        <v>0</v>
      </c>
      <c r="BH201" s="79">
        <v>0</v>
      </c>
      <c r="BI201" s="79">
        <v>0</v>
      </c>
      <c r="BJ201" s="79">
        <v>0</v>
      </c>
      <c r="BK201" s="79">
        <v>6</v>
      </c>
      <c r="BL201" s="79">
        <v>2484</v>
      </c>
      <c r="BM201" s="79">
        <v>68</v>
      </c>
      <c r="BN201" s="79">
        <v>21</v>
      </c>
      <c r="BO201">
        <v>3223</v>
      </c>
      <c r="BP201">
        <v>1614</v>
      </c>
      <c r="BQ201">
        <v>3197</v>
      </c>
      <c r="BR201">
        <v>1646</v>
      </c>
      <c r="BS201">
        <v>3174</v>
      </c>
      <c r="BT201">
        <v>1618</v>
      </c>
      <c r="BU201">
        <v>3143</v>
      </c>
      <c r="BV201">
        <v>1561</v>
      </c>
      <c r="BW201">
        <v>3132</v>
      </c>
      <c r="BX201">
        <v>1558</v>
      </c>
      <c r="BY201">
        <v>3037</v>
      </c>
      <c r="BZ201">
        <v>1558</v>
      </c>
      <c r="CB201">
        <v>298.68299999999999</v>
      </c>
      <c r="CC201">
        <v>27</v>
      </c>
      <c r="CD201">
        <v>14</v>
      </c>
      <c r="CE201">
        <v>6114.6</v>
      </c>
      <c r="CF201">
        <v>1347.54</v>
      </c>
      <c r="CG201">
        <v>76.751359133126897</v>
      </c>
      <c r="CH201">
        <v>208</v>
      </c>
      <c r="CI201">
        <v>60.6666666666667</v>
      </c>
      <c r="CJ201">
        <v>55.6666666666667</v>
      </c>
      <c r="CK201" s="81">
        <v>603</v>
      </c>
      <c r="CL201">
        <v>176</v>
      </c>
      <c r="CM201">
        <v>2597.12538461538</v>
      </c>
      <c r="CN201">
        <v>0.27100000000000002</v>
      </c>
      <c r="CO201">
        <v>13344</v>
      </c>
      <c r="CP201">
        <v>2232</v>
      </c>
      <c r="CQ201">
        <v>397</v>
      </c>
      <c r="CR201">
        <v>462</v>
      </c>
      <c r="CS201">
        <v>419</v>
      </c>
      <c r="CT201">
        <v>182</v>
      </c>
      <c r="CU201">
        <v>168.74435302916999</v>
      </c>
      <c r="CV201">
        <v>106.127748691099</v>
      </c>
      <c r="CW201">
        <v>33.403739715781597</v>
      </c>
      <c r="CX201">
        <v>474.76920000000001</v>
      </c>
      <c r="CY201">
        <v>298.59480000000002</v>
      </c>
      <c r="CZ201">
        <v>93.982799999999997</v>
      </c>
      <c r="DA201">
        <v>29973</v>
      </c>
      <c r="DE201">
        <v>613</v>
      </c>
      <c r="DF201" t="s">
        <v>16</v>
      </c>
      <c r="DG201">
        <v>5316</v>
      </c>
      <c r="DH201">
        <v>5535</v>
      </c>
      <c r="DI201">
        <v>5660</v>
      </c>
      <c r="DJ201">
        <v>5700</v>
      </c>
      <c r="DK201">
        <v>5755</v>
      </c>
      <c r="DO201">
        <v>451</v>
      </c>
      <c r="DP201" t="s">
        <v>303</v>
      </c>
      <c r="DQ201">
        <v>12985</v>
      </c>
      <c r="DR201">
        <v>1.36</v>
      </c>
      <c r="DS201">
        <v>1438</v>
      </c>
      <c r="DV201">
        <v>1641</v>
      </c>
      <c r="DW201" t="s">
        <v>193</v>
      </c>
      <c r="DX201">
        <v>3127.6738588415801</v>
      </c>
      <c r="DY201">
        <v>618</v>
      </c>
      <c r="DZ201">
        <v>580</v>
      </c>
      <c r="EA201">
        <v>311</v>
      </c>
      <c r="EB201">
        <v>2097</v>
      </c>
      <c r="EC201">
        <v>1267</v>
      </c>
      <c r="ED201">
        <v>458</v>
      </c>
      <c r="EE201" s="82">
        <v>0.16431791251935901</v>
      </c>
      <c r="EF201" s="82">
        <v>0.42992500956889801</v>
      </c>
    </row>
    <row r="202" spans="1:136" x14ac:dyDescent="0.35">
      <c r="A202" s="72">
        <v>502</v>
      </c>
      <c r="B202" s="72">
        <v>8</v>
      </c>
      <c r="D202" s="72" t="s">
        <v>68</v>
      </c>
      <c r="E202" s="79">
        <v>5044800000</v>
      </c>
      <c r="F202" s="79">
        <v>711200000</v>
      </c>
      <c r="G202" s="79">
        <v>736750000</v>
      </c>
      <c r="H202" s="79">
        <v>66818</v>
      </c>
      <c r="I202" s="79">
        <v>1</v>
      </c>
      <c r="J202" s="79">
        <v>736.75</v>
      </c>
      <c r="K202" s="79">
        <v>13170</v>
      </c>
      <c r="L202" s="79">
        <v>13392</v>
      </c>
      <c r="M202" s="79">
        <v>3814</v>
      </c>
      <c r="N202" s="79">
        <v>10047</v>
      </c>
      <c r="O202" s="79">
        <v>6944.1</v>
      </c>
      <c r="P202" s="79">
        <v>2231.6666666666702</v>
      </c>
      <c r="Q202" s="79">
        <v>5172.6666666666697</v>
      </c>
      <c r="R202" s="79">
        <v>10065</v>
      </c>
      <c r="S202" s="79">
        <v>0</v>
      </c>
      <c r="T202" s="79">
        <v>3439</v>
      </c>
      <c r="U202" s="79">
        <v>31642</v>
      </c>
      <c r="V202" s="79">
        <v>66510</v>
      </c>
      <c r="W202" s="79">
        <v>34010</v>
      </c>
      <c r="X202" s="79">
        <v>1725.32</v>
      </c>
      <c r="Y202" s="79">
        <v>2274.4</v>
      </c>
      <c r="Z202" s="79">
        <v>0</v>
      </c>
      <c r="AA202" s="79">
        <v>0</v>
      </c>
      <c r="AB202" s="79">
        <v>0</v>
      </c>
      <c r="AC202" s="79">
        <v>1422</v>
      </c>
      <c r="AD202" s="79">
        <v>2047.68</v>
      </c>
      <c r="AE202" s="79">
        <v>118</v>
      </c>
      <c r="AF202" s="79">
        <v>0</v>
      </c>
      <c r="AG202" s="79">
        <v>228</v>
      </c>
      <c r="AH202" s="79">
        <v>324</v>
      </c>
      <c r="AI202" s="79">
        <v>4.05</v>
      </c>
      <c r="AJ202" s="79">
        <v>31029</v>
      </c>
      <c r="AK202" s="79">
        <v>44681.760000000002</v>
      </c>
      <c r="AL202" s="79">
        <v>0</v>
      </c>
      <c r="AM202" s="79">
        <v>0</v>
      </c>
      <c r="AN202" s="79">
        <v>0</v>
      </c>
      <c r="AO202" s="79">
        <v>0</v>
      </c>
      <c r="AP202" s="79">
        <v>841</v>
      </c>
      <c r="AQ202" s="79">
        <v>0</v>
      </c>
      <c r="AR202" s="80">
        <v>2.5181200000000002E-4</v>
      </c>
      <c r="AS202" s="80">
        <v>3.1328100000000002E-3</v>
      </c>
      <c r="AT202" s="79">
        <v>70528.917000000001</v>
      </c>
      <c r="AU202" s="79">
        <v>0</v>
      </c>
      <c r="AV202" s="79">
        <v>3005.28</v>
      </c>
      <c r="AW202" s="79">
        <v>382809.86742857099</v>
      </c>
      <c r="AX202" s="79">
        <v>1</v>
      </c>
      <c r="AY202" s="79">
        <v>1.35</v>
      </c>
      <c r="AZ202" s="79">
        <v>6678</v>
      </c>
      <c r="BA202" s="79">
        <v>1</v>
      </c>
      <c r="BB202" s="79">
        <v>0</v>
      </c>
      <c r="BC202" s="79">
        <v>0</v>
      </c>
      <c r="BD202" s="79">
        <v>0</v>
      </c>
      <c r="BE202" s="79">
        <v>0</v>
      </c>
      <c r="BF202" s="79">
        <v>0</v>
      </c>
      <c r="BG202" s="79">
        <v>0</v>
      </c>
      <c r="BH202" s="79">
        <v>0</v>
      </c>
      <c r="BI202" s="79">
        <v>0</v>
      </c>
      <c r="BJ202" s="79">
        <v>0</v>
      </c>
      <c r="BK202" s="79">
        <v>38</v>
      </c>
      <c r="BL202" s="79">
        <v>11698</v>
      </c>
      <c r="BM202" s="79">
        <v>225</v>
      </c>
      <c r="BN202" s="79">
        <v>3</v>
      </c>
      <c r="BO202">
        <v>13758</v>
      </c>
      <c r="BP202">
        <v>3783</v>
      </c>
      <c r="BQ202">
        <v>13653</v>
      </c>
      <c r="BR202">
        <v>3526</v>
      </c>
      <c r="BS202">
        <v>13753</v>
      </c>
      <c r="BT202">
        <v>3243</v>
      </c>
      <c r="BU202">
        <v>13621</v>
      </c>
      <c r="BV202">
        <v>3051</v>
      </c>
      <c r="BW202">
        <v>13443</v>
      </c>
      <c r="BX202">
        <v>2874</v>
      </c>
      <c r="BY202">
        <v>13409</v>
      </c>
      <c r="BZ202">
        <v>2703</v>
      </c>
      <c r="CB202">
        <v>2396.94</v>
      </c>
      <c r="CC202">
        <v>250</v>
      </c>
      <c r="CD202">
        <v>206</v>
      </c>
      <c r="CE202">
        <v>20760.62</v>
      </c>
      <c r="CF202">
        <v>4728.12</v>
      </c>
      <c r="CG202">
        <v>373.06581043702698</v>
      </c>
      <c r="CH202">
        <v>1386</v>
      </c>
      <c r="CI202">
        <v>771.33333333333303</v>
      </c>
      <c r="CJ202">
        <v>773.66666666666697</v>
      </c>
      <c r="CK202" s="81">
        <v>2941</v>
      </c>
      <c r="CL202">
        <v>859</v>
      </c>
      <c r="CM202">
        <v>10371.211657190999</v>
      </c>
      <c r="CN202">
        <v>5.2930000000000001</v>
      </c>
      <c r="CO202">
        <v>53426</v>
      </c>
      <c r="CP202">
        <v>7995</v>
      </c>
      <c r="CQ202">
        <v>1583</v>
      </c>
      <c r="CR202">
        <v>2124</v>
      </c>
      <c r="CS202">
        <v>1529</v>
      </c>
      <c r="CT202">
        <v>896</v>
      </c>
      <c r="CU202">
        <v>1182.07922266267</v>
      </c>
      <c r="CV202">
        <v>629.084569273905</v>
      </c>
      <c r="CW202">
        <v>265.86711785748798</v>
      </c>
      <c r="CX202">
        <v>2352.0745999999999</v>
      </c>
      <c r="CY202">
        <v>1251.7383</v>
      </c>
      <c r="CZ202">
        <v>529.01639999999998</v>
      </c>
      <c r="DA202">
        <v>45774</v>
      </c>
      <c r="DE202">
        <v>614</v>
      </c>
      <c r="DF202" t="s">
        <v>342</v>
      </c>
      <c r="DG202">
        <v>2825</v>
      </c>
      <c r="DH202">
        <v>2733</v>
      </c>
      <c r="DI202">
        <v>2675</v>
      </c>
      <c r="DJ202">
        <v>2603</v>
      </c>
      <c r="DK202">
        <v>2589</v>
      </c>
      <c r="DO202">
        <v>453</v>
      </c>
      <c r="DP202" t="s">
        <v>314</v>
      </c>
      <c r="DQ202">
        <v>30931</v>
      </c>
      <c r="DR202">
        <v>1.01</v>
      </c>
      <c r="DS202">
        <v>1816</v>
      </c>
      <c r="DV202">
        <v>556</v>
      </c>
      <c r="DW202" t="s">
        <v>194</v>
      </c>
      <c r="DX202">
        <v>4556.8215892054004</v>
      </c>
      <c r="DY202">
        <v>962</v>
      </c>
      <c r="DZ202">
        <v>743</v>
      </c>
      <c r="EA202">
        <v>422</v>
      </c>
      <c r="EB202">
        <v>2816</v>
      </c>
      <c r="EC202">
        <v>1543</v>
      </c>
      <c r="ED202">
        <v>590</v>
      </c>
      <c r="EE202" s="82">
        <v>0.20171632054594399</v>
      </c>
      <c r="EF202" s="82">
        <v>0.46115767919659201</v>
      </c>
    </row>
    <row r="203" spans="1:136" x14ac:dyDescent="0.35">
      <c r="A203" s="72">
        <v>503</v>
      </c>
      <c r="B203" s="72">
        <v>8</v>
      </c>
      <c r="D203" s="72" t="s">
        <v>80</v>
      </c>
      <c r="E203" s="79">
        <v>8335200000</v>
      </c>
      <c r="F203" s="79">
        <v>1837150000</v>
      </c>
      <c r="G203" s="79">
        <v>1885100000</v>
      </c>
      <c r="H203" s="79">
        <v>103163</v>
      </c>
      <c r="I203" s="79">
        <v>1</v>
      </c>
      <c r="J203" s="79">
        <v>1885.1</v>
      </c>
      <c r="K203" s="79">
        <v>15259</v>
      </c>
      <c r="L203" s="79">
        <v>16208</v>
      </c>
      <c r="M203" s="79">
        <v>4656</v>
      </c>
      <c r="N203" s="79">
        <v>15297</v>
      </c>
      <c r="O203" s="79">
        <v>9875.5</v>
      </c>
      <c r="P203" s="79">
        <v>3209</v>
      </c>
      <c r="Q203" s="79">
        <v>7559</v>
      </c>
      <c r="R203" s="79">
        <v>9515</v>
      </c>
      <c r="S203" s="79">
        <v>0</v>
      </c>
      <c r="T203" s="79">
        <v>3517</v>
      </c>
      <c r="U203" s="79">
        <v>59673</v>
      </c>
      <c r="V203" s="79">
        <v>108340</v>
      </c>
      <c r="W203" s="79">
        <v>88960</v>
      </c>
      <c r="X203" s="79">
        <v>2139.02</v>
      </c>
      <c r="Y203" s="79">
        <v>5549.6</v>
      </c>
      <c r="Z203" s="79">
        <v>0</v>
      </c>
      <c r="AA203" s="79">
        <v>0</v>
      </c>
      <c r="AB203" s="79">
        <v>0</v>
      </c>
      <c r="AC203" s="79">
        <v>2271</v>
      </c>
      <c r="AD203" s="79">
        <v>2906.88</v>
      </c>
      <c r="AE203" s="79">
        <v>135</v>
      </c>
      <c r="AF203" s="79">
        <v>0</v>
      </c>
      <c r="AG203" s="79">
        <v>350</v>
      </c>
      <c r="AH203" s="79">
        <v>424.62</v>
      </c>
      <c r="AI203" s="79">
        <v>17.29</v>
      </c>
      <c r="AJ203" s="79">
        <v>54215</v>
      </c>
      <c r="AK203" s="79">
        <v>68310.899999999994</v>
      </c>
      <c r="AL203" s="79">
        <v>0</v>
      </c>
      <c r="AM203" s="79">
        <v>0</v>
      </c>
      <c r="AN203" s="79">
        <v>85</v>
      </c>
      <c r="AO203" s="79">
        <v>18100</v>
      </c>
      <c r="AP203" s="79">
        <v>11645</v>
      </c>
      <c r="AQ203" s="79">
        <v>11645</v>
      </c>
      <c r="AR203" s="80">
        <v>6.998074E-3</v>
      </c>
      <c r="AS203" s="80">
        <v>9.5393400000000003E-3</v>
      </c>
      <c r="AT203" s="79">
        <v>189535.64</v>
      </c>
      <c r="AU203" s="79">
        <v>5204.6400000000003</v>
      </c>
      <c r="AV203" s="79">
        <v>3386.88</v>
      </c>
      <c r="AW203" s="79">
        <v>297905.24435577699</v>
      </c>
      <c r="AX203" s="79">
        <v>1</v>
      </c>
      <c r="AY203" s="79">
        <v>1.33</v>
      </c>
      <c r="AZ203" s="79">
        <v>10037</v>
      </c>
      <c r="BA203" s="79">
        <v>1</v>
      </c>
      <c r="BB203" s="79">
        <v>0</v>
      </c>
      <c r="BC203" s="79">
        <v>0</v>
      </c>
      <c r="BD203" s="79">
        <v>0</v>
      </c>
      <c r="BE203" s="79">
        <v>0</v>
      </c>
      <c r="BF203" s="79">
        <v>0</v>
      </c>
      <c r="BG203" s="79">
        <v>0</v>
      </c>
      <c r="BH203" s="79">
        <v>0</v>
      </c>
      <c r="BI203" s="79">
        <v>0</v>
      </c>
      <c r="BJ203" s="79">
        <v>0</v>
      </c>
      <c r="BK203" s="79">
        <v>44</v>
      </c>
      <c r="BL203" s="79">
        <v>33708</v>
      </c>
      <c r="BM203" s="79">
        <v>337</v>
      </c>
      <c r="BN203" s="79">
        <v>13</v>
      </c>
      <c r="BO203">
        <v>16011</v>
      </c>
      <c r="BP203">
        <v>6728</v>
      </c>
      <c r="BQ203">
        <v>15741</v>
      </c>
      <c r="BR203">
        <v>6637</v>
      </c>
      <c r="BS203">
        <v>15631</v>
      </c>
      <c r="BT203">
        <v>6673</v>
      </c>
      <c r="BU203">
        <v>15623</v>
      </c>
      <c r="BV203">
        <v>6641</v>
      </c>
      <c r="BW203">
        <v>15349</v>
      </c>
      <c r="BX203">
        <v>6657</v>
      </c>
      <c r="BY203">
        <v>15344</v>
      </c>
      <c r="BZ203">
        <v>6620</v>
      </c>
      <c r="CB203">
        <v>2777.1379999999999</v>
      </c>
      <c r="CC203">
        <v>260</v>
      </c>
      <c r="CD203">
        <v>261</v>
      </c>
      <c r="CE203">
        <v>29371</v>
      </c>
      <c r="CF203">
        <v>5707.52</v>
      </c>
      <c r="CG203">
        <v>684.11080112022103</v>
      </c>
      <c r="CH203">
        <v>1311</v>
      </c>
      <c r="CI203">
        <v>871.33333333333303</v>
      </c>
      <c r="CJ203">
        <v>868.66666666666697</v>
      </c>
      <c r="CK203" s="81">
        <v>4350</v>
      </c>
      <c r="CL203">
        <v>1301</v>
      </c>
      <c r="CM203">
        <v>11291.954826691999</v>
      </c>
      <c r="CN203">
        <v>7.2939999999999996</v>
      </c>
      <c r="CO203">
        <v>86955</v>
      </c>
      <c r="CP203">
        <v>9576</v>
      </c>
      <c r="CQ203">
        <v>1976</v>
      </c>
      <c r="CR203">
        <v>3056</v>
      </c>
      <c r="CS203">
        <v>1923</v>
      </c>
      <c r="CT203">
        <v>1143</v>
      </c>
      <c r="CU203">
        <v>1201.8546343262899</v>
      </c>
      <c r="CV203">
        <v>628.25047496080401</v>
      </c>
      <c r="CW203">
        <v>271.22787973807999</v>
      </c>
      <c r="CX203">
        <v>3205.9681999999998</v>
      </c>
      <c r="CY203">
        <v>1675.8690999999999</v>
      </c>
      <c r="CZ203">
        <v>723.50509999999997</v>
      </c>
      <c r="DA203">
        <v>104807</v>
      </c>
      <c r="DE203">
        <v>617</v>
      </c>
      <c r="DF203" t="s">
        <v>820</v>
      </c>
      <c r="DG203">
        <v>1918</v>
      </c>
      <c r="DH203">
        <v>1861</v>
      </c>
      <c r="DI203">
        <v>1816</v>
      </c>
      <c r="DJ203">
        <v>1767</v>
      </c>
      <c r="DK203">
        <v>1686</v>
      </c>
      <c r="DO203">
        <v>852</v>
      </c>
      <c r="DP203" t="s">
        <v>331</v>
      </c>
      <c r="DQ203">
        <v>7283</v>
      </c>
      <c r="DR203">
        <v>1.41</v>
      </c>
      <c r="DS203">
        <v>662</v>
      </c>
      <c r="DV203">
        <v>935</v>
      </c>
      <c r="DW203" t="s">
        <v>195</v>
      </c>
      <c r="DX203">
        <v>21012.823727925999</v>
      </c>
      <c r="DY203">
        <v>3796</v>
      </c>
      <c r="DZ203">
        <v>3106</v>
      </c>
      <c r="EA203">
        <v>1596</v>
      </c>
      <c r="EB203">
        <v>9249</v>
      </c>
      <c r="EC203">
        <v>5897</v>
      </c>
      <c r="ED203">
        <v>2186</v>
      </c>
      <c r="EE203" s="82">
        <v>0.22539176065667299</v>
      </c>
      <c r="EF203" s="82">
        <v>0.53000245735465801</v>
      </c>
    </row>
    <row r="204" spans="1:136" x14ac:dyDescent="0.35">
      <c r="A204" s="72">
        <v>505</v>
      </c>
      <c r="B204" s="72">
        <v>8</v>
      </c>
      <c r="D204" s="72" t="s">
        <v>90</v>
      </c>
      <c r="E204" s="79">
        <v>8218400000</v>
      </c>
      <c r="F204" s="79">
        <v>2000600000</v>
      </c>
      <c r="G204" s="79">
        <v>2032800000</v>
      </c>
      <c r="H204" s="79">
        <v>118654</v>
      </c>
      <c r="I204" s="79">
        <v>2</v>
      </c>
      <c r="J204" s="79">
        <v>2032.8</v>
      </c>
      <c r="K204" s="79">
        <v>22887</v>
      </c>
      <c r="L204" s="79">
        <v>22482</v>
      </c>
      <c r="M204" s="79">
        <v>6850</v>
      </c>
      <c r="N204" s="79">
        <v>18520</v>
      </c>
      <c r="O204" s="79">
        <v>12941.5</v>
      </c>
      <c r="P204" s="79">
        <v>4016.3333333333298</v>
      </c>
      <c r="Q204" s="79">
        <v>10907.333333333299</v>
      </c>
      <c r="R204" s="79">
        <v>16275</v>
      </c>
      <c r="S204" s="79">
        <v>0</v>
      </c>
      <c r="T204" s="79">
        <v>4711</v>
      </c>
      <c r="U204" s="79">
        <v>56913</v>
      </c>
      <c r="V204" s="79">
        <v>138480</v>
      </c>
      <c r="W204" s="79">
        <v>164810</v>
      </c>
      <c r="X204" s="79">
        <v>4260</v>
      </c>
      <c r="Y204" s="79">
        <v>5032.8</v>
      </c>
      <c r="Z204" s="79">
        <v>40.899999999999899</v>
      </c>
      <c r="AA204" s="79">
        <v>0</v>
      </c>
      <c r="AB204" s="79">
        <v>0</v>
      </c>
      <c r="AC204" s="79">
        <v>7751</v>
      </c>
      <c r="AD204" s="79">
        <v>8991.16</v>
      </c>
      <c r="AE204" s="79">
        <v>2196</v>
      </c>
      <c r="AF204" s="79">
        <v>0</v>
      </c>
      <c r="AG204" s="79">
        <v>530</v>
      </c>
      <c r="AH204" s="79">
        <v>602.6</v>
      </c>
      <c r="AI204" s="79">
        <v>76.3</v>
      </c>
      <c r="AJ204" s="79">
        <v>55785</v>
      </c>
      <c r="AK204" s="79">
        <v>73078.350000000006</v>
      </c>
      <c r="AL204" s="79">
        <v>0</v>
      </c>
      <c r="AM204" s="79">
        <v>0</v>
      </c>
      <c r="AN204" s="79">
        <v>72</v>
      </c>
      <c r="AO204" s="79">
        <v>10800</v>
      </c>
      <c r="AP204" s="79">
        <v>14520</v>
      </c>
      <c r="AQ204" s="79">
        <v>13939</v>
      </c>
      <c r="AR204" s="80">
        <v>1.2629937000000001E-2</v>
      </c>
      <c r="AS204" s="80">
        <v>1.5432448E-2</v>
      </c>
      <c r="AT204" s="79">
        <v>140355.06</v>
      </c>
      <c r="AU204" s="79">
        <v>0</v>
      </c>
      <c r="AV204" s="79">
        <v>6740.76</v>
      </c>
      <c r="AW204" s="79">
        <v>138745.616093294</v>
      </c>
      <c r="AX204" s="79">
        <v>3</v>
      </c>
      <c r="AY204" s="79">
        <v>3.27</v>
      </c>
      <c r="AZ204" s="79">
        <v>11606</v>
      </c>
      <c r="BA204" s="79">
        <v>1</v>
      </c>
      <c r="BB204" s="79">
        <v>0</v>
      </c>
      <c r="BC204" s="79">
        <v>0</v>
      </c>
      <c r="BD204" s="79">
        <v>0</v>
      </c>
      <c r="BE204" s="79">
        <v>0</v>
      </c>
      <c r="BF204" s="79">
        <v>0</v>
      </c>
      <c r="BG204" s="79">
        <v>0</v>
      </c>
      <c r="BH204" s="79">
        <v>0</v>
      </c>
      <c r="BI204" s="79">
        <v>0</v>
      </c>
      <c r="BJ204" s="79">
        <v>0</v>
      </c>
      <c r="BK204" s="79">
        <v>272</v>
      </c>
      <c r="BL204" s="79">
        <v>21403</v>
      </c>
      <c r="BM204" s="79">
        <v>460</v>
      </c>
      <c r="BN204" s="79">
        <v>70</v>
      </c>
      <c r="BO204">
        <v>25168</v>
      </c>
      <c r="BP204">
        <v>6324</v>
      </c>
      <c r="BQ204">
        <v>24908</v>
      </c>
      <c r="BR204">
        <v>6348</v>
      </c>
      <c r="BS204">
        <v>24763</v>
      </c>
      <c r="BT204">
        <v>6523</v>
      </c>
      <c r="BU204">
        <v>24611</v>
      </c>
      <c r="BV204">
        <v>6481</v>
      </c>
      <c r="BW204">
        <v>24398</v>
      </c>
      <c r="BX204">
        <v>6345</v>
      </c>
      <c r="BY204">
        <v>24261</v>
      </c>
      <c r="BZ204">
        <v>6336</v>
      </c>
      <c r="CB204">
        <v>3639.0329999999999</v>
      </c>
      <c r="CC204">
        <v>442</v>
      </c>
      <c r="CD204">
        <v>625</v>
      </c>
      <c r="CE204">
        <v>33879.9</v>
      </c>
      <c r="CF204">
        <v>7842.87</v>
      </c>
      <c r="CG204">
        <v>1208.66639135165</v>
      </c>
      <c r="CH204">
        <v>1716</v>
      </c>
      <c r="CI204">
        <v>1144</v>
      </c>
      <c r="CJ204">
        <v>1105.3333333333301</v>
      </c>
      <c r="CK204" s="81">
        <v>6891</v>
      </c>
      <c r="CL204">
        <v>1680</v>
      </c>
      <c r="CM204">
        <v>18300.207940337201</v>
      </c>
      <c r="CN204">
        <v>10.744999999999999</v>
      </c>
      <c r="CO204">
        <v>96172</v>
      </c>
      <c r="CP204">
        <v>12854</v>
      </c>
      <c r="CQ204">
        <v>2778</v>
      </c>
      <c r="CR204">
        <v>3411</v>
      </c>
      <c r="CS204">
        <v>2634</v>
      </c>
      <c r="CT204">
        <v>1464</v>
      </c>
      <c r="CU204">
        <v>1936.6432195034499</v>
      </c>
      <c r="CV204">
        <v>1144.1691852648601</v>
      </c>
      <c r="CW204">
        <v>468.61754952048</v>
      </c>
      <c r="CX204">
        <v>4163.1476000000002</v>
      </c>
      <c r="CY204">
        <v>2459.5884000000001</v>
      </c>
      <c r="CZ204">
        <v>1007.374</v>
      </c>
      <c r="DA204">
        <v>115229</v>
      </c>
      <c r="DE204">
        <v>620</v>
      </c>
      <c r="DF204" t="s">
        <v>810</v>
      </c>
      <c r="DG204">
        <v>4463</v>
      </c>
      <c r="DH204">
        <v>4397</v>
      </c>
      <c r="DI204">
        <v>4342</v>
      </c>
      <c r="DJ204">
        <v>4312</v>
      </c>
      <c r="DK204">
        <v>4256</v>
      </c>
      <c r="DO204">
        <v>457</v>
      </c>
      <c r="DP204" t="s">
        <v>333</v>
      </c>
      <c r="DQ204">
        <v>9011</v>
      </c>
      <c r="DR204">
        <v>1.0900000000000001</v>
      </c>
      <c r="DS204">
        <v>1749</v>
      </c>
      <c r="DV204">
        <v>25</v>
      </c>
      <c r="DW204" t="s">
        <v>800</v>
      </c>
      <c r="DX204">
        <v>1350.30912520632</v>
      </c>
      <c r="DY204">
        <v>205</v>
      </c>
      <c r="DZ204">
        <v>176</v>
      </c>
      <c r="EA204">
        <v>70</v>
      </c>
      <c r="EB204">
        <v>705</v>
      </c>
      <c r="EC204">
        <v>410</v>
      </c>
      <c r="ED204">
        <v>111</v>
      </c>
      <c r="EE204" s="82">
        <v>0.205984392750129</v>
      </c>
      <c r="EF204" s="82">
        <v>0.49876271685266299</v>
      </c>
    </row>
    <row r="205" spans="1:136" x14ac:dyDescent="0.35">
      <c r="A205" s="72">
        <v>1924</v>
      </c>
      <c r="B205" s="72">
        <v>8</v>
      </c>
      <c r="D205" s="72" t="s">
        <v>115</v>
      </c>
      <c r="E205" s="79">
        <v>4486000000</v>
      </c>
      <c r="F205" s="79">
        <v>729050000</v>
      </c>
      <c r="G205" s="79">
        <v>779100000</v>
      </c>
      <c r="H205" s="79">
        <v>49611</v>
      </c>
      <c r="I205" s="79">
        <v>14</v>
      </c>
      <c r="J205" s="79">
        <v>779.1</v>
      </c>
      <c r="K205" s="79">
        <v>9878</v>
      </c>
      <c r="L205" s="79">
        <v>10689</v>
      </c>
      <c r="M205" s="79">
        <v>3413</v>
      </c>
      <c r="N205" s="79">
        <v>5830</v>
      </c>
      <c r="O205" s="79">
        <v>3194.2</v>
      </c>
      <c r="P205" s="79">
        <v>511.66666666666703</v>
      </c>
      <c r="Q205" s="79">
        <v>2634.6666666666702</v>
      </c>
      <c r="R205" s="79">
        <v>740</v>
      </c>
      <c r="S205" s="79">
        <v>0</v>
      </c>
      <c r="T205" s="79">
        <v>1062</v>
      </c>
      <c r="U205" s="79">
        <v>21931</v>
      </c>
      <c r="V205" s="79">
        <v>45490</v>
      </c>
      <c r="W205" s="79">
        <v>5760</v>
      </c>
      <c r="X205" s="79">
        <v>602.67999999999995</v>
      </c>
      <c r="Y205" s="79">
        <v>2523.1999999999998</v>
      </c>
      <c r="Z205" s="79">
        <v>0</v>
      </c>
      <c r="AA205" s="79">
        <v>0</v>
      </c>
      <c r="AB205" s="79">
        <v>136.69999999999999</v>
      </c>
      <c r="AC205" s="79">
        <v>26193</v>
      </c>
      <c r="AD205" s="79">
        <v>26978.79</v>
      </c>
      <c r="AE205" s="79">
        <v>11631</v>
      </c>
      <c r="AF205" s="79">
        <v>4411</v>
      </c>
      <c r="AG205" s="79">
        <v>416</v>
      </c>
      <c r="AH205" s="79">
        <v>321.36</v>
      </c>
      <c r="AI205" s="79">
        <v>110.21</v>
      </c>
      <c r="AJ205" s="79">
        <v>26358</v>
      </c>
      <c r="AK205" s="79">
        <v>27412.32</v>
      </c>
      <c r="AL205" s="79">
        <v>7</v>
      </c>
      <c r="AM205" s="79">
        <v>0</v>
      </c>
      <c r="AN205" s="79">
        <v>0</v>
      </c>
      <c r="AO205" s="79">
        <v>0</v>
      </c>
      <c r="AP205" s="79">
        <v>3633</v>
      </c>
      <c r="AQ205" s="79">
        <v>0</v>
      </c>
      <c r="AR205" s="80">
        <v>1.1003059999999999E-3</v>
      </c>
      <c r="AS205" s="80">
        <v>3.3899700000000001E-4</v>
      </c>
      <c r="AT205" s="79">
        <v>16289.244000000001</v>
      </c>
      <c r="AU205" s="79">
        <v>0</v>
      </c>
      <c r="AV205" s="79">
        <v>9291.6299999999992</v>
      </c>
      <c r="AW205" s="79">
        <v>14078.5246914657</v>
      </c>
      <c r="AX205" s="79">
        <v>25</v>
      </c>
      <c r="AY205" s="79">
        <v>25.75</v>
      </c>
      <c r="AZ205" s="79">
        <v>5257</v>
      </c>
      <c r="BA205" s="79">
        <v>1</v>
      </c>
      <c r="BB205" s="79">
        <v>0</v>
      </c>
      <c r="BC205" s="79">
        <v>0</v>
      </c>
      <c r="BD205" s="79">
        <v>0</v>
      </c>
      <c r="BE205" s="79">
        <v>0</v>
      </c>
      <c r="BF205" s="79">
        <v>0</v>
      </c>
      <c r="BG205" s="79">
        <v>0</v>
      </c>
      <c r="BH205" s="79">
        <v>0</v>
      </c>
      <c r="BI205" s="79">
        <v>0</v>
      </c>
      <c r="BJ205" s="79">
        <v>0</v>
      </c>
      <c r="BK205" s="79">
        <v>29</v>
      </c>
      <c r="BL205" s="79">
        <v>6368</v>
      </c>
      <c r="BM205" s="79">
        <v>309</v>
      </c>
      <c r="BN205" s="79">
        <v>107</v>
      </c>
      <c r="BO205">
        <v>10737</v>
      </c>
      <c r="BP205">
        <v>2743</v>
      </c>
      <c r="BQ205">
        <v>10656</v>
      </c>
      <c r="BR205">
        <v>2745</v>
      </c>
      <c r="BS205">
        <v>10574</v>
      </c>
      <c r="BT205">
        <v>2812</v>
      </c>
      <c r="BU205">
        <v>10564</v>
      </c>
      <c r="BV205">
        <v>2865</v>
      </c>
      <c r="BW205">
        <v>10409</v>
      </c>
      <c r="BX205">
        <v>2872</v>
      </c>
      <c r="BY205">
        <v>10260</v>
      </c>
      <c r="BZ205">
        <v>2846</v>
      </c>
      <c r="CB205">
        <v>671.70399999999995</v>
      </c>
      <c r="CC205">
        <v>191</v>
      </c>
      <c r="CD205">
        <v>108</v>
      </c>
      <c r="CE205">
        <v>14657.3</v>
      </c>
      <c r="CF205">
        <v>3605.36</v>
      </c>
      <c r="CG205">
        <v>521.828722175964</v>
      </c>
      <c r="CH205">
        <v>387</v>
      </c>
      <c r="CI205">
        <v>160.666666666667</v>
      </c>
      <c r="CJ205">
        <v>114.666666666667</v>
      </c>
      <c r="CK205" s="81">
        <v>2123</v>
      </c>
      <c r="CL205">
        <v>676</v>
      </c>
      <c r="CM205">
        <v>8917.3516334513006</v>
      </c>
      <c r="CN205">
        <v>0.60899999999999999</v>
      </c>
      <c r="CO205">
        <v>38922</v>
      </c>
      <c r="CP205">
        <v>5978</v>
      </c>
      <c r="CQ205">
        <v>1298</v>
      </c>
      <c r="CR205">
        <v>1086</v>
      </c>
      <c r="CS205">
        <v>1108</v>
      </c>
      <c r="CT205">
        <v>597</v>
      </c>
      <c r="CU205">
        <v>438.08456635556598</v>
      </c>
      <c r="CV205">
        <v>284.78526443584502</v>
      </c>
      <c r="CW205">
        <v>104.946399575082</v>
      </c>
      <c r="CX205">
        <v>1513.6005</v>
      </c>
      <c r="CY205">
        <v>983.94500000000005</v>
      </c>
      <c r="CZ205">
        <v>362.5942</v>
      </c>
      <c r="DA205">
        <v>105314</v>
      </c>
      <c r="DE205">
        <v>622</v>
      </c>
      <c r="DF205" t="s">
        <v>318</v>
      </c>
      <c r="DG205">
        <v>13651</v>
      </c>
      <c r="DH205">
        <v>13531</v>
      </c>
      <c r="DI205">
        <v>13577</v>
      </c>
      <c r="DJ205">
        <v>13534</v>
      </c>
      <c r="DK205">
        <v>13505</v>
      </c>
      <c r="DO205">
        <v>1696</v>
      </c>
      <c r="DP205" t="s">
        <v>345</v>
      </c>
      <c r="DQ205">
        <v>11723</v>
      </c>
      <c r="DR205">
        <v>1.02</v>
      </c>
      <c r="DS205">
        <v>575</v>
      </c>
      <c r="DV205">
        <v>420</v>
      </c>
      <c r="DW205" t="s">
        <v>196</v>
      </c>
      <c r="DX205">
        <v>5464.0164361269299</v>
      </c>
      <c r="DY205">
        <v>1042</v>
      </c>
      <c r="DZ205">
        <v>831</v>
      </c>
      <c r="EA205">
        <v>377</v>
      </c>
      <c r="EB205">
        <v>3512</v>
      </c>
      <c r="EC205">
        <v>1777</v>
      </c>
      <c r="ED205">
        <v>521</v>
      </c>
      <c r="EE205" s="82">
        <v>0.17751619869607099</v>
      </c>
      <c r="EF205" s="82">
        <v>0.45714514872359002</v>
      </c>
    </row>
    <row r="206" spans="1:136" x14ac:dyDescent="0.35">
      <c r="A206" s="72">
        <v>512</v>
      </c>
      <c r="B206" s="72">
        <v>8</v>
      </c>
      <c r="D206" s="72" t="s">
        <v>119</v>
      </c>
      <c r="E206" s="79">
        <v>2798400000</v>
      </c>
      <c r="F206" s="79">
        <v>655900000</v>
      </c>
      <c r="G206" s="79">
        <v>669550000</v>
      </c>
      <c r="H206" s="79">
        <v>36682</v>
      </c>
      <c r="I206" s="79">
        <v>1</v>
      </c>
      <c r="J206" s="79">
        <v>669.55</v>
      </c>
      <c r="K206" s="79">
        <v>7342</v>
      </c>
      <c r="L206" s="79">
        <v>6672</v>
      </c>
      <c r="M206" s="79">
        <v>2115</v>
      </c>
      <c r="N206" s="79">
        <v>5609</v>
      </c>
      <c r="O206" s="79">
        <v>3941.1</v>
      </c>
      <c r="P206" s="79">
        <v>823.33333333333303</v>
      </c>
      <c r="Q206" s="79">
        <v>3051.3333333333298</v>
      </c>
      <c r="R206" s="79">
        <v>4605</v>
      </c>
      <c r="S206" s="79">
        <v>0</v>
      </c>
      <c r="T206" s="79">
        <v>1234</v>
      </c>
      <c r="U206" s="79">
        <v>16964</v>
      </c>
      <c r="V206" s="79">
        <v>45490</v>
      </c>
      <c r="W206" s="79">
        <v>27720</v>
      </c>
      <c r="X206" s="79">
        <v>1774.54</v>
      </c>
      <c r="Y206" s="79">
        <v>5110.3999999999996</v>
      </c>
      <c r="Z206" s="79">
        <v>0</v>
      </c>
      <c r="AA206" s="79">
        <v>0</v>
      </c>
      <c r="AB206" s="79">
        <v>0</v>
      </c>
      <c r="AC206" s="79">
        <v>1870</v>
      </c>
      <c r="AD206" s="79">
        <v>2524.5</v>
      </c>
      <c r="AE206" s="79">
        <v>323</v>
      </c>
      <c r="AF206" s="79">
        <v>0</v>
      </c>
      <c r="AG206" s="79">
        <v>197</v>
      </c>
      <c r="AH206" s="79">
        <v>233.8</v>
      </c>
      <c r="AI206" s="79">
        <v>39.299999999999997</v>
      </c>
      <c r="AJ206" s="79">
        <v>16679</v>
      </c>
      <c r="AK206" s="79">
        <v>23350.6</v>
      </c>
      <c r="AL206" s="79">
        <v>31</v>
      </c>
      <c r="AM206" s="79">
        <v>0</v>
      </c>
      <c r="AN206" s="79">
        <v>0</v>
      </c>
      <c r="AO206" s="79">
        <v>5750</v>
      </c>
      <c r="AP206" s="79">
        <v>3432</v>
      </c>
      <c r="AQ206" s="79">
        <v>3432</v>
      </c>
      <c r="AR206" s="80">
        <v>1.14252E-3</v>
      </c>
      <c r="AS206" s="80">
        <v>2.2560409999999999E-3</v>
      </c>
      <c r="AT206" s="79">
        <v>28654.522000000001</v>
      </c>
      <c r="AU206" s="79">
        <v>0</v>
      </c>
      <c r="AV206" s="79">
        <v>1783.35</v>
      </c>
      <c r="AW206" s="79">
        <v>71153.545690834493</v>
      </c>
      <c r="AX206" s="79">
        <v>2</v>
      </c>
      <c r="AY206" s="79">
        <v>2.62</v>
      </c>
      <c r="AZ206" s="79">
        <v>3956</v>
      </c>
      <c r="BA206" s="79">
        <v>1</v>
      </c>
      <c r="BB206" s="79">
        <v>0</v>
      </c>
      <c r="BC206" s="79">
        <v>0</v>
      </c>
      <c r="BD206" s="79">
        <v>0</v>
      </c>
      <c r="BE206" s="79">
        <v>0</v>
      </c>
      <c r="BF206" s="79">
        <v>0</v>
      </c>
      <c r="BG206" s="79">
        <v>0</v>
      </c>
      <c r="BH206" s="79">
        <v>0</v>
      </c>
      <c r="BI206" s="79">
        <v>0</v>
      </c>
      <c r="BJ206" s="79">
        <v>0</v>
      </c>
      <c r="BK206" s="79">
        <v>25</v>
      </c>
      <c r="BL206" s="79">
        <v>6182</v>
      </c>
      <c r="BM206" s="79">
        <v>167</v>
      </c>
      <c r="BN206" s="79">
        <v>30</v>
      </c>
      <c r="BO206">
        <v>7587</v>
      </c>
      <c r="BP206">
        <v>5933</v>
      </c>
      <c r="BQ206">
        <v>7596</v>
      </c>
      <c r="BR206">
        <v>6023</v>
      </c>
      <c r="BS206">
        <v>7638</v>
      </c>
      <c r="BT206">
        <v>6129</v>
      </c>
      <c r="BU206">
        <v>7574</v>
      </c>
      <c r="BV206">
        <v>6229</v>
      </c>
      <c r="BW206">
        <v>7499</v>
      </c>
      <c r="BX206">
        <v>6373</v>
      </c>
      <c r="BY206">
        <v>7492</v>
      </c>
      <c r="BZ206">
        <v>6454</v>
      </c>
      <c r="CB206">
        <v>969.14400000000001</v>
      </c>
      <c r="CC206">
        <v>155</v>
      </c>
      <c r="CD206">
        <v>152</v>
      </c>
      <c r="CE206">
        <v>10719.8</v>
      </c>
      <c r="CF206">
        <v>2593.2800000000002</v>
      </c>
      <c r="CG206">
        <v>358.81926057986698</v>
      </c>
      <c r="CH206">
        <v>459</v>
      </c>
      <c r="CI206">
        <v>256</v>
      </c>
      <c r="CJ206">
        <v>220</v>
      </c>
      <c r="CK206" s="81">
        <v>2228</v>
      </c>
      <c r="CL206">
        <v>519</v>
      </c>
      <c r="CM206">
        <v>5905.7395802609199</v>
      </c>
      <c r="CN206">
        <v>1.9650000000000001</v>
      </c>
      <c r="CO206">
        <v>30010</v>
      </c>
      <c r="CP206">
        <v>3765</v>
      </c>
      <c r="CQ206">
        <v>792</v>
      </c>
      <c r="CR206">
        <v>958</v>
      </c>
      <c r="CS206">
        <v>795</v>
      </c>
      <c r="CT206">
        <v>421</v>
      </c>
      <c r="CU206">
        <v>569.69794951735696</v>
      </c>
      <c r="CV206">
        <v>359.87141315426601</v>
      </c>
      <c r="CW206">
        <v>137.28515498531101</v>
      </c>
      <c r="CX206">
        <v>1121.5971999999999</v>
      </c>
      <c r="CY206">
        <v>708.49959999999999</v>
      </c>
      <c r="CZ206">
        <v>270.28120000000001</v>
      </c>
      <c r="DA206">
        <v>30131</v>
      </c>
      <c r="DE206">
        <v>626</v>
      </c>
      <c r="DF206" t="s">
        <v>322</v>
      </c>
      <c r="DG206">
        <v>5114</v>
      </c>
      <c r="DH206">
        <v>5238</v>
      </c>
      <c r="DI206">
        <v>5368</v>
      </c>
      <c r="DJ206">
        <v>5428</v>
      </c>
      <c r="DK206">
        <v>5447</v>
      </c>
      <c r="DO206">
        <v>880</v>
      </c>
      <c r="DP206" t="s">
        <v>350</v>
      </c>
      <c r="DQ206">
        <v>6935</v>
      </c>
      <c r="DR206">
        <v>1.24</v>
      </c>
      <c r="DS206">
        <v>1415</v>
      </c>
      <c r="DV206">
        <v>938</v>
      </c>
      <c r="DW206" t="s">
        <v>197</v>
      </c>
      <c r="DX206">
        <v>2325.5663988657798</v>
      </c>
      <c r="DY206">
        <v>507</v>
      </c>
      <c r="DZ206">
        <v>497</v>
      </c>
      <c r="EA206">
        <v>233</v>
      </c>
      <c r="EB206">
        <v>1653</v>
      </c>
      <c r="EC206">
        <v>1107</v>
      </c>
      <c r="ED206">
        <v>357</v>
      </c>
      <c r="EE206" s="82">
        <v>0.16801502810485</v>
      </c>
      <c r="EF206" s="82">
        <v>0.38653349623005401</v>
      </c>
    </row>
    <row r="207" spans="1:136" x14ac:dyDescent="0.35">
      <c r="A207" s="72">
        <v>513</v>
      </c>
      <c r="B207" s="72">
        <v>8</v>
      </c>
      <c r="D207" s="72" t="s">
        <v>120</v>
      </c>
      <c r="E207" s="79">
        <v>5426400000</v>
      </c>
      <c r="F207" s="79">
        <v>995750000</v>
      </c>
      <c r="G207" s="79">
        <v>1057350000</v>
      </c>
      <c r="H207" s="79">
        <v>73181</v>
      </c>
      <c r="I207" s="79">
        <v>1</v>
      </c>
      <c r="J207" s="79">
        <v>1057.3499999999999</v>
      </c>
      <c r="K207" s="79">
        <v>14864</v>
      </c>
      <c r="L207" s="79">
        <v>13806</v>
      </c>
      <c r="M207" s="79">
        <v>4246</v>
      </c>
      <c r="N207" s="79">
        <v>10495</v>
      </c>
      <c r="O207" s="79">
        <v>7138.1</v>
      </c>
      <c r="P207" s="79">
        <v>1784.3333333333301</v>
      </c>
      <c r="Q207" s="79">
        <v>5520.3333333333303</v>
      </c>
      <c r="R207" s="79">
        <v>9680</v>
      </c>
      <c r="S207" s="79">
        <v>0</v>
      </c>
      <c r="T207" s="79">
        <v>2411</v>
      </c>
      <c r="U207" s="79">
        <v>34348</v>
      </c>
      <c r="V207" s="79">
        <v>83470</v>
      </c>
      <c r="W207" s="79">
        <v>67380</v>
      </c>
      <c r="X207" s="79">
        <v>4156.38</v>
      </c>
      <c r="Y207" s="79">
        <v>6744</v>
      </c>
      <c r="Z207" s="79">
        <v>0</v>
      </c>
      <c r="AA207" s="79">
        <v>0</v>
      </c>
      <c r="AB207" s="79">
        <v>0</v>
      </c>
      <c r="AC207" s="79">
        <v>1664</v>
      </c>
      <c r="AD207" s="79">
        <v>3078.4</v>
      </c>
      <c r="AE207" s="79">
        <v>147</v>
      </c>
      <c r="AF207" s="79">
        <v>0</v>
      </c>
      <c r="AG207" s="79">
        <v>277</v>
      </c>
      <c r="AH207" s="79">
        <v>512.38</v>
      </c>
      <c r="AI207" s="79">
        <v>3.48</v>
      </c>
      <c r="AJ207" s="79">
        <v>33569</v>
      </c>
      <c r="AK207" s="79">
        <v>62774.03</v>
      </c>
      <c r="AL207" s="79">
        <v>0</v>
      </c>
      <c r="AM207" s="79">
        <v>53</v>
      </c>
      <c r="AN207" s="79">
        <v>0</v>
      </c>
      <c r="AO207" s="79">
        <v>10350</v>
      </c>
      <c r="AP207" s="79">
        <v>7377</v>
      </c>
      <c r="AQ207" s="79">
        <v>7377</v>
      </c>
      <c r="AR207" s="80">
        <v>2.767439E-3</v>
      </c>
      <c r="AS207" s="80">
        <v>2.8907170000000001E-3</v>
      </c>
      <c r="AT207" s="79">
        <v>84929.57</v>
      </c>
      <c r="AU207" s="79">
        <v>0</v>
      </c>
      <c r="AV207" s="79">
        <v>5041.25</v>
      </c>
      <c r="AW207" s="79">
        <v>608147.84911651001</v>
      </c>
      <c r="AX207" s="79">
        <v>1</v>
      </c>
      <c r="AY207" s="79">
        <v>1.74</v>
      </c>
      <c r="AZ207" s="79">
        <v>7162</v>
      </c>
      <c r="BA207" s="79">
        <v>1</v>
      </c>
      <c r="BB207" s="79">
        <v>0</v>
      </c>
      <c r="BC207" s="79">
        <v>0</v>
      </c>
      <c r="BD207" s="79">
        <v>0</v>
      </c>
      <c r="BE207" s="79">
        <v>0</v>
      </c>
      <c r="BF207" s="79">
        <v>0</v>
      </c>
      <c r="BG207" s="79">
        <v>0</v>
      </c>
      <c r="BH207" s="79">
        <v>0</v>
      </c>
      <c r="BI207" s="79">
        <v>0</v>
      </c>
      <c r="BJ207" s="79">
        <v>0</v>
      </c>
      <c r="BK207" s="79">
        <v>48</v>
      </c>
      <c r="BL207" s="79">
        <v>12864</v>
      </c>
      <c r="BM207" s="79">
        <v>274</v>
      </c>
      <c r="BN207" s="79">
        <v>2</v>
      </c>
      <c r="BO207">
        <v>16200</v>
      </c>
      <c r="BP207">
        <v>8394</v>
      </c>
      <c r="BQ207">
        <v>16066</v>
      </c>
      <c r="BR207">
        <v>8484</v>
      </c>
      <c r="BS207">
        <v>15935</v>
      </c>
      <c r="BT207">
        <v>8626</v>
      </c>
      <c r="BU207">
        <v>15816</v>
      </c>
      <c r="BV207">
        <v>8621</v>
      </c>
      <c r="BW207">
        <v>15643</v>
      </c>
      <c r="BX207">
        <v>8670</v>
      </c>
      <c r="BY207">
        <v>15503</v>
      </c>
      <c r="BZ207">
        <v>8647</v>
      </c>
      <c r="CB207">
        <v>1962.048</v>
      </c>
      <c r="CC207">
        <v>255</v>
      </c>
      <c r="CD207">
        <v>414</v>
      </c>
      <c r="CE207">
        <v>21974.04</v>
      </c>
      <c r="CF207">
        <v>5193.6000000000004</v>
      </c>
      <c r="CG207">
        <v>566.63054946671605</v>
      </c>
      <c r="CH207">
        <v>855</v>
      </c>
      <c r="CI207">
        <v>544.66666666666697</v>
      </c>
      <c r="CJ207">
        <v>450</v>
      </c>
      <c r="CK207" s="81">
        <v>3736</v>
      </c>
      <c r="CL207">
        <v>1081</v>
      </c>
      <c r="CM207">
        <v>10426.120888339499</v>
      </c>
      <c r="CN207">
        <v>4.0250000000000004</v>
      </c>
      <c r="CO207">
        <v>59375</v>
      </c>
      <c r="CP207">
        <v>7890</v>
      </c>
      <c r="CQ207">
        <v>1670</v>
      </c>
      <c r="CR207">
        <v>1914</v>
      </c>
      <c r="CS207">
        <v>1520</v>
      </c>
      <c r="CT207">
        <v>882</v>
      </c>
      <c r="CU207">
        <v>1073.8301706932</v>
      </c>
      <c r="CV207">
        <v>640.89586821174305</v>
      </c>
      <c r="CW207">
        <v>248.36309690488201</v>
      </c>
      <c r="CX207">
        <v>2268.46</v>
      </c>
      <c r="CY207">
        <v>1353.8887999999999</v>
      </c>
      <c r="CZ207">
        <v>524.66560000000004</v>
      </c>
      <c r="DA207">
        <v>64607</v>
      </c>
      <c r="DE207">
        <v>627</v>
      </c>
      <c r="DF207" t="s">
        <v>328</v>
      </c>
      <c r="DG207">
        <v>5775</v>
      </c>
      <c r="DH207">
        <v>5701</v>
      </c>
      <c r="DI207">
        <v>5588</v>
      </c>
      <c r="DJ207">
        <v>5516</v>
      </c>
      <c r="DK207">
        <v>5395</v>
      </c>
      <c r="DO207">
        <v>479</v>
      </c>
      <c r="DP207" t="s">
        <v>352</v>
      </c>
      <c r="DQ207">
        <v>68339</v>
      </c>
      <c r="DR207">
        <v>1.32</v>
      </c>
      <c r="DS207">
        <v>2021</v>
      </c>
      <c r="DV207">
        <v>1948</v>
      </c>
      <c r="DW207" t="s">
        <v>198</v>
      </c>
      <c r="DX207">
        <v>9009.9027162109905</v>
      </c>
      <c r="DY207">
        <v>1655</v>
      </c>
      <c r="DZ207">
        <v>1613</v>
      </c>
      <c r="EA207">
        <v>770</v>
      </c>
      <c r="EB207">
        <v>5653</v>
      </c>
      <c r="EC207">
        <v>3437</v>
      </c>
      <c r="ED207">
        <v>1100</v>
      </c>
      <c r="EE207" s="82">
        <v>0.165606471204852</v>
      </c>
      <c r="EF207" s="82">
        <v>0.42992500956889801</v>
      </c>
    </row>
    <row r="208" spans="1:136" x14ac:dyDescent="0.35">
      <c r="A208" s="72">
        <v>523</v>
      </c>
      <c r="B208" s="72">
        <v>8</v>
      </c>
      <c r="D208" s="72" t="s">
        <v>131</v>
      </c>
      <c r="E208" s="79">
        <v>1388400000</v>
      </c>
      <c r="F208" s="79">
        <v>280000000</v>
      </c>
      <c r="G208" s="79">
        <v>283850000</v>
      </c>
      <c r="H208" s="79">
        <v>18051</v>
      </c>
      <c r="I208" s="79">
        <v>1</v>
      </c>
      <c r="J208" s="79">
        <v>283.85000000000002</v>
      </c>
      <c r="K208" s="79">
        <v>4224</v>
      </c>
      <c r="L208" s="79">
        <v>3355</v>
      </c>
      <c r="M208" s="79">
        <v>1083</v>
      </c>
      <c r="N208" s="79">
        <v>1843</v>
      </c>
      <c r="O208" s="79">
        <v>1109.0999999999999</v>
      </c>
      <c r="P208" s="79">
        <v>157.666666666667</v>
      </c>
      <c r="Q208" s="79">
        <v>749.66666666666697</v>
      </c>
      <c r="R208" s="79">
        <v>310</v>
      </c>
      <c r="S208" s="79">
        <v>0</v>
      </c>
      <c r="T208" s="79">
        <v>318</v>
      </c>
      <c r="U208" s="79">
        <v>7229</v>
      </c>
      <c r="V208" s="79">
        <v>18230</v>
      </c>
      <c r="W208" s="79">
        <v>5130</v>
      </c>
      <c r="X208" s="79">
        <v>0</v>
      </c>
      <c r="Y208" s="79">
        <v>590.4</v>
      </c>
      <c r="Z208" s="79">
        <v>0</v>
      </c>
      <c r="AA208" s="79">
        <v>0</v>
      </c>
      <c r="AB208" s="79">
        <v>0</v>
      </c>
      <c r="AC208" s="79">
        <v>1685</v>
      </c>
      <c r="AD208" s="79">
        <v>2443.25</v>
      </c>
      <c r="AE208" s="79">
        <v>251</v>
      </c>
      <c r="AF208" s="79">
        <v>0</v>
      </c>
      <c r="AG208" s="79">
        <v>109</v>
      </c>
      <c r="AH208" s="79">
        <v>148.32</v>
      </c>
      <c r="AI208" s="79">
        <v>7.3</v>
      </c>
      <c r="AJ208" s="79">
        <v>7339</v>
      </c>
      <c r="AK208" s="79">
        <v>10568.16</v>
      </c>
      <c r="AL208" s="79">
        <v>0</v>
      </c>
      <c r="AM208" s="79">
        <v>0</v>
      </c>
      <c r="AN208" s="79">
        <v>0</v>
      </c>
      <c r="AO208" s="79">
        <v>0</v>
      </c>
      <c r="AP208" s="79">
        <v>2315</v>
      </c>
      <c r="AQ208" s="79">
        <v>0</v>
      </c>
      <c r="AR208" s="80">
        <v>3.2248800000000001E-4</v>
      </c>
      <c r="AS208" s="80">
        <v>2.46567E-4</v>
      </c>
      <c r="AT208" s="79">
        <v>7192.22</v>
      </c>
      <c r="AU208" s="79">
        <v>0</v>
      </c>
      <c r="AV208" s="79">
        <v>1306.45</v>
      </c>
      <c r="AW208" s="79">
        <v>30351.507102272699</v>
      </c>
      <c r="AX208" s="79">
        <v>3</v>
      </c>
      <c r="AY208" s="79">
        <v>4.38</v>
      </c>
      <c r="AZ208" s="79">
        <v>1931</v>
      </c>
      <c r="BA208" s="79">
        <v>1</v>
      </c>
      <c r="BB208" s="79">
        <v>0</v>
      </c>
      <c r="BC208" s="79">
        <v>0</v>
      </c>
      <c r="BD208" s="79">
        <v>0</v>
      </c>
      <c r="BE208" s="79">
        <v>0</v>
      </c>
      <c r="BF208" s="79">
        <v>0</v>
      </c>
      <c r="BG208" s="79">
        <v>0</v>
      </c>
      <c r="BH208" s="79">
        <v>0</v>
      </c>
      <c r="BI208" s="79">
        <v>0</v>
      </c>
      <c r="BJ208" s="79">
        <v>0</v>
      </c>
      <c r="BK208" s="79">
        <v>19</v>
      </c>
      <c r="BL208" s="79">
        <v>1922</v>
      </c>
      <c r="BM208" s="79">
        <v>103</v>
      </c>
      <c r="BN208" s="79">
        <v>5</v>
      </c>
      <c r="BO208">
        <v>4496</v>
      </c>
      <c r="BP208">
        <v>788</v>
      </c>
      <c r="BQ208">
        <v>4402</v>
      </c>
      <c r="BR208">
        <v>771</v>
      </c>
      <c r="BS208">
        <v>4376</v>
      </c>
      <c r="BT208">
        <v>804</v>
      </c>
      <c r="BU208">
        <v>4342</v>
      </c>
      <c r="BV208">
        <v>851</v>
      </c>
      <c r="BW208">
        <v>4300</v>
      </c>
      <c r="BX208">
        <v>872</v>
      </c>
      <c r="BY208">
        <v>4284</v>
      </c>
      <c r="BZ208">
        <v>867</v>
      </c>
      <c r="CB208">
        <v>211.2</v>
      </c>
      <c r="CC208">
        <v>101</v>
      </c>
      <c r="CD208">
        <v>33</v>
      </c>
      <c r="CE208">
        <v>4843.1099999999997</v>
      </c>
      <c r="CF208">
        <v>1399.44</v>
      </c>
      <c r="CG208">
        <v>213.96407165437299</v>
      </c>
      <c r="CH208">
        <v>109</v>
      </c>
      <c r="CI208">
        <v>57</v>
      </c>
      <c r="CJ208">
        <v>34.3333333333333</v>
      </c>
      <c r="CK208" s="81">
        <v>592</v>
      </c>
      <c r="CL208">
        <v>168</v>
      </c>
      <c r="CM208">
        <v>2505.5689839090801</v>
      </c>
      <c r="CN208">
        <v>8.8999999999999996E-2</v>
      </c>
      <c r="CO208">
        <v>14696</v>
      </c>
      <c r="CP208">
        <v>1842</v>
      </c>
      <c r="CQ208">
        <v>430</v>
      </c>
      <c r="CR208">
        <v>306</v>
      </c>
      <c r="CS208">
        <v>359</v>
      </c>
      <c r="CT208">
        <v>201</v>
      </c>
      <c r="CU208">
        <v>166.23654448835001</v>
      </c>
      <c r="CV208">
        <v>112.285229595313</v>
      </c>
      <c r="CW208">
        <v>43.674873961030102</v>
      </c>
      <c r="CX208">
        <v>481.25</v>
      </c>
      <c r="CY208">
        <v>325.0625</v>
      </c>
      <c r="CZ208">
        <v>126.4375</v>
      </c>
      <c r="DA208">
        <v>0</v>
      </c>
      <c r="DE208">
        <v>629</v>
      </c>
      <c r="DF208" t="s">
        <v>330</v>
      </c>
      <c r="DG208">
        <v>5793</v>
      </c>
      <c r="DH208">
        <v>5724</v>
      </c>
      <c r="DI208">
        <v>5626</v>
      </c>
      <c r="DJ208">
        <v>5637</v>
      </c>
      <c r="DK208">
        <v>5591</v>
      </c>
      <c r="DO208">
        <v>473</v>
      </c>
      <c r="DP208" t="s">
        <v>354</v>
      </c>
      <c r="DQ208">
        <v>9860</v>
      </c>
      <c r="DR208">
        <v>1</v>
      </c>
      <c r="DS208">
        <v>1801</v>
      </c>
      <c r="DV208">
        <v>119</v>
      </c>
      <c r="DW208" t="s">
        <v>199</v>
      </c>
      <c r="DX208">
        <v>4781.5771444045804</v>
      </c>
      <c r="DY208">
        <v>820</v>
      </c>
      <c r="DZ208">
        <v>681</v>
      </c>
      <c r="EA208">
        <v>394</v>
      </c>
      <c r="EB208">
        <v>2365</v>
      </c>
      <c r="EC208">
        <v>1361</v>
      </c>
      <c r="ED208">
        <v>527</v>
      </c>
      <c r="EE208" s="82">
        <v>0.203284101509868</v>
      </c>
      <c r="EF208" s="82">
        <v>0.51192710241985195</v>
      </c>
    </row>
    <row r="209" spans="1:136" x14ac:dyDescent="0.35">
      <c r="A209" s="72">
        <v>530</v>
      </c>
      <c r="B209" s="72">
        <v>8</v>
      </c>
      <c r="D209" s="72" t="s">
        <v>143</v>
      </c>
      <c r="E209" s="79">
        <v>3096800000</v>
      </c>
      <c r="F209" s="79">
        <v>324450000</v>
      </c>
      <c r="G209" s="79">
        <v>338450000</v>
      </c>
      <c r="H209" s="79">
        <v>40049</v>
      </c>
      <c r="I209" s="79">
        <v>2</v>
      </c>
      <c r="J209" s="79">
        <v>338.45</v>
      </c>
      <c r="K209" s="79">
        <v>7546</v>
      </c>
      <c r="L209" s="79">
        <v>8386</v>
      </c>
      <c r="M209" s="79">
        <v>2249</v>
      </c>
      <c r="N209" s="79">
        <v>4804</v>
      </c>
      <c r="O209" s="79">
        <v>2954.5</v>
      </c>
      <c r="P209" s="79">
        <v>817.33333333333303</v>
      </c>
      <c r="Q209" s="79">
        <v>2577.3333333333298</v>
      </c>
      <c r="R209" s="79">
        <v>2615</v>
      </c>
      <c r="S209" s="79">
        <v>0</v>
      </c>
      <c r="T209" s="79">
        <v>1508</v>
      </c>
      <c r="U209" s="79">
        <v>18344</v>
      </c>
      <c r="V209" s="79">
        <v>42660</v>
      </c>
      <c r="W209" s="79">
        <v>26330</v>
      </c>
      <c r="X209" s="79">
        <v>318.24</v>
      </c>
      <c r="Y209" s="79">
        <v>2213.6</v>
      </c>
      <c r="Z209" s="79">
        <v>0</v>
      </c>
      <c r="AA209" s="79">
        <v>0</v>
      </c>
      <c r="AB209" s="79">
        <v>0</v>
      </c>
      <c r="AC209" s="79">
        <v>4110</v>
      </c>
      <c r="AD209" s="79">
        <v>4479.8999999999996</v>
      </c>
      <c r="AE209" s="79">
        <v>1899</v>
      </c>
      <c r="AF209" s="79">
        <v>112</v>
      </c>
      <c r="AG209" s="79">
        <v>184</v>
      </c>
      <c r="AH209" s="79">
        <v>165.9</v>
      </c>
      <c r="AI209" s="79">
        <v>28.6</v>
      </c>
      <c r="AJ209" s="79">
        <v>18495</v>
      </c>
      <c r="AK209" s="79">
        <v>19419.75</v>
      </c>
      <c r="AL209" s="79">
        <v>5</v>
      </c>
      <c r="AM209" s="79">
        <v>0</v>
      </c>
      <c r="AN209" s="79">
        <v>0</v>
      </c>
      <c r="AO209" s="79">
        <v>3700</v>
      </c>
      <c r="AP209" s="79">
        <v>1211</v>
      </c>
      <c r="AQ209" s="79">
        <v>636</v>
      </c>
      <c r="AR209" s="80">
        <v>2.9061499999999998E-4</v>
      </c>
      <c r="AS209" s="80">
        <v>4.1157800000000001E-4</v>
      </c>
      <c r="AT209" s="79">
        <v>28297.35</v>
      </c>
      <c r="AU209" s="79">
        <v>0</v>
      </c>
      <c r="AV209" s="79">
        <v>2106.9699999999998</v>
      </c>
      <c r="AW209" s="79">
        <v>19229.585000832099</v>
      </c>
      <c r="AX209" s="79">
        <v>3</v>
      </c>
      <c r="AY209" s="79">
        <v>3.3</v>
      </c>
      <c r="AZ209" s="79">
        <v>3159</v>
      </c>
      <c r="BA209" s="79">
        <v>1</v>
      </c>
      <c r="BB209" s="79">
        <v>0</v>
      </c>
      <c r="BC209" s="79">
        <v>0</v>
      </c>
      <c r="BD209" s="79">
        <v>0</v>
      </c>
      <c r="BE209" s="79">
        <v>0</v>
      </c>
      <c r="BF209" s="79">
        <v>0</v>
      </c>
      <c r="BG209" s="79">
        <v>0</v>
      </c>
      <c r="BH209" s="79">
        <v>0</v>
      </c>
      <c r="BI209" s="79">
        <v>0</v>
      </c>
      <c r="BJ209" s="79">
        <v>0</v>
      </c>
      <c r="BK209" s="79">
        <v>23</v>
      </c>
      <c r="BL209" s="79">
        <v>5764</v>
      </c>
      <c r="BM209" s="79">
        <v>158</v>
      </c>
      <c r="BN209" s="79">
        <v>26</v>
      </c>
      <c r="BO209">
        <v>8341</v>
      </c>
      <c r="BP209">
        <v>2857</v>
      </c>
      <c r="BQ209">
        <v>8258</v>
      </c>
      <c r="BR209">
        <v>2827</v>
      </c>
      <c r="BS209">
        <v>8055</v>
      </c>
      <c r="BT209">
        <v>2812</v>
      </c>
      <c r="BU209">
        <v>7887</v>
      </c>
      <c r="BV209">
        <v>2833</v>
      </c>
      <c r="BW209">
        <v>7789</v>
      </c>
      <c r="BX209">
        <v>2849</v>
      </c>
      <c r="BY209">
        <v>7686</v>
      </c>
      <c r="BZ209">
        <v>2882</v>
      </c>
      <c r="CB209">
        <v>890.428</v>
      </c>
      <c r="CC209">
        <v>207</v>
      </c>
      <c r="CD209">
        <v>92</v>
      </c>
      <c r="CE209">
        <v>13112.26</v>
      </c>
      <c r="CF209">
        <v>2975.28</v>
      </c>
      <c r="CG209">
        <v>248.247013591626</v>
      </c>
      <c r="CH209">
        <v>548</v>
      </c>
      <c r="CI209">
        <v>264.33333333333297</v>
      </c>
      <c r="CJ209">
        <v>244.666666666667</v>
      </c>
      <c r="CK209" s="81">
        <v>1760</v>
      </c>
      <c r="CL209">
        <v>457</v>
      </c>
      <c r="CM209">
        <v>6903.8446984521397</v>
      </c>
      <c r="CN209">
        <v>1.837</v>
      </c>
      <c r="CO209">
        <v>31663</v>
      </c>
      <c r="CP209">
        <v>5418</v>
      </c>
      <c r="CQ209">
        <v>719</v>
      </c>
      <c r="CR209">
        <v>1174</v>
      </c>
      <c r="CS209">
        <v>755</v>
      </c>
      <c r="CT209">
        <v>402</v>
      </c>
      <c r="CU209">
        <v>547.60886726142201</v>
      </c>
      <c r="CV209">
        <v>256.71162476345</v>
      </c>
      <c r="CW209">
        <v>88.019978372533103</v>
      </c>
      <c r="CX209">
        <v>1372.914</v>
      </c>
      <c r="CY209">
        <v>643.60350000000005</v>
      </c>
      <c r="CZ209">
        <v>220.6755</v>
      </c>
      <c r="DA209">
        <v>46847</v>
      </c>
      <c r="DE209">
        <v>632</v>
      </c>
      <c r="DF209" t="s">
        <v>349</v>
      </c>
      <c r="DG209">
        <v>11850</v>
      </c>
      <c r="DH209">
        <v>11831</v>
      </c>
      <c r="DI209">
        <v>11867</v>
      </c>
      <c r="DJ209">
        <v>11795</v>
      </c>
      <c r="DK209">
        <v>11806</v>
      </c>
      <c r="DO209">
        <v>482</v>
      </c>
      <c r="DP209" t="s">
        <v>15</v>
      </c>
      <c r="DQ209">
        <v>8297</v>
      </c>
      <c r="DR209">
        <v>1.37</v>
      </c>
      <c r="DS209">
        <v>1503</v>
      </c>
      <c r="DV209">
        <v>687</v>
      </c>
      <c r="DW209" t="s">
        <v>200</v>
      </c>
      <c r="DX209">
        <v>7295.51859723698</v>
      </c>
      <c r="DY209">
        <v>1366</v>
      </c>
      <c r="DZ209">
        <v>1187</v>
      </c>
      <c r="EA209">
        <v>690</v>
      </c>
      <c r="EB209">
        <v>3681</v>
      </c>
      <c r="EC209">
        <v>2342</v>
      </c>
      <c r="ED209">
        <v>948</v>
      </c>
      <c r="EE209" s="82">
        <v>0.206418522291444</v>
      </c>
      <c r="EF209" s="82">
        <v>0.46927942762387398</v>
      </c>
    </row>
    <row r="210" spans="1:136" x14ac:dyDescent="0.35">
      <c r="A210" s="72">
        <v>531</v>
      </c>
      <c r="B210" s="72">
        <v>8</v>
      </c>
      <c r="D210" s="72" t="s">
        <v>145</v>
      </c>
      <c r="E210" s="79">
        <v>2485200000</v>
      </c>
      <c r="F210" s="79">
        <v>233450000</v>
      </c>
      <c r="G210" s="79">
        <v>233450000</v>
      </c>
      <c r="H210" s="79">
        <v>30966</v>
      </c>
      <c r="I210" s="79">
        <v>1</v>
      </c>
      <c r="J210" s="79">
        <v>233.45</v>
      </c>
      <c r="K210" s="79">
        <v>7540</v>
      </c>
      <c r="L210" s="79">
        <v>5152</v>
      </c>
      <c r="M210" s="79">
        <v>1641</v>
      </c>
      <c r="N210" s="79">
        <v>2749</v>
      </c>
      <c r="O210" s="79">
        <v>1523.3</v>
      </c>
      <c r="P210" s="79">
        <v>315.33333333333297</v>
      </c>
      <c r="Q210" s="79">
        <v>1286.3333333333301</v>
      </c>
      <c r="R210" s="79">
        <v>1560</v>
      </c>
      <c r="S210" s="79">
        <v>0</v>
      </c>
      <c r="T210" s="79">
        <v>785</v>
      </c>
      <c r="U210" s="79">
        <v>12384</v>
      </c>
      <c r="V210" s="79">
        <v>29430</v>
      </c>
      <c r="W210" s="79">
        <v>11520</v>
      </c>
      <c r="X210" s="79">
        <v>0</v>
      </c>
      <c r="Y210" s="79">
        <v>0</v>
      </c>
      <c r="Z210" s="79">
        <v>0</v>
      </c>
      <c r="AA210" s="79">
        <v>323.99999999999898</v>
      </c>
      <c r="AB210" s="79">
        <v>0</v>
      </c>
      <c r="AC210" s="79">
        <v>1026</v>
      </c>
      <c r="AD210" s="79">
        <v>1354.32</v>
      </c>
      <c r="AE210" s="79">
        <v>164</v>
      </c>
      <c r="AF210" s="79">
        <v>0</v>
      </c>
      <c r="AG210" s="79">
        <v>113</v>
      </c>
      <c r="AH210" s="79">
        <v>148.5</v>
      </c>
      <c r="AI210" s="79">
        <v>2.48</v>
      </c>
      <c r="AJ210" s="79">
        <v>12257</v>
      </c>
      <c r="AK210" s="79">
        <v>16546.95</v>
      </c>
      <c r="AL210" s="79">
        <v>0</v>
      </c>
      <c r="AM210" s="79">
        <v>0</v>
      </c>
      <c r="AN210" s="79">
        <v>0</v>
      </c>
      <c r="AO210" s="79">
        <v>0</v>
      </c>
      <c r="AP210" s="79">
        <v>964</v>
      </c>
      <c r="AQ210" s="79">
        <v>0</v>
      </c>
      <c r="AR210" s="80">
        <v>8.7233999999999999E-5</v>
      </c>
      <c r="AS210" s="80">
        <v>2.6871499999999999E-4</v>
      </c>
      <c r="AT210" s="79">
        <v>22013.572</v>
      </c>
      <c r="AU210" s="79">
        <v>0</v>
      </c>
      <c r="AV210" s="79">
        <v>1149.72</v>
      </c>
      <c r="AW210" s="79">
        <v>68938.122554621907</v>
      </c>
      <c r="AX210" s="79">
        <v>1</v>
      </c>
      <c r="AY210" s="79">
        <v>1.24</v>
      </c>
      <c r="AZ210" s="79">
        <v>2778</v>
      </c>
      <c r="BA210" s="79">
        <v>1</v>
      </c>
      <c r="BB210" s="79">
        <v>0</v>
      </c>
      <c r="BC210" s="79">
        <v>0</v>
      </c>
      <c r="BD210" s="79">
        <v>0</v>
      </c>
      <c r="BE210" s="79">
        <v>0</v>
      </c>
      <c r="BF210" s="79">
        <v>0</v>
      </c>
      <c r="BG210" s="79">
        <v>0</v>
      </c>
      <c r="BH210" s="79">
        <v>0</v>
      </c>
      <c r="BI210" s="79">
        <v>0</v>
      </c>
      <c r="BJ210" s="79">
        <v>0</v>
      </c>
      <c r="BK210" s="79">
        <v>18</v>
      </c>
      <c r="BL210" s="79">
        <v>3039</v>
      </c>
      <c r="BM210" s="79">
        <v>110</v>
      </c>
      <c r="BN210" s="79">
        <v>2</v>
      </c>
      <c r="BO210">
        <v>6560</v>
      </c>
      <c r="BP210">
        <v>429</v>
      </c>
      <c r="BQ210">
        <v>6777</v>
      </c>
      <c r="BR210">
        <v>0</v>
      </c>
      <c r="BS210">
        <v>6840</v>
      </c>
      <c r="BT210">
        <v>0</v>
      </c>
      <c r="BU210">
        <v>6929</v>
      </c>
      <c r="BV210">
        <v>0</v>
      </c>
      <c r="BW210">
        <v>7037</v>
      </c>
      <c r="BX210">
        <v>0</v>
      </c>
      <c r="BY210">
        <v>7086</v>
      </c>
      <c r="BZ210">
        <v>0</v>
      </c>
      <c r="CB210">
        <v>505.18</v>
      </c>
      <c r="CC210">
        <v>126</v>
      </c>
      <c r="CD210">
        <v>73</v>
      </c>
      <c r="CE210">
        <v>9230.2000000000007</v>
      </c>
      <c r="CF210">
        <v>2695.7</v>
      </c>
      <c r="CG210">
        <v>287.03561942517302</v>
      </c>
      <c r="CH210">
        <v>297</v>
      </c>
      <c r="CI210">
        <v>136.333333333333</v>
      </c>
      <c r="CJ210">
        <v>107.666666666667</v>
      </c>
      <c r="CK210" s="81">
        <v>971</v>
      </c>
      <c r="CL210">
        <v>220</v>
      </c>
      <c r="CM210">
        <v>3690.73274755169</v>
      </c>
      <c r="CN210">
        <v>0.33600000000000002</v>
      </c>
      <c r="CO210">
        <v>25814</v>
      </c>
      <c r="CP210">
        <v>2905</v>
      </c>
      <c r="CQ210">
        <v>606</v>
      </c>
      <c r="CR210">
        <v>549</v>
      </c>
      <c r="CS210">
        <v>560</v>
      </c>
      <c r="CT210">
        <v>327</v>
      </c>
      <c r="CU210">
        <v>221.591245818716</v>
      </c>
      <c r="CV210">
        <v>144.04052378232799</v>
      </c>
      <c r="CW210">
        <v>58.287321530554003</v>
      </c>
      <c r="CX210">
        <v>664.88070000000005</v>
      </c>
      <c r="CY210">
        <v>432.19110000000001</v>
      </c>
      <c r="CZ210">
        <v>174.89009999999999</v>
      </c>
      <c r="DA210">
        <v>0</v>
      </c>
      <c r="DE210">
        <v>637</v>
      </c>
      <c r="DF210" t="s">
        <v>358</v>
      </c>
      <c r="DG210">
        <v>26664</v>
      </c>
      <c r="DH210">
        <v>26361</v>
      </c>
      <c r="DI210">
        <v>26195</v>
      </c>
      <c r="DJ210">
        <v>26164</v>
      </c>
      <c r="DK210">
        <v>26065</v>
      </c>
      <c r="DO210">
        <v>613</v>
      </c>
      <c r="DP210" t="s">
        <v>16</v>
      </c>
      <c r="DQ210">
        <v>10646</v>
      </c>
      <c r="DR210">
        <v>1.28</v>
      </c>
      <c r="DS210">
        <v>1022</v>
      </c>
      <c r="DV210">
        <v>1842</v>
      </c>
      <c r="DW210" t="s">
        <v>202</v>
      </c>
      <c r="DX210">
        <v>1562.18372703412</v>
      </c>
      <c r="DY210">
        <v>312</v>
      </c>
      <c r="DZ210">
        <v>322</v>
      </c>
      <c r="EA210">
        <v>211</v>
      </c>
      <c r="EB210">
        <v>1176</v>
      </c>
      <c r="EC210">
        <v>741</v>
      </c>
      <c r="ED210">
        <v>327</v>
      </c>
      <c r="EE210" s="82">
        <v>9.7945226436153096E-2</v>
      </c>
      <c r="EF210" s="82">
        <v>0.28487032065244899</v>
      </c>
    </row>
    <row r="211" spans="1:136" x14ac:dyDescent="0.35">
      <c r="A211" s="72">
        <v>534</v>
      </c>
      <c r="B211" s="72">
        <v>8</v>
      </c>
      <c r="D211" s="72" t="s">
        <v>150</v>
      </c>
      <c r="E211" s="79">
        <v>2067200000</v>
      </c>
      <c r="F211" s="79">
        <v>280700000</v>
      </c>
      <c r="G211" s="79">
        <v>285600000</v>
      </c>
      <c r="H211" s="79">
        <v>21966</v>
      </c>
      <c r="I211" s="79">
        <v>1</v>
      </c>
      <c r="J211" s="79">
        <v>285.60000000000002</v>
      </c>
      <c r="K211" s="79">
        <v>4227</v>
      </c>
      <c r="L211" s="79">
        <v>4526</v>
      </c>
      <c r="M211" s="79">
        <v>1428</v>
      </c>
      <c r="N211" s="79">
        <v>2937</v>
      </c>
      <c r="O211" s="79">
        <v>1952.7</v>
      </c>
      <c r="P211" s="79">
        <v>253.333333333333</v>
      </c>
      <c r="Q211" s="79">
        <v>1266.3333333333301</v>
      </c>
      <c r="R211" s="79">
        <v>705</v>
      </c>
      <c r="S211" s="79">
        <v>0</v>
      </c>
      <c r="T211" s="79">
        <v>665</v>
      </c>
      <c r="U211" s="79">
        <v>10068</v>
      </c>
      <c r="V211" s="79">
        <v>20240</v>
      </c>
      <c r="W211" s="79">
        <v>5010</v>
      </c>
      <c r="X211" s="79">
        <v>160.38</v>
      </c>
      <c r="Y211" s="79">
        <v>758.4</v>
      </c>
      <c r="Z211" s="79">
        <v>0</v>
      </c>
      <c r="AA211" s="79">
        <v>0</v>
      </c>
      <c r="AB211" s="79">
        <v>381.5</v>
      </c>
      <c r="AC211" s="79">
        <v>1291</v>
      </c>
      <c r="AD211" s="79">
        <v>1407.19</v>
      </c>
      <c r="AE211" s="79">
        <v>55</v>
      </c>
      <c r="AF211" s="79">
        <v>0</v>
      </c>
      <c r="AG211" s="79">
        <v>131</v>
      </c>
      <c r="AH211" s="79">
        <v>127.65</v>
      </c>
      <c r="AI211" s="79">
        <v>16.8</v>
      </c>
      <c r="AJ211" s="79">
        <v>9843</v>
      </c>
      <c r="AK211" s="79">
        <v>10925.73</v>
      </c>
      <c r="AL211" s="79">
        <v>0</v>
      </c>
      <c r="AM211" s="79">
        <v>0</v>
      </c>
      <c r="AN211" s="79">
        <v>0</v>
      </c>
      <c r="AO211" s="79">
        <v>0</v>
      </c>
      <c r="AP211" s="79">
        <v>1874</v>
      </c>
      <c r="AQ211" s="79">
        <v>0</v>
      </c>
      <c r="AR211" s="80">
        <v>4.78849E-4</v>
      </c>
      <c r="AS211" s="80">
        <v>3.7916300000000002E-4</v>
      </c>
      <c r="AT211" s="79">
        <v>15266.493</v>
      </c>
      <c r="AU211" s="79">
        <v>0</v>
      </c>
      <c r="AV211" s="79">
        <v>1705.85</v>
      </c>
      <c r="AW211" s="79">
        <v>38013.419598811299</v>
      </c>
      <c r="AX211" s="79">
        <v>2</v>
      </c>
      <c r="AY211" s="79">
        <v>2.1</v>
      </c>
      <c r="AZ211" s="79">
        <v>2340</v>
      </c>
      <c r="BA211" s="79">
        <v>1</v>
      </c>
      <c r="BB211" s="79">
        <v>0</v>
      </c>
      <c r="BC211" s="79">
        <v>0</v>
      </c>
      <c r="BD211" s="79">
        <v>0</v>
      </c>
      <c r="BE211" s="79">
        <v>0</v>
      </c>
      <c r="BF211" s="79">
        <v>0</v>
      </c>
      <c r="BG211" s="79">
        <v>0</v>
      </c>
      <c r="BH211" s="79">
        <v>0</v>
      </c>
      <c r="BI211" s="79">
        <v>0</v>
      </c>
      <c r="BJ211" s="79">
        <v>0</v>
      </c>
      <c r="BK211" s="79">
        <v>13</v>
      </c>
      <c r="BL211" s="79">
        <v>3257</v>
      </c>
      <c r="BM211" s="79">
        <v>115</v>
      </c>
      <c r="BN211" s="79">
        <v>16</v>
      </c>
      <c r="BO211">
        <v>4241</v>
      </c>
      <c r="BP211">
        <v>515</v>
      </c>
      <c r="BQ211">
        <v>4158</v>
      </c>
      <c r="BR211">
        <v>516</v>
      </c>
      <c r="BS211">
        <v>4189</v>
      </c>
      <c r="BT211">
        <v>525</v>
      </c>
      <c r="BU211">
        <v>4220</v>
      </c>
      <c r="BV211">
        <v>543</v>
      </c>
      <c r="BW211">
        <v>4198</v>
      </c>
      <c r="BX211">
        <v>740</v>
      </c>
      <c r="BY211">
        <v>4181</v>
      </c>
      <c r="BZ211">
        <v>1021</v>
      </c>
      <c r="CB211">
        <v>405.79199999999997</v>
      </c>
      <c r="CC211">
        <v>59</v>
      </c>
      <c r="CD211">
        <v>36</v>
      </c>
      <c r="CE211">
        <v>6819.4</v>
      </c>
      <c r="CF211">
        <v>1671.6</v>
      </c>
      <c r="CG211">
        <v>168.26310234798299</v>
      </c>
      <c r="CH211">
        <v>251</v>
      </c>
      <c r="CI211">
        <v>75.6666666666667</v>
      </c>
      <c r="CJ211">
        <v>54.6666666666667</v>
      </c>
      <c r="CK211" s="81">
        <v>1013</v>
      </c>
      <c r="CL211">
        <v>251</v>
      </c>
      <c r="CM211">
        <v>3073.0110066859502</v>
      </c>
      <c r="CN211">
        <v>0.20899999999999999</v>
      </c>
      <c r="CO211">
        <v>17440</v>
      </c>
      <c r="CP211">
        <v>2558</v>
      </c>
      <c r="CQ211">
        <v>540</v>
      </c>
      <c r="CR211">
        <v>561</v>
      </c>
      <c r="CS211">
        <v>490</v>
      </c>
      <c r="CT211">
        <v>282</v>
      </c>
      <c r="CU211">
        <v>319.39926851569601</v>
      </c>
      <c r="CV211">
        <v>197.78948491313599</v>
      </c>
      <c r="CW211">
        <v>76.179701310575993</v>
      </c>
      <c r="CX211">
        <v>674.10699999999997</v>
      </c>
      <c r="CY211">
        <v>417.44389999999999</v>
      </c>
      <c r="CZ211">
        <v>160.7808</v>
      </c>
      <c r="DA211">
        <v>23946</v>
      </c>
      <c r="DE211">
        <v>638</v>
      </c>
      <c r="DF211" t="s">
        <v>359</v>
      </c>
      <c r="DG211">
        <v>1808</v>
      </c>
      <c r="DH211">
        <v>1743</v>
      </c>
      <c r="DI211">
        <v>1733</v>
      </c>
      <c r="DJ211">
        <v>1694</v>
      </c>
      <c r="DK211">
        <v>1629</v>
      </c>
      <c r="DO211">
        <v>484</v>
      </c>
      <c r="DP211" t="s">
        <v>20</v>
      </c>
      <c r="DQ211">
        <v>47296</v>
      </c>
      <c r="DR211">
        <v>1.29</v>
      </c>
      <c r="DS211">
        <v>1782</v>
      </c>
      <c r="DV211">
        <v>1731</v>
      </c>
      <c r="DW211" t="s">
        <v>701</v>
      </c>
      <c r="DX211">
        <v>4161.8333098293597</v>
      </c>
      <c r="DY211">
        <v>789</v>
      </c>
      <c r="DZ211">
        <v>711</v>
      </c>
      <c r="EA211">
        <v>399</v>
      </c>
      <c r="EB211">
        <v>2731</v>
      </c>
      <c r="EC211">
        <v>1564</v>
      </c>
      <c r="ED211">
        <v>582</v>
      </c>
      <c r="EE211" s="82">
        <v>0.15909439767349601</v>
      </c>
      <c r="EF211" s="82">
        <v>0.47753270234147599</v>
      </c>
    </row>
    <row r="212" spans="1:136" x14ac:dyDescent="0.35">
      <c r="A212" s="72">
        <v>1963</v>
      </c>
      <c r="B212" s="72">
        <v>8</v>
      </c>
      <c r="D212" s="72" t="s">
        <v>153</v>
      </c>
      <c r="E212" s="79">
        <v>7430800000</v>
      </c>
      <c r="F212" s="79">
        <v>1173550000</v>
      </c>
      <c r="G212" s="79">
        <v>1221150000</v>
      </c>
      <c r="H212" s="79">
        <v>86656</v>
      </c>
      <c r="I212" s="79">
        <v>12</v>
      </c>
      <c r="J212" s="79">
        <v>1221.1500000000001</v>
      </c>
      <c r="K212" s="79">
        <v>16958</v>
      </c>
      <c r="L212" s="79">
        <v>19168</v>
      </c>
      <c r="M212" s="79">
        <v>5837</v>
      </c>
      <c r="N212" s="79">
        <v>9074</v>
      </c>
      <c r="O212" s="79">
        <v>5308.8</v>
      </c>
      <c r="P212" s="79">
        <v>811.33333333333303</v>
      </c>
      <c r="Q212" s="79">
        <v>3736.3333333333298</v>
      </c>
      <c r="R212" s="79">
        <v>1745</v>
      </c>
      <c r="S212" s="79">
        <v>0</v>
      </c>
      <c r="T212" s="79">
        <v>2226</v>
      </c>
      <c r="U212" s="79">
        <v>37817</v>
      </c>
      <c r="V212" s="79">
        <v>62200</v>
      </c>
      <c r="W212" s="79">
        <v>9290</v>
      </c>
      <c r="X212" s="79">
        <v>566</v>
      </c>
      <c r="Y212" s="79">
        <v>2716</v>
      </c>
      <c r="Z212" s="79">
        <v>0</v>
      </c>
      <c r="AA212" s="79">
        <v>0</v>
      </c>
      <c r="AB212" s="79">
        <v>0</v>
      </c>
      <c r="AC212" s="79">
        <v>26856</v>
      </c>
      <c r="AD212" s="79">
        <v>33032.879999999997</v>
      </c>
      <c r="AE212" s="79">
        <v>5513</v>
      </c>
      <c r="AF212" s="79">
        <v>0</v>
      </c>
      <c r="AG212" s="79">
        <v>594</v>
      </c>
      <c r="AH212" s="79">
        <v>598.16999999999996</v>
      </c>
      <c r="AI212" s="79">
        <v>150.06</v>
      </c>
      <c r="AJ212" s="79">
        <v>37652</v>
      </c>
      <c r="AK212" s="79">
        <v>47818.04</v>
      </c>
      <c r="AL212" s="79">
        <v>0</v>
      </c>
      <c r="AM212" s="79">
        <v>0</v>
      </c>
      <c r="AN212" s="79">
        <v>0</v>
      </c>
      <c r="AO212" s="79">
        <v>0</v>
      </c>
      <c r="AP212" s="79">
        <v>3172</v>
      </c>
      <c r="AQ212" s="79">
        <v>0</v>
      </c>
      <c r="AR212" s="80">
        <v>1.0551600000000001E-3</v>
      </c>
      <c r="AS212" s="80">
        <v>5.5092100000000001E-4</v>
      </c>
      <c r="AT212" s="79">
        <v>31025.248</v>
      </c>
      <c r="AU212" s="79">
        <v>0</v>
      </c>
      <c r="AV212" s="79">
        <v>11377.5</v>
      </c>
      <c r="AW212" s="79">
        <v>56163.175423398898</v>
      </c>
      <c r="AX212" s="79">
        <v>29</v>
      </c>
      <c r="AY212" s="79">
        <v>35.380000000000003</v>
      </c>
      <c r="AZ212" s="79">
        <v>9348</v>
      </c>
      <c r="BA212" s="79">
        <v>1</v>
      </c>
      <c r="BB212" s="79">
        <v>0</v>
      </c>
      <c r="BC212" s="79">
        <v>0</v>
      </c>
      <c r="BD212" s="79">
        <v>0</v>
      </c>
      <c r="BE212" s="79">
        <v>0</v>
      </c>
      <c r="BF212" s="79">
        <v>0</v>
      </c>
      <c r="BG212" s="79">
        <v>0</v>
      </c>
      <c r="BH212" s="79">
        <v>0</v>
      </c>
      <c r="BI212" s="79">
        <v>0</v>
      </c>
      <c r="BJ212" s="79">
        <v>0</v>
      </c>
      <c r="BK212" s="79">
        <v>47</v>
      </c>
      <c r="BL212" s="79">
        <v>10472</v>
      </c>
      <c r="BM212" s="79">
        <v>471</v>
      </c>
      <c r="BN212" s="79">
        <v>123</v>
      </c>
      <c r="BO212">
        <v>18577</v>
      </c>
      <c r="BP212">
        <v>3131</v>
      </c>
      <c r="BQ212">
        <v>18292</v>
      </c>
      <c r="BR212">
        <v>3083</v>
      </c>
      <c r="BS212">
        <v>18153</v>
      </c>
      <c r="BT212">
        <v>3099</v>
      </c>
      <c r="BU212">
        <v>17916</v>
      </c>
      <c r="BV212">
        <v>3045</v>
      </c>
      <c r="BW212">
        <v>17661</v>
      </c>
      <c r="BX212">
        <v>3120</v>
      </c>
      <c r="BY212">
        <v>17389</v>
      </c>
      <c r="BZ212">
        <v>3339</v>
      </c>
      <c r="CB212">
        <v>1102.27</v>
      </c>
      <c r="CC212">
        <v>214</v>
      </c>
      <c r="CD212">
        <v>126</v>
      </c>
      <c r="CE212">
        <v>28723.5</v>
      </c>
      <c r="CF212">
        <v>6981.16</v>
      </c>
      <c r="CG212">
        <v>589.11127636527704</v>
      </c>
      <c r="CH212">
        <v>792</v>
      </c>
      <c r="CI212">
        <v>240</v>
      </c>
      <c r="CJ212">
        <v>169</v>
      </c>
      <c r="CK212" s="81">
        <v>2925</v>
      </c>
      <c r="CL212">
        <v>821</v>
      </c>
      <c r="CM212">
        <v>14025.038214857401</v>
      </c>
      <c r="CN212">
        <v>0.60099999999999998</v>
      </c>
      <c r="CO212">
        <v>67488</v>
      </c>
      <c r="CP212">
        <v>11356</v>
      </c>
      <c r="CQ212">
        <v>1975</v>
      </c>
      <c r="CR212">
        <v>2048</v>
      </c>
      <c r="CS212">
        <v>1917</v>
      </c>
      <c r="CT212">
        <v>966</v>
      </c>
      <c r="CU212">
        <v>975.97773292255397</v>
      </c>
      <c r="CV212">
        <v>582.17452459364699</v>
      </c>
      <c r="CW212">
        <v>199.65103580155099</v>
      </c>
      <c r="CX212">
        <v>2489.1511999999998</v>
      </c>
      <c r="CY212">
        <v>1484.7883999999999</v>
      </c>
      <c r="CZ212">
        <v>509.1936</v>
      </c>
      <c r="DA212">
        <v>64425</v>
      </c>
      <c r="DE212">
        <v>642</v>
      </c>
      <c r="DF212" t="s">
        <v>364</v>
      </c>
      <c r="DG212">
        <v>8978</v>
      </c>
      <c r="DH212">
        <v>8911</v>
      </c>
      <c r="DI212">
        <v>8868</v>
      </c>
      <c r="DJ212">
        <v>8835</v>
      </c>
      <c r="DK212">
        <v>8818</v>
      </c>
      <c r="DO212">
        <v>489</v>
      </c>
      <c r="DP212" t="s">
        <v>34</v>
      </c>
      <c r="DQ212">
        <v>19310</v>
      </c>
      <c r="DR212">
        <v>1.37</v>
      </c>
      <c r="DS212">
        <v>1658</v>
      </c>
      <c r="DV212">
        <v>1952</v>
      </c>
      <c r="DW212" t="s">
        <v>203</v>
      </c>
      <c r="DX212">
        <v>9921.0960807253596</v>
      </c>
      <c r="DY212">
        <v>1666</v>
      </c>
      <c r="DZ212">
        <v>1378</v>
      </c>
      <c r="EA212">
        <v>673</v>
      </c>
      <c r="EB212">
        <v>4922</v>
      </c>
      <c r="EC212">
        <v>2764</v>
      </c>
      <c r="ED212">
        <v>918</v>
      </c>
      <c r="EE212" s="82">
        <v>0.24639489126515701</v>
      </c>
      <c r="EF212" s="82">
        <v>0.56554360478512</v>
      </c>
    </row>
    <row r="213" spans="1:136" x14ac:dyDescent="0.35">
      <c r="A213" s="72">
        <v>1884</v>
      </c>
      <c r="B213" s="72">
        <v>8</v>
      </c>
      <c r="D213" s="72" t="s">
        <v>163</v>
      </c>
      <c r="E213" s="79">
        <v>2798400000</v>
      </c>
      <c r="F213" s="79">
        <v>273700000</v>
      </c>
      <c r="G213" s="79">
        <v>299950000</v>
      </c>
      <c r="H213" s="79">
        <v>26866</v>
      </c>
      <c r="I213" s="79">
        <v>6</v>
      </c>
      <c r="J213" s="79">
        <v>299.95</v>
      </c>
      <c r="K213" s="79">
        <v>5185</v>
      </c>
      <c r="L213" s="79">
        <v>5514</v>
      </c>
      <c r="M213" s="79">
        <v>1693</v>
      </c>
      <c r="N213" s="79">
        <v>2786</v>
      </c>
      <c r="O213" s="79">
        <v>1600.9</v>
      </c>
      <c r="P213" s="79">
        <v>277</v>
      </c>
      <c r="Q213" s="79">
        <v>1047</v>
      </c>
      <c r="R213" s="79">
        <v>660</v>
      </c>
      <c r="S213" s="79">
        <v>0</v>
      </c>
      <c r="T213" s="79">
        <v>714</v>
      </c>
      <c r="U213" s="79">
        <v>11617</v>
      </c>
      <c r="V213" s="79">
        <v>19630</v>
      </c>
      <c r="W213" s="79">
        <v>2830</v>
      </c>
      <c r="X213" s="79">
        <v>0</v>
      </c>
      <c r="Y213" s="79">
        <v>156</v>
      </c>
      <c r="Z213" s="79">
        <v>0</v>
      </c>
      <c r="AA213" s="79">
        <v>0</v>
      </c>
      <c r="AB213" s="79">
        <v>0</v>
      </c>
      <c r="AC213" s="79">
        <v>6317</v>
      </c>
      <c r="AD213" s="79">
        <v>7896.25</v>
      </c>
      <c r="AE213" s="79">
        <v>907</v>
      </c>
      <c r="AF213" s="79">
        <v>0</v>
      </c>
      <c r="AG213" s="79">
        <v>189</v>
      </c>
      <c r="AH213" s="79">
        <v>188.16</v>
      </c>
      <c r="AI213" s="79">
        <v>50.84</v>
      </c>
      <c r="AJ213" s="79">
        <v>11851</v>
      </c>
      <c r="AK213" s="79">
        <v>15169.28</v>
      </c>
      <c r="AL213" s="79">
        <v>0</v>
      </c>
      <c r="AM213" s="79">
        <v>0</v>
      </c>
      <c r="AN213" s="79">
        <v>0</v>
      </c>
      <c r="AO213" s="79">
        <v>0</v>
      </c>
      <c r="AP213" s="79">
        <v>542</v>
      </c>
      <c r="AQ213" s="79">
        <v>0</v>
      </c>
      <c r="AR213" s="80">
        <v>1.7202100000000001E-4</v>
      </c>
      <c r="AS213" s="80">
        <v>1.10513E-4</v>
      </c>
      <c r="AT213" s="79">
        <v>7075.0469999999996</v>
      </c>
      <c r="AU213" s="79">
        <v>0</v>
      </c>
      <c r="AV213" s="79">
        <v>6575</v>
      </c>
      <c r="AW213" s="79">
        <v>60480.111434108498</v>
      </c>
      <c r="AX213" s="79">
        <v>17</v>
      </c>
      <c r="AY213" s="79">
        <v>21.08</v>
      </c>
      <c r="AZ213" s="79">
        <v>3355</v>
      </c>
      <c r="BA213" s="79">
        <v>1</v>
      </c>
      <c r="BB213" s="79">
        <v>0</v>
      </c>
      <c r="BC213" s="79">
        <v>0</v>
      </c>
      <c r="BD213" s="79">
        <v>0</v>
      </c>
      <c r="BE213" s="79">
        <v>0</v>
      </c>
      <c r="BF213" s="79">
        <v>0</v>
      </c>
      <c r="BG213" s="79">
        <v>0</v>
      </c>
      <c r="BH213" s="79">
        <v>0</v>
      </c>
      <c r="BI213" s="79">
        <v>0</v>
      </c>
      <c r="BJ213" s="79">
        <v>0</v>
      </c>
      <c r="BK213" s="79">
        <v>9</v>
      </c>
      <c r="BL213" s="79">
        <v>3338</v>
      </c>
      <c r="BM213" s="79">
        <v>147</v>
      </c>
      <c r="BN213" s="79">
        <v>41</v>
      </c>
      <c r="BO213">
        <v>5754</v>
      </c>
      <c r="BP213">
        <v>298</v>
      </c>
      <c r="BQ213">
        <v>5723</v>
      </c>
      <c r="BR213">
        <v>286</v>
      </c>
      <c r="BS213">
        <v>5637</v>
      </c>
      <c r="BT213">
        <v>266</v>
      </c>
      <c r="BU213">
        <v>5512</v>
      </c>
      <c r="BV213">
        <v>274</v>
      </c>
      <c r="BW213">
        <v>5461</v>
      </c>
      <c r="BX213">
        <v>274</v>
      </c>
      <c r="BY213">
        <v>5393</v>
      </c>
      <c r="BZ213">
        <v>301</v>
      </c>
      <c r="CB213">
        <v>368.13499999999999</v>
      </c>
      <c r="CC213">
        <v>140</v>
      </c>
      <c r="CD213">
        <v>38</v>
      </c>
      <c r="CE213">
        <v>9028.91</v>
      </c>
      <c r="CF213">
        <v>2224.52</v>
      </c>
      <c r="CG213">
        <v>125.507100880324</v>
      </c>
      <c r="CH213">
        <v>265</v>
      </c>
      <c r="CI213">
        <v>81.6666666666667</v>
      </c>
      <c r="CJ213">
        <v>53.3333333333333</v>
      </c>
      <c r="CK213" s="81">
        <v>770</v>
      </c>
      <c r="CL213">
        <v>205</v>
      </c>
      <c r="CM213">
        <v>3587.2510586793301</v>
      </c>
      <c r="CN213">
        <v>0.13600000000000001</v>
      </c>
      <c r="CO213">
        <v>21352</v>
      </c>
      <c r="CP213">
        <v>3261</v>
      </c>
      <c r="CQ213">
        <v>560</v>
      </c>
      <c r="CR213">
        <v>541</v>
      </c>
      <c r="CS213">
        <v>519</v>
      </c>
      <c r="CT213">
        <v>257</v>
      </c>
      <c r="CU213">
        <v>266.65906674542202</v>
      </c>
      <c r="CV213">
        <v>156.96952155936199</v>
      </c>
      <c r="CW213">
        <v>53.629001772002397</v>
      </c>
      <c r="CX213">
        <v>703.53359999999998</v>
      </c>
      <c r="CY213">
        <v>414.13679999999999</v>
      </c>
      <c r="CZ213">
        <v>141.49080000000001</v>
      </c>
      <c r="DA213">
        <v>0</v>
      </c>
      <c r="DE213">
        <v>654</v>
      </c>
      <c r="DF213" t="s">
        <v>57</v>
      </c>
      <c r="DG213">
        <v>5451</v>
      </c>
      <c r="DH213">
        <v>5426</v>
      </c>
      <c r="DI213">
        <v>5376</v>
      </c>
      <c r="DJ213">
        <v>5282</v>
      </c>
      <c r="DK213">
        <v>5228</v>
      </c>
      <c r="DO213">
        <v>585</v>
      </c>
      <c r="DP213" t="s">
        <v>812</v>
      </c>
      <c r="DQ213">
        <v>12843</v>
      </c>
      <c r="DR213">
        <v>1.35</v>
      </c>
      <c r="DS213">
        <v>660</v>
      </c>
      <c r="DV213">
        <v>815</v>
      </c>
      <c r="DW213" t="s">
        <v>204</v>
      </c>
      <c r="DX213">
        <v>1328.53965401033</v>
      </c>
      <c r="DY213">
        <v>209</v>
      </c>
      <c r="DZ213">
        <v>207</v>
      </c>
      <c r="EA213">
        <v>106</v>
      </c>
      <c r="EB213">
        <v>794</v>
      </c>
      <c r="EC213">
        <v>457</v>
      </c>
      <c r="ED213">
        <v>172</v>
      </c>
      <c r="EE213" s="82">
        <v>0.190963568552417</v>
      </c>
      <c r="EF213" s="82">
        <v>0.45316433785906901</v>
      </c>
    </row>
    <row r="214" spans="1:136" x14ac:dyDescent="0.35">
      <c r="A214" s="72">
        <v>537</v>
      </c>
      <c r="B214" s="72">
        <v>8</v>
      </c>
      <c r="D214" s="72" t="s">
        <v>166</v>
      </c>
      <c r="E214" s="79">
        <v>6181200000</v>
      </c>
      <c r="F214" s="79">
        <v>791700000</v>
      </c>
      <c r="G214" s="79">
        <v>817250000</v>
      </c>
      <c r="H214" s="79">
        <v>65302</v>
      </c>
      <c r="I214" s="79">
        <v>1</v>
      </c>
      <c r="J214" s="79">
        <v>817.25</v>
      </c>
      <c r="K214" s="79">
        <v>14768</v>
      </c>
      <c r="L214" s="79">
        <v>11487</v>
      </c>
      <c r="M214" s="79">
        <v>3577</v>
      </c>
      <c r="N214" s="79">
        <v>7297</v>
      </c>
      <c r="O214" s="79">
        <v>4607.7</v>
      </c>
      <c r="P214" s="79">
        <v>889.33333333333303</v>
      </c>
      <c r="Q214" s="79">
        <v>3332.3333333333298</v>
      </c>
      <c r="R214" s="79">
        <v>1705</v>
      </c>
      <c r="S214" s="79">
        <v>0</v>
      </c>
      <c r="T214" s="79">
        <v>1599</v>
      </c>
      <c r="U214" s="79">
        <v>27453</v>
      </c>
      <c r="V214" s="79">
        <v>67010</v>
      </c>
      <c r="W214" s="79">
        <v>50020</v>
      </c>
      <c r="X214" s="79">
        <v>1090.46</v>
      </c>
      <c r="Y214" s="79">
        <v>1865.6</v>
      </c>
      <c r="Z214" s="79">
        <v>0</v>
      </c>
      <c r="AA214" s="79">
        <v>0</v>
      </c>
      <c r="AB214" s="79">
        <v>0</v>
      </c>
      <c r="AC214" s="79">
        <v>2480</v>
      </c>
      <c r="AD214" s="79">
        <v>2480</v>
      </c>
      <c r="AE214" s="79">
        <v>166</v>
      </c>
      <c r="AF214" s="79">
        <v>469</v>
      </c>
      <c r="AG214" s="79">
        <v>298</v>
      </c>
      <c r="AH214" s="79">
        <v>259</v>
      </c>
      <c r="AI214" s="79">
        <v>39</v>
      </c>
      <c r="AJ214" s="79">
        <v>26893</v>
      </c>
      <c r="AK214" s="79">
        <v>26893</v>
      </c>
      <c r="AL214" s="79">
        <v>0</v>
      </c>
      <c r="AM214" s="79">
        <v>0</v>
      </c>
      <c r="AN214" s="79">
        <v>0</v>
      </c>
      <c r="AO214" s="79">
        <v>0</v>
      </c>
      <c r="AP214" s="79">
        <v>5004</v>
      </c>
      <c r="AQ214" s="79">
        <v>0</v>
      </c>
      <c r="AR214" s="80">
        <v>8.0005500000000004E-4</v>
      </c>
      <c r="AS214" s="80">
        <v>1.928201E-3</v>
      </c>
      <c r="AT214" s="79">
        <v>57927.521999999997</v>
      </c>
      <c r="AU214" s="79">
        <v>0</v>
      </c>
      <c r="AV214" s="79">
        <v>1447</v>
      </c>
      <c r="AW214" s="79">
        <v>35711.260015117201</v>
      </c>
      <c r="AX214" s="79">
        <v>4</v>
      </c>
      <c r="AY214" s="79">
        <v>4</v>
      </c>
      <c r="AZ214" s="79">
        <v>5417</v>
      </c>
      <c r="BA214" s="79">
        <v>1</v>
      </c>
      <c r="BB214" s="79">
        <v>0</v>
      </c>
      <c r="BC214" s="79">
        <v>0</v>
      </c>
      <c r="BD214" s="79">
        <v>0</v>
      </c>
      <c r="BE214" s="79">
        <v>0</v>
      </c>
      <c r="BF214" s="79">
        <v>0</v>
      </c>
      <c r="BG214" s="79">
        <v>0</v>
      </c>
      <c r="BH214" s="79">
        <v>0</v>
      </c>
      <c r="BI214" s="79">
        <v>0</v>
      </c>
      <c r="BJ214" s="79">
        <v>0</v>
      </c>
      <c r="BK214" s="79">
        <v>34</v>
      </c>
      <c r="BL214" s="79">
        <v>7982</v>
      </c>
      <c r="BM214" s="79">
        <v>259</v>
      </c>
      <c r="BN214" s="79">
        <v>39</v>
      </c>
      <c r="BO214">
        <v>14831</v>
      </c>
      <c r="BP214">
        <v>2416</v>
      </c>
      <c r="BQ214">
        <v>14747</v>
      </c>
      <c r="BR214">
        <v>2325</v>
      </c>
      <c r="BS214">
        <v>14613</v>
      </c>
      <c r="BT214">
        <v>2301</v>
      </c>
      <c r="BU214">
        <v>14758</v>
      </c>
      <c r="BV214">
        <v>2309</v>
      </c>
      <c r="BW214">
        <v>14729</v>
      </c>
      <c r="BX214">
        <v>2341</v>
      </c>
      <c r="BY214">
        <v>14693</v>
      </c>
      <c r="BZ214">
        <v>2175</v>
      </c>
      <c r="CB214">
        <v>1137.136</v>
      </c>
      <c r="CC214">
        <v>439</v>
      </c>
      <c r="CD214">
        <v>221</v>
      </c>
      <c r="CE214">
        <v>17847.28</v>
      </c>
      <c r="CF214">
        <v>5104.7299999999996</v>
      </c>
      <c r="CG214">
        <v>583.45472286176403</v>
      </c>
      <c r="CH214">
        <v>625</v>
      </c>
      <c r="CI214">
        <v>285</v>
      </c>
      <c r="CJ214">
        <v>247.666666666667</v>
      </c>
      <c r="CK214" s="81">
        <v>2443</v>
      </c>
      <c r="CL214">
        <v>757</v>
      </c>
      <c r="CM214">
        <v>9787.6453967216203</v>
      </c>
      <c r="CN214">
        <v>1.206</v>
      </c>
      <c r="CO214">
        <v>53815</v>
      </c>
      <c r="CP214">
        <v>6750</v>
      </c>
      <c r="CQ214">
        <v>1160</v>
      </c>
      <c r="CR214">
        <v>1412</v>
      </c>
      <c r="CS214">
        <v>1293</v>
      </c>
      <c r="CT214">
        <v>600</v>
      </c>
      <c r="CU214">
        <v>724.23113449596599</v>
      </c>
      <c r="CV214">
        <v>441.01512661287302</v>
      </c>
      <c r="CW214">
        <v>142.379009407653</v>
      </c>
      <c r="CX214">
        <v>1865.7978000000001</v>
      </c>
      <c r="CY214">
        <v>1136.1636000000001</v>
      </c>
      <c r="CZ214">
        <v>366.80340000000001</v>
      </c>
      <c r="DA214">
        <v>117214</v>
      </c>
      <c r="DE214">
        <v>664</v>
      </c>
      <c r="DF214" t="s">
        <v>116</v>
      </c>
      <c r="DG214">
        <v>7508</v>
      </c>
      <c r="DH214">
        <v>7323</v>
      </c>
      <c r="DI214">
        <v>7269</v>
      </c>
      <c r="DJ214">
        <v>7259</v>
      </c>
      <c r="DK214">
        <v>7149</v>
      </c>
      <c r="DO214">
        <v>1901</v>
      </c>
      <c r="DP214" t="s">
        <v>53</v>
      </c>
      <c r="DQ214">
        <v>14534</v>
      </c>
      <c r="DR214">
        <v>1.38</v>
      </c>
      <c r="DS214">
        <v>1105</v>
      </c>
      <c r="DV214">
        <v>1709</v>
      </c>
      <c r="DW214" t="s">
        <v>205</v>
      </c>
      <c r="DX214">
        <v>4477.6715039577803</v>
      </c>
      <c r="DY214">
        <v>877</v>
      </c>
      <c r="DZ214">
        <v>824</v>
      </c>
      <c r="EA214">
        <v>405</v>
      </c>
      <c r="EB214">
        <v>2916</v>
      </c>
      <c r="EC214">
        <v>1657</v>
      </c>
      <c r="ED214">
        <v>560</v>
      </c>
      <c r="EE214" s="82">
        <v>0.17327870027206499</v>
      </c>
      <c r="EF214" s="82">
        <v>0.42241600566415499</v>
      </c>
    </row>
    <row r="215" spans="1:136" x14ac:dyDescent="0.35">
      <c r="A215" s="72">
        <v>542</v>
      </c>
      <c r="B215" s="72">
        <v>8</v>
      </c>
      <c r="D215" s="72" t="s">
        <v>169</v>
      </c>
      <c r="E215" s="79">
        <v>2453600000</v>
      </c>
      <c r="F215" s="79">
        <v>318150000</v>
      </c>
      <c r="G215" s="79">
        <v>321300000</v>
      </c>
      <c r="H215" s="79">
        <v>29376</v>
      </c>
      <c r="I215" s="79">
        <v>1</v>
      </c>
      <c r="J215" s="79">
        <v>321.3</v>
      </c>
      <c r="K215" s="79">
        <v>6263</v>
      </c>
      <c r="L215" s="79">
        <v>7037</v>
      </c>
      <c r="M215" s="79">
        <v>2433</v>
      </c>
      <c r="N215" s="79">
        <v>3404</v>
      </c>
      <c r="O215" s="79">
        <v>2146.9</v>
      </c>
      <c r="P215" s="79">
        <v>507</v>
      </c>
      <c r="Q215" s="79">
        <v>1470</v>
      </c>
      <c r="R215" s="79">
        <v>1455</v>
      </c>
      <c r="S215" s="79">
        <v>0</v>
      </c>
      <c r="T215" s="79">
        <v>988</v>
      </c>
      <c r="U215" s="79">
        <v>12807</v>
      </c>
      <c r="V215" s="79">
        <v>24900</v>
      </c>
      <c r="W215" s="79">
        <v>6130</v>
      </c>
      <c r="X215" s="79">
        <v>0</v>
      </c>
      <c r="Y215" s="79">
        <v>1016.8</v>
      </c>
      <c r="Z215" s="79">
        <v>0</v>
      </c>
      <c r="AA215" s="79">
        <v>0</v>
      </c>
      <c r="AB215" s="79">
        <v>0</v>
      </c>
      <c r="AC215" s="79">
        <v>767</v>
      </c>
      <c r="AD215" s="79">
        <v>1081.47</v>
      </c>
      <c r="AE215" s="79">
        <v>128</v>
      </c>
      <c r="AF215" s="79">
        <v>0</v>
      </c>
      <c r="AG215" s="79">
        <v>128</v>
      </c>
      <c r="AH215" s="79">
        <v>168.98</v>
      </c>
      <c r="AI215" s="79">
        <v>12.24</v>
      </c>
      <c r="AJ215" s="79">
        <v>12571</v>
      </c>
      <c r="AK215" s="79">
        <v>17850.82</v>
      </c>
      <c r="AL215" s="79">
        <v>0</v>
      </c>
      <c r="AM215" s="79">
        <v>0</v>
      </c>
      <c r="AN215" s="79">
        <v>0</v>
      </c>
      <c r="AO215" s="79">
        <v>0</v>
      </c>
      <c r="AP215" s="79">
        <v>925</v>
      </c>
      <c r="AQ215" s="79">
        <v>0</v>
      </c>
      <c r="AR215" s="80">
        <v>2.0524200000000001E-4</v>
      </c>
      <c r="AS215" s="80">
        <v>6.2073200000000003E-4</v>
      </c>
      <c r="AT215" s="79">
        <v>24563.734</v>
      </c>
      <c r="AU215" s="79">
        <v>0</v>
      </c>
      <c r="AV215" s="79">
        <v>1218.24</v>
      </c>
      <c r="AW215" s="79">
        <v>119956.48572067</v>
      </c>
      <c r="AX215" s="79">
        <v>1</v>
      </c>
      <c r="AY215" s="79">
        <v>1.36</v>
      </c>
      <c r="AZ215" s="79">
        <v>2547</v>
      </c>
      <c r="BA215" s="79">
        <v>1</v>
      </c>
      <c r="BB215" s="79">
        <v>0</v>
      </c>
      <c r="BC215" s="79">
        <v>0</v>
      </c>
      <c r="BD215" s="79">
        <v>0</v>
      </c>
      <c r="BE215" s="79">
        <v>0</v>
      </c>
      <c r="BF215" s="79">
        <v>0</v>
      </c>
      <c r="BG215" s="79">
        <v>0</v>
      </c>
      <c r="BH215" s="79">
        <v>0</v>
      </c>
      <c r="BI215" s="79">
        <v>0</v>
      </c>
      <c r="BJ215" s="79">
        <v>0</v>
      </c>
      <c r="BK215" s="79">
        <v>18</v>
      </c>
      <c r="BL215" s="79">
        <v>3738</v>
      </c>
      <c r="BM215" s="79">
        <v>119</v>
      </c>
      <c r="BN215" s="79">
        <v>9</v>
      </c>
      <c r="BO215">
        <v>6443</v>
      </c>
      <c r="BP215">
        <v>1415</v>
      </c>
      <c r="BQ215">
        <v>6432</v>
      </c>
      <c r="BR215">
        <v>1374</v>
      </c>
      <c r="BS215">
        <v>6320</v>
      </c>
      <c r="BT215">
        <v>1358</v>
      </c>
      <c r="BU215">
        <v>6315</v>
      </c>
      <c r="BV215">
        <v>1375</v>
      </c>
      <c r="BW215">
        <v>6303</v>
      </c>
      <c r="BX215">
        <v>1351</v>
      </c>
      <c r="BY215">
        <v>6260</v>
      </c>
      <c r="BZ215">
        <v>1335</v>
      </c>
      <c r="CB215">
        <v>538.61800000000005</v>
      </c>
      <c r="CC215">
        <v>108</v>
      </c>
      <c r="CD215">
        <v>50</v>
      </c>
      <c r="CE215">
        <v>9016.9599999999991</v>
      </c>
      <c r="CF215">
        <v>2255.61</v>
      </c>
      <c r="CG215">
        <v>226.24522061720299</v>
      </c>
      <c r="CH215">
        <v>371</v>
      </c>
      <c r="CI215">
        <v>175.333333333333</v>
      </c>
      <c r="CJ215">
        <v>172.333333333333</v>
      </c>
      <c r="CK215" s="81">
        <v>963</v>
      </c>
      <c r="CL215">
        <v>272</v>
      </c>
      <c r="CM215">
        <v>4414.91331727129</v>
      </c>
      <c r="CN215">
        <v>1.042</v>
      </c>
      <c r="CO215">
        <v>22339</v>
      </c>
      <c r="CP215">
        <v>3713</v>
      </c>
      <c r="CQ215">
        <v>891</v>
      </c>
      <c r="CR215">
        <v>733</v>
      </c>
      <c r="CS215">
        <v>786</v>
      </c>
      <c r="CT215">
        <v>433</v>
      </c>
      <c r="CU215">
        <v>384.94253440458198</v>
      </c>
      <c r="CV215">
        <v>289.64620157505402</v>
      </c>
      <c r="CW215">
        <v>111.520618884735</v>
      </c>
      <c r="CX215">
        <v>894.83799999999997</v>
      </c>
      <c r="CY215">
        <v>673.31200000000001</v>
      </c>
      <c r="CZ215">
        <v>259.24099999999999</v>
      </c>
      <c r="DA215">
        <v>0</v>
      </c>
      <c r="DE215">
        <v>668</v>
      </c>
      <c r="DF215" t="s">
        <v>335</v>
      </c>
      <c r="DG215">
        <v>4035</v>
      </c>
      <c r="DH215">
        <v>4008</v>
      </c>
      <c r="DI215">
        <v>3885</v>
      </c>
      <c r="DJ215">
        <v>3839</v>
      </c>
      <c r="DK215">
        <v>3760</v>
      </c>
      <c r="DO215">
        <v>501</v>
      </c>
      <c r="DP215" t="s">
        <v>61</v>
      </c>
      <c r="DQ215">
        <v>7973</v>
      </c>
      <c r="DR215">
        <v>1.22</v>
      </c>
      <c r="DS215">
        <v>868</v>
      </c>
      <c r="DV215">
        <v>1927</v>
      </c>
      <c r="DW215" t="s">
        <v>817</v>
      </c>
      <c r="DX215">
        <v>2570.7420284465902</v>
      </c>
      <c r="DY215">
        <v>516</v>
      </c>
      <c r="DZ215">
        <v>472</v>
      </c>
      <c r="EA215">
        <v>261</v>
      </c>
      <c r="EB215">
        <v>1852</v>
      </c>
      <c r="EC215">
        <v>1032</v>
      </c>
      <c r="ED215">
        <v>373</v>
      </c>
      <c r="EE215" s="82">
        <v>0.12873405360321999</v>
      </c>
      <c r="EF215" s="82">
        <v>0.38309035837626698</v>
      </c>
    </row>
    <row r="216" spans="1:136" x14ac:dyDescent="0.35">
      <c r="A216" s="72">
        <v>1931</v>
      </c>
      <c r="B216" s="72">
        <v>8</v>
      </c>
      <c r="D216" s="72" t="s">
        <v>170</v>
      </c>
      <c r="E216" s="79">
        <v>4835600000</v>
      </c>
      <c r="F216" s="79">
        <v>666400000</v>
      </c>
      <c r="G216" s="79">
        <v>717500000</v>
      </c>
      <c r="H216" s="79">
        <v>56048</v>
      </c>
      <c r="I216" s="79">
        <v>9</v>
      </c>
      <c r="J216" s="79">
        <v>717.5</v>
      </c>
      <c r="K216" s="79">
        <v>11621</v>
      </c>
      <c r="L216" s="79">
        <v>11681</v>
      </c>
      <c r="M216" s="79">
        <v>3699</v>
      </c>
      <c r="N216" s="79">
        <v>6251</v>
      </c>
      <c r="O216" s="79">
        <v>3861.5</v>
      </c>
      <c r="P216" s="79">
        <v>686.66666666666697</v>
      </c>
      <c r="Q216" s="79">
        <v>2518.6666666666702</v>
      </c>
      <c r="R216" s="79">
        <v>2115</v>
      </c>
      <c r="S216" s="79">
        <v>0</v>
      </c>
      <c r="T216" s="79">
        <v>1335</v>
      </c>
      <c r="U216" s="79">
        <v>24160</v>
      </c>
      <c r="V216" s="79">
        <v>40660</v>
      </c>
      <c r="W216" s="79">
        <v>3450</v>
      </c>
      <c r="X216" s="79">
        <v>0</v>
      </c>
      <c r="Y216" s="79">
        <v>2702.4</v>
      </c>
      <c r="Z216" s="79">
        <v>0</v>
      </c>
      <c r="AA216" s="79">
        <v>0</v>
      </c>
      <c r="AB216" s="79">
        <v>0</v>
      </c>
      <c r="AC216" s="79">
        <v>14905</v>
      </c>
      <c r="AD216" s="79">
        <v>23997.05</v>
      </c>
      <c r="AE216" s="79">
        <v>1226</v>
      </c>
      <c r="AF216" s="79">
        <v>0</v>
      </c>
      <c r="AG216" s="79">
        <v>380</v>
      </c>
      <c r="AH216" s="79">
        <v>424.65</v>
      </c>
      <c r="AI216" s="79">
        <v>156.47999999999999</v>
      </c>
      <c r="AJ216" s="79">
        <v>23895</v>
      </c>
      <c r="AK216" s="79">
        <v>35603.550000000003</v>
      </c>
      <c r="AL216" s="79">
        <v>15</v>
      </c>
      <c r="AM216" s="79">
        <v>0</v>
      </c>
      <c r="AN216" s="79">
        <v>0</v>
      </c>
      <c r="AO216" s="79">
        <v>3000</v>
      </c>
      <c r="AP216" s="79">
        <v>3668</v>
      </c>
      <c r="AQ216" s="79">
        <v>1194</v>
      </c>
      <c r="AR216" s="80">
        <v>1.099844E-3</v>
      </c>
      <c r="AS216" s="80">
        <v>6.4869999999999999E-4</v>
      </c>
      <c r="AT216" s="79">
        <v>18638.099999999999</v>
      </c>
      <c r="AU216" s="79">
        <v>0</v>
      </c>
      <c r="AV216" s="79">
        <v>31771.74</v>
      </c>
      <c r="AW216" s="79">
        <v>321164.38654516201</v>
      </c>
      <c r="AX216" s="79">
        <v>24</v>
      </c>
      <c r="AY216" s="79">
        <v>39.119999999999997</v>
      </c>
      <c r="AZ216" s="79">
        <v>6374</v>
      </c>
      <c r="BA216" s="79">
        <v>1</v>
      </c>
      <c r="BB216" s="79">
        <v>0</v>
      </c>
      <c r="BC216" s="79">
        <v>0</v>
      </c>
      <c r="BD216" s="79">
        <v>0</v>
      </c>
      <c r="BE216" s="79">
        <v>0</v>
      </c>
      <c r="BF216" s="79">
        <v>0</v>
      </c>
      <c r="BG216" s="79">
        <v>0</v>
      </c>
      <c r="BH216" s="79">
        <v>0</v>
      </c>
      <c r="BI216" s="79">
        <v>0</v>
      </c>
      <c r="BJ216" s="79">
        <v>0</v>
      </c>
      <c r="BK216" s="79">
        <v>42</v>
      </c>
      <c r="BL216" s="79">
        <v>7191</v>
      </c>
      <c r="BM216" s="79">
        <v>285</v>
      </c>
      <c r="BN216" s="79">
        <v>96</v>
      </c>
      <c r="BO216">
        <v>12321</v>
      </c>
      <c r="BP216">
        <v>3245</v>
      </c>
      <c r="BQ216">
        <v>12173</v>
      </c>
      <c r="BR216">
        <v>3368</v>
      </c>
      <c r="BS216">
        <v>12046</v>
      </c>
      <c r="BT216">
        <v>3390</v>
      </c>
      <c r="BU216">
        <v>11901</v>
      </c>
      <c r="BV216">
        <v>3491</v>
      </c>
      <c r="BW216">
        <v>11839</v>
      </c>
      <c r="BX216">
        <v>3577</v>
      </c>
      <c r="BY216">
        <v>11659</v>
      </c>
      <c r="BZ216">
        <v>3690</v>
      </c>
      <c r="CB216">
        <v>906.43799999999999</v>
      </c>
      <c r="CC216">
        <v>240</v>
      </c>
      <c r="CD216">
        <v>145</v>
      </c>
      <c r="CE216">
        <v>17454.38</v>
      </c>
      <c r="CF216">
        <v>4384.8</v>
      </c>
      <c r="CG216">
        <v>399.49863161022</v>
      </c>
      <c r="CH216">
        <v>518</v>
      </c>
      <c r="CI216">
        <v>214</v>
      </c>
      <c r="CJ216">
        <v>148.333333333333</v>
      </c>
      <c r="CK216" s="81">
        <v>1832</v>
      </c>
      <c r="CL216">
        <v>586</v>
      </c>
      <c r="CM216">
        <v>7397.7658082813396</v>
      </c>
      <c r="CN216">
        <v>0.81899999999999995</v>
      </c>
      <c r="CO216">
        <v>44367</v>
      </c>
      <c r="CP216">
        <v>6674</v>
      </c>
      <c r="CQ216">
        <v>1308</v>
      </c>
      <c r="CR216">
        <v>1212</v>
      </c>
      <c r="CS216">
        <v>1169</v>
      </c>
      <c r="CT216">
        <v>654</v>
      </c>
      <c r="CU216">
        <v>655.29953965264701</v>
      </c>
      <c r="CV216">
        <v>420.32900188323902</v>
      </c>
      <c r="CW216">
        <v>151.09866080770001</v>
      </c>
      <c r="CX216">
        <v>1567.2574999999999</v>
      </c>
      <c r="CY216">
        <v>1005.2865</v>
      </c>
      <c r="CZ216">
        <v>361.3775</v>
      </c>
      <c r="DA216">
        <v>50916</v>
      </c>
      <c r="DE216">
        <v>677</v>
      </c>
      <c r="DF216" t="s">
        <v>161</v>
      </c>
      <c r="DG216">
        <v>5553</v>
      </c>
      <c r="DH216">
        <v>5458</v>
      </c>
      <c r="DI216">
        <v>5318</v>
      </c>
      <c r="DJ216">
        <v>5254</v>
      </c>
      <c r="DK216">
        <v>5126</v>
      </c>
      <c r="DO216">
        <v>502</v>
      </c>
      <c r="DP216" t="s">
        <v>68</v>
      </c>
      <c r="DQ216">
        <v>30924</v>
      </c>
      <c r="DR216">
        <v>1.44</v>
      </c>
      <c r="DS216">
        <v>2263</v>
      </c>
      <c r="DV216">
        <v>1955</v>
      </c>
      <c r="DW216" t="s">
        <v>207</v>
      </c>
      <c r="DX216">
        <v>4843.5058373458196</v>
      </c>
      <c r="DY216">
        <v>888</v>
      </c>
      <c r="DZ216">
        <v>833</v>
      </c>
      <c r="EA216">
        <v>407</v>
      </c>
      <c r="EB216">
        <v>2851</v>
      </c>
      <c r="EC216">
        <v>1830</v>
      </c>
      <c r="ED216">
        <v>573</v>
      </c>
      <c r="EE216" s="82">
        <v>0.20583480692971001</v>
      </c>
      <c r="EF216" s="82">
        <v>0.50750240615976905</v>
      </c>
    </row>
    <row r="217" spans="1:136" x14ac:dyDescent="0.35">
      <c r="A217" s="72">
        <v>1621</v>
      </c>
      <c r="B217" s="72">
        <v>8</v>
      </c>
      <c r="D217" s="72" t="s">
        <v>176</v>
      </c>
      <c r="E217" s="79">
        <v>6085600000</v>
      </c>
      <c r="F217" s="79">
        <v>1069950000</v>
      </c>
      <c r="G217" s="79">
        <v>1083600000</v>
      </c>
      <c r="H217" s="79">
        <v>61601</v>
      </c>
      <c r="I217" s="79">
        <v>2</v>
      </c>
      <c r="J217" s="79">
        <v>1083.5999999999999</v>
      </c>
      <c r="K217" s="79">
        <v>15827</v>
      </c>
      <c r="L217" s="79">
        <v>9284</v>
      </c>
      <c r="M217" s="79">
        <v>2882</v>
      </c>
      <c r="N217" s="79">
        <v>4355</v>
      </c>
      <c r="O217" s="79">
        <v>1964.8</v>
      </c>
      <c r="P217" s="79">
        <v>589.33333333333303</v>
      </c>
      <c r="Q217" s="79">
        <v>2176.3333333333298</v>
      </c>
      <c r="R217" s="79">
        <v>4200</v>
      </c>
      <c r="S217" s="79">
        <v>0</v>
      </c>
      <c r="T217" s="79">
        <v>1893</v>
      </c>
      <c r="U217" s="79">
        <v>24038</v>
      </c>
      <c r="V217" s="79">
        <v>50730</v>
      </c>
      <c r="W217" s="79">
        <v>18280</v>
      </c>
      <c r="X217" s="79">
        <v>0</v>
      </c>
      <c r="Y217" s="79">
        <v>3375.2</v>
      </c>
      <c r="Z217" s="79">
        <v>0</v>
      </c>
      <c r="AA217" s="79">
        <v>860.4</v>
      </c>
      <c r="AB217" s="79">
        <v>1782.5</v>
      </c>
      <c r="AC217" s="79">
        <v>5325</v>
      </c>
      <c r="AD217" s="79">
        <v>6816</v>
      </c>
      <c r="AE217" s="79">
        <v>312</v>
      </c>
      <c r="AF217" s="79">
        <v>0</v>
      </c>
      <c r="AG217" s="79">
        <v>384</v>
      </c>
      <c r="AH217" s="79">
        <v>357.5</v>
      </c>
      <c r="AI217" s="79">
        <v>138.24</v>
      </c>
      <c r="AJ217" s="79">
        <v>23902</v>
      </c>
      <c r="AK217" s="79">
        <v>31072.6</v>
      </c>
      <c r="AL217" s="79">
        <v>0</v>
      </c>
      <c r="AM217" s="79">
        <v>0</v>
      </c>
      <c r="AN217" s="79">
        <v>0</v>
      </c>
      <c r="AO217" s="79">
        <v>0</v>
      </c>
      <c r="AP217" s="79">
        <v>501</v>
      </c>
      <c r="AQ217" s="79">
        <v>0</v>
      </c>
      <c r="AR217" s="80">
        <v>1.67963E-4</v>
      </c>
      <c r="AS217" s="80">
        <v>1.50531E-4</v>
      </c>
      <c r="AT217" s="79">
        <v>30714.07</v>
      </c>
      <c r="AU217" s="79">
        <v>0</v>
      </c>
      <c r="AV217" s="79">
        <v>5432.32</v>
      </c>
      <c r="AW217" s="79">
        <v>96152.199879368505</v>
      </c>
      <c r="AX217" s="79">
        <v>7</v>
      </c>
      <c r="AY217" s="79">
        <v>8.9600000000000009</v>
      </c>
      <c r="AZ217" s="79">
        <v>7442</v>
      </c>
      <c r="BA217" s="79">
        <v>1</v>
      </c>
      <c r="BB217" s="79">
        <v>0</v>
      </c>
      <c r="BC217" s="79">
        <v>0</v>
      </c>
      <c r="BD217" s="79">
        <v>0</v>
      </c>
      <c r="BE217" s="79">
        <v>0</v>
      </c>
      <c r="BF217" s="79">
        <v>0</v>
      </c>
      <c r="BG217" s="79">
        <v>0</v>
      </c>
      <c r="BH217" s="79">
        <v>0</v>
      </c>
      <c r="BI217" s="79">
        <v>0</v>
      </c>
      <c r="BJ217" s="79">
        <v>0</v>
      </c>
      <c r="BK217" s="79">
        <v>21</v>
      </c>
      <c r="BL217" s="79">
        <v>5310</v>
      </c>
      <c r="BM217" s="79">
        <v>275</v>
      </c>
      <c r="BN217" s="79">
        <v>108</v>
      </c>
      <c r="BO217">
        <v>13606</v>
      </c>
      <c r="BP217">
        <v>2215</v>
      </c>
      <c r="BQ217">
        <v>13990</v>
      </c>
      <c r="BR217">
        <v>2545</v>
      </c>
      <c r="BS217">
        <v>14384</v>
      </c>
      <c r="BT217">
        <v>2875</v>
      </c>
      <c r="BU217">
        <v>14676</v>
      </c>
      <c r="BV217">
        <v>3161</v>
      </c>
      <c r="BW217">
        <v>15000</v>
      </c>
      <c r="BX217">
        <v>3442</v>
      </c>
      <c r="BY217">
        <v>15144</v>
      </c>
      <c r="BZ217">
        <v>3634</v>
      </c>
      <c r="CB217">
        <v>1012.928</v>
      </c>
      <c r="CC217">
        <v>90</v>
      </c>
      <c r="CD217">
        <v>119</v>
      </c>
      <c r="CE217">
        <v>20707.28</v>
      </c>
      <c r="CF217">
        <v>7230.13</v>
      </c>
      <c r="CG217">
        <v>534.07984129429894</v>
      </c>
      <c r="CH217">
        <v>778</v>
      </c>
      <c r="CI217">
        <v>239.333333333333</v>
      </c>
      <c r="CJ217">
        <v>165</v>
      </c>
      <c r="CK217" s="81">
        <v>1587</v>
      </c>
      <c r="CL217">
        <v>351</v>
      </c>
      <c r="CM217">
        <v>5154.5120657237203</v>
      </c>
      <c r="CN217">
        <v>0.309</v>
      </c>
      <c r="CO217">
        <v>52317</v>
      </c>
      <c r="CP217">
        <v>5369</v>
      </c>
      <c r="CQ217">
        <v>1033</v>
      </c>
      <c r="CR217">
        <v>981</v>
      </c>
      <c r="CS217">
        <v>857</v>
      </c>
      <c r="CT217">
        <v>470</v>
      </c>
      <c r="CU217">
        <v>266.582143753661</v>
      </c>
      <c r="CV217">
        <v>163.66483139486201</v>
      </c>
      <c r="CW217">
        <v>59.350079491255997</v>
      </c>
      <c r="CX217">
        <v>923.60640000000001</v>
      </c>
      <c r="CY217">
        <v>567.03679999999997</v>
      </c>
      <c r="CZ217">
        <v>205.62559999999999</v>
      </c>
      <c r="DA217">
        <v>23549</v>
      </c>
      <c r="DE217">
        <v>678</v>
      </c>
      <c r="DF217" t="s">
        <v>165</v>
      </c>
      <c r="DG217">
        <v>3077</v>
      </c>
      <c r="DH217">
        <v>3070</v>
      </c>
      <c r="DI217">
        <v>3024</v>
      </c>
      <c r="DJ217">
        <v>3030</v>
      </c>
      <c r="DK217">
        <v>2997</v>
      </c>
      <c r="DO217">
        <v>611</v>
      </c>
      <c r="DP217" t="s">
        <v>813</v>
      </c>
      <c r="DQ217">
        <v>5649</v>
      </c>
      <c r="DR217">
        <v>1.2</v>
      </c>
      <c r="DS217">
        <v>655</v>
      </c>
      <c r="DV217">
        <v>335</v>
      </c>
      <c r="DW217" t="s">
        <v>208</v>
      </c>
      <c r="DX217">
        <v>1241.98738965952</v>
      </c>
      <c r="DY217">
        <v>282</v>
      </c>
      <c r="DZ217">
        <v>255</v>
      </c>
      <c r="EA217">
        <v>115</v>
      </c>
      <c r="EB217">
        <v>996</v>
      </c>
      <c r="EC217">
        <v>575</v>
      </c>
      <c r="ED217">
        <v>153</v>
      </c>
      <c r="EE217" s="82">
        <v>0.115997806897308</v>
      </c>
      <c r="EF217" s="82">
        <v>0.33432256961095702</v>
      </c>
    </row>
    <row r="218" spans="1:136" x14ac:dyDescent="0.35">
      <c r="A218" s="72">
        <v>546</v>
      </c>
      <c r="B218" s="72">
        <v>8</v>
      </c>
      <c r="D218" s="72" t="s">
        <v>179</v>
      </c>
      <c r="E218" s="79">
        <v>12494000000</v>
      </c>
      <c r="F218" s="79">
        <v>2079350000</v>
      </c>
      <c r="G218" s="79">
        <v>2112250000</v>
      </c>
      <c r="H218" s="79">
        <v>124899</v>
      </c>
      <c r="I218" s="79">
        <v>1</v>
      </c>
      <c r="J218" s="79">
        <v>2112.25</v>
      </c>
      <c r="K218" s="79">
        <v>19804</v>
      </c>
      <c r="L218" s="79">
        <v>18874</v>
      </c>
      <c r="M218" s="79">
        <v>5428</v>
      </c>
      <c r="N218" s="79">
        <v>18526</v>
      </c>
      <c r="O218" s="79">
        <v>12273.2</v>
      </c>
      <c r="P218" s="79">
        <v>3525.3333333333298</v>
      </c>
      <c r="Q218" s="79">
        <v>8668.3333333333394</v>
      </c>
      <c r="R218" s="79">
        <v>11850</v>
      </c>
      <c r="S218" s="79">
        <v>0</v>
      </c>
      <c r="T218" s="79">
        <v>3773</v>
      </c>
      <c r="U218" s="79">
        <v>69666</v>
      </c>
      <c r="V218" s="79">
        <v>148300</v>
      </c>
      <c r="W218" s="79">
        <v>160630</v>
      </c>
      <c r="X218" s="79">
        <v>4749.1400000000003</v>
      </c>
      <c r="Y218" s="79">
        <v>8624</v>
      </c>
      <c r="Z218" s="79">
        <v>0</v>
      </c>
      <c r="AA218" s="79">
        <v>0</v>
      </c>
      <c r="AB218" s="79">
        <v>0</v>
      </c>
      <c r="AC218" s="79">
        <v>2185</v>
      </c>
      <c r="AD218" s="79">
        <v>2556.4499999999998</v>
      </c>
      <c r="AE218" s="79">
        <v>142</v>
      </c>
      <c r="AF218" s="79">
        <v>0</v>
      </c>
      <c r="AG218" s="79">
        <v>419</v>
      </c>
      <c r="AH218" s="79">
        <v>474.95</v>
      </c>
      <c r="AI218" s="79">
        <v>7.5</v>
      </c>
      <c r="AJ218" s="79">
        <v>62528</v>
      </c>
      <c r="AK218" s="79">
        <v>71907.199999999997</v>
      </c>
      <c r="AL218" s="79">
        <v>0</v>
      </c>
      <c r="AM218" s="79">
        <v>0</v>
      </c>
      <c r="AN218" s="79">
        <v>125</v>
      </c>
      <c r="AO218" s="79">
        <v>21850</v>
      </c>
      <c r="AP218" s="79">
        <v>17166</v>
      </c>
      <c r="AQ218" s="79">
        <v>17166</v>
      </c>
      <c r="AR218" s="80">
        <v>1.1120166000000001E-2</v>
      </c>
      <c r="AS218" s="80">
        <v>1.0416431E-2</v>
      </c>
      <c r="AT218" s="79">
        <v>232916.8</v>
      </c>
      <c r="AU218" s="79">
        <v>20321.599999999999</v>
      </c>
      <c r="AV218" s="79">
        <v>2474.5500000000002</v>
      </c>
      <c r="AW218" s="79">
        <v>222745.853463687</v>
      </c>
      <c r="AX218" s="79">
        <v>1</v>
      </c>
      <c r="AY218" s="79">
        <v>1.25</v>
      </c>
      <c r="AZ218" s="79">
        <v>13009</v>
      </c>
      <c r="BA218" s="79">
        <v>1</v>
      </c>
      <c r="BB218" s="79">
        <v>0</v>
      </c>
      <c r="BC218" s="79">
        <v>0</v>
      </c>
      <c r="BD218" s="79">
        <v>0</v>
      </c>
      <c r="BE218" s="79">
        <v>0</v>
      </c>
      <c r="BF218" s="79">
        <v>0</v>
      </c>
      <c r="BG218" s="79">
        <v>0</v>
      </c>
      <c r="BH218" s="79">
        <v>0</v>
      </c>
      <c r="BI218" s="79">
        <v>0</v>
      </c>
      <c r="BJ218" s="79">
        <v>0</v>
      </c>
      <c r="BK218" s="79">
        <v>78</v>
      </c>
      <c r="BL218" s="79">
        <v>37195</v>
      </c>
      <c r="BM218" s="79">
        <v>413</v>
      </c>
      <c r="BN218" s="79">
        <v>6</v>
      </c>
      <c r="BO218">
        <v>20901</v>
      </c>
      <c r="BP218">
        <v>10296</v>
      </c>
      <c r="BQ218">
        <v>20835</v>
      </c>
      <c r="BR218">
        <v>10298</v>
      </c>
      <c r="BS218">
        <v>20691</v>
      </c>
      <c r="BT218">
        <v>10295</v>
      </c>
      <c r="BU218">
        <v>20693</v>
      </c>
      <c r="BV218">
        <v>10179</v>
      </c>
      <c r="BW218">
        <v>20526</v>
      </c>
      <c r="BX218">
        <v>10193</v>
      </c>
      <c r="BY218">
        <v>20342</v>
      </c>
      <c r="BZ218">
        <v>10247</v>
      </c>
      <c r="CB218">
        <v>2792.364</v>
      </c>
      <c r="CC218">
        <v>295</v>
      </c>
      <c r="CD218">
        <v>352</v>
      </c>
      <c r="CE218">
        <v>39072.93</v>
      </c>
      <c r="CF218">
        <v>8061.96</v>
      </c>
      <c r="CG218">
        <v>1056.1903321718901</v>
      </c>
      <c r="CH218">
        <v>1276</v>
      </c>
      <c r="CI218">
        <v>907</v>
      </c>
      <c r="CJ218">
        <v>790.33333333333303</v>
      </c>
      <c r="CK218" s="81">
        <v>5143</v>
      </c>
      <c r="CL218">
        <v>1648</v>
      </c>
      <c r="CM218">
        <v>13468.8042307096</v>
      </c>
      <c r="CN218">
        <v>7.7080000000000002</v>
      </c>
      <c r="CO218">
        <v>106025</v>
      </c>
      <c r="CP218">
        <v>11307</v>
      </c>
      <c r="CQ218">
        <v>2139</v>
      </c>
      <c r="CR218">
        <v>3410</v>
      </c>
      <c r="CS218">
        <v>2175</v>
      </c>
      <c r="CT218">
        <v>1182</v>
      </c>
      <c r="CU218">
        <v>1506.0814930910999</v>
      </c>
      <c r="CV218">
        <v>787.292176305015</v>
      </c>
      <c r="CW218">
        <v>308.36100946775798</v>
      </c>
      <c r="CX218">
        <v>3269.4652999999998</v>
      </c>
      <c r="CY218">
        <v>1709.0871</v>
      </c>
      <c r="CZ218">
        <v>669.40309999999999</v>
      </c>
      <c r="DA218">
        <v>52431</v>
      </c>
      <c r="DE218">
        <v>687</v>
      </c>
      <c r="DF218" t="s">
        <v>200</v>
      </c>
      <c r="DG218">
        <v>10143</v>
      </c>
      <c r="DH218">
        <v>10146</v>
      </c>
      <c r="DI218">
        <v>10052</v>
      </c>
      <c r="DJ218">
        <v>9947</v>
      </c>
      <c r="DK218">
        <v>9823</v>
      </c>
      <c r="DO218">
        <v>503</v>
      </c>
      <c r="DP218" t="s">
        <v>80</v>
      </c>
      <c r="DQ218">
        <v>53497</v>
      </c>
      <c r="DR218">
        <v>1.25</v>
      </c>
      <c r="DS218">
        <v>3440</v>
      </c>
      <c r="DV218">
        <v>944</v>
      </c>
      <c r="DW218" t="s">
        <v>209</v>
      </c>
      <c r="DX218">
        <v>819.12741982086095</v>
      </c>
      <c r="DY218">
        <v>218</v>
      </c>
      <c r="DZ218">
        <v>227</v>
      </c>
      <c r="EA218">
        <v>102</v>
      </c>
      <c r="EB218">
        <v>716</v>
      </c>
      <c r="EC218">
        <v>473</v>
      </c>
      <c r="ED218">
        <v>166</v>
      </c>
      <c r="EE218" s="82">
        <v>0.125468598904724</v>
      </c>
      <c r="EF218" s="82">
        <v>0.31034094060455802</v>
      </c>
    </row>
    <row r="219" spans="1:136" x14ac:dyDescent="0.35">
      <c r="A219" s="72">
        <v>547</v>
      </c>
      <c r="B219" s="72">
        <v>8</v>
      </c>
      <c r="D219" s="72" t="s">
        <v>180</v>
      </c>
      <c r="E219" s="79">
        <v>2724400000</v>
      </c>
      <c r="F219" s="79">
        <v>294000000</v>
      </c>
      <c r="G219" s="79">
        <v>300650000</v>
      </c>
      <c r="H219" s="79">
        <v>27109</v>
      </c>
      <c r="I219" s="79">
        <v>1</v>
      </c>
      <c r="J219" s="79">
        <v>300.64999999999998</v>
      </c>
      <c r="K219" s="79">
        <v>5345</v>
      </c>
      <c r="L219" s="79">
        <v>6093</v>
      </c>
      <c r="M219" s="79">
        <v>1944</v>
      </c>
      <c r="N219" s="79">
        <v>2835</v>
      </c>
      <c r="O219" s="79">
        <v>1614.3</v>
      </c>
      <c r="P219" s="79">
        <v>400.66666666666703</v>
      </c>
      <c r="Q219" s="79">
        <v>1434.6666666666699</v>
      </c>
      <c r="R219" s="79">
        <v>1915</v>
      </c>
      <c r="S219" s="79">
        <v>0</v>
      </c>
      <c r="T219" s="79">
        <v>821</v>
      </c>
      <c r="U219" s="79">
        <v>12351</v>
      </c>
      <c r="V219" s="79">
        <v>22790</v>
      </c>
      <c r="W219" s="79">
        <v>6440</v>
      </c>
      <c r="X219" s="79">
        <v>754.28</v>
      </c>
      <c r="Y219" s="79">
        <v>386.4</v>
      </c>
      <c r="Z219" s="79">
        <v>0</v>
      </c>
      <c r="AA219" s="79">
        <v>0</v>
      </c>
      <c r="AB219" s="79">
        <v>0</v>
      </c>
      <c r="AC219" s="79">
        <v>1151</v>
      </c>
      <c r="AD219" s="79">
        <v>1461.77</v>
      </c>
      <c r="AE219" s="79">
        <v>77</v>
      </c>
      <c r="AF219" s="79">
        <v>0</v>
      </c>
      <c r="AG219" s="79">
        <v>105</v>
      </c>
      <c r="AH219" s="79">
        <v>125.24</v>
      </c>
      <c r="AI219" s="79">
        <v>5.16</v>
      </c>
      <c r="AJ219" s="79">
        <v>12207</v>
      </c>
      <c r="AK219" s="79">
        <v>15136.68</v>
      </c>
      <c r="AL219" s="79">
        <v>0</v>
      </c>
      <c r="AM219" s="79">
        <v>0</v>
      </c>
      <c r="AN219" s="79">
        <v>0</v>
      </c>
      <c r="AO219" s="79">
        <v>0</v>
      </c>
      <c r="AP219" s="79">
        <v>510</v>
      </c>
      <c r="AQ219" s="79">
        <v>0</v>
      </c>
      <c r="AR219" s="80">
        <v>1.4603700000000001E-4</v>
      </c>
      <c r="AS219" s="80">
        <v>6.9047100000000001E-4</v>
      </c>
      <c r="AT219" s="79">
        <v>29894.942999999999</v>
      </c>
      <c r="AU219" s="79">
        <v>0</v>
      </c>
      <c r="AV219" s="79">
        <v>1198.8800000000001</v>
      </c>
      <c r="AW219" s="79">
        <v>58203.111302931597</v>
      </c>
      <c r="AX219" s="79">
        <v>2</v>
      </c>
      <c r="AY219" s="79">
        <v>2.58</v>
      </c>
      <c r="AZ219" s="79">
        <v>2737</v>
      </c>
      <c r="BA219" s="79">
        <v>1</v>
      </c>
      <c r="BB219" s="79">
        <v>0</v>
      </c>
      <c r="BC219" s="79">
        <v>0</v>
      </c>
      <c r="BD219" s="79">
        <v>0</v>
      </c>
      <c r="BE219" s="79">
        <v>0</v>
      </c>
      <c r="BF219" s="79">
        <v>0</v>
      </c>
      <c r="BG219" s="79">
        <v>0</v>
      </c>
      <c r="BH219" s="79">
        <v>0</v>
      </c>
      <c r="BI219" s="79">
        <v>0</v>
      </c>
      <c r="BJ219" s="79">
        <v>0</v>
      </c>
      <c r="BK219" s="79">
        <v>17</v>
      </c>
      <c r="BL219" s="79">
        <v>4216</v>
      </c>
      <c r="BM219" s="79">
        <v>101</v>
      </c>
      <c r="BN219" s="79">
        <v>4</v>
      </c>
      <c r="BO219">
        <v>6016</v>
      </c>
      <c r="BP219">
        <v>626</v>
      </c>
      <c r="BQ219">
        <v>5851</v>
      </c>
      <c r="BR219">
        <v>649</v>
      </c>
      <c r="BS219">
        <v>5788</v>
      </c>
      <c r="BT219">
        <v>657</v>
      </c>
      <c r="BU219">
        <v>5719</v>
      </c>
      <c r="BV219">
        <v>701</v>
      </c>
      <c r="BW219">
        <v>5691</v>
      </c>
      <c r="BX219">
        <v>739</v>
      </c>
      <c r="BY219">
        <v>5653</v>
      </c>
      <c r="BZ219">
        <v>687</v>
      </c>
      <c r="CB219">
        <v>416.91</v>
      </c>
      <c r="CC219">
        <v>48</v>
      </c>
      <c r="CD219">
        <v>41</v>
      </c>
      <c r="CE219">
        <v>9600.08</v>
      </c>
      <c r="CF219">
        <v>2356.5</v>
      </c>
      <c r="CG219">
        <v>213.179306535026</v>
      </c>
      <c r="CH219">
        <v>305</v>
      </c>
      <c r="CI219">
        <v>133.333333333333</v>
      </c>
      <c r="CJ219">
        <v>102.333333333333</v>
      </c>
      <c r="CK219" s="81">
        <v>1034</v>
      </c>
      <c r="CL219">
        <v>290</v>
      </c>
      <c r="CM219">
        <v>4108.2077113616097</v>
      </c>
      <c r="CN219">
        <v>0.53700000000000003</v>
      </c>
      <c r="CO219">
        <v>21016</v>
      </c>
      <c r="CP219">
        <v>3448</v>
      </c>
      <c r="CQ219">
        <v>701</v>
      </c>
      <c r="CR219">
        <v>847</v>
      </c>
      <c r="CS219">
        <v>732</v>
      </c>
      <c r="CT219">
        <v>398</v>
      </c>
      <c r="CU219">
        <v>291.068591791595</v>
      </c>
      <c r="CV219">
        <v>185.40579995084801</v>
      </c>
      <c r="CW219">
        <v>73.659793561071496</v>
      </c>
      <c r="CX219">
        <v>763.30679999999995</v>
      </c>
      <c r="CY219">
        <v>486.21359999999999</v>
      </c>
      <c r="CZ219">
        <v>193.16759999999999</v>
      </c>
      <c r="DA219">
        <v>40239</v>
      </c>
      <c r="DE219">
        <v>689</v>
      </c>
      <c r="DF219" t="s">
        <v>814</v>
      </c>
      <c r="DG219">
        <v>3451</v>
      </c>
      <c r="DH219">
        <v>3427</v>
      </c>
      <c r="DI219">
        <v>3387</v>
      </c>
      <c r="DJ219">
        <v>3395</v>
      </c>
      <c r="DK219">
        <v>3334</v>
      </c>
      <c r="DO219">
        <v>505</v>
      </c>
      <c r="DP219" t="s">
        <v>90</v>
      </c>
      <c r="DQ219">
        <v>55435</v>
      </c>
      <c r="DR219">
        <v>1.31</v>
      </c>
      <c r="DS219">
        <v>2519</v>
      </c>
      <c r="DV219">
        <v>1740</v>
      </c>
      <c r="DW219" t="s">
        <v>210</v>
      </c>
      <c r="DX219">
        <v>2314.5771120992299</v>
      </c>
      <c r="DY219">
        <v>402</v>
      </c>
      <c r="DZ219">
        <v>366</v>
      </c>
      <c r="EA219">
        <v>214</v>
      </c>
      <c r="EB219">
        <v>1461</v>
      </c>
      <c r="EC219">
        <v>761</v>
      </c>
      <c r="ED219">
        <v>298</v>
      </c>
      <c r="EE219" s="82">
        <v>0.16221560123476</v>
      </c>
      <c r="EF219" s="82">
        <v>0.48170966454611602</v>
      </c>
    </row>
    <row r="220" spans="1:136" x14ac:dyDescent="0.35">
      <c r="A220" s="72">
        <v>1916</v>
      </c>
      <c r="B220" s="72">
        <v>8</v>
      </c>
      <c r="D220" s="72" t="s">
        <v>181</v>
      </c>
      <c r="E220" s="79">
        <v>8051200000</v>
      </c>
      <c r="F220" s="79">
        <v>571200000</v>
      </c>
      <c r="G220" s="79">
        <v>596050000</v>
      </c>
      <c r="H220" s="79">
        <v>75425</v>
      </c>
      <c r="I220" s="79">
        <v>2</v>
      </c>
      <c r="J220" s="79">
        <v>596.04999999999995</v>
      </c>
      <c r="K220" s="79">
        <v>14612</v>
      </c>
      <c r="L220" s="79">
        <v>17257</v>
      </c>
      <c r="M220" s="79">
        <v>5672</v>
      </c>
      <c r="N220" s="79">
        <v>10615</v>
      </c>
      <c r="O220" s="79">
        <v>6916</v>
      </c>
      <c r="P220" s="79">
        <v>1910</v>
      </c>
      <c r="Q220" s="79">
        <v>4711</v>
      </c>
      <c r="R220" s="79">
        <v>6175</v>
      </c>
      <c r="S220" s="79">
        <v>0</v>
      </c>
      <c r="T220" s="79">
        <v>2947</v>
      </c>
      <c r="U220" s="79">
        <v>37174</v>
      </c>
      <c r="V220" s="79">
        <v>66650</v>
      </c>
      <c r="W220" s="79">
        <v>33810</v>
      </c>
      <c r="X220" s="79">
        <v>606.38</v>
      </c>
      <c r="Y220" s="79">
        <v>3843.2</v>
      </c>
      <c r="Z220" s="79">
        <v>0</v>
      </c>
      <c r="AA220" s="79">
        <v>0</v>
      </c>
      <c r="AB220" s="79">
        <v>0</v>
      </c>
      <c r="AC220" s="79">
        <v>3252</v>
      </c>
      <c r="AD220" s="79">
        <v>3772.32</v>
      </c>
      <c r="AE220" s="79">
        <v>310</v>
      </c>
      <c r="AF220" s="79">
        <v>0</v>
      </c>
      <c r="AG220" s="79">
        <v>251</v>
      </c>
      <c r="AH220" s="79">
        <v>246.98</v>
      </c>
      <c r="AI220" s="79">
        <v>22.14</v>
      </c>
      <c r="AJ220" s="79">
        <v>36990</v>
      </c>
      <c r="AK220" s="79">
        <v>39209.4</v>
      </c>
      <c r="AL220" s="79">
        <v>0</v>
      </c>
      <c r="AM220" s="79">
        <v>0</v>
      </c>
      <c r="AN220" s="79">
        <v>0</v>
      </c>
      <c r="AO220" s="79">
        <v>0</v>
      </c>
      <c r="AP220" s="79">
        <v>6047</v>
      </c>
      <c r="AQ220" s="79">
        <v>0</v>
      </c>
      <c r="AR220" s="80">
        <v>3.6292170000000001E-3</v>
      </c>
      <c r="AS220" s="80">
        <v>6.4129119999999998E-3</v>
      </c>
      <c r="AT220" s="79">
        <v>106827.12</v>
      </c>
      <c r="AU220" s="79">
        <v>0</v>
      </c>
      <c r="AV220" s="79">
        <v>3026.44</v>
      </c>
      <c r="AW220" s="79">
        <v>97833.975014037103</v>
      </c>
      <c r="AX220" s="79">
        <v>4</v>
      </c>
      <c r="AY220" s="79">
        <v>4.92</v>
      </c>
      <c r="AZ220" s="79">
        <v>7507</v>
      </c>
      <c r="BA220" s="79">
        <v>1</v>
      </c>
      <c r="BB220" s="79">
        <v>0</v>
      </c>
      <c r="BC220" s="79">
        <v>0</v>
      </c>
      <c r="BD220" s="79">
        <v>0</v>
      </c>
      <c r="BE220" s="79">
        <v>0</v>
      </c>
      <c r="BF220" s="79">
        <v>0</v>
      </c>
      <c r="BG220" s="79">
        <v>0</v>
      </c>
      <c r="BH220" s="79">
        <v>0</v>
      </c>
      <c r="BI220" s="79">
        <v>0</v>
      </c>
      <c r="BJ220" s="79">
        <v>0</v>
      </c>
      <c r="BK220" s="79">
        <v>24</v>
      </c>
      <c r="BL220" s="79">
        <v>15071</v>
      </c>
      <c r="BM220" s="79">
        <v>233</v>
      </c>
      <c r="BN220" s="79">
        <v>18</v>
      </c>
      <c r="BO220">
        <v>13904</v>
      </c>
      <c r="BP220">
        <v>4690</v>
      </c>
      <c r="BQ220">
        <v>13701</v>
      </c>
      <c r="BR220">
        <v>4575</v>
      </c>
      <c r="BS220">
        <v>13589</v>
      </c>
      <c r="BT220">
        <v>4568</v>
      </c>
      <c r="BU220">
        <v>13640</v>
      </c>
      <c r="BV220">
        <v>4684</v>
      </c>
      <c r="BW220">
        <v>13616</v>
      </c>
      <c r="BX220">
        <v>4782</v>
      </c>
      <c r="BY220">
        <v>13897</v>
      </c>
      <c r="BZ220">
        <v>4812</v>
      </c>
      <c r="CB220">
        <v>1782.664</v>
      </c>
      <c r="CC220">
        <v>97</v>
      </c>
      <c r="CD220">
        <v>160</v>
      </c>
      <c r="CE220">
        <v>28753.63</v>
      </c>
      <c r="CF220">
        <v>6424.08</v>
      </c>
      <c r="CG220">
        <v>428.99467863554798</v>
      </c>
      <c r="CH220">
        <v>1042</v>
      </c>
      <c r="CI220">
        <v>540.33333333333303</v>
      </c>
      <c r="CJ220">
        <v>494.33333333333297</v>
      </c>
      <c r="CK220" s="81">
        <v>2801</v>
      </c>
      <c r="CL220">
        <v>692</v>
      </c>
      <c r="CM220">
        <v>11147.896905272</v>
      </c>
      <c r="CN220">
        <v>4.4089999999999998</v>
      </c>
      <c r="CO220">
        <v>58168</v>
      </c>
      <c r="CP220">
        <v>9241</v>
      </c>
      <c r="CQ220">
        <v>2344</v>
      </c>
      <c r="CR220">
        <v>2736</v>
      </c>
      <c r="CS220">
        <v>2277</v>
      </c>
      <c r="CT220">
        <v>1334</v>
      </c>
      <c r="CU220">
        <v>1151.35788050825</v>
      </c>
      <c r="CV220">
        <v>777.97988645579903</v>
      </c>
      <c r="CW220">
        <v>342.71500405515002</v>
      </c>
      <c r="CX220">
        <v>2135.5944</v>
      </c>
      <c r="CY220">
        <v>1443.0347999999999</v>
      </c>
      <c r="CZ220">
        <v>635.68439999999998</v>
      </c>
      <c r="DA220">
        <v>107836</v>
      </c>
      <c r="DE220">
        <v>703</v>
      </c>
      <c r="DF220" t="s">
        <v>250</v>
      </c>
      <c r="DG220">
        <v>5614</v>
      </c>
      <c r="DH220">
        <v>5641</v>
      </c>
      <c r="DI220">
        <v>5722</v>
      </c>
      <c r="DJ220">
        <v>5651</v>
      </c>
      <c r="DK220">
        <v>5679</v>
      </c>
      <c r="DO220">
        <v>689</v>
      </c>
      <c r="DP220" t="s">
        <v>814</v>
      </c>
      <c r="DQ220">
        <v>5976</v>
      </c>
      <c r="DR220">
        <v>1.38</v>
      </c>
      <c r="DS220">
        <v>290</v>
      </c>
      <c r="DV220">
        <v>946</v>
      </c>
      <c r="DW220" t="s">
        <v>211</v>
      </c>
      <c r="DX220">
        <v>2074.16631578947</v>
      </c>
      <c r="DY220">
        <v>332</v>
      </c>
      <c r="DZ220">
        <v>385</v>
      </c>
      <c r="EA220">
        <v>200</v>
      </c>
      <c r="EB220">
        <v>1316</v>
      </c>
      <c r="EC220">
        <v>835</v>
      </c>
      <c r="ED220">
        <v>285</v>
      </c>
      <c r="EE220" s="82">
        <v>0.181969319710369</v>
      </c>
      <c r="EF220" s="82">
        <v>0.46115767919659201</v>
      </c>
    </row>
    <row r="221" spans="1:136" x14ac:dyDescent="0.35">
      <c r="A221" s="72">
        <v>553</v>
      </c>
      <c r="B221" s="72">
        <v>8</v>
      </c>
      <c r="D221" s="72" t="s">
        <v>186</v>
      </c>
      <c r="E221" s="79">
        <v>2265200000</v>
      </c>
      <c r="F221" s="79">
        <v>377650000</v>
      </c>
      <c r="G221" s="79">
        <v>381500000</v>
      </c>
      <c r="H221" s="79">
        <v>22800</v>
      </c>
      <c r="I221" s="79">
        <v>2</v>
      </c>
      <c r="J221" s="79">
        <v>381.5</v>
      </c>
      <c r="K221" s="79">
        <v>4432</v>
      </c>
      <c r="L221" s="79">
        <v>5108</v>
      </c>
      <c r="M221" s="79">
        <v>1646</v>
      </c>
      <c r="N221" s="79">
        <v>2887</v>
      </c>
      <c r="O221" s="79">
        <v>1862.1</v>
      </c>
      <c r="P221" s="79">
        <v>252.666666666667</v>
      </c>
      <c r="Q221" s="79">
        <v>1058.6666666666699</v>
      </c>
      <c r="R221" s="79">
        <v>520</v>
      </c>
      <c r="S221" s="79">
        <v>0</v>
      </c>
      <c r="T221" s="79">
        <v>706</v>
      </c>
      <c r="U221" s="79">
        <v>10306</v>
      </c>
      <c r="V221" s="79">
        <v>21060</v>
      </c>
      <c r="W221" s="79">
        <v>5410</v>
      </c>
      <c r="X221" s="79">
        <v>285.12</v>
      </c>
      <c r="Y221" s="79">
        <v>1241.5999999999999</v>
      </c>
      <c r="Z221" s="79">
        <v>0</v>
      </c>
      <c r="AA221" s="79">
        <v>0</v>
      </c>
      <c r="AB221" s="79">
        <v>0</v>
      </c>
      <c r="AC221" s="79">
        <v>1569</v>
      </c>
      <c r="AD221" s="79">
        <v>1725.9</v>
      </c>
      <c r="AE221" s="79">
        <v>36</v>
      </c>
      <c r="AF221" s="79">
        <v>0</v>
      </c>
      <c r="AG221" s="79">
        <v>131</v>
      </c>
      <c r="AH221" s="79">
        <v>129.96</v>
      </c>
      <c r="AI221" s="79">
        <v>18.190000000000001</v>
      </c>
      <c r="AJ221" s="79">
        <v>10249</v>
      </c>
      <c r="AK221" s="79">
        <v>11683.86</v>
      </c>
      <c r="AL221" s="79">
        <v>0</v>
      </c>
      <c r="AM221" s="79">
        <v>0</v>
      </c>
      <c r="AN221" s="79">
        <v>0</v>
      </c>
      <c r="AO221" s="79">
        <v>0</v>
      </c>
      <c r="AP221" s="79">
        <v>1325</v>
      </c>
      <c r="AQ221" s="79">
        <v>0</v>
      </c>
      <c r="AR221" s="80">
        <v>2.9625000000000002E-4</v>
      </c>
      <c r="AS221" s="80">
        <v>4.2545499999999998E-4</v>
      </c>
      <c r="AT221" s="79">
        <v>16603.38</v>
      </c>
      <c r="AU221" s="79">
        <v>0</v>
      </c>
      <c r="AV221" s="79">
        <v>1179.2</v>
      </c>
      <c r="AW221" s="79">
        <v>20345.271028037401</v>
      </c>
      <c r="AX221" s="79">
        <v>3</v>
      </c>
      <c r="AY221" s="79">
        <v>3.21</v>
      </c>
      <c r="AZ221" s="79">
        <v>2505</v>
      </c>
      <c r="BA221" s="79">
        <v>1</v>
      </c>
      <c r="BB221" s="79">
        <v>0</v>
      </c>
      <c r="BC221" s="79">
        <v>0</v>
      </c>
      <c r="BD221" s="79">
        <v>0</v>
      </c>
      <c r="BE221" s="79">
        <v>0</v>
      </c>
      <c r="BF221" s="79">
        <v>0</v>
      </c>
      <c r="BG221" s="79">
        <v>0</v>
      </c>
      <c r="BH221" s="79">
        <v>0</v>
      </c>
      <c r="BI221" s="79">
        <v>0</v>
      </c>
      <c r="BJ221" s="79">
        <v>0</v>
      </c>
      <c r="BK221" s="79">
        <v>10</v>
      </c>
      <c r="BL221" s="79">
        <v>3382</v>
      </c>
      <c r="BM221" s="79">
        <v>114</v>
      </c>
      <c r="BN221" s="79">
        <v>17</v>
      </c>
      <c r="BO221">
        <v>4834</v>
      </c>
      <c r="BP221">
        <v>1688</v>
      </c>
      <c r="BQ221">
        <v>4762</v>
      </c>
      <c r="BR221">
        <v>1662</v>
      </c>
      <c r="BS221">
        <v>4749</v>
      </c>
      <c r="BT221">
        <v>1741</v>
      </c>
      <c r="BU221">
        <v>4677</v>
      </c>
      <c r="BV221">
        <v>1816</v>
      </c>
      <c r="BW221">
        <v>4616</v>
      </c>
      <c r="BX221">
        <v>1640</v>
      </c>
      <c r="BY221">
        <v>4568</v>
      </c>
      <c r="BZ221">
        <v>1475</v>
      </c>
      <c r="CB221">
        <v>372.28800000000001</v>
      </c>
      <c r="CC221">
        <v>55</v>
      </c>
      <c r="CD221">
        <v>29</v>
      </c>
      <c r="CE221">
        <v>7419.72</v>
      </c>
      <c r="CF221">
        <v>1729.14</v>
      </c>
      <c r="CG221">
        <v>128.022640820981</v>
      </c>
      <c r="CH221">
        <v>237</v>
      </c>
      <c r="CI221">
        <v>68</v>
      </c>
      <c r="CJ221">
        <v>55</v>
      </c>
      <c r="CK221" s="81">
        <v>806</v>
      </c>
      <c r="CL221">
        <v>160</v>
      </c>
      <c r="CM221">
        <v>3307.4221003273501</v>
      </c>
      <c r="CN221">
        <v>0.13</v>
      </c>
      <c r="CO221">
        <v>17692</v>
      </c>
      <c r="CP221">
        <v>2856</v>
      </c>
      <c r="CQ221">
        <v>606</v>
      </c>
      <c r="CR221">
        <v>607</v>
      </c>
      <c r="CS221">
        <v>588</v>
      </c>
      <c r="CT221">
        <v>330</v>
      </c>
      <c r="CU221">
        <v>325.76303053956502</v>
      </c>
      <c r="CV221">
        <v>212.02758317884701</v>
      </c>
      <c r="CW221">
        <v>85.029056493316403</v>
      </c>
      <c r="CX221">
        <v>724.55129999999997</v>
      </c>
      <c r="CY221">
        <v>471.5847</v>
      </c>
      <c r="CZ221">
        <v>189.11879999999999</v>
      </c>
      <c r="DA221">
        <v>0</v>
      </c>
      <c r="DE221">
        <v>707</v>
      </c>
      <c r="DF221" t="s">
        <v>821</v>
      </c>
      <c r="DG221">
        <v>3332</v>
      </c>
      <c r="DH221">
        <v>3344</v>
      </c>
      <c r="DI221">
        <v>3275</v>
      </c>
      <c r="DJ221">
        <v>3222</v>
      </c>
      <c r="DK221">
        <v>3204</v>
      </c>
      <c r="DO221">
        <v>1924</v>
      </c>
      <c r="DP221" t="s">
        <v>115</v>
      </c>
      <c r="DQ221">
        <v>26105</v>
      </c>
      <c r="DR221">
        <v>1.04</v>
      </c>
      <c r="DS221">
        <v>613</v>
      </c>
      <c r="DV221">
        <v>304</v>
      </c>
      <c r="DW221" t="s">
        <v>809</v>
      </c>
      <c r="DX221">
        <v>1146.3887952822199</v>
      </c>
      <c r="DY221">
        <v>240</v>
      </c>
      <c r="DZ221">
        <v>196</v>
      </c>
      <c r="EA221">
        <v>107</v>
      </c>
      <c r="EB221">
        <v>773</v>
      </c>
      <c r="EC221">
        <v>446</v>
      </c>
      <c r="ED221">
        <v>153</v>
      </c>
      <c r="EE221" s="82">
        <v>0.133053221240542</v>
      </c>
      <c r="EF221" s="82">
        <v>0.35643063385123003</v>
      </c>
    </row>
    <row r="222" spans="1:136" x14ac:dyDescent="0.35">
      <c r="A222" s="72">
        <v>556</v>
      </c>
      <c r="B222" s="72">
        <v>8</v>
      </c>
      <c r="D222" s="72" t="s">
        <v>194</v>
      </c>
      <c r="E222" s="79">
        <v>2543600000</v>
      </c>
      <c r="F222" s="79">
        <v>285250000</v>
      </c>
      <c r="G222" s="79">
        <v>294700000</v>
      </c>
      <c r="H222" s="79">
        <v>32768</v>
      </c>
      <c r="I222" s="79">
        <v>1</v>
      </c>
      <c r="J222" s="79">
        <v>294.7</v>
      </c>
      <c r="K222" s="79">
        <v>6263</v>
      </c>
      <c r="L222" s="79">
        <v>7501</v>
      </c>
      <c r="M222" s="79">
        <v>2248</v>
      </c>
      <c r="N222" s="79">
        <v>4576</v>
      </c>
      <c r="O222" s="79">
        <v>3058.5</v>
      </c>
      <c r="P222" s="79">
        <v>839.66666666666697</v>
      </c>
      <c r="Q222" s="79">
        <v>2334.6666666666702</v>
      </c>
      <c r="R222" s="79">
        <v>4990</v>
      </c>
      <c r="S222" s="79">
        <v>0</v>
      </c>
      <c r="T222" s="79">
        <v>1160</v>
      </c>
      <c r="U222" s="79">
        <v>15077</v>
      </c>
      <c r="V222" s="79">
        <v>31140</v>
      </c>
      <c r="W222" s="79">
        <v>12490</v>
      </c>
      <c r="X222" s="79">
        <v>140.58000000000001</v>
      </c>
      <c r="Y222" s="79">
        <v>732</v>
      </c>
      <c r="Z222" s="79">
        <v>0</v>
      </c>
      <c r="AA222" s="79">
        <v>0</v>
      </c>
      <c r="AB222" s="79">
        <v>0</v>
      </c>
      <c r="AC222" s="79">
        <v>845</v>
      </c>
      <c r="AD222" s="79">
        <v>1047.8</v>
      </c>
      <c r="AE222" s="79">
        <v>167</v>
      </c>
      <c r="AF222" s="79">
        <v>0</v>
      </c>
      <c r="AG222" s="79">
        <v>111</v>
      </c>
      <c r="AH222" s="79">
        <v>133.91999999999999</v>
      </c>
      <c r="AI222" s="79">
        <v>3.66</v>
      </c>
      <c r="AJ222" s="79">
        <v>15175</v>
      </c>
      <c r="AK222" s="79">
        <v>18817</v>
      </c>
      <c r="AL222" s="79">
        <v>14</v>
      </c>
      <c r="AM222" s="79">
        <v>0</v>
      </c>
      <c r="AN222" s="79">
        <v>0</v>
      </c>
      <c r="AO222" s="79">
        <v>3750</v>
      </c>
      <c r="AP222" s="79">
        <v>2422</v>
      </c>
      <c r="AQ222" s="79">
        <v>2422</v>
      </c>
      <c r="AR222" s="80">
        <v>4.9686200000000004E-4</v>
      </c>
      <c r="AS222" s="80">
        <v>2.250578E-3</v>
      </c>
      <c r="AT222" s="79">
        <v>30061.674999999999</v>
      </c>
      <c r="AU222" s="79">
        <v>0</v>
      </c>
      <c r="AV222" s="79">
        <v>667.12</v>
      </c>
      <c r="AW222" s="79">
        <v>41756.5343873518</v>
      </c>
      <c r="AX222" s="79">
        <v>1</v>
      </c>
      <c r="AY222" s="79">
        <v>1.22</v>
      </c>
      <c r="AZ222" s="79">
        <v>2722</v>
      </c>
      <c r="BA222" s="79">
        <v>1</v>
      </c>
      <c r="BB222" s="79">
        <v>0</v>
      </c>
      <c r="BC222" s="79">
        <v>0</v>
      </c>
      <c r="BD222" s="79">
        <v>0</v>
      </c>
      <c r="BE222" s="79">
        <v>0</v>
      </c>
      <c r="BF222" s="79">
        <v>0</v>
      </c>
      <c r="BG222" s="79">
        <v>0</v>
      </c>
      <c r="BH222" s="79">
        <v>0</v>
      </c>
      <c r="BI222" s="79">
        <v>0</v>
      </c>
      <c r="BJ222" s="79">
        <v>0</v>
      </c>
      <c r="BK222" s="79">
        <v>19</v>
      </c>
      <c r="BL222" s="79">
        <v>5016</v>
      </c>
      <c r="BM222" s="79">
        <v>108</v>
      </c>
      <c r="BN222" s="79">
        <v>3</v>
      </c>
      <c r="BO222">
        <v>6375</v>
      </c>
      <c r="BP222">
        <v>1154</v>
      </c>
      <c r="BQ222">
        <v>6325</v>
      </c>
      <c r="BR222">
        <v>1161</v>
      </c>
      <c r="BS222">
        <v>6376</v>
      </c>
      <c r="BT222">
        <v>1138</v>
      </c>
      <c r="BU222">
        <v>6327</v>
      </c>
      <c r="BV222">
        <v>1176</v>
      </c>
      <c r="BW222">
        <v>6332</v>
      </c>
      <c r="BX222">
        <v>1209</v>
      </c>
      <c r="BY222">
        <v>6263</v>
      </c>
      <c r="BZ222">
        <v>1176</v>
      </c>
      <c r="CB222">
        <v>1002.08</v>
      </c>
      <c r="CC222">
        <v>141</v>
      </c>
      <c r="CD222">
        <v>140</v>
      </c>
      <c r="CE222">
        <v>9886.52</v>
      </c>
      <c r="CF222">
        <v>2232.62</v>
      </c>
      <c r="CG222">
        <v>180.928429730278</v>
      </c>
      <c r="CH222">
        <v>462</v>
      </c>
      <c r="CI222">
        <v>306.33333333333297</v>
      </c>
      <c r="CJ222">
        <v>232.666666666667</v>
      </c>
      <c r="CK222" s="81">
        <v>1495</v>
      </c>
      <c r="CL222">
        <v>386</v>
      </c>
      <c r="CM222">
        <v>5272.5510120153604</v>
      </c>
      <c r="CN222">
        <v>2.2869999999999999</v>
      </c>
      <c r="CO222">
        <v>25267</v>
      </c>
      <c r="CP222">
        <v>4476</v>
      </c>
      <c r="CQ222">
        <v>777</v>
      </c>
      <c r="CR222">
        <v>974</v>
      </c>
      <c r="CS222">
        <v>761</v>
      </c>
      <c r="CT222">
        <v>400</v>
      </c>
      <c r="CU222">
        <v>563.32833607907696</v>
      </c>
      <c r="CV222">
        <v>324.49324546952198</v>
      </c>
      <c r="CW222">
        <v>115.688896210873</v>
      </c>
      <c r="CX222">
        <v>1288.7745</v>
      </c>
      <c r="CY222">
        <v>742.37099999999998</v>
      </c>
      <c r="CZ222">
        <v>264.67140000000001</v>
      </c>
      <c r="DA222">
        <v>27556</v>
      </c>
      <c r="DE222">
        <v>715</v>
      </c>
      <c r="DF222" t="s">
        <v>290</v>
      </c>
      <c r="DG222">
        <v>11041</v>
      </c>
      <c r="DH222">
        <v>10812</v>
      </c>
      <c r="DI222">
        <v>10645</v>
      </c>
      <c r="DJ222">
        <v>10577</v>
      </c>
      <c r="DK222">
        <v>10403</v>
      </c>
      <c r="DO222">
        <v>512</v>
      </c>
      <c r="DP222" t="s">
        <v>119</v>
      </c>
      <c r="DQ222">
        <v>16470</v>
      </c>
      <c r="DR222">
        <v>1.4</v>
      </c>
      <c r="DS222">
        <v>1710</v>
      </c>
      <c r="DV222">
        <v>356</v>
      </c>
      <c r="DW222" t="s">
        <v>212</v>
      </c>
      <c r="DX222">
        <v>7910.5295303437497</v>
      </c>
      <c r="DY222">
        <v>1900</v>
      </c>
      <c r="DZ222">
        <v>1127</v>
      </c>
      <c r="EA222">
        <v>510</v>
      </c>
      <c r="EB222">
        <v>5217</v>
      </c>
      <c r="EC222">
        <v>2332</v>
      </c>
      <c r="ED222">
        <v>701</v>
      </c>
      <c r="EE222" s="82">
        <v>0.17628281399635901</v>
      </c>
      <c r="EF222" s="82">
        <v>0.44140850577478302</v>
      </c>
    </row>
    <row r="223" spans="1:136" x14ac:dyDescent="0.35">
      <c r="A223" s="72">
        <v>1842</v>
      </c>
      <c r="B223" s="72">
        <v>8</v>
      </c>
      <c r="D223" s="72" t="s">
        <v>202</v>
      </c>
      <c r="E223" s="79">
        <v>2020400000</v>
      </c>
      <c r="F223" s="79">
        <v>285250000</v>
      </c>
      <c r="G223" s="79">
        <v>296450000</v>
      </c>
      <c r="H223" s="79">
        <v>19391</v>
      </c>
      <c r="I223" s="79">
        <v>3</v>
      </c>
      <c r="J223" s="79">
        <v>296.45</v>
      </c>
      <c r="K223" s="79">
        <v>4144</v>
      </c>
      <c r="L223" s="79">
        <v>3568</v>
      </c>
      <c r="M223" s="79">
        <v>1108</v>
      </c>
      <c r="N223" s="79">
        <v>1573</v>
      </c>
      <c r="O223" s="79">
        <v>779.1</v>
      </c>
      <c r="P223" s="79">
        <v>141.333333333333</v>
      </c>
      <c r="Q223" s="79">
        <v>630.33333333333303</v>
      </c>
      <c r="R223" s="79">
        <v>660</v>
      </c>
      <c r="S223" s="79">
        <v>0</v>
      </c>
      <c r="T223" s="79">
        <v>460</v>
      </c>
      <c r="U223" s="79">
        <v>7927</v>
      </c>
      <c r="V223" s="79">
        <v>9870</v>
      </c>
      <c r="W223" s="79">
        <v>620</v>
      </c>
      <c r="X223" s="79">
        <v>0</v>
      </c>
      <c r="Y223" s="79">
        <v>0</v>
      </c>
      <c r="Z223" s="79">
        <v>0</v>
      </c>
      <c r="AA223" s="79">
        <v>0</v>
      </c>
      <c r="AB223" s="79">
        <v>0</v>
      </c>
      <c r="AC223" s="79">
        <v>4722</v>
      </c>
      <c r="AD223" s="79">
        <v>6280.26</v>
      </c>
      <c r="AE223" s="79">
        <v>216</v>
      </c>
      <c r="AF223" s="79">
        <v>0</v>
      </c>
      <c r="AG223" s="79">
        <v>115</v>
      </c>
      <c r="AH223" s="79">
        <v>100.44</v>
      </c>
      <c r="AI223" s="79">
        <v>45.9</v>
      </c>
      <c r="AJ223" s="79">
        <v>7939</v>
      </c>
      <c r="AK223" s="79">
        <v>9844.36</v>
      </c>
      <c r="AL223" s="79">
        <v>0</v>
      </c>
      <c r="AM223" s="79">
        <v>0</v>
      </c>
      <c r="AN223" s="79">
        <v>0</v>
      </c>
      <c r="AO223" s="79">
        <v>0</v>
      </c>
      <c r="AP223" s="79">
        <v>0</v>
      </c>
      <c r="AQ223" s="79">
        <v>0</v>
      </c>
      <c r="AR223" s="80">
        <v>1.6998E-4</v>
      </c>
      <c r="AS223" s="80">
        <v>6.9238000000000004E-5</v>
      </c>
      <c r="AT223" s="79">
        <v>10495.358</v>
      </c>
      <c r="AU223" s="79">
        <v>0</v>
      </c>
      <c r="AV223" s="79">
        <v>4033.89</v>
      </c>
      <c r="AW223" s="79">
        <v>37744.946701093599</v>
      </c>
      <c r="AX223" s="79">
        <v>12</v>
      </c>
      <c r="AY223" s="79">
        <v>16.2</v>
      </c>
      <c r="AZ223" s="79">
        <v>2180</v>
      </c>
      <c r="BA223" s="79">
        <v>1</v>
      </c>
      <c r="BB223" s="79">
        <v>0</v>
      </c>
      <c r="BC223" s="79">
        <v>0</v>
      </c>
      <c r="BD223" s="79">
        <v>0</v>
      </c>
      <c r="BE223" s="79">
        <v>0</v>
      </c>
      <c r="BF223" s="79">
        <v>0</v>
      </c>
      <c r="BG223" s="79">
        <v>0</v>
      </c>
      <c r="BH223" s="79">
        <v>0</v>
      </c>
      <c r="BI223" s="79">
        <v>0</v>
      </c>
      <c r="BJ223" s="79">
        <v>0</v>
      </c>
      <c r="BK223" s="79">
        <v>9</v>
      </c>
      <c r="BL223" s="79">
        <v>2063</v>
      </c>
      <c r="BM223" s="79">
        <v>81</v>
      </c>
      <c r="BN223" s="79">
        <v>34</v>
      </c>
      <c r="BO223">
        <v>4421</v>
      </c>
      <c r="BP223">
        <v>0</v>
      </c>
      <c r="BQ223">
        <v>4396</v>
      </c>
      <c r="BR223">
        <v>0</v>
      </c>
      <c r="BS223">
        <v>4377</v>
      </c>
      <c r="BT223">
        <v>0</v>
      </c>
      <c r="BU223">
        <v>4292</v>
      </c>
      <c r="BV223">
        <v>0</v>
      </c>
      <c r="BW223">
        <v>4243</v>
      </c>
      <c r="BX223">
        <v>0</v>
      </c>
      <c r="BY223">
        <v>4175</v>
      </c>
      <c r="BZ223">
        <v>0</v>
      </c>
      <c r="CB223">
        <v>207.2</v>
      </c>
      <c r="CC223">
        <v>32</v>
      </c>
      <c r="CD223">
        <v>22</v>
      </c>
      <c r="CE223">
        <v>6800.79</v>
      </c>
      <c r="CF223">
        <v>1903.44</v>
      </c>
      <c r="CG223">
        <v>88.711578422201399</v>
      </c>
      <c r="CH223">
        <v>167</v>
      </c>
      <c r="CI223">
        <v>42.3333333333333</v>
      </c>
      <c r="CJ223">
        <v>27.6666666666667</v>
      </c>
      <c r="CK223" s="81">
        <v>489</v>
      </c>
      <c r="CL223">
        <v>117</v>
      </c>
      <c r="CM223">
        <v>1786.9762539077001</v>
      </c>
      <c r="CN223">
        <v>9.8000000000000004E-2</v>
      </c>
      <c r="CO223">
        <v>15823</v>
      </c>
      <c r="CP223">
        <v>1980</v>
      </c>
      <c r="CQ223">
        <v>480</v>
      </c>
      <c r="CR223">
        <v>321</v>
      </c>
      <c r="CS223">
        <v>328</v>
      </c>
      <c r="CT223">
        <v>225</v>
      </c>
      <c r="CU223">
        <v>119.92192971407</v>
      </c>
      <c r="CV223">
        <v>74.092517949363895</v>
      </c>
      <c r="CW223">
        <v>34.347524877188597</v>
      </c>
      <c r="CX223">
        <v>348.0256</v>
      </c>
      <c r="CY223">
        <v>215.024</v>
      </c>
      <c r="CZ223">
        <v>99.68</v>
      </c>
      <c r="DA223">
        <v>0</v>
      </c>
      <c r="DE223">
        <v>716</v>
      </c>
      <c r="DF223" t="s">
        <v>294</v>
      </c>
      <c r="DG223">
        <v>6362</v>
      </c>
      <c r="DH223">
        <v>6341</v>
      </c>
      <c r="DI223">
        <v>6245</v>
      </c>
      <c r="DJ223">
        <v>6251</v>
      </c>
      <c r="DK223">
        <v>6213</v>
      </c>
      <c r="DO223">
        <v>513</v>
      </c>
      <c r="DP223" t="s">
        <v>120</v>
      </c>
      <c r="DQ223">
        <v>33065</v>
      </c>
      <c r="DR223">
        <v>1.87</v>
      </c>
      <c r="DS223">
        <v>2503</v>
      </c>
      <c r="DV223">
        <v>569</v>
      </c>
      <c r="DW223" t="s">
        <v>213</v>
      </c>
      <c r="DX223">
        <v>2761.41051325237</v>
      </c>
      <c r="DY223">
        <v>569</v>
      </c>
      <c r="DZ223">
        <v>518</v>
      </c>
      <c r="EA223">
        <v>250</v>
      </c>
      <c r="EB223">
        <v>2064</v>
      </c>
      <c r="EC223">
        <v>1149</v>
      </c>
      <c r="ED223">
        <v>370</v>
      </c>
      <c r="EE223" s="82">
        <v>0.130906473221203</v>
      </c>
      <c r="EF223" s="82">
        <v>0.350002047795548</v>
      </c>
    </row>
    <row r="224" spans="1:136" x14ac:dyDescent="0.35">
      <c r="A224" s="72">
        <v>1978</v>
      </c>
      <c r="B224" s="72">
        <v>8</v>
      </c>
      <c r="D224" s="72" t="s">
        <v>206</v>
      </c>
      <c r="E224" s="79">
        <v>3690400000</v>
      </c>
      <c r="F224" s="79">
        <v>576450000</v>
      </c>
      <c r="G224" s="79">
        <v>624750000</v>
      </c>
      <c r="H224" s="79">
        <v>43858</v>
      </c>
      <c r="I224" s="79">
        <v>12</v>
      </c>
      <c r="J224" s="79">
        <v>624.75</v>
      </c>
      <c r="K224" s="79">
        <v>10157</v>
      </c>
      <c r="L224" s="79">
        <v>8121</v>
      </c>
      <c r="M224" s="79">
        <v>2407</v>
      </c>
      <c r="N224" s="79">
        <v>3927</v>
      </c>
      <c r="O224" s="79">
        <v>2202.6</v>
      </c>
      <c r="P224" s="79">
        <v>347.66666666666703</v>
      </c>
      <c r="Q224" s="79">
        <v>1561.6666666666699</v>
      </c>
      <c r="R224" s="79">
        <v>620</v>
      </c>
      <c r="S224" s="79">
        <v>0</v>
      </c>
      <c r="T224" s="79">
        <v>869</v>
      </c>
      <c r="U224" s="79">
        <v>17074</v>
      </c>
      <c r="V224" s="79">
        <v>28760</v>
      </c>
      <c r="W224" s="79">
        <v>1450</v>
      </c>
      <c r="X224" s="79">
        <v>0</v>
      </c>
      <c r="Y224" s="79">
        <v>0</v>
      </c>
      <c r="Z224" s="79">
        <v>0</v>
      </c>
      <c r="AA224" s="79">
        <v>0</v>
      </c>
      <c r="AB224" s="79">
        <v>0</v>
      </c>
      <c r="AC224" s="79">
        <v>18150</v>
      </c>
      <c r="AD224" s="79">
        <v>26680.5</v>
      </c>
      <c r="AE224" s="79">
        <v>1008</v>
      </c>
      <c r="AF224" s="79">
        <v>0</v>
      </c>
      <c r="AG224" s="79">
        <v>356</v>
      </c>
      <c r="AH224" s="79">
        <v>346.06</v>
      </c>
      <c r="AI224" s="79">
        <v>168.72</v>
      </c>
      <c r="AJ224" s="79">
        <v>17244</v>
      </c>
      <c r="AK224" s="79">
        <v>24658.92</v>
      </c>
      <c r="AL224" s="79">
        <v>5</v>
      </c>
      <c r="AM224" s="79">
        <v>0</v>
      </c>
      <c r="AN224" s="79">
        <v>0</v>
      </c>
      <c r="AO224" s="79">
        <v>2450</v>
      </c>
      <c r="AP224" s="79">
        <v>892</v>
      </c>
      <c r="AQ224" s="79">
        <v>0</v>
      </c>
      <c r="AR224" s="80">
        <v>5.0770299999999997E-4</v>
      </c>
      <c r="AS224" s="80">
        <v>1.75212E-4</v>
      </c>
      <c r="AT224" s="79">
        <v>6776.8919999999998</v>
      </c>
      <c r="AU224" s="79">
        <v>0</v>
      </c>
      <c r="AV224" s="79">
        <v>15355.62</v>
      </c>
      <c r="AW224" s="79">
        <v>99039.001033510795</v>
      </c>
      <c r="AX224" s="79">
        <v>28</v>
      </c>
      <c r="AY224" s="79">
        <v>41.44</v>
      </c>
      <c r="AZ224" s="79">
        <v>4992</v>
      </c>
      <c r="BA224" s="79">
        <v>1</v>
      </c>
      <c r="BB224" s="79">
        <v>0</v>
      </c>
      <c r="BC224" s="79">
        <v>0</v>
      </c>
      <c r="BD224" s="79">
        <v>0</v>
      </c>
      <c r="BE224" s="79">
        <v>0</v>
      </c>
      <c r="BF224" s="79">
        <v>0</v>
      </c>
      <c r="BG224" s="79">
        <v>0</v>
      </c>
      <c r="BH224" s="79">
        <v>0</v>
      </c>
      <c r="BI224" s="79">
        <v>0</v>
      </c>
      <c r="BJ224" s="79">
        <v>0</v>
      </c>
      <c r="BK224" s="79">
        <v>35</v>
      </c>
      <c r="BL224" s="79">
        <v>4309</v>
      </c>
      <c r="BM224" s="79">
        <v>242</v>
      </c>
      <c r="BN224" s="79">
        <v>114</v>
      </c>
      <c r="BO224">
        <v>11563</v>
      </c>
      <c r="BP224">
        <v>0</v>
      </c>
      <c r="BQ224">
        <v>11509</v>
      </c>
      <c r="BR224">
        <v>0</v>
      </c>
      <c r="BS224">
        <v>11387</v>
      </c>
      <c r="BT224">
        <v>0</v>
      </c>
      <c r="BU224">
        <v>11335</v>
      </c>
      <c r="BV224">
        <v>0</v>
      </c>
      <c r="BW224">
        <v>11167</v>
      </c>
      <c r="BX224">
        <v>0</v>
      </c>
      <c r="BY224">
        <v>10974</v>
      </c>
      <c r="BZ224">
        <v>0</v>
      </c>
      <c r="CB224">
        <v>518.00699999999995</v>
      </c>
      <c r="CC224">
        <v>245</v>
      </c>
      <c r="CD224">
        <v>76</v>
      </c>
      <c r="CE224">
        <v>13085.28</v>
      </c>
      <c r="CF224">
        <v>3788.06</v>
      </c>
      <c r="CG224">
        <v>388.34218553324803</v>
      </c>
      <c r="CH224">
        <v>349</v>
      </c>
      <c r="CI224">
        <v>129</v>
      </c>
      <c r="CJ224">
        <v>89</v>
      </c>
      <c r="CK224" s="81">
        <v>1214</v>
      </c>
      <c r="CL224">
        <v>322</v>
      </c>
      <c r="CM224">
        <v>4972.6852271216003</v>
      </c>
      <c r="CN224">
        <v>0.217</v>
      </c>
      <c r="CO224">
        <v>35737</v>
      </c>
      <c r="CP224">
        <v>4904</v>
      </c>
      <c r="CQ224">
        <v>810</v>
      </c>
      <c r="CR224">
        <v>810</v>
      </c>
      <c r="CS224">
        <v>760</v>
      </c>
      <c r="CT224">
        <v>429</v>
      </c>
      <c r="CU224">
        <v>377.06304801670098</v>
      </c>
      <c r="CV224">
        <v>216.12150313152401</v>
      </c>
      <c r="CW224">
        <v>78.554801670146105</v>
      </c>
      <c r="CX224">
        <v>1081.0224000000001</v>
      </c>
      <c r="CY224">
        <v>619.61040000000003</v>
      </c>
      <c r="CZ224">
        <v>225.21299999999999</v>
      </c>
      <c r="DA224">
        <v>2920</v>
      </c>
      <c r="DE224">
        <v>717</v>
      </c>
      <c r="DF224" t="s">
        <v>312</v>
      </c>
      <c r="DG224">
        <v>4787</v>
      </c>
      <c r="DH224">
        <v>4710</v>
      </c>
      <c r="DI224">
        <v>4661</v>
      </c>
      <c r="DJ224">
        <v>4599</v>
      </c>
      <c r="DK224">
        <v>4514</v>
      </c>
      <c r="DO224">
        <v>523</v>
      </c>
      <c r="DP224" t="s">
        <v>131</v>
      </c>
      <c r="DQ224">
        <v>7277</v>
      </c>
      <c r="DR224">
        <v>1.43</v>
      </c>
      <c r="DS224">
        <v>977</v>
      </c>
      <c r="DV224">
        <v>267</v>
      </c>
      <c r="DW224" t="s">
        <v>214</v>
      </c>
      <c r="DX224">
        <v>4347.2429149797599</v>
      </c>
      <c r="DY224">
        <v>841</v>
      </c>
      <c r="DZ224">
        <v>788</v>
      </c>
      <c r="EA224">
        <v>371</v>
      </c>
      <c r="EB224">
        <v>2765</v>
      </c>
      <c r="EC224">
        <v>1695</v>
      </c>
      <c r="ED224">
        <v>542</v>
      </c>
      <c r="EE224" s="82">
        <v>0.15686852487472</v>
      </c>
      <c r="EF224" s="82">
        <v>0.41502120714199497</v>
      </c>
    </row>
    <row r="225" spans="1:136" x14ac:dyDescent="0.35">
      <c r="A225" s="72">
        <v>569</v>
      </c>
      <c r="B225" s="72">
        <v>8</v>
      </c>
      <c r="D225" s="72" t="s">
        <v>213</v>
      </c>
      <c r="E225" s="79">
        <v>2768400000</v>
      </c>
      <c r="F225" s="79">
        <v>364700000</v>
      </c>
      <c r="G225" s="79">
        <v>390950000</v>
      </c>
      <c r="H225" s="79">
        <v>28628</v>
      </c>
      <c r="I225" s="79">
        <v>4</v>
      </c>
      <c r="J225" s="79">
        <v>390.95</v>
      </c>
      <c r="K225" s="79">
        <v>5586</v>
      </c>
      <c r="L225" s="79">
        <v>5795</v>
      </c>
      <c r="M225" s="79">
        <v>1775</v>
      </c>
      <c r="N225" s="79">
        <v>2802</v>
      </c>
      <c r="O225" s="79">
        <v>1602.3</v>
      </c>
      <c r="P225" s="79">
        <v>255</v>
      </c>
      <c r="Q225" s="79">
        <v>1372</v>
      </c>
      <c r="R225" s="79">
        <v>765</v>
      </c>
      <c r="S225" s="79">
        <v>0</v>
      </c>
      <c r="T225" s="79">
        <v>678</v>
      </c>
      <c r="U225" s="79">
        <v>12305</v>
      </c>
      <c r="V225" s="79">
        <v>21960</v>
      </c>
      <c r="W225" s="79">
        <v>1980</v>
      </c>
      <c r="X225" s="79">
        <v>0</v>
      </c>
      <c r="Y225" s="79">
        <v>240.8</v>
      </c>
      <c r="Z225" s="79">
        <v>0</v>
      </c>
      <c r="AA225" s="79">
        <v>0</v>
      </c>
      <c r="AB225" s="79">
        <v>43.6</v>
      </c>
      <c r="AC225" s="79">
        <v>7804</v>
      </c>
      <c r="AD225" s="79">
        <v>10457.36</v>
      </c>
      <c r="AE225" s="79">
        <v>1312</v>
      </c>
      <c r="AF225" s="79">
        <v>0</v>
      </c>
      <c r="AG225" s="79">
        <v>209</v>
      </c>
      <c r="AH225" s="79">
        <v>199.12</v>
      </c>
      <c r="AI225" s="79">
        <v>76.95</v>
      </c>
      <c r="AJ225" s="79">
        <v>11997</v>
      </c>
      <c r="AK225" s="79">
        <v>15716.07</v>
      </c>
      <c r="AL225" s="79">
        <v>0</v>
      </c>
      <c r="AM225" s="79">
        <v>0</v>
      </c>
      <c r="AN225" s="79">
        <v>0</v>
      </c>
      <c r="AO225" s="79">
        <v>0</v>
      </c>
      <c r="AP225" s="79">
        <v>0</v>
      </c>
      <c r="AQ225" s="79">
        <v>0</v>
      </c>
      <c r="AR225" s="80">
        <v>1.5621100000000001E-4</v>
      </c>
      <c r="AS225" s="80">
        <v>1.2901300000000001E-4</v>
      </c>
      <c r="AT225" s="79">
        <v>6010.4970000000003</v>
      </c>
      <c r="AU225" s="79">
        <v>0</v>
      </c>
      <c r="AV225" s="79">
        <v>13129.32</v>
      </c>
      <c r="AW225" s="79">
        <v>105910.787117157</v>
      </c>
      <c r="AX225" s="79">
        <v>15</v>
      </c>
      <c r="AY225" s="79">
        <v>20.25</v>
      </c>
      <c r="AZ225" s="79">
        <v>3531</v>
      </c>
      <c r="BA225" s="79">
        <v>1</v>
      </c>
      <c r="BB225" s="79">
        <v>0</v>
      </c>
      <c r="BC225" s="79">
        <v>0</v>
      </c>
      <c r="BD225" s="79">
        <v>0</v>
      </c>
      <c r="BE225" s="79">
        <v>0</v>
      </c>
      <c r="BF225" s="79">
        <v>0</v>
      </c>
      <c r="BG225" s="79">
        <v>0</v>
      </c>
      <c r="BH225" s="79">
        <v>0</v>
      </c>
      <c r="BI225" s="79">
        <v>0</v>
      </c>
      <c r="BJ225" s="79">
        <v>0</v>
      </c>
      <c r="BK225" s="79">
        <v>9</v>
      </c>
      <c r="BL225" s="79">
        <v>3201</v>
      </c>
      <c r="BM225" s="79">
        <v>152</v>
      </c>
      <c r="BN225" s="79">
        <v>57</v>
      </c>
      <c r="BO225">
        <v>6154</v>
      </c>
      <c r="BP225">
        <v>234</v>
      </c>
      <c r="BQ225">
        <v>6059</v>
      </c>
      <c r="BR225">
        <v>254</v>
      </c>
      <c r="BS225">
        <v>5968</v>
      </c>
      <c r="BT225">
        <v>308</v>
      </c>
      <c r="BU225">
        <v>5851</v>
      </c>
      <c r="BV225">
        <v>373</v>
      </c>
      <c r="BW225">
        <v>5716</v>
      </c>
      <c r="BX225">
        <v>419</v>
      </c>
      <c r="BY225">
        <v>5647</v>
      </c>
      <c r="BZ225">
        <v>419</v>
      </c>
      <c r="CB225">
        <v>312.81599999999997</v>
      </c>
      <c r="CC225">
        <v>54</v>
      </c>
      <c r="CD225">
        <v>53</v>
      </c>
      <c r="CE225">
        <v>8996.68</v>
      </c>
      <c r="CF225">
        <v>2292</v>
      </c>
      <c r="CG225">
        <v>99.934391175801693</v>
      </c>
      <c r="CH225">
        <v>239</v>
      </c>
      <c r="CI225">
        <v>78.3333333333333</v>
      </c>
      <c r="CJ225">
        <v>52</v>
      </c>
      <c r="CK225" s="81">
        <v>1117</v>
      </c>
      <c r="CL225">
        <v>551</v>
      </c>
      <c r="CM225">
        <v>3691.1158502533399</v>
      </c>
      <c r="CN225">
        <v>0.14499999999999999</v>
      </c>
      <c r="CO225">
        <v>22833</v>
      </c>
      <c r="CP225">
        <v>3499</v>
      </c>
      <c r="CQ225">
        <v>521</v>
      </c>
      <c r="CR225">
        <v>580</v>
      </c>
      <c r="CS225">
        <v>545</v>
      </c>
      <c r="CT225">
        <v>242</v>
      </c>
      <c r="CU225">
        <v>280.07194298574598</v>
      </c>
      <c r="CV225">
        <v>165.34528632158001</v>
      </c>
      <c r="CW225">
        <v>49.683720930232603</v>
      </c>
      <c r="CX225">
        <v>733.95</v>
      </c>
      <c r="CY225">
        <v>433.3</v>
      </c>
      <c r="CZ225">
        <v>130.19999999999999</v>
      </c>
      <c r="DA225">
        <v>175930</v>
      </c>
      <c r="DE225">
        <v>718</v>
      </c>
      <c r="DF225" t="s">
        <v>320</v>
      </c>
      <c r="DG225">
        <v>8432</v>
      </c>
      <c r="DH225">
        <v>8301</v>
      </c>
      <c r="DI225">
        <v>8173</v>
      </c>
      <c r="DJ225">
        <v>8190</v>
      </c>
      <c r="DK225">
        <v>8115</v>
      </c>
      <c r="DO225">
        <v>530</v>
      </c>
      <c r="DP225" t="s">
        <v>143</v>
      </c>
      <c r="DQ225">
        <v>18508</v>
      </c>
      <c r="DR225">
        <v>1.04</v>
      </c>
      <c r="DS225">
        <v>1535</v>
      </c>
      <c r="DV225">
        <v>268</v>
      </c>
      <c r="DW225" t="s">
        <v>215</v>
      </c>
      <c r="DX225">
        <v>29878.6291555799</v>
      </c>
      <c r="DY225">
        <v>5158</v>
      </c>
      <c r="DZ225">
        <v>3494</v>
      </c>
      <c r="EA225">
        <v>1610</v>
      </c>
      <c r="EB225">
        <v>10957</v>
      </c>
      <c r="EC225">
        <v>6025</v>
      </c>
      <c r="ED225">
        <v>2108</v>
      </c>
      <c r="EE225" s="82">
        <v>0.25592677620827498</v>
      </c>
      <c r="EF225" s="82">
        <v>0.51638898100144803</v>
      </c>
    </row>
    <row r="226" spans="1:136" x14ac:dyDescent="0.35">
      <c r="A226" s="72">
        <v>1930</v>
      </c>
      <c r="B226" s="72">
        <v>8</v>
      </c>
      <c r="D226" s="72" t="s">
        <v>216</v>
      </c>
      <c r="E226" s="79">
        <v>5784000000</v>
      </c>
      <c r="F226" s="79">
        <v>800800000</v>
      </c>
      <c r="G226" s="79">
        <v>825300000</v>
      </c>
      <c r="H226" s="79">
        <v>84797</v>
      </c>
      <c r="I226" s="79">
        <v>4</v>
      </c>
      <c r="J226" s="79">
        <v>825.3</v>
      </c>
      <c r="K226" s="79">
        <v>15911</v>
      </c>
      <c r="L226" s="79">
        <v>16513</v>
      </c>
      <c r="M226" s="79">
        <v>4903</v>
      </c>
      <c r="N226" s="79">
        <v>11553</v>
      </c>
      <c r="O226" s="79">
        <v>7634.3</v>
      </c>
      <c r="P226" s="79">
        <v>2415</v>
      </c>
      <c r="Q226" s="79">
        <v>6639</v>
      </c>
      <c r="R226" s="79">
        <v>8640</v>
      </c>
      <c r="S226" s="79">
        <v>0</v>
      </c>
      <c r="T226" s="79">
        <v>3902</v>
      </c>
      <c r="U226" s="79">
        <v>39382</v>
      </c>
      <c r="V226" s="79">
        <v>88330</v>
      </c>
      <c r="W226" s="79">
        <v>69640</v>
      </c>
      <c r="X226" s="79">
        <v>1611.64</v>
      </c>
      <c r="Y226" s="79">
        <v>3625.6</v>
      </c>
      <c r="Z226" s="79">
        <v>0</v>
      </c>
      <c r="AA226" s="79">
        <v>0</v>
      </c>
      <c r="AB226" s="79">
        <v>0</v>
      </c>
      <c r="AC226" s="79">
        <v>7338</v>
      </c>
      <c r="AD226" s="79">
        <v>9172.5</v>
      </c>
      <c r="AE226" s="79">
        <v>1042</v>
      </c>
      <c r="AF226" s="79">
        <v>0</v>
      </c>
      <c r="AG226" s="79">
        <v>344</v>
      </c>
      <c r="AH226" s="79">
        <v>403.48</v>
      </c>
      <c r="AI226" s="79">
        <v>44.28</v>
      </c>
      <c r="AJ226" s="79">
        <v>39187</v>
      </c>
      <c r="AK226" s="79">
        <v>51334.97</v>
      </c>
      <c r="AL226" s="79">
        <v>5</v>
      </c>
      <c r="AM226" s="79">
        <v>0</v>
      </c>
      <c r="AN226" s="79">
        <v>0</v>
      </c>
      <c r="AO226" s="79">
        <v>0</v>
      </c>
      <c r="AP226" s="79">
        <v>0</v>
      </c>
      <c r="AQ226" s="79">
        <v>0</v>
      </c>
      <c r="AR226" s="80">
        <v>3.1035399999999999E-4</v>
      </c>
      <c r="AS226" s="80">
        <v>2.02177E-3</v>
      </c>
      <c r="AT226" s="79">
        <v>79863.106</v>
      </c>
      <c r="AU226" s="79">
        <v>0</v>
      </c>
      <c r="AV226" s="79">
        <v>5180</v>
      </c>
      <c r="AW226" s="79">
        <v>101973.957935561</v>
      </c>
      <c r="AX226" s="79">
        <v>6</v>
      </c>
      <c r="AY226" s="79">
        <v>7.38</v>
      </c>
      <c r="AZ226" s="79">
        <v>5759</v>
      </c>
      <c r="BA226" s="79">
        <v>1</v>
      </c>
      <c r="BB226" s="79">
        <v>0</v>
      </c>
      <c r="BC226" s="79">
        <v>0</v>
      </c>
      <c r="BD226" s="79">
        <v>0</v>
      </c>
      <c r="BE226" s="79">
        <v>0</v>
      </c>
      <c r="BF226" s="79">
        <v>0</v>
      </c>
      <c r="BG226" s="79">
        <v>0</v>
      </c>
      <c r="BH226" s="79">
        <v>0</v>
      </c>
      <c r="BI226" s="79">
        <v>0</v>
      </c>
      <c r="BJ226" s="79">
        <v>0</v>
      </c>
      <c r="BK226" s="79">
        <v>25</v>
      </c>
      <c r="BL226" s="79">
        <v>12966</v>
      </c>
      <c r="BM226" s="79">
        <v>308</v>
      </c>
      <c r="BN226" s="79">
        <v>36</v>
      </c>
      <c r="BO226">
        <v>17402</v>
      </c>
      <c r="BP226">
        <v>5552</v>
      </c>
      <c r="BQ226">
        <v>17084</v>
      </c>
      <c r="BR226">
        <v>5524</v>
      </c>
      <c r="BS226">
        <v>16807</v>
      </c>
      <c r="BT226">
        <v>5405</v>
      </c>
      <c r="BU226">
        <v>16586</v>
      </c>
      <c r="BV226">
        <v>5304</v>
      </c>
      <c r="BW226">
        <v>16424</v>
      </c>
      <c r="BX226">
        <v>5227</v>
      </c>
      <c r="BY226">
        <v>16263</v>
      </c>
      <c r="BZ226">
        <v>5014</v>
      </c>
      <c r="CB226">
        <v>2529.8490000000002</v>
      </c>
      <c r="CC226">
        <v>480</v>
      </c>
      <c r="CD226">
        <v>247</v>
      </c>
      <c r="CE226">
        <v>25830.51</v>
      </c>
      <c r="CF226">
        <v>5882.56</v>
      </c>
      <c r="CG226">
        <v>504.45313742690098</v>
      </c>
      <c r="CH226">
        <v>1471</v>
      </c>
      <c r="CI226">
        <v>793.33333333333303</v>
      </c>
      <c r="CJ226">
        <v>787.33333333333303</v>
      </c>
      <c r="CK226" s="81">
        <v>4224</v>
      </c>
      <c r="CL226">
        <v>1264</v>
      </c>
      <c r="CM226">
        <v>15341.105829083301</v>
      </c>
      <c r="CN226">
        <v>6.1660000000000004</v>
      </c>
      <c r="CO226">
        <v>68284</v>
      </c>
      <c r="CP226">
        <v>9981</v>
      </c>
      <c r="CQ226">
        <v>1629</v>
      </c>
      <c r="CR226">
        <v>2251</v>
      </c>
      <c r="CS226">
        <v>1804</v>
      </c>
      <c r="CT226">
        <v>878</v>
      </c>
      <c r="CU226">
        <v>1256.5706739479899</v>
      </c>
      <c r="CV226">
        <v>694.133536632046</v>
      </c>
      <c r="CW226">
        <v>239.625105264501</v>
      </c>
      <c r="CX226">
        <v>2974.0949999999998</v>
      </c>
      <c r="CY226">
        <v>1642.8993</v>
      </c>
      <c r="CZ226">
        <v>567.15300000000002</v>
      </c>
      <c r="DA226">
        <v>54385</v>
      </c>
      <c r="DE226">
        <v>733</v>
      </c>
      <c r="DF226" t="s">
        <v>808</v>
      </c>
      <c r="DG226">
        <v>2586</v>
      </c>
      <c r="DH226">
        <v>2522</v>
      </c>
      <c r="DI226">
        <v>2498</v>
      </c>
      <c r="DJ226">
        <v>2425</v>
      </c>
      <c r="DK226">
        <v>2428</v>
      </c>
      <c r="DO226">
        <v>531</v>
      </c>
      <c r="DP226" t="s">
        <v>145</v>
      </c>
      <c r="DQ226">
        <v>12186</v>
      </c>
      <c r="DR226">
        <v>1.35</v>
      </c>
      <c r="DS226">
        <v>1782</v>
      </c>
      <c r="DV226">
        <v>1930</v>
      </c>
      <c r="DW226" t="s">
        <v>216</v>
      </c>
      <c r="DX226">
        <v>11515.2845623013</v>
      </c>
      <c r="DY226">
        <v>2219</v>
      </c>
      <c r="DZ226">
        <v>1770</v>
      </c>
      <c r="EA226">
        <v>867</v>
      </c>
      <c r="EB226">
        <v>6278</v>
      </c>
      <c r="EC226">
        <v>3455</v>
      </c>
      <c r="ED226">
        <v>1191</v>
      </c>
      <c r="EE226" s="82">
        <v>0.195437939356577</v>
      </c>
      <c r="EF226" s="82">
        <v>0.45714514872359002</v>
      </c>
    </row>
    <row r="227" spans="1:136" x14ac:dyDescent="0.35">
      <c r="A227" s="72">
        <v>575</v>
      </c>
      <c r="B227" s="72">
        <v>8</v>
      </c>
      <c r="D227" s="72" t="s">
        <v>221</v>
      </c>
      <c r="E227" s="79">
        <v>5429600000</v>
      </c>
      <c r="F227" s="79">
        <v>746200000</v>
      </c>
      <c r="G227" s="79">
        <v>797300000</v>
      </c>
      <c r="H227" s="79">
        <v>42859</v>
      </c>
      <c r="I227" s="79">
        <v>4</v>
      </c>
      <c r="J227" s="79">
        <v>797.3</v>
      </c>
      <c r="K227" s="79">
        <v>7896</v>
      </c>
      <c r="L227" s="79">
        <v>9281</v>
      </c>
      <c r="M227" s="79">
        <v>2860</v>
      </c>
      <c r="N227" s="79">
        <v>5443</v>
      </c>
      <c r="O227" s="79">
        <v>3249.8</v>
      </c>
      <c r="P227" s="79">
        <v>460.33333333333297</v>
      </c>
      <c r="Q227" s="79">
        <v>2400.3333333333298</v>
      </c>
      <c r="R227" s="79">
        <v>1075</v>
      </c>
      <c r="S227" s="79">
        <v>0</v>
      </c>
      <c r="T227" s="79">
        <v>1329</v>
      </c>
      <c r="U227" s="79">
        <v>20272</v>
      </c>
      <c r="V227" s="79">
        <v>36310</v>
      </c>
      <c r="W227" s="79">
        <v>9460</v>
      </c>
      <c r="X227" s="79">
        <v>688.54</v>
      </c>
      <c r="Y227" s="79">
        <v>1874.4</v>
      </c>
      <c r="Z227" s="79">
        <v>0</v>
      </c>
      <c r="AA227" s="79">
        <v>0</v>
      </c>
      <c r="AB227" s="79">
        <v>20.899999999999601</v>
      </c>
      <c r="AC227" s="79">
        <v>5856</v>
      </c>
      <c r="AD227" s="79">
        <v>5856</v>
      </c>
      <c r="AE227" s="79">
        <v>102</v>
      </c>
      <c r="AF227" s="79">
        <v>1535</v>
      </c>
      <c r="AG227" s="79">
        <v>273</v>
      </c>
      <c r="AH227" s="79">
        <v>230</v>
      </c>
      <c r="AI227" s="79">
        <v>43</v>
      </c>
      <c r="AJ227" s="79">
        <v>21932</v>
      </c>
      <c r="AK227" s="79">
        <v>21932</v>
      </c>
      <c r="AL227" s="79">
        <v>0</v>
      </c>
      <c r="AM227" s="79">
        <v>0</v>
      </c>
      <c r="AN227" s="79">
        <v>0</v>
      </c>
      <c r="AO227" s="79">
        <v>0</v>
      </c>
      <c r="AP227" s="79">
        <v>2742</v>
      </c>
      <c r="AQ227" s="79">
        <v>0</v>
      </c>
      <c r="AR227" s="80">
        <v>6.3022600000000001E-4</v>
      </c>
      <c r="AS227" s="80">
        <v>6.9664399999999995E-4</v>
      </c>
      <c r="AT227" s="79">
        <v>30375.82</v>
      </c>
      <c r="AU227" s="79">
        <v>0</v>
      </c>
      <c r="AV227" s="79">
        <v>1851</v>
      </c>
      <c r="AW227" s="79">
        <v>13315.207955689801</v>
      </c>
      <c r="AX227" s="79">
        <v>7</v>
      </c>
      <c r="AY227" s="79">
        <v>7</v>
      </c>
      <c r="AZ227" s="79">
        <v>5449</v>
      </c>
      <c r="BA227" s="79">
        <v>1</v>
      </c>
      <c r="BB227" s="79">
        <v>0</v>
      </c>
      <c r="BC227" s="79">
        <v>0</v>
      </c>
      <c r="BD227" s="79">
        <v>0</v>
      </c>
      <c r="BE227" s="79">
        <v>0</v>
      </c>
      <c r="BF227" s="79">
        <v>0</v>
      </c>
      <c r="BG227" s="79">
        <v>0</v>
      </c>
      <c r="BH227" s="79">
        <v>0</v>
      </c>
      <c r="BI227" s="79">
        <v>0</v>
      </c>
      <c r="BJ227" s="79">
        <v>0</v>
      </c>
      <c r="BK227" s="79">
        <v>24</v>
      </c>
      <c r="BL227" s="79">
        <v>7123</v>
      </c>
      <c r="BM227" s="79">
        <v>230</v>
      </c>
      <c r="BN227" s="79">
        <v>43</v>
      </c>
      <c r="BO227">
        <v>8210</v>
      </c>
      <c r="BP227">
        <v>2111</v>
      </c>
      <c r="BQ227">
        <v>8161</v>
      </c>
      <c r="BR227">
        <v>2132</v>
      </c>
      <c r="BS227">
        <v>8060</v>
      </c>
      <c r="BT227">
        <v>2255</v>
      </c>
      <c r="BU227">
        <v>8046</v>
      </c>
      <c r="BV227">
        <v>2435</v>
      </c>
      <c r="BW227">
        <v>8041</v>
      </c>
      <c r="BX227">
        <v>2467</v>
      </c>
      <c r="BY227">
        <v>8075</v>
      </c>
      <c r="BZ227">
        <v>2536</v>
      </c>
      <c r="CB227">
        <v>734.32799999999997</v>
      </c>
      <c r="CC227">
        <v>78</v>
      </c>
      <c r="CD227">
        <v>81</v>
      </c>
      <c r="CE227">
        <v>14480.25</v>
      </c>
      <c r="CF227">
        <v>3345.54</v>
      </c>
      <c r="CG227">
        <v>196.46524021296599</v>
      </c>
      <c r="CH227">
        <v>475</v>
      </c>
      <c r="CI227">
        <v>107.666666666667</v>
      </c>
      <c r="CJ227">
        <v>82.3333333333333</v>
      </c>
      <c r="CK227" s="81">
        <v>1940</v>
      </c>
      <c r="CL227">
        <v>774</v>
      </c>
      <c r="CM227">
        <v>5621.7915035799497</v>
      </c>
      <c r="CN227">
        <v>0.35499999999999998</v>
      </c>
      <c r="CO227">
        <v>33578</v>
      </c>
      <c r="CP227">
        <v>5472</v>
      </c>
      <c r="CQ227">
        <v>949</v>
      </c>
      <c r="CR227">
        <v>1229</v>
      </c>
      <c r="CS227">
        <v>994</v>
      </c>
      <c r="CT227">
        <v>522</v>
      </c>
      <c r="CU227">
        <v>503.94719131862098</v>
      </c>
      <c r="CV227">
        <v>299.464061645085</v>
      </c>
      <c r="CW227">
        <v>105.205088455225</v>
      </c>
      <c r="CX227">
        <v>1234.2229</v>
      </c>
      <c r="CY227">
        <v>733.42089999999996</v>
      </c>
      <c r="CZ227">
        <v>257.65899999999999</v>
      </c>
      <c r="DA227">
        <v>366686</v>
      </c>
      <c r="DE227">
        <v>736</v>
      </c>
      <c r="DF227" t="s">
        <v>78</v>
      </c>
      <c r="DG227">
        <v>10183</v>
      </c>
      <c r="DH227">
        <v>9930</v>
      </c>
      <c r="DI227">
        <v>9732</v>
      </c>
      <c r="DJ227">
        <v>9583</v>
      </c>
      <c r="DK227">
        <v>9328</v>
      </c>
      <c r="DO227">
        <v>534</v>
      </c>
      <c r="DP227" t="s">
        <v>150</v>
      </c>
      <c r="DQ227">
        <v>9828</v>
      </c>
      <c r="DR227">
        <v>1.1100000000000001</v>
      </c>
      <c r="DS227">
        <v>1540</v>
      </c>
      <c r="DV227">
        <v>1695</v>
      </c>
      <c r="DW227" t="s">
        <v>218</v>
      </c>
      <c r="DX227">
        <v>1111.9656160458501</v>
      </c>
      <c r="DY227">
        <v>246</v>
      </c>
      <c r="DZ227">
        <v>206</v>
      </c>
      <c r="EA227">
        <v>85</v>
      </c>
      <c r="EB227">
        <v>732</v>
      </c>
      <c r="EC227">
        <v>425</v>
      </c>
      <c r="ED227">
        <v>129</v>
      </c>
      <c r="EE227" s="82">
        <v>8.42833304683204E-2</v>
      </c>
      <c r="EF227" s="82">
        <v>0.48170966454611602</v>
      </c>
    </row>
    <row r="228" spans="1:136" x14ac:dyDescent="0.35">
      <c r="A228" s="72">
        <v>579</v>
      </c>
      <c r="B228" s="72">
        <v>8</v>
      </c>
      <c r="D228" s="72" t="s">
        <v>224</v>
      </c>
      <c r="E228" s="79">
        <v>3415600000</v>
      </c>
      <c r="F228" s="79">
        <v>271600000</v>
      </c>
      <c r="G228" s="79">
        <v>288050000</v>
      </c>
      <c r="H228" s="79">
        <v>24426</v>
      </c>
      <c r="I228" s="79">
        <v>1</v>
      </c>
      <c r="J228" s="79">
        <v>288.05</v>
      </c>
      <c r="K228" s="79">
        <v>5431</v>
      </c>
      <c r="L228" s="79">
        <v>4945</v>
      </c>
      <c r="M228" s="79">
        <v>1564</v>
      </c>
      <c r="N228" s="79">
        <v>2206</v>
      </c>
      <c r="O228" s="79">
        <v>1124.2</v>
      </c>
      <c r="P228" s="79">
        <v>307</v>
      </c>
      <c r="Q228" s="79">
        <v>983</v>
      </c>
      <c r="R228" s="79">
        <v>905</v>
      </c>
      <c r="S228" s="79">
        <v>0</v>
      </c>
      <c r="T228" s="79">
        <v>743</v>
      </c>
      <c r="U228" s="79">
        <v>11012</v>
      </c>
      <c r="V228" s="79">
        <v>20130</v>
      </c>
      <c r="W228" s="79">
        <v>5290</v>
      </c>
      <c r="X228" s="79">
        <v>1705.78</v>
      </c>
      <c r="Y228" s="79">
        <v>1583.2</v>
      </c>
      <c r="Z228" s="79">
        <v>0</v>
      </c>
      <c r="AA228" s="79">
        <v>0</v>
      </c>
      <c r="AB228" s="79">
        <v>0</v>
      </c>
      <c r="AC228" s="79">
        <v>728</v>
      </c>
      <c r="AD228" s="79">
        <v>728</v>
      </c>
      <c r="AE228" s="79">
        <v>69</v>
      </c>
      <c r="AF228" s="79">
        <v>0</v>
      </c>
      <c r="AG228" s="79">
        <v>92</v>
      </c>
      <c r="AH228" s="79">
        <v>89</v>
      </c>
      <c r="AI228" s="79">
        <v>3</v>
      </c>
      <c r="AJ228" s="79">
        <v>10818</v>
      </c>
      <c r="AK228" s="79">
        <v>10818</v>
      </c>
      <c r="AL228" s="79">
        <v>0</v>
      </c>
      <c r="AM228" s="79">
        <v>0</v>
      </c>
      <c r="AN228" s="79">
        <v>0</v>
      </c>
      <c r="AO228" s="79">
        <v>0</v>
      </c>
      <c r="AP228" s="79">
        <v>1027</v>
      </c>
      <c r="AQ228" s="79">
        <v>0</v>
      </c>
      <c r="AR228" s="80">
        <v>2.5899099999999997E-4</v>
      </c>
      <c r="AS228" s="80">
        <v>3.4362999999999999E-4</v>
      </c>
      <c r="AT228" s="79">
        <v>18877.41</v>
      </c>
      <c r="AU228" s="79">
        <v>0</v>
      </c>
      <c r="AV228" s="79">
        <v>651</v>
      </c>
      <c r="AW228" s="79">
        <v>19951.475533249701</v>
      </c>
      <c r="AX228" s="79">
        <v>1</v>
      </c>
      <c r="AY228" s="79">
        <v>1</v>
      </c>
      <c r="AZ228" s="79">
        <v>2481</v>
      </c>
      <c r="BA228" s="79">
        <v>1</v>
      </c>
      <c r="BB228" s="79">
        <v>0</v>
      </c>
      <c r="BC228" s="79">
        <v>0</v>
      </c>
      <c r="BD228" s="79">
        <v>0</v>
      </c>
      <c r="BE228" s="79">
        <v>0</v>
      </c>
      <c r="BF228" s="79">
        <v>0</v>
      </c>
      <c r="BG228" s="79">
        <v>0</v>
      </c>
      <c r="BH228" s="79">
        <v>0</v>
      </c>
      <c r="BI228" s="79">
        <v>0</v>
      </c>
      <c r="BJ228" s="79">
        <v>0</v>
      </c>
      <c r="BK228" s="79">
        <v>7</v>
      </c>
      <c r="BL228" s="79">
        <v>3653</v>
      </c>
      <c r="BM228" s="79">
        <v>89</v>
      </c>
      <c r="BN228" s="79">
        <v>3</v>
      </c>
      <c r="BO228">
        <v>5243</v>
      </c>
      <c r="BP228">
        <v>2003</v>
      </c>
      <c r="BQ228">
        <v>5190</v>
      </c>
      <c r="BR228">
        <v>1937</v>
      </c>
      <c r="BS228">
        <v>5172</v>
      </c>
      <c r="BT228">
        <v>2003</v>
      </c>
      <c r="BU228">
        <v>5131</v>
      </c>
      <c r="BV228">
        <v>2039</v>
      </c>
      <c r="BW228">
        <v>5132</v>
      </c>
      <c r="BX228">
        <v>2043</v>
      </c>
      <c r="BY228">
        <v>5085</v>
      </c>
      <c r="BZ228">
        <v>2067</v>
      </c>
      <c r="CB228">
        <v>336.72199999999998</v>
      </c>
      <c r="CC228">
        <v>12</v>
      </c>
      <c r="CD228">
        <v>25</v>
      </c>
      <c r="CE228">
        <v>10337.290000000001</v>
      </c>
      <c r="CF228">
        <v>2762.88</v>
      </c>
      <c r="CG228">
        <v>210.360733333333</v>
      </c>
      <c r="CH228">
        <v>263</v>
      </c>
      <c r="CI228">
        <v>86</v>
      </c>
      <c r="CJ228">
        <v>68</v>
      </c>
      <c r="CK228" s="81">
        <v>676</v>
      </c>
      <c r="CL228">
        <v>251</v>
      </c>
      <c r="CM228">
        <v>2684.6814563316002</v>
      </c>
      <c r="CN228">
        <v>0.32300000000000001</v>
      </c>
      <c r="CO228">
        <v>19481</v>
      </c>
      <c r="CP228">
        <v>2674</v>
      </c>
      <c r="CQ228">
        <v>707</v>
      </c>
      <c r="CR228">
        <v>645</v>
      </c>
      <c r="CS228">
        <v>593</v>
      </c>
      <c r="CT228">
        <v>406</v>
      </c>
      <c r="CU228">
        <v>178.11784063597699</v>
      </c>
      <c r="CV228">
        <v>115.870123867628</v>
      </c>
      <c r="CW228">
        <v>56.739988907376599</v>
      </c>
      <c r="CX228">
        <v>336.62959999999998</v>
      </c>
      <c r="CY228">
        <v>218.98599999999999</v>
      </c>
      <c r="CZ228">
        <v>107.23439999999999</v>
      </c>
      <c r="DA228">
        <v>29186</v>
      </c>
      <c r="DE228">
        <v>737</v>
      </c>
      <c r="DF228" t="s">
        <v>300</v>
      </c>
      <c r="DG228">
        <v>7218</v>
      </c>
      <c r="DH228">
        <v>7212</v>
      </c>
      <c r="DI228">
        <v>7180</v>
      </c>
      <c r="DJ228">
        <v>7116</v>
      </c>
      <c r="DK228">
        <v>7034</v>
      </c>
      <c r="DO228">
        <v>1884</v>
      </c>
      <c r="DP228" t="s">
        <v>163</v>
      </c>
      <c r="DQ228">
        <v>11650</v>
      </c>
      <c r="DR228">
        <v>1.28</v>
      </c>
      <c r="DS228">
        <v>581</v>
      </c>
      <c r="DV228">
        <v>1699</v>
      </c>
      <c r="DW228" t="s">
        <v>219</v>
      </c>
      <c r="DX228">
        <v>4541.2013632078897</v>
      </c>
      <c r="DY228">
        <v>846</v>
      </c>
      <c r="DZ228">
        <v>801</v>
      </c>
      <c r="EA228">
        <v>463</v>
      </c>
      <c r="EB228">
        <v>2762</v>
      </c>
      <c r="EC228">
        <v>1864</v>
      </c>
      <c r="ED228">
        <v>683</v>
      </c>
      <c r="EE228" s="82">
        <v>0.20572245612009499</v>
      </c>
      <c r="EF228" s="82">
        <v>0.44529638226801799</v>
      </c>
    </row>
    <row r="229" spans="1:136" x14ac:dyDescent="0.35">
      <c r="A229" s="72">
        <v>590</v>
      </c>
      <c r="B229" s="72">
        <v>8</v>
      </c>
      <c r="D229" s="72" t="s">
        <v>243</v>
      </c>
      <c r="E229" s="79">
        <v>2493600000</v>
      </c>
      <c r="F229" s="79">
        <v>375550000</v>
      </c>
      <c r="G229" s="79">
        <v>381500000</v>
      </c>
      <c r="H229" s="79">
        <v>32290</v>
      </c>
      <c r="I229" s="79">
        <v>1</v>
      </c>
      <c r="J229" s="79">
        <v>381.5</v>
      </c>
      <c r="K229" s="79">
        <v>6425</v>
      </c>
      <c r="L229" s="79">
        <v>7074</v>
      </c>
      <c r="M229" s="79">
        <v>2378</v>
      </c>
      <c r="N229" s="79">
        <v>3642</v>
      </c>
      <c r="O229" s="79">
        <v>2199.6</v>
      </c>
      <c r="P229" s="79">
        <v>525.33333333333303</v>
      </c>
      <c r="Q229" s="79">
        <v>1820.3333333333301</v>
      </c>
      <c r="R229" s="79">
        <v>1995</v>
      </c>
      <c r="S229" s="79">
        <v>0</v>
      </c>
      <c r="T229" s="79">
        <v>1098</v>
      </c>
      <c r="U229" s="79">
        <v>14301</v>
      </c>
      <c r="V229" s="79">
        <v>30110</v>
      </c>
      <c r="W229" s="79">
        <v>12890</v>
      </c>
      <c r="X229" s="79">
        <v>269.27999999999997</v>
      </c>
      <c r="Y229" s="79">
        <v>2540.8000000000002</v>
      </c>
      <c r="Z229" s="79">
        <v>0</v>
      </c>
      <c r="AA229" s="79">
        <v>0</v>
      </c>
      <c r="AB229" s="79">
        <v>0</v>
      </c>
      <c r="AC229" s="79">
        <v>935</v>
      </c>
      <c r="AD229" s="79">
        <v>1309</v>
      </c>
      <c r="AE229" s="79">
        <v>144</v>
      </c>
      <c r="AF229" s="79">
        <v>0</v>
      </c>
      <c r="AG229" s="79">
        <v>132</v>
      </c>
      <c r="AH229" s="79">
        <v>173.75</v>
      </c>
      <c r="AI229" s="79">
        <v>9.8000000000000007</v>
      </c>
      <c r="AJ229" s="79">
        <v>14424</v>
      </c>
      <c r="AK229" s="79">
        <v>20049.36</v>
      </c>
      <c r="AL229" s="79">
        <v>0</v>
      </c>
      <c r="AM229" s="79">
        <v>0</v>
      </c>
      <c r="AN229" s="79">
        <v>0</v>
      </c>
      <c r="AO229" s="79">
        <v>0</v>
      </c>
      <c r="AP229" s="79">
        <v>1239</v>
      </c>
      <c r="AQ229" s="79">
        <v>0</v>
      </c>
      <c r="AR229" s="80">
        <v>1.0791E-4</v>
      </c>
      <c r="AS229" s="80">
        <v>6.3495999999999995E-4</v>
      </c>
      <c r="AT229" s="79">
        <v>27679.655999999999</v>
      </c>
      <c r="AU229" s="79">
        <v>0</v>
      </c>
      <c r="AV229" s="79">
        <v>1080.8</v>
      </c>
      <c r="AW229" s="79">
        <v>83708.607970342899</v>
      </c>
      <c r="AX229" s="79">
        <v>1</v>
      </c>
      <c r="AY229" s="79">
        <v>1.4</v>
      </c>
      <c r="AZ229" s="79">
        <v>2807</v>
      </c>
      <c r="BA229" s="79">
        <v>1</v>
      </c>
      <c r="BB229" s="79">
        <v>0</v>
      </c>
      <c r="BC229" s="79">
        <v>0</v>
      </c>
      <c r="BD229" s="79">
        <v>0</v>
      </c>
      <c r="BE229" s="79">
        <v>0</v>
      </c>
      <c r="BF229" s="79">
        <v>0</v>
      </c>
      <c r="BG229" s="79">
        <v>0</v>
      </c>
      <c r="BH229" s="79">
        <v>0</v>
      </c>
      <c r="BI229" s="79">
        <v>0</v>
      </c>
      <c r="BJ229" s="79">
        <v>0</v>
      </c>
      <c r="BK229" s="79">
        <v>42</v>
      </c>
      <c r="BL229" s="79">
        <v>4417</v>
      </c>
      <c r="BM229" s="79">
        <v>125</v>
      </c>
      <c r="BN229" s="79">
        <v>7</v>
      </c>
      <c r="BO229">
        <v>6992</v>
      </c>
      <c r="BP229">
        <v>3086</v>
      </c>
      <c r="BQ229">
        <v>7011</v>
      </c>
      <c r="BR229">
        <v>3066</v>
      </c>
      <c r="BS229">
        <v>6942</v>
      </c>
      <c r="BT229">
        <v>3246</v>
      </c>
      <c r="BU229">
        <v>6930</v>
      </c>
      <c r="BV229">
        <v>3379</v>
      </c>
      <c r="BW229">
        <v>6872</v>
      </c>
      <c r="BX229">
        <v>3539</v>
      </c>
      <c r="BY229">
        <v>6827</v>
      </c>
      <c r="BZ229">
        <v>3606</v>
      </c>
      <c r="CB229">
        <v>597.52499999999998</v>
      </c>
      <c r="CC229">
        <v>102</v>
      </c>
      <c r="CD229">
        <v>86</v>
      </c>
      <c r="CE229">
        <v>10164.24</v>
      </c>
      <c r="CF229">
        <v>2531.9299999999998</v>
      </c>
      <c r="CG229">
        <v>285.71520857473899</v>
      </c>
      <c r="CH229">
        <v>455</v>
      </c>
      <c r="CI229">
        <v>177.666666666667</v>
      </c>
      <c r="CJ229">
        <v>144.333333333333</v>
      </c>
      <c r="CK229" s="81">
        <v>1295</v>
      </c>
      <c r="CL229">
        <v>348</v>
      </c>
      <c r="CM229">
        <v>5117.8969114363699</v>
      </c>
      <c r="CN229">
        <v>0.877</v>
      </c>
      <c r="CO229">
        <v>25216</v>
      </c>
      <c r="CP229">
        <v>3947</v>
      </c>
      <c r="CQ229">
        <v>749</v>
      </c>
      <c r="CR229">
        <v>792</v>
      </c>
      <c r="CS229">
        <v>803</v>
      </c>
      <c r="CT229">
        <v>409</v>
      </c>
      <c r="CU229">
        <v>371.937354409318</v>
      </c>
      <c r="CV229">
        <v>257.26048252911801</v>
      </c>
      <c r="CW229">
        <v>90.277537437603996</v>
      </c>
      <c r="CX229">
        <v>1003.1607</v>
      </c>
      <c r="CY229">
        <v>693.86310000000003</v>
      </c>
      <c r="CZ229">
        <v>243.4896</v>
      </c>
      <c r="DA229">
        <v>5475</v>
      </c>
      <c r="DE229">
        <v>738</v>
      </c>
      <c r="DF229" t="s">
        <v>822</v>
      </c>
      <c r="DG229">
        <v>3284</v>
      </c>
      <c r="DH229">
        <v>3251</v>
      </c>
      <c r="DI229">
        <v>3241</v>
      </c>
      <c r="DJ229">
        <v>3241</v>
      </c>
      <c r="DK229">
        <v>3171</v>
      </c>
      <c r="DO229">
        <v>537</v>
      </c>
      <c r="DP229" t="s">
        <v>166</v>
      </c>
      <c r="DQ229">
        <v>26493</v>
      </c>
      <c r="DR229">
        <v>1</v>
      </c>
      <c r="DS229">
        <v>2122</v>
      </c>
      <c r="DV229">
        <v>171</v>
      </c>
      <c r="DW229" t="s">
        <v>220</v>
      </c>
      <c r="DX229">
        <v>5768.1453679195301</v>
      </c>
      <c r="DY229">
        <v>871</v>
      </c>
      <c r="DZ229">
        <v>746</v>
      </c>
      <c r="EA229">
        <v>434</v>
      </c>
      <c r="EB229">
        <v>2952</v>
      </c>
      <c r="EC229">
        <v>1604</v>
      </c>
      <c r="ED229">
        <v>590</v>
      </c>
      <c r="EE229" s="82">
        <v>0.18899971781750299</v>
      </c>
      <c r="EF229" s="82">
        <v>0.49876271685266299</v>
      </c>
    </row>
    <row r="230" spans="1:136" x14ac:dyDescent="0.35">
      <c r="A230" s="72">
        <v>1926</v>
      </c>
      <c r="B230" s="72">
        <v>8</v>
      </c>
      <c r="D230" s="72" t="s">
        <v>246</v>
      </c>
      <c r="E230" s="79">
        <v>5417200000</v>
      </c>
      <c r="F230" s="79">
        <v>561400000</v>
      </c>
      <c r="G230" s="79">
        <v>582750000</v>
      </c>
      <c r="H230" s="79">
        <v>54331</v>
      </c>
      <c r="I230" s="79">
        <v>3</v>
      </c>
      <c r="J230" s="79">
        <v>582.75</v>
      </c>
      <c r="K230" s="79">
        <v>13419</v>
      </c>
      <c r="L230" s="79">
        <v>7969</v>
      </c>
      <c r="M230" s="79">
        <v>2602</v>
      </c>
      <c r="N230" s="79">
        <v>4077</v>
      </c>
      <c r="O230" s="79">
        <v>1951.5</v>
      </c>
      <c r="P230" s="79">
        <v>484</v>
      </c>
      <c r="Q230" s="79">
        <v>2281</v>
      </c>
      <c r="R230" s="79">
        <v>4045</v>
      </c>
      <c r="S230" s="79">
        <v>0</v>
      </c>
      <c r="T230" s="79">
        <v>1652</v>
      </c>
      <c r="U230" s="79">
        <v>21729</v>
      </c>
      <c r="V230" s="79">
        <v>35570</v>
      </c>
      <c r="W230" s="79">
        <v>5880</v>
      </c>
      <c r="X230" s="79">
        <v>628.02</v>
      </c>
      <c r="Y230" s="79">
        <v>1056.8</v>
      </c>
      <c r="Z230" s="79">
        <v>0</v>
      </c>
      <c r="AA230" s="79">
        <v>0</v>
      </c>
      <c r="AB230" s="79">
        <v>185.8</v>
      </c>
      <c r="AC230" s="79">
        <v>3696</v>
      </c>
      <c r="AD230" s="79">
        <v>4915.68</v>
      </c>
      <c r="AE230" s="79">
        <v>166</v>
      </c>
      <c r="AF230" s="79">
        <v>0</v>
      </c>
      <c r="AG230" s="79">
        <v>238</v>
      </c>
      <c r="AH230" s="79">
        <v>281.64999999999998</v>
      </c>
      <c r="AI230" s="79">
        <v>30.82</v>
      </c>
      <c r="AJ230" s="79">
        <v>21255</v>
      </c>
      <c r="AK230" s="79">
        <v>27844.05</v>
      </c>
      <c r="AL230" s="79">
        <v>0</v>
      </c>
      <c r="AM230" s="79">
        <v>0</v>
      </c>
      <c r="AN230" s="79">
        <v>0</v>
      </c>
      <c r="AO230" s="79">
        <v>0</v>
      </c>
      <c r="AP230" s="79">
        <v>0</v>
      </c>
      <c r="AQ230" s="79">
        <v>0</v>
      </c>
      <c r="AR230" s="80">
        <v>1.7387899999999999E-4</v>
      </c>
      <c r="AS230" s="80">
        <v>2.0177899999999999E-4</v>
      </c>
      <c r="AT230" s="79">
        <v>31839.99</v>
      </c>
      <c r="AU230" s="79">
        <v>0</v>
      </c>
      <c r="AV230" s="79">
        <v>4757.41</v>
      </c>
      <c r="AW230" s="79">
        <v>143154.588226308</v>
      </c>
      <c r="AX230" s="79">
        <v>8</v>
      </c>
      <c r="AY230" s="79">
        <v>10.72</v>
      </c>
      <c r="AZ230" s="79">
        <v>5511</v>
      </c>
      <c r="BA230" s="79">
        <v>1</v>
      </c>
      <c r="BB230" s="79">
        <v>0</v>
      </c>
      <c r="BC230" s="79">
        <v>0</v>
      </c>
      <c r="BD230" s="79">
        <v>0</v>
      </c>
      <c r="BE230" s="79">
        <v>0</v>
      </c>
      <c r="BF230" s="79">
        <v>0</v>
      </c>
      <c r="BG230" s="79">
        <v>0</v>
      </c>
      <c r="BH230" s="79">
        <v>0</v>
      </c>
      <c r="BI230" s="79">
        <v>0</v>
      </c>
      <c r="BJ230" s="79">
        <v>0</v>
      </c>
      <c r="BK230" s="79">
        <v>25</v>
      </c>
      <c r="BL230" s="79">
        <v>5194</v>
      </c>
      <c r="BM230" s="79">
        <v>215</v>
      </c>
      <c r="BN230" s="79">
        <v>23</v>
      </c>
      <c r="BO230">
        <v>12811</v>
      </c>
      <c r="BP230">
        <v>1032</v>
      </c>
      <c r="BQ230">
        <v>13387</v>
      </c>
      <c r="BR230">
        <v>1100</v>
      </c>
      <c r="BS230">
        <v>13515</v>
      </c>
      <c r="BT230">
        <v>1172</v>
      </c>
      <c r="BU230">
        <v>13496</v>
      </c>
      <c r="BV230">
        <v>1251</v>
      </c>
      <c r="BW230">
        <v>13507</v>
      </c>
      <c r="BX230">
        <v>1294</v>
      </c>
      <c r="BY230">
        <v>13537</v>
      </c>
      <c r="BZ230">
        <v>1296</v>
      </c>
      <c r="CB230">
        <v>979.58699999999999</v>
      </c>
      <c r="CC230">
        <v>76</v>
      </c>
      <c r="CD230">
        <v>96</v>
      </c>
      <c r="CE230">
        <v>17295.439999999999</v>
      </c>
      <c r="CF230">
        <v>5842.05</v>
      </c>
      <c r="CG230">
        <v>473.28048186528503</v>
      </c>
      <c r="CH230">
        <v>683</v>
      </c>
      <c r="CI230">
        <v>194.333333333333</v>
      </c>
      <c r="CJ230">
        <v>152</v>
      </c>
      <c r="CK230" s="81">
        <v>1797</v>
      </c>
      <c r="CL230">
        <v>672</v>
      </c>
      <c r="CM230">
        <v>4779.0843319073501</v>
      </c>
      <c r="CN230">
        <v>0.28000000000000003</v>
      </c>
      <c r="CO230">
        <v>46362</v>
      </c>
      <c r="CP230">
        <v>4431</v>
      </c>
      <c r="CQ230">
        <v>936</v>
      </c>
      <c r="CR230">
        <v>856</v>
      </c>
      <c r="CS230">
        <v>799</v>
      </c>
      <c r="CT230">
        <v>472</v>
      </c>
      <c r="CU230">
        <v>253.13034580098801</v>
      </c>
      <c r="CV230">
        <v>164.98920254057899</v>
      </c>
      <c r="CW230">
        <v>62.984191954834202</v>
      </c>
      <c r="CX230">
        <v>871.76340000000005</v>
      </c>
      <c r="CY230">
        <v>568.21140000000003</v>
      </c>
      <c r="CZ230">
        <v>216.91319999999999</v>
      </c>
      <c r="DA230">
        <v>165710</v>
      </c>
      <c r="DE230">
        <v>743</v>
      </c>
      <c r="DF230" t="s">
        <v>31</v>
      </c>
      <c r="DG230">
        <v>3816</v>
      </c>
      <c r="DH230">
        <v>3739</v>
      </c>
      <c r="DI230">
        <v>3643</v>
      </c>
      <c r="DJ230">
        <v>3572</v>
      </c>
      <c r="DK230">
        <v>3452</v>
      </c>
      <c r="DO230">
        <v>588</v>
      </c>
      <c r="DP230" t="s">
        <v>815</v>
      </c>
      <c r="DQ230">
        <v>4605</v>
      </c>
      <c r="DR230">
        <v>1.25</v>
      </c>
      <c r="DS230">
        <v>325</v>
      </c>
      <c r="DV230">
        <v>575</v>
      </c>
      <c r="DW230" t="s">
        <v>221</v>
      </c>
      <c r="DX230">
        <v>3384.9170014531201</v>
      </c>
      <c r="DY230">
        <v>779</v>
      </c>
      <c r="DZ230">
        <v>569</v>
      </c>
      <c r="EA230">
        <v>319</v>
      </c>
      <c r="EB230">
        <v>2102</v>
      </c>
      <c r="EC230">
        <v>1185</v>
      </c>
      <c r="ED230">
        <v>420</v>
      </c>
      <c r="EE230" s="82">
        <v>0.140252466566337</v>
      </c>
      <c r="EF230" s="82">
        <v>0.33432256961095702</v>
      </c>
    </row>
    <row r="231" spans="1:136" x14ac:dyDescent="0.35">
      <c r="A231" s="72">
        <v>597</v>
      </c>
      <c r="B231" s="72">
        <v>8</v>
      </c>
      <c r="D231" s="72" t="s">
        <v>256</v>
      </c>
      <c r="E231" s="79">
        <v>3554400000</v>
      </c>
      <c r="F231" s="79">
        <v>665700000</v>
      </c>
      <c r="G231" s="79">
        <v>670600000</v>
      </c>
      <c r="H231" s="79">
        <v>46241</v>
      </c>
      <c r="I231" s="79">
        <v>1</v>
      </c>
      <c r="J231" s="79">
        <v>670.6</v>
      </c>
      <c r="K231" s="79">
        <v>8458</v>
      </c>
      <c r="L231" s="79">
        <v>11228</v>
      </c>
      <c r="M231" s="79">
        <v>3804</v>
      </c>
      <c r="N231" s="79">
        <v>6524</v>
      </c>
      <c r="O231" s="79">
        <v>4402.3</v>
      </c>
      <c r="P231" s="79">
        <v>842.66666666666697</v>
      </c>
      <c r="Q231" s="79">
        <v>2565.6666666666702</v>
      </c>
      <c r="R231" s="79">
        <v>3305</v>
      </c>
      <c r="S231" s="79">
        <v>0</v>
      </c>
      <c r="T231" s="79">
        <v>1612</v>
      </c>
      <c r="U231" s="79">
        <v>21280</v>
      </c>
      <c r="V231" s="79">
        <v>44860</v>
      </c>
      <c r="W231" s="79">
        <v>19500</v>
      </c>
      <c r="X231" s="79">
        <v>552.41999999999996</v>
      </c>
      <c r="Y231" s="79">
        <v>1814.4</v>
      </c>
      <c r="Z231" s="79">
        <v>0</v>
      </c>
      <c r="AA231" s="79">
        <v>0</v>
      </c>
      <c r="AB231" s="79">
        <v>0</v>
      </c>
      <c r="AC231" s="79">
        <v>2356</v>
      </c>
      <c r="AD231" s="79">
        <v>3204.16</v>
      </c>
      <c r="AE231" s="79">
        <v>170</v>
      </c>
      <c r="AF231" s="79">
        <v>0</v>
      </c>
      <c r="AG231" s="79">
        <v>223</v>
      </c>
      <c r="AH231" s="79">
        <v>289.68</v>
      </c>
      <c r="AI231" s="79">
        <v>13.7</v>
      </c>
      <c r="AJ231" s="79">
        <v>21217</v>
      </c>
      <c r="AK231" s="79">
        <v>28855.119999999999</v>
      </c>
      <c r="AL231" s="79">
        <v>0</v>
      </c>
      <c r="AM231" s="79">
        <v>0</v>
      </c>
      <c r="AN231" s="79">
        <v>0</v>
      </c>
      <c r="AO231" s="79">
        <v>0</v>
      </c>
      <c r="AP231" s="79">
        <v>2380</v>
      </c>
      <c r="AQ231" s="79">
        <v>0</v>
      </c>
      <c r="AR231" s="80">
        <v>7.2109300000000002E-4</v>
      </c>
      <c r="AS231" s="80">
        <v>2.511381E-3</v>
      </c>
      <c r="AT231" s="79">
        <v>36726.627</v>
      </c>
      <c r="AU231" s="79">
        <v>0</v>
      </c>
      <c r="AV231" s="79">
        <v>2087.6</v>
      </c>
      <c r="AW231" s="79">
        <v>92937.453713380804</v>
      </c>
      <c r="AX231" s="79">
        <v>3</v>
      </c>
      <c r="AY231" s="79">
        <v>4.1100000000000003</v>
      </c>
      <c r="AZ231" s="79">
        <v>4390</v>
      </c>
      <c r="BA231" s="79">
        <v>1</v>
      </c>
      <c r="BB231" s="79">
        <v>0</v>
      </c>
      <c r="BC231" s="79">
        <v>0</v>
      </c>
      <c r="BD231" s="79">
        <v>0</v>
      </c>
      <c r="BE231" s="79">
        <v>0</v>
      </c>
      <c r="BF231" s="79">
        <v>0</v>
      </c>
      <c r="BG231" s="79">
        <v>0</v>
      </c>
      <c r="BH231" s="79">
        <v>0</v>
      </c>
      <c r="BI231" s="79">
        <v>0</v>
      </c>
      <c r="BJ231" s="79">
        <v>0</v>
      </c>
      <c r="BK231" s="79">
        <v>33</v>
      </c>
      <c r="BL231" s="79">
        <v>7035</v>
      </c>
      <c r="BM231" s="79">
        <v>213</v>
      </c>
      <c r="BN231" s="79">
        <v>10</v>
      </c>
      <c r="BO231">
        <v>8216</v>
      </c>
      <c r="BP231">
        <v>3094</v>
      </c>
      <c r="BQ231">
        <v>8160</v>
      </c>
      <c r="BR231">
        <v>3147</v>
      </c>
      <c r="BS231">
        <v>8189</v>
      </c>
      <c r="BT231">
        <v>3131</v>
      </c>
      <c r="BU231">
        <v>8251</v>
      </c>
      <c r="BV231">
        <v>3011</v>
      </c>
      <c r="BW231">
        <v>8218</v>
      </c>
      <c r="BX231">
        <v>2899</v>
      </c>
      <c r="BY231">
        <v>8182</v>
      </c>
      <c r="BZ231">
        <v>2802</v>
      </c>
      <c r="CB231">
        <v>938.83799999999997</v>
      </c>
      <c r="CC231">
        <v>218</v>
      </c>
      <c r="CD231">
        <v>130</v>
      </c>
      <c r="CE231">
        <v>14135.84</v>
      </c>
      <c r="CF231">
        <v>2935.68</v>
      </c>
      <c r="CG231">
        <v>262.14364743683399</v>
      </c>
      <c r="CH231">
        <v>556</v>
      </c>
      <c r="CI231">
        <v>263</v>
      </c>
      <c r="CJ231">
        <v>237.666666666667</v>
      </c>
      <c r="CK231" s="81">
        <v>1723</v>
      </c>
      <c r="CL231">
        <v>428</v>
      </c>
      <c r="CM231">
        <v>8658.5726491784408</v>
      </c>
      <c r="CN231">
        <v>1.982</v>
      </c>
      <c r="CO231">
        <v>35013</v>
      </c>
      <c r="CP231">
        <v>5961</v>
      </c>
      <c r="CQ231">
        <v>1463</v>
      </c>
      <c r="CR231">
        <v>1259</v>
      </c>
      <c r="CS231">
        <v>1332</v>
      </c>
      <c r="CT231">
        <v>714</v>
      </c>
      <c r="CU231">
        <v>769.57773012207201</v>
      </c>
      <c r="CV231">
        <v>555.24130649950496</v>
      </c>
      <c r="CW231">
        <v>219.93863411415401</v>
      </c>
      <c r="CX231">
        <v>1680.5479</v>
      </c>
      <c r="CY231">
        <v>1212.4956</v>
      </c>
      <c r="CZ231">
        <v>480.286</v>
      </c>
      <c r="DA231">
        <v>27783</v>
      </c>
      <c r="DE231">
        <v>744</v>
      </c>
      <c r="DF231" t="s">
        <v>32</v>
      </c>
      <c r="DG231">
        <v>1168</v>
      </c>
      <c r="DH231">
        <v>1148</v>
      </c>
      <c r="DI231">
        <v>1136</v>
      </c>
      <c r="DJ231">
        <v>1118</v>
      </c>
      <c r="DK231">
        <v>1111</v>
      </c>
      <c r="DO231">
        <v>542</v>
      </c>
      <c r="DP231" t="s">
        <v>169</v>
      </c>
      <c r="DQ231">
        <v>12490</v>
      </c>
      <c r="DR231">
        <v>1.42</v>
      </c>
      <c r="DS231">
        <v>1942</v>
      </c>
      <c r="DV231">
        <v>576</v>
      </c>
      <c r="DW231" t="s">
        <v>818</v>
      </c>
      <c r="DX231">
        <v>2016.36071579541</v>
      </c>
      <c r="DY231">
        <v>438</v>
      </c>
      <c r="DZ231">
        <v>367</v>
      </c>
      <c r="EA231">
        <v>162</v>
      </c>
      <c r="EB231">
        <v>1258</v>
      </c>
      <c r="EC231">
        <v>763</v>
      </c>
      <c r="ED231">
        <v>236</v>
      </c>
      <c r="EE231" s="82">
        <v>0.16176304242443301</v>
      </c>
      <c r="EF231" s="82">
        <v>0.41502120714199497</v>
      </c>
    </row>
    <row r="232" spans="1:136" x14ac:dyDescent="0.35">
      <c r="A232" s="72">
        <v>603</v>
      </c>
      <c r="B232" s="72">
        <v>8</v>
      </c>
      <c r="D232" s="72" t="s">
        <v>258</v>
      </c>
      <c r="E232" s="79">
        <v>4819600000</v>
      </c>
      <c r="F232" s="79">
        <v>817950000</v>
      </c>
      <c r="G232" s="79">
        <v>819700000</v>
      </c>
      <c r="H232" s="79">
        <v>53467</v>
      </c>
      <c r="I232" s="79">
        <v>2</v>
      </c>
      <c r="J232" s="79">
        <v>819.7</v>
      </c>
      <c r="K232" s="79">
        <v>10147</v>
      </c>
      <c r="L232" s="79">
        <v>11759</v>
      </c>
      <c r="M232" s="79">
        <v>3664</v>
      </c>
      <c r="N232" s="79">
        <v>8811</v>
      </c>
      <c r="O232" s="79">
        <v>6124.9</v>
      </c>
      <c r="P232" s="79">
        <v>1416.3333333333301</v>
      </c>
      <c r="Q232" s="79">
        <v>3700.3333333333298</v>
      </c>
      <c r="R232" s="79">
        <v>6630</v>
      </c>
      <c r="S232" s="79">
        <v>0</v>
      </c>
      <c r="T232" s="79">
        <v>2352</v>
      </c>
      <c r="U232" s="79">
        <v>27095</v>
      </c>
      <c r="V232" s="79">
        <v>38800</v>
      </c>
      <c r="W232" s="79">
        <v>11220</v>
      </c>
      <c r="X232" s="79">
        <v>1291.74</v>
      </c>
      <c r="Y232" s="79">
        <v>1730.4</v>
      </c>
      <c r="Z232" s="79">
        <v>0</v>
      </c>
      <c r="AA232" s="79">
        <v>1833.2</v>
      </c>
      <c r="AB232" s="79">
        <v>0</v>
      </c>
      <c r="AC232" s="79">
        <v>1398</v>
      </c>
      <c r="AD232" s="79">
        <v>1439.94</v>
      </c>
      <c r="AE232" s="79">
        <v>50</v>
      </c>
      <c r="AF232" s="79">
        <v>0</v>
      </c>
      <c r="AG232" s="79">
        <v>198</v>
      </c>
      <c r="AH232" s="79">
        <v>193.8</v>
      </c>
      <c r="AI232" s="79">
        <v>8.24</v>
      </c>
      <c r="AJ232" s="79">
        <v>26861</v>
      </c>
      <c r="AK232" s="79">
        <v>27398.22</v>
      </c>
      <c r="AL232" s="79">
        <v>0</v>
      </c>
      <c r="AM232" s="79">
        <v>0</v>
      </c>
      <c r="AN232" s="79">
        <v>0</v>
      </c>
      <c r="AO232" s="79">
        <v>0</v>
      </c>
      <c r="AP232" s="79">
        <v>4042</v>
      </c>
      <c r="AQ232" s="79">
        <v>0</v>
      </c>
      <c r="AR232" s="80">
        <v>2.4989299999999999E-3</v>
      </c>
      <c r="AS232" s="80">
        <v>7.041121E-3</v>
      </c>
      <c r="AT232" s="79">
        <v>84639.010999999999</v>
      </c>
      <c r="AU232" s="79">
        <v>0</v>
      </c>
      <c r="AV232" s="79">
        <v>1217.46</v>
      </c>
      <c r="AW232" s="79">
        <v>46019.283218231998</v>
      </c>
      <c r="AX232" s="79">
        <v>2</v>
      </c>
      <c r="AY232" s="79">
        <v>2.06</v>
      </c>
      <c r="AZ232" s="79">
        <v>5745</v>
      </c>
      <c r="BA232" s="79">
        <v>1</v>
      </c>
      <c r="BB232" s="79">
        <v>0</v>
      </c>
      <c r="BC232" s="79">
        <v>0</v>
      </c>
      <c r="BD232" s="79">
        <v>0</v>
      </c>
      <c r="BE232" s="79">
        <v>0</v>
      </c>
      <c r="BF232" s="79">
        <v>0</v>
      </c>
      <c r="BG232" s="79">
        <v>0</v>
      </c>
      <c r="BH232" s="79">
        <v>0</v>
      </c>
      <c r="BI232" s="79">
        <v>0</v>
      </c>
      <c r="BJ232" s="79">
        <v>0</v>
      </c>
      <c r="BK232" s="79">
        <v>29</v>
      </c>
      <c r="BL232" s="79">
        <v>11073</v>
      </c>
      <c r="BM232" s="79">
        <v>190</v>
      </c>
      <c r="BN232" s="79">
        <v>8</v>
      </c>
      <c r="BO232">
        <v>7558</v>
      </c>
      <c r="BP232">
        <v>2318</v>
      </c>
      <c r="BQ232">
        <v>7540</v>
      </c>
      <c r="BR232">
        <v>2218</v>
      </c>
      <c r="BS232">
        <v>7551</v>
      </c>
      <c r="BT232">
        <v>2227</v>
      </c>
      <c r="BU232">
        <v>7677</v>
      </c>
      <c r="BV232">
        <v>2214</v>
      </c>
      <c r="BW232">
        <v>7794</v>
      </c>
      <c r="BX232">
        <v>2207</v>
      </c>
      <c r="BY232">
        <v>7973</v>
      </c>
      <c r="BZ232">
        <v>2123</v>
      </c>
      <c r="CB232">
        <v>1816.3130000000001</v>
      </c>
      <c r="CC232">
        <v>145</v>
      </c>
      <c r="CD232">
        <v>185</v>
      </c>
      <c r="CE232">
        <v>17828.919999999998</v>
      </c>
      <c r="CF232">
        <v>3458.7</v>
      </c>
      <c r="CG232">
        <v>344.01406528271002</v>
      </c>
      <c r="CH232">
        <v>746</v>
      </c>
      <c r="CI232">
        <v>472</v>
      </c>
      <c r="CJ232">
        <v>442.33333333333297</v>
      </c>
      <c r="CK232" s="81">
        <v>2284</v>
      </c>
      <c r="CL232">
        <v>576</v>
      </c>
      <c r="CM232">
        <v>9433.9425859552393</v>
      </c>
      <c r="CN232">
        <v>3.2970000000000002</v>
      </c>
      <c r="CO232">
        <v>41708</v>
      </c>
      <c r="CP232">
        <v>6240</v>
      </c>
      <c r="CQ232">
        <v>1855</v>
      </c>
      <c r="CR232">
        <v>1821</v>
      </c>
      <c r="CS232">
        <v>1527</v>
      </c>
      <c r="CT232">
        <v>1012</v>
      </c>
      <c r="CU232">
        <v>942.41508879044</v>
      </c>
      <c r="CV232">
        <v>611.55510963850895</v>
      </c>
      <c r="CW232">
        <v>309.88195152823801</v>
      </c>
      <c r="CX232">
        <v>1840.4249</v>
      </c>
      <c r="CY232">
        <v>1194.2945999999999</v>
      </c>
      <c r="CZ232">
        <v>605.16269999999997</v>
      </c>
      <c r="DA232">
        <v>44982</v>
      </c>
      <c r="DE232">
        <v>748</v>
      </c>
      <c r="DF232" t="s">
        <v>44</v>
      </c>
      <c r="DG232">
        <v>13364</v>
      </c>
      <c r="DH232">
        <v>13249</v>
      </c>
      <c r="DI232">
        <v>13097</v>
      </c>
      <c r="DJ232">
        <v>13037</v>
      </c>
      <c r="DK232">
        <v>12862</v>
      </c>
      <c r="DO232">
        <v>1931</v>
      </c>
      <c r="DP232" t="s">
        <v>170</v>
      </c>
      <c r="DQ232">
        <v>23668</v>
      </c>
      <c r="DR232">
        <v>1.49</v>
      </c>
      <c r="DS232">
        <v>774</v>
      </c>
      <c r="DV232">
        <v>820</v>
      </c>
      <c r="DW232" t="s">
        <v>222</v>
      </c>
      <c r="DX232">
        <v>2036.7073464472101</v>
      </c>
      <c r="DY232">
        <v>584</v>
      </c>
      <c r="DZ232">
        <v>547</v>
      </c>
      <c r="EA232">
        <v>264</v>
      </c>
      <c r="EB232">
        <v>2069</v>
      </c>
      <c r="EC232">
        <v>1274</v>
      </c>
      <c r="ED232">
        <v>398</v>
      </c>
      <c r="EE232" s="82">
        <v>0.100246519166966</v>
      </c>
      <c r="EF232" s="82">
        <v>0.29600192492781502</v>
      </c>
    </row>
    <row r="233" spans="1:136" x14ac:dyDescent="0.35">
      <c r="A233" s="72">
        <v>599</v>
      </c>
      <c r="B233" s="72">
        <v>8</v>
      </c>
      <c r="D233" s="72" t="s">
        <v>262</v>
      </c>
      <c r="E233" s="79">
        <v>48724400000</v>
      </c>
      <c r="F233" s="79">
        <v>22640800000</v>
      </c>
      <c r="G233" s="79">
        <v>22697850000</v>
      </c>
      <c r="H233" s="79">
        <v>644618</v>
      </c>
      <c r="I233" s="79">
        <v>7</v>
      </c>
      <c r="J233" s="79">
        <v>22697.85</v>
      </c>
      <c r="K233" s="79">
        <v>123120</v>
      </c>
      <c r="L233" s="79">
        <v>98469</v>
      </c>
      <c r="M233" s="79">
        <v>30589</v>
      </c>
      <c r="N233" s="79">
        <v>123009</v>
      </c>
      <c r="O233" s="79">
        <v>91066.6</v>
      </c>
      <c r="P233" s="79">
        <v>37415.333333333299</v>
      </c>
      <c r="Q233" s="79">
        <v>66586.333333333299</v>
      </c>
      <c r="R233" s="79">
        <v>178750</v>
      </c>
      <c r="S233" s="79">
        <v>49826.400000000001</v>
      </c>
      <c r="T233" s="79">
        <v>34200</v>
      </c>
      <c r="U233" s="79">
        <v>334213</v>
      </c>
      <c r="V233" s="79">
        <v>731120</v>
      </c>
      <c r="W233" s="79">
        <v>1436200</v>
      </c>
      <c r="X233" s="79">
        <v>20291.513599999998</v>
      </c>
      <c r="Y233" s="79">
        <v>26596.799999999999</v>
      </c>
      <c r="Z233" s="79">
        <v>4891.8999999999996</v>
      </c>
      <c r="AA233" s="79">
        <v>0</v>
      </c>
      <c r="AB233" s="79">
        <v>0</v>
      </c>
      <c r="AC233" s="79">
        <v>21857</v>
      </c>
      <c r="AD233" s="79">
        <v>25572.69</v>
      </c>
      <c r="AE233" s="79">
        <v>7576</v>
      </c>
      <c r="AF233" s="79">
        <v>2983</v>
      </c>
      <c r="AG233" s="79">
        <v>2300</v>
      </c>
      <c r="AH233" s="79">
        <v>2456.52</v>
      </c>
      <c r="AI233" s="79">
        <v>469.73</v>
      </c>
      <c r="AJ233" s="79">
        <v>319424</v>
      </c>
      <c r="AK233" s="79">
        <v>421639.67999999999</v>
      </c>
      <c r="AL233" s="79">
        <v>25</v>
      </c>
      <c r="AM233" s="79">
        <v>0</v>
      </c>
      <c r="AN233" s="79">
        <v>0</v>
      </c>
      <c r="AO233" s="79">
        <v>12900</v>
      </c>
      <c r="AP233" s="79">
        <v>152086</v>
      </c>
      <c r="AQ233" s="79">
        <v>143539</v>
      </c>
      <c r="AR233" s="80">
        <v>0.17663910499999999</v>
      </c>
      <c r="AS233" s="80">
        <v>0.18705828599999999</v>
      </c>
      <c r="AT233" s="79">
        <v>1260127.68</v>
      </c>
      <c r="AU233" s="79">
        <v>174086.08</v>
      </c>
      <c r="AV233" s="79">
        <v>14861.34</v>
      </c>
      <c r="AW233" s="79">
        <v>644043.75055345998</v>
      </c>
      <c r="AX233" s="79">
        <v>11</v>
      </c>
      <c r="AY233" s="79">
        <v>11.77</v>
      </c>
      <c r="AZ233" s="79">
        <v>73064</v>
      </c>
      <c r="BA233" s="79">
        <v>1</v>
      </c>
      <c r="BB233" s="79">
        <v>0</v>
      </c>
      <c r="BC233" s="79">
        <v>1</v>
      </c>
      <c r="BD233" s="79">
        <v>0</v>
      </c>
      <c r="BE233" s="79">
        <v>0</v>
      </c>
      <c r="BF233" s="79">
        <v>0</v>
      </c>
      <c r="BG233" s="79">
        <v>0</v>
      </c>
      <c r="BH233" s="79">
        <v>0</v>
      </c>
      <c r="BI233" s="79">
        <v>0</v>
      </c>
      <c r="BJ233" s="79">
        <v>0</v>
      </c>
      <c r="BK233" s="79">
        <v>359</v>
      </c>
      <c r="BL233" s="79">
        <v>156156</v>
      </c>
      <c r="BM233" s="79">
        <v>1861</v>
      </c>
      <c r="BN233" s="79">
        <v>439</v>
      </c>
      <c r="BO233">
        <v>119229</v>
      </c>
      <c r="BP233">
        <v>30412</v>
      </c>
      <c r="BQ233">
        <v>119522</v>
      </c>
      <c r="BR233">
        <v>30657</v>
      </c>
      <c r="BS233">
        <v>119962</v>
      </c>
      <c r="BT233">
        <v>31300</v>
      </c>
      <c r="BU233">
        <v>120646</v>
      </c>
      <c r="BV233">
        <v>31859</v>
      </c>
      <c r="BW233">
        <v>120838</v>
      </c>
      <c r="BX233">
        <v>32241</v>
      </c>
      <c r="BY233">
        <v>121267</v>
      </c>
      <c r="BZ233">
        <v>32038</v>
      </c>
      <c r="CB233">
        <v>34350.480000000003</v>
      </c>
      <c r="CC233">
        <v>3055</v>
      </c>
      <c r="CD233">
        <v>5347</v>
      </c>
      <c r="CE233">
        <v>175251.06</v>
      </c>
      <c r="CF233">
        <v>36394.28</v>
      </c>
      <c r="CG233">
        <v>3590.8898001207499</v>
      </c>
      <c r="CH233">
        <v>13539</v>
      </c>
      <c r="CI233">
        <v>10926</v>
      </c>
      <c r="CJ233">
        <v>10542.666666666701</v>
      </c>
      <c r="CK233" s="81">
        <v>29171</v>
      </c>
      <c r="CL233">
        <v>8524</v>
      </c>
      <c r="CM233">
        <v>84563.615316626601</v>
      </c>
      <c r="CN233">
        <v>109.461</v>
      </c>
      <c r="CO233">
        <v>546149</v>
      </c>
      <c r="CP233">
        <v>54842</v>
      </c>
      <c r="CQ233">
        <v>13038</v>
      </c>
      <c r="CR233">
        <v>19359</v>
      </c>
      <c r="CS233">
        <v>13457</v>
      </c>
      <c r="CT233">
        <v>7332</v>
      </c>
      <c r="CU233">
        <v>10994.4536490683</v>
      </c>
      <c r="CV233">
        <v>6529.2754245141296</v>
      </c>
      <c r="CW233">
        <v>2739.2052344219601</v>
      </c>
      <c r="CX233">
        <v>21530.281200000001</v>
      </c>
      <c r="CY233">
        <v>12786.186600000001</v>
      </c>
      <c r="CZ233">
        <v>5364.1463999999996</v>
      </c>
      <c r="DA233">
        <v>647621</v>
      </c>
      <c r="DE233">
        <v>753</v>
      </c>
      <c r="DF233" t="s">
        <v>47</v>
      </c>
      <c r="DG233">
        <v>6982</v>
      </c>
      <c r="DH233">
        <v>6878</v>
      </c>
      <c r="DI233">
        <v>6694</v>
      </c>
      <c r="DJ233">
        <v>6540</v>
      </c>
      <c r="DK233">
        <v>6407</v>
      </c>
      <c r="DO233">
        <v>1621</v>
      </c>
      <c r="DP233" t="s">
        <v>176</v>
      </c>
      <c r="DQ233">
        <v>23668</v>
      </c>
      <c r="DR233">
        <v>1.3</v>
      </c>
      <c r="DS233">
        <v>1270</v>
      </c>
      <c r="DV233">
        <v>302</v>
      </c>
      <c r="DW233" t="s">
        <v>223</v>
      </c>
      <c r="DX233">
        <v>2972.6013719512198</v>
      </c>
      <c r="DY233">
        <v>557</v>
      </c>
      <c r="DZ233">
        <v>537</v>
      </c>
      <c r="EA233">
        <v>320</v>
      </c>
      <c r="EB233">
        <v>1792</v>
      </c>
      <c r="EC233">
        <v>1179</v>
      </c>
      <c r="ED233">
        <v>467</v>
      </c>
      <c r="EE233" s="82">
        <v>0.14405594186791601</v>
      </c>
      <c r="EF233" s="82">
        <v>0.45714514872359002</v>
      </c>
    </row>
    <row r="234" spans="1:136" x14ac:dyDescent="0.35">
      <c r="A234" s="72">
        <v>606</v>
      </c>
      <c r="B234" s="72">
        <v>8</v>
      </c>
      <c r="D234" s="72" t="s">
        <v>267</v>
      </c>
      <c r="E234" s="79">
        <v>5053200000</v>
      </c>
      <c r="F234" s="79">
        <v>1088150000</v>
      </c>
      <c r="G234" s="79">
        <v>1109500000</v>
      </c>
      <c r="H234" s="79">
        <v>77999</v>
      </c>
      <c r="I234" s="79">
        <v>1</v>
      </c>
      <c r="J234" s="79">
        <v>1109.5</v>
      </c>
      <c r="K234" s="79">
        <v>14928</v>
      </c>
      <c r="L234" s="79">
        <v>13522</v>
      </c>
      <c r="M234" s="79">
        <v>4030</v>
      </c>
      <c r="N234" s="79">
        <v>13510</v>
      </c>
      <c r="O234" s="79">
        <v>9780.6</v>
      </c>
      <c r="P234" s="79">
        <v>2701.3333333333298</v>
      </c>
      <c r="Q234" s="79">
        <v>6378.3333333333303</v>
      </c>
      <c r="R234" s="79">
        <v>16455</v>
      </c>
      <c r="S234" s="79">
        <v>855.19999999999902</v>
      </c>
      <c r="T234" s="79">
        <v>3802</v>
      </c>
      <c r="U234" s="79">
        <v>37844</v>
      </c>
      <c r="V234" s="79">
        <v>76970</v>
      </c>
      <c r="W234" s="79">
        <v>51210</v>
      </c>
      <c r="X234" s="79">
        <v>1575.7</v>
      </c>
      <c r="Y234" s="79">
        <v>3236</v>
      </c>
      <c r="Z234" s="79">
        <v>347.3</v>
      </c>
      <c r="AA234" s="79">
        <v>0</v>
      </c>
      <c r="AB234" s="79">
        <v>441.4</v>
      </c>
      <c r="AC234" s="79">
        <v>1784</v>
      </c>
      <c r="AD234" s="79">
        <v>2444.08</v>
      </c>
      <c r="AE234" s="79">
        <v>202</v>
      </c>
      <c r="AF234" s="79">
        <v>0</v>
      </c>
      <c r="AG234" s="79">
        <v>278</v>
      </c>
      <c r="AH234" s="79">
        <v>358.8</v>
      </c>
      <c r="AI234" s="79">
        <v>24.3</v>
      </c>
      <c r="AJ234" s="79">
        <v>37294</v>
      </c>
      <c r="AK234" s="79">
        <v>51465.72</v>
      </c>
      <c r="AL234" s="79">
        <v>33</v>
      </c>
      <c r="AM234" s="79">
        <v>0</v>
      </c>
      <c r="AN234" s="79">
        <v>0</v>
      </c>
      <c r="AO234" s="79">
        <v>6850</v>
      </c>
      <c r="AP234" s="79">
        <v>13298</v>
      </c>
      <c r="AQ234" s="79">
        <v>13298</v>
      </c>
      <c r="AR234" s="80">
        <v>1.3840837E-2</v>
      </c>
      <c r="AS234" s="80">
        <v>1.9156579E-2</v>
      </c>
      <c r="AT234" s="79">
        <v>122175.144</v>
      </c>
      <c r="AU234" s="79">
        <v>0</v>
      </c>
      <c r="AV234" s="79">
        <v>2163.23</v>
      </c>
      <c r="AW234" s="79">
        <v>223348.52624874099</v>
      </c>
      <c r="AX234" s="79">
        <v>2</v>
      </c>
      <c r="AY234" s="79">
        <v>2.7</v>
      </c>
      <c r="AZ234" s="79">
        <v>7325</v>
      </c>
      <c r="BA234" s="79">
        <v>1</v>
      </c>
      <c r="BB234" s="79">
        <v>0</v>
      </c>
      <c r="BC234" s="79">
        <v>0</v>
      </c>
      <c r="BD234" s="79">
        <v>0</v>
      </c>
      <c r="BE234" s="79">
        <v>0</v>
      </c>
      <c r="BF234" s="79">
        <v>0</v>
      </c>
      <c r="BG234" s="79">
        <v>0</v>
      </c>
      <c r="BH234" s="79">
        <v>0</v>
      </c>
      <c r="BI234" s="79">
        <v>0</v>
      </c>
      <c r="BJ234" s="79">
        <v>0</v>
      </c>
      <c r="BK234" s="79">
        <v>36</v>
      </c>
      <c r="BL234" s="79">
        <v>15230</v>
      </c>
      <c r="BM234" s="79">
        <v>260</v>
      </c>
      <c r="BN234" s="79">
        <v>18</v>
      </c>
      <c r="BO234">
        <v>15330</v>
      </c>
      <c r="BP234">
        <v>3276</v>
      </c>
      <c r="BQ234">
        <v>15265</v>
      </c>
      <c r="BR234">
        <v>3149</v>
      </c>
      <c r="BS234">
        <v>15231</v>
      </c>
      <c r="BT234">
        <v>3245</v>
      </c>
      <c r="BU234">
        <v>15292</v>
      </c>
      <c r="BV234">
        <v>3312</v>
      </c>
      <c r="BW234">
        <v>15175</v>
      </c>
      <c r="BX234">
        <v>3436</v>
      </c>
      <c r="BY234">
        <v>15168</v>
      </c>
      <c r="BZ234">
        <v>3775</v>
      </c>
      <c r="CB234">
        <v>3224.4479999999999</v>
      </c>
      <c r="CC234">
        <v>445</v>
      </c>
      <c r="CD234">
        <v>720</v>
      </c>
      <c r="CE234">
        <v>21475.08</v>
      </c>
      <c r="CF234">
        <v>4863.24</v>
      </c>
      <c r="CG234">
        <v>445.27660606060601</v>
      </c>
      <c r="CH234">
        <v>1452</v>
      </c>
      <c r="CI234">
        <v>881</v>
      </c>
      <c r="CJ234">
        <v>851.33333333333303</v>
      </c>
      <c r="CK234" s="81">
        <v>3677</v>
      </c>
      <c r="CL234">
        <v>978</v>
      </c>
      <c r="CM234">
        <v>11287.985176116599</v>
      </c>
      <c r="CN234">
        <v>6.7869999999999999</v>
      </c>
      <c r="CO234">
        <v>64477</v>
      </c>
      <c r="CP234">
        <v>7737</v>
      </c>
      <c r="CQ234">
        <v>1755</v>
      </c>
      <c r="CR234">
        <v>2209</v>
      </c>
      <c r="CS234">
        <v>1720</v>
      </c>
      <c r="CT234">
        <v>916</v>
      </c>
      <c r="CU234">
        <v>1348.7860191988</v>
      </c>
      <c r="CV234">
        <v>786.769989810693</v>
      </c>
      <c r="CW234">
        <v>315.49476591408802</v>
      </c>
      <c r="CX234">
        <v>2821.9641000000001</v>
      </c>
      <c r="CY234">
        <v>1646.1</v>
      </c>
      <c r="CZ234">
        <v>660.08609999999999</v>
      </c>
      <c r="DA234">
        <v>66794</v>
      </c>
      <c r="DE234">
        <v>755</v>
      </c>
      <c r="DF234" t="s">
        <v>54</v>
      </c>
      <c r="DG234">
        <v>2501</v>
      </c>
      <c r="DH234">
        <v>2463</v>
      </c>
      <c r="DI234">
        <v>2412</v>
      </c>
      <c r="DJ234">
        <v>2393</v>
      </c>
      <c r="DK234">
        <v>2361</v>
      </c>
      <c r="DO234">
        <v>545</v>
      </c>
      <c r="DP234" t="s">
        <v>816</v>
      </c>
      <c r="DQ234">
        <v>9060</v>
      </c>
      <c r="DR234">
        <v>1.31</v>
      </c>
      <c r="DS234">
        <v>1254</v>
      </c>
      <c r="DV234">
        <v>951</v>
      </c>
      <c r="DW234" t="s">
        <v>825</v>
      </c>
      <c r="DX234">
        <v>2106.7607522962498</v>
      </c>
      <c r="DY234">
        <v>381</v>
      </c>
      <c r="DZ234">
        <v>448</v>
      </c>
      <c r="EA234">
        <v>199</v>
      </c>
      <c r="EB234">
        <v>1353</v>
      </c>
      <c r="EC234">
        <v>907</v>
      </c>
      <c r="ED234">
        <v>288</v>
      </c>
      <c r="EE234" s="82">
        <v>0.19993746473466001</v>
      </c>
      <c r="EF234" s="82">
        <v>0.42992500956889801</v>
      </c>
    </row>
    <row r="235" spans="1:136" x14ac:dyDescent="0.35">
      <c r="A235" s="72">
        <v>518</v>
      </c>
      <c r="B235" s="72">
        <v>8</v>
      </c>
      <c r="D235" s="72" t="s">
        <v>270</v>
      </c>
      <c r="E235" s="79">
        <v>49610400000</v>
      </c>
      <c r="F235" s="79">
        <v>9492350000</v>
      </c>
      <c r="G235" s="79">
        <v>9635500000</v>
      </c>
      <c r="H235" s="79">
        <v>537833</v>
      </c>
      <c r="I235" s="79">
        <v>3</v>
      </c>
      <c r="J235" s="79">
        <v>9635.5</v>
      </c>
      <c r="K235" s="79">
        <v>109962</v>
      </c>
      <c r="L235" s="79">
        <v>78020</v>
      </c>
      <c r="M235" s="79">
        <v>22778</v>
      </c>
      <c r="N235" s="79">
        <v>90018</v>
      </c>
      <c r="O235" s="79">
        <v>63538</v>
      </c>
      <c r="P235" s="79">
        <v>26053</v>
      </c>
      <c r="Q235" s="79">
        <v>52085</v>
      </c>
      <c r="R235" s="79">
        <v>138430</v>
      </c>
      <c r="S235" s="79">
        <v>30863.4</v>
      </c>
      <c r="T235" s="79">
        <v>24749</v>
      </c>
      <c r="U235" s="79">
        <v>271604</v>
      </c>
      <c r="V235" s="79">
        <v>599310</v>
      </c>
      <c r="W235" s="79">
        <v>994110</v>
      </c>
      <c r="X235" s="79">
        <v>12201.64</v>
      </c>
      <c r="Y235" s="79">
        <v>21168.799999999999</v>
      </c>
      <c r="Z235" s="79">
        <v>3337.5</v>
      </c>
      <c r="AA235" s="79">
        <v>456.99999999998499</v>
      </c>
      <c r="AB235" s="79">
        <v>3568.9</v>
      </c>
      <c r="AC235" s="79">
        <v>8254</v>
      </c>
      <c r="AD235" s="79">
        <v>8419.08</v>
      </c>
      <c r="AE235" s="79">
        <v>356</v>
      </c>
      <c r="AF235" s="79">
        <v>1203</v>
      </c>
      <c r="AG235" s="79">
        <v>1543</v>
      </c>
      <c r="AH235" s="79">
        <v>1549.38</v>
      </c>
      <c r="AI235" s="79">
        <v>24</v>
      </c>
      <c r="AJ235" s="79">
        <v>264800</v>
      </c>
      <c r="AK235" s="79">
        <v>270096</v>
      </c>
      <c r="AL235" s="79">
        <v>0</v>
      </c>
      <c r="AM235" s="79">
        <v>0</v>
      </c>
      <c r="AN235" s="79">
        <v>130</v>
      </c>
      <c r="AO235" s="79">
        <v>9850</v>
      </c>
      <c r="AP235" s="79">
        <v>130270</v>
      </c>
      <c r="AQ235" s="79">
        <v>116262</v>
      </c>
      <c r="AR235" s="80">
        <v>0.11285255199999999</v>
      </c>
      <c r="AS235" s="80">
        <v>0.10392003900000001</v>
      </c>
      <c r="AT235" s="79">
        <v>1295401.6000000001</v>
      </c>
      <c r="AU235" s="79">
        <v>395081.6</v>
      </c>
      <c r="AV235" s="79">
        <v>6042.48</v>
      </c>
      <c r="AW235" s="79">
        <v>400515.05258536601</v>
      </c>
      <c r="AX235" s="79">
        <v>3</v>
      </c>
      <c r="AY235" s="79">
        <v>3</v>
      </c>
      <c r="AZ235" s="79">
        <v>67133</v>
      </c>
      <c r="BA235" s="79">
        <v>1</v>
      </c>
      <c r="BB235" s="79">
        <v>0</v>
      </c>
      <c r="BC235" s="79">
        <v>0</v>
      </c>
      <c r="BD235" s="79">
        <v>1</v>
      </c>
      <c r="BE235" s="79">
        <v>0</v>
      </c>
      <c r="BF235" s="79">
        <v>0</v>
      </c>
      <c r="BG235" s="79">
        <v>0</v>
      </c>
      <c r="BH235" s="79">
        <v>0</v>
      </c>
      <c r="BI235" s="79">
        <v>0</v>
      </c>
      <c r="BJ235" s="79">
        <v>0</v>
      </c>
      <c r="BK235" s="79">
        <v>1302</v>
      </c>
      <c r="BL235" s="79">
        <v>125380</v>
      </c>
      <c r="BM235" s="79">
        <v>1519</v>
      </c>
      <c r="BN235" s="79">
        <v>24</v>
      </c>
      <c r="BO235">
        <v>99550</v>
      </c>
      <c r="BP235">
        <v>20811</v>
      </c>
      <c r="BQ235">
        <v>100716</v>
      </c>
      <c r="BR235">
        <v>20944</v>
      </c>
      <c r="BS235">
        <v>102336</v>
      </c>
      <c r="BT235">
        <v>22119</v>
      </c>
      <c r="BU235">
        <v>103959</v>
      </c>
      <c r="BV235">
        <v>22625</v>
      </c>
      <c r="BW235">
        <v>104864</v>
      </c>
      <c r="BX235">
        <v>22853</v>
      </c>
      <c r="BY235">
        <v>105676</v>
      </c>
      <c r="BZ235">
        <v>23428</v>
      </c>
      <c r="CB235">
        <v>25071.335999999999</v>
      </c>
      <c r="CC235">
        <v>1765</v>
      </c>
      <c r="CD235">
        <v>4148</v>
      </c>
      <c r="CE235">
        <v>160656.31</v>
      </c>
      <c r="CF235">
        <v>36226</v>
      </c>
      <c r="CG235">
        <v>4327.35282254904</v>
      </c>
      <c r="CH235">
        <v>9250</v>
      </c>
      <c r="CI235">
        <v>7044.6666666666697</v>
      </c>
      <c r="CJ235">
        <v>6593.3333333333303</v>
      </c>
      <c r="CK235" s="81">
        <v>26032</v>
      </c>
      <c r="CL235">
        <v>6314</v>
      </c>
      <c r="CM235">
        <v>65838.939414986497</v>
      </c>
      <c r="CN235">
        <v>73.123000000000005</v>
      </c>
      <c r="CO235">
        <v>459813</v>
      </c>
      <c r="CP235">
        <v>45585</v>
      </c>
      <c r="CQ235">
        <v>9657</v>
      </c>
      <c r="CR235">
        <v>16480</v>
      </c>
      <c r="CS235">
        <v>10384</v>
      </c>
      <c r="CT235">
        <v>5141</v>
      </c>
      <c r="CU235">
        <v>7727.0174244712998</v>
      </c>
      <c r="CV235">
        <v>4143.40703927492</v>
      </c>
      <c r="CW235">
        <v>1620.3629682779499</v>
      </c>
      <c r="CX235">
        <v>15921.163200000001</v>
      </c>
      <c r="CY235">
        <v>8537.2991999999995</v>
      </c>
      <c r="CZ235">
        <v>3338.6831999999999</v>
      </c>
      <c r="DA235">
        <v>547158</v>
      </c>
      <c r="DE235">
        <v>756</v>
      </c>
      <c r="DF235" t="s">
        <v>58</v>
      </c>
      <c r="DG235">
        <v>6527</v>
      </c>
      <c r="DH235">
        <v>6388</v>
      </c>
      <c r="DI235">
        <v>6255</v>
      </c>
      <c r="DJ235">
        <v>6113</v>
      </c>
      <c r="DK235">
        <v>5890</v>
      </c>
      <c r="DO235">
        <v>546</v>
      </c>
      <c r="DP235" t="s">
        <v>179</v>
      </c>
      <c r="DQ235">
        <v>61559</v>
      </c>
      <c r="DR235">
        <v>1.1499999999999999</v>
      </c>
      <c r="DS235">
        <v>3670</v>
      </c>
      <c r="DV235">
        <v>579</v>
      </c>
      <c r="DW235" t="s">
        <v>224</v>
      </c>
      <c r="DX235">
        <v>2160.25099100841</v>
      </c>
      <c r="DY235">
        <v>637</v>
      </c>
      <c r="DZ235">
        <v>558</v>
      </c>
      <c r="EA235">
        <v>399</v>
      </c>
      <c r="EB235">
        <v>1697</v>
      </c>
      <c r="EC235">
        <v>1055</v>
      </c>
      <c r="ED235">
        <v>540</v>
      </c>
      <c r="EE235" s="82">
        <v>0.102441288633531</v>
      </c>
      <c r="EF235" s="82">
        <v>0.19647228670101299</v>
      </c>
    </row>
    <row r="236" spans="1:136" x14ac:dyDescent="0.35">
      <c r="A236" s="72">
        <v>610</v>
      </c>
      <c r="B236" s="72">
        <v>8</v>
      </c>
      <c r="D236" s="72" t="s">
        <v>276</v>
      </c>
      <c r="E236" s="79">
        <v>1711600000</v>
      </c>
      <c r="F236" s="79">
        <v>437150000</v>
      </c>
      <c r="G236" s="79">
        <v>453600000</v>
      </c>
      <c r="H236" s="79">
        <v>25026</v>
      </c>
      <c r="I236" s="79">
        <v>1</v>
      </c>
      <c r="J236" s="79">
        <v>453.6</v>
      </c>
      <c r="K236" s="79">
        <v>5472</v>
      </c>
      <c r="L236" s="79">
        <v>4986</v>
      </c>
      <c r="M236" s="79">
        <v>1636</v>
      </c>
      <c r="N236" s="79">
        <v>3325</v>
      </c>
      <c r="O236" s="79">
        <v>2161.3000000000002</v>
      </c>
      <c r="P236" s="79">
        <v>483.66666666666703</v>
      </c>
      <c r="Q236" s="79">
        <v>2112.6666666666702</v>
      </c>
      <c r="R236" s="79">
        <v>1345</v>
      </c>
      <c r="S236" s="79">
        <v>0</v>
      </c>
      <c r="T236" s="79">
        <v>654</v>
      </c>
      <c r="U236" s="79">
        <v>11232</v>
      </c>
      <c r="V236" s="79">
        <v>24560</v>
      </c>
      <c r="W236" s="79">
        <v>9300</v>
      </c>
      <c r="X236" s="79">
        <v>1029.76</v>
      </c>
      <c r="Y236" s="79">
        <v>276.8</v>
      </c>
      <c r="Z236" s="79">
        <v>0</v>
      </c>
      <c r="AA236" s="79">
        <v>0</v>
      </c>
      <c r="AB236" s="79">
        <v>0</v>
      </c>
      <c r="AC236" s="79">
        <v>1282</v>
      </c>
      <c r="AD236" s="79">
        <v>1987.1</v>
      </c>
      <c r="AE236" s="79">
        <v>119</v>
      </c>
      <c r="AF236" s="79">
        <v>0</v>
      </c>
      <c r="AG236" s="79">
        <v>119</v>
      </c>
      <c r="AH236" s="79">
        <v>163.02000000000001</v>
      </c>
      <c r="AI236" s="79">
        <v>8.4</v>
      </c>
      <c r="AJ236" s="79">
        <v>11637</v>
      </c>
      <c r="AK236" s="79">
        <v>16640.91</v>
      </c>
      <c r="AL236" s="79">
        <v>0</v>
      </c>
      <c r="AM236" s="79">
        <v>0</v>
      </c>
      <c r="AN236" s="79">
        <v>0</v>
      </c>
      <c r="AO236" s="79">
        <v>0</v>
      </c>
      <c r="AP236" s="79">
        <v>3255</v>
      </c>
      <c r="AQ236" s="79">
        <v>0</v>
      </c>
      <c r="AR236" s="80">
        <v>6.9931099999999999E-4</v>
      </c>
      <c r="AS236" s="80">
        <v>1.142985E-3</v>
      </c>
      <c r="AT236" s="79">
        <v>19212.687000000002</v>
      </c>
      <c r="AU236" s="79">
        <v>0</v>
      </c>
      <c r="AV236" s="79">
        <v>1112.9000000000001</v>
      </c>
      <c r="AW236" s="79">
        <v>51941.900642398301</v>
      </c>
      <c r="AX236" s="79">
        <v>1</v>
      </c>
      <c r="AY236" s="79">
        <v>1.68</v>
      </c>
      <c r="AZ236" s="79">
        <v>2219</v>
      </c>
      <c r="BA236" s="79">
        <v>1</v>
      </c>
      <c r="BB236" s="79">
        <v>0</v>
      </c>
      <c r="BC236" s="79">
        <v>0</v>
      </c>
      <c r="BD236" s="79">
        <v>0</v>
      </c>
      <c r="BE236" s="79">
        <v>0</v>
      </c>
      <c r="BF236" s="79">
        <v>0</v>
      </c>
      <c r="BG236" s="79">
        <v>0</v>
      </c>
      <c r="BH236" s="79">
        <v>0</v>
      </c>
      <c r="BI236" s="79">
        <v>0</v>
      </c>
      <c r="BJ236" s="79">
        <v>0</v>
      </c>
      <c r="BK236" s="79">
        <v>41</v>
      </c>
      <c r="BL236" s="79">
        <v>3456</v>
      </c>
      <c r="BM236" s="79">
        <v>114</v>
      </c>
      <c r="BN236" s="79">
        <v>5</v>
      </c>
      <c r="BO236">
        <v>5322</v>
      </c>
      <c r="BP236">
        <v>456</v>
      </c>
      <c r="BQ236">
        <v>5322</v>
      </c>
      <c r="BR236">
        <v>443</v>
      </c>
      <c r="BS236">
        <v>5260</v>
      </c>
      <c r="BT236">
        <v>417</v>
      </c>
      <c r="BU236">
        <v>5336</v>
      </c>
      <c r="BV236">
        <v>381</v>
      </c>
      <c r="BW236">
        <v>5347</v>
      </c>
      <c r="BX236">
        <v>322</v>
      </c>
      <c r="BY236">
        <v>5388</v>
      </c>
      <c r="BZ236">
        <v>306</v>
      </c>
      <c r="CB236">
        <v>552.67200000000003</v>
      </c>
      <c r="CC236">
        <v>117</v>
      </c>
      <c r="CD236">
        <v>92</v>
      </c>
      <c r="CE236">
        <v>6399.02</v>
      </c>
      <c r="CF236">
        <v>1753.75</v>
      </c>
      <c r="CG236">
        <v>339.64038095238101</v>
      </c>
      <c r="CH236">
        <v>289</v>
      </c>
      <c r="CI236">
        <v>155</v>
      </c>
      <c r="CJ236">
        <v>135.333333333333</v>
      </c>
      <c r="CK236" s="81">
        <v>1629</v>
      </c>
      <c r="CL236">
        <v>768</v>
      </c>
      <c r="CM236">
        <v>3950.9967894905499</v>
      </c>
      <c r="CN236">
        <v>1.042</v>
      </c>
      <c r="CO236">
        <v>20040</v>
      </c>
      <c r="CP236">
        <v>2633</v>
      </c>
      <c r="CQ236">
        <v>717</v>
      </c>
      <c r="CR236">
        <v>524</v>
      </c>
      <c r="CS236">
        <v>579</v>
      </c>
      <c r="CT236">
        <v>354</v>
      </c>
      <c r="CU236">
        <v>299.39121766778402</v>
      </c>
      <c r="CV236">
        <v>209.12810861905999</v>
      </c>
      <c r="CW236">
        <v>92.120374667010395</v>
      </c>
      <c r="CX236">
        <v>776.50040000000001</v>
      </c>
      <c r="CY236">
        <v>542.39419999999996</v>
      </c>
      <c r="CZ236">
        <v>238.92320000000001</v>
      </c>
      <c r="DA236">
        <v>220816</v>
      </c>
      <c r="DE236">
        <v>757</v>
      </c>
      <c r="DF236" t="s">
        <v>59</v>
      </c>
      <c r="DG236">
        <v>6689</v>
      </c>
      <c r="DH236">
        <v>6648</v>
      </c>
      <c r="DI236">
        <v>6603</v>
      </c>
      <c r="DJ236">
        <v>6485</v>
      </c>
      <c r="DK236">
        <v>6465</v>
      </c>
      <c r="DO236">
        <v>547</v>
      </c>
      <c r="DP236" t="s">
        <v>180</v>
      </c>
      <c r="DQ236">
        <v>12200</v>
      </c>
      <c r="DR236">
        <v>1.24</v>
      </c>
      <c r="DS236">
        <v>2443</v>
      </c>
      <c r="DV236">
        <v>823</v>
      </c>
      <c r="DW236" t="s">
        <v>225</v>
      </c>
      <c r="DX236">
        <v>1868.4114339268999</v>
      </c>
      <c r="DY236">
        <v>389</v>
      </c>
      <c r="DZ236">
        <v>365</v>
      </c>
      <c r="EA236">
        <v>186</v>
      </c>
      <c r="EB236">
        <v>1363</v>
      </c>
      <c r="EC236">
        <v>755</v>
      </c>
      <c r="ED236">
        <v>264</v>
      </c>
      <c r="EE236" s="82">
        <v>0.13299805885109101</v>
      </c>
      <c r="EF236" s="82">
        <v>0.36956730970414697</v>
      </c>
    </row>
    <row r="237" spans="1:136" x14ac:dyDescent="0.35">
      <c r="A237" s="72">
        <v>1525</v>
      </c>
      <c r="B237" s="72">
        <v>8</v>
      </c>
      <c r="D237" s="72" t="s">
        <v>293</v>
      </c>
      <c r="E237" s="79">
        <v>3951600000</v>
      </c>
      <c r="F237" s="79">
        <v>440650000</v>
      </c>
      <c r="G237" s="79">
        <v>462000000</v>
      </c>
      <c r="H237" s="79">
        <v>37061</v>
      </c>
      <c r="I237" s="79">
        <v>2</v>
      </c>
      <c r="J237" s="79">
        <v>462</v>
      </c>
      <c r="K237" s="79">
        <v>7652</v>
      </c>
      <c r="L237" s="79">
        <v>7056</v>
      </c>
      <c r="M237" s="79">
        <v>2300</v>
      </c>
      <c r="N237" s="79">
        <v>3855</v>
      </c>
      <c r="O237" s="79">
        <v>2273.1</v>
      </c>
      <c r="P237" s="79">
        <v>315</v>
      </c>
      <c r="Q237" s="79">
        <v>1521</v>
      </c>
      <c r="R237" s="79">
        <v>1160</v>
      </c>
      <c r="S237" s="79">
        <v>0</v>
      </c>
      <c r="T237" s="79">
        <v>1050</v>
      </c>
      <c r="U237" s="79">
        <v>16146</v>
      </c>
      <c r="V237" s="79">
        <v>34270</v>
      </c>
      <c r="W237" s="79">
        <v>12720</v>
      </c>
      <c r="X237" s="79">
        <v>702.38</v>
      </c>
      <c r="Y237" s="79">
        <v>1902.4</v>
      </c>
      <c r="Z237" s="79">
        <v>0</v>
      </c>
      <c r="AA237" s="79">
        <v>0</v>
      </c>
      <c r="AB237" s="79">
        <v>150.5</v>
      </c>
      <c r="AC237" s="79">
        <v>2833</v>
      </c>
      <c r="AD237" s="79">
        <v>3031.31</v>
      </c>
      <c r="AE237" s="79">
        <v>515</v>
      </c>
      <c r="AF237" s="79">
        <v>0</v>
      </c>
      <c r="AG237" s="79">
        <v>212</v>
      </c>
      <c r="AH237" s="79">
        <v>193.44</v>
      </c>
      <c r="AI237" s="79">
        <v>28.6</v>
      </c>
      <c r="AJ237" s="79">
        <v>15819</v>
      </c>
      <c r="AK237" s="79">
        <v>16451.759999999998</v>
      </c>
      <c r="AL237" s="79">
        <v>0</v>
      </c>
      <c r="AM237" s="79">
        <v>0</v>
      </c>
      <c r="AN237" s="79">
        <v>0</v>
      </c>
      <c r="AO237" s="79">
        <v>0</v>
      </c>
      <c r="AP237" s="79">
        <v>1524</v>
      </c>
      <c r="AQ237" s="79">
        <v>0</v>
      </c>
      <c r="AR237" s="80">
        <v>3.3695699999999998E-4</v>
      </c>
      <c r="AS237" s="80">
        <v>3.8505499999999998E-4</v>
      </c>
      <c r="AT237" s="79">
        <v>21861.858</v>
      </c>
      <c r="AU237" s="79">
        <v>0</v>
      </c>
      <c r="AV237" s="79">
        <v>3047.36</v>
      </c>
      <c r="AW237" s="79">
        <v>50765.378500597399</v>
      </c>
      <c r="AX237" s="79">
        <v>8</v>
      </c>
      <c r="AY237" s="79">
        <v>8.8000000000000007</v>
      </c>
      <c r="AZ237" s="79">
        <v>3987</v>
      </c>
      <c r="BA237" s="79">
        <v>1</v>
      </c>
      <c r="BB237" s="79">
        <v>0</v>
      </c>
      <c r="BC237" s="79">
        <v>0</v>
      </c>
      <c r="BD237" s="79">
        <v>0</v>
      </c>
      <c r="BE237" s="79">
        <v>0</v>
      </c>
      <c r="BF237" s="79">
        <v>0</v>
      </c>
      <c r="BG237" s="79">
        <v>0</v>
      </c>
      <c r="BH237" s="79">
        <v>0</v>
      </c>
      <c r="BI237" s="79">
        <v>0</v>
      </c>
      <c r="BJ237" s="79">
        <v>0</v>
      </c>
      <c r="BK237" s="79">
        <v>25</v>
      </c>
      <c r="BL237" s="79">
        <v>4780</v>
      </c>
      <c r="BM237" s="79">
        <v>186</v>
      </c>
      <c r="BN237" s="79">
        <v>26</v>
      </c>
      <c r="BO237">
        <v>8608</v>
      </c>
      <c r="BP237">
        <v>2025</v>
      </c>
      <c r="BQ237">
        <v>8523</v>
      </c>
      <c r="BR237">
        <v>1976</v>
      </c>
      <c r="BS237">
        <v>8437</v>
      </c>
      <c r="BT237">
        <v>2041</v>
      </c>
      <c r="BU237">
        <v>8300</v>
      </c>
      <c r="BV237">
        <v>1965</v>
      </c>
      <c r="BW237">
        <v>8231</v>
      </c>
      <c r="BX237">
        <v>1980</v>
      </c>
      <c r="BY237">
        <v>8123</v>
      </c>
      <c r="BZ237">
        <v>1998</v>
      </c>
      <c r="CB237">
        <v>436.16399999999999</v>
      </c>
      <c r="CC237">
        <v>48</v>
      </c>
      <c r="CD237">
        <v>51</v>
      </c>
      <c r="CE237">
        <v>13155.24</v>
      </c>
      <c r="CF237">
        <v>3526.67</v>
      </c>
      <c r="CG237">
        <v>246.370915601023</v>
      </c>
      <c r="CH237">
        <v>407</v>
      </c>
      <c r="CI237">
        <v>83</v>
      </c>
      <c r="CJ237">
        <v>53.3333333333333</v>
      </c>
      <c r="CK237" s="81">
        <v>1206</v>
      </c>
      <c r="CL237">
        <v>318</v>
      </c>
      <c r="CM237">
        <v>4189.9213572876497</v>
      </c>
      <c r="CN237">
        <v>0.189</v>
      </c>
      <c r="CO237">
        <v>30005</v>
      </c>
      <c r="CP237">
        <v>3865</v>
      </c>
      <c r="CQ237">
        <v>891</v>
      </c>
      <c r="CR237">
        <v>775</v>
      </c>
      <c r="CS237">
        <v>716</v>
      </c>
      <c r="CT237">
        <v>435</v>
      </c>
      <c r="CU237">
        <v>341.99241418547302</v>
      </c>
      <c r="CV237">
        <v>222.151374928883</v>
      </c>
      <c r="CW237">
        <v>90.671098046652801</v>
      </c>
      <c r="CX237">
        <v>717.80799999999999</v>
      </c>
      <c r="CY237">
        <v>466.27359999999999</v>
      </c>
      <c r="CZ237">
        <v>190.30959999999999</v>
      </c>
      <c r="DA237">
        <v>46485</v>
      </c>
      <c r="DE237">
        <v>758</v>
      </c>
      <c r="DF237" t="s">
        <v>60</v>
      </c>
      <c r="DG237">
        <v>35286</v>
      </c>
      <c r="DH237">
        <v>35275</v>
      </c>
      <c r="DI237">
        <v>35281</v>
      </c>
      <c r="DJ237">
        <v>35405</v>
      </c>
      <c r="DK237">
        <v>35429</v>
      </c>
      <c r="DO237">
        <v>1916</v>
      </c>
      <c r="DP237" t="s">
        <v>181</v>
      </c>
      <c r="DQ237">
        <v>36688</v>
      </c>
      <c r="DR237">
        <v>1.06</v>
      </c>
      <c r="DS237">
        <v>2847</v>
      </c>
      <c r="DV237">
        <v>824</v>
      </c>
      <c r="DW237" t="s">
        <v>226</v>
      </c>
      <c r="DX237">
        <v>3067.7407306681198</v>
      </c>
      <c r="DY237">
        <v>632</v>
      </c>
      <c r="DZ237">
        <v>693</v>
      </c>
      <c r="EA237">
        <v>316</v>
      </c>
      <c r="EB237">
        <v>2002</v>
      </c>
      <c r="EC237">
        <v>1410</v>
      </c>
      <c r="ED237">
        <v>454</v>
      </c>
      <c r="EE237" s="82">
        <v>0.15788002107163099</v>
      </c>
      <c r="EF237" s="82">
        <v>0.34366400520543899</v>
      </c>
    </row>
    <row r="238" spans="1:136" x14ac:dyDescent="0.35">
      <c r="A238" s="72">
        <v>622</v>
      </c>
      <c r="B238" s="72">
        <v>8</v>
      </c>
      <c r="D238" s="72" t="s">
        <v>318</v>
      </c>
      <c r="E238" s="79">
        <v>5120400000</v>
      </c>
      <c r="F238" s="79">
        <v>963200000</v>
      </c>
      <c r="G238" s="79">
        <v>983850000</v>
      </c>
      <c r="H238" s="79">
        <v>72404</v>
      </c>
      <c r="I238" s="79">
        <v>1</v>
      </c>
      <c r="J238" s="79">
        <v>983.85</v>
      </c>
      <c r="K238" s="79">
        <v>13856</v>
      </c>
      <c r="L238" s="79">
        <v>15406</v>
      </c>
      <c r="M238" s="79">
        <v>4888</v>
      </c>
      <c r="N238" s="79">
        <v>12315</v>
      </c>
      <c r="O238" s="79">
        <v>8773</v>
      </c>
      <c r="P238" s="79">
        <v>2528.3333333333298</v>
      </c>
      <c r="Q238" s="79">
        <v>5875.3333333333303</v>
      </c>
      <c r="R238" s="79">
        <v>11040</v>
      </c>
      <c r="S238" s="79">
        <v>0</v>
      </c>
      <c r="T238" s="79">
        <v>3328</v>
      </c>
      <c r="U238" s="79">
        <v>35234</v>
      </c>
      <c r="V238" s="79">
        <v>72800</v>
      </c>
      <c r="W238" s="79">
        <v>51750</v>
      </c>
      <c r="X238" s="79">
        <v>1085.3</v>
      </c>
      <c r="Y238" s="79">
        <v>3328.8</v>
      </c>
      <c r="Z238" s="79">
        <v>105</v>
      </c>
      <c r="AA238" s="79">
        <v>0</v>
      </c>
      <c r="AB238" s="79">
        <v>0</v>
      </c>
      <c r="AC238" s="79">
        <v>2333</v>
      </c>
      <c r="AD238" s="79">
        <v>3149.55</v>
      </c>
      <c r="AE238" s="79">
        <v>336</v>
      </c>
      <c r="AF238" s="79">
        <v>0</v>
      </c>
      <c r="AG238" s="79">
        <v>245</v>
      </c>
      <c r="AH238" s="79">
        <v>322.48</v>
      </c>
      <c r="AI238" s="79">
        <v>17.03</v>
      </c>
      <c r="AJ238" s="79">
        <v>35420</v>
      </c>
      <c r="AK238" s="79">
        <v>49233.8</v>
      </c>
      <c r="AL238" s="79">
        <v>10</v>
      </c>
      <c r="AM238" s="79">
        <v>0</v>
      </c>
      <c r="AN238" s="79">
        <v>0</v>
      </c>
      <c r="AO238" s="79">
        <v>0</v>
      </c>
      <c r="AP238" s="79">
        <v>6938</v>
      </c>
      <c r="AQ238" s="79">
        <v>6540</v>
      </c>
      <c r="AR238" s="80">
        <v>3.1864559999999998E-3</v>
      </c>
      <c r="AS238" s="80">
        <v>1.1512477E-2</v>
      </c>
      <c r="AT238" s="79">
        <v>98290.5</v>
      </c>
      <c r="AU238" s="79">
        <v>0</v>
      </c>
      <c r="AV238" s="79">
        <v>2135.6999999999998</v>
      </c>
      <c r="AW238" s="79">
        <v>146196.94147620801</v>
      </c>
      <c r="AX238" s="79">
        <v>1</v>
      </c>
      <c r="AY238" s="79">
        <v>1.31</v>
      </c>
      <c r="AZ238" s="79">
        <v>5653</v>
      </c>
      <c r="BA238" s="79">
        <v>1</v>
      </c>
      <c r="BB238" s="79">
        <v>0</v>
      </c>
      <c r="BC238" s="79">
        <v>0</v>
      </c>
      <c r="BD238" s="79">
        <v>0</v>
      </c>
      <c r="BE238" s="79">
        <v>0</v>
      </c>
      <c r="BF238" s="79">
        <v>0</v>
      </c>
      <c r="BG238" s="79">
        <v>0</v>
      </c>
      <c r="BH238" s="79">
        <v>0</v>
      </c>
      <c r="BI238" s="79">
        <v>0</v>
      </c>
      <c r="BJ238" s="79">
        <v>0</v>
      </c>
      <c r="BK238" s="79">
        <v>17</v>
      </c>
      <c r="BL238" s="79">
        <v>13554</v>
      </c>
      <c r="BM238" s="79">
        <v>232</v>
      </c>
      <c r="BN238" s="79">
        <v>13</v>
      </c>
      <c r="BO238">
        <v>13651</v>
      </c>
      <c r="BP238">
        <v>4646</v>
      </c>
      <c r="BQ238">
        <v>13531</v>
      </c>
      <c r="BR238">
        <v>4702</v>
      </c>
      <c r="BS238">
        <v>13577</v>
      </c>
      <c r="BT238">
        <v>4722</v>
      </c>
      <c r="BU238">
        <v>13534</v>
      </c>
      <c r="BV238">
        <v>4614</v>
      </c>
      <c r="BW238">
        <v>13505</v>
      </c>
      <c r="BX238">
        <v>4655</v>
      </c>
      <c r="BY238">
        <v>13455</v>
      </c>
      <c r="BZ238">
        <v>4492</v>
      </c>
      <c r="CB238">
        <v>2826.6239999999998</v>
      </c>
      <c r="CC238">
        <v>377</v>
      </c>
      <c r="CD238">
        <v>415</v>
      </c>
      <c r="CE238">
        <v>20513.400000000001</v>
      </c>
      <c r="CF238">
        <v>4619.8500000000004</v>
      </c>
      <c r="CG238">
        <v>411.93695728960199</v>
      </c>
      <c r="CH238">
        <v>1255</v>
      </c>
      <c r="CI238">
        <v>861.33333333333303</v>
      </c>
      <c r="CJ238">
        <v>775.33333333333303</v>
      </c>
      <c r="CK238" s="81">
        <v>3347</v>
      </c>
      <c r="CL238">
        <v>982</v>
      </c>
      <c r="CM238">
        <v>11155.870545900199</v>
      </c>
      <c r="CN238">
        <v>6.819</v>
      </c>
      <c r="CO238">
        <v>56998</v>
      </c>
      <c r="CP238">
        <v>8374</v>
      </c>
      <c r="CQ238">
        <v>2144</v>
      </c>
      <c r="CR238">
        <v>2228</v>
      </c>
      <c r="CS238">
        <v>1891</v>
      </c>
      <c r="CT238">
        <v>1207</v>
      </c>
      <c r="CU238">
        <v>1352.60736871824</v>
      </c>
      <c r="CV238">
        <v>872.09861660079002</v>
      </c>
      <c r="CW238">
        <v>394.31439864483298</v>
      </c>
      <c r="CX238">
        <v>2869.2094000000002</v>
      </c>
      <c r="CY238">
        <v>1849.9333999999999</v>
      </c>
      <c r="CZ238">
        <v>836.43679999999995</v>
      </c>
      <c r="DA238">
        <v>45549</v>
      </c>
      <c r="DE238">
        <v>762</v>
      </c>
      <c r="DF238" t="s">
        <v>83</v>
      </c>
      <c r="DG238">
        <v>6930</v>
      </c>
      <c r="DH238">
        <v>6830</v>
      </c>
      <c r="DI238">
        <v>6777</v>
      </c>
      <c r="DJ238">
        <v>6650</v>
      </c>
      <c r="DK238">
        <v>6492</v>
      </c>
      <c r="DO238">
        <v>553</v>
      </c>
      <c r="DP238" t="s">
        <v>186</v>
      </c>
      <c r="DQ238">
        <v>10082</v>
      </c>
      <c r="DR238">
        <v>1.1399999999999999</v>
      </c>
      <c r="DS238">
        <v>1592</v>
      </c>
      <c r="DV238">
        <v>1895</v>
      </c>
      <c r="DW238" t="s">
        <v>227</v>
      </c>
      <c r="DX238">
        <v>7208.2436562377998</v>
      </c>
      <c r="DY238">
        <v>1166</v>
      </c>
      <c r="DZ238">
        <v>1038</v>
      </c>
      <c r="EA238">
        <v>568</v>
      </c>
      <c r="EB238">
        <v>3339</v>
      </c>
      <c r="EC238">
        <v>1963</v>
      </c>
      <c r="ED238">
        <v>756</v>
      </c>
      <c r="EE238" s="82">
        <v>0.28942429261144198</v>
      </c>
      <c r="EF238" s="82">
        <v>0.62500267351085503</v>
      </c>
    </row>
    <row r="239" spans="1:136" x14ac:dyDescent="0.35">
      <c r="A239" s="72">
        <v>626</v>
      </c>
      <c r="B239" s="72">
        <v>8</v>
      </c>
      <c r="D239" s="72" t="s">
        <v>322</v>
      </c>
      <c r="E239" s="79">
        <v>3070800000</v>
      </c>
      <c r="F239" s="79">
        <v>187950000</v>
      </c>
      <c r="G239" s="79">
        <v>204050000</v>
      </c>
      <c r="H239" s="79">
        <v>25479</v>
      </c>
      <c r="I239" s="79">
        <v>1</v>
      </c>
      <c r="J239" s="79">
        <v>204.05</v>
      </c>
      <c r="K239" s="79">
        <v>5439</v>
      </c>
      <c r="L239" s="79">
        <v>5901</v>
      </c>
      <c r="M239" s="79">
        <v>1887</v>
      </c>
      <c r="N239" s="79">
        <v>2684</v>
      </c>
      <c r="O239" s="79">
        <v>1534.1</v>
      </c>
      <c r="P239" s="79">
        <v>327</v>
      </c>
      <c r="Q239" s="79">
        <v>1092</v>
      </c>
      <c r="R239" s="79">
        <v>1225</v>
      </c>
      <c r="S239" s="79">
        <v>0</v>
      </c>
      <c r="T239" s="79">
        <v>834</v>
      </c>
      <c r="U239" s="79">
        <v>11502</v>
      </c>
      <c r="V239" s="79">
        <v>20150</v>
      </c>
      <c r="W239" s="79">
        <v>4910</v>
      </c>
      <c r="X239" s="79">
        <v>0</v>
      </c>
      <c r="Y239" s="79">
        <v>0</v>
      </c>
      <c r="Z239" s="79">
        <v>0</v>
      </c>
      <c r="AA239" s="79">
        <v>0</v>
      </c>
      <c r="AB239" s="79">
        <v>0</v>
      </c>
      <c r="AC239" s="79">
        <v>1112</v>
      </c>
      <c r="AD239" s="79">
        <v>1145.3599999999999</v>
      </c>
      <c r="AE239" s="79">
        <v>44</v>
      </c>
      <c r="AF239" s="79">
        <v>0</v>
      </c>
      <c r="AG239" s="79">
        <v>103</v>
      </c>
      <c r="AH239" s="79">
        <v>105</v>
      </c>
      <c r="AI239" s="79">
        <v>3.03</v>
      </c>
      <c r="AJ239" s="79">
        <v>11499</v>
      </c>
      <c r="AK239" s="79">
        <v>12073.95</v>
      </c>
      <c r="AL239" s="79">
        <v>0</v>
      </c>
      <c r="AM239" s="79">
        <v>0</v>
      </c>
      <c r="AN239" s="79">
        <v>0</v>
      </c>
      <c r="AO239" s="79">
        <v>0</v>
      </c>
      <c r="AP239" s="79">
        <v>891</v>
      </c>
      <c r="AQ239" s="79">
        <v>0</v>
      </c>
      <c r="AR239" s="80">
        <v>2.69614E-4</v>
      </c>
      <c r="AS239" s="80">
        <v>5.9376000000000003E-4</v>
      </c>
      <c r="AT239" s="79">
        <v>21307.647000000001</v>
      </c>
      <c r="AU239" s="79">
        <v>0</v>
      </c>
      <c r="AV239" s="79">
        <v>1092.83</v>
      </c>
      <c r="AW239" s="79">
        <v>32077.752430795801</v>
      </c>
      <c r="AX239" s="79">
        <v>1</v>
      </c>
      <c r="AY239" s="79">
        <v>1.01</v>
      </c>
      <c r="AZ239" s="79">
        <v>2724</v>
      </c>
      <c r="BA239" s="79">
        <v>1</v>
      </c>
      <c r="BB239" s="79">
        <v>0</v>
      </c>
      <c r="BC239" s="79">
        <v>0</v>
      </c>
      <c r="BD239" s="79">
        <v>0</v>
      </c>
      <c r="BE239" s="79">
        <v>0</v>
      </c>
      <c r="BF239" s="79">
        <v>0</v>
      </c>
      <c r="BG239" s="79">
        <v>0</v>
      </c>
      <c r="BH239" s="79">
        <v>0</v>
      </c>
      <c r="BI239" s="79">
        <v>0</v>
      </c>
      <c r="BJ239" s="79">
        <v>0</v>
      </c>
      <c r="BK239" s="79">
        <v>8</v>
      </c>
      <c r="BL239" s="79">
        <v>3779</v>
      </c>
      <c r="BM239" s="79">
        <v>100</v>
      </c>
      <c r="BN239" s="79">
        <v>3</v>
      </c>
      <c r="BO239">
        <v>5114</v>
      </c>
      <c r="BP239">
        <v>0</v>
      </c>
      <c r="BQ239">
        <v>5238</v>
      </c>
      <c r="BR239">
        <v>0</v>
      </c>
      <c r="BS239">
        <v>5368</v>
      </c>
      <c r="BT239">
        <v>0</v>
      </c>
      <c r="BU239">
        <v>5428</v>
      </c>
      <c r="BV239">
        <v>0</v>
      </c>
      <c r="BW239">
        <v>5447</v>
      </c>
      <c r="BX239">
        <v>0</v>
      </c>
      <c r="BY239">
        <v>5527</v>
      </c>
      <c r="BZ239">
        <v>0</v>
      </c>
      <c r="CB239">
        <v>478.63200000000001</v>
      </c>
      <c r="CC239">
        <v>43</v>
      </c>
      <c r="CD239">
        <v>34</v>
      </c>
      <c r="CE239">
        <v>9971.56</v>
      </c>
      <c r="CF239">
        <v>2551.92</v>
      </c>
      <c r="CG239">
        <v>248.56081651376101</v>
      </c>
      <c r="CH239">
        <v>311</v>
      </c>
      <c r="CI239">
        <v>106.333333333333</v>
      </c>
      <c r="CJ239">
        <v>84.6666666666667</v>
      </c>
      <c r="CK239" s="81">
        <v>765</v>
      </c>
      <c r="CL239">
        <v>213</v>
      </c>
      <c r="CM239">
        <v>3308.4801364483801</v>
      </c>
      <c r="CN239">
        <v>0.318</v>
      </c>
      <c r="CO239">
        <v>19578</v>
      </c>
      <c r="CP239">
        <v>3114</v>
      </c>
      <c r="CQ239">
        <v>900</v>
      </c>
      <c r="CR239">
        <v>718</v>
      </c>
      <c r="CS239">
        <v>661</v>
      </c>
      <c r="CT239">
        <v>430</v>
      </c>
      <c r="CU239">
        <v>264.15496999739099</v>
      </c>
      <c r="CV239">
        <v>175.036020523524</v>
      </c>
      <c r="CW239">
        <v>84.716366640577405</v>
      </c>
      <c r="CX239">
        <v>537.17399999999998</v>
      </c>
      <c r="CY239">
        <v>355.94560000000001</v>
      </c>
      <c r="CZ239">
        <v>172.27549999999999</v>
      </c>
      <c r="DA239">
        <v>0</v>
      </c>
      <c r="DE239">
        <v>765</v>
      </c>
      <c r="DF239" t="s">
        <v>245</v>
      </c>
      <c r="DG239">
        <v>2670</v>
      </c>
      <c r="DH239">
        <v>2663</v>
      </c>
      <c r="DI239">
        <v>2609</v>
      </c>
      <c r="DJ239">
        <v>2541</v>
      </c>
      <c r="DK239">
        <v>2498</v>
      </c>
      <c r="DO239">
        <v>556</v>
      </c>
      <c r="DP239" t="s">
        <v>194</v>
      </c>
      <c r="DQ239">
        <v>15103</v>
      </c>
      <c r="DR239">
        <v>1.24</v>
      </c>
      <c r="DS239">
        <v>1980</v>
      </c>
      <c r="DV239">
        <v>269</v>
      </c>
      <c r="DW239" t="s">
        <v>228</v>
      </c>
      <c r="DX239">
        <v>2389.2472582253199</v>
      </c>
      <c r="DY239">
        <v>399</v>
      </c>
      <c r="DZ239">
        <v>420</v>
      </c>
      <c r="EA239">
        <v>218</v>
      </c>
      <c r="EB239">
        <v>1438</v>
      </c>
      <c r="EC239">
        <v>942</v>
      </c>
      <c r="ED239">
        <v>347</v>
      </c>
      <c r="EE239" s="82">
        <v>0.14517673250131599</v>
      </c>
      <c r="EF239" s="82">
        <v>0.50311442937072404</v>
      </c>
    </row>
    <row r="240" spans="1:136" x14ac:dyDescent="0.35">
      <c r="A240" s="72">
        <v>627</v>
      </c>
      <c r="B240" s="72">
        <v>8</v>
      </c>
      <c r="D240" s="72" t="s">
        <v>328</v>
      </c>
      <c r="E240" s="79">
        <v>2266000000</v>
      </c>
      <c r="F240" s="79">
        <v>481950000</v>
      </c>
      <c r="G240" s="79">
        <v>490350000</v>
      </c>
      <c r="H240" s="79">
        <v>28316</v>
      </c>
      <c r="I240" s="79">
        <v>1</v>
      </c>
      <c r="J240" s="79">
        <v>490.35</v>
      </c>
      <c r="K240" s="79">
        <v>6008</v>
      </c>
      <c r="L240" s="79">
        <v>5587</v>
      </c>
      <c r="M240" s="79">
        <v>1745</v>
      </c>
      <c r="N240" s="79">
        <v>3093</v>
      </c>
      <c r="O240" s="79">
        <v>1892</v>
      </c>
      <c r="P240" s="79">
        <v>345.33333333333297</v>
      </c>
      <c r="Q240" s="79">
        <v>1480.3333333333301</v>
      </c>
      <c r="R240" s="79">
        <v>1800</v>
      </c>
      <c r="S240" s="79">
        <v>0</v>
      </c>
      <c r="T240" s="79">
        <v>741</v>
      </c>
      <c r="U240" s="79">
        <v>12112</v>
      </c>
      <c r="V240" s="79">
        <v>26620</v>
      </c>
      <c r="W240" s="79">
        <v>8340</v>
      </c>
      <c r="X240" s="79">
        <v>0</v>
      </c>
      <c r="Y240" s="79">
        <v>764</v>
      </c>
      <c r="Z240" s="79">
        <v>0</v>
      </c>
      <c r="AA240" s="79">
        <v>0</v>
      </c>
      <c r="AB240" s="79">
        <v>0</v>
      </c>
      <c r="AC240" s="79">
        <v>2781</v>
      </c>
      <c r="AD240" s="79">
        <v>3865.59</v>
      </c>
      <c r="AE240" s="79">
        <v>159</v>
      </c>
      <c r="AF240" s="79">
        <v>0</v>
      </c>
      <c r="AG240" s="79">
        <v>187</v>
      </c>
      <c r="AH240" s="79">
        <v>187.6</v>
      </c>
      <c r="AI240" s="79">
        <v>73.67</v>
      </c>
      <c r="AJ240" s="79">
        <v>12010</v>
      </c>
      <c r="AK240" s="79">
        <v>16814</v>
      </c>
      <c r="AL240" s="79">
        <v>0</v>
      </c>
      <c r="AM240" s="79">
        <v>0</v>
      </c>
      <c r="AN240" s="79">
        <v>0</v>
      </c>
      <c r="AO240" s="79">
        <v>0</v>
      </c>
      <c r="AP240" s="79">
        <v>1491</v>
      </c>
      <c r="AQ240" s="79">
        <v>0</v>
      </c>
      <c r="AR240" s="80">
        <v>1.8527100000000001E-4</v>
      </c>
      <c r="AS240" s="80">
        <v>7.0727699999999997E-4</v>
      </c>
      <c r="AT240" s="79">
        <v>18615.5</v>
      </c>
      <c r="AU240" s="79">
        <v>0</v>
      </c>
      <c r="AV240" s="79">
        <v>4933.1099999999997</v>
      </c>
      <c r="AW240" s="79">
        <v>132924.453727891</v>
      </c>
      <c r="AX240" s="79">
        <v>3</v>
      </c>
      <c r="AY240" s="79">
        <v>4.17</v>
      </c>
      <c r="AZ240" s="79">
        <v>2943</v>
      </c>
      <c r="BA240" s="79">
        <v>1</v>
      </c>
      <c r="BB240" s="79">
        <v>0</v>
      </c>
      <c r="BC240" s="79">
        <v>0</v>
      </c>
      <c r="BD240" s="79">
        <v>0</v>
      </c>
      <c r="BE240" s="79">
        <v>0</v>
      </c>
      <c r="BF240" s="79">
        <v>0</v>
      </c>
      <c r="BG240" s="79">
        <v>0</v>
      </c>
      <c r="BH240" s="79">
        <v>0</v>
      </c>
      <c r="BI240" s="79">
        <v>0</v>
      </c>
      <c r="BJ240" s="79">
        <v>0</v>
      </c>
      <c r="BK240" s="79">
        <v>10</v>
      </c>
      <c r="BL240" s="79">
        <v>3428</v>
      </c>
      <c r="BM240" s="79">
        <v>134</v>
      </c>
      <c r="BN240" s="79">
        <v>53</v>
      </c>
      <c r="BO240">
        <v>5775</v>
      </c>
      <c r="BP240">
        <v>1258</v>
      </c>
      <c r="BQ240">
        <v>5701</v>
      </c>
      <c r="BR240">
        <v>1201</v>
      </c>
      <c r="BS240">
        <v>5588</v>
      </c>
      <c r="BT240">
        <v>1157</v>
      </c>
      <c r="BU240">
        <v>5516</v>
      </c>
      <c r="BV240">
        <v>1070</v>
      </c>
      <c r="BW240">
        <v>5395</v>
      </c>
      <c r="BX240">
        <v>997</v>
      </c>
      <c r="BY240">
        <v>5414</v>
      </c>
      <c r="BZ240">
        <v>961</v>
      </c>
      <c r="CB240">
        <v>474.63200000000001</v>
      </c>
      <c r="CC240">
        <v>86</v>
      </c>
      <c r="CD240">
        <v>56</v>
      </c>
      <c r="CE240">
        <v>8649.0400000000009</v>
      </c>
      <c r="CF240">
        <v>1997.84</v>
      </c>
      <c r="CG240">
        <v>192.20464957265</v>
      </c>
      <c r="CH240">
        <v>277</v>
      </c>
      <c r="CI240">
        <v>109.666666666667</v>
      </c>
      <c r="CJ240">
        <v>93.6666666666667</v>
      </c>
      <c r="CK240" s="81">
        <v>1135</v>
      </c>
      <c r="CL240">
        <v>384</v>
      </c>
      <c r="CM240">
        <v>4128.5405707272203</v>
      </c>
      <c r="CN240">
        <v>0.314</v>
      </c>
      <c r="CO240">
        <v>22729</v>
      </c>
      <c r="CP240">
        <v>3228</v>
      </c>
      <c r="CQ240">
        <v>614</v>
      </c>
      <c r="CR240">
        <v>577</v>
      </c>
      <c r="CS240">
        <v>582</v>
      </c>
      <c r="CT240">
        <v>329</v>
      </c>
      <c r="CU240">
        <v>313.49542048293102</v>
      </c>
      <c r="CV240">
        <v>192.823313905079</v>
      </c>
      <c r="CW240">
        <v>77.192339716902595</v>
      </c>
      <c r="CX240">
        <v>796.995</v>
      </c>
      <c r="CY240">
        <v>490.21199999999999</v>
      </c>
      <c r="CZ240">
        <v>196.245</v>
      </c>
      <c r="DA240">
        <v>21170</v>
      </c>
      <c r="DE240">
        <v>766</v>
      </c>
      <c r="DF240" t="s">
        <v>89</v>
      </c>
      <c r="DG240">
        <v>5605</v>
      </c>
      <c r="DH240">
        <v>5447</v>
      </c>
      <c r="DI240">
        <v>5369</v>
      </c>
      <c r="DJ240">
        <v>5333</v>
      </c>
      <c r="DK240">
        <v>5297</v>
      </c>
      <c r="DO240">
        <v>1842</v>
      </c>
      <c r="DP240" t="s">
        <v>202</v>
      </c>
      <c r="DQ240">
        <v>7892</v>
      </c>
      <c r="DR240">
        <v>1.23</v>
      </c>
      <c r="DS240">
        <v>1308</v>
      </c>
      <c r="DV240">
        <v>173</v>
      </c>
      <c r="DW240" t="s">
        <v>229</v>
      </c>
      <c r="DX240">
        <v>4439.7845943613402</v>
      </c>
      <c r="DY240">
        <v>838</v>
      </c>
      <c r="DZ240">
        <v>759</v>
      </c>
      <c r="EA240">
        <v>420</v>
      </c>
      <c r="EB240">
        <v>2521</v>
      </c>
      <c r="EC240">
        <v>1557</v>
      </c>
      <c r="ED240">
        <v>552</v>
      </c>
      <c r="EE240" s="82">
        <v>0.20644565118452099</v>
      </c>
      <c r="EF240" s="82">
        <v>0.47753270234147599</v>
      </c>
    </row>
    <row r="241" spans="1:136" x14ac:dyDescent="0.35">
      <c r="A241" s="72">
        <v>629</v>
      </c>
      <c r="B241" s="72">
        <v>8</v>
      </c>
      <c r="D241" s="72" t="s">
        <v>330</v>
      </c>
      <c r="E241" s="79">
        <v>5473200000</v>
      </c>
      <c r="F241" s="79">
        <v>389550000</v>
      </c>
      <c r="G241" s="79">
        <v>413350000</v>
      </c>
      <c r="H241" s="79">
        <v>26211</v>
      </c>
      <c r="I241" s="79">
        <v>1</v>
      </c>
      <c r="J241" s="79">
        <v>413.35</v>
      </c>
      <c r="K241" s="79">
        <v>5653</v>
      </c>
      <c r="L241" s="79">
        <v>6709</v>
      </c>
      <c r="M241" s="79">
        <v>2305</v>
      </c>
      <c r="N241" s="79">
        <v>2739</v>
      </c>
      <c r="O241" s="79">
        <v>1511.9</v>
      </c>
      <c r="P241" s="79">
        <v>416</v>
      </c>
      <c r="Q241" s="79">
        <v>1078</v>
      </c>
      <c r="R241" s="79">
        <v>995</v>
      </c>
      <c r="S241" s="79">
        <v>0</v>
      </c>
      <c r="T241" s="79">
        <v>864</v>
      </c>
      <c r="U241" s="79">
        <v>11920</v>
      </c>
      <c r="V241" s="79">
        <v>20430</v>
      </c>
      <c r="W241" s="79">
        <v>4840</v>
      </c>
      <c r="X241" s="79">
        <v>0</v>
      </c>
      <c r="Y241" s="79">
        <v>1507.2</v>
      </c>
      <c r="Z241" s="79">
        <v>0</v>
      </c>
      <c r="AA241" s="79">
        <v>0</v>
      </c>
      <c r="AB241" s="79">
        <v>0</v>
      </c>
      <c r="AC241" s="79">
        <v>5134</v>
      </c>
      <c r="AD241" s="79">
        <v>5134</v>
      </c>
      <c r="AE241" s="79">
        <v>175</v>
      </c>
      <c r="AF241" s="79">
        <v>932</v>
      </c>
      <c r="AG241" s="79">
        <v>148</v>
      </c>
      <c r="AH241" s="79">
        <v>132</v>
      </c>
      <c r="AI241" s="79">
        <v>16</v>
      </c>
      <c r="AJ241" s="79">
        <v>12271</v>
      </c>
      <c r="AK241" s="79">
        <v>12271</v>
      </c>
      <c r="AL241" s="79">
        <v>0</v>
      </c>
      <c r="AM241" s="79">
        <v>0</v>
      </c>
      <c r="AN241" s="79">
        <v>0</v>
      </c>
      <c r="AO241" s="79">
        <v>0</v>
      </c>
      <c r="AP241" s="79">
        <v>1617</v>
      </c>
      <c r="AQ241" s="79">
        <v>0</v>
      </c>
      <c r="AR241" s="80">
        <v>7.3021800000000003E-4</v>
      </c>
      <c r="AS241" s="80">
        <v>4.3625000000000001E-4</v>
      </c>
      <c r="AT241" s="79">
        <v>17707.053</v>
      </c>
      <c r="AU241" s="79">
        <v>0</v>
      </c>
      <c r="AV241" s="79">
        <v>2877</v>
      </c>
      <c r="AW241" s="79">
        <v>14204.0020719533</v>
      </c>
      <c r="AX241" s="79">
        <v>2</v>
      </c>
      <c r="AY241" s="79">
        <v>2</v>
      </c>
      <c r="AZ241" s="79">
        <v>3277</v>
      </c>
      <c r="BA241" s="79">
        <v>1</v>
      </c>
      <c r="BB241" s="79">
        <v>0</v>
      </c>
      <c r="BC241" s="79">
        <v>0</v>
      </c>
      <c r="BD241" s="79">
        <v>0</v>
      </c>
      <c r="BE241" s="79">
        <v>0</v>
      </c>
      <c r="BF241" s="79">
        <v>0</v>
      </c>
      <c r="BG241" s="79">
        <v>0</v>
      </c>
      <c r="BH241" s="79">
        <v>0</v>
      </c>
      <c r="BI241" s="79">
        <v>0</v>
      </c>
      <c r="BJ241" s="79">
        <v>0</v>
      </c>
      <c r="BK241" s="79">
        <v>5</v>
      </c>
      <c r="BL241" s="79">
        <v>4093</v>
      </c>
      <c r="BM241" s="79">
        <v>132</v>
      </c>
      <c r="BN241" s="79">
        <v>16</v>
      </c>
      <c r="BO241">
        <v>5793</v>
      </c>
      <c r="BP241">
        <v>2948</v>
      </c>
      <c r="BQ241">
        <v>5724</v>
      </c>
      <c r="BR241">
        <v>3035</v>
      </c>
      <c r="BS241">
        <v>5626</v>
      </c>
      <c r="BT241">
        <v>2352</v>
      </c>
      <c r="BU241">
        <v>5637</v>
      </c>
      <c r="BV241">
        <v>2231</v>
      </c>
      <c r="BW241">
        <v>5591</v>
      </c>
      <c r="BX241">
        <v>2239</v>
      </c>
      <c r="BY241">
        <v>5572</v>
      </c>
      <c r="BZ241">
        <v>2188</v>
      </c>
      <c r="CB241">
        <v>565.29999999999995</v>
      </c>
      <c r="CC241">
        <v>24</v>
      </c>
      <c r="CD241">
        <v>20</v>
      </c>
      <c r="CE241">
        <v>11189.92</v>
      </c>
      <c r="CF241">
        <v>2930.37</v>
      </c>
      <c r="CG241">
        <v>152.55229090005</v>
      </c>
      <c r="CH241">
        <v>332</v>
      </c>
      <c r="CI241">
        <v>132.333333333333</v>
      </c>
      <c r="CJ241">
        <v>118</v>
      </c>
      <c r="CK241" s="81">
        <v>662</v>
      </c>
      <c r="CL241">
        <v>166</v>
      </c>
      <c r="CM241">
        <v>3421.35316978945</v>
      </c>
      <c r="CN241">
        <v>0.66500000000000004</v>
      </c>
      <c r="CO241">
        <v>19502</v>
      </c>
      <c r="CP241">
        <v>3285</v>
      </c>
      <c r="CQ241">
        <v>1119</v>
      </c>
      <c r="CR241">
        <v>796</v>
      </c>
      <c r="CS241">
        <v>788</v>
      </c>
      <c r="CT241">
        <v>571</v>
      </c>
      <c r="CU241">
        <v>257.75363051096099</v>
      </c>
      <c r="CV241">
        <v>196.39545269334201</v>
      </c>
      <c r="CW241">
        <v>98.320935539075904</v>
      </c>
      <c r="CX241">
        <v>200.4136</v>
      </c>
      <c r="CY241">
        <v>152.70519999999999</v>
      </c>
      <c r="CZ241">
        <v>76.448400000000007</v>
      </c>
      <c r="DA241">
        <v>18034</v>
      </c>
      <c r="DE241">
        <v>770</v>
      </c>
      <c r="DF241" t="s">
        <v>100</v>
      </c>
      <c r="DG241">
        <v>3976</v>
      </c>
      <c r="DH241">
        <v>3884</v>
      </c>
      <c r="DI241">
        <v>3792</v>
      </c>
      <c r="DJ241">
        <v>3713</v>
      </c>
      <c r="DK241">
        <v>3613</v>
      </c>
      <c r="DO241">
        <v>1927</v>
      </c>
      <c r="DP241" t="s">
        <v>817</v>
      </c>
      <c r="DQ241">
        <v>11239</v>
      </c>
      <c r="DR241">
        <v>1.45</v>
      </c>
      <c r="DS241">
        <v>446</v>
      </c>
      <c r="DV241">
        <v>1773</v>
      </c>
      <c r="DW241" t="s">
        <v>230</v>
      </c>
      <c r="DX241">
        <v>2057.8330392289899</v>
      </c>
      <c r="DY241">
        <v>366</v>
      </c>
      <c r="DZ241">
        <v>367</v>
      </c>
      <c r="EA241">
        <v>209</v>
      </c>
      <c r="EB241">
        <v>1298</v>
      </c>
      <c r="EC241">
        <v>767</v>
      </c>
      <c r="ED241">
        <v>308</v>
      </c>
      <c r="EE241" s="82">
        <v>0.16281392582745799</v>
      </c>
      <c r="EF241" s="82">
        <v>0.45316433785906901</v>
      </c>
    </row>
    <row r="242" spans="1:136" x14ac:dyDescent="0.35">
      <c r="A242" s="72">
        <v>1783</v>
      </c>
      <c r="B242" s="72">
        <v>8</v>
      </c>
      <c r="D242" s="72" t="s">
        <v>340</v>
      </c>
      <c r="E242" s="79">
        <v>10028800000</v>
      </c>
      <c r="F242" s="79">
        <v>2908850000</v>
      </c>
      <c r="G242" s="79">
        <v>2954350000</v>
      </c>
      <c r="H242" s="79">
        <v>108603</v>
      </c>
      <c r="I242" s="79">
        <v>1</v>
      </c>
      <c r="J242" s="79">
        <v>2954.35</v>
      </c>
      <c r="K242" s="79">
        <v>21990</v>
      </c>
      <c r="L242" s="79">
        <v>20828</v>
      </c>
      <c r="M242" s="79">
        <v>6610</v>
      </c>
      <c r="N242" s="79">
        <v>12031</v>
      </c>
      <c r="O242" s="79">
        <v>7533.4</v>
      </c>
      <c r="P242" s="79">
        <v>1197.6666666666699</v>
      </c>
      <c r="Q242" s="79">
        <v>5032.6666666666697</v>
      </c>
      <c r="R242" s="79">
        <v>4600</v>
      </c>
      <c r="S242" s="79">
        <v>0</v>
      </c>
      <c r="T242" s="79">
        <v>2859</v>
      </c>
      <c r="U242" s="79">
        <v>47123</v>
      </c>
      <c r="V242" s="79">
        <v>109670</v>
      </c>
      <c r="W242" s="79">
        <v>96520</v>
      </c>
      <c r="X242" s="79">
        <v>1509.88</v>
      </c>
      <c r="Y242" s="79">
        <v>3404.8</v>
      </c>
      <c r="Z242" s="79">
        <v>0</v>
      </c>
      <c r="AA242" s="79">
        <v>0</v>
      </c>
      <c r="AB242" s="79">
        <v>0</v>
      </c>
      <c r="AC242" s="79">
        <v>8087</v>
      </c>
      <c r="AD242" s="79">
        <v>8895.7000000000007</v>
      </c>
      <c r="AE242" s="79">
        <v>232</v>
      </c>
      <c r="AF242" s="79">
        <v>755</v>
      </c>
      <c r="AG242" s="79">
        <v>762</v>
      </c>
      <c r="AH242" s="79">
        <v>711.77</v>
      </c>
      <c r="AI242" s="79">
        <v>123.2</v>
      </c>
      <c r="AJ242" s="79">
        <v>44976</v>
      </c>
      <c r="AK242" s="79">
        <v>49023.839999999997</v>
      </c>
      <c r="AL242" s="79">
        <v>5</v>
      </c>
      <c r="AM242" s="79">
        <v>0</v>
      </c>
      <c r="AN242" s="79">
        <v>0</v>
      </c>
      <c r="AO242" s="79">
        <v>0</v>
      </c>
      <c r="AP242" s="79">
        <v>4323</v>
      </c>
      <c r="AQ242" s="79">
        <v>1048</v>
      </c>
      <c r="AR242" s="80">
        <v>1.1044729999999999E-3</v>
      </c>
      <c r="AS242" s="80">
        <v>1.0410599999999999E-3</v>
      </c>
      <c r="AT242" s="79">
        <v>63596.063999999998</v>
      </c>
      <c r="AU242" s="79">
        <v>0</v>
      </c>
      <c r="AV242" s="79">
        <v>6298.6</v>
      </c>
      <c r="AW242" s="79">
        <v>107989.423728814</v>
      </c>
      <c r="AX242" s="79">
        <v>6</v>
      </c>
      <c r="AY242" s="79">
        <v>6.72</v>
      </c>
      <c r="AZ242" s="79">
        <v>14202</v>
      </c>
      <c r="BA242" s="79">
        <v>1</v>
      </c>
      <c r="BB242" s="79">
        <v>0</v>
      </c>
      <c r="BC242" s="79">
        <v>0</v>
      </c>
      <c r="BD242" s="79">
        <v>0</v>
      </c>
      <c r="BE242" s="79">
        <v>0</v>
      </c>
      <c r="BF242" s="79">
        <v>0</v>
      </c>
      <c r="BG242" s="79">
        <v>0</v>
      </c>
      <c r="BH242" s="79">
        <v>0</v>
      </c>
      <c r="BI242" s="79">
        <v>0</v>
      </c>
      <c r="BJ242" s="79">
        <v>0</v>
      </c>
      <c r="BK242" s="79">
        <v>73</v>
      </c>
      <c r="BL242" s="79">
        <v>14170</v>
      </c>
      <c r="BM242" s="79">
        <v>653</v>
      </c>
      <c r="BN242" s="79">
        <v>110</v>
      </c>
      <c r="BO242">
        <v>23188</v>
      </c>
      <c r="BP242">
        <v>4261</v>
      </c>
      <c r="BQ242">
        <v>22955</v>
      </c>
      <c r="BR242">
        <v>4211</v>
      </c>
      <c r="BS242">
        <v>22601</v>
      </c>
      <c r="BT242">
        <v>4175</v>
      </c>
      <c r="BU242">
        <v>22237</v>
      </c>
      <c r="BV242">
        <v>4173</v>
      </c>
      <c r="BW242">
        <v>22014</v>
      </c>
      <c r="BX242">
        <v>4256</v>
      </c>
      <c r="BY242">
        <v>21841</v>
      </c>
      <c r="BZ242">
        <v>4353</v>
      </c>
      <c r="CB242">
        <v>2023.08</v>
      </c>
      <c r="CC242">
        <v>486</v>
      </c>
      <c r="CD242">
        <v>259</v>
      </c>
      <c r="CE242">
        <v>32559.89</v>
      </c>
      <c r="CF242">
        <v>8871.1200000000008</v>
      </c>
      <c r="CG242">
        <v>779.54981378462298</v>
      </c>
      <c r="CH242">
        <v>1113</v>
      </c>
      <c r="CI242">
        <v>445.66666666666703</v>
      </c>
      <c r="CJ242">
        <v>339.33333333333297</v>
      </c>
      <c r="CK242" s="81">
        <v>3835</v>
      </c>
      <c r="CL242">
        <v>1114</v>
      </c>
      <c r="CM242">
        <v>13328.9074447409</v>
      </c>
      <c r="CN242">
        <v>1.0920000000000001</v>
      </c>
      <c r="CO242">
        <v>87775</v>
      </c>
      <c r="CP242">
        <v>11917</v>
      </c>
      <c r="CQ242">
        <v>2301</v>
      </c>
      <c r="CR242">
        <v>2119</v>
      </c>
      <c r="CS242">
        <v>1995</v>
      </c>
      <c r="CT242">
        <v>1094</v>
      </c>
      <c r="CU242">
        <v>1213.5246131270001</v>
      </c>
      <c r="CV242">
        <v>764.29438367129103</v>
      </c>
      <c r="CW242">
        <v>273.524595339737</v>
      </c>
      <c r="CX242">
        <v>3006.6750000000002</v>
      </c>
      <c r="CY242">
        <v>1893.645</v>
      </c>
      <c r="CZ242">
        <v>677.69500000000005</v>
      </c>
      <c r="DA242">
        <v>256723</v>
      </c>
      <c r="DE242">
        <v>772</v>
      </c>
      <c r="DF242" t="s">
        <v>102</v>
      </c>
      <c r="DG242">
        <v>39089</v>
      </c>
      <c r="DH242">
        <v>39258</v>
      </c>
      <c r="DI242">
        <v>39408</v>
      </c>
      <c r="DJ242">
        <v>39608</v>
      </c>
      <c r="DK242">
        <v>39691</v>
      </c>
      <c r="DO242">
        <v>569</v>
      </c>
      <c r="DP242" t="s">
        <v>213</v>
      </c>
      <c r="DQ242">
        <v>11959</v>
      </c>
      <c r="DR242">
        <v>1.3</v>
      </c>
      <c r="DS242">
        <v>500</v>
      </c>
      <c r="DV242">
        <v>175</v>
      </c>
      <c r="DW242" t="s">
        <v>231</v>
      </c>
      <c r="DX242">
        <v>2059.4005536332202</v>
      </c>
      <c r="DY242">
        <v>363</v>
      </c>
      <c r="DZ242">
        <v>356</v>
      </c>
      <c r="EA242">
        <v>236</v>
      </c>
      <c r="EB242">
        <v>1312</v>
      </c>
      <c r="EC242">
        <v>764</v>
      </c>
      <c r="ED242">
        <v>335</v>
      </c>
      <c r="EE242" s="82">
        <v>0.144962597077818</v>
      </c>
      <c r="EF242" s="82">
        <v>0.45714514872359002</v>
      </c>
    </row>
    <row r="243" spans="1:136" x14ac:dyDescent="0.35">
      <c r="A243" s="72">
        <v>614</v>
      </c>
      <c r="B243" s="72">
        <v>8</v>
      </c>
      <c r="D243" s="72" t="s">
        <v>342</v>
      </c>
      <c r="E243" s="79">
        <v>1760000000</v>
      </c>
      <c r="F243" s="79">
        <v>164850000</v>
      </c>
      <c r="G243" s="79">
        <v>176050000</v>
      </c>
      <c r="H243" s="79">
        <v>14626</v>
      </c>
      <c r="I243" s="79">
        <v>2</v>
      </c>
      <c r="J243" s="79">
        <v>176.05</v>
      </c>
      <c r="K243" s="79">
        <v>2407</v>
      </c>
      <c r="L243" s="79">
        <v>3833</v>
      </c>
      <c r="M243" s="79">
        <v>1198</v>
      </c>
      <c r="N243" s="79">
        <v>1561</v>
      </c>
      <c r="O243" s="79">
        <v>850.8</v>
      </c>
      <c r="P243" s="79">
        <v>131.333333333333</v>
      </c>
      <c r="Q243" s="79">
        <v>573.33333333333303</v>
      </c>
      <c r="R243" s="79">
        <v>305</v>
      </c>
      <c r="S243" s="79">
        <v>0</v>
      </c>
      <c r="T243" s="79">
        <v>383</v>
      </c>
      <c r="U243" s="79">
        <v>6714</v>
      </c>
      <c r="V243" s="79">
        <v>11680</v>
      </c>
      <c r="W243" s="79">
        <v>890</v>
      </c>
      <c r="X243" s="79">
        <v>487.86</v>
      </c>
      <c r="Y243" s="79">
        <v>0</v>
      </c>
      <c r="Z243" s="79">
        <v>0</v>
      </c>
      <c r="AA243" s="79">
        <v>0</v>
      </c>
      <c r="AB243" s="79">
        <v>0</v>
      </c>
      <c r="AC243" s="79">
        <v>5319</v>
      </c>
      <c r="AD243" s="79">
        <v>5850.9</v>
      </c>
      <c r="AE243" s="79">
        <v>520</v>
      </c>
      <c r="AF243" s="79">
        <v>3910</v>
      </c>
      <c r="AG243" s="79">
        <v>108</v>
      </c>
      <c r="AH243" s="79">
        <v>79.5</v>
      </c>
      <c r="AI243" s="79">
        <v>37.4</v>
      </c>
      <c r="AJ243" s="79">
        <v>7102</v>
      </c>
      <c r="AK243" s="79">
        <v>7528.12</v>
      </c>
      <c r="AL243" s="79">
        <v>0</v>
      </c>
      <c r="AM243" s="79">
        <v>0</v>
      </c>
      <c r="AN243" s="79">
        <v>0</v>
      </c>
      <c r="AO243" s="79">
        <v>0</v>
      </c>
      <c r="AP243" s="79">
        <v>0</v>
      </c>
      <c r="AQ243" s="79">
        <v>0</v>
      </c>
      <c r="AR243" s="80">
        <v>1.92802E-4</v>
      </c>
      <c r="AS243" s="80">
        <v>6.8749000000000002E-5</v>
      </c>
      <c r="AT243" s="79">
        <v>4339.3220000000001</v>
      </c>
      <c r="AU243" s="79">
        <v>0</v>
      </c>
      <c r="AV243" s="79">
        <v>1966.8</v>
      </c>
      <c r="AW243" s="79">
        <v>6673.5038876520002</v>
      </c>
      <c r="AX243" s="79">
        <v>6</v>
      </c>
      <c r="AY243" s="79">
        <v>6.6</v>
      </c>
      <c r="AZ243" s="79">
        <v>1735</v>
      </c>
      <c r="BA243" s="79">
        <v>1</v>
      </c>
      <c r="BB243" s="79">
        <v>0</v>
      </c>
      <c r="BC243" s="79">
        <v>0</v>
      </c>
      <c r="BD243" s="79">
        <v>0</v>
      </c>
      <c r="BE243" s="79">
        <v>0</v>
      </c>
      <c r="BF243" s="79">
        <v>0</v>
      </c>
      <c r="BG243" s="79">
        <v>0</v>
      </c>
      <c r="BH243" s="79">
        <v>0</v>
      </c>
      <c r="BI243" s="79">
        <v>0</v>
      </c>
      <c r="BJ243" s="79">
        <v>0</v>
      </c>
      <c r="BK243" s="79">
        <v>3</v>
      </c>
      <c r="BL243" s="79">
        <v>2026</v>
      </c>
      <c r="BM243" s="79">
        <v>75</v>
      </c>
      <c r="BN243" s="79">
        <v>34</v>
      </c>
      <c r="BO243">
        <v>2825</v>
      </c>
      <c r="BP243">
        <v>0</v>
      </c>
      <c r="BQ243">
        <v>2733</v>
      </c>
      <c r="BR243">
        <v>0</v>
      </c>
      <c r="BS243">
        <v>2675</v>
      </c>
      <c r="BT243">
        <v>0</v>
      </c>
      <c r="BU243">
        <v>2603</v>
      </c>
      <c r="BV243">
        <v>0</v>
      </c>
      <c r="BW243">
        <v>2589</v>
      </c>
      <c r="BX243">
        <v>0</v>
      </c>
      <c r="BY243">
        <v>2508</v>
      </c>
      <c r="BZ243">
        <v>0</v>
      </c>
      <c r="CB243">
        <v>209.40899999999999</v>
      </c>
      <c r="CC243">
        <v>30</v>
      </c>
      <c r="CD243">
        <v>23</v>
      </c>
      <c r="CE243">
        <v>6203.06</v>
      </c>
      <c r="CF243">
        <v>1276.73</v>
      </c>
      <c r="CG243">
        <v>64.183544747081697</v>
      </c>
      <c r="CH243">
        <v>127</v>
      </c>
      <c r="CI243">
        <v>43</v>
      </c>
      <c r="CJ243">
        <v>28.3333333333333</v>
      </c>
      <c r="CK243" s="81">
        <v>442</v>
      </c>
      <c r="CL243">
        <v>114</v>
      </c>
      <c r="CM243">
        <v>2227.7014411495402</v>
      </c>
      <c r="CN243">
        <v>7.0000000000000007E-2</v>
      </c>
      <c r="CO243">
        <v>10793</v>
      </c>
      <c r="CP243">
        <v>2117</v>
      </c>
      <c r="CQ243">
        <v>518</v>
      </c>
      <c r="CR243">
        <v>384</v>
      </c>
      <c r="CS243">
        <v>405</v>
      </c>
      <c r="CT243">
        <v>300</v>
      </c>
      <c r="CU243">
        <v>156.335398479302</v>
      </c>
      <c r="CV243">
        <v>101.947451422135</v>
      </c>
      <c r="CW243">
        <v>50.075246409462103</v>
      </c>
      <c r="CX243">
        <v>323.77050000000003</v>
      </c>
      <c r="CY243">
        <v>211.13310000000001</v>
      </c>
      <c r="CZ243">
        <v>103.7058</v>
      </c>
      <c r="DA243">
        <v>10426</v>
      </c>
      <c r="DE243">
        <v>777</v>
      </c>
      <c r="DF243" t="s">
        <v>109</v>
      </c>
      <c r="DG243">
        <v>8935</v>
      </c>
      <c r="DH243">
        <v>8926</v>
      </c>
      <c r="DI243">
        <v>8906</v>
      </c>
      <c r="DJ243">
        <v>8964</v>
      </c>
      <c r="DK243">
        <v>8943</v>
      </c>
      <c r="DO243">
        <v>1930</v>
      </c>
      <c r="DP243" t="s">
        <v>216</v>
      </c>
      <c r="DQ243">
        <v>38977</v>
      </c>
      <c r="DR243">
        <v>1.31</v>
      </c>
      <c r="DS243">
        <v>2038</v>
      </c>
      <c r="DV243">
        <v>881</v>
      </c>
      <c r="DW243" t="s">
        <v>826</v>
      </c>
      <c r="DX243">
        <v>1113.1896551724101</v>
      </c>
      <c r="DY243">
        <v>183</v>
      </c>
      <c r="DZ243">
        <v>161</v>
      </c>
      <c r="EA243">
        <v>93</v>
      </c>
      <c r="EB243">
        <v>633</v>
      </c>
      <c r="EC243">
        <v>380</v>
      </c>
      <c r="ED243">
        <v>133</v>
      </c>
      <c r="EE243" s="82">
        <v>0.199970265473569</v>
      </c>
      <c r="EF243" s="82">
        <v>0.51638898100144803</v>
      </c>
    </row>
    <row r="244" spans="1:136" x14ac:dyDescent="0.35">
      <c r="A244" s="72">
        <v>637</v>
      </c>
      <c r="B244" s="72">
        <v>8</v>
      </c>
      <c r="D244" s="72" t="s">
        <v>358</v>
      </c>
      <c r="E244" s="79">
        <v>9772400000</v>
      </c>
      <c r="F244" s="79">
        <v>1299900000</v>
      </c>
      <c r="G244" s="79">
        <v>1321950000</v>
      </c>
      <c r="H244" s="79">
        <v>124944</v>
      </c>
      <c r="I244" s="79">
        <v>1</v>
      </c>
      <c r="J244" s="79">
        <v>1321.95</v>
      </c>
      <c r="K244" s="79">
        <v>25550</v>
      </c>
      <c r="L244" s="79">
        <v>23172</v>
      </c>
      <c r="M244" s="79">
        <v>6323</v>
      </c>
      <c r="N244" s="79">
        <v>15599</v>
      </c>
      <c r="O244" s="79">
        <v>9951.7999999999993</v>
      </c>
      <c r="P244" s="79">
        <v>3126.3333333333298</v>
      </c>
      <c r="Q244" s="79">
        <v>9001.3333333333303</v>
      </c>
      <c r="R244" s="79">
        <v>16385</v>
      </c>
      <c r="S244" s="79">
        <v>0</v>
      </c>
      <c r="T244" s="79">
        <v>5869</v>
      </c>
      <c r="U244" s="79">
        <v>56580</v>
      </c>
      <c r="V244" s="79">
        <v>134790</v>
      </c>
      <c r="W244" s="79">
        <v>134530</v>
      </c>
      <c r="X244" s="79">
        <v>3487.3018000000002</v>
      </c>
      <c r="Y244" s="79">
        <v>6099.2</v>
      </c>
      <c r="Z244" s="79">
        <v>0</v>
      </c>
      <c r="AA244" s="79">
        <v>0</v>
      </c>
      <c r="AB244" s="79">
        <v>0</v>
      </c>
      <c r="AC244" s="79">
        <v>3451</v>
      </c>
      <c r="AD244" s="79">
        <v>4106.6899999999996</v>
      </c>
      <c r="AE244" s="79">
        <v>254</v>
      </c>
      <c r="AF244" s="79">
        <v>0</v>
      </c>
      <c r="AG244" s="79">
        <v>446</v>
      </c>
      <c r="AH244" s="79">
        <v>504.56</v>
      </c>
      <c r="AI244" s="79">
        <v>26.4</v>
      </c>
      <c r="AJ244" s="79">
        <v>56472</v>
      </c>
      <c r="AK244" s="79">
        <v>67201.679999999993</v>
      </c>
      <c r="AL244" s="79">
        <v>0</v>
      </c>
      <c r="AM244" s="79">
        <v>0</v>
      </c>
      <c r="AN244" s="79">
        <v>0</v>
      </c>
      <c r="AO244" s="79">
        <v>0</v>
      </c>
      <c r="AP244" s="79">
        <v>0</v>
      </c>
      <c r="AQ244" s="79">
        <v>0</v>
      </c>
      <c r="AR244" s="80">
        <v>2.10132E-4</v>
      </c>
      <c r="AS244" s="80">
        <v>2.9735289999999999E-3</v>
      </c>
      <c r="AT244" s="79">
        <v>142140.024</v>
      </c>
      <c r="AU244" s="79">
        <v>0</v>
      </c>
      <c r="AV244" s="79">
        <v>3173.73</v>
      </c>
      <c r="AW244" s="79">
        <v>109997.595076923</v>
      </c>
      <c r="AX244" s="79">
        <v>1</v>
      </c>
      <c r="AY244" s="79">
        <v>1.2</v>
      </c>
      <c r="AZ244" s="79">
        <v>11091</v>
      </c>
      <c r="BA244" s="79">
        <v>1</v>
      </c>
      <c r="BB244" s="79">
        <v>0</v>
      </c>
      <c r="BC244" s="79">
        <v>0</v>
      </c>
      <c r="BD244" s="79">
        <v>0</v>
      </c>
      <c r="BE244" s="79">
        <v>0</v>
      </c>
      <c r="BF244" s="79">
        <v>0</v>
      </c>
      <c r="BG244" s="79">
        <v>0</v>
      </c>
      <c r="BH244" s="79">
        <v>0</v>
      </c>
      <c r="BI244" s="79">
        <v>0</v>
      </c>
      <c r="BJ244" s="79">
        <v>0</v>
      </c>
      <c r="BK244" s="79">
        <v>103</v>
      </c>
      <c r="BL244" s="79">
        <v>19190</v>
      </c>
      <c r="BM244" s="79">
        <v>424</v>
      </c>
      <c r="BN244" s="79">
        <v>22</v>
      </c>
      <c r="BO244">
        <v>26664</v>
      </c>
      <c r="BP244">
        <v>7867</v>
      </c>
      <c r="BQ244">
        <v>26361</v>
      </c>
      <c r="BR244">
        <v>7708</v>
      </c>
      <c r="BS244">
        <v>26195</v>
      </c>
      <c r="BT244">
        <v>7814</v>
      </c>
      <c r="BU244">
        <v>26164</v>
      </c>
      <c r="BV244">
        <v>7672</v>
      </c>
      <c r="BW244">
        <v>26065</v>
      </c>
      <c r="BX244">
        <v>7585</v>
      </c>
      <c r="BY244">
        <v>25971</v>
      </c>
      <c r="BZ244">
        <v>7615</v>
      </c>
      <c r="CB244">
        <v>4292.3999999999996</v>
      </c>
      <c r="CC244">
        <v>362</v>
      </c>
      <c r="CD244">
        <v>380</v>
      </c>
      <c r="CE244">
        <v>39167.1</v>
      </c>
      <c r="CF244">
        <v>9278.01</v>
      </c>
      <c r="CG244">
        <v>1042.1630842014699</v>
      </c>
      <c r="CH244">
        <v>2346</v>
      </c>
      <c r="CI244">
        <v>1177.3333333333301</v>
      </c>
      <c r="CJ244">
        <v>1101</v>
      </c>
      <c r="CK244" s="81">
        <v>5875</v>
      </c>
      <c r="CL244">
        <v>1549</v>
      </c>
      <c r="CM244">
        <v>18815.2030670309</v>
      </c>
      <c r="CN244">
        <v>6.88</v>
      </c>
      <c r="CO244">
        <v>101772</v>
      </c>
      <c r="CP244">
        <v>14624</v>
      </c>
      <c r="CQ244">
        <v>2225</v>
      </c>
      <c r="CR244">
        <v>3457</v>
      </c>
      <c r="CS244">
        <v>2404</v>
      </c>
      <c r="CT244">
        <v>1216</v>
      </c>
      <c r="CU244">
        <v>1692.46860745148</v>
      </c>
      <c r="CV244">
        <v>815.042410398073</v>
      </c>
      <c r="CW244">
        <v>297.99712778013901</v>
      </c>
      <c r="CX244">
        <v>4092.2644</v>
      </c>
      <c r="CY244">
        <v>1970.7125000000001</v>
      </c>
      <c r="CZ244">
        <v>720.53510000000006</v>
      </c>
      <c r="DA244">
        <v>48382</v>
      </c>
      <c r="DE244">
        <v>779</v>
      </c>
      <c r="DF244" t="s">
        <v>110</v>
      </c>
      <c r="DG244">
        <v>4330</v>
      </c>
      <c r="DH244">
        <v>4372</v>
      </c>
      <c r="DI244">
        <v>4388</v>
      </c>
      <c r="DJ244">
        <v>4400</v>
      </c>
      <c r="DK244">
        <v>4397</v>
      </c>
      <c r="DO244">
        <v>575</v>
      </c>
      <c r="DP244" t="s">
        <v>221</v>
      </c>
      <c r="DQ244">
        <v>14089</v>
      </c>
      <c r="DR244">
        <v>1</v>
      </c>
      <c r="DS244">
        <v>1529</v>
      </c>
      <c r="DV244">
        <v>1586</v>
      </c>
      <c r="DW244" t="s">
        <v>232</v>
      </c>
      <c r="DX244">
        <v>3741.08590505659</v>
      </c>
      <c r="DY244">
        <v>649</v>
      </c>
      <c r="DZ244">
        <v>652</v>
      </c>
      <c r="EA244">
        <v>318</v>
      </c>
      <c r="EB244">
        <v>2167</v>
      </c>
      <c r="EC244">
        <v>1339</v>
      </c>
      <c r="ED244">
        <v>423</v>
      </c>
      <c r="EE244" s="82">
        <v>0.17556613914677299</v>
      </c>
      <c r="EF244" s="82">
        <v>0.46520230991337802</v>
      </c>
    </row>
    <row r="245" spans="1:136" x14ac:dyDescent="0.35">
      <c r="A245" s="72">
        <v>638</v>
      </c>
      <c r="B245" s="72">
        <v>8</v>
      </c>
      <c r="D245" s="72" t="s">
        <v>359</v>
      </c>
      <c r="E245" s="79">
        <v>882800000</v>
      </c>
      <c r="F245" s="79">
        <v>312200000</v>
      </c>
      <c r="G245" s="79">
        <v>320950000</v>
      </c>
      <c r="H245" s="79">
        <v>8450</v>
      </c>
      <c r="I245" s="79">
        <v>2</v>
      </c>
      <c r="J245" s="79">
        <v>320.95</v>
      </c>
      <c r="K245" s="79">
        <v>1602</v>
      </c>
      <c r="L245" s="79">
        <v>1734</v>
      </c>
      <c r="M245" s="79">
        <v>542</v>
      </c>
      <c r="N245" s="79">
        <v>845</v>
      </c>
      <c r="O245" s="79">
        <v>466.2</v>
      </c>
      <c r="P245" s="79">
        <v>56.3333333333333</v>
      </c>
      <c r="Q245" s="79">
        <v>516.33333333333303</v>
      </c>
      <c r="R245" s="79">
        <v>300</v>
      </c>
      <c r="S245" s="79">
        <v>0</v>
      </c>
      <c r="T245" s="79">
        <v>231</v>
      </c>
      <c r="U245" s="79">
        <v>3811</v>
      </c>
      <c r="V245" s="79">
        <v>4030</v>
      </c>
      <c r="W245" s="79">
        <v>160</v>
      </c>
      <c r="X245" s="79">
        <v>0</v>
      </c>
      <c r="Y245" s="79">
        <v>0</v>
      </c>
      <c r="Z245" s="79">
        <v>0</v>
      </c>
      <c r="AA245" s="79">
        <v>0</v>
      </c>
      <c r="AB245" s="79">
        <v>0</v>
      </c>
      <c r="AC245" s="79">
        <v>2120</v>
      </c>
      <c r="AD245" s="79">
        <v>2819.6</v>
      </c>
      <c r="AE245" s="79">
        <v>76</v>
      </c>
      <c r="AF245" s="79">
        <v>0</v>
      </c>
      <c r="AG245" s="79">
        <v>87</v>
      </c>
      <c r="AH245" s="79">
        <v>96.2</v>
      </c>
      <c r="AI245" s="79">
        <v>17.29</v>
      </c>
      <c r="AJ245" s="79">
        <v>3788</v>
      </c>
      <c r="AK245" s="79">
        <v>4924.3999999999996</v>
      </c>
      <c r="AL245" s="79">
        <v>0</v>
      </c>
      <c r="AM245" s="79">
        <v>0</v>
      </c>
      <c r="AN245" s="79">
        <v>0</v>
      </c>
      <c r="AO245" s="79">
        <v>0</v>
      </c>
      <c r="AP245" s="79">
        <v>0</v>
      </c>
      <c r="AQ245" s="79">
        <v>0</v>
      </c>
      <c r="AR245" s="80">
        <v>9.7362999999999996E-5</v>
      </c>
      <c r="AS245" s="80">
        <v>4.3390999999999998E-5</v>
      </c>
      <c r="AT245" s="79">
        <v>2825.848</v>
      </c>
      <c r="AU245" s="79">
        <v>0</v>
      </c>
      <c r="AV245" s="79">
        <v>1832.74</v>
      </c>
      <c r="AW245" s="79">
        <v>14616.1912568306</v>
      </c>
      <c r="AX245" s="79">
        <v>4</v>
      </c>
      <c r="AY245" s="79">
        <v>5.32</v>
      </c>
      <c r="AZ245" s="79">
        <v>1047</v>
      </c>
      <c r="BA245" s="79">
        <v>1</v>
      </c>
      <c r="BB245" s="79">
        <v>0</v>
      </c>
      <c r="BC245" s="79">
        <v>0</v>
      </c>
      <c r="BD245" s="79">
        <v>0</v>
      </c>
      <c r="BE245" s="79">
        <v>0</v>
      </c>
      <c r="BF245" s="79">
        <v>0</v>
      </c>
      <c r="BG245" s="79">
        <v>0</v>
      </c>
      <c r="BH245" s="79">
        <v>0</v>
      </c>
      <c r="BI245" s="79">
        <v>0</v>
      </c>
      <c r="BJ245" s="79">
        <v>0</v>
      </c>
      <c r="BK245" s="79">
        <v>1</v>
      </c>
      <c r="BL245" s="79">
        <v>958</v>
      </c>
      <c r="BM245" s="79">
        <v>74</v>
      </c>
      <c r="BN245" s="79">
        <v>13</v>
      </c>
      <c r="BO245">
        <v>1808</v>
      </c>
      <c r="BP245">
        <v>0</v>
      </c>
      <c r="BQ245">
        <v>1743</v>
      </c>
      <c r="BR245">
        <v>0</v>
      </c>
      <c r="BS245">
        <v>1733</v>
      </c>
      <c r="BT245">
        <v>0</v>
      </c>
      <c r="BU245">
        <v>1694</v>
      </c>
      <c r="BV245">
        <v>0</v>
      </c>
      <c r="BW245">
        <v>1629</v>
      </c>
      <c r="BX245">
        <v>0</v>
      </c>
      <c r="BY245">
        <v>1587</v>
      </c>
      <c r="BZ245">
        <v>0</v>
      </c>
      <c r="CB245">
        <v>92.915999999999997</v>
      </c>
      <c r="CC245">
        <v>10</v>
      </c>
      <c r="CD245">
        <v>9</v>
      </c>
      <c r="CE245">
        <v>2607.56</v>
      </c>
      <c r="CF245">
        <v>566.05999999999995</v>
      </c>
      <c r="CG245">
        <v>59.440568807339403</v>
      </c>
      <c r="CH245">
        <v>79</v>
      </c>
      <c r="CI245">
        <v>22.6666666666667</v>
      </c>
      <c r="CJ245">
        <v>16</v>
      </c>
      <c r="CK245" s="81">
        <v>460</v>
      </c>
      <c r="CL245">
        <v>296</v>
      </c>
      <c r="CM245">
        <v>1146.6355462495401</v>
      </c>
      <c r="CN245">
        <v>4.2999999999999997E-2</v>
      </c>
      <c r="CO245">
        <v>6716</v>
      </c>
      <c r="CP245">
        <v>1011</v>
      </c>
      <c r="CQ245">
        <v>181</v>
      </c>
      <c r="CR245">
        <v>191</v>
      </c>
      <c r="CS245">
        <v>177</v>
      </c>
      <c r="CT245">
        <v>90</v>
      </c>
      <c r="CU245">
        <v>73.966789862724397</v>
      </c>
      <c r="CV245">
        <v>46.521541710665304</v>
      </c>
      <c r="CW245">
        <v>15.999472016895499</v>
      </c>
      <c r="CX245">
        <v>199.05119999999999</v>
      </c>
      <c r="CY245">
        <v>125.1936</v>
      </c>
      <c r="CZ245">
        <v>43.055999999999997</v>
      </c>
      <c r="DA245">
        <v>115705</v>
      </c>
      <c r="DE245">
        <v>784</v>
      </c>
      <c r="DF245" t="s">
        <v>114</v>
      </c>
      <c r="DG245">
        <v>5640</v>
      </c>
      <c r="DH245">
        <v>5603</v>
      </c>
      <c r="DI245">
        <v>5532</v>
      </c>
      <c r="DJ245">
        <v>5463</v>
      </c>
      <c r="DK245">
        <v>5511</v>
      </c>
      <c r="DO245">
        <v>576</v>
      </c>
      <c r="DP245" t="s">
        <v>818</v>
      </c>
      <c r="DQ245">
        <v>7703</v>
      </c>
      <c r="DR245">
        <v>1</v>
      </c>
      <c r="DS245">
        <v>1094</v>
      </c>
      <c r="DV245">
        <v>826</v>
      </c>
      <c r="DW245" t="s">
        <v>233</v>
      </c>
      <c r="DX245">
        <v>7224.4008721767404</v>
      </c>
      <c r="DY245">
        <v>1439</v>
      </c>
      <c r="DZ245">
        <v>1265</v>
      </c>
      <c r="EA245">
        <v>631</v>
      </c>
      <c r="EB245">
        <v>4439</v>
      </c>
      <c r="EC245">
        <v>2609</v>
      </c>
      <c r="ED245">
        <v>895</v>
      </c>
      <c r="EE245" s="82">
        <v>0.18363240046235901</v>
      </c>
      <c r="EF245" s="82">
        <v>0.42992500956889801</v>
      </c>
    </row>
    <row r="246" spans="1:136" x14ac:dyDescent="0.35">
      <c r="A246" s="72">
        <v>1892</v>
      </c>
      <c r="B246" s="72">
        <v>8</v>
      </c>
      <c r="D246" s="72" t="s">
        <v>360</v>
      </c>
      <c r="E246" s="79">
        <v>3807200000</v>
      </c>
      <c r="F246" s="79">
        <v>607950000</v>
      </c>
      <c r="G246" s="79">
        <v>621600000</v>
      </c>
      <c r="H246" s="79">
        <v>42762</v>
      </c>
      <c r="I246" s="79">
        <v>4</v>
      </c>
      <c r="J246" s="79">
        <v>621.6</v>
      </c>
      <c r="K246" s="79">
        <v>9384</v>
      </c>
      <c r="L246" s="79">
        <v>7812</v>
      </c>
      <c r="M246" s="79">
        <v>2412</v>
      </c>
      <c r="N246" s="79">
        <v>4198</v>
      </c>
      <c r="O246" s="79">
        <v>2389.8000000000002</v>
      </c>
      <c r="P246" s="79">
        <v>549</v>
      </c>
      <c r="Q246" s="79">
        <v>1984</v>
      </c>
      <c r="R246" s="79">
        <v>2320</v>
      </c>
      <c r="S246" s="79">
        <v>0</v>
      </c>
      <c r="T246" s="79">
        <v>1288</v>
      </c>
      <c r="U246" s="79">
        <v>17829</v>
      </c>
      <c r="V246" s="79">
        <v>29270</v>
      </c>
      <c r="W246" s="79">
        <v>3920</v>
      </c>
      <c r="X246" s="79">
        <v>0</v>
      </c>
      <c r="Y246" s="79">
        <v>664</v>
      </c>
      <c r="Z246" s="79">
        <v>0</v>
      </c>
      <c r="AA246" s="79">
        <v>0</v>
      </c>
      <c r="AB246" s="79">
        <v>118.3</v>
      </c>
      <c r="AC246" s="79">
        <v>5817</v>
      </c>
      <c r="AD246" s="79">
        <v>8027.46</v>
      </c>
      <c r="AE246" s="79">
        <v>588</v>
      </c>
      <c r="AF246" s="79">
        <v>0</v>
      </c>
      <c r="AG246" s="79">
        <v>255</v>
      </c>
      <c r="AH246" s="79">
        <v>308.85000000000002</v>
      </c>
      <c r="AI246" s="79">
        <v>58.05</v>
      </c>
      <c r="AJ246" s="79">
        <v>18082</v>
      </c>
      <c r="AK246" s="79">
        <v>26218.9</v>
      </c>
      <c r="AL246" s="79">
        <v>0</v>
      </c>
      <c r="AM246" s="79">
        <v>0</v>
      </c>
      <c r="AN246" s="79">
        <v>0</v>
      </c>
      <c r="AO246" s="79">
        <v>0</v>
      </c>
      <c r="AP246" s="79">
        <v>0</v>
      </c>
      <c r="AQ246" s="79">
        <v>0</v>
      </c>
      <c r="AR246" s="80">
        <v>2.5454699999999999E-4</v>
      </c>
      <c r="AS246" s="80">
        <v>4.1769300000000001E-4</v>
      </c>
      <c r="AT246" s="79">
        <v>21029.366000000002</v>
      </c>
      <c r="AU246" s="79">
        <v>0</v>
      </c>
      <c r="AV246" s="79">
        <v>6332.82</v>
      </c>
      <c r="AW246" s="79">
        <v>100987.620477752</v>
      </c>
      <c r="AX246" s="79">
        <v>12</v>
      </c>
      <c r="AY246" s="79">
        <v>16.2</v>
      </c>
      <c r="AZ246" s="79">
        <v>5079</v>
      </c>
      <c r="BA246" s="79">
        <v>1</v>
      </c>
      <c r="BB246" s="79">
        <v>0</v>
      </c>
      <c r="BC246" s="79">
        <v>0</v>
      </c>
      <c r="BD246" s="79">
        <v>0</v>
      </c>
      <c r="BE246" s="79">
        <v>0</v>
      </c>
      <c r="BF246" s="79">
        <v>0</v>
      </c>
      <c r="BG246" s="79">
        <v>0</v>
      </c>
      <c r="BH246" s="79">
        <v>0</v>
      </c>
      <c r="BI246" s="79">
        <v>0</v>
      </c>
      <c r="BJ246" s="79">
        <v>0</v>
      </c>
      <c r="BK246" s="79">
        <v>23</v>
      </c>
      <c r="BL246" s="79">
        <v>4657</v>
      </c>
      <c r="BM246" s="79">
        <v>213</v>
      </c>
      <c r="BN246" s="79">
        <v>43</v>
      </c>
      <c r="BO246">
        <v>9717</v>
      </c>
      <c r="BP246">
        <v>647</v>
      </c>
      <c r="BQ246">
        <v>9544</v>
      </c>
      <c r="BR246">
        <v>623</v>
      </c>
      <c r="BS246">
        <v>9463</v>
      </c>
      <c r="BT246">
        <v>598</v>
      </c>
      <c r="BU246">
        <v>9285</v>
      </c>
      <c r="BV246">
        <v>640</v>
      </c>
      <c r="BW246">
        <v>9180</v>
      </c>
      <c r="BX246">
        <v>681</v>
      </c>
      <c r="BY246">
        <v>9131</v>
      </c>
      <c r="BZ246">
        <v>739</v>
      </c>
      <c r="CB246">
        <v>694.41600000000005</v>
      </c>
      <c r="CC246">
        <v>94</v>
      </c>
      <c r="CD246">
        <v>96</v>
      </c>
      <c r="CE246">
        <v>13879.2</v>
      </c>
      <c r="CF246">
        <v>3858.47</v>
      </c>
      <c r="CG246">
        <v>260.26434962622199</v>
      </c>
      <c r="CH246">
        <v>504</v>
      </c>
      <c r="CI246">
        <v>181.333333333333</v>
      </c>
      <c r="CJ246">
        <v>130</v>
      </c>
      <c r="CK246" s="81">
        <v>1435</v>
      </c>
      <c r="CL246">
        <v>452</v>
      </c>
      <c r="CM246">
        <v>5066.8013464591904</v>
      </c>
      <c r="CN246">
        <v>0.61699999999999999</v>
      </c>
      <c r="CO246">
        <v>34950</v>
      </c>
      <c r="CP246">
        <v>4600</v>
      </c>
      <c r="CQ246">
        <v>800</v>
      </c>
      <c r="CR246">
        <v>886</v>
      </c>
      <c r="CS246">
        <v>764</v>
      </c>
      <c r="CT246">
        <v>396</v>
      </c>
      <c r="CU246">
        <v>379.70884857869697</v>
      </c>
      <c r="CV246">
        <v>224.15113372414601</v>
      </c>
      <c r="CW246">
        <v>73.880002212144703</v>
      </c>
      <c r="CX246">
        <v>978.25649999999996</v>
      </c>
      <c r="CY246">
        <v>577.48800000000006</v>
      </c>
      <c r="CZ246">
        <v>190.33949999999999</v>
      </c>
      <c r="DA246">
        <v>31390</v>
      </c>
      <c r="DE246">
        <v>785</v>
      </c>
      <c r="DF246" t="s">
        <v>117</v>
      </c>
      <c r="DG246">
        <v>4695</v>
      </c>
      <c r="DH246">
        <v>4726</v>
      </c>
      <c r="DI246">
        <v>4742</v>
      </c>
      <c r="DJ246">
        <v>4757</v>
      </c>
      <c r="DK246">
        <v>4750</v>
      </c>
      <c r="DO246">
        <v>579</v>
      </c>
      <c r="DP246" t="s">
        <v>224</v>
      </c>
      <c r="DQ246">
        <v>10671</v>
      </c>
      <c r="DR246">
        <v>1</v>
      </c>
      <c r="DS246">
        <v>1743</v>
      </c>
      <c r="DV246">
        <v>85</v>
      </c>
      <c r="DW246" t="s">
        <v>234</v>
      </c>
      <c r="DX246">
        <v>3956.8114783545898</v>
      </c>
      <c r="DY246">
        <v>714</v>
      </c>
      <c r="DZ246">
        <v>590</v>
      </c>
      <c r="EA246">
        <v>371</v>
      </c>
      <c r="EB246">
        <v>2141</v>
      </c>
      <c r="EC246">
        <v>1245</v>
      </c>
      <c r="ED246">
        <v>496</v>
      </c>
      <c r="EE246" s="82">
        <v>0.22531542204674701</v>
      </c>
      <c r="EF246" s="82">
        <v>0.55829946497093697</v>
      </c>
    </row>
    <row r="247" spans="1:136" x14ac:dyDescent="0.35">
      <c r="A247" s="72">
        <v>642</v>
      </c>
      <c r="B247" s="72">
        <v>8</v>
      </c>
      <c r="D247" s="72" t="s">
        <v>364</v>
      </c>
      <c r="E247" s="79">
        <v>3216400000</v>
      </c>
      <c r="F247" s="79">
        <v>616000000</v>
      </c>
      <c r="G247" s="79">
        <v>632100000</v>
      </c>
      <c r="H247" s="79">
        <v>44639</v>
      </c>
      <c r="I247" s="79">
        <v>2</v>
      </c>
      <c r="J247" s="79">
        <v>632.1</v>
      </c>
      <c r="K247" s="79">
        <v>8781</v>
      </c>
      <c r="L247" s="79">
        <v>10033</v>
      </c>
      <c r="M247" s="79">
        <v>3350</v>
      </c>
      <c r="N247" s="79">
        <v>6444</v>
      </c>
      <c r="O247" s="79">
        <v>4392</v>
      </c>
      <c r="P247" s="79">
        <v>1097.6666666666699</v>
      </c>
      <c r="Q247" s="79">
        <v>3171.6666666666702</v>
      </c>
      <c r="R247" s="79">
        <v>4465</v>
      </c>
      <c r="S247" s="79">
        <v>0</v>
      </c>
      <c r="T247" s="79">
        <v>1869</v>
      </c>
      <c r="U247" s="79">
        <v>20550</v>
      </c>
      <c r="V247" s="79">
        <v>42520</v>
      </c>
      <c r="W247" s="79">
        <v>21650</v>
      </c>
      <c r="X247" s="79">
        <v>526.67999999999995</v>
      </c>
      <c r="Y247" s="79">
        <v>2651.2</v>
      </c>
      <c r="Z247" s="79">
        <v>0</v>
      </c>
      <c r="AA247" s="79">
        <v>0</v>
      </c>
      <c r="AB247" s="79">
        <v>171.3</v>
      </c>
      <c r="AC247" s="79">
        <v>2028</v>
      </c>
      <c r="AD247" s="79">
        <v>2717.52</v>
      </c>
      <c r="AE247" s="79">
        <v>249</v>
      </c>
      <c r="AF247" s="79">
        <v>0</v>
      </c>
      <c r="AG247" s="79">
        <v>231</v>
      </c>
      <c r="AH247" s="79">
        <v>253.26</v>
      </c>
      <c r="AI247" s="79">
        <v>54.53</v>
      </c>
      <c r="AJ247" s="79">
        <v>20520</v>
      </c>
      <c r="AK247" s="79">
        <v>27496.799999999999</v>
      </c>
      <c r="AL247" s="79">
        <v>0</v>
      </c>
      <c r="AM247" s="79">
        <v>0</v>
      </c>
      <c r="AN247" s="79">
        <v>0</v>
      </c>
      <c r="AO247" s="79">
        <v>0</v>
      </c>
      <c r="AP247" s="79">
        <v>2450</v>
      </c>
      <c r="AQ247" s="79">
        <v>0</v>
      </c>
      <c r="AR247" s="80">
        <v>3.7453299999999997E-4</v>
      </c>
      <c r="AS247" s="80">
        <v>2.1429280000000001E-3</v>
      </c>
      <c r="AT247" s="79">
        <v>42271.199999999997</v>
      </c>
      <c r="AU247" s="79">
        <v>0</v>
      </c>
      <c r="AV247" s="79">
        <v>1721.9</v>
      </c>
      <c r="AW247" s="79">
        <v>74842.566859903396</v>
      </c>
      <c r="AX247" s="79">
        <v>3</v>
      </c>
      <c r="AY247" s="79">
        <v>3.99</v>
      </c>
      <c r="AZ247" s="79">
        <v>4138</v>
      </c>
      <c r="BA247" s="79">
        <v>1</v>
      </c>
      <c r="BB247" s="79">
        <v>0</v>
      </c>
      <c r="BC247" s="79">
        <v>0</v>
      </c>
      <c r="BD247" s="79">
        <v>0</v>
      </c>
      <c r="BE247" s="79">
        <v>0</v>
      </c>
      <c r="BF247" s="79">
        <v>0</v>
      </c>
      <c r="BG247" s="79">
        <v>0</v>
      </c>
      <c r="BH247" s="79">
        <v>0</v>
      </c>
      <c r="BI247" s="79">
        <v>0</v>
      </c>
      <c r="BJ247" s="79">
        <v>0</v>
      </c>
      <c r="BK247" s="79">
        <v>62</v>
      </c>
      <c r="BL247" s="79">
        <v>6856</v>
      </c>
      <c r="BM247" s="79">
        <v>189</v>
      </c>
      <c r="BN247" s="79">
        <v>41</v>
      </c>
      <c r="BO247">
        <v>8978</v>
      </c>
      <c r="BP247">
        <v>2857</v>
      </c>
      <c r="BQ247">
        <v>8911</v>
      </c>
      <c r="BR247">
        <v>3285</v>
      </c>
      <c r="BS247">
        <v>8868</v>
      </c>
      <c r="BT247">
        <v>3209</v>
      </c>
      <c r="BU247">
        <v>8835</v>
      </c>
      <c r="BV247">
        <v>3288</v>
      </c>
      <c r="BW247">
        <v>8818</v>
      </c>
      <c r="BX247">
        <v>3425</v>
      </c>
      <c r="BY247">
        <v>8790</v>
      </c>
      <c r="BZ247">
        <v>3412</v>
      </c>
      <c r="CB247">
        <v>1448.865</v>
      </c>
      <c r="CC247">
        <v>219</v>
      </c>
      <c r="CD247">
        <v>159</v>
      </c>
      <c r="CE247">
        <v>13439.53</v>
      </c>
      <c r="CF247">
        <v>3038.41</v>
      </c>
      <c r="CG247">
        <v>411.43021881682103</v>
      </c>
      <c r="CH247">
        <v>709</v>
      </c>
      <c r="CI247">
        <v>435</v>
      </c>
      <c r="CJ247">
        <v>404.33333333333297</v>
      </c>
      <c r="CK247" s="81">
        <v>2074</v>
      </c>
      <c r="CL247">
        <v>466</v>
      </c>
      <c r="CM247">
        <v>7570.8965060512</v>
      </c>
      <c r="CN247">
        <v>2.883</v>
      </c>
      <c r="CO247">
        <v>34606</v>
      </c>
      <c r="CP247">
        <v>5365</v>
      </c>
      <c r="CQ247">
        <v>1318</v>
      </c>
      <c r="CR247">
        <v>1192</v>
      </c>
      <c r="CS247">
        <v>1177</v>
      </c>
      <c r="CT247">
        <v>692</v>
      </c>
      <c r="CU247">
        <v>721.51228070175398</v>
      </c>
      <c r="CV247">
        <v>512.4</v>
      </c>
      <c r="CW247">
        <v>209.32631578947399</v>
      </c>
      <c r="CX247">
        <v>1540.8841</v>
      </c>
      <c r="CY247">
        <v>1094.2973999999999</v>
      </c>
      <c r="CZ247">
        <v>447.04379999999998</v>
      </c>
      <c r="DA247">
        <v>23814</v>
      </c>
      <c r="DE247">
        <v>786</v>
      </c>
      <c r="DF247" t="s">
        <v>121</v>
      </c>
      <c r="DG247">
        <v>2752</v>
      </c>
      <c r="DH247">
        <v>2821</v>
      </c>
      <c r="DI247">
        <v>2831</v>
      </c>
      <c r="DJ247">
        <v>2725</v>
      </c>
      <c r="DK247">
        <v>2622</v>
      </c>
      <c r="DO247">
        <v>584</v>
      </c>
      <c r="DP247" t="s">
        <v>819</v>
      </c>
      <c r="DQ247">
        <v>10217</v>
      </c>
      <c r="DR247">
        <v>1.04</v>
      </c>
      <c r="DS247">
        <v>1397</v>
      </c>
      <c r="DV247">
        <v>431</v>
      </c>
      <c r="DW247" t="s">
        <v>235</v>
      </c>
      <c r="DX247">
        <v>1062.39012345679</v>
      </c>
      <c r="DY247">
        <v>207</v>
      </c>
      <c r="DZ247">
        <v>214</v>
      </c>
      <c r="EA247">
        <v>112</v>
      </c>
      <c r="EB247">
        <v>660</v>
      </c>
      <c r="EC247">
        <v>452</v>
      </c>
      <c r="ED247">
        <v>154</v>
      </c>
      <c r="EE247" s="82">
        <v>0.158930081271458</v>
      </c>
      <c r="EF247" s="82">
        <v>0.350002047795548</v>
      </c>
    </row>
    <row r="248" spans="1:136" x14ac:dyDescent="0.35">
      <c r="A248" s="72">
        <v>654</v>
      </c>
      <c r="B248" s="72">
        <v>9</v>
      </c>
      <c r="D248" s="72" t="s">
        <v>57</v>
      </c>
      <c r="E248" s="79">
        <v>1700800000</v>
      </c>
      <c r="F248" s="79">
        <v>802550000</v>
      </c>
      <c r="G248" s="79">
        <v>833000000</v>
      </c>
      <c r="H248" s="79">
        <v>22800</v>
      </c>
      <c r="I248" s="79">
        <v>6</v>
      </c>
      <c r="J248" s="79">
        <v>833</v>
      </c>
      <c r="K248" s="79">
        <v>4817</v>
      </c>
      <c r="L248" s="79">
        <v>4588</v>
      </c>
      <c r="M248" s="79">
        <v>1430</v>
      </c>
      <c r="N248" s="79">
        <v>2659</v>
      </c>
      <c r="O248" s="79">
        <v>1642.8</v>
      </c>
      <c r="P248" s="79">
        <v>226.333333333333</v>
      </c>
      <c r="Q248" s="79">
        <v>1186.3333333333301</v>
      </c>
      <c r="R248" s="79">
        <v>335</v>
      </c>
      <c r="S248" s="79">
        <v>0</v>
      </c>
      <c r="T248" s="79">
        <v>548</v>
      </c>
      <c r="U248" s="79">
        <v>9759</v>
      </c>
      <c r="V248" s="79">
        <v>18140</v>
      </c>
      <c r="W248" s="79">
        <v>5330</v>
      </c>
      <c r="X248" s="79">
        <v>0</v>
      </c>
      <c r="Y248" s="79">
        <v>0</v>
      </c>
      <c r="Z248" s="79">
        <v>0</v>
      </c>
      <c r="AA248" s="79">
        <v>0</v>
      </c>
      <c r="AB248" s="79">
        <v>0</v>
      </c>
      <c r="AC248" s="79">
        <v>14140</v>
      </c>
      <c r="AD248" s="79">
        <v>15836.8</v>
      </c>
      <c r="AE248" s="79">
        <v>279</v>
      </c>
      <c r="AF248" s="79">
        <v>5033</v>
      </c>
      <c r="AG248" s="79">
        <v>281</v>
      </c>
      <c r="AH248" s="79">
        <v>131.04</v>
      </c>
      <c r="AI248" s="79">
        <v>183.68</v>
      </c>
      <c r="AJ248" s="79">
        <v>10162</v>
      </c>
      <c r="AK248" s="79">
        <v>11381.44</v>
      </c>
      <c r="AL248" s="79">
        <v>0</v>
      </c>
      <c r="AM248" s="79">
        <v>0</v>
      </c>
      <c r="AN248" s="79">
        <v>0</v>
      </c>
      <c r="AO248" s="79">
        <v>0</v>
      </c>
      <c r="AP248" s="79">
        <v>0</v>
      </c>
      <c r="AQ248" s="79">
        <v>0</v>
      </c>
      <c r="AR248" s="80">
        <v>6.57707E-4</v>
      </c>
      <c r="AS248" s="80">
        <v>2.03131E-4</v>
      </c>
      <c r="AT248" s="79">
        <v>3251.84</v>
      </c>
      <c r="AU248" s="79">
        <v>0</v>
      </c>
      <c r="AV248" s="79">
        <v>2528.96</v>
      </c>
      <c r="AW248" s="79">
        <v>5730.9450031208798</v>
      </c>
      <c r="AX248" s="79">
        <v>18</v>
      </c>
      <c r="AY248" s="79">
        <v>20.16</v>
      </c>
      <c r="AZ248" s="79">
        <v>2498</v>
      </c>
      <c r="BA248" s="79">
        <v>1</v>
      </c>
      <c r="BB248" s="79">
        <v>0</v>
      </c>
      <c r="BC248" s="79">
        <v>0</v>
      </c>
      <c r="BD248" s="79">
        <v>0</v>
      </c>
      <c r="BE248" s="79">
        <v>0</v>
      </c>
      <c r="BF248" s="79">
        <v>0</v>
      </c>
      <c r="BG248" s="79">
        <v>0</v>
      </c>
      <c r="BH248" s="79">
        <v>0</v>
      </c>
      <c r="BI248" s="79">
        <v>0</v>
      </c>
      <c r="BJ248" s="79">
        <v>0</v>
      </c>
      <c r="BK248" s="79">
        <v>21</v>
      </c>
      <c r="BL248" s="79">
        <v>2808</v>
      </c>
      <c r="BM248" s="79">
        <v>117</v>
      </c>
      <c r="BN248" s="79">
        <v>164</v>
      </c>
      <c r="BO248">
        <v>5451</v>
      </c>
      <c r="BP248">
        <v>0</v>
      </c>
      <c r="BQ248">
        <v>5426</v>
      </c>
      <c r="BR248">
        <v>0</v>
      </c>
      <c r="BS248">
        <v>5376</v>
      </c>
      <c r="BT248">
        <v>0</v>
      </c>
      <c r="BU248">
        <v>5282</v>
      </c>
      <c r="BV248">
        <v>0</v>
      </c>
      <c r="BW248">
        <v>5228</v>
      </c>
      <c r="BX248">
        <v>0</v>
      </c>
      <c r="BY248">
        <v>5151</v>
      </c>
      <c r="BZ248">
        <v>0</v>
      </c>
      <c r="CB248">
        <v>366.09199999999998</v>
      </c>
      <c r="CC248">
        <v>120</v>
      </c>
      <c r="CD248">
        <v>45</v>
      </c>
      <c r="CE248">
        <v>6559.83</v>
      </c>
      <c r="CF248">
        <v>1645.8</v>
      </c>
      <c r="CG248">
        <v>177.015663958212</v>
      </c>
      <c r="CH248">
        <v>239</v>
      </c>
      <c r="CI248">
        <v>67.6666666666667</v>
      </c>
      <c r="CJ248">
        <v>52.3333333333333</v>
      </c>
      <c r="CK248" s="81">
        <v>960</v>
      </c>
      <c r="CL248">
        <v>262</v>
      </c>
      <c r="CM248">
        <v>2985.1745975588201</v>
      </c>
      <c r="CN248">
        <v>0.16</v>
      </c>
      <c r="CO248">
        <v>18212</v>
      </c>
      <c r="CP248">
        <v>2610</v>
      </c>
      <c r="CQ248">
        <v>548</v>
      </c>
      <c r="CR248">
        <v>479</v>
      </c>
      <c r="CS248">
        <v>447</v>
      </c>
      <c r="CT248">
        <v>275</v>
      </c>
      <c r="CU248">
        <v>260.92099980318801</v>
      </c>
      <c r="CV248">
        <v>160.206140523519</v>
      </c>
      <c r="CW248">
        <v>65.311080495965399</v>
      </c>
      <c r="CX248">
        <v>706.125</v>
      </c>
      <c r="CY248">
        <v>433.5625</v>
      </c>
      <c r="CZ248">
        <v>176.75</v>
      </c>
      <c r="DA248">
        <v>0</v>
      </c>
      <c r="DE248">
        <v>788</v>
      </c>
      <c r="DF248" t="s">
        <v>125</v>
      </c>
      <c r="DG248">
        <v>3156</v>
      </c>
      <c r="DH248">
        <v>3069</v>
      </c>
      <c r="DI248">
        <v>2995</v>
      </c>
      <c r="DJ248">
        <v>2938</v>
      </c>
      <c r="DK248">
        <v>2859</v>
      </c>
      <c r="DO248">
        <v>590</v>
      </c>
      <c r="DP248" t="s">
        <v>243</v>
      </c>
      <c r="DQ248">
        <v>14372</v>
      </c>
      <c r="DR248">
        <v>1.39</v>
      </c>
      <c r="DS248">
        <v>1902</v>
      </c>
      <c r="DV248">
        <v>432</v>
      </c>
      <c r="DW248" t="s">
        <v>236</v>
      </c>
      <c r="DX248">
        <v>1347.44610140605</v>
      </c>
      <c r="DY248">
        <v>264</v>
      </c>
      <c r="DZ248">
        <v>233</v>
      </c>
      <c r="EA248">
        <v>122</v>
      </c>
      <c r="EB248">
        <v>897</v>
      </c>
      <c r="EC248">
        <v>516</v>
      </c>
      <c r="ED248">
        <v>155</v>
      </c>
      <c r="EE248" s="82">
        <v>0.174149766308454</v>
      </c>
      <c r="EF248" s="82">
        <v>0.42992500956889801</v>
      </c>
    </row>
    <row r="249" spans="1:136" x14ac:dyDescent="0.35">
      <c r="A249" s="72">
        <v>664</v>
      </c>
      <c r="B249" s="72">
        <v>9</v>
      </c>
      <c r="D249" s="72" t="s">
        <v>116</v>
      </c>
      <c r="E249" s="79">
        <v>3140000000</v>
      </c>
      <c r="F249" s="79">
        <v>756350000</v>
      </c>
      <c r="G249" s="79">
        <v>786100000</v>
      </c>
      <c r="H249" s="79">
        <v>37653</v>
      </c>
      <c r="I249" s="79">
        <v>3</v>
      </c>
      <c r="J249" s="79">
        <v>786.1</v>
      </c>
      <c r="K249" s="79">
        <v>6813</v>
      </c>
      <c r="L249" s="79">
        <v>8846</v>
      </c>
      <c r="M249" s="79">
        <v>2763</v>
      </c>
      <c r="N249" s="79">
        <v>5865</v>
      </c>
      <c r="O249" s="79">
        <v>3988</v>
      </c>
      <c r="P249" s="79">
        <v>749.33333333333303</v>
      </c>
      <c r="Q249" s="79">
        <v>2935.3333333333298</v>
      </c>
      <c r="R249" s="79">
        <v>1445</v>
      </c>
      <c r="S249" s="79">
        <v>0</v>
      </c>
      <c r="T249" s="79">
        <v>1173</v>
      </c>
      <c r="U249" s="79">
        <v>18326</v>
      </c>
      <c r="V249" s="79">
        <v>42530</v>
      </c>
      <c r="W249" s="79">
        <v>49880</v>
      </c>
      <c r="X249" s="79">
        <v>3340.82</v>
      </c>
      <c r="Y249" s="79">
        <v>4589.6000000000004</v>
      </c>
      <c r="Z249" s="79">
        <v>0</v>
      </c>
      <c r="AA249" s="79">
        <v>0</v>
      </c>
      <c r="AB249" s="79">
        <v>0</v>
      </c>
      <c r="AC249" s="79">
        <v>9266</v>
      </c>
      <c r="AD249" s="79">
        <v>10748.56</v>
      </c>
      <c r="AE249" s="79">
        <v>618</v>
      </c>
      <c r="AF249" s="79">
        <v>307</v>
      </c>
      <c r="AG249" s="79">
        <v>266</v>
      </c>
      <c r="AH249" s="79">
        <v>272.06</v>
      </c>
      <c r="AI249" s="79">
        <v>49.45</v>
      </c>
      <c r="AJ249" s="79">
        <v>18770</v>
      </c>
      <c r="AK249" s="79">
        <v>22899.4</v>
      </c>
      <c r="AL249" s="79">
        <v>21</v>
      </c>
      <c r="AM249" s="79">
        <v>0</v>
      </c>
      <c r="AN249" s="79">
        <v>0</v>
      </c>
      <c r="AO249" s="79">
        <v>2350</v>
      </c>
      <c r="AP249" s="79">
        <v>2371</v>
      </c>
      <c r="AQ249" s="79">
        <v>2371</v>
      </c>
      <c r="AR249" s="80">
        <v>1.723544E-3</v>
      </c>
      <c r="AS249" s="80">
        <v>1.8454540000000001E-3</v>
      </c>
      <c r="AT249" s="79">
        <v>24701.32</v>
      </c>
      <c r="AU249" s="79">
        <v>0</v>
      </c>
      <c r="AV249" s="79">
        <v>3032.24</v>
      </c>
      <c r="AW249" s="79">
        <v>17136.914957507099</v>
      </c>
      <c r="AX249" s="79">
        <v>7</v>
      </c>
      <c r="AY249" s="79">
        <v>8.0500000000000007</v>
      </c>
      <c r="AZ249" s="79">
        <v>4422</v>
      </c>
      <c r="BA249" s="79">
        <v>1</v>
      </c>
      <c r="BB249" s="79">
        <v>0</v>
      </c>
      <c r="BC249" s="79">
        <v>0</v>
      </c>
      <c r="BD249" s="79">
        <v>0</v>
      </c>
      <c r="BE249" s="79">
        <v>0</v>
      </c>
      <c r="BF249" s="79">
        <v>0</v>
      </c>
      <c r="BG249" s="79">
        <v>0</v>
      </c>
      <c r="BH249" s="79">
        <v>0</v>
      </c>
      <c r="BI249" s="79">
        <v>0</v>
      </c>
      <c r="BJ249" s="79">
        <v>0</v>
      </c>
      <c r="BK249" s="79">
        <v>45</v>
      </c>
      <c r="BL249" s="79">
        <v>6677</v>
      </c>
      <c r="BM249" s="79">
        <v>223</v>
      </c>
      <c r="BN249" s="79">
        <v>43</v>
      </c>
      <c r="BO249">
        <v>7508</v>
      </c>
      <c r="BP249">
        <v>6080</v>
      </c>
      <c r="BQ249">
        <v>7323</v>
      </c>
      <c r="BR249">
        <v>6122</v>
      </c>
      <c r="BS249">
        <v>7269</v>
      </c>
      <c r="BT249">
        <v>5968</v>
      </c>
      <c r="BU249">
        <v>7259</v>
      </c>
      <c r="BV249">
        <v>5913</v>
      </c>
      <c r="BW249">
        <v>7149</v>
      </c>
      <c r="BX249">
        <v>5890</v>
      </c>
      <c r="BY249">
        <v>7062</v>
      </c>
      <c r="BZ249">
        <v>5850</v>
      </c>
      <c r="CB249">
        <v>688.11300000000006</v>
      </c>
      <c r="CC249">
        <v>121</v>
      </c>
      <c r="CD249">
        <v>85</v>
      </c>
      <c r="CE249">
        <v>11547.36</v>
      </c>
      <c r="CF249">
        <v>2502.06</v>
      </c>
      <c r="CG249">
        <v>259.07418282867002</v>
      </c>
      <c r="CH249">
        <v>400</v>
      </c>
      <c r="CI249">
        <v>162.333333333333</v>
      </c>
      <c r="CJ249">
        <v>149.333333333333</v>
      </c>
      <c r="CK249" s="81">
        <v>2186</v>
      </c>
      <c r="CL249">
        <v>698</v>
      </c>
      <c r="CM249">
        <v>7340.1035686833102</v>
      </c>
      <c r="CN249">
        <v>1.623</v>
      </c>
      <c r="CO249">
        <v>28807</v>
      </c>
      <c r="CP249">
        <v>4838</v>
      </c>
      <c r="CQ249">
        <v>1245</v>
      </c>
      <c r="CR249">
        <v>1066</v>
      </c>
      <c r="CS249">
        <v>902</v>
      </c>
      <c r="CT249">
        <v>668</v>
      </c>
      <c r="CU249">
        <v>638.67490676611601</v>
      </c>
      <c r="CV249">
        <v>404.111667554608</v>
      </c>
      <c r="CW249">
        <v>186.333297815663</v>
      </c>
      <c r="CX249">
        <v>1350.2952</v>
      </c>
      <c r="CY249">
        <v>854.37840000000006</v>
      </c>
      <c r="CZ249">
        <v>393.94839999999999</v>
      </c>
      <c r="DA249">
        <v>95475</v>
      </c>
      <c r="DE249">
        <v>794</v>
      </c>
      <c r="DF249" t="s">
        <v>144</v>
      </c>
      <c r="DG249">
        <v>20012</v>
      </c>
      <c r="DH249">
        <v>20120</v>
      </c>
      <c r="DI249">
        <v>20169</v>
      </c>
      <c r="DJ249">
        <v>20150</v>
      </c>
      <c r="DK249">
        <v>20090</v>
      </c>
      <c r="DO249">
        <v>1926</v>
      </c>
      <c r="DP249" t="s">
        <v>246</v>
      </c>
      <c r="DQ249">
        <v>20936</v>
      </c>
      <c r="DR249">
        <v>1.31</v>
      </c>
      <c r="DS249">
        <v>1483</v>
      </c>
      <c r="DV249">
        <v>86</v>
      </c>
      <c r="DW249" t="s">
        <v>237</v>
      </c>
      <c r="DX249">
        <v>3943.3870682019501</v>
      </c>
      <c r="DY249">
        <v>739</v>
      </c>
      <c r="DZ249">
        <v>599</v>
      </c>
      <c r="EA249">
        <v>388</v>
      </c>
      <c r="EB249">
        <v>2228</v>
      </c>
      <c r="EC249">
        <v>1276</v>
      </c>
      <c r="ED249">
        <v>540</v>
      </c>
      <c r="EE249" s="82">
        <v>0.19700889268674801</v>
      </c>
      <c r="EF249" s="82">
        <v>0.49876271685266299</v>
      </c>
    </row>
    <row r="250" spans="1:136" x14ac:dyDescent="0.35">
      <c r="A250" s="72">
        <v>677</v>
      </c>
      <c r="B250" s="72">
        <v>9</v>
      </c>
      <c r="D250" s="72" t="s">
        <v>161</v>
      </c>
      <c r="E250" s="79">
        <v>2132000000</v>
      </c>
      <c r="F250" s="79">
        <v>294350000</v>
      </c>
      <c r="G250" s="79">
        <v>338450000</v>
      </c>
      <c r="H250" s="79">
        <v>27524</v>
      </c>
      <c r="I250" s="79">
        <v>4</v>
      </c>
      <c r="J250" s="79">
        <v>338.45</v>
      </c>
      <c r="K250" s="79">
        <v>4570</v>
      </c>
      <c r="L250" s="79">
        <v>6798</v>
      </c>
      <c r="M250" s="79">
        <v>2156</v>
      </c>
      <c r="N250" s="79">
        <v>3850</v>
      </c>
      <c r="O250" s="79">
        <v>2477</v>
      </c>
      <c r="P250" s="79">
        <v>297</v>
      </c>
      <c r="Q250" s="79">
        <v>1867</v>
      </c>
      <c r="R250" s="79">
        <v>430</v>
      </c>
      <c r="S250" s="79">
        <v>0</v>
      </c>
      <c r="T250" s="79">
        <v>716</v>
      </c>
      <c r="U250" s="79">
        <v>13155</v>
      </c>
      <c r="V250" s="79">
        <v>26950</v>
      </c>
      <c r="W250" s="79">
        <v>21070</v>
      </c>
      <c r="X250" s="79">
        <v>308.88</v>
      </c>
      <c r="Y250" s="79">
        <v>1022.4</v>
      </c>
      <c r="Z250" s="79">
        <v>0</v>
      </c>
      <c r="AA250" s="79">
        <v>0</v>
      </c>
      <c r="AB250" s="79">
        <v>0</v>
      </c>
      <c r="AC250" s="79">
        <v>20117</v>
      </c>
      <c r="AD250" s="79">
        <v>20921.68</v>
      </c>
      <c r="AE250" s="79">
        <v>406</v>
      </c>
      <c r="AF250" s="79">
        <v>4659</v>
      </c>
      <c r="AG250" s="79">
        <v>286</v>
      </c>
      <c r="AH250" s="79">
        <v>202.98</v>
      </c>
      <c r="AI250" s="79">
        <v>90.48</v>
      </c>
      <c r="AJ250" s="79">
        <v>13730</v>
      </c>
      <c r="AK250" s="79">
        <v>14004.6</v>
      </c>
      <c r="AL250" s="79">
        <v>15</v>
      </c>
      <c r="AM250" s="79">
        <v>0</v>
      </c>
      <c r="AN250" s="79">
        <v>0</v>
      </c>
      <c r="AO250" s="79">
        <v>4550</v>
      </c>
      <c r="AP250" s="79">
        <v>874</v>
      </c>
      <c r="AQ250" s="79">
        <v>874</v>
      </c>
      <c r="AR250" s="80">
        <v>1.272037E-3</v>
      </c>
      <c r="AS250" s="80">
        <v>3.3927099999999998E-4</v>
      </c>
      <c r="AT250" s="79">
        <v>6878.73</v>
      </c>
      <c r="AU250" s="79">
        <v>0</v>
      </c>
      <c r="AV250" s="79">
        <v>3147.04</v>
      </c>
      <c r="AW250" s="79">
        <v>4831.4993636407899</v>
      </c>
      <c r="AX250" s="79">
        <v>16</v>
      </c>
      <c r="AY250" s="79">
        <v>16.64</v>
      </c>
      <c r="AZ250" s="79">
        <v>2540</v>
      </c>
      <c r="BA250" s="79">
        <v>1</v>
      </c>
      <c r="BB250" s="79">
        <v>0</v>
      </c>
      <c r="BC250" s="79">
        <v>0</v>
      </c>
      <c r="BD250" s="79">
        <v>0</v>
      </c>
      <c r="BE250" s="79">
        <v>0</v>
      </c>
      <c r="BF250" s="79">
        <v>0</v>
      </c>
      <c r="BG250" s="79">
        <v>0</v>
      </c>
      <c r="BH250" s="79">
        <v>0</v>
      </c>
      <c r="BI250" s="79">
        <v>0</v>
      </c>
      <c r="BJ250" s="79">
        <v>0</v>
      </c>
      <c r="BK250" s="79">
        <v>14</v>
      </c>
      <c r="BL250" s="79">
        <v>4129</v>
      </c>
      <c r="BM250" s="79">
        <v>199</v>
      </c>
      <c r="BN250" s="79">
        <v>87</v>
      </c>
      <c r="BO250">
        <v>5553</v>
      </c>
      <c r="BP250">
        <v>1484</v>
      </c>
      <c r="BQ250">
        <v>5458</v>
      </c>
      <c r="BR250">
        <v>1515</v>
      </c>
      <c r="BS250">
        <v>5318</v>
      </c>
      <c r="BT250">
        <v>1555</v>
      </c>
      <c r="BU250">
        <v>5254</v>
      </c>
      <c r="BV250">
        <v>1576</v>
      </c>
      <c r="BW250">
        <v>5126</v>
      </c>
      <c r="BX250">
        <v>1564</v>
      </c>
      <c r="BY250">
        <v>4992</v>
      </c>
      <c r="BZ250">
        <v>1504</v>
      </c>
      <c r="CB250">
        <v>397.59</v>
      </c>
      <c r="CC250">
        <v>55</v>
      </c>
      <c r="CD250">
        <v>55</v>
      </c>
      <c r="CE250">
        <v>8437.31</v>
      </c>
      <c r="CF250">
        <v>1896.12</v>
      </c>
      <c r="CG250">
        <v>89.649537275064205</v>
      </c>
      <c r="CH250">
        <v>258</v>
      </c>
      <c r="CI250">
        <v>73.6666666666667</v>
      </c>
      <c r="CJ250">
        <v>53</v>
      </c>
      <c r="CK250" s="81">
        <v>1570</v>
      </c>
      <c r="CL250">
        <v>510</v>
      </c>
      <c r="CM250">
        <v>3659.5698027181102</v>
      </c>
      <c r="CN250">
        <v>0.443</v>
      </c>
      <c r="CO250">
        <v>20726</v>
      </c>
      <c r="CP250">
        <v>3798</v>
      </c>
      <c r="CQ250">
        <v>844</v>
      </c>
      <c r="CR250">
        <v>702</v>
      </c>
      <c r="CS250">
        <v>708</v>
      </c>
      <c r="CT250">
        <v>436</v>
      </c>
      <c r="CU250">
        <v>416.02053896576803</v>
      </c>
      <c r="CV250">
        <v>272.41587764020397</v>
      </c>
      <c r="CW250">
        <v>112.93532410779299</v>
      </c>
      <c r="CX250">
        <v>1044.8486</v>
      </c>
      <c r="CY250">
        <v>684.18100000000004</v>
      </c>
      <c r="CZ250">
        <v>283.64060000000001</v>
      </c>
      <c r="DA250">
        <v>109681</v>
      </c>
      <c r="DE250">
        <v>796</v>
      </c>
      <c r="DF250" t="s">
        <v>271</v>
      </c>
      <c r="DG250">
        <v>29521.68</v>
      </c>
      <c r="DH250">
        <v>29729.7</v>
      </c>
      <c r="DI250">
        <v>29782.52</v>
      </c>
      <c r="DJ250">
        <v>29952.400000000001</v>
      </c>
      <c r="DK250">
        <v>29924.06</v>
      </c>
      <c r="DO250">
        <v>597</v>
      </c>
      <c r="DP250" t="s">
        <v>256</v>
      </c>
      <c r="DQ250">
        <v>21096</v>
      </c>
      <c r="DR250">
        <v>1.36</v>
      </c>
      <c r="DS250">
        <v>1733</v>
      </c>
      <c r="DV250">
        <v>828</v>
      </c>
      <c r="DW250" t="s">
        <v>238</v>
      </c>
      <c r="DX250">
        <v>12107.458279356901</v>
      </c>
      <c r="DY250">
        <v>2121</v>
      </c>
      <c r="DZ250">
        <v>1887</v>
      </c>
      <c r="EA250">
        <v>992</v>
      </c>
      <c r="EB250">
        <v>6443</v>
      </c>
      <c r="EC250">
        <v>3828</v>
      </c>
      <c r="ED250">
        <v>1355</v>
      </c>
      <c r="EE250" s="82">
        <v>0.20377244346932399</v>
      </c>
      <c r="EF250" s="82">
        <v>0.46520230991337802</v>
      </c>
    </row>
    <row r="251" spans="1:136" x14ac:dyDescent="0.35">
      <c r="A251" s="72">
        <v>678</v>
      </c>
      <c r="B251" s="72">
        <v>9</v>
      </c>
      <c r="D251" s="72" t="s">
        <v>165</v>
      </c>
      <c r="E251" s="79">
        <v>1037200000</v>
      </c>
      <c r="F251" s="79">
        <v>166950000</v>
      </c>
      <c r="G251" s="79">
        <v>177450000</v>
      </c>
      <c r="H251" s="79">
        <v>12785</v>
      </c>
      <c r="I251" s="79">
        <v>2</v>
      </c>
      <c r="J251" s="79">
        <v>177.45</v>
      </c>
      <c r="K251" s="79">
        <v>2861</v>
      </c>
      <c r="L251" s="79">
        <v>2622</v>
      </c>
      <c r="M251" s="79">
        <v>800</v>
      </c>
      <c r="N251" s="79">
        <v>1234</v>
      </c>
      <c r="O251" s="79">
        <v>675</v>
      </c>
      <c r="P251" s="79">
        <v>85</v>
      </c>
      <c r="Q251" s="79">
        <v>500</v>
      </c>
      <c r="R251" s="79">
        <v>225</v>
      </c>
      <c r="S251" s="79">
        <v>0</v>
      </c>
      <c r="T251" s="79">
        <v>297</v>
      </c>
      <c r="U251" s="79">
        <v>5347</v>
      </c>
      <c r="V251" s="79">
        <v>12500</v>
      </c>
      <c r="W251" s="79">
        <v>6150</v>
      </c>
      <c r="X251" s="79">
        <v>462.96</v>
      </c>
      <c r="Y251" s="79">
        <v>300.8</v>
      </c>
      <c r="Z251" s="79">
        <v>0</v>
      </c>
      <c r="AA251" s="79">
        <v>0</v>
      </c>
      <c r="AB251" s="79">
        <v>376</v>
      </c>
      <c r="AC251" s="79">
        <v>3706</v>
      </c>
      <c r="AD251" s="79">
        <v>4373.08</v>
      </c>
      <c r="AE251" s="79">
        <v>110</v>
      </c>
      <c r="AF251" s="79">
        <v>1146</v>
      </c>
      <c r="AG251" s="79">
        <v>119</v>
      </c>
      <c r="AH251" s="79">
        <v>105.56</v>
      </c>
      <c r="AI251" s="79">
        <v>34.22</v>
      </c>
      <c r="AJ251" s="79">
        <v>5590</v>
      </c>
      <c r="AK251" s="79">
        <v>6484.4</v>
      </c>
      <c r="AL251" s="79">
        <v>0</v>
      </c>
      <c r="AM251" s="79">
        <v>0</v>
      </c>
      <c r="AN251" s="79">
        <v>0</v>
      </c>
      <c r="AO251" s="79">
        <v>0</v>
      </c>
      <c r="AP251" s="79">
        <v>0</v>
      </c>
      <c r="AQ251" s="79">
        <v>0</v>
      </c>
      <c r="AR251" s="80">
        <v>2.8052699999999998E-4</v>
      </c>
      <c r="AS251" s="80">
        <v>8.8933999999999999E-5</v>
      </c>
      <c r="AT251" s="79">
        <v>3588.78</v>
      </c>
      <c r="AU251" s="79">
        <v>0</v>
      </c>
      <c r="AV251" s="79">
        <v>810.66</v>
      </c>
      <c r="AW251" s="79">
        <v>4819.2347222222197</v>
      </c>
      <c r="AX251" s="79">
        <v>4</v>
      </c>
      <c r="AY251" s="79">
        <v>4.72</v>
      </c>
      <c r="AZ251" s="79">
        <v>1375</v>
      </c>
      <c r="BA251" s="79">
        <v>1</v>
      </c>
      <c r="BB251" s="79">
        <v>0</v>
      </c>
      <c r="BC251" s="79">
        <v>0</v>
      </c>
      <c r="BD251" s="79">
        <v>0</v>
      </c>
      <c r="BE251" s="79">
        <v>0</v>
      </c>
      <c r="BF251" s="79">
        <v>0</v>
      </c>
      <c r="BG251" s="79">
        <v>0</v>
      </c>
      <c r="BH251" s="79">
        <v>0</v>
      </c>
      <c r="BI251" s="79">
        <v>0</v>
      </c>
      <c r="BJ251" s="79">
        <v>0</v>
      </c>
      <c r="BK251" s="79">
        <v>9</v>
      </c>
      <c r="BL251" s="79">
        <v>1398</v>
      </c>
      <c r="BM251" s="79">
        <v>91</v>
      </c>
      <c r="BN251" s="79">
        <v>29</v>
      </c>
      <c r="BO251">
        <v>3077</v>
      </c>
      <c r="BP251">
        <v>0</v>
      </c>
      <c r="BQ251">
        <v>3070</v>
      </c>
      <c r="BR251">
        <v>0</v>
      </c>
      <c r="BS251">
        <v>3024</v>
      </c>
      <c r="BT251">
        <v>80</v>
      </c>
      <c r="BU251">
        <v>3030</v>
      </c>
      <c r="BV251">
        <v>158</v>
      </c>
      <c r="BW251">
        <v>2997</v>
      </c>
      <c r="BX251">
        <v>235</v>
      </c>
      <c r="BY251">
        <v>2965</v>
      </c>
      <c r="BZ251">
        <v>297</v>
      </c>
      <c r="CB251">
        <v>194.548</v>
      </c>
      <c r="CC251">
        <v>35</v>
      </c>
      <c r="CD251">
        <v>30</v>
      </c>
      <c r="CE251">
        <v>3772.08</v>
      </c>
      <c r="CF251">
        <v>1051.28</v>
      </c>
      <c r="CG251">
        <v>95.870437066402403</v>
      </c>
      <c r="CH251">
        <v>123</v>
      </c>
      <c r="CI251">
        <v>34.6666666666667</v>
      </c>
      <c r="CJ251">
        <v>27</v>
      </c>
      <c r="CK251" s="81">
        <v>415</v>
      </c>
      <c r="CL251">
        <v>100</v>
      </c>
      <c r="CM251">
        <v>1611.72531054672</v>
      </c>
      <c r="CN251">
        <v>6.2E-2</v>
      </c>
      <c r="CO251">
        <v>10163</v>
      </c>
      <c r="CP251">
        <v>1486</v>
      </c>
      <c r="CQ251">
        <v>336</v>
      </c>
      <c r="CR251">
        <v>243</v>
      </c>
      <c r="CS251">
        <v>230</v>
      </c>
      <c r="CT251">
        <v>174</v>
      </c>
      <c r="CU251">
        <v>109.762969588551</v>
      </c>
      <c r="CV251">
        <v>66.171735241502702</v>
      </c>
      <c r="CW251">
        <v>29.101073345259401</v>
      </c>
      <c r="CX251">
        <v>373.87169999999998</v>
      </c>
      <c r="CY251">
        <v>225.39240000000001</v>
      </c>
      <c r="CZ251">
        <v>99.1233</v>
      </c>
      <c r="DA251">
        <v>0</v>
      </c>
      <c r="DE251">
        <v>797</v>
      </c>
      <c r="DF251" t="s">
        <v>149</v>
      </c>
      <c r="DG251">
        <v>9661</v>
      </c>
      <c r="DH251">
        <v>9526</v>
      </c>
      <c r="DI251">
        <v>9384</v>
      </c>
      <c r="DJ251">
        <v>9256</v>
      </c>
      <c r="DK251">
        <v>9144</v>
      </c>
      <c r="DO251">
        <v>603</v>
      </c>
      <c r="DP251" t="s">
        <v>258</v>
      </c>
      <c r="DQ251">
        <v>26438</v>
      </c>
      <c r="DR251">
        <v>1.02</v>
      </c>
      <c r="DS251">
        <v>3155</v>
      </c>
      <c r="DV251">
        <v>584</v>
      </c>
      <c r="DW251" t="s">
        <v>819</v>
      </c>
      <c r="DX251">
        <v>2487.4901019795998</v>
      </c>
      <c r="DY251">
        <v>581</v>
      </c>
      <c r="DZ251">
        <v>533</v>
      </c>
      <c r="EA251">
        <v>261</v>
      </c>
      <c r="EB251">
        <v>1807</v>
      </c>
      <c r="EC251">
        <v>1060</v>
      </c>
      <c r="ED251">
        <v>383</v>
      </c>
      <c r="EE251" s="82">
        <v>0.143465802288304</v>
      </c>
      <c r="EF251" s="82">
        <v>0.37967244497562103</v>
      </c>
    </row>
    <row r="252" spans="1:136" x14ac:dyDescent="0.35">
      <c r="A252" s="72">
        <v>687</v>
      </c>
      <c r="B252" s="72">
        <v>9</v>
      </c>
      <c r="D252" s="72" t="s">
        <v>200</v>
      </c>
      <c r="E252" s="79">
        <v>3590000000</v>
      </c>
      <c r="F252" s="79">
        <v>665700000</v>
      </c>
      <c r="G252" s="79">
        <v>696150000</v>
      </c>
      <c r="H252" s="79">
        <v>48544</v>
      </c>
      <c r="I252" s="79">
        <v>2</v>
      </c>
      <c r="J252" s="79">
        <v>696.15</v>
      </c>
      <c r="K252" s="79">
        <v>9495</v>
      </c>
      <c r="L252" s="79">
        <v>10706</v>
      </c>
      <c r="M252" s="79">
        <v>3474</v>
      </c>
      <c r="N252" s="79">
        <v>7379</v>
      </c>
      <c r="O252" s="79">
        <v>4989.6000000000004</v>
      </c>
      <c r="P252" s="79">
        <v>1369</v>
      </c>
      <c r="Q252" s="79">
        <v>3649</v>
      </c>
      <c r="R252" s="79">
        <v>2515</v>
      </c>
      <c r="S252" s="79">
        <v>0</v>
      </c>
      <c r="T252" s="79">
        <v>1718</v>
      </c>
      <c r="U252" s="79">
        <v>23802</v>
      </c>
      <c r="V252" s="79">
        <v>54340</v>
      </c>
      <c r="W252" s="79">
        <v>68750</v>
      </c>
      <c r="X252" s="79">
        <v>1667.04</v>
      </c>
      <c r="Y252" s="79">
        <v>3497.6</v>
      </c>
      <c r="Z252" s="79">
        <v>0</v>
      </c>
      <c r="AA252" s="79">
        <v>0</v>
      </c>
      <c r="AB252" s="79">
        <v>0</v>
      </c>
      <c r="AC252" s="79">
        <v>4839</v>
      </c>
      <c r="AD252" s="79">
        <v>5226.12</v>
      </c>
      <c r="AE252" s="79">
        <v>465</v>
      </c>
      <c r="AF252" s="79">
        <v>0</v>
      </c>
      <c r="AG252" s="79">
        <v>279</v>
      </c>
      <c r="AH252" s="79">
        <v>282.24</v>
      </c>
      <c r="AI252" s="79">
        <v>28.62</v>
      </c>
      <c r="AJ252" s="79">
        <v>23894</v>
      </c>
      <c r="AK252" s="79">
        <v>26761.279999999999</v>
      </c>
      <c r="AL252" s="79">
        <v>0</v>
      </c>
      <c r="AM252" s="79">
        <v>0</v>
      </c>
      <c r="AN252" s="79">
        <v>77</v>
      </c>
      <c r="AO252" s="79">
        <v>8700</v>
      </c>
      <c r="AP252" s="79">
        <v>4287</v>
      </c>
      <c r="AQ252" s="79">
        <v>4287</v>
      </c>
      <c r="AR252" s="80">
        <v>3.8971890000000001E-3</v>
      </c>
      <c r="AS252" s="80">
        <v>2.3647749999999999E-3</v>
      </c>
      <c r="AT252" s="79">
        <v>41575.56</v>
      </c>
      <c r="AU252" s="79">
        <v>0</v>
      </c>
      <c r="AV252" s="79">
        <v>1773.36</v>
      </c>
      <c r="AW252" s="79">
        <v>21904.107149321298</v>
      </c>
      <c r="AX252" s="79">
        <v>4</v>
      </c>
      <c r="AY252" s="79">
        <v>4.24</v>
      </c>
      <c r="AZ252" s="79">
        <v>4570</v>
      </c>
      <c r="BA252" s="79">
        <v>1</v>
      </c>
      <c r="BB252" s="79">
        <v>0</v>
      </c>
      <c r="BC252" s="79">
        <v>0</v>
      </c>
      <c r="BD252" s="79">
        <v>0</v>
      </c>
      <c r="BE252" s="79">
        <v>0</v>
      </c>
      <c r="BF252" s="79">
        <v>0</v>
      </c>
      <c r="BG252" s="79">
        <v>0</v>
      </c>
      <c r="BH252" s="79">
        <v>0</v>
      </c>
      <c r="BI252" s="79">
        <v>0</v>
      </c>
      <c r="BJ252" s="79">
        <v>0</v>
      </c>
      <c r="BK252" s="79">
        <v>34</v>
      </c>
      <c r="BL252" s="79">
        <v>9263</v>
      </c>
      <c r="BM252" s="79">
        <v>252</v>
      </c>
      <c r="BN252" s="79">
        <v>27</v>
      </c>
      <c r="BO252">
        <v>10143</v>
      </c>
      <c r="BP252">
        <v>4445</v>
      </c>
      <c r="BQ252">
        <v>10146</v>
      </c>
      <c r="BR252">
        <v>4366</v>
      </c>
      <c r="BS252">
        <v>10052</v>
      </c>
      <c r="BT252">
        <v>4526</v>
      </c>
      <c r="BU252">
        <v>9947</v>
      </c>
      <c r="BV252">
        <v>4584</v>
      </c>
      <c r="BW252">
        <v>9823</v>
      </c>
      <c r="BX252">
        <v>4664</v>
      </c>
      <c r="BY252">
        <v>9778</v>
      </c>
      <c r="BZ252">
        <v>4768</v>
      </c>
      <c r="CB252">
        <v>1281.825</v>
      </c>
      <c r="CC252">
        <v>196</v>
      </c>
      <c r="CD252">
        <v>186</v>
      </c>
      <c r="CE252">
        <v>14468.58</v>
      </c>
      <c r="CF252">
        <v>3127.2</v>
      </c>
      <c r="CG252">
        <v>391.87382034790198</v>
      </c>
      <c r="CH252">
        <v>643</v>
      </c>
      <c r="CI252">
        <v>410.66666666666703</v>
      </c>
      <c r="CJ252">
        <v>394.33333333333297</v>
      </c>
      <c r="CK252" s="81">
        <v>2280</v>
      </c>
      <c r="CL252">
        <v>708</v>
      </c>
      <c r="CM252">
        <v>6291.2001871618704</v>
      </c>
      <c r="CN252">
        <v>3.625</v>
      </c>
      <c r="CO252">
        <v>37838</v>
      </c>
      <c r="CP252">
        <v>5917</v>
      </c>
      <c r="CQ252">
        <v>1315</v>
      </c>
      <c r="CR252">
        <v>1427</v>
      </c>
      <c r="CS252">
        <v>1217</v>
      </c>
      <c r="CT252">
        <v>704</v>
      </c>
      <c r="CU252">
        <v>784.75419770653696</v>
      </c>
      <c r="CV252">
        <v>513.49403197455399</v>
      </c>
      <c r="CW252">
        <v>197.963538963757</v>
      </c>
      <c r="CX252">
        <v>1763.2536</v>
      </c>
      <c r="CY252">
        <v>1153.7628</v>
      </c>
      <c r="CZ252">
        <v>444.80160000000001</v>
      </c>
      <c r="DA252">
        <v>168902</v>
      </c>
      <c r="DE252">
        <v>798</v>
      </c>
      <c r="DF252" t="s">
        <v>151</v>
      </c>
      <c r="DG252">
        <v>3526</v>
      </c>
      <c r="DH252">
        <v>3427</v>
      </c>
      <c r="DI252">
        <v>3379</v>
      </c>
      <c r="DJ252">
        <v>3295</v>
      </c>
      <c r="DK252">
        <v>3209</v>
      </c>
      <c r="DO252">
        <v>599</v>
      </c>
      <c r="DP252" t="s">
        <v>262</v>
      </c>
      <c r="DQ252">
        <v>318732</v>
      </c>
      <c r="DR252">
        <v>1.32</v>
      </c>
      <c r="DS252">
        <v>3941</v>
      </c>
      <c r="DV252">
        <v>1509</v>
      </c>
      <c r="DW252" t="s">
        <v>239</v>
      </c>
      <c r="DX252">
        <v>5768.34072366087</v>
      </c>
      <c r="DY252">
        <v>963</v>
      </c>
      <c r="DZ252">
        <v>935</v>
      </c>
      <c r="EA252">
        <v>478</v>
      </c>
      <c r="EB252">
        <v>3121</v>
      </c>
      <c r="EC252">
        <v>1939</v>
      </c>
      <c r="ED252">
        <v>667</v>
      </c>
      <c r="EE252" s="82">
        <v>0.22877405093535899</v>
      </c>
      <c r="EF252" s="82">
        <v>0.53000245735465801</v>
      </c>
    </row>
    <row r="253" spans="1:136" x14ac:dyDescent="0.35">
      <c r="A253" s="72">
        <v>1695</v>
      </c>
      <c r="B253" s="72">
        <v>9</v>
      </c>
      <c r="D253" s="72" t="s">
        <v>218</v>
      </c>
      <c r="E253" s="79">
        <v>974400000</v>
      </c>
      <c r="F253" s="79">
        <v>169050000</v>
      </c>
      <c r="G253" s="79">
        <v>187250000</v>
      </c>
      <c r="H253" s="79">
        <v>7308</v>
      </c>
      <c r="I253" s="79">
        <v>5</v>
      </c>
      <c r="J253" s="79">
        <v>187.25</v>
      </c>
      <c r="K253" s="79">
        <v>1140</v>
      </c>
      <c r="L253" s="79">
        <v>2026</v>
      </c>
      <c r="M253" s="79">
        <v>623</v>
      </c>
      <c r="N253" s="79">
        <v>1114</v>
      </c>
      <c r="O253" s="79">
        <v>510.2</v>
      </c>
      <c r="P253" s="79">
        <v>101.333333333333</v>
      </c>
      <c r="Q253" s="79">
        <v>436.33333333333297</v>
      </c>
      <c r="R253" s="79">
        <v>95</v>
      </c>
      <c r="S253" s="79">
        <v>0</v>
      </c>
      <c r="T253" s="79">
        <v>201</v>
      </c>
      <c r="U253" s="79">
        <v>3653</v>
      </c>
      <c r="V253" s="79">
        <v>5150</v>
      </c>
      <c r="W253" s="79">
        <v>420</v>
      </c>
      <c r="X253" s="79">
        <v>89.96</v>
      </c>
      <c r="Y253" s="79">
        <v>0</v>
      </c>
      <c r="Z253" s="79">
        <v>0</v>
      </c>
      <c r="AA253" s="79">
        <v>0</v>
      </c>
      <c r="AB253" s="79">
        <v>0</v>
      </c>
      <c r="AC253" s="79">
        <v>8599</v>
      </c>
      <c r="AD253" s="79">
        <v>9458.9</v>
      </c>
      <c r="AE253" s="79">
        <v>720</v>
      </c>
      <c r="AF253" s="79">
        <v>2840</v>
      </c>
      <c r="AG253" s="79">
        <v>100</v>
      </c>
      <c r="AH253" s="79">
        <v>74.12</v>
      </c>
      <c r="AI253" s="79">
        <v>35.520000000000003</v>
      </c>
      <c r="AJ253" s="79">
        <v>6038</v>
      </c>
      <c r="AK253" s="79">
        <v>6581.42</v>
      </c>
      <c r="AL253" s="79">
        <v>0</v>
      </c>
      <c r="AM253" s="79">
        <v>0</v>
      </c>
      <c r="AN253" s="79">
        <v>0</v>
      </c>
      <c r="AO253" s="79">
        <v>0</v>
      </c>
      <c r="AP253" s="79">
        <v>0</v>
      </c>
      <c r="AQ253" s="79">
        <v>0</v>
      </c>
      <c r="AR253" s="80">
        <v>5.3019199999999997E-4</v>
      </c>
      <c r="AS253" s="80">
        <v>1.0336900000000001E-4</v>
      </c>
      <c r="AT253" s="79">
        <v>1370.626</v>
      </c>
      <c r="AU253" s="79">
        <v>0</v>
      </c>
      <c r="AV253" s="79">
        <v>1752.3</v>
      </c>
      <c r="AW253" s="79">
        <v>1550.1366670243599</v>
      </c>
      <c r="AX253" s="79">
        <v>13</v>
      </c>
      <c r="AY253" s="79">
        <v>14.43</v>
      </c>
      <c r="AZ253" s="79">
        <v>1028</v>
      </c>
      <c r="BA253" s="79">
        <v>1</v>
      </c>
      <c r="BB253" s="79">
        <v>0</v>
      </c>
      <c r="BC253" s="79">
        <v>0</v>
      </c>
      <c r="BD253" s="79">
        <v>0</v>
      </c>
      <c r="BE253" s="79">
        <v>0</v>
      </c>
      <c r="BF253" s="79">
        <v>0</v>
      </c>
      <c r="BG253" s="79">
        <v>0</v>
      </c>
      <c r="BH253" s="79">
        <v>0</v>
      </c>
      <c r="BI253" s="79">
        <v>0</v>
      </c>
      <c r="BJ253" s="79">
        <v>0</v>
      </c>
      <c r="BK253" s="79">
        <v>5</v>
      </c>
      <c r="BL253" s="79">
        <v>1297</v>
      </c>
      <c r="BM253" s="79">
        <v>68</v>
      </c>
      <c r="BN253" s="79">
        <v>32</v>
      </c>
      <c r="BO253">
        <v>1347</v>
      </c>
      <c r="BP253">
        <v>0</v>
      </c>
      <c r="BQ253">
        <v>1334</v>
      </c>
      <c r="BR253">
        <v>0</v>
      </c>
      <c r="BS253">
        <v>1348</v>
      </c>
      <c r="BT253">
        <v>0</v>
      </c>
      <c r="BU253">
        <v>1370</v>
      </c>
      <c r="BV253">
        <v>0</v>
      </c>
      <c r="BW253">
        <v>1340</v>
      </c>
      <c r="BX253">
        <v>0</v>
      </c>
      <c r="BY253">
        <v>1341</v>
      </c>
      <c r="BZ253">
        <v>0</v>
      </c>
      <c r="CB253">
        <v>115.14</v>
      </c>
      <c r="CC253">
        <v>32</v>
      </c>
      <c r="CD253">
        <v>16</v>
      </c>
      <c r="CE253">
        <v>2250.88</v>
      </c>
      <c r="CF253">
        <v>366.76</v>
      </c>
      <c r="CG253">
        <v>52.523414634146299</v>
      </c>
      <c r="CH253">
        <v>68</v>
      </c>
      <c r="CI253">
        <v>24.6666666666667</v>
      </c>
      <c r="CJ253">
        <v>20.3333333333333</v>
      </c>
      <c r="CK253" s="81">
        <v>335</v>
      </c>
      <c r="CL253">
        <v>56</v>
      </c>
      <c r="CM253">
        <v>1173.33726451961</v>
      </c>
      <c r="CN253">
        <v>0.18099999999999999</v>
      </c>
      <c r="CO253">
        <v>5282</v>
      </c>
      <c r="CP253">
        <v>1179</v>
      </c>
      <c r="CQ253">
        <v>224</v>
      </c>
      <c r="CR253">
        <v>242</v>
      </c>
      <c r="CS253">
        <v>205</v>
      </c>
      <c r="CT253">
        <v>85</v>
      </c>
      <c r="CU253">
        <v>62.275157336866499</v>
      </c>
      <c r="CV253">
        <v>37.432692944683701</v>
      </c>
      <c r="CW253">
        <v>11.238257701225599</v>
      </c>
      <c r="CX253">
        <v>355.0129</v>
      </c>
      <c r="CY253">
        <v>213.3931</v>
      </c>
      <c r="CZ253">
        <v>64.066100000000006</v>
      </c>
      <c r="DA253">
        <v>0</v>
      </c>
      <c r="DE253">
        <v>809</v>
      </c>
      <c r="DF253" t="s">
        <v>188</v>
      </c>
      <c r="DG253">
        <v>4913</v>
      </c>
      <c r="DH253">
        <v>4857</v>
      </c>
      <c r="DI253">
        <v>4747</v>
      </c>
      <c r="DJ253">
        <v>4672</v>
      </c>
      <c r="DK253">
        <v>4594</v>
      </c>
      <c r="DO253">
        <v>606</v>
      </c>
      <c r="DP253" t="s">
        <v>267</v>
      </c>
      <c r="DQ253">
        <v>37308</v>
      </c>
      <c r="DR253">
        <v>1.38</v>
      </c>
      <c r="DS253">
        <v>3281</v>
      </c>
      <c r="DV253">
        <v>437</v>
      </c>
      <c r="DW253" t="s">
        <v>240</v>
      </c>
      <c r="DX253">
        <v>1519.4203971726699</v>
      </c>
      <c r="DY253">
        <v>456</v>
      </c>
      <c r="DZ253">
        <v>298</v>
      </c>
      <c r="EA253">
        <v>198</v>
      </c>
      <c r="EB253">
        <v>1094</v>
      </c>
      <c r="EC253">
        <v>564</v>
      </c>
      <c r="ED253">
        <v>264</v>
      </c>
      <c r="EE253" s="82">
        <v>0.156269252348232</v>
      </c>
      <c r="EF253" s="82">
        <v>0.25571611897887198</v>
      </c>
    </row>
    <row r="254" spans="1:136" x14ac:dyDescent="0.35">
      <c r="A254" s="72">
        <v>703</v>
      </c>
      <c r="B254" s="72">
        <v>9</v>
      </c>
      <c r="D254" s="72" t="s">
        <v>250</v>
      </c>
      <c r="E254" s="79">
        <v>1464400000</v>
      </c>
      <c r="F254" s="79">
        <v>356300000</v>
      </c>
      <c r="G254" s="79">
        <v>375550000</v>
      </c>
      <c r="H254" s="79">
        <v>22678</v>
      </c>
      <c r="I254" s="79">
        <v>5</v>
      </c>
      <c r="J254" s="79">
        <v>375.55</v>
      </c>
      <c r="K254" s="79">
        <v>5653</v>
      </c>
      <c r="L254" s="79">
        <v>3821</v>
      </c>
      <c r="M254" s="79">
        <v>1150</v>
      </c>
      <c r="N254" s="79">
        <v>2629</v>
      </c>
      <c r="O254" s="79">
        <v>1706.1</v>
      </c>
      <c r="P254" s="79">
        <v>238.333333333333</v>
      </c>
      <c r="Q254" s="79">
        <v>999.33333333333303</v>
      </c>
      <c r="R254" s="79">
        <v>535</v>
      </c>
      <c r="S254" s="79">
        <v>0</v>
      </c>
      <c r="T254" s="79">
        <v>497</v>
      </c>
      <c r="U254" s="79">
        <v>9282</v>
      </c>
      <c r="V254" s="79">
        <v>21030</v>
      </c>
      <c r="W254" s="79">
        <v>5260</v>
      </c>
      <c r="X254" s="79">
        <v>132.66</v>
      </c>
      <c r="Y254" s="79">
        <v>670.4</v>
      </c>
      <c r="Z254" s="79">
        <v>0</v>
      </c>
      <c r="AA254" s="79">
        <v>0</v>
      </c>
      <c r="AB254" s="79">
        <v>0</v>
      </c>
      <c r="AC254" s="79">
        <v>10176</v>
      </c>
      <c r="AD254" s="79">
        <v>12211.2</v>
      </c>
      <c r="AE254" s="79">
        <v>1186</v>
      </c>
      <c r="AF254" s="79">
        <v>10000</v>
      </c>
      <c r="AG254" s="79">
        <v>191</v>
      </c>
      <c r="AH254" s="79">
        <v>157.5</v>
      </c>
      <c r="AI254" s="79">
        <v>77.349999999999994</v>
      </c>
      <c r="AJ254" s="79">
        <v>9229</v>
      </c>
      <c r="AK254" s="79">
        <v>11536.25</v>
      </c>
      <c r="AL254" s="79">
        <v>0</v>
      </c>
      <c r="AM254" s="79">
        <v>0</v>
      </c>
      <c r="AN254" s="79">
        <v>0</v>
      </c>
      <c r="AO254" s="79">
        <v>0</v>
      </c>
      <c r="AP254" s="79">
        <v>822</v>
      </c>
      <c r="AQ254" s="79">
        <v>0</v>
      </c>
      <c r="AR254" s="80">
        <v>6.4446999999999996E-4</v>
      </c>
      <c r="AS254" s="80">
        <v>2.5352799999999999E-4</v>
      </c>
      <c r="AT254" s="79">
        <v>4725.2479999999996</v>
      </c>
      <c r="AU254" s="79">
        <v>0</v>
      </c>
      <c r="AV254" s="79">
        <v>3070.8</v>
      </c>
      <c r="AW254" s="79">
        <v>9817.6858299595206</v>
      </c>
      <c r="AX254" s="79">
        <v>12</v>
      </c>
      <c r="AY254" s="79">
        <v>14.28</v>
      </c>
      <c r="AZ254" s="79">
        <v>2317</v>
      </c>
      <c r="BA254" s="79">
        <v>1</v>
      </c>
      <c r="BB254" s="79">
        <v>0</v>
      </c>
      <c r="BC254" s="79">
        <v>0</v>
      </c>
      <c r="BD254" s="79">
        <v>0</v>
      </c>
      <c r="BE254" s="79">
        <v>0</v>
      </c>
      <c r="BF254" s="79">
        <v>0</v>
      </c>
      <c r="BG254" s="79">
        <v>0</v>
      </c>
      <c r="BH254" s="79">
        <v>0</v>
      </c>
      <c r="BI254" s="79">
        <v>0</v>
      </c>
      <c r="BJ254" s="79">
        <v>0</v>
      </c>
      <c r="BK254" s="79">
        <v>18</v>
      </c>
      <c r="BL254" s="79">
        <v>2881</v>
      </c>
      <c r="BM254" s="79">
        <v>126</v>
      </c>
      <c r="BN254" s="79">
        <v>65</v>
      </c>
      <c r="BO254">
        <v>5614</v>
      </c>
      <c r="BP254">
        <v>930</v>
      </c>
      <c r="BQ254">
        <v>5641</v>
      </c>
      <c r="BR254">
        <v>899</v>
      </c>
      <c r="BS254">
        <v>5722</v>
      </c>
      <c r="BT254">
        <v>866</v>
      </c>
      <c r="BU254">
        <v>5651</v>
      </c>
      <c r="BV254">
        <v>859</v>
      </c>
      <c r="BW254">
        <v>5679</v>
      </c>
      <c r="BX254">
        <v>843</v>
      </c>
      <c r="BY254">
        <v>5654</v>
      </c>
      <c r="BZ254">
        <v>890</v>
      </c>
      <c r="CB254">
        <v>412.66899999999998</v>
      </c>
      <c r="CC254">
        <v>218</v>
      </c>
      <c r="CD254">
        <v>101</v>
      </c>
      <c r="CE254">
        <v>5826.56</v>
      </c>
      <c r="CF254">
        <v>1669.66</v>
      </c>
      <c r="CG254">
        <v>298.47063844393602</v>
      </c>
      <c r="CH254">
        <v>190</v>
      </c>
      <c r="CI254">
        <v>90.6666666666667</v>
      </c>
      <c r="CJ254">
        <v>61.6666666666667</v>
      </c>
      <c r="CK254" s="81">
        <v>761</v>
      </c>
      <c r="CL254">
        <v>160</v>
      </c>
      <c r="CM254">
        <v>3175.0218549292599</v>
      </c>
      <c r="CN254">
        <v>0.35299999999999998</v>
      </c>
      <c r="CO254">
        <v>18857</v>
      </c>
      <c r="CP254">
        <v>2142</v>
      </c>
      <c r="CQ254">
        <v>529</v>
      </c>
      <c r="CR254">
        <v>435</v>
      </c>
      <c r="CS254">
        <v>394</v>
      </c>
      <c r="CT254">
        <v>233</v>
      </c>
      <c r="CU254">
        <v>247.71632896305101</v>
      </c>
      <c r="CV254">
        <v>150.848152562574</v>
      </c>
      <c r="CW254">
        <v>66.180929678188306</v>
      </c>
      <c r="CX254">
        <v>651.10599999999999</v>
      </c>
      <c r="CY254">
        <v>396.49439999999998</v>
      </c>
      <c r="CZ254">
        <v>173.9522</v>
      </c>
      <c r="DA254">
        <v>7938</v>
      </c>
      <c r="DE254">
        <v>815</v>
      </c>
      <c r="DF254" t="s">
        <v>204</v>
      </c>
      <c r="DG254">
        <v>2486</v>
      </c>
      <c r="DH254">
        <v>2458</v>
      </c>
      <c r="DI254">
        <v>2404</v>
      </c>
      <c r="DJ254">
        <v>2352</v>
      </c>
      <c r="DK254">
        <v>2253</v>
      </c>
      <c r="DO254">
        <v>518</v>
      </c>
      <c r="DP254" t="s">
        <v>270</v>
      </c>
      <c r="DQ254">
        <v>262249</v>
      </c>
      <c r="DR254">
        <v>1.02</v>
      </c>
      <c r="DS254">
        <v>4856</v>
      </c>
      <c r="DV254">
        <v>589</v>
      </c>
      <c r="DW254" t="s">
        <v>241</v>
      </c>
      <c r="DX254">
        <v>1145.5446768060799</v>
      </c>
      <c r="DY254">
        <v>254</v>
      </c>
      <c r="DZ254">
        <v>231</v>
      </c>
      <c r="EA254">
        <v>82</v>
      </c>
      <c r="EB254">
        <v>743</v>
      </c>
      <c r="EC254">
        <v>463</v>
      </c>
      <c r="ED254">
        <v>123</v>
      </c>
      <c r="EE254" s="82">
        <v>0.16480459473094899</v>
      </c>
      <c r="EF254" s="82">
        <v>0.34682182854538701</v>
      </c>
    </row>
    <row r="255" spans="1:136" x14ac:dyDescent="0.35">
      <c r="A255" s="72">
        <v>1676</v>
      </c>
      <c r="B255" s="72">
        <v>9</v>
      </c>
      <c r="D255" s="72" t="s">
        <v>269</v>
      </c>
      <c r="E255" s="79">
        <v>3775200000</v>
      </c>
      <c r="F255" s="79">
        <v>618100000</v>
      </c>
      <c r="G255" s="79">
        <v>724150000</v>
      </c>
      <c r="H255" s="79">
        <v>33779</v>
      </c>
      <c r="I255" s="79">
        <v>9</v>
      </c>
      <c r="J255" s="79">
        <v>724.15</v>
      </c>
      <c r="K255" s="79">
        <v>5870</v>
      </c>
      <c r="L255" s="79">
        <v>9070</v>
      </c>
      <c r="M255" s="79">
        <v>2850</v>
      </c>
      <c r="N255" s="79">
        <v>4738</v>
      </c>
      <c r="O255" s="79">
        <v>2553.4</v>
      </c>
      <c r="P255" s="79">
        <v>456</v>
      </c>
      <c r="Q255" s="79">
        <v>1881</v>
      </c>
      <c r="R255" s="79">
        <v>495</v>
      </c>
      <c r="S255" s="79">
        <v>0</v>
      </c>
      <c r="T255" s="79">
        <v>853</v>
      </c>
      <c r="U255" s="79">
        <v>15809</v>
      </c>
      <c r="V255" s="79">
        <v>33020</v>
      </c>
      <c r="W255" s="79">
        <v>5690</v>
      </c>
      <c r="X255" s="79">
        <v>178.2</v>
      </c>
      <c r="Y255" s="79">
        <v>705.6</v>
      </c>
      <c r="Z255" s="79">
        <v>0</v>
      </c>
      <c r="AA255" s="79">
        <v>0</v>
      </c>
      <c r="AB255" s="79">
        <v>0</v>
      </c>
      <c r="AC255" s="79">
        <v>22863</v>
      </c>
      <c r="AD255" s="79">
        <v>24006.15</v>
      </c>
      <c r="AE255" s="79">
        <v>7313</v>
      </c>
      <c r="AF255" s="79">
        <v>10000</v>
      </c>
      <c r="AG255" s="79">
        <v>355</v>
      </c>
      <c r="AH255" s="79">
        <v>259.7</v>
      </c>
      <c r="AI255" s="79">
        <v>115.5</v>
      </c>
      <c r="AJ255" s="79">
        <v>21846</v>
      </c>
      <c r="AK255" s="79">
        <v>23156.76</v>
      </c>
      <c r="AL255" s="79">
        <v>10</v>
      </c>
      <c r="AM255" s="79">
        <v>46</v>
      </c>
      <c r="AN255" s="79">
        <v>0</v>
      </c>
      <c r="AO255" s="79">
        <v>6500</v>
      </c>
      <c r="AP255" s="79">
        <v>2425</v>
      </c>
      <c r="AQ255" s="79">
        <v>1819</v>
      </c>
      <c r="AR255" s="80">
        <v>2.0994310000000001E-3</v>
      </c>
      <c r="AS255" s="80">
        <v>5.4060000000000002E-4</v>
      </c>
      <c r="AT255" s="79">
        <v>10420.541999999999</v>
      </c>
      <c r="AU255" s="79">
        <v>0</v>
      </c>
      <c r="AV255" s="79">
        <v>7686</v>
      </c>
      <c r="AW255" s="79">
        <v>9318.3293875927902</v>
      </c>
      <c r="AX255" s="79">
        <v>24</v>
      </c>
      <c r="AY255" s="79">
        <v>25.2</v>
      </c>
      <c r="AZ255" s="79">
        <v>4605</v>
      </c>
      <c r="BA255" s="79">
        <v>1</v>
      </c>
      <c r="BB255" s="79">
        <v>0</v>
      </c>
      <c r="BC255" s="79">
        <v>0</v>
      </c>
      <c r="BD255" s="79">
        <v>0</v>
      </c>
      <c r="BE255" s="79">
        <v>0</v>
      </c>
      <c r="BF255" s="79">
        <v>0</v>
      </c>
      <c r="BG255" s="79">
        <v>0</v>
      </c>
      <c r="BH255" s="79">
        <v>0</v>
      </c>
      <c r="BI255" s="79">
        <v>0</v>
      </c>
      <c r="BJ255" s="79">
        <v>0</v>
      </c>
      <c r="BK255" s="79">
        <v>38</v>
      </c>
      <c r="BL255" s="79">
        <v>5159</v>
      </c>
      <c r="BM255" s="79">
        <v>245</v>
      </c>
      <c r="BN255" s="79">
        <v>110</v>
      </c>
      <c r="BO255">
        <v>6750</v>
      </c>
      <c r="BP255">
        <v>981</v>
      </c>
      <c r="BQ255">
        <v>6718</v>
      </c>
      <c r="BR255">
        <v>941</v>
      </c>
      <c r="BS255">
        <v>6703</v>
      </c>
      <c r="BT255">
        <v>1022</v>
      </c>
      <c r="BU255">
        <v>6537</v>
      </c>
      <c r="BV255">
        <v>1105</v>
      </c>
      <c r="BW255">
        <v>6419</v>
      </c>
      <c r="BX255">
        <v>1106</v>
      </c>
      <c r="BY255">
        <v>6312</v>
      </c>
      <c r="BZ255">
        <v>1070</v>
      </c>
      <c r="CB255">
        <v>575.26</v>
      </c>
      <c r="CC255">
        <v>160</v>
      </c>
      <c r="CD255">
        <v>105</v>
      </c>
      <c r="CE255">
        <v>10958.14</v>
      </c>
      <c r="CF255">
        <v>2185.2600000000002</v>
      </c>
      <c r="CG255">
        <v>250.48490623637201</v>
      </c>
      <c r="CH255">
        <v>311</v>
      </c>
      <c r="CI255">
        <v>137</v>
      </c>
      <c r="CJ255">
        <v>102.333333333333</v>
      </c>
      <c r="CK255" s="81">
        <v>1425</v>
      </c>
      <c r="CL255">
        <v>305</v>
      </c>
      <c r="CM255">
        <v>6506.2749725804097</v>
      </c>
      <c r="CN255">
        <v>0.79800000000000004</v>
      </c>
      <c r="CO255">
        <v>24709</v>
      </c>
      <c r="CP255">
        <v>5059</v>
      </c>
      <c r="CQ255">
        <v>1161</v>
      </c>
      <c r="CR255">
        <v>1012</v>
      </c>
      <c r="CS255">
        <v>918</v>
      </c>
      <c r="CT255">
        <v>574</v>
      </c>
      <c r="CU255">
        <v>365.606298635906</v>
      </c>
      <c r="CV255">
        <v>230.49092740089699</v>
      </c>
      <c r="CW255">
        <v>99.933946717934603</v>
      </c>
      <c r="CX255">
        <v>1309.6936000000001</v>
      </c>
      <c r="CY255">
        <v>825.67639999999994</v>
      </c>
      <c r="CZ255">
        <v>357.98849999999999</v>
      </c>
      <c r="DA255">
        <v>19845</v>
      </c>
      <c r="DE255">
        <v>820</v>
      </c>
      <c r="DF255" t="s">
        <v>222</v>
      </c>
      <c r="DG255">
        <v>4938</v>
      </c>
      <c r="DH255">
        <v>4750</v>
      </c>
      <c r="DI255">
        <v>4647</v>
      </c>
      <c r="DJ255">
        <v>4559</v>
      </c>
      <c r="DK255">
        <v>4481</v>
      </c>
      <c r="DO255">
        <v>610</v>
      </c>
      <c r="DP255" t="s">
        <v>276</v>
      </c>
      <c r="DQ255">
        <v>11447</v>
      </c>
      <c r="DR255">
        <v>1.43</v>
      </c>
      <c r="DS255">
        <v>1631</v>
      </c>
      <c r="DV255">
        <v>1734</v>
      </c>
      <c r="DW255" t="s">
        <v>242</v>
      </c>
      <c r="DX255">
        <v>4804.0912533720702</v>
      </c>
      <c r="DY255">
        <v>995</v>
      </c>
      <c r="DZ255">
        <v>837</v>
      </c>
      <c r="EA255">
        <v>344</v>
      </c>
      <c r="EB255">
        <v>3273</v>
      </c>
      <c r="EC255">
        <v>1863</v>
      </c>
      <c r="ED255">
        <v>528</v>
      </c>
      <c r="EE255" s="82">
        <v>0.14468224780340599</v>
      </c>
      <c r="EF255" s="82">
        <v>0.42241600566415499</v>
      </c>
    </row>
    <row r="256" spans="1:136" x14ac:dyDescent="0.35">
      <c r="A256" s="72">
        <v>1714</v>
      </c>
      <c r="B256" s="72">
        <v>9</v>
      </c>
      <c r="D256" s="72" t="s">
        <v>277</v>
      </c>
      <c r="E256" s="79">
        <v>3020800000</v>
      </c>
      <c r="F256" s="79">
        <v>433300000</v>
      </c>
      <c r="G256" s="79">
        <v>482300000</v>
      </c>
      <c r="H256" s="79">
        <v>23386</v>
      </c>
      <c r="I256" s="79">
        <v>10</v>
      </c>
      <c r="J256" s="79">
        <v>482.3</v>
      </c>
      <c r="K256" s="79">
        <v>3659</v>
      </c>
      <c r="L256" s="79">
        <v>6585</v>
      </c>
      <c r="M256" s="79">
        <v>2066</v>
      </c>
      <c r="N256" s="79">
        <v>3808</v>
      </c>
      <c r="O256" s="79">
        <v>2017.4</v>
      </c>
      <c r="P256" s="79">
        <v>321.33333333333297</v>
      </c>
      <c r="Q256" s="79">
        <v>1357.3333333333301</v>
      </c>
      <c r="R256" s="79">
        <v>405</v>
      </c>
      <c r="S256" s="79">
        <v>0</v>
      </c>
      <c r="T256" s="79">
        <v>629</v>
      </c>
      <c r="U256" s="79">
        <v>11540</v>
      </c>
      <c r="V256" s="79">
        <v>20920</v>
      </c>
      <c r="W256" s="79">
        <v>8360</v>
      </c>
      <c r="X256" s="79">
        <v>0</v>
      </c>
      <c r="Y256" s="79">
        <v>633.6</v>
      </c>
      <c r="Z256" s="79">
        <v>0</v>
      </c>
      <c r="AA256" s="79">
        <v>0</v>
      </c>
      <c r="AB256" s="79">
        <v>0</v>
      </c>
      <c r="AC256" s="79">
        <v>27879</v>
      </c>
      <c r="AD256" s="79">
        <v>28436.58</v>
      </c>
      <c r="AE256" s="79">
        <v>484</v>
      </c>
      <c r="AF256" s="79">
        <v>2353</v>
      </c>
      <c r="AG256" s="79">
        <v>315</v>
      </c>
      <c r="AH256" s="79">
        <v>200.94</v>
      </c>
      <c r="AI256" s="79">
        <v>121.38</v>
      </c>
      <c r="AJ256" s="79">
        <v>17906</v>
      </c>
      <c r="AK256" s="79">
        <v>18264.12</v>
      </c>
      <c r="AL256" s="79">
        <v>24</v>
      </c>
      <c r="AM256" s="79">
        <v>0</v>
      </c>
      <c r="AN256" s="79">
        <v>0</v>
      </c>
      <c r="AO256" s="79">
        <v>7800</v>
      </c>
      <c r="AP256" s="79">
        <v>1274</v>
      </c>
      <c r="AQ256" s="79">
        <v>0</v>
      </c>
      <c r="AR256" s="80">
        <v>1.3058499999999999E-3</v>
      </c>
      <c r="AS256" s="80">
        <v>5.7956200000000005E-4</v>
      </c>
      <c r="AT256" s="79">
        <v>7663.768</v>
      </c>
      <c r="AU256" s="79">
        <v>0</v>
      </c>
      <c r="AV256" s="79">
        <v>5457</v>
      </c>
      <c r="AW256" s="79">
        <v>4499.4324295737397</v>
      </c>
      <c r="AX256" s="79">
        <v>25</v>
      </c>
      <c r="AY256" s="79">
        <v>25.5</v>
      </c>
      <c r="AZ256" s="79">
        <v>3055</v>
      </c>
      <c r="BA256" s="79">
        <v>1</v>
      </c>
      <c r="BB256" s="79">
        <v>0</v>
      </c>
      <c r="BC256" s="79">
        <v>0</v>
      </c>
      <c r="BD256" s="79">
        <v>0</v>
      </c>
      <c r="BE256" s="79">
        <v>0</v>
      </c>
      <c r="BF256" s="79">
        <v>0</v>
      </c>
      <c r="BG256" s="79">
        <v>0</v>
      </c>
      <c r="BH256" s="79">
        <v>0</v>
      </c>
      <c r="BI256" s="79">
        <v>0</v>
      </c>
      <c r="BJ256" s="79">
        <v>0</v>
      </c>
      <c r="BK256" s="79">
        <v>13</v>
      </c>
      <c r="BL256" s="79">
        <v>4184</v>
      </c>
      <c r="BM256" s="79">
        <v>197</v>
      </c>
      <c r="BN256" s="79">
        <v>119</v>
      </c>
      <c r="BO256">
        <v>4333</v>
      </c>
      <c r="BP256">
        <v>1151</v>
      </c>
      <c r="BQ256">
        <v>4222</v>
      </c>
      <c r="BR256">
        <v>1116</v>
      </c>
      <c r="BS256">
        <v>4110</v>
      </c>
      <c r="BT256">
        <v>1103</v>
      </c>
      <c r="BU256">
        <v>4066</v>
      </c>
      <c r="BV256">
        <v>1108</v>
      </c>
      <c r="BW256">
        <v>4021</v>
      </c>
      <c r="BX256">
        <v>1080</v>
      </c>
      <c r="BY256">
        <v>3974</v>
      </c>
      <c r="BZ256">
        <v>1064</v>
      </c>
      <c r="CB256">
        <v>413.46699999999998</v>
      </c>
      <c r="CC256">
        <v>93</v>
      </c>
      <c r="CD256">
        <v>39</v>
      </c>
      <c r="CE256">
        <v>7370.35</v>
      </c>
      <c r="CF256">
        <v>1454.64</v>
      </c>
      <c r="CG256">
        <v>80.698083595223096</v>
      </c>
      <c r="CH256">
        <v>199</v>
      </c>
      <c r="CI256">
        <v>70.6666666666667</v>
      </c>
      <c r="CJ256">
        <v>60.3333333333333</v>
      </c>
      <c r="CK256" s="81">
        <v>1036</v>
      </c>
      <c r="CL256">
        <v>207</v>
      </c>
      <c r="CM256">
        <v>3902.10531409958</v>
      </c>
      <c r="CN256">
        <v>0.45700000000000002</v>
      </c>
      <c r="CO256">
        <v>16801</v>
      </c>
      <c r="CP256">
        <v>3656</v>
      </c>
      <c r="CQ256">
        <v>863</v>
      </c>
      <c r="CR256">
        <v>777</v>
      </c>
      <c r="CS256">
        <v>739</v>
      </c>
      <c r="CT256">
        <v>503</v>
      </c>
      <c r="CU256">
        <v>258.56880375293201</v>
      </c>
      <c r="CV256">
        <v>167.30922595777901</v>
      </c>
      <c r="CW256">
        <v>77.401641907740398</v>
      </c>
      <c r="CX256">
        <v>1076.8140000000001</v>
      </c>
      <c r="CY256">
        <v>696.76199999999994</v>
      </c>
      <c r="CZ256">
        <v>322.34039999999999</v>
      </c>
      <c r="DA256">
        <v>17596</v>
      </c>
      <c r="DE256">
        <v>823</v>
      </c>
      <c r="DF256" t="s">
        <v>225</v>
      </c>
      <c r="DG256">
        <v>4106</v>
      </c>
      <c r="DH256">
        <v>4008</v>
      </c>
      <c r="DI256">
        <v>3929</v>
      </c>
      <c r="DJ256">
        <v>3876</v>
      </c>
      <c r="DK256">
        <v>3805</v>
      </c>
      <c r="DO256">
        <v>617</v>
      </c>
      <c r="DP256" t="s">
        <v>820</v>
      </c>
      <c r="DQ256">
        <v>3964</v>
      </c>
      <c r="DR256">
        <v>1.43</v>
      </c>
      <c r="DS256">
        <v>616</v>
      </c>
      <c r="DV256">
        <v>590</v>
      </c>
      <c r="DW256" t="s">
        <v>243</v>
      </c>
      <c r="DX256">
        <v>3630.6749448516298</v>
      </c>
      <c r="DY256">
        <v>761</v>
      </c>
      <c r="DZ256">
        <v>796</v>
      </c>
      <c r="EA256">
        <v>386</v>
      </c>
      <c r="EB256">
        <v>2432</v>
      </c>
      <c r="EC256">
        <v>1648</v>
      </c>
      <c r="ED256">
        <v>573</v>
      </c>
      <c r="EE256" s="82">
        <v>0.15262141280626401</v>
      </c>
      <c r="EF256" s="82">
        <v>0.41136582378160802</v>
      </c>
    </row>
    <row r="257" spans="1:136" x14ac:dyDescent="0.35">
      <c r="A257" s="72">
        <v>715</v>
      </c>
      <c r="B257" s="72">
        <v>9</v>
      </c>
      <c r="D257" s="72" t="s">
        <v>290</v>
      </c>
      <c r="E257" s="79">
        <v>3640000000</v>
      </c>
      <c r="F257" s="79">
        <v>1419250000</v>
      </c>
      <c r="G257" s="79">
        <v>1472100000</v>
      </c>
      <c r="H257" s="79">
        <v>54589</v>
      </c>
      <c r="I257" s="79">
        <v>9</v>
      </c>
      <c r="J257" s="79">
        <v>1472.1</v>
      </c>
      <c r="K257" s="79">
        <v>9592</v>
      </c>
      <c r="L257" s="79">
        <v>13573</v>
      </c>
      <c r="M257" s="79">
        <v>4370</v>
      </c>
      <c r="N257" s="79">
        <v>8417</v>
      </c>
      <c r="O257" s="79">
        <v>5707.7</v>
      </c>
      <c r="P257" s="79">
        <v>1105.6666666666699</v>
      </c>
      <c r="Q257" s="79">
        <v>4127.6666666666697</v>
      </c>
      <c r="R257" s="79">
        <v>2780</v>
      </c>
      <c r="S257" s="79">
        <v>0</v>
      </c>
      <c r="T257" s="79">
        <v>1804</v>
      </c>
      <c r="U257" s="79">
        <v>26322</v>
      </c>
      <c r="V257" s="79">
        <v>55560</v>
      </c>
      <c r="W257" s="79">
        <v>50990</v>
      </c>
      <c r="X257" s="79">
        <v>1260.08</v>
      </c>
      <c r="Y257" s="79">
        <v>1993.6</v>
      </c>
      <c r="Z257" s="79">
        <v>0</v>
      </c>
      <c r="AA257" s="79">
        <v>0</v>
      </c>
      <c r="AB257" s="79">
        <v>0</v>
      </c>
      <c r="AC257" s="79">
        <v>25004</v>
      </c>
      <c r="AD257" s="79">
        <v>25004</v>
      </c>
      <c r="AE257" s="79">
        <v>1279</v>
      </c>
      <c r="AF257" s="79">
        <v>5492</v>
      </c>
      <c r="AG257" s="79">
        <v>513</v>
      </c>
      <c r="AH257" s="79">
        <v>317.14</v>
      </c>
      <c r="AI257" s="79">
        <v>199</v>
      </c>
      <c r="AJ257" s="79">
        <v>27093</v>
      </c>
      <c r="AK257" s="79">
        <v>27363.93</v>
      </c>
      <c r="AL257" s="79">
        <v>13</v>
      </c>
      <c r="AM257" s="79">
        <v>0</v>
      </c>
      <c r="AN257" s="79">
        <v>0</v>
      </c>
      <c r="AO257" s="79">
        <v>3000</v>
      </c>
      <c r="AP257" s="79">
        <v>3331</v>
      </c>
      <c r="AQ257" s="79">
        <v>1539</v>
      </c>
      <c r="AR257" s="80">
        <v>2.6003659999999998E-3</v>
      </c>
      <c r="AS257" s="80">
        <v>1.7233699999999999E-3</v>
      </c>
      <c r="AT257" s="79">
        <v>23598.003000000001</v>
      </c>
      <c r="AU257" s="79">
        <v>0</v>
      </c>
      <c r="AV257" s="79">
        <v>5203</v>
      </c>
      <c r="AW257" s="79">
        <v>11014.1714035688</v>
      </c>
      <c r="AX257" s="79">
        <v>26</v>
      </c>
      <c r="AY257" s="79">
        <v>26</v>
      </c>
      <c r="AZ257" s="79">
        <v>4560</v>
      </c>
      <c r="BA257" s="79">
        <v>1</v>
      </c>
      <c r="BB257" s="79">
        <v>0</v>
      </c>
      <c r="BC257" s="79">
        <v>0</v>
      </c>
      <c r="BD257" s="79">
        <v>0</v>
      </c>
      <c r="BE257" s="79">
        <v>0</v>
      </c>
      <c r="BF257" s="79">
        <v>0</v>
      </c>
      <c r="BG257" s="79">
        <v>0</v>
      </c>
      <c r="BH257" s="79">
        <v>0</v>
      </c>
      <c r="BI257" s="79">
        <v>0</v>
      </c>
      <c r="BJ257" s="79">
        <v>0</v>
      </c>
      <c r="BK257" s="79">
        <v>33</v>
      </c>
      <c r="BL257" s="79">
        <v>9326</v>
      </c>
      <c r="BM257" s="79">
        <v>314</v>
      </c>
      <c r="BN257" s="79">
        <v>199</v>
      </c>
      <c r="BO257">
        <v>11041</v>
      </c>
      <c r="BP257">
        <v>2555</v>
      </c>
      <c r="BQ257">
        <v>10812</v>
      </c>
      <c r="BR257">
        <v>2550</v>
      </c>
      <c r="BS257">
        <v>10645</v>
      </c>
      <c r="BT257">
        <v>2581</v>
      </c>
      <c r="BU257">
        <v>10577</v>
      </c>
      <c r="BV257">
        <v>2569</v>
      </c>
      <c r="BW257">
        <v>10403</v>
      </c>
      <c r="BX257">
        <v>2572</v>
      </c>
      <c r="BY257">
        <v>10297</v>
      </c>
      <c r="BZ257">
        <v>2564</v>
      </c>
      <c r="CB257">
        <v>1314.104</v>
      </c>
      <c r="CC257">
        <v>254</v>
      </c>
      <c r="CD257">
        <v>195</v>
      </c>
      <c r="CE257">
        <v>16411.52</v>
      </c>
      <c r="CF257">
        <v>3496.8</v>
      </c>
      <c r="CG257">
        <v>413.99209854998099</v>
      </c>
      <c r="CH257">
        <v>623</v>
      </c>
      <c r="CI257">
        <v>322</v>
      </c>
      <c r="CJ257">
        <v>294.33333333333297</v>
      </c>
      <c r="CK257" s="81">
        <v>3022</v>
      </c>
      <c r="CL257">
        <v>647</v>
      </c>
      <c r="CM257">
        <v>9529.2896287758194</v>
      </c>
      <c r="CN257">
        <v>2.4260000000000002</v>
      </c>
      <c r="CO257">
        <v>41016</v>
      </c>
      <c r="CP257">
        <v>7561</v>
      </c>
      <c r="CQ257">
        <v>1642</v>
      </c>
      <c r="CR257">
        <v>1677</v>
      </c>
      <c r="CS257">
        <v>1467</v>
      </c>
      <c r="CT257">
        <v>806</v>
      </c>
      <c r="CU257">
        <v>992.68011663529296</v>
      </c>
      <c r="CV257">
        <v>646.126892555273</v>
      </c>
      <c r="CW257">
        <v>239.95387369431199</v>
      </c>
      <c r="CX257">
        <v>2289.5608000000002</v>
      </c>
      <c r="CY257">
        <v>1490.2553</v>
      </c>
      <c r="CZ257">
        <v>553.44010000000003</v>
      </c>
      <c r="DA257">
        <v>34772</v>
      </c>
      <c r="DE257">
        <v>824</v>
      </c>
      <c r="DF257" t="s">
        <v>226</v>
      </c>
      <c r="DG257">
        <v>5588</v>
      </c>
      <c r="DH257">
        <v>5576</v>
      </c>
      <c r="DI257">
        <v>5371</v>
      </c>
      <c r="DJ257">
        <v>5354</v>
      </c>
      <c r="DK257">
        <v>5165</v>
      </c>
      <c r="DO257">
        <v>1525</v>
      </c>
      <c r="DP257" t="s">
        <v>293</v>
      </c>
      <c r="DQ257">
        <v>15746</v>
      </c>
      <c r="DR257">
        <v>1.04</v>
      </c>
      <c r="DS257">
        <v>1374</v>
      </c>
      <c r="DV257">
        <v>1894</v>
      </c>
      <c r="DW257" t="s">
        <v>244</v>
      </c>
      <c r="DX257">
        <v>5059.8658475286202</v>
      </c>
      <c r="DY257">
        <v>850</v>
      </c>
      <c r="DZ257">
        <v>872</v>
      </c>
      <c r="EA257">
        <v>420</v>
      </c>
      <c r="EB257">
        <v>3221</v>
      </c>
      <c r="EC257">
        <v>1948</v>
      </c>
      <c r="ED257">
        <v>606</v>
      </c>
      <c r="EE257" s="82">
        <v>0.17013324689171</v>
      </c>
      <c r="EF257" s="82">
        <v>0.46927942762387398</v>
      </c>
    </row>
    <row r="258" spans="1:136" x14ac:dyDescent="0.35">
      <c r="A258" s="72">
        <v>716</v>
      </c>
      <c r="B258" s="72">
        <v>9</v>
      </c>
      <c r="D258" s="72" t="s">
        <v>294</v>
      </c>
      <c r="E258" s="79">
        <v>1684800000</v>
      </c>
      <c r="F258" s="79">
        <v>295050000</v>
      </c>
      <c r="G258" s="79">
        <v>335650000</v>
      </c>
      <c r="H258" s="79">
        <v>25780</v>
      </c>
      <c r="I258" s="79">
        <v>7</v>
      </c>
      <c r="J258" s="79">
        <v>335.65</v>
      </c>
      <c r="K258" s="79">
        <v>5781</v>
      </c>
      <c r="L258" s="79">
        <v>4863</v>
      </c>
      <c r="M258" s="79">
        <v>1504</v>
      </c>
      <c r="N258" s="79">
        <v>3175</v>
      </c>
      <c r="O258" s="79">
        <v>2045.1</v>
      </c>
      <c r="P258" s="79">
        <v>354.66666666666703</v>
      </c>
      <c r="Q258" s="79">
        <v>1464.6666666666699</v>
      </c>
      <c r="R258" s="79">
        <v>530</v>
      </c>
      <c r="S258" s="79">
        <v>0</v>
      </c>
      <c r="T258" s="79">
        <v>609</v>
      </c>
      <c r="U258" s="79">
        <v>10699</v>
      </c>
      <c r="V258" s="79">
        <v>22950</v>
      </c>
      <c r="W258" s="79">
        <v>2670</v>
      </c>
      <c r="X258" s="79">
        <v>130.62</v>
      </c>
      <c r="Y258" s="79">
        <v>252</v>
      </c>
      <c r="Z258" s="79">
        <v>0</v>
      </c>
      <c r="AA258" s="79">
        <v>0</v>
      </c>
      <c r="AB258" s="79">
        <v>0</v>
      </c>
      <c r="AC258" s="79">
        <v>14685</v>
      </c>
      <c r="AD258" s="79">
        <v>17915.7</v>
      </c>
      <c r="AE258" s="79">
        <v>1549</v>
      </c>
      <c r="AF258" s="79">
        <v>9166</v>
      </c>
      <c r="AG258" s="79">
        <v>227</v>
      </c>
      <c r="AH258" s="79">
        <v>209.6</v>
      </c>
      <c r="AI258" s="79">
        <v>82.96</v>
      </c>
      <c r="AJ258" s="79">
        <v>11299</v>
      </c>
      <c r="AK258" s="79">
        <v>14801.69</v>
      </c>
      <c r="AL258" s="79">
        <v>16</v>
      </c>
      <c r="AM258" s="79">
        <v>0</v>
      </c>
      <c r="AN258" s="79">
        <v>0</v>
      </c>
      <c r="AO258" s="79">
        <v>1300</v>
      </c>
      <c r="AP258" s="79">
        <v>1288</v>
      </c>
      <c r="AQ258" s="79">
        <v>669</v>
      </c>
      <c r="AR258" s="80">
        <v>9.7933099999999995E-4</v>
      </c>
      <c r="AS258" s="80">
        <v>2.2477799999999999E-4</v>
      </c>
      <c r="AT258" s="79">
        <v>5378.3239999999996</v>
      </c>
      <c r="AU258" s="79">
        <v>0</v>
      </c>
      <c r="AV258" s="79">
        <v>4390.78</v>
      </c>
      <c r="AW258" s="79">
        <v>13865.904964888499</v>
      </c>
      <c r="AX258" s="79">
        <v>10</v>
      </c>
      <c r="AY258" s="79">
        <v>12.2</v>
      </c>
      <c r="AZ258" s="79">
        <v>2668</v>
      </c>
      <c r="BA258" s="79">
        <v>1</v>
      </c>
      <c r="BB258" s="79">
        <v>0</v>
      </c>
      <c r="BC258" s="79">
        <v>0</v>
      </c>
      <c r="BD258" s="79">
        <v>0</v>
      </c>
      <c r="BE258" s="79">
        <v>0</v>
      </c>
      <c r="BF258" s="79">
        <v>0</v>
      </c>
      <c r="BG258" s="79">
        <v>0</v>
      </c>
      <c r="BH258" s="79">
        <v>0</v>
      </c>
      <c r="BI258" s="79">
        <v>0</v>
      </c>
      <c r="BJ258" s="79">
        <v>0</v>
      </c>
      <c r="BK258" s="79">
        <v>11</v>
      </c>
      <c r="BL258" s="79">
        <v>3062</v>
      </c>
      <c r="BM258" s="79">
        <v>160</v>
      </c>
      <c r="BN258" s="79">
        <v>68</v>
      </c>
      <c r="BO258">
        <v>6362</v>
      </c>
      <c r="BP258">
        <v>627</v>
      </c>
      <c r="BQ258">
        <v>6341</v>
      </c>
      <c r="BR258">
        <v>634</v>
      </c>
      <c r="BS258">
        <v>6245</v>
      </c>
      <c r="BT258">
        <v>625</v>
      </c>
      <c r="BU258">
        <v>6251</v>
      </c>
      <c r="BV258">
        <v>609</v>
      </c>
      <c r="BW258">
        <v>6213</v>
      </c>
      <c r="BX258">
        <v>582</v>
      </c>
      <c r="BY258">
        <v>6086</v>
      </c>
      <c r="BZ258">
        <v>542</v>
      </c>
      <c r="CB258">
        <v>526.07100000000003</v>
      </c>
      <c r="CC258">
        <v>172</v>
      </c>
      <c r="CD258">
        <v>40</v>
      </c>
      <c r="CE258">
        <v>6473.42</v>
      </c>
      <c r="CF258">
        <v>1786.69</v>
      </c>
      <c r="CG258">
        <v>292.35716172777501</v>
      </c>
      <c r="CH258">
        <v>233</v>
      </c>
      <c r="CI258">
        <v>104.333333333333</v>
      </c>
      <c r="CJ258">
        <v>90</v>
      </c>
      <c r="CK258" s="81">
        <v>1110</v>
      </c>
      <c r="CL258">
        <v>247</v>
      </c>
      <c r="CM258">
        <v>4155.3453601353203</v>
      </c>
      <c r="CN258">
        <v>0.51200000000000001</v>
      </c>
      <c r="CO258">
        <v>20917</v>
      </c>
      <c r="CP258">
        <v>2789</v>
      </c>
      <c r="CQ258">
        <v>570</v>
      </c>
      <c r="CR258">
        <v>552</v>
      </c>
      <c r="CS258">
        <v>490</v>
      </c>
      <c r="CT258">
        <v>314</v>
      </c>
      <c r="CU258">
        <v>310.41211611646997</v>
      </c>
      <c r="CV258">
        <v>192.22021417824601</v>
      </c>
      <c r="CW258">
        <v>77.105283653420599</v>
      </c>
      <c r="CX258">
        <v>870.36249999999995</v>
      </c>
      <c r="CY258">
        <v>538.96500000000003</v>
      </c>
      <c r="CZ258">
        <v>216.19499999999999</v>
      </c>
      <c r="DA258">
        <v>7938</v>
      </c>
      <c r="DE258">
        <v>826</v>
      </c>
      <c r="DF258" t="s">
        <v>233</v>
      </c>
      <c r="DG258">
        <v>11578</v>
      </c>
      <c r="DH258">
        <v>11400</v>
      </c>
      <c r="DI258">
        <v>11246</v>
      </c>
      <c r="DJ258">
        <v>11091</v>
      </c>
      <c r="DK258">
        <v>10792</v>
      </c>
      <c r="DO258">
        <v>622</v>
      </c>
      <c r="DP258" t="s">
        <v>318</v>
      </c>
      <c r="DQ258">
        <v>35282</v>
      </c>
      <c r="DR258">
        <v>1.39</v>
      </c>
      <c r="DS258">
        <v>2774</v>
      </c>
      <c r="DV258">
        <v>765</v>
      </c>
      <c r="DW258" t="s">
        <v>245</v>
      </c>
      <c r="DX258">
        <v>2261.1043826150199</v>
      </c>
      <c r="DY258">
        <v>345</v>
      </c>
      <c r="DZ258">
        <v>277</v>
      </c>
      <c r="EA258">
        <v>142</v>
      </c>
      <c r="EB258">
        <v>1021</v>
      </c>
      <c r="EC258">
        <v>566</v>
      </c>
      <c r="ED258">
        <v>202</v>
      </c>
      <c r="EE258" s="82">
        <v>0.2920083881094</v>
      </c>
      <c r="EF258" s="82">
        <v>0.67019508403050299</v>
      </c>
    </row>
    <row r="259" spans="1:136" x14ac:dyDescent="0.35">
      <c r="A259" s="72">
        <v>717</v>
      </c>
      <c r="B259" s="72">
        <v>9</v>
      </c>
      <c r="D259" s="72" t="s">
        <v>312</v>
      </c>
      <c r="E259" s="79">
        <v>3050000000</v>
      </c>
      <c r="F259" s="79">
        <v>442050000</v>
      </c>
      <c r="G259" s="79">
        <v>523250000</v>
      </c>
      <c r="H259" s="79">
        <v>21835</v>
      </c>
      <c r="I259" s="79">
        <v>10</v>
      </c>
      <c r="J259" s="79">
        <v>523.25</v>
      </c>
      <c r="K259" s="79">
        <v>4061</v>
      </c>
      <c r="L259" s="79">
        <v>5767</v>
      </c>
      <c r="M259" s="79">
        <v>1771</v>
      </c>
      <c r="N259" s="79">
        <v>2416</v>
      </c>
      <c r="O259" s="79">
        <v>922.8</v>
      </c>
      <c r="P259" s="79">
        <v>215.666666666667</v>
      </c>
      <c r="Q259" s="79">
        <v>890.66666666666697</v>
      </c>
      <c r="R259" s="79">
        <v>220</v>
      </c>
      <c r="S259" s="79">
        <v>0</v>
      </c>
      <c r="T259" s="79">
        <v>401</v>
      </c>
      <c r="U259" s="79">
        <v>9735</v>
      </c>
      <c r="V259" s="79">
        <v>15680</v>
      </c>
      <c r="W259" s="79">
        <v>3260</v>
      </c>
      <c r="X259" s="79">
        <v>0</v>
      </c>
      <c r="Y259" s="79">
        <v>0</v>
      </c>
      <c r="Z259" s="79">
        <v>0</v>
      </c>
      <c r="AA259" s="79">
        <v>0</v>
      </c>
      <c r="AB259" s="79">
        <v>0</v>
      </c>
      <c r="AC259" s="79">
        <v>13303</v>
      </c>
      <c r="AD259" s="79">
        <v>14367.24</v>
      </c>
      <c r="AE259" s="79">
        <v>1194</v>
      </c>
      <c r="AF259" s="79">
        <v>6158</v>
      </c>
      <c r="AG259" s="79">
        <v>229</v>
      </c>
      <c r="AH259" s="79">
        <v>174.9</v>
      </c>
      <c r="AI259" s="79">
        <v>76.680000000000007</v>
      </c>
      <c r="AJ259" s="79">
        <v>14932</v>
      </c>
      <c r="AK259" s="79">
        <v>16425.2</v>
      </c>
      <c r="AL259" s="79">
        <v>14</v>
      </c>
      <c r="AM259" s="79">
        <v>0</v>
      </c>
      <c r="AN259" s="79">
        <v>0</v>
      </c>
      <c r="AO259" s="79">
        <v>3200</v>
      </c>
      <c r="AP259" s="79">
        <v>591</v>
      </c>
      <c r="AQ259" s="79">
        <v>0</v>
      </c>
      <c r="AR259" s="80">
        <v>7.0332599999999999E-4</v>
      </c>
      <c r="AS259" s="80">
        <v>2.5701400000000002E-4</v>
      </c>
      <c r="AT259" s="79">
        <v>5121.6760000000004</v>
      </c>
      <c r="AU259" s="79">
        <v>0</v>
      </c>
      <c r="AV259" s="79">
        <v>2954.88</v>
      </c>
      <c r="AW259" s="79">
        <v>5800.6966130923702</v>
      </c>
      <c r="AX259" s="79">
        <v>14</v>
      </c>
      <c r="AY259" s="79">
        <v>15.12</v>
      </c>
      <c r="AZ259" s="79">
        <v>2904</v>
      </c>
      <c r="BA259" s="79">
        <v>1</v>
      </c>
      <c r="BB259" s="79">
        <v>0</v>
      </c>
      <c r="BC259" s="79">
        <v>0</v>
      </c>
      <c r="BD259" s="79">
        <v>0</v>
      </c>
      <c r="BE259" s="79">
        <v>0</v>
      </c>
      <c r="BF259" s="79">
        <v>0</v>
      </c>
      <c r="BG259" s="79">
        <v>0</v>
      </c>
      <c r="BH259" s="79">
        <v>0</v>
      </c>
      <c r="BI259" s="79">
        <v>0</v>
      </c>
      <c r="BJ259" s="79">
        <v>0</v>
      </c>
      <c r="BK259" s="79">
        <v>5</v>
      </c>
      <c r="BL259" s="79">
        <v>2860</v>
      </c>
      <c r="BM259" s="79">
        <v>159</v>
      </c>
      <c r="BN259" s="79">
        <v>71</v>
      </c>
      <c r="BO259">
        <v>4787</v>
      </c>
      <c r="BP259">
        <v>0</v>
      </c>
      <c r="BQ259">
        <v>4710</v>
      </c>
      <c r="BR259">
        <v>0</v>
      </c>
      <c r="BS259">
        <v>4661</v>
      </c>
      <c r="BT259">
        <v>0</v>
      </c>
      <c r="BU259">
        <v>4599</v>
      </c>
      <c r="BV259">
        <v>0</v>
      </c>
      <c r="BW259">
        <v>4514</v>
      </c>
      <c r="BX259">
        <v>0</v>
      </c>
      <c r="BY259">
        <v>4432</v>
      </c>
      <c r="BZ259">
        <v>0</v>
      </c>
      <c r="CB259">
        <v>292.392</v>
      </c>
      <c r="CC259">
        <v>59</v>
      </c>
      <c r="CD259">
        <v>26</v>
      </c>
      <c r="CE259">
        <v>6772.32</v>
      </c>
      <c r="CF259">
        <v>1452.56</v>
      </c>
      <c r="CG259">
        <v>117.633723517655</v>
      </c>
      <c r="CH259">
        <v>143</v>
      </c>
      <c r="CI259">
        <v>49.3333333333333</v>
      </c>
      <c r="CJ259">
        <v>40.3333333333333</v>
      </c>
      <c r="CK259" s="81">
        <v>675</v>
      </c>
      <c r="CL259">
        <v>197</v>
      </c>
      <c r="CM259">
        <v>2633.7225865209498</v>
      </c>
      <c r="CN259">
        <v>0.10100000000000001</v>
      </c>
      <c r="CO259">
        <v>16068</v>
      </c>
      <c r="CP259">
        <v>3337</v>
      </c>
      <c r="CQ259">
        <v>659</v>
      </c>
      <c r="CR259">
        <v>661</v>
      </c>
      <c r="CS259">
        <v>527</v>
      </c>
      <c r="CT259">
        <v>307</v>
      </c>
      <c r="CU259">
        <v>126.44312885079</v>
      </c>
      <c r="CV259">
        <v>75.025395124564696</v>
      </c>
      <c r="CW259">
        <v>28.3662737744441</v>
      </c>
      <c r="CX259">
        <v>819.423</v>
      </c>
      <c r="CY259">
        <v>486.20699999999999</v>
      </c>
      <c r="CZ259">
        <v>183.8295</v>
      </c>
      <c r="DA259">
        <v>44982</v>
      </c>
      <c r="DE259">
        <v>828</v>
      </c>
      <c r="DF259" t="s">
        <v>238</v>
      </c>
      <c r="DG259">
        <v>19258.32</v>
      </c>
      <c r="DH259">
        <v>19075.3</v>
      </c>
      <c r="DI259">
        <v>18823.48</v>
      </c>
      <c r="DJ259">
        <v>18759.599999999999</v>
      </c>
      <c r="DK259">
        <v>18542.939999999999</v>
      </c>
      <c r="DO259">
        <v>626</v>
      </c>
      <c r="DP259" t="s">
        <v>322</v>
      </c>
      <c r="DQ259">
        <v>11501</v>
      </c>
      <c r="DR259">
        <v>1.05</v>
      </c>
      <c r="DS259">
        <v>1844</v>
      </c>
      <c r="DV259">
        <v>1926</v>
      </c>
      <c r="DW259" t="s">
        <v>246</v>
      </c>
      <c r="DX259">
        <v>4012.73682659726</v>
      </c>
      <c r="DY259">
        <v>788</v>
      </c>
      <c r="DZ259">
        <v>781</v>
      </c>
      <c r="EA259">
        <v>461</v>
      </c>
      <c r="EB259">
        <v>2672</v>
      </c>
      <c r="EC259">
        <v>1757</v>
      </c>
      <c r="ED259">
        <v>647</v>
      </c>
      <c r="EE259" s="82">
        <v>9.1666833521076602E-2</v>
      </c>
      <c r="EF259" s="82">
        <v>0.316213575011415</v>
      </c>
    </row>
    <row r="260" spans="1:136" x14ac:dyDescent="0.35">
      <c r="A260" s="72">
        <v>718</v>
      </c>
      <c r="B260" s="72">
        <v>9</v>
      </c>
      <c r="D260" s="72" t="s">
        <v>320</v>
      </c>
      <c r="E260" s="79">
        <v>2873600000</v>
      </c>
      <c r="F260" s="79">
        <v>694050000</v>
      </c>
      <c r="G260" s="79">
        <v>729050000</v>
      </c>
      <c r="H260" s="79">
        <v>44371</v>
      </c>
      <c r="I260" s="79">
        <v>1</v>
      </c>
      <c r="J260" s="79">
        <v>729.05</v>
      </c>
      <c r="K260" s="79">
        <v>7829</v>
      </c>
      <c r="L260" s="79">
        <v>10332</v>
      </c>
      <c r="M260" s="79">
        <v>3177</v>
      </c>
      <c r="N260" s="79">
        <v>7698</v>
      </c>
      <c r="O260" s="79">
        <v>5369.7</v>
      </c>
      <c r="P260" s="79">
        <v>1968.6666666666699</v>
      </c>
      <c r="Q260" s="79">
        <v>4283.6666666666697</v>
      </c>
      <c r="R260" s="79">
        <v>3575</v>
      </c>
      <c r="S260" s="79">
        <v>0</v>
      </c>
      <c r="T260" s="79">
        <v>1782</v>
      </c>
      <c r="U260" s="79">
        <v>22970</v>
      </c>
      <c r="V260" s="79">
        <v>50000</v>
      </c>
      <c r="W260" s="79">
        <v>67050</v>
      </c>
      <c r="X260" s="79">
        <v>93.06</v>
      </c>
      <c r="Y260" s="79">
        <v>1182.4000000000001</v>
      </c>
      <c r="Z260" s="79">
        <v>0</v>
      </c>
      <c r="AA260" s="79">
        <v>0</v>
      </c>
      <c r="AB260" s="79">
        <v>0</v>
      </c>
      <c r="AC260" s="79">
        <v>3437</v>
      </c>
      <c r="AD260" s="79">
        <v>3780.7</v>
      </c>
      <c r="AE260" s="79">
        <v>516</v>
      </c>
      <c r="AF260" s="79">
        <v>10000</v>
      </c>
      <c r="AG260" s="79">
        <v>298</v>
      </c>
      <c r="AH260" s="79">
        <v>221.95</v>
      </c>
      <c r="AI260" s="79">
        <v>112.35</v>
      </c>
      <c r="AJ260" s="79">
        <v>23283</v>
      </c>
      <c r="AK260" s="79">
        <v>26775.45</v>
      </c>
      <c r="AL260" s="79">
        <v>16</v>
      </c>
      <c r="AM260" s="79">
        <v>0</v>
      </c>
      <c r="AN260" s="79">
        <v>0</v>
      </c>
      <c r="AO260" s="79">
        <v>3200</v>
      </c>
      <c r="AP260" s="79">
        <v>6521</v>
      </c>
      <c r="AQ260" s="79">
        <v>5750</v>
      </c>
      <c r="AR260" s="80">
        <v>3.673599E-3</v>
      </c>
      <c r="AS260" s="80">
        <v>5.5830760000000002E-3</v>
      </c>
      <c r="AT260" s="79">
        <v>45215.586000000003</v>
      </c>
      <c r="AU260" s="79">
        <v>0</v>
      </c>
      <c r="AV260" s="79">
        <v>1257.3</v>
      </c>
      <c r="AW260" s="79">
        <v>19570.158993169702</v>
      </c>
      <c r="AX260" s="79">
        <v>3</v>
      </c>
      <c r="AY260" s="79">
        <v>3.21</v>
      </c>
      <c r="AZ260" s="79">
        <v>3311</v>
      </c>
      <c r="BA260" s="79">
        <v>1</v>
      </c>
      <c r="BB260" s="79">
        <v>0</v>
      </c>
      <c r="BC260" s="79">
        <v>0</v>
      </c>
      <c r="BD260" s="79">
        <v>0</v>
      </c>
      <c r="BE260" s="79">
        <v>0</v>
      </c>
      <c r="BF260" s="79">
        <v>0</v>
      </c>
      <c r="BG260" s="79">
        <v>0</v>
      </c>
      <c r="BH260" s="79">
        <v>0</v>
      </c>
      <c r="BI260" s="79">
        <v>0</v>
      </c>
      <c r="BJ260" s="79">
        <v>0</v>
      </c>
      <c r="BK260" s="79">
        <v>27</v>
      </c>
      <c r="BL260" s="79">
        <v>9940</v>
      </c>
      <c r="BM260" s="79">
        <v>193</v>
      </c>
      <c r="BN260" s="79">
        <v>105</v>
      </c>
      <c r="BO260">
        <v>8432</v>
      </c>
      <c r="BP260">
        <v>1608</v>
      </c>
      <c r="BQ260">
        <v>8301</v>
      </c>
      <c r="BR260">
        <v>1591</v>
      </c>
      <c r="BS260">
        <v>8173</v>
      </c>
      <c r="BT260">
        <v>1597</v>
      </c>
      <c r="BU260">
        <v>8190</v>
      </c>
      <c r="BV260">
        <v>1598</v>
      </c>
      <c r="BW260">
        <v>8115</v>
      </c>
      <c r="BX260">
        <v>1501</v>
      </c>
      <c r="BY260">
        <v>8084</v>
      </c>
      <c r="BZ260">
        <v>1422</v>
      </c>
      <c r="CB260">
        <v>1244.8109999999999</v>
      </c>
      <c r="CC260">
        <v>213</v>
      </c>
      <c r="CD260">
        <v>148</v>
      </c>
      <c r="CE260">
        <v>12764.58</v>
      </c>
      <c r="CF260">
        <v>2503.6</v>
      </c>
      <c r="CG260">
        <v>241.454856589147</v>
      </c>
      <c r="CH260">
        <v>652</v>
      </c>
      <c r="CI260">
        <v>487.33333333333297</v>
      </c>
      <c r="CJ260">
        <v>469.33333333333297</v>
      </c>
      <c r="CK260" s="81">
        <v>2315</v>
      </c>
      <c r="CL260">
        <v>503</v>
      </c>
      <c r="CM260">
        <v>6997.2640768486699</v>
      </c>
      <c r="CN260">
        <v>5.1890000000000001</v>
      </c>
      <c r="CO260">
        <v>34039</v>
      </c>
      <c r="CP260">
        <v>5860</v>
      </c>
      <c r="CQ260">
        <v>1295</v>
      </c>
      <c r="CR260">
        <v>1558</v>
      </c>
      <c r="CS260">
        <v>1255</v>
      </c>
      <c r="CT260">
        <v>717</v>
      </c>
      <c r="CU260">
        <v>879.15201649272001</v>
      </c>
      <c r="CV260">
        <v>533.90265429712701</v>
      </c>
      <c r="CW260">
        <v>223.47804406648601</v>
      </c>
      <c r="CX260">
        <v>2091.6444000000001</v>
      </c>
      <c r="CY260">
        <v>1270.2405000000001</v>
      </c>
      <c r="CZ260">
        <v>531.69029999999998</v>
      </c>
      <c r="DA260">
        <v>3544</v>
      </c>
      <c r="DE260">
        <v>840</v>
      </c>
      <c r="DF260" t="s">
        <v>264</v>
      </c>
      <c r="DG260">
        <v>4147</v>
      </c>
      <c r="DH260">
        <v>4007</v>
      </c>
      <c r="DI260">
        <v>3882</v>
      </c>
      <c r="DJ260">
        <v>3774</v>
      </c>
      <c r="DK260">
        <v>3701</v>
      </c>
      <c r="DO260">
        <v>627</v>
      </c>
      <c r="DP260" t="s">
        <v>328</v>
      </c>
      <c r="DQ260">
        <v>11786</v>
      </c>
      <c r="DR260">
        <v>1.4</v>
      </c>
      <c r="DS260">
        <v>1542</v>
      </c>
      <c r="DV260">
        <v>439</v>
      </c>
      <c r="DW260" t="s">
        <v>247</v>
      </c>
      <c r="DX260">
        <v>11050.044099918699</v>
      </c>
      <c r="DY260">
        <v>2065</v>
      </c>
      <c r="DZ260">
        <v>1854</v>
      </c>
      <c r="EA260">
        <v>1058</v>
      </c>
      <c r="EB260">
        <v>5510</v>
      </c>
      <c r="EC260">
        <v>3561</v>
      </c>
      <c r="ED260">
        <v>1396</v>
      </c>
      <c r="EE260" s="82">
        <v>0.207167512645764</v>
      </c>
      <c r="EF260" s="82">
        <v>0.473389425315906</v>
      </c>
    </row>
    <row r="261" spans="1:136" x14ac:dyDescent="0.35">
      <c r="A261" s="72">
        <v>1723</v>
      </c>
      <c r="B261" s="72">
        <v>10</v>
      </c>
      <c r="D261" s="72" t="s">
        <v>21</v>
      </c>
      <c r="E261" s="79">
        <v>1012400000</v>
      </c>
      <c r="F261" s="79">
        <v>171150000</v>
      </c>
      <c r="G261" s="79">
        <v>210000000</v>
      </c>
      <c r="H261" s="79">
        <v>10149</v>
      </c>
      <c r="I261" s="79">
        <v>2</v>
      </c>
      <c r="J261" s="79">
        <v>210</v>
      </c>
      <c r="K261" s="79">
        <v>1897</v>
      </c>
      <c r="L261" s="79">
        <v>2286</v>
      </c>
      <c r="M261" s="79">
        <v>736</v>
      </c>
      <c r="N261" s="79">
        <v>947</v>
      </c>
      <c r="O261" s="79">
        <v>490.9</v>
      </c>
      <c r="P261" s="79">
        <v>93</v>
      </c>
      <c r="Q261" s="79">
        <v>424</v>
      </c>
      <c r="R261" s="79">
        <v>125</v>
      </c>
      <c r="S261" s="79">
        <v>0</v>
      </c>
      <c r="T261" s="79">
        <v>234</v>
      </c>
      <c r="U261" s="79">
        <v>4301</v>
      </c>
      <c r="V261" s="79">
        <v>6140</v>
      </c>
      <c r="W261" s="79">
        <v>350</v>
      </c>
      <c r="X261" s="79">
        <v>0</v>
      </c>
      <c r="Y261" s="79">
        <v>0</v>
      </c>
      <c r="Z261" s="79">
        <v>0</v>
      </c>
      <c r="AA261" s="79">
        <v>0</v>
      </c>
      <c r="AB261" s="79">
        <v>0</v>
      </c>
      <c r="AC261" s="79">
        <v>9298</v>
      </c>
      <c r="AD261" s="79">
        <v>9298</v>
      </c>
      <c r="AE261" s="79">
        <v>54</v>
      </c>
      <c r="AF261" s="79">
        <v>0</v>
      </c>
      <c r="AG261" s="79">
        <v>155</v>
      </c>
      <c r="AH261" s="79">
        <v>57</v>
      </c>
      <c r="AI261" s="79">
        <v>99</v>
      </c>
      <c r="AJ261" s="79">
        <v>4561</v>
      </c>
      <c r="AK261" s="79">
        <v>4561</v>
      </c>
      <c r="AL261" s="79">
        <v>0</v>
      </c>
      <c r="AM261" s="79">
        <v>0</v>
      </c>
      <c r="AN261" s="79">
        <v>0</v>
      </c>
      <c r="AO261" s="79">
        <v>0</v>
      </c>
      <c r="AP261" s="79">
        <v>0</v>
      </c>
      <c r="AQ261" s="79">
        <v>0</v>
      </c>
      <c r="AR261" s="80">
        <v>7.2244999999999997E-5</v>
      </c>
      <c r="AS261" s="80">
        <v>2.7603999999999999E-5</v>
      </c>
      <c r="AT261" s="79">
        <v>1413.91</v>
      </c>
      <c r="AU261" s="79">
        <v>0</v>
      </c>
      <c r="AV261" s="79">
        <v>755</v>
      </c>
      <c r="AW261" s="79">
        <v>819.34292130025699</v>
      </c>
      <c r="AX261" s="79">
        <v>8</v>
      </c>
      <c r="AY261" s="79">
        <v>8</v>
      </c>
      <c r="AZ261" s="79">
        <v>1441</v>
      </c>
      <c r="BA261" s="79">
        <v>1</v>
      </c>
      <c r="BB261" s="79">
        <v>0</v>
      </c>
      <c r="BC261" s="79">
        <v>0</v>
      </c>
      <c r="BD261" s="79">
        <v>0</v>
      </c>
      <c r="BE261" s="79">
        <v>0</v>
      </c>
      <c r="BF261" s="79">
        <v>0</v>
      </c>
      <c r="BG261" s="79">
        <v>0</v>
      </c>
      <c r="BH261" s="79">
        <v>0</v>
      </c>
      <c r="BI261" s="79">
        <v>0</v>
      </c>
      <c r="BJ261" s="79">
        <v>0</v>
      </c>
      <c r="BK261" s="79">
        <v>3</v>
      </c>
      <c r="BL261" s="79">
        <v>1019</v>
      </c>
      <c r="BM261" s="79">
        <v>57</v>
      </c>
      <c r="BN261" s="79">
        <v>99</v>
      </c>
      <c r="BO261">
        <v>2050</v>
      </c>
      <c r="BP261">
        <v>0</v>
      </c>
      <c r="BQ261">
        <v>2027</v>
      </c>
      <c r="BR261">
        <v>0</v>
      </c>
      <c r="BS261">
        <v>2006</v>
      </c>
      <c r="BT261">
        <v>0</v>
      </c>
      <c r="BU261">
        <v>1973</v>
      </c>
      <c r="BV261">
        <v>0</v>
      </c>
      <c r="BW261">
        <v>1941</v>
      </c>
      <c r="BX261">
        <v>0</v>
      </c>
      <c r="BY261">
        <v>1941</v>
      </c>
      <c r="BZ261">
        <v>0</v>
      </c>
      <c r="CB261">
        <v>161.245</v>
      </c>
      <c r="CC261">
        <v>20</v>
      </c>
      <c r="CD261">
        <v>10</v>
      </c>
      <c r="CE261">
        <v>3254.16</v>
      </c>
      <c r="CF261">
        <v>743.76</v>
      </c>
      <c r="CG261">
        <v>33.171338678640097</v>
      </c>
      <c r="CH261">
        <v>90</v>
      </c>
      <c r="CI261">
        <v>30.3333333333333</v>
      </c>
      <c r="CJ261">
        <v>18</v>
      </c>
      <c r="CK261" s="81">
        <v>331</v>
      </c>
      <c r="CL261">
        <v>79</v>
      </c>
      <c r="CM261">
        <v>1474.816191052</v>
      </c>
      <c r="CN261">
        <v>0.05</v>
      </c>
      <c r="CO261">
        <v>7863</v>
      </c>
      <c r="CP261">
        <v>1326</v>
      </c>
      <c r="CQ261">
        <v>224</v>
      </c>
      <c r="CR261">
        <v>206</v>
      </c>
      <c r="CS261">
        <v>147</v>
      </c>
      <c r="CT261">
        <v>99</v>
      </c>
      <c r="CU261">
        <v>83.305547029160294</v>
      </c>
      <c r="CV261">
        <v>50.908945406709101</v>
      </c>
      <c r="CW261">
        <v>16.3597456698092</v>
      </c>
      <c r="CX261">
        <v>280.88459999999998</v>
      </c>
      <c r="CY261">
        <v>171.65170000000001</v>
      </c>
      <c r="CZ261">
        <v>55.160800000000002</v>
      </c>
      <c r="DA261">
        <v>0</v>
      </c>
      <c r="DE261">
        <v>845</v>
      </c>
      <c r="DF261" t="s">
        <v>274</v>
      </c>
      <c r="DG261">
        <v>6523</v>
      </c>
      <c r="DH261">
        <v>6420</v>
      </c>
      <c r="DI261">
        <v>6292</v>
      </c>
      <c r="DJ261">
        <v>6251</v>
      </c>
      <c r="DK261">
        <v>6125</v>
      </c>
      <c r="DO261">
        <v>629</v>
      </c>
      <c r="DP261" t="s">
        <v>330</v>
      </c>
      <c r="DQ261">
        <v>12260</v>
      </c>
      <c r="DR261">
        <v>1</v>
      </c>
      <c r="DS261">
        <v>1441</v>
      </c>
      <c r="DV261">
        <v>273</v>
      </c>
      <c r="DW261" t="s">
        <v>248</v>
      </c>
      <c r="DX261">
        <v>2577.7458654339998</v>
      </c>
      <c r="DY261">
        <v>450</v>
      </c>
      <c r="DZ261">
        <v>495</v>
      </c>
      <c r="EA261">
        <v>295</v>
      </c>
      <c r="EB261">
        <v>1588</v>
      </c>
      <c r="EC261">
        <v>1106</v>
      </c>
      <c r="ED261">
        <v>425</v>
      </c>
      <c r="EE261" s="82">
        <v>0.12797787790165399</v>
      </c>
      <c r="EF261" s="82">
        <v>0.42992500956889801</v>
      </c>
    </row>
    <row r="262" spans="1:136" x14ac:dyDescent="0.35">
      <c r="A262" s="72">
        <v>1959</v>
      </c>
      <c r="B262" s="72">
        <v>10</v>
      </c>
      <c r="D262" s="72" t="s">
        <v>22</v>
      </c>
      <c r="E262" s="79">
        <v>4409200000</v>
      </c>
      <c r="F262" s="79">
        <v>682150000</v>
      </c>
      <c r="G262" s="79">
        <v>729400000</v>
      </c>
      <c r="H262" s="79">
        <v>55386</v>
      </c>
      <c r="I262" s="79">
        <v>11</v>
      </c>
      <c r="J262" s="79">
        <v>729.4</v>
      </c>
      <c r="K262" s="79">
        <v>12090</v>
      </c>
      <c r="L262" s="79">
        <v>10749</v>
      </c>
      <c r="M262" s="79">
        <v>3281</v>
      </c>
      <c r="N262" s="79">
        <v>5706</v>
      </c>
      <c r="O262" s="79">
        <v>3460.8</v>
      </c>
      <c r="P262" s="79">
        <v>551</v>
      </c>
      <c r="Q262" s="79">
        <v>2513</v>
      </c>
      <c r="R262" s="79">
        <v>710</v>
      </c>
      <c r="S262" s="79">
        <v>0</v>
      </c>
      <c r="T262" s="79">
        <v>1227</v>
      </c>
      <c r="U262" s="79">
        <v>22740</v>
      </c>
      <c r="V262" s="79">
        <v>44610</v>
      </c>
      <c r="W262" s="79">
        <v>4900</v>
      </c>
      <c r="X262" s="79">
        <v>97.02</v>
      </c>
      <c r="Y262" s="79">
        <v>1656</v>
      </c>
      <c r="Z262" s="79">
        <v>0</v>
      </c>
      <c r="AA262" s="79">
        <v>0</v>
      </c>
      <c r="AB262" s="79">
        <v>0</v>
      </c>
      <c r="AC262" s="79">
        <v>19961</v>
      </c>
      <c r="AD262" s="79">
        <v>22156.71</v>
      </c>
      <c r="AE262" s="79">
        <v>2703</v>
      </c>
      <c r="AF262" s="79">
        <v>0</v>
      </c>
      <c r="AG262" s="79">
        <v>434</v>
      </c>
      <c r="AH262" s="79">
        <v>376.05</v>
      </c>
      <c r="AI262" s="79">
        <v>117.66</v>
      </c>
      <c r="AJ262" s="79">
        <v>22452</v>
      </c>
      <c r="AK262" s="79">
        <v>25819.8</v>
      </c>
      <c r="AL262" s="79">
        <v>6</v>
      </c>
      <c r="AM262" s="79">
        <v>0</v>
      </c>
      <c r="AN262" s="79">
        <v>0</v>
      </c>
      <c r="AO262" s="79">
        <v>1700</v>
      </c>
      <c r="AP262" s="79">
        <v>669</v>
      </c>
      <c r="AQ262" s="79">
        <v>0</v>
      </c>
      <c r="AR262" s="80">
        <v>5.2329999999999998E-4</v>
      </c>
      <c r="AS262" s="80">
        <v>1.9591199999999999E-4</v>
      </c>
      <c r="AT262" s="79">
        <v>11226</v>
      </c>
      <c r="AU262" s="79">
        <v>0</v>
      </c>
      <c r="AV262" s="79">
        <v>9386.16</v>
      </c>
      <c r="AW262" s="79">
        <v>29551.109391104801</v>
      </c>
      <c r="AX262" s="79">
        <v>24</v>
      </c>
      <c r="AY262" s="79">
        <v>26.64</v>
      </c>
      <c r="AZ262" s="79">
        <v>6750</v>
      </c>
      <c r="BA262" s="79">
        <v>1</v>
      </c>
      <c r="BB262" s="79">
        <v>0</v>
      </c>
      <c r="BC262" s="79">
        <v>0</v>
      </c>
      <c r="BD262" s="79">
        <v>0</v>
      </c>
      <c r="BE262" s="79">
        <v>0</v>
      </c>
      <c r="BF262" s="79">
        <v>0</v>
      </c>
      <c r="BG262" s="79">
        <v>0</v>
      </c>
      <c r="BH262" s="79">
        <v>0</v>
      </c>
      <c r="BI262" s="79">
        <v>0</v>
      </c>
      <c r="BJ262" s="79">
        <v>0</v>
      </c>
      <c r="BK262" s="79">
        <v>33</v>
      </c>
      <c r="BL262" s="79">
        <v>5909</v>
      </c>
      <c r="BM262" s="79">
        <v>327</v>
      </c>
      <c r="BN262" s="79">
        <v>106</v>
      </c>
      <c r="BO262">
        <v>12894</v>
      </c>
      <c r="BP262">
        <v>2116</v>
      </c>
      <c r="BQ262">
        <v>12741</v>
      </c>
      <c r="BR262">
        <v>2151</v>
      </c>
      <c r="BS262">
        <v>12579</v>
      </c>
      <c r="BT262">
        <v>2182</v>
      </c>
      <c r="BU262">
        <v>12539</v>
      </c>
      <c r="BV262">
        <v>2238</v>
      </c>
      <c r="BW262">
        <v>12330</v>
      </c>
      <c r="BX262">
        <v>2307</v>
      </c>
      <c r="BY262">
        <v>12233</v>
      </c>
      <c r="BZ262">
        <v>2297</v>
      </c>
      <c r="CB262">
        <v>737.49</v>
      </c>
      <c r="CC262">
        <v>324</v>
      </c>
      <c r="CD262">
        <v>117</v>
      </c>
      <c r="CE262">
        <v>15850.08</v>
      </c>
      <c r="CF262">
        <v>4261.4399999999996</v>
      </c>
      <c r="CG262">
        <v>595.66273016233401</v>
      </c>
      <c r="CH262">
        <v>449</v>
      </c>
      <c r="CI262">
        <v>174</v>
      </c>
      <c r="CJ262">
        <v>135.333333333333</v>
      </c>
      <c r="CK262" s="81">
        <v>1962</v>
      </c>
      <c r="CL262">
        <v>490</v>
      </c>
      <c r="CM262">
        <v>8143.6253062884798</v>
      </c>
      <c r="CN262">
        <v>0.27500000000000002</v>
      </c>
      <c r="CO262">
        <v>44637</v>
      </c>
      <c r="CP262">
        <v>6378</v>
      </c>
      <c r="CQ262">
        <v>1090</v>
      </c>
      <c r="CR262">
        <v>1070</v>
      </c>
      <c r="CS262">
        <v>1026</v>
      </c>
      <c r="CT262">
        <v>509</v>
      </c>
      <c r="CU262">
        <v>594.83463388562302</v>
      </c>
      <c r="CV262">
        <v>348.20716194548402</v>
      </c>
      <c r="CW262">
        <v>112.523784072688</v>
      </c>
      <c r="CX262">
        <v>1587.2067</v>
      </c>
      <c r="CY262">
        <v>929.12670000000003</v>
      </c>
      <c r="CZ262">
        <v>300.24900000000002</v>
      </c>
      <c r="DA262">
        <v>39268</v>
      </c>
      <c r="DE262">
        <v>847</v>
      </c>
      <c r="DF262" t="s">
        <v>280</v>
      </c>
      <c r="DG262">
        <v>4173</v>
      </c>
      <c r="DH262">
        <v>4048</v>
      </c>
      <c r="DI262">
        <v>3925</v>
      </c>
      <c r="DJ262">
        <v>3821</v>
      </c>
      <c r="DK262">
        <v>3720</v>
      </c>
      <c r="DO262">
        <v>1783</v>
      </c>
      <c r="DP262" t="s">
        <v>340</v>
      </c>
      <c r="DQ262">
        <v>44152</v>
      </c>
      <c r="DR262">
        <v>1.0900000000000001</v>
      </c>
      <c r="DS262">
        <v>1404</v>
      </c>
      <c r="DV262">
        <v>177</v>
      </c>
      <c r="DW262" t="s">
        <v>249</v>
      </c>
      <c r="DX262">
        <v>4402.1307849739196</v>
      </c>
      <c r="DY262">
        <v>745</v>
      </c>
      <c r="DZ262">
        <v>794</v>
      </c>
      <c r="EA262">
        <v>418</v>
      </c>
      <c r="EB262">
        <v>2686</v>
      </c>
      <c r="EC262">
        <v>1674</v>
      </c>
      <c r="ED262">
        <v>626</v>
      </c>
      <c r="EE262" s="82">
        <v>0.171468351318076</v>
      </c>
      <c r="EF262" s="82">
        <v>0.46115767919659201</v>
      </c>
    </row>
    <row r="263" spans="1:136" x14ac:dyDescent="0.35">
      <c r="A263" s="72">
        <v>743</v>
      </c>
      <c r="B263" s="72">
        <v>10</v>
      </c>
      <c r="D263" s="72" t="s">
        <v>31</v>
      </c>
      <c r="E263" s="79">
        <v>1548400000</v>
      </c>
      <c r="F263" s="79">
        <v>279300000</v>
      </c>
      <c r="G263" s="79">
        <v>307650000</v>
      </c>
      <c r="H263" s="79">
        <v>16710</v>
      </c>
      <c r="I263" s="79">
        <v>2</v>
      </c>
      <c r="J263" s="79">
        <v>307.64999999999998</v>
      </c>
      <c r="K263" s="79">
        <v>3198</v>
      </c>
      <c r="L263" s="79">
        <v>3686</v>
      </c>
      <c r="M263" s="79">
        <v>1181</v>
      </c>
      <c r="N263" s="79">
        <v>2160</v>
      </c>
      <c r="O263" s="79">
        <v>1472</v>
      </c>
      <c r="P263" s="79">
        <v>202</v>
      </c>
      <c r="Q263" s="79">
        <v>946</v>
      </c>
      <c r="R263" s="79">
        <v>285</v>
      </c>
      <c r="S263" s="79">
        <v>0</v>
      </c>
      <c r="T263" s="79">
        <v>380</v>
      </c>
      <c r="U263" s="79">
        <v>7384</v>
      </c>
      <c r="V263" s="79">
        <v>16190</v>
      </c>
      <c r="W263" s="79">
        <v>8070</v>
      </c>
      <c r="X263" s="79">
        <v>0</v>
      </c>
      <c r="Y263" s="79">
        <v>833.6</v>
      </c>
      <c r="Z263" s="79">
        <v>0</v>
      </c>
      <c r="AA263" s="79">
        <v>0</v>
      </c>
      <c r="AB263" s="79">
        <v>0</v>
      </c>
      <c r="AC263" s="79">
        <v>7024</v>
      </c>
      <c r="AD263" s="79">
        <v>7024</v>
      </c>
      <c r="AE263" s="79">
        <v>110</v>
      </c>
      <c r="AF263" s="79">
        <v>0</v>
      </c>
      <c r="AG263" s="79">
        <v>207</v>
      </c>
      <c r="AH263" s="79">
        <v>106</v>
      </c>
      <c r="AI263" s="79">
        <v>101</v>
      </c>
      <c r="AJ263" s="79">
        <v>6880</v>
      </c>
      <c r="AK263" s="79">
        <v>6880</v>
      </c>
      <c r="AL263" s="79">
        <v>0</v>
      </c>
      <c r="AM263" s="79">
        <v>0</v>
      </c>
      <c r="AN263" s="79">
        <v>0</v>
      </c>
      <c r="AO263" s="79">
        <v>0</v>
      </c>
      <c r="AP263" s="79">
        <v>538</v>
      </c>
      <c r="AQ263" s="79">
        <v>0</v>
      </c>
      <c r="AR263" s="80">
        <v>1.2217599999999999E-4</v>
      </c>
      <c r="AS263" s="80">
        <v>7.5828000000000007E-5</v>
      </c>
      <c r="AT263" s="79">
        <v>6556.64</v>
      </c>
      <c r="AU263" s="79">
        <v>0</v>
      </c>
      <c r="AV263" s="79">
        <v>1003</v>
      </c>
      <c r="AW263" s="79">
        <v>2349.3313708999199</v>
      </c>
      <c r="AX263" s="79">
        <v>2</v>
      </c>
      <c r="AY263" s="79">
        <v>2</v>
      </c>
      <c r="AZ263" s="79">
        <v>2123</v>
      </c>
      <c r="BA263" s="79">
        <v>1</v>
      </c>
      <c r="BB263" s="79">
        <v>0</v>
      </c>
      <c r="BC263" s="79">
        <v>0</v>
      </c>
      <c r="BD263" s="79">
        <v>0</v>
      </c>
      <c r="BE263" s="79">
        <v>0</v>
      </c>
      <c r="BF263" s="79">
        <v>0</v>
      </c>
      <c r="BG263" s="79">
        <v>0</v>
      </c>
      <c r="BH263" s="79">
        <v>0</v>
      </c>
      <c r="BI263" s="79">
        <v>0</v>
      </c>
      <c r="BJ263" s="79">
        <v>0</v>
      </c>
      <c r="BK263" s="79">
        <v>10</v>
      </c>
      <c r="BL263" s="79">
        <v>2279</v>
      </c>
      <c r="BM263" s="79">
        <v>106</v>
      </c>
      <c r="BN263" s="79">
        <v>101</v>
      </c>
      <c r="BO263">
        <v>3816</v>
      </c>
      <c r="BP263">
        <v>1173</v>
      </c>
      <c r="BQ263">
        <v>3739</v>
      </c>
      <c r="BR263">
        <v>1180</v>
      </c>
      <c r="BS263">
        <v>3643</v>
      </c>
      <c r="BT263">
        <v>1167</v>
      </c>
      <c r="BU263">
        <v>3572</v>
      </c>
      <c r="BV263">
        <v>1157</v>
      </c>
      <c r="BW263">
        <v>3452</v>
      </c>
      <c r="BX263">
        <v>1139</v>
      </c>
      <c r="BY263">
        <v>3358</v>
      </c>
      <c r="BZ263">
        <v>1078</v>
      </c>
      <c r="CB263">
        <v>275.02800000000002</v>
      </c>
      <c r="CC263">
        <v>30</v>
      </c>
      <c r="CD263">
        <v>39</v>
      </c>
      <c r="CE263">
        <v>4849.08</v>
      </c>
      <c r="CF263">
        <v>1200.6099999999999</v>
      </c>
      <c r="CG263">
        <v>31.684723004694799</v>
      </c>
      <c r="CH263">
        <v>148</v>
      </c>
      <c r="CI263">
        <v>57.3333333333333</v>
      </c>
      <c r="CJ263">
        <v>36.3333333333333</v>
      </c>
      <c r="CK263" s="81">
        <v>744</v>
      </c>
      <c r="CL263">
        <v>170</v>
      </c>
      <c r="CM263">
        <v>1939.4887816646601</v>
      </c>
      <c r="CN263">
        <v>0.27600000000000002</v>
      </c>
      <c r="CO263">
        <v>13024</v>
      </c>
      <c r="CP263">
        <v>2161</v>
      </c>
      <c r="CQ263">
        <v>344</v>
      </c>
      <c r="CR263">
        <v>384</v>
      </c>
      <c r="CS263">
        <v>382</v>
      </c>
      <c r="CT263">
        <v>143</v>
      </c>
      <c r="CU263">
        <v>284.34418604651199</v>
      </c>
      <c r="CV263">
        <v>172.874418604651</v>
      </c>
      <c r="CW263">
        <v>45.358139534883698</v>
      </c>
      <c r="CX263">
        <v>586.62059999999997</v>
      </c>
      <c r="CY263">
        <v>356.65120000000002</v>
      </c>
      <c r="CZ263">
        <v>93.576800000000006</v>
      </c>
      <c r="DA263">
        <v>3650</v>
      </c>
      <c r="DE263">
        <v>848</v>
      </c>
      <c r="DF263" t="s">
        <v>281</v>
      </c>
      <c r="DG263">
        <v>3681</v>
      </c>
      <c r="DH263">
        <v>3670</v>
      </c>
      <c r="DI263">
        <v>3664</v>
      </c>
      <c r="DJ263">
        <v>3619</v>
      </c>
      <c r="DK263">
        <v>3613</v>
      </c>
      <c r="DO263">
        <v>614</v>
      </c>
      <c r="DP263" t="s">
        <v>342</v>
      </c>
      <c r="DQ263">
        <v>7058</v>
      </c>
      <c r="DR263">
        <v>1.06</v>
      </c>
      <c r="DS263">
        <v>607</v>
      </c>
      <c r="DV263">
        <v>703</v>
      </c>
      <c r="DW263" t="s">
        <v>250</v>
      </c>
      <c r="DX263">
        <v>2591.1397360036399</v>
      </c>
      <c r="DY263">
        <v>431</v>
      </c>
      <c r="DZ263">
        <v>386</v>
      </c>
      <c r="EA263">
        <v>234</v>
      </c>
      <c r="EB263">
        <v>1321</v>
      </c>
      <c r="EC263">
        <v>799</v>
      </c>
      <c r="ED263">
        <v>352</v>
      </c>
      <c r="EE263" s="82">
        <v>0.184147355631499</v>
      </c>
      <c r="EF263" s="82">
        <v>0.48592072440140599</v>
      </c>
    </row>
    <row r="264" spans="1:136" x14ac:dyDescent="0.35">
      <c r="A264" s="72">
        <v>744</v>
      </c>
      <c r="B264" s="72">
        <v>10</v>
      </c>
      <c r="D264" s="72" t="s">
        <v>32</v>
      </c>
      <c r="E264" s="79">
        <v>645600000</v>
      </c>
      <c r="F264" s="79">
        <v>166950000</v>
      </c>
      <c r="G264" s="79">
        <v>186200000</v>
      </c>
      <c r="H264" s="79">
        <v>6847</v>
      </c>
      <c r="I264" s="79">
        <v>1</v>
      </c>
      <c r="J264" s="79">
        <v>186.2</v>
      </c>
      <c r="K264" s="79">
        <v>1141</v>
      </c>
      <c r="L264" s="79">
        <v>1827</v>
      </c>
      <c r="M264" s="79">
        <v>600</v>
      </c>
      <c r="N264" s="79">
        <v>954</v>
      </c>
      <c r="O264" s="79">
        <v>569.1</v>
      </c>
      <c r="P264" s="79">
        <v>71.6666666666667</v>
      </c>
      <c r="Q264" s="79">
        <v>352.66666666666703</v>
      </c>
      <c r="R264" s="79">
        <v>110</v>
      </c>
      <c r="S264" s="79">
        <v>0</v>
      </c>
      <c r="T264" s="79">
        <v>189</v>
      </c>
      <c r="U264" s="79">
        <v>3134</v>
      </c>
      <c r="V264" s="79">
        <v>4920</v>
      </c>
      <c r="W264" s="79">
        <v>450</v>
      </c>
      <c r="X264" s="79">
        <v>0</v>
      </c>
      <c r="Y264" s="79">
        <v>178.4</v>
      </c>
      <c r="Z264" s="79">
        <v>0</v>
      </c>
      <c r="AA264" s="79">
        <v>0</v>
      </c>
      <c r="AB264" s="79">
        <v>0</v>
      </c>
      <c r="AC264" s="79">
        <v>7610</v>
      </c>
      <c r="AD264" s="79">
        <v>7610</v>
      </c>
      <c r="AE264" s="79">
        <v>18</v>
      </c>
      <c r="AF264" s="79">
        <v>0</v>
      </c>
      <c r="AG264" s="79">
        <v>135</v>
      </c>
      <c r="AH264" s="79">
        <v>51</v>
      </c>
      <c r="AI264" s="79">
        <v>85</v>
      </c>
      <c r="AJ264" s="79">
        <v>3849</v>
      </c>
      <c r="AK264" s="79">
        <v>3849</v>
      </c>
      <c r="AL264" s="79">
        <v>0</v>
      </c>
      <c r="AM264" s="79">
        <v>0</v>
      </c>
      <c r="AN264" s="79">
        <v>0</v>
      </c>
      <c r="AO264" s="79">
        <v>0</v>
      </c>
      <c r="AP264" s="79">
        <v>0</v>
      </c>
      <c r="AQ264" s="79">
        <v>0</v>
      </c>
      <c r="AR264" s="80">
        <v>9.7893000000000006E-5</v>
      </c>
      <c r="AS264" s="80">
        <v>3.1458000000000003E-5</v>
      </c>
      <c r="AT264" s="79">
        <v>1293.2639999999999</v>
      </c>
      <c r="AU264" s="79">
        <v>0</v>
      </c>
      <c r="AV264" s="79">
        <v>397</v>
      </c>
      <c r="AW264" s="79">
        <v>356.35277923439997</v>
      </c>
      <c r="AX264" s="79">
        <v>6</v>
      </c>
      <c r="AY264" s="79">
        <v>6</v>
      </c>
      <c r="AZ264" s="79">
        <v>1030</v>
      </c>
      <c r="BA264" s="79">
        <v>1</v>
      </c>
      <c r="BB264" s="79">
        <v>0</v>
      </c>
      <c r="BC264" s="79">
        <v>0</v>
      </c>
      <c r="BD264" s="79">
        <v>0</v>
      </c>
      <c r="BE264" s="79">
        <v>0</v>
      </c>
      <c r="BF264" s="79">
        <v>1</v>
      </c>
      <c r="BG264" s="79">
        <v>0</v>
      </c>
      <c r="BH264" s="79">
        <v>0</v>
      </c>
      <c r="BI264" s="79">
        <v>0</v>
      </c>
      <c r="BJ264" s="79">
        <v>0</v>
      </c>
      <c r="BK264" s="79">
        <v>4</v>
      </c>
      <c r="BL264" s="79">
        <v>999</v>
      </c>
      <c r="BM264" s="79">
        <v>51</v>
      </c>
      <c r="BN264" s="79">
        <v>85</v>
      </c>
      <c r="BO264">
        <v>1168</v>
      </c>
      <c r="BP264">
        <v>264</v>
      </c>
      <c r="BQ264">
        <v>1148</v>
      </c>
      <c r="BR264">
        <v>251</v>
      </c>
      <c r="BS264">
        <v>1136</v>
      </c>
      <c r="BT264">
        <v>260</v>
      </c>
      <c r="BU264">
        <v>1118</v>
      </c>
      <c r="BV264">
        <v>244</v>
      </c>
      <c r="BW264">
        <v>1111</v>
      </c>
      <c r="BX264">
        <v>254</v>
      </c>
      <c r="BY264">
        <v>1084</v>
      </c>
      <c r="BZ264">
        <v>251</v>
      </c>
      <c r="CB264">
        <v>128.93299999999999</v>
      </c>
      <c r="CC264">
        <v>3</v>
      </c>
      <c r="CD264">
        <v>13</v>
      </c>
      <c r="CE264">
        <v>1992.25</v>
      </c>
      <c r="CF264">
        <v>321.3</v>
      </c>
      <c r="CG264">
        <v>33.208102296450903</v>
      </c>
      <c r="CH264">
        <v>69</v>
      </c>
      <c r="CI264">
        <v>24.3333333333333</v>
      </c>
      <c r="CJ264">
        <v>14.6666666666667</v>
      </c>
      <c r="CK264" s="81">
        <v>281</v>
      </c>
      <c r="CL264">
        <v>60</v>
      </c>
      <c r="CM264">
        <v>1489.0024141582201</v>
      </c>
      <c r="CN264">
        <v>0.14499999999999999</v>
      </c>
      <c r="CO264">
        <v>5020</v>
      </c>
      <c r="CP264">
        <v>1033</v>
      </c>
      <c r="CQ264">
        <v>194</v>
      </c>
      <c r="CR264">
        <v>217</v>
      </c>
      <c r="CS264">
        <v>179</v>
      </c>
      <c r="CT264">
        <v>86</v>
      </c>
      <c r="CU264">
        <v>93.888932190179304</v>
      </c>
      <c r="CV264">
        <v>59.7340607950117</v>
      </c>
      <c r="CW264">
        <v>19.517069368667201</v>
      </c>
      <c r="CX264">
        <v>292.79849999999999</v>
      </c>
      <c r="CY264">
        <v>186.28440000000001</v>
      </c>
      <c r="CZ264">
        <v>60.865200000000002</v>
      </c>
      <c r="DA264">
        <v>0</v>
      </c>
      <c r="DE264">
        <v>851</v>
      </c>
      <c r="DF264" t="s">
        <v>285</v>
      </c>
      <c r="DG264">
        <v>4796</v>
      </c>
      <c r="DH264">
        <v>4707</v>
      </c>
      <c r="DI264">
        <v>4630</v>
      </c>
      <c r="DJ264">
        <v>4565</v>
      </c>
      <c r="DK264">
        <v>4498</v>
      </c>
      <c r="DO264">
        <v>707</v>
      </c>
      <c r="DP264" t="s">
        <v>821</v>
      </c>
      <c r="DQ264">
        <v>5671</v>
      </c>
      <c r="DR264">
        <v>1.26</v>
      </c>
      <c r="DS264">
        <v>299</v>
      </c>
      <c r="DV264">
        <v>274</v>
      </c>
      <c r="DW264" t="s">
        <v>251</v>
      </c>
      <c r="DX264">
        <v>4214.2396837506103</v>
      </c>
      <c r="DY264">
        <v>1036</v>
      </c>
      <c r="DZ264">
        <v>1013</v>
      </c>
      <c r="EA264">
        <v>587</v>
      </c>
      <c r="EB264">
        <v>2849</v>
      </c>
      <c r="EC264">
        <v>1954</v>
      </c>
      <c r="ED264">
        <v>806</v>
      </c>
      <c r="EE264" s="82">
        <v>0.17517072698338901</v>
      </c>
      <c r="EF264" s="82">
        <v>0.34366400520543899</v>
      </c>
    </row>
    <row r="265" spans="1:136" x14ac:dyDescent="0.35">
      <c r="A265" s="72">
        <v>1724</v>
      </c>
      <c r="B265" s="72">
        <v>10</v>
      </c>
      <c r="D265" s="72" t="s">
        <v>41</v>
      </c>
      <c r="E265" s="79">
        <v>1876800000</v>
      </c>
      <c r="F265" s="79">
        <v>302050000</v>
      </c>
      <c r="G265" s="79">
        <v>346500000</v>
      </c>
      <c r="H265" s="79">
        <v>18491</v>
      </c>
      <c r="I265" s="79">
        <v>5</v>
      </c>
      <c r="J265" s="79">
        <v>346.5</v>
      </c>
      <c r="K265" s="79">
        <v>3424</v>
      </c>
      <c r="L265" s="79">
        <v>4063</v>
      </c>
      <c r="M265" s="79">
        <v>1329</v>
      </c>
      <c r="N265" s="79">
        <v>1871</v>
      </c>
      <c r="O265" s="79">
        <v>1000.3</v>
      </c>
      <c r="P265" s="79">
        <v>140</v>
      </c>
      <c r="Q265" s="79">
        <v>892</v>
      </c>
      <c r="R265" s="79">
        <v>185</v>
      </c>
      <c r="S265" s="79">
        <v>0</v>
      </c>
      <c r="T265" s="79">
        <v>438</v>
      </c>
      <c r="U265" s="79">
        <v>7916</v>
      </c>
      <c r="V265" s="79">
        <v>14560</v>
      </c>
      <c r="W265" s="79">
        <v>3400</v>
      </c>
      <c r="X265" s="79">
        <v>0</v>
      </c>
      <c r="Y265" s="79">
        <v>0</v>
      </c>
      <c r="Z265" s="79">
        <v>0</v>
      </c>
      <c r="AA265" s="79">
        <v>0</v>
      </c>
      <c r="AB265" s="79">
        <v>0</v>
      </c>
      <c r="AC265" s="79">
        <v>10105</v>
      </c>
      <c r="AD265" s="79">
        <v>10105</v>
      </c>
      <c r="AE265" s="79">
        <v>71</v>
      </c>
      <c r="AF265" s="79">
        <v>0</v>
      </c>
      <c r="AG265" s="79">
        <v>234</v>
      </c>
      <c r="AH265" s="79">
        <v>156</v>
      </c>
      <c r="AI265" s="79">
        <v>77</v>
      </c>
      <c r="AJ265" s="79">
        <v>8707</v>
      </c>
      <c r="AK265" s="79">
        <v>8707</v>
      </c>
      <c r="AL265" s="79">
        <v>0</v>
      </c>
      <c r="AM265" s="79">
        <v>0</v>
      </c>
      <c r="AN265" s="79">
        <v>0</v>
      </c>
      <c r="AO265" s="79">
        <v>0</v>
      </c>
      <c r="AP265" s="79">
        <v>0</v>
      </c>
      <c r="AQ265" s="79">
        <v>0</v>
      </c>
      <c r="AR265" s="80">
        <v>1.2627999999999999E-4</v>
      </c>
      <c r="AS265" s="80">
        <v>6.2057999999999994E-5</v>
      </c>
      <c r="AT265" s="79">
        <v>4362.2070000000003</v>
      </c>
      <c r="AU265" s="79">
        <v>0</v>
      </c>
      <c r="AV265" s="79">
        <v>690</v>
      </c>
      <c r="AW265" s="79">
        <v>1253.8119103773599</v>
      </c>
      <c r="AX265" s="79">
        <v>9</v>
      </c>
      <c r="AY265" s="79">
        <v>9</v>
      </c>
      <c r="AZ265" s="79">
        <v>2457</v>
      </c>
      <c r="BA265" s="79">
        <v>1</v>
      </c>
      <c r="BB265" s="79">
        <v>0</v>
      </c>
      <c r="BC265" s="79">
        <v>0</v>
      </c>
      <c r="BD265" s="79">
        <v>0</v>
      </c>
      <c r="BE265" s="79">
        <v>0</v>
      </c>
      <c r="BF265" s="79">
        <v>0</v>
      </c>
      <c r="BG265" s="79">
        <v>0</v>
      </c>
      <c r="BH265" s="79">
        <v>0</v>
      </c>
      <c r="BI265" s="79">
        <v>0</v>
      </c>
      <c r="BJ265" s="79">
        <v>0</v>
      </c>
      <c r="BK265" s="79">
        <v>25</v>
      </c>
      <c r="BL265" s="79">
        <v>2164</v>
      </c>
      <c r="BM265" s="79">
        <v>156</v>
      </c>
      <c r="BN265" s="79">
        <v>77</v>
      </c>
      <c r="BO265">
        <v>4105</v>
      </c>
      <c r="BP265">
        <v>0</v>
      </c>
      <c r="BQ265">
        <v>4016</v>
      </c>
      <c r="BR265">
        <v>0</v>
      </c>
      <c r="BS265">
        <v>3959</v>
      </c>
      <c r="BT265">
        <v>0</v>
      </c>
      <c r="BU265">
        <v>3896</v>
      </c>
      <c r="BV265">
        <v>0</v>
      </c>
      <c r="BW265">
        <v>3829</v>
      </c>
      <c r="BX265">
        <v>0</v>
      </c>
      <c r="BY265">
        <v>3765</v>
      </c>
      <c r="BZ265">
        <v>0</v>
      </c>
      <c r="CB265">
        <v>249.952</v>
      </c>
      <c r="CC265">
        <v>42</v>
      </c>
      <c r="CD265">
        <v>27</v>
      </c>
      <c r="CE265">
        <v>5677.94</v>
      </c>
      <c r="CF265">
        <v>1338.35</v>
      </c>
      <c r="CG265">
        <v>86.985125044279101</v>
      </c>
      <c r="CH265">
        <v>170</v>
      </c>
      <c r="CI265">
        <v>37.3333333333333</v>
      </c>
      <c r="CJ265">
        <v>27.6666666666667</v>
      </c>
      <c r="CK265" s="81">
        <v>752</v>
      </c>
      <c r="CL265">
        <v>172</v>
      </c>
      <c r="CM265">
        <v>2537.2978819919999</v>
      </c>
      <c r="CN265">
        <v>9.2999999999999999E-2</v>
      </c>
      <c r="CO265">
        <v>14428</v>
      </c>
      <c r="CP265">
        <v>2336</v>
      </c>
      <c r="CQ265">
        <v>398</v>
      </c>
      <c r="CR265">
        <v>359</v>
      </c>
      <c r="CS265">
        <v>421</v>
      </c>
      <c r="CT265">
        <v>213</v>
      </c>
      <c r="CU265">
        <v>158.770483519008</v>
      </c>
      <c r="CV265">
        <v>106.38311703227301</v>
      </c>
      <c r="CW265">
        <v>35.3844492936718</v>
      </c>
      <c r="CX265">
        <v>558.46619999999996</v>
      </c>
      <c r="CY265">
        <v>374.19659999999999</v>
      </c>
      <c r="CZ265">
        <v>124.4628</v>
      </c>
      <c r="DA265">
        <v>0</v>
      </c>
      <c r="DE265">
        <v>852</v>
      </c>
      <c r="DF265" t="s">
        <v>331</v>
      </c>
      <c r="DG265">
        <v>3594</v>
      </c>
      <c r="DH265">
        <v>3562</v>
      </c>
      <c r="DI265">
        <v>3502</v>
      </c>
      <c r="DJ265">
        <v>3412</v>
      </c>
      <c r="DK265">
        <v>3388</v>
      </c>
      <c r="DO265">
        <v>637</v>
      </c>
      <c r="DP265" t="s">
        <v>358</v>
      </c>
      <c r="DQ265">
        <v>56235</v>
      </c>
      <c r="DR265">
        <v>1.19</v>
      </c>
      <c r="DS265">
        <v>2507</v>
      </c>
      <c r="DV265">
        <v>339</v>
      </c>
      <c r="DW265" t="s">
        <v>252</v>
      </c>
      <c r="DX265">
        <v>427.53478491768499</v>
      </c>
      <c r="DY265">
        <v>94</v>
      </c>
      <c r="DZ265">
        <v>69</v>
      </c>
      <c r="EA265">
        <v>31</v>
      </c>
      <c r="EB265">
        <v>309</v>
      </c>
      <c r="EC265">
        <v>149</v>
      </c>
      <c r="ED265">
        <v>43</v>
      </c>
      <c r="EE265" s="82">
        <v>0.113234306692112</v>
      </c>
      <c r="EF265" s="82">
        <v>0.39000213880868401</v>
      </c>
    </row>
    <row r="266" spans="1:136" x14ac:dyDescent="0.35">
      <c r="A266" s="72">
        <v>748</v>
      </c>
      <c r="B266" s="72">
        <v>10</v>
      </c>
      <c r="D266" s="72" t="s">
        <v>44</v>
      </c>
      <c r="E266" s="79">
        <v>5303200000</v>
      </c>
      <c r="F266" s="79">
        <v>1112300000</v>
      </c>
      <c r="G266" s="79">
        <v>1192450000</v>
      </c>
      <c r="H266" s="79">
        <v>66811</v>
      </c>
      <c r="I266" s="79">
        <v>2</v>
      </c>
      <c r="J266" s="79">
        <v>1192.45</v>
      </c>
      <c r="K266" s="79">
        <v>12307</v>
      </c>
      <c r="L266" s="79">
        <v>14242</v>
      </c>
      <c r="M266" s="79">
        <v>4412</v>
      </c>
      <c r="N266" s="79">
        <v>9626</v>
      </c>
      <c r="O266" s="79">
        <v>6522.5</v>
      </c>
      <c r="P266" s="79">
        <v>1771.3333333333301</v>
      </c>
      <c r="Q266" s="79">
        <v>5685.3333333333303</v>
      </c>
      <c r="R266" s="79">
        <v>7985</v>
      </c>
      <c r="S266" s="79">
        <v>0</v>
      </c>
      <c r="T266" s="79">
        <v>2263</v>
      </c>
      <c r="U266" s="79">
        <v>31369</v>
      </c>
      <c r="V266" s="79">
        <v>73320</v>
      </c>
      <c r="W266" s="79">
        <v>83640</v>
      </c>
      <c r="X266" s="79">
        <v>2481.3000000000002</v>
      </c>
      <c r="Y266" s="79">
        <v>4435.2</v>
      </c>
      <c r="Z266" s="79">
        <v>0</v>
      </c>
      <c r="AA266" s="79">
        <v>0</v>
      </c>
      <c r="AB266" s="79">
        <v>0</v>
      </c>
      <c r="AC266" s="79">
        <v>7989</v>
      </c>
      <c r="AD266" s="79">
        <v>8308.56</v>
      </c>
      <c r="AE266" s="79">
        <v>1324</v>
      </c>
      <c r="AF266" s="79">
        <v>0</v>
      </c>
      <c r="AG266" s="79">
        <v>441</v>
      </c>
      <c r="AH266" s="79">
        <v>350</v>
      </c>
      <c r="AI266" s="79">
        <v>95.55</v>
      </c>
      <c r="AJ266" s="79">
        <v>31035</v>
      </c>
      <c r="AK266" s="79">
        <v>31035</v>
      </c>
      <c r="AL266" s="79">
        <v>39</v>
      </c>
      <c r="AM266" s="79">
        <v>0</v>
      </c>
      <c r="AN266" s="79">
        <v>0</v>
      </c>
      <c r="AO266" s="79">
        <v>1100</v>
      </c>
      <c r="AP266" s="79">
        <v>4083</v>
      </c>
      <c r="AQ266" s="79">
        <v>4083</v>
      </c>
      <c r="AR266" s="80">
        <v>1.541239E-3</v>
      </c>
      <c r="AS266" s="80">
        <v>1.7147130000000001E-3</v>
      </c>
      <c r="AT266" s="79">
        <v>56328.525000000001</v>
      </c>
      <c r="AU266" s="79">
        <v>0</v>
      </c>
      <c r="AV266" s="79">
        <v>1993.68</v>
      </c>
      <c r="AW266" s="79">
        <v>18092.702888435499</v>
      </c>
      <c r="AX266" s="79">
        <v>8</v>
      </c>
      <c r="AY266" s="79">
        <v>8.4</v>
      </c>
      <c r="AZ266" s="79">
        <v>6145</v>
      </c>
      <c r="BA266" s="79">
        <v>1</v>
      </c>
      <c r="BB266" s="79">
        <v>0</v>
      </c>
      <c r="BC266" s="79">
        <v>0</v>
      </c>
      <c r="BD266" s="79">
        <v>0</v>
      </c>
      <c r="BE266" s="79">
        <v>0</v>
      </c>
      <c r="BF266" s="79">
        <v>0</v>
      </c>
      <c r="BG266" s="79">
        <v>0</v>
      </c>
      <c r="BH266" s="79">
        <v>0</v>
      </c>
      <c r="BI266" s="79">
        <v>0</v>
      </c>
      <c r="BJ266" s="79">
        <v>0</v>
      </c>
      <c r="BK266" s="79">
        <v>40</v>
      </c>
      <c r="BL266" s="79">
        <v>10345</v>
      </c>
      <c r="BM266" s="79">
        <v>350</v>
      </c>
      <c r="BN266" s="79">
        <v>91</v>
      </c>
      <c r="BO266">
        <v>13364</v>
      </c>
      <c r="BP266">
        <v>5459</v>
      </c>
      <c r="BQ266">
        <v>13249</v>
      </c>
      <c r="BR266">
        <v>5602</v>
      </c>
      <c r="BS266">
        <v>13097</v>
      </c>
      <c r="BT266">
        <v>5779</v>
      </c>
      <c r="BU266">
        <v>13037</v>
      </c>
      <c r="BV266">
        <v>5820</v>
      </c>
      <c r="BW266">
        <v>12862</v>
      </c>
      <c r="BX266">
        <v>5893</v>
      </c>
      <c r="BY266">
        <v>12780</v>
      </c>
      <c r="BZ266">
        <v>5892</v>
      </c>
      <c r="CB266">
        <v>1932.1990000000001</v>
      </c>
      <c r="CC266">
        <v>221</v>
      </c>
      <c r="CD266">
        <v>350</v>
      </c>
      <c r="CE266">
        <v>19494.150000000001</v>
      </c>
      <c r="CF266">
        <v>4487.49</v>
      </c>
      <c r="CG266">
        <v>516.154045646491</v>
      </c>
      <c r="CH266">
        <v>814</v>
      </c>
      <c r="CI266">
        <v>526.66666666666697</v>
      </c>
      <c r="CJ266">
        <v>448.66666666666703</v>
      </c>
      <c r="CK266" s="81">
        <v>3914</v>
      </c>
      <c r="CL266">
        <v>988</v>
      </c>
      <c r="CM266">
        <v>12756.153209837399</v>
      </c>
      <c r="CN266">
        <v>5.0209999999999999</v>
      </c>
      <c r="CO266">
        <v>52569</v>
      </c>
      <c r="CP266">
        <v>8330</v>
      </c>
      <c r="CQ266">
        <v>1500</v>
      </c>
      <c r="CR266">
        <v>1829</v>
      </c>
      <c r="CS266">
        <v>1514</v>
      </c>
      <c r="CT266">
        <v>751</v>
      </c>
      <c r="CU266">
        <v>1096.43571773804</v>
      </c>
      <c r="CV266">
        <v>649.412759787337</v>
      </c>
      <c r="CW266">
        <v>212.05743515385899</v>
      </c>
      <c r="CX266">
        <v>2426.9484000000002</v>
      </c>
      <c r="CY266">
        <v>1437.4680000000001</v>
      </c>
      <c r="CZ266">
        <v>469.38679999999999</v>
      </c>
      <c r="DA266">
        <v>100313</v>
      </c>
      <c r="DE266">
        <v>855</v>
      </c>
      <c r="DF266" t="s">
        <v>296</v>
      </c>
      <c r="DG266">
        <v>40121</v>
      </c>
      <c r="DH266">
        <v>40083</v>
      </c>
      <c r="DI266">
        <v>40242</v>
      </c>
      <c r="DJ266">
        <v>40301</v>
      </c>
      <c r="DK266">
        <v>40177</v>
      </c>
      <c r="DO266">
        <v>638</v>
      </c>
      <c r="DP266" t="s">
        <v>359</v>
      </c>
      <c r="DQ266">
        <v>3801</v>
      </c>
      <c r="DR266">
        <v>1.3</v>
      </c>
      <c r="DS266">
        <v>740</v>
      </c>
      <c r="DV266">
        <v>1667</v>
      </c>
      <c r="DW266" t="s">
        <v>253</v>
      </c>
      <c r="DX266">
        <v>1346.9751225028299</v>
      </c>
      <c r="DY266">
        <v>236</v>
      </c>
      <c r="DZ266">
        <v>245</v>
      </c>
      <c r="EA266">
        <v>115</v>
      </c>
      <c r="EB266">
        <v>933</v>
      </c>
      <c r="EC266">
        <v>503</v>
      </c>
      <c r="ED266">
        <v>164</v>
      </c>
      <c r="EE266" s="82">
        <v>0.13916461692166701</v>
      </c>
      <c r="EF266" s="82">
        <v>0.42992500956889801</v>
      </c>
    </row>
    <row r="267" spans="1:136" x14ac:dyDescent="0.35">
      <c r="A267" s="72">
        <v>1721</v>
      </c>
      <c r="B267" s="72">
        <v>10</v>
      </c>
      <c r="D267" s="72" t="s">
        <v>46</v>
      </c>
      <c r="E267" s="79">
        <v>2850800000</v>
      </c>
      <c r="F267" s="79">
        <v>378700000</v>
      </c>
      <c r="G267" s="79">
        <v>414050000</v>
      </c>
      <c r="H267" s="79">
        <v>30806</v>
      </c>
      <c r="I267" s="79">
        <v>4</v>
      </c>
      <c r="J267" s="79">
        <v>414.05</v>
      </c>
      <c r="K267" s="79">
        <v>6184</v>
      </c>
      <c r="L267" s="79">
        <v>6333</v>
      </c>
      <c r="M267" s="79">
        <v>1975</v>
      </c>
      <c r="N267" s="79">
        <v>3186</v>
      </c>
      <c r="O267" s="79">
        <v>1934.8</v>
      </c>
      <c r="P267" s="79">
        <v>299</v>
      </c>
      <c r="Q267" s="79">
        <v>1750</v>
      </c>
      <c r="R267" s="79">
        <v>490</v>
      </c>
      <c r="S267" s="79">
        <v>0</v>
      </c>
      <c r="T267" s="79">
        <v>736</v>
      </c>
      <c r="U267" s="79">
        <v>12812</v>
      </c>
      <c r="V267" s="79">
        <v>24780</v>
      </c>
      <c r="W267" s="79">
        <v>6240</v>
      </c>
      <c r="X267" s="79">
        <v>0</v>
      </c>
      <c r="Y267" s="79">
        <v>908.8</v>
      </c>
      <c r="Z267" s="79">
        <v>0</v>
      </c>
      <c r="AA267" s="79">
        <v>0</v>
      </c>
      <c r="AB267" s="79">
        <v>95.399999999999906</v>
      </c>
      <c r="AC267" s="79">
        <v>8971</v>
      </c>
      <c r="AD267" s="79">
        <v>8971</v>
      </c>
      <c r="AE267" s="79">
        <v>70</v>
      </c>
      <c r="AF267" s="79">
        <v>0</v>
      </c>
      <c r="AG267" s="79">
        <v>328</v>
      </c>
      <c r="AH267" s="79">
        <v>179</v>
      </c>
      <c r="AI267" s="79">
        <v>149</v>
      </c>
      <c r="AJ267" s="79">
        <v>12512</v>
      </c>
      <c r="AK267" s="79">
        <v>12512</v>
      </c>
      <c r="AL267" s="79">
        <v>0</v>
      </c>
      <c r="AM267" s="79">
        <v>0</v>
      </c>
      <c r="AN267" s="79">
        <v>0</v>
      </c>
      <c r="AO267" s="79">
        <v>0</v>
      </c>
      <c r="AP267" s="79">
        <v>0</v>
      </c>
      <c r="AQ267" s="79">
        <v>0</v>
      </c>
      <c r="AR267" s="80">
        <v>1.39025E-4</v>
      </c>
      <c r="AS267" s="80">
        <v>9.2204E-5</v>
      </c>
      <c r="AT267" s="79">
        <v>8257.92</v>
      </c>
      <c r="AU267" s="79">
        <v>0</v>
      </c>
      <c r="AV267" s="79">
        <v>1115</v>
      </c>
      <c r="AW267" s="79">
        <v>3799.2135825682999</v>
      </c>
      <c r="AX267" s="79">
        <v>8</v>
      </c>
      <c r="AY267" s="79">
        <v>8</v>
      </c>
      <c r="AZ267" s="79">
        <v>3639</v>
      </c>
      <c r="BA267" s="79">
        <v>1</v>
      </c>
      <c r="BB267" s="79">
        <v>0</v>
      </c>
      <c r="BC267" s="79">
        <v>0</v>
      </c>
      <c r="BD267" s="79">
        <v>0</v>
      </c>
      <c r="BE267" s="79">
        <v>0</v>
      </c>
      <c r="BF267" s="79">
        <v>0</v>
      </c>
      <c r="BG267" s="79">
        <v>0</v>
      </c>
      <c r="BH267" s="79">
        <v>0</v>
      </c>
      <c r="BI267" s="79">
        <v>0</v>
      </c>
      <c r="BJ267" s="79">
        <v>0</v>
      </c>
      <c r="BK267" s="79">
        <v>45</v>
      </c>
      <c r="BL267" s="79">
        <v>3270</v>
      </c>
      <c r="BM267" s="79">
        <v>179</v>
      </c>
      <c r="BN267" s="79">
        <v>149</v>
      </c>
      <c r="BO267">
        <v>7068</v>
      </c>
      <c r="BP267">
        <v>946</v>
      </c>
      <c r="BQ267">
        <v>7061</v>
      </c>
      <c r="BR267">
        <v>962</v>
      </c>
      <c r="BS267">
        <v>6935</v>
      </c>
      <c r="BT267">
        <v>954</v>
      </c>
      <c r="BU267">
        <v>6915</v>
      </c>
      <c r="BV267">
        <v>988</v>
      </c>
      <c r="BW267">
        <v>6810</v>
      </c>
      <c r="BX267">
        <v>1016</v>
      </c>
      <c r="BY267">
        <v>6691</v>
      </c>
      <c r="BZ267">
        <v>1085</v>
      </c>
      <c r="CB267">
        <v>451.43200000000002</v>
      </c>
      <c r="CC267">
        <v>72</v>
      </c>
      <c r="CD267">
        <v>43</v>
      </c>
      <c r="CE267">
        <v>9011.85</v>
      </c>
      <c r="CF267">
        <v>2455.1999999999998</v>
      </c>
      <c r="CG267">
        <v>135.32693322442299</v>
      </c>
      <c r="CH267">
        <v>274</v>
      </c>
      <c r="CI267">
        <v>95</v>
      </c>
      <c r="CJ267">
        <v>67.6666666666667</v>
      </c>
      <c r="CK267" s="81">
        <v>1451</v>
      </c>
      <c r="CL267">
        <v>318</v>
      </c>
      <c r="CM267">
        <v>4456.3538955823296</v>
      </c>
      <c r="CN267">
        <v>0.155</v>
      </c>
      <c r="CO267">
        <v>24473</v>
      </c>
      <c r="CP267">
        <v>3597</v>
      </c>
      <c r="CQ267">
        <v>761</v>
      </c>
      <c r="CR267">
        <v>586</v>
      </c>
      <c r="CS267">
        <v>534</v>
      </c>
      <c r="CT267">
        <v>306</v>
      </c>
      <c r="CU267">
        <v>329.99226342711</v>
      </c>
      <c r="CV267">
        <v>197.778868286445</v>
      </c>
      <c r="CW267">
        <v>68.348913043478305</v>
      </c>
      <c r="CX267">
        <v>854.66700000000003</v>
      </c>
      <c r="CY267">
        <v>512.23950000000002</v>
      </c>
      <c r="CZ267">
        <v>177.02099999999999</v>
      </c>
      <c r="DA267">
        <v>9790</v>
      </c>
      <c r="DE267">
        <v>856</v>
      </c>
      <c r="DF267" t="s">
        <v>301</v>
      </c>
      <c r="DG267">
        <v>8975</v>
      </c>
      <c r="DH267">
        <v>8909</v>
      </c>
      <c r="DI267">
        <v>8881</v>
      </c>
      <c r="DJ267">
        <v>8792</v>
      </c>
      <c r="DK267">
        <v>8663</v>
      </c>
      <c r="DO267">
        <v>1892</v>
      </c>
      <c r="DP267" t="s">
        <v>360</v>
      </c>
      <c r="DQ267">
        <v>17751</v>
      </c>
      <c r="DR267">
        <v>1.45</v>
      </c>
      <c r="DS267">
        <v>1160</v>
      </c>
      <c r="DV267">
        <v>275</v>
      </c>
      <c r="DW267" t="s">
        <v>254</v>
      </c>
      <c r="DX267">
        <v>7154.4236207640297</v>
      </c>
      <c r="DY267">
        <v>1323</v>
      </c>
      <c r="DZ267">
        <v>1399</v>
      </c>
      <c r="EA267">
        <v>820</v>
      </c>
      <c r="EB267">
        <v>3574</v>
      </c>
      <c r="EC267">
        <v>2698</v>
      </c>
      <c r="ED267">
        <v>1149</v>
      </c>
      <c r="EE267" s="82">
        <v>0.228455771773209</v>
      </c>
      <c r="EF267" s="82">
        <v>0.45714514872359002</v>
      </c>
    </row>
    <row r="268" spans="1:136" x14ac:dyDescent="0.35">
      <c r="A268" s="72">
        <v>753</v>
      </c>
      <c r="B268" s="72">
        <v>10</v>
      </c>
      <c r="D268" s="72" t="s">
        <v>47</v>
      </c>
      <c r="E268" s="79">
        <v>2874800000</v>
      </c>
      <c r="F268" s="79">
        <v>473900000</v>
      </c>
      <c r="G268" s="79">
        <v>487200000</v>
      </c>
      <c r="H268" s="79">
        <v>29821</v>
      </c>
      <c r="I268" s="79">
        <v>1</v>
      </c>
      <c r="J268" s="79">
        <v>487.2</v>
      </c>
      <c r="K268" s="79">
        <v>5922</v>
      </c>
      <c r="L268" s="79">
        <v>5639</v>
      </c>
      <c r="M268" s="79">
        <v>1874</v>
      </c>
      <c r="N268" s="79">
        <v>3064</v>
      </c>
      <c r="O268" s="79">
        <v>1806.5</v>
      </c>
      <c r="P268" s="79">
        <v>410</v>
      </c>
      <c r="Q268" s="79">
        <v>1610</v>
      </c>
      <c r="R268" s="79">
        <v>1270</v>
      </c>
      <c r="S268" s="79">
        <v>0</v>
      </c>
      <c r="T268" s="79">
        <v>911</v>
      </c>
      <c r="U268" s="79">
        <v>12744</v>
      </c>
      <c r="V268" s="79">
        <v>29590</v>
      </c>
      <c r="W268" s="79">
        <v>18450</v>
      </c>
      <c r="X268" s="79">
        <v>0</v>
      </c>
      <c r="Y268" s="79">
        <v>1691.2</v>
      </c>
      <c r="Z268" s="79">
        <v>0</v>
      </c>
      <c r="AA268" s="79">
        <v>0</v>
      </c>
      <c r="AB268" s="79">
        <v>78.999999999999801</v>
      </c>
      <c r="AC268" s="79">
        <v>3430</v>
      </c>
      <c r="AD268" s="79">
        <v>3430</v>
      </c>
      <c r="AE268" s="79">
        <v>80</v>
      </c>
      <c r="AF268" s="79">
        <v>0</v>
      </c>
      <c r="AG268" s="79">
        <v>228</v>
      </c>
      <c r="AH268" s="79">
        <v>183</v>
      </c>
      <c r="AI268" s="79">
        <v>45</v>
      </c>
      <c r="AJ268" s="79">
        <v>12575</v>
      </c>
      <c r="AK268" s="79">
        <v>12575</v>
      </c>
      <c r="AL268" s="79">
        <v>0</v>
      </c>
      <c r="AM268" s="79">
        <v>0</v>
      </c>
      <c r="AN268" s="79">
        <v>0</v>
      </c>
      <c r="AO268" s="79">
        <v>0</v>
      </c>
      <c r="AP268" s="79">
        <v>0</v>
      </c>
      <c r="AQ268" s="79">
        <v>0</v>
      </c>
      <c r="AR268" s="80">
        <v>7.6761999999999995E-5</v>
      </c>
      <c r="AS268" s="80">
        <v>2.15054E-4</v>
      </c>
      <c r="AT268" s="79">
        <v>17542.125</v>
      </c>
      <c r="AU268" s="79">
        <v>0</v>
      </c>
      <c r="AV268" s="79">
        <v>477</v>
      </c>
      <c r="AW268" s="79">
        <v>4052.5974358974399</v>
      </c>
      <c r="AX268" s="79">
        <v>2</v>
      </c>
      <c r="AY268" s="79">
        <v>2</v>
      </c>
      <c r="AZ268" s="79">
        <v>3092</v>
      </c>
      <c r="BA268" s="79">
        <v>1</v>
      </c>
      <c r="BB268" s="79">
        <v>0</v>
      </c>
      <c r="BC268" s="79">
        <v>0</v>
      </c>
      <c r="BD268" s="79">
        <v>0</v>
      </c>
      <c r="BE268" s="79">
        <v>0</v>
      </c>
      <c r="BF268" s="79">
        <v>0</v>
      </c>
      <c r="BG268" s="79">
        <v>0</v>
      </c>
      <c r="BH268" s="79">
        <v>0</v>
      </c>
      <c r="BI268" s="79">
        <v>0</v>
      </c>
      <c r="BJ268" s="79">
        <v>0</v>
      </c>
      <c r="BK268" s="79">
        <v>33</v>
      </c>
      <c r="BL268" s="79">
        <v>3653</v>
      </c>
      <c r="BM268" s="79">
        <v>183</v>
      </c>
      <c r="BN268" s="79">
        <v>45</v>
      </c>
      <c r="BO268">
        <v>6982</v>
      </c>
      <c r="BP268">
        <v>1850</v>
      </c>
      <c r="BQ268">
        <v>6878</v>
      </c>
      <c r="BR268">
        <v>1832</v>
      </c>
      <c r="BS268">
        <v>6694</v>
      </c>
      <c r="BT268">
        <v>1778</v>
      </c>
      <c r="BU268">
        <v>6540</v>
      </c>
      <c r="BV268">
        <v>1754</v>
      </c>
      <c r="BW268">
        <v>6407</v>
      </c>
      <c r="BX268">
        <v>1776</v>
      </c>
      <c r="BY268">
        <v>6301</v>
      </c>
      <c r="BZ268">
        <v>1823</v>
      </c>
      <c r="CB268">
        <v>408.61799999999999</v>
      </c>
      <c r="CC268">
        <v>40</v>
      </c>
      <c r="CD268">
        <v>47</v>
      </c>
      <c r="CE268">
        <v>9742.81</v>
      </c>
      <c r="CF268">
        <v>2568.54</v>
      </c>
      <c r="CG268">
        <v>179.64210677618101</v>
      </c>
      <c r="CH268">
        <v>330</v>
      </c>
      <c r="CI268">
        <v>124.333333333333</v>
      </c>
      <c r="CJ268">
        <v>111</v>
      </c>
      <c r="CK268" s="81">
        <v>1200</v>
      </c>
      <c r="CL268">
        <v>231</v>
      </c>
      <c r="CM268">
        <v>4846.20066537824</v>
      </c>
      <c r="CN268">
        <v>0.42899999999999999</v>
      </c>
      <c r="CO268">
        <v>24182</v>
      </c>
      <c r="CP268">
        <v>3173</v>
      </c>
      <c r="CQ268">
        <v>592</v>
      </c>
      <c r="CR268">
        <v>583</v>
      </c>
      <c r="CS268">
        <v>590</v>
      </c>
      <c r="CT268">
        <v>341</v>
      </c>
      <c r="CU268">
        <v>283.437335984095</v>
      </c>
      <c r="CV268">
        <v>187.90473161033799</v>
      </c>
      <c r="CW268">
        <v>69.243180914512905</v>
      </c>
      <c r="CX268">
        <v>729.02350000000001</v>
      </c>
      <c r="CY268">
        <v>483.30599999999998</v>
      </c>
      <c r="CZ268">
        <v>178.09899999999999</v>
      </c>
      <c r="DA268">
        <v>8760</v>
      </c>
      <c r="DE268">
        <v>858</v>
      </c>
      <c r="DF268" t="s">
        <v>309</v>
      </c>
      <c r="DG268">
        <v>5981</v>
      </c>
      <c r="DH268">
        <v>5884</v>
      </c>
      <c r="DI268">
        <v>5730</v>
      </c>
      <c r="DJ268">
        <v>5667</v>
      </c>
      <c r="DK268">
        <v>5552</v>
      </c>
      <c r="DO268">
        <v>642</v>
      </c>
      <c r="DP268" t="s">
        <v>364</v>
      </c>
      <c r="DQ268">
        <v>20463</v>
      </c>
      <c r="DR268">
        <v>1.34</v>
      </c>
      <c r="DS268">
        <v>2048</v>
      </c>
      <c r="DV268">
        <v>340</v>
      </c>
      <c r="DW268" t="s">
        <v>255</v>
      </c>
      <c r="DX268">
        <v>2186.7870243293801</v>
      </c>
      <c r="DY268">
        <v>443</v>
      </c>
      <c r="DZ268">
        <v>459</v>
      </c>
      <c r="EA268">
        <v>230</v>
      </c>
      <c r="EB268">
        <v>1412</v>
      </c>
      <c r="EC268">
        <v>953</v>
      </c>
      <c r="ED268">
        <v>356</v>
      </c>
      <c r="EE268" s="82">
        <v>0.16957433731871099</v>
      </c>
      <c r="EF268" s="82">
        <v>0.41502120714199497</v>
      </c>
    </row>
    <row r="269" spans="1:136" x14ac:dyDescent="0.35">
      <c r="A269" s="72">
        <v>1728</v>
      </c>
      <c r="B269" s="72">
        <v>10</v>
      </c>
      <c r="D269" s="72" t="s">
        <v>50</v>
      </c>
      <c r="E269" s="79">
        <v>1996400000</v>
      </c>
      <c r="F269" s="79">
        <v>410550000</v>
      </c>
      <c r="G269" s="79">
        <v>442750000</v>
      </c>
      <c r="H269" s="79">
        <v>20175</v>
      </c>
      <c r="I269" s="79">
        <v>4</v>
      </c>
      <c r="J269" s="79">
        <v>442.75</v>
      </c>
      <c r="K269" s="79">
        <v>3887</v>
      </c>
      <c r="L269" s="79">
        <v>4325</v>
      </c>
      <c r="M269" s="79">
        <v>1426</v>
      </c>
      <c r="N269" s="79">
        <v>2260</v>
      </c>
      <c r="O269" s="79">
        <v>1334.1</v>
      </c>
      <c r="P269" s="79">
        <v>148.333333333333</v>
      </c>
      <c r="Q269" s="79">
        <v>1089.3333333333301</v>
      </c>
      <c r="R269" s="79">
        <v>255</v>
      </c>
      <c r="S269" s="79">
        <v>0</v>
      </c>
      <c r="T269" s="79">
        <v>490</v>
      </c>
      <c r="U269" s="79">
        <v>8750</v>
      </c>
      <c r="V269" s="79">
        <v>18050</v>
      </c>
      <c r="W269" s="79">
        <v>4660</v>
      </c>
      <c r="X269" s="79">
        <v>702.9</v>
      </c>
      <c r="Y269" s="79">
        <v>1700.8</v>
      </c>
      <c r="Z269" s="79">
        <v>0</v>
      </c>
      <c r="AA269" s="79">
        <v>0</v>
      </c>
      <c r="AB269" s="79">
        <v>0</v>
      </c>
      <c r="AC269" s="79">
        <v>7531</v>
      </c>
      <c r="AD269" s="79">
        <v>7531</v>
      </c>
      <c r="AE269" s="79">
        <v>32</v>
      </c>
      <c r="AF269" s="79">
        <v>0</v>
      </c>
      <c r="AG269" s="79">
        <v>258</v>
      </c>
      <c r="AH269" s="79">
        <v>173</v>
      </c>
      <c r="AI269" s="79">
        <v>86</v>
      </c>
      <c r="AJ269" s="79">
        <v>9259</v>
      </c>
      <c r="AK269" s="79">
        <v>9259</v>
      </c>
      <c r="AL269" s="79">
        <v>0</v>
      </c>
      <c r="AM269" s="79">
        <v>0</v>
      </c>
      <c r="AN269" s="79">
        <v>0</v>
      </c>
      <c r="AO269" s="79">
        <v>0</v>
      </c>
      <c r="AP269" s="79">
        <v>0</v>
      </c>
      <c r="AQ269" s="79">
        <v>0</v>
      </c>
      <c r="AR269" s="80">
        <v>1.09221E-4</v>
      </c>
      <c r="AS269" s="80">
        <v>7.9597000000000004E-5</v>
      </c>
      <c r="AT269" s="79">
        <v>6323.8969999999999</v>
      </c>
      <c r="AU269" s="79">
        <v>0</v>
      </c>
      <c r="AV269" s="79">
        <v>630</v>
      </c>
      <c r="AW269" s="79">
        <v>1680.58310194367</v>
      </c>
      <c r="AX269" s="79">
        <v>9</v>
      </c>
      <c r="AY269" s="79">
        <v>9</v>
      </c>
      <c r="AZ269" s="79">
        <v>2454</v>
      </c>
      <c r="BA269" s="79">
        <v>1</v>
      </c>
      <c r="BB269" s="79">
        <v>0</v>
      </c>
      <c r="BC269" s="79">
        <v>0</v>
      </c>
      <c r="BD269" s="79">
        <v>0</v>
      </c>
      <c r="BE269" s="79">
        <v>0</v>
      </c>
      <c r="BF269" s="79">
        <v>0</v>
      </c>
      <c r="BG269" s="79">
        <v>0</v>
      </c>
      <c r="BH269" s="79">
        <v>0</v>
      </c>
      <c r="BI269" s="79">
        <v>0</v>
      </c>
      <c r="BJ269" s="79">
        <v>0</v>
      </c>
      <c r="BK269" s="79">
        <v>22</v>
      </c>
      <c r="BL269" s="79">
        <v>2512</v>
      </c>
      <c r="BM269" s="79">
        <v>173</v>
      </c>
      <c r="BN269" s="79">
        <v>86</v>
      </c>
      <c r="BO269">
        <v>4334</v>
      </c>
      <c r="BP269">
        <v>2227</v>
      </c>
      <c r="BQ269">
        <v>4268</v>
      </c>
      <c r="BR269">
        <v>2183</v>
      </c>
      <c r="BS269">
        <v>4251</v>
      </c>
      <c r="BT269">
        <v>2214</v>
      </c>
      <c r="BU269">
        <v>4228</v>
      </c>
      <c r="BV269">
        <v>2173</v>
      </c>
      <c r="BW269">
        <v>4156</v>
      </c>
      <c r="BX269">
        <v>2161</v>
      </c>
      <c r="BY269">
        <v>4142</v>
      </c>
      <c r="BZ269">
        <v>2099</v>
      </c>
      <c r="CB269">
        <v>268.20299999999997</v>
      </c>
      <c r="CC269">
        <v>63</v>
      </c>
      <c r="CD269">
        <v>58</v>
      </c>
      <c r="CE269">
        <v>5952.1</v>
      </c>
      <c r="CF269">
        <v>1449.69</v>
      </c>
      <c r="CG269">
        <v>90.734265079882604</v>
      </c>
      <c r="CH269">
        <v>193</v>
      </c>
      <c r="CI269">
        <v>48.6666666666667</v>
      </c>
      <c r="CJ269">
        <v>34.6666666666667</v>
      </c>
      <c r="CK269" s="81">
        <v>941</v>
      </c>
      <c r="CL269">
        <v>217</v>
      </c>
      <c r="CM269">
        <v>2861.7256335770799</v>
      </c>
      <c r="CN269">
        <v>0.10100000000000001</v>
      </c>
      <c r="CO269">
        <v>15850</v>
      </c>
      <c r="CP269">
        <v>2439</v>
      </c>
      <c r="CQ269">
        <v>460</v>
      </c>
      <c r="CR269">
        <v>435</v>
      </c>
      <c r="CS269">
        <v>448</v>
      </c>
      <c r="CT269">
        <v>227</v>
      </c>
      <c r="CU269">
        <v>211.087212441948</v>
      </c>
      <c r="CV269">
        <v>139.187882060698</v>
      </c>
      <c r="CW269">
        <v>45.099179177017</v>
      </c>
      <c r="CX269">
        <v>624.23649999999998</v>
      </c>
      <c r="CY269">
        <v>411.61259999999999</v>
      </c>
      <c r="CZ269">
        <v>133.36930000000001</v>
      </c>
      <c r="DA269">
        <v>33099</v>
      </c>
      <c r="DE269">
        <v>861</v>
      </c>
      <c r="DF269" t="s">
        <v>313</v>
      </c>
      <c r="DG269">
        <v>9074</v>
      </c>
      <c r="DH269">
        <v>8972</v>
      </c>
      <c r="DI269">
        <v>8885</v>
      </c>
      <c r="DJ269">
        <v>8785</v>
      </c>
      <c r="DK269">
        <v>8767</v>
      </c>
      <c r="DO269">
        <v>654</v>
      </c>
      <c r="DP269" t="s">
        <v>57</v>
      </c>
      <c r="DQ269">
        <v>10157</v>
      </c>
      <c r="DR269">
        <v>1.1200000000000001</v>
      </c>
      <c r="DS269">
        <v>319</v>
      </c>
      <c r="DV269">
        <v>597</v>
      </c>
      <c r="DW269" t="s">
        <v>256</v>
      </c>
      <c r="DX269">
        <v>6483.8656315609596</v>
      </c>
      <c r="DY269">
        <v>1208</v>
      </c>
      <c r="DZ269">
        <v>1313</v>
      </c>
      <c r="EA269">
        <v>678</v>
      </c>
      <c r="EB269">
        <v>3646</v>
      </c>
      <c r="EC269">
        <v>2633</v>
      </c>
      <c r="ED269">
        <v>1020</v>
      </c>
      <c r="EE269" s="82">
        <v>0.207350475519575</v>
      </c>
      <c r="EF269" s="82">
        <v>0.45316433785906901</v>
      </c>
    </row>
    <row r="270" spans="1:136" x14ac:dyDescent="0.35">
      <c r="A270" s="72">
        <v>755</v>
      </c>
      <c r="B270" s="72">
        <v>10</v>
      </c>
      <c r="D270" s="72" t="s">
        <v>54</v>
      </c>
      <c r="E270" s="79">
        <v>893200000</v>
      </c>
      <c r="F270" s="79">
        <v>150850000</v>
      </c>
      <c r="G270" s="79">
        <v>175350000</v>
      </c>
      <c r="H270" s="79">
        <v>10588</v>
      </c>
      <c r="I270" s="79">
        <v>1</v>
      </c>
      <c r="J270" s="79">
        <v>175.35</v>
      </c>
      <c r="K270" s="79">
        <v>2197</v>
      </c>
      <c r="L270" s="79">
        <v>1981</v>
      </c>
      <c r="M270" s="79">
        <v>610</v>
      </c>
      <c r="N270" s="79">
        <v>1057</v>
      </c>
      <c r="O270" s="79">
        <v>621.20000000000005</v>
      </c>
      <c r="P270" s="79">
        <v>81.3333333333333</v>
      </c>
      <c r="Q270" s="79">
        <v>675.33333333333303</v>
      </c>
      <c r="R270" s="79">
        <v>115</v>
      </c>
      <c r="S270" s="79">
        <v>0</v>
      </c>
      <c r="T270" s="79">
        <v>225</v>
      </c>
      <c r="U270" s="79">
        <v>4364</v>
      </c>
      <c r="V270" s="79">
        <v>8970</v>
      </c>
      <c r="W270" s="79">
        <v>2040</v>
      </c>
      <c r="X270" s="79">
        <v>0</v>
      </c>
      <c r="Y270" s="79">
        <v>0</v>
      </c>
      <c r="Z270" s="79">
        <v>0</v>
      </c>
      <c r="AA270" s="79">
        <v>0</v>
      </c>
      <c r="AB270" s="79">
        <v>0</v>
      </c>
      <c r="AC270" s="79">
        <v>3451</v>
      </c>
      <c r="AD270" s="79">
        <v>3451</v>
      </c>
      <c r="AE270" s="79">
        <v>1</v>
      </c>
      <c r="AF270" s="79">
        <v>0</v>
      </c>
      <c r="AG270" s="79">
        <v>147</v>
      </c>
      <c r="AH270" s="79">
        <v>69</v>
      </c>
      <c r="AI270" s="79">
        <v>79</v>
      </c>
      <c r="AJ270" s="79">
        <v>4358</v>
      </c>
      <c r="AK270" s="79">
        <v>4358</v>
      </c>
      <c r="AL270" s="79">
        <v>0</v>
      </c>
      <c r="AM270" s="79">
        <v>0</v>
      </c>
      <c r="AN270" s="79">
        <v>0</v>
      </c>
      <c r="AO270" s="79">
        <v>0</v>
      </c>
      <c r="AP270" s="79">
        <v>0</v>
      </c>
      <c r="AQ270" s="79">
        <v>0</v>
      </c>
      <c r="AR270" s="80">
        <v>5.3584000000000001E-5</v>
      </c>
      <c r="AS270" s="80">
        <v>2.7067E-5</v>
      </c>
      <c r="AT270" s="79">
        <v>2287.9499999999998</v>
      </c>
      <c r="AU270" s="79">
        <v>0</v>
      </c>
      <c r="AV270" s="79">
        <v>165</v>
      </c>
      <c r="AW270" s="79">
        <v>506.08922363847</v>
      </c>
      <c r="AX270" s="79">
        <v>6</v>
      </c>
      <c r="AY270" s="79">
        <v>6</v>
      </c>
      <c r="AZ270" s="79">
        <v>1308</v>
      </c>
      <c r="BA270" s="79">
        <v>1</v>
      </c>
      <c r="BB270" s="79">
        <v>0</v>
      </c>
      <c r="BC270" s="79">
        <v>0</v>
      </c>
      <c r="BD270" s="79">
        <v>0</v>
      </c>
      <c r="BE270" s="79">
        <v>0</v>
      </c>
      <c r="BF270" s="79">
        <v>0</v>
      </c>
      <c r="BG270" s="79">
        <v>0</v>
      </c>
      <c r="BH270" s="79">
        <v>0</v>
      </c>
      <c r="BI270" s="79">
        <v>0</v>
      </c>
      <c r="BJ270" s="79">
        <v>0</v>
      </c>
      <c r="BK270" s="79">
        <v>15</v>
      </c>
      <c r="BL270" s="79">
        <v>1026</v>
      </c>
      <c r="BM270" s="79">
        <v>69</v>
      </c>
      <c r="BN270" s="79">
        <v>79</v>
      </c>
      <c r="BO270">
        <v>2501</v>
      </c>
      <c r="BP270">
        <v>0</v>
      </c>
      <c r="BQ270">
        <v>2463</v>
      </c>
      <c r="BR270">
        <v>0</v>
      </c>
      <c r="BS270">
        <v>2412</v>
      </c>
      <c r="BT270">
        <v>0</v>
      </c>
      <c r="BU270">
        <v>2393</v>
      </c>
      <c r="BV270">
        <v>0</v>
      </c>
      <c r="BW270">
        <v>2361</v>
      </c>
      <c r="BX270">
        <v>0</v>
      </c>
      <c r="BY270">
        <v>2324</v>
      </c>
      <c r="BZ270">
        <v>0</v>
      </c>
      <c r="CB270">
        <v>177.95699999999999</v>
      </c>
      <c r="CC270">
        <v>55</v>
      </c>
      <c r="CD270">
        <v>5</v>
      </c>
      <c r="CE270">
        <v>2640.3</v>
      </c>
      <c r="CF270">
        <v>729.74</v>
      </c>
      <c r="CG270">
        <v>24.438847709696599</v>
      </c>
      <c r="CH270">
        <v>91</v>
      </c>
      <c r="CI270">
        <v>27.6666666666667</v>
      </c>
      <c r="CJ270">
        <v>17</v>
      </c>
      <c r="CK270" s="81">
        <v>594</v>
      </c>
      <c r="CL270">
        <v>160</v>
      </c>
      <c r="CM270">
        <v>1240.6566959235399</v>
      </c>
      <c r="CN270">
        <v>6.8000000000000005E-2</v>
      </c>
      <c r="CO270">
        <v>8607</v>
      </c>
      <c r="CP270">
        <v>1178</v>
      </c>
      <c r="CQ270">
        <v>193</v>
      </c>
      <c r="CR270">
        <v>175</v>
      </c>
      <c r="CS270">
        <v>192</v>
      </c>
      <c r="CT270">
        <v>93</v>
      </c>
      <c r="CU270">
        <v>94.933272143184993</v>
      </c>
      <c r="CV270">
        <v>60.1529141808169</v>
      </c>
      <c r="CW270">
        <v>17.390178981184</v>
      </c>
      <c r="CX270">
        <v>299.16719999999998</v>
      </c>
      <c r="CY270">
        <v>189.5624</v>
      </c>
      <c r="CZ270">
        <v>54.802399999999999</v>
      </c>
      <c r="DA270">
        <v>7670</v>
      </c>
      <c r="DE270">
        <v>865</v>
      </c>
      <c r="DF270" t="s">
        <v>324</v>
      </c>
      <c r="DG270">
        <v>5660</v>
      </c>
      <c r="DH270">
        <v>5613</v>
      </c>
      <c r="DI270">
        <v>5638</v>
      </c>
      <c r="DJ270">
        <v>5624</v>
      </c>
      <c r="DK270">
        <v>5459</v>
      </c>
      <c r="DO270">
        <v>664</v>
      </c>
      <c r="DP270" t="s">
        <v>116</v>
      </c>
      <c r="DQ270">
        <v>18649</v>
      </c>
      <c r="DR270">
        <v>1.22</v>
      </c>
      <c r="DS270">
        <v>1307</v>
      </c>
      <c r="DV270">
        <v>1742</v>
      </c>
      <c r="DW270" t="s">
        <v>257</v>
      </c>
      <c r="DX270">
        <v>3798.0168971909302</v>
      </c>
      <c r="DY270">
        <v>621</v>
      </c>
      <c r="DZ270">
        <v>714</v>
      </c>
      <c r="EA270">
        <v>434</v>
      </c>
      <c r="EB270">
        <v>2266</v>
      </c>
      <c r="EC270">
        <v>1516</v>
      </c>
      <c r="ED270">
        <v>635</v>
      </c>
      <c r="EE270" s="82">
        <v>0.14544506250426101</v>
      </c>
      <c r="EF270" s="82">
        <v>0.47753270234147599</v>
      </c>
    </row>
    <row r="271" spans="1:136" x14ac:dyDescent="0.35">
      <c r="A271" s="72">
        <v>756</v>
      </c>
      <c r="B271" s="72">
        <v>10</v>
      </c>
      <c r="D271" s="72" t="s">
        <v>58</v>
      </c>
      <c r="E271" s="79">
        <v>2420800000</v>
      </c>
      <c r="F271" s="79">
        <v>477400000</v>
      </c>
      <c r="G271" s="79">
        <v>511350000</v>
      </c>
      <c r="H271" s="79">
        <v>29065</v>
      </c>
      <c r="I271" s="79">
        <v>6</v>
      </c>
      <c r="J271" s="79">
        <v>511.35</v>
      </c>
      <c r="K271" s="79">
        <v>5192</v>
      </c>
      <c r="L271" s="79">
        <v>6552</v>
      </c>
      <c r="M271" s="79">
        <v>1994</v>
      </c>
      <c r="N271" s="79">
        <v>3506</v>
      </c>
      <c r="O271" s="79">
        <v>2222.6999999999998</v>
      </c>
      <c r="P271" s="79">
        <v>342</v>
      </c>
      <c r="Q271" s="79">
        <v>1887</v>
      </c>
      <c r="R271" s="79">
        <v>795</v>
      </c>
      <c r="S271" s="79">
        <v>0</v>
      </c>
      <c r="T271" s="79">
        <v>730</v>
      </c>
      <c r="U271" s="79">
        <v>13084</v>
      </c>
      <c r="V271" s="79">
        <v>27570</v>
      </c>
      <c r="W271" s="79">
        <v>11540</v>
      </c>
      <c r="X271" s="79">
        <v>473.16</v>
      </c>
      <c r="Y271" s="79">
        <v>2146.4</v>
      </c>
      <c r="Z271" s="79">
        <v>0</v>
      </c>
      <c r="AA271" s="79">
        <v>0</v>
      </c>
      <c r="AB271" s="79">
        <v>307</v>
      </c>
      <c r="AC271" s="79">
        <v>11135</v>
      </c>
      <c r="AD271" s="79">
        <v>11135</v>
      </c>
      <c r="AE271" s="79">
        <v>249</v>
      </c>
      <c r="AF271" s="79">
        <v>0</v>
      </c>
      <c r="AG271" s="79">
        <v>321</v>
      </c>
      <c r="AH271" s="79">
        <v>182</v>
      </c>
      <c r="AI271" s="79">
        <v>139</v>
      </c>
      <c r="AJ271" s="79">
        <v>12833</v>
      </c>
      <c r="AK271" s="79">
        <v>12833</v>
      </c>
      <c r="AL271" s="79">
        <v>0</v>
      </c>
      <c r="AM271" s="79">
        <v>0</v>
      </c>
      <c r="AN271" s="79">
        <v>0</v>
      </c>
      <c r="AO271" s="79">
        <v>0</v>
      </c>
      <c r="AP271" s="79">
        <v>736</v>
      </c>
      <c r="AQ271" s="79">
        <v>0</v>
      </c>
      <c r="AR271" s="80">
        <v>2.3918100000000001E-4</v>
      </c>
      <c r="AS271" s="80">
        <v>1.3863100000000001E-4</v>
      </c>
      <c r="AT271" s="79">
        <v>8444.1139999999996</v>
      </c>
      <c r="AU271" s="79">
        <v>0</v>
      </c>
      <c r="AV271" s="79">
        <v>1153</v>
      </c>
      <c r="AW271" s="79">
        <v>2943.7759135628999</v>
      </c>
      <c r="AX271" s="79">
        <v>12</v>
      </c>
      <c r="AY271" s="79">
        <v>12</v>
      </c>
      <c r="AZ271" s="79">
        <v>2845</v>
      </c>
      <c r="BA271" s="79">
        <v>1</v>
      </c>
      <c r="BB271" s="79">
        <v>0</v>
      </c>
      <c r="BC271" s="79">
        <v>0</v>
      </c>
      <c r="BD271" s="79">
        <v>0</v>
      </c>
      <c r="BE271" s="79">
        <v>0</v>
      </c>
      <c r="BF271" s="79">
        <v>0</v>
      </c>
      <c r="BG271" s="79">
        <v>0</v>
      </c>
      <c r="BH271" s="79">
        <v>0</v>
      </c>
      <c r="BI271" s="79">
        <v>0</v>
      </c>
      <c r="BJ271" s="79">
        <v>0</v>
      </c>
      <c r="BK271" s="79">
        <v>62</v>
      </c>
      <c r="BL271" s="79">
        <v>3604</v>
      </c>
      <c r="BM271" s="79">
        <v>182</v>
      </c>
      <c r="BN271" s="79">
        <v>139</v>
      </c>
      <c r="BO271">
        <v>6527</v>
      </c>
      <c r="BP271">
        <v>2160</v>
      </c>
      <c r="BQ271">
        <v>6388</v>
      </c>
      <c r="BR271">
        <v>2283</v>
      </c>
      <c r="BS271">
        <v>6255</v>
      </c>
      <c r="BT271">
        <v>2323</v>
      </c>
      <c r="BU271">
        <v>6113</v>
      </c>
      <c r="BV271">
        <v>2490</v>
      </c>
      <c r="BW271">
        <v>5890</v>
      </c>
      <c r="BX271">
        <v>2575</v>
      </c>
      <c r="BY271">
        <v>5739</v>
      </c>
      <c r="BZ271">
        <v>2638</v>
      </c>
      <c r="CB271">
        <v>384.20800000000003</v>
      </c>
      <c r="CC271">
        <v>75</v>
      </c>
      <c r="CD271">
        <v>57</v>
      </c>
      <c r="CE271">
        <v>8648.5</v>
      </c>
      <c r="CF271">
        <v>1988.58</v>
      </c>
      <c r="CG271">
        <v>119.722628544645</v>
      </c>
      <c r="CH271">
        <v>282</v>
      </c>
      <c r="CI271">
        <v>89.3333333333333</v>
      </c>
      <c r="CJ271">
        <v>68.6666666666667</v>
      </c>
      <c r="CK271" s="81">
        <v>1545</v>
      </c>
      <c r="CL271">
        <v>368</v>
      </c>
      <c r="CM271">
        <v>5215.8732829790997</v>
      </c>
      <c r="CN271">
        <v>0.34499999999999997</v>
      </c>
      <c r="CO271">
        <v>22513</v>
      </c>
      <c r="CP271">
        <v>3809</v>
      </c>
      <c r="CQ271">
        <v>749</v>
      </c>
      <c r="CR271">
        <v>620</v>
      </c>
      <c r="CS271">
        <v>606</v>
      </c>
      <c r="CT271">
        <v>326</v>
      </c>
      <c r="CU271">
        <v>397.15195979116299</v>
      </c>
      <c r="CV271">
        <v>233.47616301722101</v>
      </c>
      <c r="CW271">
        <v>84.176124055170206</v>
      </c>
      <c r="CX271">
        <v>960.07910000000004</v>
      </c>
      <c r="CY271">
        <v>564.4076</v>
      </c>
      <c r="CZ271">
        <v>203.48820000000001</v>
      </c>
      <c r="DA271">
        <v>21131</v>
      </c>
      <c r="DE271">
        <v>866</v>
      </c>
      <c r="DF271" t="s">
        <v>326</v>
      </c>
      <c r="DG271">
        <v>3806</v>
      </c>
      <c r="DH271">
        <v>3763</v>
      </c>
      <c r="DI271">
        <v>3668</v>
      </c>
      <c r="DJ271">
        <v>3599</v>
      </c>
      <c r="DK271">
        <v>3638</v>
      </c>
      <c r="DO271">
        <v>677</v>
      </c>
      <c r="DP271" t="s">
        <v>161</v>
      </c>
      <c r="DQ271">
        <v>13557</v>
      </c>
      <c r="DR271">
        <v>1.02</v>
      </c>
      <c r="DS271">
        <v>497</v>
      </c>
      <c r="DV271">
        <v>603</v>
      </c>
      <c r="DW271" t="s">
        <v>258</v>
      </c>
      <c r="DX271">
        <v>8693.8241728298999</v>
      </c>
      <c r="DY271">
        <v>1764</v>
      </c>
      <c r="DZ271">
        <v>1558</v>
      </c>
      <c r="EA271">
        <v>1000</v>
      </c>
      <c r="EB271">
        <v>4014</v>
      </c>
      <c r="EC271">
        <v>2739</v>
      </c>
      <c r="ED271">
        <v>1341</v>
      </c>
      <c r="EE271" s="82">
        <v>0.22883819399462499</v>
      </c>
      <c r="EF271" s="82">
        <v>0.44529638226801799</v>
      </c>
    </row>
    <row r="272" spans="1:136" x14ac:dyDescent="0.35">
      <c r="A272" s="72">
        <v>757</v>
      </c>
      <c r="B272" s="72">
        <v>10</v>
      </c>
      <c r="D272" s="72" t="s">
        <v>59</v>
      </c>
      <c r="E272" s="79">
        <v>2744000000</v>
      </c>
      <c r="F272" s="79">
        <v>418600000</v>
      </c>
      <c r="G272" s="79">
        <v>444850000</v>
      </c>
      <c r="H272" s="79">
        <v>30747</v>
      </c>
      <c r="I272" s="79">
        <v>2</v>
      </c>
      <c r="J272" s="79">
        <v>444.85</v>
      </c>
      <c r="K272" s="79">
        <v>6030</v>
      </c>
      <c r="L272" s="79">
        <v>6666</v>
      </c>
      <c r="M272" s="79">
        <v>1963</v>
      </c>
      <c r="N272" s="79">
        <v>3926</v>
      </c>
      <c r="O272" s="79">
        <v>2553.9</v>
      </c>
      <c r="P272" s="79">
        <v>428.33333333333297</v>
      </c>
      <c r="Q272" s="79">
        <v>2194.3333333333298</v>
      </c>
      <c r="R272" s="79">
        <v>1500</v>
      </c>
      <c r="S272" s="79">
        <v>0</v>
      </c>
      <c r="T272" s="79">
        <v>935</v>
      </c>
      <c r="U272" s="79">
        <v>14226</v>
      </c>
      <c r="V272" s="79">
        <v>29990</v>
      </c>
      <c r="W272" s="79">
        <v>18170</v>
      </c>
      <c r="X272" s="79">
        <v>1082.6600000000001</v>
      </c>
      <c r="Y272" s="79">
        <v>1653.6</v>
      </c>
      <c r="Z272" s="79">
        <v>0</v>
      </c>
      <c r="AA272" s="79">
        <v>0</v>
      </c>
      <c r="AB272" s="79">
        <v>0</v>
      </c>
      <c r="AC272" s="79">
        <v>6365</v>
      </c>
      <c r="AD272" s="79">
        <v>6365</v>
      </c>
      <c r="AE272" s="79">
        <v>120</v>
      </c>
      <c r="AF272" s="79">
        <v>0</v>
      </c>
      <c r="AG272" s="79">
        <v>230</v>
      </c>
      <c r="AH272" s="79">
        <v>179</v>
      </c>
      <c r="AI272" s="79">
        <v>52</v>
      </c>
      <c r="AJ272" s="79">
        <v>13721</v>
      </c>
      <c r="AK272" s="79">
        <v>13721</v>
      </c>
      <c r="AL272" s="79">
        <v>0</v>
      </c>
      <c r="AM272" s="79">
        <v>0</v>
      </c>
      <c r="AN272" s="79">
        <v>0</v>
      </c>
      <c r="AO272" s="79">
        <v>0</v>
      </c>
      <c r="AP272" s="79">
        <v>1588</v>
      </c>
      <c r="AQ272" s="79">
        <v>0</v>
      </c>
      <c r="AR272" s="80">
        <v>3.6101999999999998E-4</v>
      </c>
      <c r="AS272" s="80">
        <v>3.91364E-4</v>
      </c>
      <c r="AT272" s="79">
        <v>16616.131000000001</v>
      </c>
      <c r="AU272" s="79">
        <v>0</v>
      </c>
      <c r="AV272" s="79">
        <v>1551</v>
      </c>
      <c r="AW272" s="79">
        <v>7353.6772552043203</v>
      </c>
      <c r="AX272" s="79">
        <v>4</v>
      </c>
      <c r="AY272" s="79">
        <v>4</v>
      </c>
      <c r="AZ272" s="79">
        <v>3277</v>
      </c>
      <c r="BA272" s="79">
        <v>1</v>
      </c>
      <c r="BB272" s="79">
        <v>0</v>
      </c>
      <c r="BC272" s="79">
        <v>0</v>
      </c>
      <c r="BD272" s="79">
        <v>0</v>
      </c>
      <c r="BE272" s="79">
        <v>0</v>
      </c>
      <c r="BF272" s="79">
        <v>0</v>
      </c>
      <c r="BG272" s="79">
        <v>0</v>
      </c>
      <c r="BH272" s="79">
        <v>0</v>
      </c>
      <c r="BI272" s="79">
        <v>0</v>
      </c>
      <c r="BJ272" s="79">
        <v>0</v>
      </c>
      <c r="BK272" s="79">
        <v>88</v>
      </c>
      <c r="BL272" s="79">
        <v>4665</v>
      </c>
      <c r="BM272" s="79">
        <v>179</v>
      </c>
      <c r="BN272" s="79">
        <v>52</v>
      </c>
      <c r="BO272">
        <v>6689</v>
      </c>
      <c r="BP272">
        <v>2085</v>
      </c>
      <c r="BQ272">
        <v>6648</v>
      </c>
      <c r="BR272">
        <v>1972</v>
      </c>
      <c r="BS272">
        <v>6603</v>
      </c>
      <c r="BT272">
        <v>1942</v>
      </c>
      <c r="BU272">
        <v>6485</v>
      </c>
      <c r="BV272">
        <v>1931</v>
      </c>
      <c r="BW272">
        <v>6465</v>
      </c>
      <c r="BX272">
        <v>1955</v>
      </c>
      <c r="BY272">
        <v>6316</v>
      </c>
      <c r="BZ272">
        <v>1937</v>
      </c>
      <c r="CB272">
        <v>663.3</v>
      </c>
      <c r="CC272">
        <v>80</v>
      </c>
      <c r="CD272">
        <v>81</v>
      </c>
      <c r="CE272">
        <v>9085.2000000000007</v>
      </c>
      <c r="CF272">
        <v>2189.2199999999998</v>
      </c>
      <c r="CG272">
        <v>200.305588809369</v>
      </c>
      <c r="CH272">
        <v>355</v>
      </c>
      <c r="CI272">
        <v>128.333333333333</v>
      </c>
      <c r="CJ272">
        <v>111.333333333333</v>
      </c>
      <c r="CK272" s="81">
        <v>1766</v>
      </c>
      <c r="CL272">
        <v>375</v>
      </c>
      <c r="CM272">
        <v>4544.6828639084397</v>
      </c>
      <c r="CN272">
        <v>0.56699999999999995</v>
      </c>
      <c r="CO272">
        <v>24081</v>
      </c>
      <c r="CP272">
        <v>3958</v>
      </c>
      <c r="CQ272">
        <v>745</v>
      </c>
      <c r="CR272">
        <v>788</v>
      </c>
      <c r="CS272">
        <v>660</v>
      </c>
      <c r="CT272">
        <v>353</v>
      </c>
      <c r="CU272">
        <v>453.22837256759698</v>
      </c>
      <c r="CV272">
        <v>249.41520297354401</v>
      </c>
      <c r="CW272">
        <v>88.970497777129907</v>
      </c>
      <c r="CX272">
        <v>1074.809</v>
      </c>
      <c r="CY272">
        <v>591.476</v>
      </c>
      <c r="CZ272">
        <v>210.98920000000001</v>
      </c>
      <c r="DA272">
        <v>79025</v>
      </c>
      <c r="DE272">
        <v>867</v>
      </c>
      <c r="DF272" t="s">
        <v>327</v>
      </c>
      <c r="DG272">
        <v>9444</v>
      </c>
      <c r="DH272">
        <v>9340</v>
      </c>
      <c r="DI272">
        <v>9326</v>
      </c>
      <c r="DJ272">
        <v>9258</v>
      </c>
      <c r="DK272">
        <v>9169</v>
      </c>
      <c r="DO272">
        <v>678</v>
      </c>
      <c r="DP272" t="s">
        <v>165</v>
      </c>
      <c r="DQ272">
        <v>5547</v>
      </c>
      <c r="DR272">
        <v>1.17</v>
      </c>
      <c r="DS272">
        <v>638</v>
      </c>
      <c r="DV272">
        <v>1669</v>
      </c>
      <c r="DW272" t="s">
        <v>259</v>
      </c>
      <c r="DX272">
        <v>2749.9039103738</v>
      </c>
      <c r="DY272">
        <v>578</v>
      </c>
      <c r="DZ272">
        <v>525</v>
      </c>
      <c r="EA272">
        <v>265</v>
      </c>
      <c r="EB272">
        <v>1915</v>
      </c>
      <c r="EC272">
        <v>1115</v>
      </c>
      <c r="ED272">
        <v>374</v>
      </c>
      <c r="EE272" s="82">
        <v>0.18040215258221701</v>
      </c>
      <c r="EF272" s="82">
        <v>0.45714514872359002</v>
      </c>
    </row>
    <row r="273" spans="1:136" x14ac:dyDescent="0.35">
      <c r="A273" s="72">
        <v>758</v>
      </c>
      <c r="B273" s="72">
        <v>10</v>
      </c>
      <c r="D273" s="72" t="s">
        <v>60</v>
      </c>
      <c r="E273" s="79">
        <v>18083600000</v>
      </c>
      <c r="F273" s="79">
        <v>2924950000</v>
      </c>
      <c r="G273" s="79">
        <v>2982350000</v>
      </c>
      <c r="H273" s="79">
        <v>183873</v>
      </c>
      <c r="I273" s="79">
        <v>1</v>
      </c>
      <c r="J273" s="79">
        <v>2982.35</v>
      </c>
      <c r="K273" s="79">
        <v>34967</v>
      </c>
      <c r="L273" s="79">
        <v>33567</v>
      </c>
      <c r="M273" s="79">
        <v>10718</v>
      </c>
      <c r="N273" s="79">
        <v>25841</v>
      </c>
      <c r="O273" s="79">
        <v>17255.8</v>
      </c>
      <c r="P273" s="79">
        <v>4897</v>
      </c>
      <c r="Q273" s="79">
        <v>12755</v>
      </c>
      <c r="R273" s="79">
        <v>14830</v>
      </c>
      <c r="S273" s="79">
        <v>0</v>
      </c>
      <c r="T273" s="79">
        <v>6278</v>
      </c>
      <c r="U273" s="79">
        <v>90933</v>
      </c>
      <c r="V273" s="79">
        <v>205210</v>
      </c>
      <c r="W273" s="79">
        <v>290990</v>
      </c>
      <c r="X273" s="79">
        <v>7040.1958000000004</v>
      </c>
      <c r="Y273" s="79">
        <v>9342.4</v>
      </c>
      <c r="Z273" s="79">
        <v>0</v>
      </c>
      <c r="AA273" s="79">
        <v>0</v>
      </c>
      <c r="AB273" s="79">
        <v>243.49999999999801</v>
      </c>
      <c r="AC273" s="79">
        <v>12559</v>
      </c>
      <c r="AD273" s="79">
        <v>12559</v>
      </c>
      <c r="AE273" s="79">
        <v>309</v>
      </c>
      <c r="AF273" s="79">
        <v>0</v>
      </c>
      <c r="AG273" s="79">
        <v>1039</v>
      </c>
      <c r="AH273" s="79">
        <v>918</v>
      </c>
      <c r="AI273" s="79">
        <v>121</v>
      </c>
      <c r="AJ273" s="79">
        <v>85852</v>
      </c>
      <c r="AK273" s="79">
        <v>85852</v>
      </c>
      <c r="AL273" s="79">
        <v>0</v>
      </c>
      <c r="AM273" s="79">
        <v>42</v>
      </c>
      <c r="AN273" s="79">
        <v>0</v>
      </c>
      <c r="AO273" s="79">
        <v>0</v>
      </c>
      <c r="AP273" s="79">
        <v>12005</v>
      </c>
      <c r="AQ273" s="79">
        <v>9613</v>
      </c>
      <c r="AR273" s="80">
        <v>5.6601309999999997E-3</v>
      </c>
      <c r="AS273" s="80">
        <v>7.3612529999999999E-3</v>
      </c>
      <c r="AT273" s="79">
        <v>186298.84</v>
      </c>
      <c r="AU273" s="79">
        <v>0</v>
      </c>
      <c r="AV273" s="79">
        <v>3438</v>
      </c>
      <c r="AW273" s="79">
        <v>49126.1558905813</v>
      </c>
      <c r="AX273" s="79">
        <v>5</v>
      </c>
      <c r="AY273" s="79">
        <v>5</v>
      </c>
      <c r="AZ273" s="79">
        <v>22289</v>
      </c>
      <c r="BA273" s="79">
        <v>1</v>
      </c>
      <c r="BB273" s="79">
        <v>0</v>
      </c>
      <c r="BC273" s="79">
        <v>0</v>
      </c>
      <c r="BD273" s="79">
        <v>0</v>
      </c>
      <c r="BE273" s="79">
        <v>0</v>
      </c>
      <c r="BF273" s="79">
        <v>0</v>
      </c>
      <c r="BG273" s="79">
        <v>0</v>
      </c>
      <c r="BH273" s="79">
        <v>0</v>
      </c>
      <c r="BI273" s="79">
        <v>0</v>
      </c>
      <c r="BJ273" s="79">
        <v>0</v>
      </c>
      <c r="BK273" s="79">
        <v>99</v>
      </c>
      <c r="BL273" s="79">
        <v>37555</v>
      </c>
      <c r="BM273" s="79">
        <v>918</v>
      </c>
      <c r="BN273" s="79">
        <v>121</v>
      </c>
      <c r="BO273">
        <v>35286</v>
      </c>
      <c r="BP273">
        <v>10395</v>
      </c>
      <c r="BQ273">
        <v>35275</v>
      </c>
      <c r="BR273">
        <v>10568</v>
      </c>
      <c r="BS273">
        <v>35281</v>
      </c>
      <c r="BT273">
        <v>10833</v>
      </c>
      <c r="BU273">
        <v>35405</v>
      </c>
      <c r="BV273">
        <v>10851</v>
      </c>
      <c r="BW273">
        <v>35429</v>
      </c>
      <c r="BX273">
        <v>10628</v>
      </c>
      <c r="BY273">
        <v>35306</v>
      </c>
      <c r="BZ273">
        <v>10850</v>
      </c>
      <c r="CB273">
        <v>4475.7759999999998</v>
      </c>
      <c r="CC273">
        <v>498</v>
      </c>
      <c r="CD273">
        <v>648</v>
      </c>
      <c r="CE273">
        <v>58245</v>
      </c>
      <c r="CF273">
        <v>14060.13</v>
      </c>
      <c r="CG273">
        <v>1319.6247478293701</v>
      </c>
      <c r="CH273">
        <v>2277</v>
      </c>
      <c r="CI273">
        <v>1298.3333333333301</v>
      </c>
      <c r="CJ273">
        <v>1123.6666666666699</v>
      </c>
      <c r="CK273" s="81">
        <v>7858</v>
      </c>
      <c r="CL273">
        <v>2233</v>
      </c>
      <c r="CM273">
        <v>25869.9310980062</v>
      </c>
      <c r="CN273">
        <v>11.081</v>
      </c>
      <c r="CO273">
        <v>150306</v>
      </c>
      <c r="CP273">
        <v>18600</v>
      </c>
      <c r="CQ273">
        <v>4249</v>
      </c>
      <c r="CR273">
        <v>4680</v>
      </c>
      <c r="CS273">
        <v>3934</v>
      </c>
      <c r="CT273">
        <v>2165</v>
      </c>
      <c r="CU273">
        <v>2412.5398057121602</v>
      </c>
      <c r="CV273">
        <v>1522.93710804641</v>
      </c>
      <c r="CW273">
        <v>590.32153706378404</v>
      </c>
      <c r="CX273">
        <v>4936.8338999999996</v>
      </c>
      <c r="CY273">
        <v>3116.4200999999998</v>
      </c>
      <c r="CZ273">
        <v>1207.9881</v>
      </c>
      <c r="DA273">
        <v>178728</v>
      </c>
      <c r="DE273">
        <v>870</v>
      </c>
      <c r="DF273" t="s">
        <v>823</v>
      </c>
      <c r="DG273">
        <v>6217</v>
      </c>
      <c r="DH273">
        <v>6170</v>
      </c>
      <c r="DI273">
        <v>6085</v>
      </c>
      <c r="DJ273">
        <v>6089</v>
      </c>
      <c r="DK273">
        <v>6000</v>
      </c>
      <c r="DO273">
        <v>687</v>
      </c>
      <c r="DP273" t="s">
        <v>200</v>
      </c>
      <c r="DQ273">
        <v>23809</v>
      </c>
      <c r="DR273">
        <v>1.1200000000000001</v>
      </c>
      <c r="DS273">
        <v>1738</v>
      </c>
      <c r="DV273">
        <v>957</v>
      </c>
      <c r="DW273" t="s">
        <v>260</v>
      </c>
      <c r="DX273">
        <v>10227.3657860166</v>
      </c>
      <c r="DY273">
        <v>1848</v>
      </c>
      <c r="DZ273">
        <v>1437</v>
      </c>
      <c r="EA273">
        <v>690</v>
      </c>
      <c r="EB273">
        <v>4494</v>
      </c>
      <c r="EC273">
        <v>2621</v>
      </c>
      <c r="ED273">
        <v>936</v>
      </c>
      <c r="EE273" s="82">
        <v>0.27191773468186597</v>
      </c>
      <c r="EF273" s="82">
        <v>0.52542617575569694</v>
      </c>
    </row>
    <row r="274" spans="1:136" x14ac:dyDescent="0.35">
      <c r="A274" s="72">
        <v>1706</v>
      </c>
      <c r="B274" s="72">
        <v>10</v>
      </c>
      <c r="D274" s="72" t="s">
        <v>71</v>
      </c>
      <c r="E274" s="79">
        <v>1822800000</v>
      </c>
      <c r="F274" s="79">
        <v>316400000</v>
      </c>
      <c r="G274" s="79">
        <v>351400000</v>
      </c>
      <c r="H274" s="79">
        <v>20440</v>
      </c>
      <c r="I274" s="79">
        <v>4</v>
      </c>
      <c r="J274" s="79">
        <v>351.4</v>
      </c>
      <c r="K274" s="79">
        <v>3617</v>
      </c>
      <c r="L274" s="79">
        <v>4862</v>
      </c>
      <c r="M274" s="79">
        <v>1551</v>
      </c>
      <c r="N274" s="79">
        <v>2498</v>
      </c>
      <c r="O274" s="79">
        <v>1595.7</v>
      </c>
      <c r="P274" s="79">
        <v>281</v>
      </c>
      <c r="Q274" s="79">
        <v>1198</v>
      </c>
      <c r="R274" s="79">
        <v>480</v>
      </c>
      <c r="S274" s="79">
        <v>0</v>
      </c>
      <c r="T274" s="79">
        <v>533</v>
      </c>
      <c r="U274" s="79">
        <v>9163</v>
      </c>
      <c r="V274" s="79">
        <v>17700</v>
      </c>
      <c r="W274" s="79">
        <v>5350</v>
      </c>
      <c r="X274" s="79">
        <v>0</v>
      </c>
      <c r="Y274" s="79">
        <v>261.60000000000002</v>
      </c>
      <c r="Z274" s="79">
        <v>0</v>
      </c>
      <c r="AA274" s="79">
        <v>0</v>
      </c>
      <c r="AB274" s="79">
        <v>54.2</v>
      </c>
      <c r="AC274" s="79">
        <v>7652</v>
      </c>
      <c r="AD274" s="79">
        <v>7652</v>
      </c>
      <c r="AE274" s="79">
        <v>153</v>
      </c>
      <c r="AF274" s="79">
        <v>0</v>
      </c>
      <c r="AG274" s="79">
        <v>228</v>
      </c>
      <c r="AH274" s="79">
        <v>159</v>
      </c>
      <c r="AI274" s="79">
        <v>69</v>
      </c>
      <c r="AJ274" s="79">
        <v>9023</v>
      </c>
      <c r="AK274" s="79">
        <v>9023</v>
      </c>
      <c r="AL274" s="79">
        <v>0</v>
      </c>
      <c r="AM274" s="79">
        <v>0</v>
      </c>
      <c r="AN274" s="79">
        <v>0</v>
      </c>
      <c r="AO274" s="79">
        <v>0</v>
      </c>
      <c r="AP274" s="79">
        <v>0</v>
      </c>
      <c r="AQ274" s="79">
        <v>0</v>
      </c>
      <c r="AR274" s="80">
        <v>1.6137500000000001E-4</v>
      </c>
      <c r="AS274" s="80">
        <v>1.0402400000000001E-4</v>
      </c>
      <c r="AT274" s="79">
        <v>5323.57</v>
      </c>
      <c r="AU274" s="79">
        <v>0</v>
      </c>
      <c r="AV274" s="79">
        <v>691</v>
      </c>
      <c r="AW274" s="79">
        <v>1809.6143497757901</v>
      </c>
      <c r="AX274" s="79">
        <v>10</v>
      </c>
      <c r="AY274" s="79">
        <v>10</v>
      </c>
      <c r="AZ274" s="79">
        <v>2347</v>
      </c>
      <c r="BA274" s="79">
        <v>1</v>
      </c>
      <c r="BB274" s="79">
        <v>0</v>
      </c>
      <c r="BC274" s="79">
        <v>0</v>
      </c>
      <c r="BD274" s="79">
        <v>0</v>
      </c>
      <c r="BE274" s="79">
        <v>0</v>
      </c>
      <c r="BF274" s="79">
        <v>0</v>
      </c>
      <c r="BG274" s="79">
        <v>0</v>
      </c>
      <c r="BH274" s="79">
        <v>0</v>
      </c>
      <c r="BI274" s="79">
        <v>0</v>
      </c>
      <c r="BJ274" s="79">
        <v>0</v>
      </c>
      <c r="BK274" s="79">
        <v>9</v>
      </c>
      <c r="BL274" s="79">
        <v>2548</v>
      </c>
      <c r="BM274" s="79">
        <v>159</v>
      </c>
      <c r="BN274" s="79">
        <v>69</v>
      </c>
      <c r="BO274">
        <v>4101</v>
      </c>
      <c r="BP274">
        <v>248</v>
      </c>
      <c r="BQ274">
        <v>4100</v>
      </c>
      <c r="BR274">
        <v>219</v>
      </c>
      <c r="BS274">
        <v>4063</v>
      </c>
      <c r="BT274">
        <v>211</v>
      </c>
      <c r="BU274">
        <v>4058</v>
      </c>
      <c r="BV274">
        <v>234</v>
      </c>
      <c r="BW274">
        <v>3985</v>
      </c>
      <c r="BX274">
        <v>243</v>
      </c>
      <c r="BY274">
        <v>3907</v>
      </c>
      <c r="BZ274">
        <v>226</v>
      </c>
      <c r="CB274">
        <v>339.99799999999999</v>
      </c>
      <c r="CC274">
        <v>42</v>
      </c>
      <c r="CD274">
        <v>31</v>
      </c>
      <c r="CE274">
        <v>6095.46</v>
      </c>
      <c r="CF274">
        <v>1432.08</v>
      </c>
      <c r="CG274">
        <v>90.1827129186603</v>
      </c>
      <c r="CH274">
        <v>179</v>
      </c>
      <c r="CI274">
        <v>91.6666666666667</v>
      </c>
      <c r="CJ274">
        <v>64</v>
      </c>
      <c r="CK274" s="81">
        <v>917</v>
      </c>
      <c r="CL274">
        <v>174</v>
      </c>
      <c r="CM274">
        <v>3264.6617618586602</v>
      </c>
      <c r="CN274">
        <v>0.42299999999999999</v>
      </c>
      <c r="CO274">
        <v>15578</v>
      </c>
      <c r="CP274">
        <v>2845</v>
      </c>
      <c r="CQ274">
        <v>466</v>
      </c>
      <c r="CR274">
        <v>508</v>
      </c>
      <c r="CS274">
        <v>456</v>
      </c>
      <c r="CT274">
        <v>214</v>
      </c>
      <c r="CU274">
        <v>305.23974287930798</v>
      </c>
      <c r="CV274">
        <v>188.520026598692</v>
      </c>
      <c r="CW274">
        <v>53.761808711071701</v>
      </c>
      <c r="CX274">
        <v>748.56619999999998</v>
      </c>
      <c r="CY274">
        <v>462.32420000000002</v>
      </c>
      <c r="CZ274">
        <v>131.84479999999999</v>
      </c>
      <c r="DA274">
        <v>0</v>
      </c>
      <c r="DE274">
        <v>873</v>
      </c>
      <c r="DF274" t="s">
        <v>348</v>
      </c>
      <c r="DG274">
        <v>4289</v>
      </c>
      <c r="DH274">
        <v>4230</v>
      </c>
      <c r="DI274">
        <v>4215</v>
      </c>
      <c r="DJ274">
        <v>4176</v>
      </c>
      <c r="DK274">
        <v>4094</v>
      </c>
      <c r="DO274">
        <v>1695</v>
      </c>
      <c r="DP274" t="s">
        <v>218</v>
      </c>
      <c r="DQ274">
        <v>6034</v>
      </c>
      <c r="DR274">
        <v>1.0900000000000001</v>
      </c>
      <c r="DS274">
        <v>225</v>
      </c>
      <c r="DV274">
        <v>1674</v>
      </c>
      <c r="DW274" t="s">
        <v>261</v>
      </c>
      <c r="DX274">
        <v>11165.6544047308</v>
      </c>
      <c r="DY274">
        <v>1972</v>
      </c>
      <c r="DZ274">
        <v>1845</v>
      </c>
      <c r="EA274">
        <v>844</v>
      </c>
      <c r="EB274">
        <v>5793</v>
      </c>
      <c r="EC274">
        <v>3579</v>
      </c>
      <c r="ED274">
        <v>1152</v>
      </c>
      <c r="EE274" s="82">
        <v>0.21555659068310101</v>
      </c>
      <c r="EF274" s="82">
        <v>0.47753270234147599</v>
      </c>
    </row>
    <row r="275" spans="1:136" x14ac:dyDescent="0.35">
      <c r="A275" s="72">
        <v>1684</v>
      </c>
      <c r="B275" s="72">
        <v>10</v>
      </c>
      <c r="D275" s="72" t="s">
        <v>72</v>
      </c>
      <c r="E275" s="79">
        <v>1924000000</v>
      </c>
      <c r="F275" s="79">
        <v>385700000</v>
      </c>
      <c r="G275" s="79">
        <v>408100000</v>
      </c>
      <c r="H275" s="79">
        <v>24931</v>
      </c>
      <c r="I275" s="79">
        <v>3</v>
      </c>
      <c r="J275" s="79">
        <v>408.1</v>
      </c>
      <c r="K275" s="79">
        <v>4667</v>
      </c>
      <c r="L275" s="79">
        <v>5275</v>
      </c>
      <c r="M275" s="79">
        <v>1688</v>
      </c>
      <c r="N275" s="79">
        <v>3288</v>
      </c>
      <c r="O275" s="79">
        <v>2172.3000000000002</v>
      </c>
      <c r="P275" s="79">
        <v>426.66666666666703</v>
      </c>
      <c r="Q275" s="79">
        <v>2026.6666666666699</v>
      </c>
      <c r="R275" s="79">
        <v>1820</v>
      </c>
      <c r="S275" s="79">
        <v>0</v>
      </c>
      <c r="T275" s="79">
        <v>759</v>
      </c>
      <c r="U275" s="79">
        <v>11123</v>
      </c>
      <c r="V275" s="79">
        <v>25130</v>
      </c>
      <c r="W275" s="79">
        <v>14200</v>
      </c>
      <c r="X275" s="79">
        <v>203.94</v>
      </c>
      <c r="Y275" s="79">
        <v>726.4</v>
      </c>
      <c r="Z275" s="79">
        <v>0</v>
      </c>
      <c r="AA275" s="79">
        <v>0</v>
      </c>
      <c r="AB275" s="79">
        <v>0</v>
      </c>
      <c r="AC275" s="79">
        <v>5120</v>
      </c>
      <c r="AD275" s="79">
        <v>5120</v>
      </c>
      <c r="AE275" s="79">
        <v>587</v>
      </c>
      <c r="AF275" s="79">
        <v>0</v>
      </c>
      <c r="AG275" s="79">
        <v>219</v>
      </c>
      <c r="AH275" s="79">
        <v>148</v>
      </c>
      <c r="AI275" s="79">
        <v>71</v>
      </c>
      <c r="AJ275" s="79">
        <v>11157</v>
      </c>
      <c r="AK275" s="79">
        <v>11157</v>
      </c>
      <c r="AL275" s="79">
        <v>0</v>
      </c>
      <c r="AM275" s="79">
        <v>0</v>
      </c>
      <c r="AN275" s="79">
        <v>0</v>
      </c>
      <c r="AO275" s="79">
        <v>0</v>
      </c>
      <c r="AP275" s="79">
        <v>0</v>
      </c>
      <c r="AQ275" s="79">
        <v>0</v>
      </c>
      <c r="AR275" s="80">
        <v>1.6914100000000001E-4</v>
      </c>
      <c r="AS275" s="80">
        <v>1.9411E-4</v>
      </c>
      <c r="AT275" s="79">
        <v>9684.2759999999998</v>
      </c>
      <c r="AU275" s="79">
        <v>0</v>
      </c>
      <c r="AV275" s="79">
        <v>1065</v>
      </c>
      <c r="AW275" s="79">
        <v>4652.4469949185204</v>
      </c>
      <c r="AX275" s="79">
        <v>6</v>
      </c>
      <c r="AY275" s="79">
        <v>6</v>
      </c>
      <c r="AZ275" s="79">
        <v>2230</v>
      </c>
      <c r="BA275" s="79">
        <v>1</v>
      </c>
      <c r="BB275" s="79">
        <v>0</v>
      </c>
      <c r="BC275" s="79">
        <v>0</v>
      </c>
      <c r="BD275" s="79">
        <v>0</v>
      </c>
      <c r="BE275" s="79">
        <v>0</v>
      </c>
      <c r="BF275" s="79">
        <v>0</v>
      </c>
      <c r="BG275" s="79">
        <v>0</v>
      </c>
      <c r="BH275" s="79">
        <v>0</v>
      </c>
      <c r="BI275" s="79">
        <v>0</v>
      </c>
      <c r="BJ275" s="79">
        <v>0</v>
      </c>
      <c r="BK275" s="79">
        <v>44</v>
      </c>
      <c r="BL275" s="79">
        <v>3380</v>
      </c>
      <c r="BM275" s="79">
        <v>148</v>
      </c>
      <c r="BN275" s="79">
        <v>71</v>
      </c>
      <c r="BO275">
        <v>5475</v>
      </c>
      <c r="BP275">
        <v>1332</v>
      </c>
      <c r="BQ275">
        <v>5421</v>
      </c>
      <c r="BR275">
        <v>1233</v>
      </c>
      <c r="BS275">
        <v>5404</v>
      </c>
      <c r="BT275">
        <v>1224</v>
      </c>
      <c r="BU275">
        <v>5360</v>
      </c>
      <c r="BV275">
        <v>1212</v>
      </c>
      <c r="BW275">
        <v>5268</v>
      </c>
      <c r="BX275">
        <v>1189</v>
      </c>
      <c r="BY275">
        <v>5167</v>
      </c>
      <c r="BZ275">
        <v>1083</v>
      </c>
      <c r="CB275">
        <v>462.03300000000002</v>
      </c>
      <c r="CC275">
        <v>82</v>
      </c>
      <c r="CD275">
        <v>71</v>
      </c>
      <c r="CE275">
        <v>6949.12</v>
      </c>
      <c r="CF275">
        <v>1677.5</v>
      </c>
      <c r="CG275">
        <v>153.38552577319601</v>
      </c>
      <c r="CH275">
        <v>263</v>
      </c>
      <c r="CI275">
        <v>129.666666666667</v>
      </c>
      <c r="CJ275">
        <v>110.666666666667</v>
      </c>
      <c r="CK275" s="81">
        <v>1600</v>
      </c>
      <c r="CL275">
        <v>329</v>
      </c>
      <c r="CM275">
        <v>4256.18206436931</v>
      </c>
      <c r="CN275">
        <v>0.78400000000000003</v>
      </c>
      <c r="CO275">
        <v>19656</v>
      </c>
      <c r="CP275">
        <v>3097</v>
      </c>
      <c r="CQ275">
        <v>490</v>
      </c>
      <c r="CR275">
        <v>568</v>
      </c>
      <c r="CS275">
        <v>549</v>
      </c>
      <c r="CT275">
        <v>254</v>
      </c>
      <c r="CU275">
        <v>365.84670610379101</v>
      </c>
      <c r="CV275">
        <v>226.63414896477499</v>
      </c>
      <c r="CW275">
        <v>69.119521376714204</v>
      </c>
      <c r="CX275">
        <v>913.00609999999995</v>
      </c>
      <c r="CY275">
        <v>565.58759999999995</v>
      </c>
      <c r="CZ275">
        <v>172.49449999999999</v>
      </c>
      <c r="DA275">
        <v>12729</v>
      </c>
      <c r="DE275">
        <v>874</v>
      </c>
      <c r="DF275" t="s">
        <v>824</v>
      </c>
      <c r="DG275">
        <v>3393</v>
      </c>
      <c r="DH275">
        <v>3320</v>
      </c>
      <c r="DI275">
        <v>3253</v>
      </c>
      <c r="DJ275">
        <v>3209</v>
      </c>
      <c r="DK275">
        <v>3159</v>
      </c>
      <c r="DO275">
        <v>703</v>
      </c>
      <c r="DP275" t="s">
        <v>250</v>
      </c>
      <c r="DQ275">
        <v>9119</v>
      </c>
      <c r="DR275">
        <v>1.25</v>
      </c>
      <c r="DS275">
        <v>506</v>
      </c>
      <c r="DV275">
        <v>599</v>
      </c>
      <c r="DW275" t="s">
        <v>262</v>
      </c>
      <c r="DX275">
        <v>121930.32505472501</v>
      </c>
      <c r="DY275">
        <v>18819</v>
      </c>
      <c r="DZ275">
        <v>13406</v>
      </c>
      <c r="EA275">
        <v>7384</v>
      </c>
      <c r="EB275">
        <v>37693</v>
      </c>
      <c r="EC275">
        <v>22699</v>
      </c>
      <c r="ED275">
        <v>9701</v>
      </c>
      <c r="EE275" s="82">
        <v>0.28254811269256003</v>
      </c>
      <c r="EF275" s="82">
        <v>0.55829946497093697</v>
      </c>
    </row>
    <row r="276" spans="1:136" x14ac:dyDescent="0.35">
      <c r="A276" s="72">
        <v>762</v>
      </c>
      <c r="B276" s="72">
        <v>10</v>
      </c>
      <c r="D276" s="72" t="s">
        <v>83</v>
      </c>
      <c r="E276" s="79">
        <v>2890000000</v>
      </c>
      <c r="F276" s="79">
        <v>516600000</v>
      </c>
      <c r="G276" s="79">
        <v>574350000</v>
      </c>
      <c r="H276" s="79">
        <v>32362</v>
      </c>
      <c r="I276" s="79">
        <v>3</v>
      </c>
      <c r="J276" s="79">
        <v>574.35</v>
      </c>
      <c r="K276" s="79">
        <v>6132</v>
      </c>
      <c r="L276" s="79">
        <v>6831</v>
      </c>
      <c r="M276" s="79">
        <v>2242</v>
      </c>
      <c r="N276" s="79">
        <v>3951</v>
      </c>
      <c r="O276" s="79">
        <v>2531.4</v>
      </c>
      <c r="P276" s="79">
        <v>440</v>
      </c>
      <c r="Q276" s="79">
        <v>2220</v>
      </c>
      <c r="R276" s="79">
        <v>705</v>
      </c>
      <c r="S276" s="79">
        <v>0</v>
      </c>
      <c r="T276" s="79">
        <v>818</v>
      </c>
      <c r="U276" s="79">
        <v>14276</v>
      </c>
      <c r="V276" s="79">
        <v>31660</v>
      </c>
      <c r="W276" s="79">
        <v>22870</v>
      </c>
      <c r="X276" s="79">
        <v>676.18</v>
      </c>
      <c r="Y276" s="79">
        <v>2332</v>
      </c>
      <c r="Z276" s="79">
        <v>0</v>
      </c>
      <c r="AA276" s="79">
        <v>0</v>
      </c>
      <c r="AB276" s="79">
        <v>0</v>
      </c>
      <c r="AC276" s="79">
        <v>11681</v>
      </c>
      <c r="AD276" s="79">
        <v>11681</v>
      </c>
      <c r="AE276" s="79">
        <v>155</v>
      </c>
      <c r="AF276" s="79">
        <v>0</v>
      </c>
      <c r="AG276" s="79">
        <v>401</v>
      </c>
      <c r="AH276" s="79">
        <v>217</v>
      </c>
      <c r="AI276" s="79">
        <v>184</v>
      </c>
      <c r="AJ276" s="79">
        <v>14196</v>
      </c>
      <c r="AK276" s="79">
        <v>14196</v>
      </c>
      <c r="AL276" s="79">
        <v>0</v>
      </c>
      <c r="AM276" s="79">
        <v>0</v>
      </c>
      <c r="AN276" s="79">
        <v>0</v>
      </c>
      <c r="AO276" s="79">
        <v>0</v>
      </c>
      <c r="AP276" s="79">
        <v>720</v>
      </c>
      <c r="AQ276" s="79">
        <v>0</v>
      </c>
      <c r="AR276" s="80">
        <v>2.331E-4</v>
      </c>
      <c r="AS276" s="80">
        <v>1.51934E-4</v>
      </c>
      <c r="AT276" s="79">
        <v>12478.284</v>
      </c>
      <c r="AU276" s="79">
        <v>0</v>
      </c>
      <c r="AV276" s="79">
        <v>2233</v>
      </c>
      <c r="AW276" s="79">
        <v>6105.47026022305</v>
      </c>
      <c r="AX276" s="79">
        <v>6</v>
      </c>
      <c r="AY276" s="79">
        <v>6</v>
      </c>
      <c r="AZ276" s="79">
        <v>3715</v>
      </c>
      <c r="BA276" s="79">
        <v>1</v>
      </c>
      <c r="BB276" s="79">
        <v>0</v>
      </c>
      <c r="BC276" s="79">
        <v>0</v>
      </c>
      <c r="BD276" s="79">
        <v>0</v>
      </c>
      <c r="BE276" s="79">
        <v>0</v>
      </c>
      <c r="BF276" s="79">
        <v>0</v>
      </c>
      <c r="BG276" s="79">
        <v>0</v>
      </c>
      <c r="BH276" s="79">
        <v>0</v>
      </c>
      <c r="BI276" s="79">
        <v>0</v>
      </c>
      <c r="BJ276" s="79">
        <v>0</v>
      </c>
      <c r="BK276" s="79">
        <v>51</v>
      </c>
      <c r="BL276" s="79">
        <v>4140</v>
      </c>
      <c r="BM276" s="79">
        <v>217</v>
      </c>
      <c r="BN276" s="79">
        <v>184</v>
      </c>
      <c r="BO276">
        <v>6930</v>
      </c>
      <c r="BP276">
        <v>2756</v>
      </c>
      <c r="BQ276">
        <v>6830</v>
      </c>
      <c r="BR276">
        <v>2681</v>
      </c>
      <c r="BS276">
        <v>6777</v>
      </c>
      <c r="BT276">
        <v>2684</v>
      </c>
      <c r="BU276">
        <v>6650</v>
      </c>
      <c r="BV276">
        <v>2629</v>
      </c>
      <c r="BW276">
        <v>6492</v>
      </c>
      <c r="BX276">
        <v>2650</v>
      </c>
      <c r="BY276">
        <v>6367</v>
      </c>
      <c r="BZ276">
        <v>2674</v>
      </c>
      <c r="CB276">
        <v>607.06799999999998</v>
      </c>
      <c r="CC276">
        <v>91</v>
      </c>
      <c r="CD276">
        <v>55</v>
      </c>
      <c r="CE276">
        <v>8760.32</v>
      </c>
      <c r="CF276">
        <v>2055.69</v>
      </c>
      <c r="CG276">
        <v>130.34430769230801</v>
      </c>
      <c r="CH276">
        <v>345</v>
      </c>
      <c r="CI276">
        <v>113.333333333333</v>
      </c>
      <c r="CJ276">
        <v>91.3333333333333</v>
      </c>
      <c r="CK276" s="81">
        <v>1780</v>
      </c>
      <c r="CL276">
        <v>540</v>
      </c>
      <c r="CM276">
        <v>4980.1217667356796</v>
      </c>
      <c r="CN276">
        <v>0.58399999999999996</v>
      </c>
      <c r="CO276">
        <v>25531</v>
      </c>
      <c r="CP276">
        <v>3892</v>
      </c>
      <c r="CQ276">
        <v>697</v>
      </c>
      <c r="CR276">
        <v>682</v>
      </c>
      <c r="CS276">
        <v>760</v>
      </c>
      <c r="CT276">
        <v>377</v>
      </c>
      <c r="CU276">
        <v>425.822992392223</v>
      </c>
      <c r="CV276">
        <v>277.81918850380401</v>
      </c>
      <c r="CW276">
        <v>93.616863905325403</v>
      </c>
      <c r="CX276">
        <v>1120.4495999999999</v>
      </c>
      <c r="CY276">
        <v>731.0136</v>
      </c>
      <c r="CZ276">
        <v>246.33</v>
      </c>
      <c r="DA276">
        <v>109673</v>
      </c>
      <c r="DE276">
        <v>879</v>
      </c>
      <c r="DF276" t="s">
        <v>361</v>
      </c>
      <c r="DG276">
        <v>4277</v>
      </c>
      <c r="DH276">
        <v>4187</v>
      </c>
      <c r="DI276">
        <v>4173</v>
      </c>
      <c r="DJ276">
        <v>4073</v>
      </c>
      <c r="DK276">
        <v>3998</v>
      </c>
      <c r="DO276">
        <v>1676</v>
      </c>
      <c r="DP276" t="s">
        <v>269</v>
      </c>
      <c r="DQ276">
        <v>21744</v>
      </c>
      <c r="DR276">
        <v>1.06</v>
      </c>
      <c r="DS276">
        <v>476</v>
      </c>
      <c r="DV276">
        <v>277</v>
      </c>
      <c r="DW276" t="s">
        <v>263</v>
      </c>
      <c r="DX276">
        <v>102.96875</v>
      </c>
      <c r="DY276">
        <v>17</v>
      </c>
      <c r="DZ276">
        <v>42</v>
      </c>
      <c r="EA276">
        <v>27</v>
      </c>
      <c r="EB276">
        <v>124</v>
      </c>
      <c r="EC276">
        <v>99</v>
      </c>
      <c r="ED276">
        <v>44</v>
      </c>
      <c r="EE276" s="82">
        <v>5.46077327327327E-2</v>
      </c>
      <c r="EF276" s="82">
        <v>6.0097542015251297E-2</v>
      </c>
    </row>
    <row r="277" spans="1:136" x14ac:dyDescent="0.35">
      <c r="A277" s="72">
        <v>766</v>
      </c>
      <c r="B277" s="72">
        <v>10</v>
      </c>
      <c r="D277" s="72" t="s">
        <v>89</v>
      </c>
      <c r="E277" s="79">
        <v>2172800000</v>
      </c>
      <c r="F277" s="79">
        <v>319550000</v>
      </c>
      <c r="G277" s="79">
        <v>342300000</v>
      </c>
      <c r="H277" s="79">
        <v>26051</v>
      </c>
      <c r="I277" s="79">
        <v>2</v>
      </c>
      <c r="J277" s="79">
        <v>342.3</v>
      </c>
      <c r="K277" s="79">
        <v>4965</v>
      </c>
      <c r="L277" s="79">
        <v>5466</v>
      </c>
      <c r="M277" s="79">
        <v>1698</v>
      </c>
      <c r="N277" s="79">
        <v>3087</v>
      </c>
      <c r="O277" s="79">
        <v>1952.8</v>
      </c>
      <c r="P277" s="79">
        <v>292</v>
      </c>
      <c r="Q277" s="79">
        <v>1408</v>
      </c>
      <c r="R277" s="79">
        <v>1275</v>
      </c>
      <c r="S277" s="79">
        <v>0</v>
      </c>
      <c r="T277" s="79">
        <v>735</v>
      </c>
      <c r="U277" s="79">
        <v>11505</v>
      </c>
      <c r="V277" s="79">
        <v>23760</v>
      </c>
      <c r="W277" s="79">
        <v>10140</v>
      </c>
      <c r="X277" s="79">
        <v>0</v>
      </c>
      <c r="Y277" s="79">
        <v>1015.2</v>
      </c>
      <c r="Z277" s="79">
        <v>0</v>
      </c>
      <c r="AA277" s="79">
        <v>0</v>
      </c>
      <c r="AB277" s="79">
        <v>0</v>
      </c>
      <c r="AC277" s="79">
        <v>2925</v>
      </c>
      <c r="AD277" s="79">
        <v>2925</v>
      </c>
      <c r="AE277" s="79">
        <v>49</v>
      </c>
      <c r="AF277" s="79">
        <v>0</v>
      </c>
      <c r="AG277" s="79">
        <v>198</v>
      </c>
      <c r="AH277" s="79">
        <v>148</v>
      </c>
      <c r="AI277" s="79">
        <v>51</v>
      </c>
      <c r="AJ277" s="79">
        <v>11342</v>
      </c>
      <c r="AK277" s="79">
        <v>11342</v>
      </c>
      <c r="AL277" s="79">
        <v>0</v>
      </c>
      <c r="AM277" s="79">
        <v>0</v>
      </c>
      <c r="AN277" s="79">
        <v>0</v>
      </c>
      <c r="AO277" s="79">
        <v>0</v>
      </c>
      <c r="AP277" s="79">
        <v>1346</v>
      </c>
      <c r="AQ277" s="79">
        <v>0</v>
      </c>
      <c r="AR277" s="80">
        <v>2.5246600000000002E-4</v>
      </c>
      <c r="AS277" s="80">
        <v>2.0193899999999999E-4</v>
      </c>
      <c r="AT277" s="79">
        <v>13542.348</v>
      </c>
      <c r="AU277" s="79">
        <v>0</v>
      </c>
      <c r="AV277" s="79">
        <v>640</v>
      </c>
      <c r="AW277" s="79">
        <v>5606.1331540013498</v>
      </c>
      <c r="AX277" s="79">
        <v>3</v>
      </c>
      <c r="AY277" s="79">
        <v>3</v>
      </c>
      <c r="AZ277" s="79">
        <v>2620</v>
      </c>
      <c r="BA277" s="79">
        <v>1</v>
      </c>
      <c r="BB277" s="79">
        <v>0</v>
      </c>
      <c r="BC277" s="79">
        <v>0</v>
      </c>
      <c r="BD277" s="79">
        <v>0</v>
      </c>
      <c r="BE277" s="79">
        <v>0</v>
      </c>
      <c r="BF277" s="79">
        <v>0</v>
      </c>
      <c r="BG277" s="79">
        <v>0</v>
      </c>
      <c r="BH277" s="79">
        <v>0</v>
      </c>
      <c r="BI277" s="79">
        <v>0</v>
      </c>
      <c r="BJ277" s="79">
        <v>0</v>
      </c>
      <c r="BK277" s="79">
        <v>17</v>
      </c>
      <c r="BL277" s="79">
        <v>3206</v>
      </c>
      <c r="BM277" s="79">
        <v>148</v>
      </c>
      <c r="BN277" s="79">
        <v>51</v>
      </c>
      <c r="BO277">
        <v>5605</v>
      </c>
      <c r="BP277">
        <v>1432</v>
      </c>
      <c r="BQ277">
        <v>5447</v>
      </c>
      <c r="BR277">
        <v>1376</v>
      </c>
      <c r="BS277">
        <v>5369</v>
      </c>
      <c r="BT277">
        <v>1368</v>
      </c>
      <c r="BU277">
        <v>5333</v>
      </c>
      <c r="BV277">
        <v>1399</v>
      </c>
      <c r="BW277">
        <v>5297</v>
      </c>
      <c r="BX277">
        <v>1422</v>
      </c>
      <c r="BY277">
        <v>5211</v>
      </c>
      <c r="BZ277">
        <v>1387</v>
      </c>
      <c r="CB277">
        <v>377.34</v>
      </c>
      <c r="CC277">
        <v>112</v>
      </c>
      <c r="CD277">
        <v>68</v>
      </c>
      <c r="CE277">
        <v>7518.08</v>
      </c>
      <c r="CF277">
        <v>1896.77</v>
      </c>
      <c r="CG277">
        <v>141.46625463994101</v>
      </c>
      <c r="CH277">
        <v>245</v>
      </c>
      <c r="CI277">
        <v>81.3333333333333</v>
      </c>
      <c r="CJ277">
        <v>66</v>
      </c>
      <c r="CK277" s="81">
        <v>1116</v>
      </c>
      <c r="CL277">
        <v>259</v>
      </c>
      <c r="CM277">
        <v>4621.6255632943803</v>
      </c>
      <c r="CN277">
        <v>0.36199999999999999</v>
      </c>
      <c r="CO277">
        <v>20585</v>
      </c>
      <c r="CP277">
        <v>3172</v>
      </c>
      <c r="CQ277">
        <v>596</v>
      </c>
      <c r="CR277">
        <v>596</v>
      </c>
      <c r="CS277">
        <v>541</v>
      </c>
      <c r="CT277">
        <v>287</v>
      </c>
      <c r="CU277">
        <v>331.43537295009702</v>
      </c>
      <c r="CV277">
        <v>200.410791747487</v>
      </c>
      <c r="CW277">
        <v>68.3531652265914</v>
      </c>
      <c r="CX277">
        <v>849.69500000000005</v>
      </c>
      <c r="CY277">
        <v>513.78959999999995</v>
      </c>
      <c r="CZ277">
        <v>175.23580000000001</v>
      </c>
      <c r="DA277">
        <v>20433</v>
      </c>
      <c r="DE277">
        <v>880</v>
      </c>
      <c r="DF277" t="s">
        <v>350</v>
      </c>
      <c r="DG277">
        <v>3569</v>
      </c>
      <c r="DH277">
        <v>3509</v>
      </c>
      <c r="DI277">
        <v>3428</v>
      </c>
      <c r="DJ277">
        <v>3350</v>
      </c>
      <c r="DK277">
        <v>3234</v>
      </c>
      <c r="DO277">
        <v>1714</v>
      </c>
      <c r="DP277" t="s">
        <v>277</v>
      </c>
      <c r="DQ277">
        <v>17337</v>
      </c>
      <c r="DR277">
        <v>1.02</v>
      </c>
      <c r="DS277">
        <v>421</v>
      </c>
      <c r="DV277">
        <v>840</v>
      </c>
      <c r="DW277" t="s">
        <v>264</v>
      </c>
      <c r="DX277">
        <v>2852.3494953698901</v>
      </c>
      <c r="DY277">
        <v>563</v>
      </c>
      <c r="DZ277">
        <v>492</v>
      </c>
      <c r="EA277">
        <v>203</v>
      </c>
      <c r="EB277">
        <v>1809</v>
      </c>
      <c r="EC277">
        <v>1001</v>
      </c>
      <c r="ED277">
        <v>272</v>
      </c>
      <c r="EE277" s="82">
        <v>0.191770611228507</v>
      </c>
      <c r="EF277" s="82">
        <v>0.47753270234147599</v>
      </c>
    </row>
    <row r="278" spans="1:136" x14ac:dyDescent="0.35">
      <c r="A278" s="72">
        <v>1719</v>
      </c>
      <c r="B278" s="72">
        <v>10</v>
      </c>
      <c r="D278" s="72" t="s">
        <v>92</v>
      </c>
      <c r="E278" s="79">
        <v>2314800000</v>
      </c>
      <c r="F278" s="79">
        <v>290150000</v>
      </c>
      <c r="G278" s="79">
        <v>326900000</v>
      </c>
      <c r="H278" s="79">
        <v>27150</v>
      </c>
      <c r="I278" s="79">
        <v>5</v>
      </c>
      <c r="J278" s="79">
        <v>326.89999999999998</v>
      </c>
      <c r="K278" s="79">
        <v>4836</v>
      </c>
      <c r="L278" s="79">
        <v>6026</v>
      </c>
      <c r="M278" s="79">
        <v>1812</v>
      </c>
      <c r="N278" s="79">
        <v>2992</v>
      </c>
      <c r="O278" s="79">
        <v>1795.5</v>
      </c>
      <c r="P278" s="79">
        <v>178.333333333333</v>
      </c>
      <c r="Q278" s="79">
        <v>1323.3333333333301</v>
      </c>
      <c r="R278" s="79">
        <v>365</v>
      </c>
      <c r="S278" s="79">
        <v>0</v>
      </c>
      <c r="T278" s="79">
        <v>637</v>
      </c>
      <c r="U278" s="79">
        <v>12025</v>
      </c>
      <c r="V278" s="79">
        <v>19210</v>
      </c>
      <c r="W278" s="79">
        <v>2670</v>
      </c>
      <c r="X278" s="79">
        <v>0</v>
      </c>
      <c r="Y278" s="79">
        <v>450.4</v>
      </c>
      <c r="Z278" s="79">
        <v>0</v>
      </c>
      <c r="AA278" s="79">
        <v>0</v>
      </c>
      <c r="AB278" s="79">
        <v>0</v>
      </c>
      <c r="AC278" s="79">
        <v>9484</v>
      </c>
      <c r="AD278" s="79">
        <v>9484</v>
      </c>
      <c r="AE278" s="79">
        <v>2459</v>
      </c>
      <c r="AF278" s="79">
        <v>0</v>
      </c>
      <c r="AG278" s="79">
        <v>210</v>
      </c>
      <c r="AH278" s="79">
        <v>155</v>
      </c>
      <c r="AI278" s="79">
        <v>55</v>
      </c>
      <c r="AJ278" s="79">
        <v>11965</v>
      </c>
      <c r="AK278" s="79">
        <v>11965</v>
      </c>
      <c r="AL278" s="79">
        <v>0</v>
      </c>
      <c r="AM278" s="79">
        <v>0</v>
      </c>
      <c r="AN278" s="79">
        <v>0</v>
      </c>
      <c r="AO278" s="79">
        <v>0</v>
      </c>
      <c r="AP278" s="79">
        <v>1237</v>
      </c>
      <c r="AQ278" s="79">
        <v>0</v>
      </c>
      <c r="AR278" s="80">
        <v>2.5231400000000001E-4</v>
      </c>
      <c r="AS278" s="80">
        <v>1.0967999999999999E-4</v>
      </c>
      <c r="AT278" s="79">
        <v>9356.6299999999992</v>
      </c>
      <c r="AU278" s="79">
        <v>0</v>
      </c>
      <c r="AV278" s="79">
        <v>4743</v>
      </c>
      <c r="AW278" s="79">
        <v>11014.129615674499</v>
      </c>
      <c r="AX278" s="79">
        <v>7</v>
      </c>
      <c r="AY278" s="79">
        <v>7</v>
      </c>
      <c r="AZ278" s="79">
        <v>3044</v>
      </c>
      <c r="BA278" s="79">
        <v>1</v>
      </c>
      <c r="BB278" s="79">
        <v>0</v>
      </c>
      <c r="BC278" s="79">
        <v>0</v>
      </c>
      <c r="BD278" s="79">
        <v>0</v>
      </c>
      <c r="BE278" s="79">
        <v>0</v>
      </c>
      <c r="BF278" s="79">
        <v>0</v>
      </c>
      <c r="BG278" s="79">
        <v>0</v>
      </c>
      <c r="BH278" s="79">
        <v>0</v>
      </c>
      <c r="BI278" s="79">
        <v>0</v>
      </c>
      <c r="BJ278" s="79">
        <v>0</v>
      </c>
      <c r="BK278" s="79">
        <v>16</v>
      </c>
      <c r="BL278" s="79">
        <v>3175</v>
      </c>
      <c r="BM278" s="79">
        <v>155</v>
      </c>
      <c r="BN278" s="79">
        <v>55</v>
      </c>
      <c r="BO278">
        <v>5586</v>
      </c>
      <c r="BP278">
        <v>569</v>
      </c>
      <c r="BQ278">
        <v>5506</v>
      </c>
      <c r="BR278">
        <v>607</v>
      </c>
      <c r="BS278">
        <v>5398</v>
      </c>
      <c r="BT278">
        <v>634</v>
      </c>
      <c r="BU278">
        <v>5378</v>
      </c>
      <c r="BV278">
        <v>720</v>
      </c>
      <c r="BW278">
        <v>5304</v>
      </c>
      <c r="BX278">
        <v>794</v>
      </c>
      <c r="BY278">
        <v>5210</v>
      </c>
      <c r="BZ278">
        <v>809</v>
      </c>
      <c r="CB278">
        <v>328.84800000000001</v>
      </c>
      <c r="CC278">
        <v>100</v>
      </c>
      <c r="CD278">
        <v>42</v>
      </c>
      <c r="CE278">
        <v>8303.76</v>
      </c>
      <c r="CF278">
        <v>2017.11</v>
      </c>
      <c r="CG278">
        <v>129.403064327485</v>
      </c>
      <c r="CH278">
        <v>253</v>
      </c>
      <c r="CI278">
        <v>57</v>
      </c>
      <c r="CJ278">
        <v>39.6666666666667</v>
      </c>
      <c r="CK278" s="81">
        <v>1145</v>
      </c>
      <c r="CL278">
        <v>389</v>
      </c>
      <c r="CM278">
        <v>4431.8843930635803</v>
      </c>
      <c r="CN278">
        <v>0.13600000000000001</v>
      </c>
      <c r="CO278">
        <v>21124</v>
      </c>
      <c r="CP278">
        <v>3641</v>
      </c>
      <c r="CQ278">
        <v>573</v>
      </c>
      <c r="CR278">
        <v>586</v>
      </c>
      <c r="CS278">
        <v>575</v>
      </c>
      <c r="CT278">
        <v>285</v>
      </c>
      <c r="CU278">
        <v>330.43802758044302</v>
      </c>
      <c r="CV278">
        <v>186.377852068533</v>
      </c>
      <c r="CW278">
        <v>61.075511909736697</v>
      </c>
      <c r="CX278">
        <v>874.19399999999996</v>
      </c>
      <c r="CY278">
        <v>493.07400000000001</v>
      </c>
      <c r="CZ278">
        <v>161.57900000000001</v>
      </c>
      <c r="DA278">
        <v>97820</v>
      </c>
      <c r="DE278">
        <v>881</v>
      </c>
      <c r="DF278" t="s">
        <v>826</v>
      </c>
      <c r="DG278">
        <v>1546</v>
      </c>
      <c r="DH278">
        <v>1530</v>
      </c>
      <c r="DI278">
        <v>1486</v>
      </c>
      <c r="DJ278">
        <v>1441</v>
      </c>
      <c r="DK278">
        <v>1389</v>
      </c>
      <c r="DO278">
        <v>715</v>
      </c>
      <c r="DP278" t="s">
        <v>290</v>
      </c>
      <c r="DQ278">
        <v>26954</v>
      </c>
      <c r="DR278">
        <v>1.01</v>
      </c>
      <c r="DS278">
        <v>859</v>
      </c>
      <c r="DV278">
        <v>441</v>
      </c>
      <c r="DW278" t="s">
        <v>265</v>
      </c>
      <c r="DX278">
        <v>5714.0260180431596</v>
      </c>
      <c r="DY278">
        <v>1332</v>
      </c>
      <c r="DZ278">
        <v>1055</v>
      </c>
      <c r="EA278">
        <v>571</v>
      </c>
      <c r="EB278">
        <v>4049</v>
      </c>
      <c r="EC278">
        <v>2260</v>
      </c>
      <c r="ED278">
        <v>796</v>
      </c>
      <c r="EE278" s="82">
        <v>0.13998429307195101</v>
      </c>
      <c r="EF278" s="82">
        <v>0.44140850577478302</v>
      </c>
    </row>
    <row r="279" spans="1:136" x14ac:dyDescent="0.35">
      <c r="A279" s="72">
        <v>770</v>
      </c>
      <c r="B279" s="72">
        <v>10</v>
      </c>
      <c r="D279" s="72" t="s">
        <v>100</v>
      </c>
      <c r="E279" s="79">
        <v>1987200000</v>
      </c>
      <c r="F279" s="79">
        <v>317100000</v>
      </c>
      <c r="G279" s="79">
        <v>350350000</v>
      </c>
      <c r="H279" s="79">
        <v>19110</v>
      </c>
      <c r="I279" s="79">
        <v>4</v>
      </c>
      <c r="J279" s="79">
        <v>350.35</v>
      </c>
      <c r="K279" s="79">
        <v>3524</v>
      </c>
      <c r="L279" s="79">
        <v>4234</v>
      </c>
      <c r="M279" s="79">
        <v>1463</v>
      </c>
      <c r="N279" s="79">
        <v>1892</v>
      </c>
      <c r="O279" s="79">
        <v>1023.1</v>
      </c>
      <c r="P279" s="79">
        <v>140.666666666667</v>
      </c>
      <c r="Q279" s="79">
        <v>1187.6666666666699</v>
      </c>
      <c r="R279" s="79">
        <v>220</v>
      </c>
      <c r="S279" s="79">
        <v>0</v>
      </c>
      <c r="T279" s="79">
        <v>416</v>
      </c>
      <c r="U279" s="79">
        <v>8445</v>
      </c>
      <c r="V279" s="79">
        <v>15340</v>
      </c>
      <c r="W279" s="79">
        <v>4740</v>
      </c>
      <c r="X279" s="79">
        <v>346</v>
      </c>
      <c r="Y279" s="79">
        <v>976.8</v>
      </c>
      <c r="Z279" s="79">
        <v>0</v>
      </c>
      <c r="AA279" s="79">
        <v>0</v>
      </c>
      <c r="AB279" s="79">
        <v>0</v>
      </c>
      <c r="AC279" s="79">
        <v>8246</v>
      </c>
      <c r="AD279" s="79">
        <v>8246</v>
      </c>
      <c r="AE279" s="79">
        <v>87</v>
      </c>
      <c r="AF279" s="79">
        <v>0</v>
      </c>
      <c r="AG279" s="79">
        <v>216</v>
      </c>
      <c r="AH279" s="79">
        <v>126</v>
      </c>
      <c r="AI279" s="79">
        <v>90</v>
      </c>
      <c r="AJ279" s="79">
        <v>8689</v>
      </c>
      <c r="AK279" s="79">
        <v>8689</v>
      </c>
      <c r="AL279" s="79">
        <v>0</v>
      </c>
      <c r="AM279" s="79">
        <v>0</v>
      </c>
      <c r="AN279" s="79">
        <v>0</v>
      </c>
      <c r="AO279" s="79">
        <v>0</v>
      </c>
      <c r="AP279" s="79">
        <v>0</v>
      </c>
      <c r="AQ279" s="79">
        <v>0</v>
      </c>
      <c r="AR279" s="80">
        <v>9.4083E-5</v>
      </c>
      <c r="AS279" s="80">
        <v>5.6078000000000001E-5</v>
      </c>
      <c r="AT279" s="79">
        <v>4917.9740000000002</v>
      </c>
      <c r="AU279" s="79">
        <v>0</v>
      </c>
      <c r="AV279" s="79">
        <v>514</v>
      </c>
      <c r="AW279" s="79">
        <v>1178.7519500779999</v>
      </c>
      <c r="AX279" s="79">
        <v>11</v>
      </c>
      <c r="AY279" s="79">
        <v>11</v>
      </c>
      <c r="AZ279" s="79">
        <v>2413</v>
      </c>
      <c r="BA279" s="79">
        <v>1</v>
      </c>
      <c r="BB279" s="79">
        <v>0</v>
      </c>
      <c r="BC279" s="79">
        <v>0</v>
      </c>
      <c r="BD279" s="79">
        <v>0</v>
      </c>
      <c r="BE279" s="79">
        <v>0</v>
      </c>
      <c r="BF279" s="79">
        <v>0</v>
      </c>
      <c r="BG279" s="79">
        <v>0</v>
      </c>
      <c r="BH279" s="79">
        <v>0</v>
      </c>
      <c r="BI279" s="79">
        <v>0</v>
      </c>
      <c r="BJ279" s="79">
        <v>0</v>
      </c>
      <c r="BK279" s="79">
        <v>22</v>
      </c>
      <c r="BL279" s="79">
        <v>2328</v>
      </c>
      <c r="BM279" s="79">
        <v>126</v>
      </c>
      <c r="BN279" s="79">
        <v>90</v>
      </c>
      <c r="BO279">
        <v>3976</v>
      </c>
      <c r="BP279">
        <v>1387</v>
      </c>
      <c r="BQ279">
        <v>3884</v>
      </c>
      <c r="BR279">
        <v>1310</v>
      </c>
      <c r="BS279">
        <v>3792</v>
      </c>
      <c r="BT279">
        <v>1310</v>
      </c>
      <c r="BU279">
        <v>3713</v>
      </c>
      <c r="BV279">
        <v>1331</v>
      </c>
      <c r="BW279">
        <v>3613</v>
      </c>
      <c r="BX279">
        <v>1306</v>
      </c>
      <c r="BY279">
        <v>3545</v>
      </c>
      <c r="BZ279">
        <v>1312</v>
      </c>
      <c r="CB279">
        <v>271.34800000000001</v>
      </c>
      <c r="CC279">
        <v>30</v>
      </c>
      <c r="CD279">
        <v>23</v>
      </c>
      <c r="CE279">
        <v>6161.54</v>
      </c>
      <c r="CF279">
        <v>1409.87</v>
      </c>
      <c r="CG279">
        <v>79.1574317019722</v>
      </c>
      <c r="CH279">
        <v>155</v>
      </c>
      <c r="CI279">
        <v>46</v>
      </c>
      <c r="CJ279">
        <v>23.3333333333333</v>
      </c>
      <c r="CK279" s="81">
        <v>1047</v>
      </c>
      <c r="CL279">
        <v>427</v>
      </c>
      <c r="CM279">
        <v>2708.0964260686801</v>
      </c>
      <c r="CN279">
        <v>9.5000000000000001E-2</v>
      </c>
      <c r="CO279">
        <v>14876</v>
      </c>
      <c r="CP279">
        <v>2292</v>
      </c>
      <c r="CQ279">
        <v>479</v>
      </c>
      <c r="CR279">
        <v>366</v>
      </c>
      <c r="CS279">
        <v>442</v>
      </c>
      <c r="CT279">
        <v>233</v>
      </c>
      <c r="CU279">
        <v>161.19506272298301</v>
      </c>
      <c r="CV279">
        <v>115.509391184256</v>
      </c>
      <c r="CW279">
        <v>41.3290482218897</v>
      </c>
      <c r="CX279">
        <v>479.15</v>
      </c>
      <c r="CY279">
        <v>343.35</v>
      </c>
      <c r="CZ279">
        <v>122.85</v>
      </c>
      <c r="DA279">
        <v>121910</v>
      </c>
      <c r="DE279">
        <v>882</v>
      </c>
      <c r="DF279" t="s">
        <v>173</v>
      </c>
      <c r="DG279">
        <v>6903</v>
      </c>
      <c r="DH279">
        <v>6710</v>
      </c>
      <c r="DI279">
        <v>6532</v>
      </c>
      <c r="DJ279">
        <v>6486</v>
      </c>
      <c r="DK279">
        <v>6352</v>
      </c>
      <c r="DO279">
        <v>716</v>
      </c>
      <c r="DP279" t="s">
        <v>294</v>
      </c>
      <c r="DQ279">
        <v>11184</v>
      </c>
      <c r="DR279">
        <v>1.3</v>
      </c>
      <c r="DS279">
        <v>469</v>
      </c>
      <c r="DV279">
        <v>279</v>
      </c>
      <c r="DW279" t="s">
        <v>266</v>
      </c>
      <c r="DX279">
        <v>1042.8351160970501</v>
      </c>
      <c r="DY279">
        <v>195</v>
      </c>
      <c r="DZ279">
        <v>204</v>
      </c>
      <c r="EA279">
        <v>112</v>
      </c>
      <c r="EB279">
        <v>637</v>
      </c>
      <c r="EC279">
        <v>402</v>
      </c>
      <c r="ED279">
        <v>146</v>
      </c>
      <c r="EE279" s="82">
        <v>0.157172655017769</v>
      </c>
      <c r="EF279" s="82">
        <v>0.44140850577478302</v>
      </c>
    </row>
    <row r="280" spans="1:136" x14ac:dyDescent="0.35">
      <c r="A280" s="72">
        <v>772</v>
      </c>
      <c r="B280" s="72">
        <v>10</v>
      </c>
      <c r="D280" s="72" t="s">
        <v>102</v>
      </c>
      <c r="E280" s="79">
        <v>21855200000</v>
      </c>
      <c r="F280" s="79">
        <v>5400850000</v>
      </c>
      <c r="G280" s="79">
        <v>5469100000</v>
      </c>
      <c r="H280" s="79">
        <v>231642</v>
      </c>
      <c r="I280" s="79">
        <v>1</v>
      </c>
      <c r="J280" s="79">
        <v>5469.1</v>
      </c>
      <c r="K280" s="79">
        <v>39817</v>
      </c>
      <c r="L280" s="79">
        <v>38641</v>
      </c>
      <c r="M280" s="79">
        <v>12704</v>
      </c>
      <c r="N280" s="79">
        <v>37548</v>
      </c>
      <c r="O280" s="79">
        <v>26115.5</v>
      </c>
      <c r="P280" s="79">
        <v>7117.3333333333303</v>
      </c>
      <c r="Q280" s="79">
        <v>19235.333333333299</v>
      </c>
      <c r="R280" s="79">
        <v>26415</v>
      </c>
      <c r="S280" s="79">
        <v>0</v>
      </c>
      <c r="T280" s="79">
        <v>8214</v>
      </c>
      <c r="U280" s="79">
        <v>121819</v>
      </c>
      <c r="V280" s="79">
        <v>270890</v>
      </c>
      <c r="W280" s="79">
        <v>530580</v>
      </c>
      <c r="X280" s="79">
        <v>6866.7078000000001</v>
      </c>
      <c r="Y280" s="79">
        <v>11464.8</v>
      </c>
      <c r="Z280" s="79">
        <v>0</v>
      </c>
      <c r="AA280" s="79">
        <v>0</v>
      </c>
      <c r="AB280" s="79">
        <v>52.999999999998202</v>
      </c>
      <c r="AC280" s="79">
        <v>8750</v>
      </c>
      <c r="AD280" s="79">
        <v>8750</v>
      </c>
      <c r="AE280" s="79">
        <v>141</v>
      </c>
      <c r="AF280" s="79">
        <v>0</v>
      </c>
      <c r="AG280" s="79">
        <v>1226</v>
      </c>
      <c r="AH280" s="79">
        <v>1104</v>
      </c>
      <c r="AI280" s="79">
        <v>122</v>
      </c>
      <c r="AJ280" s="79">
        <v>114325</v>
      </c>
      <c r="AK280" s="79">
        <v>114325</v>
      </c>
      <c r="AL280" s="79">
        <v>9</v>
      </c>
      <c r="AM280" s="79">
        <v>0</v>
      </c>
      <c r="AN280" s="79">
        <v>0</v>
      </c>
      <c r="AO280" s="79">
        <v>0</v>
      </c>
      <c r="AP280" s="79">
        <v>19215</v>
      </c>
      <c r="AQ280" s="79">
        <v>18701</v>
      </c>
      <c r="AR280" s="80">
        <v>9.5433710000000001E-3</v>
      </c>
      <c r="AS280" s="80">
        <v>1.5647069999999999E-2</v>
      </c>
      <c r="AT280" s="79">
        <v>303418.55</v>
      </c>
      <c r="AU280" s="79">
        <v>0</v>
      </c>
      <c r="AV280" s="79">
        <v>1725</v>
      </c>
      <c r="AW280" s="79">
        <v>44942.351816443603</v>
      </c>
      <c r="AX280" s="79">
        <v>3</v>
      </c>
      <c r="AY280" s="79">
        <v>3</v>
      </c>
      <c r="AZ280" s="79">
        <v>25348</v>
      </c>
      <c r="BA280" s="79">
        <v>1</v>
      </c>
      <c r="BB280" s="79">
        <v>0</v>
      </c>
      <c r="BC280" s="79">
        <v>0</v>
      </c>
      <c r="BD280" s="79">
        <v>0</v>
      </c>
      <c r="BE280" s="79">
        <v>0</v>
      </c>
      <c r="BF280" s="79">
        <v>0</v>
      </c>
      <c r="BG280" s="79">
        <v>0</v>
      </c>
      <c r="BH280" s="79">
        <v>0</v>
      </c>
      <c r="BI280" s="79">
        <v>0</v>
      </c>
      <c r="BJ280" s="79">
        <v>0</v>
      </c>
      <c r="BK280" s="79">
        <v>327</v>
      </c>
      <c r="BL280" s="79">
        <v>57791</v>
      </c>
      <c r="BM280" s="79">
        <v>1104</v>
      </c>
      <c r="BN280" s="79">
        <v>122</v>
      </c>
      <c r="BO280">
        <v>39089</v>
      </c>
      <c r="BP280">
        <v>12980</v>
      </c>
      <c r="BQ280">
        <v>39258</v>
      </c>
      <c r="BR280">
        <v>12919</v>
      </c>
      <c r="BS280">
        <v>39408</v>
      </c>
      <c r="BT280">
        <v>13239</v>
      </c>
      <c r="BU280">
        <v>39608</v>
      </c>
      <c r="BV280">
        <v>13657</v>
      </c>
      <c r="BW280">
        <v>39691</v>
      </c>
      <c r="BX280">
        <v>13763</v>
      </c>
      <c r="BY280">
        <v>39826</v>
      </c>
      <c r="BZ280">
        <v>13947</v>
      </c>
      <c r="CB280">
        <v>6609.6220000000003</v>
      </c>
      <c r="CC280">
        <v>689</v>
      </c>
      <c r="CD280">
        <v>898</v>
      </c>
      <c r="CE280">
        <v>70531.55</v>
      </c>
      <c r="CF280">
        <v>14036.1</v>
      </c>
      <c r="CG280">
        <v>1565.1270688494899</v>
      </c>
      <c r="CH280">
        <v>2950</v>
      </c>
      <c r="CI280">
        <v>1862</v>
      </c>
      <c r="CJ280">
        <v>1752.6666666666699</v>
      </c>
      <c r="CK280" s="81">
        <v>12118</v>
      </c>
      <c r="CL280">
        <v>2967</v>
      </c>
      <c r="CM280">
        <v>30393.021711641599</v>
      </c>
      <c r="CN280">
        <v>16.221</v>
      </c>
      <c r="CO280">
        <v>193001</v>
      </c>
      <c r="CP280">
        <v>20699</v>
      </c>
      <c r="CQ280">
        <v>5238</v>
      </c>
      <c r="CR280">
        <v>5877</v>
      </c>
      <c r="CS280">
        <v>4850</v>
      </c>
      <c r="CT280">
        <v>2969</v>
      </c>
      <c r="CU280">
        <v>3113.3011108681399</v>
      </c>
      <c r="CV280">
        <v>2089.2399999999998</v>
      </c>
      <c r="CW280">
        <v>928.34806035425299</v>
      </c>
      <c r="CX280">
        <v>6565.0892999999996</v>
      </c>
      <c r="CY280">
        <v>4405.6282000000001</v>
      </c>
      <c r="CZ280">
        <v>1957.6288</v>
      </c>
      <c r="DA280">
        <v>340061</v>
      </c>
      <c r="DE280">
        <v>888</v>
      </c>
      <c r="DF280" t="s">
        <v>36</v>
      </c>
      <c r="DG280">
        <v>3222</v>
      </c>
      <c r="DH280">
        <v>3132</v>
      </c>
      <c r="DI280">
        <v>3064</v>
      </c>
      <c r="DJ280">
        <v>2981</v>
      </c>
      <c r="DK280">
        <v>2911</v>
      </c>
      <c r="DO280">
        <v>717</v>
      </c>
      <c r="DP280" t="s">
        <v>312</v>
      </c>
      <c r="DQ280">
        <v>14638</v>
      </c>
      <c r="DR280">
        <v>1.1000000000000001</v>
      </c>
      <c r="DS280">
        <v>337</v>
      </c>
      <c r="DV280">
        <v>606</v>
      </c>
      <c r="DW280" t="s">
        <v>267</v>
      </c>
      <c r="DX280">
        <v>13503.262820338599</v>
      </c>
      <c r="DY280">
        <v>2208</v>
      </c>
      <c r="DZ280">
        <v>1680</v>
      </c>
      <c r="EA280">
        <v>939</v>
      </c>
      <c r="EB280">
        <v>5105</v>
      </c>
      <c r="EC280">
        <v>2943</v>
      </c>
      <c r="ED280">
        <v>1234</v>
      </c>
      <c r="EE280" s="82">
        <v>0.26194014206976002</v>
      </c>
      <c r="EF280" s="82">
        <v>0.54870379860755203</v>
      </c>
    </row>
    <row r="281" spans="1:136" x14ac:dyDescent="0.35">
      <c r="A281" s="72">
        <v>777</v>
      </c>
      <c r="B281" s="72">
        <v>10</v>
      </c>
      <c r="D281" s="72" t="s">
        <v>109</v>
      </c>
      <c r="E281" s="79">
        <v>3824800000</v>
      </c>
      <c r="F281" s="79">
        <v>690900000</v>
      </c>
      <c r="G281" s="79">
        <v>727650000</v>
      </c>
      <c r="H281" s="79">
        <v>43774</v>
      </c>
      <c r="I281" s="79">
        <v>1</v>
      </c>
      <c r="J281" s="79">
        <v>727.65</v>
      </c>
      <c r="K281" s="79">
        <v>8906</v>
      </c>
      <c r="L281" s="79">
        <v>8844</v>
      </c>
      <c r="M281" s="79">
        <v>2695</v>
      </c>
      <c r="N281" s="79">
        <v>5117</v>
      </c>
      <c r="O281" s="79">
        <v>3212.8</v>
      </c>
      <c r="P281" s="79">
        <v>689.66666666666697</v>
      </c>
      <c r="Q281" s="79">
        <v>2775.6666666666702</v>
      </c>
      <c r="R281" s="79">
        <v>2755</v>
      </c>
      <c r="S281" s="79">
        <v>0</v>
      </c>
      <c r="T281" s="79">
        <v>1392</v>
      </c>
      <c r="U281" s="79">
        <v>19319</v>
      </c>
      <c r="V281" s="79">
        <v>46680</v>
      </c>
      <c r="W281" s="79">
        <v>37960</v>
      </c>
      <c r="X281" s="79">
        <v>267.3</v>
      </c>
      <c r="Y281" s="79">
        <v>2620</v>
      </c>
      <c r="Z281" s="79">
        <v>0</v>
      </c>
      <c r="AA281" s="79">
        <v>0</v>
      </c>
      <c r="AB281" s="79">
        <v>0</v>
      </c>
      <c r="AC281" s="79">
        <v>5529</v>
      </c>
      <c r="AD281" s="79">
        <v>5584.29</v>
      </c>
      <c r="AE281" s="79">
        <v>63</v>
      </c>
      <c r="AF281" s="79">
        <v>0</v>
      </c>
      <c r="AG281" s="79">
        <v>340</v>
      </c>
      <c r="AH281" s="79">
        <v>247</v>
      </c>
      <c r="AI281" s="79">
        <v>93.93</v>
      </c>
      <c r="AJ281" s="79">
        <v>19042</v>
      </c>
      <c r="AK281" s="79">
        <v>19042</v>
      </c>
      <c r="AL281" s="79">
        <v>0</v>
      </c>
      <c r="AM281" s="79">
        <v>0</v>
      </c>
      <c r="AN281" s="79">
        <v>0</v>
      </c>
      <c r="AO281" s="79">
        <v>0</v>
      </c>
      <c r="AP281" s="79">
        <v>542</v>
      </c>
      <c r="AQ281" s="79">
        <v>0</v>
      </c>
      <c r="AR281" s="80">
        <v>1.68302E-4</v>
      </c>
      <c r="AS281" s="80">
        <v>2.28271E-4</v>
      </c>
      <c r="AT281" s="79">
        <v>31762.056</v>
      </c>
      <c r="AU281" s="79">
        <v>0</v>
      </c>
      <c r="AV281" s="79">
        <v>995.86</v>
      </c>
      <c r="AW281" s="79">
        <v>8333.1856151645206</v>
      </c>
      <c r="AX281" s="79">
        <v>3</v>
      </c>
      <c r="AY281" s="79">
        <v>3.03</v>
      </c>
      <c r="AZ281" s="79">
        <v>4175</v>
      </c>
      <c r="BA281" s="79">
        <v>1</v>
      </c>
      <c r="BB281" s="79">
        <v>0</v>
      </c>
      <c r="BC281" s="79">
        <v>0</v>
      </c>
      <c r="BD281" s="79">
        <v>0</v>
      </c>
      <c r="BE281" s="79">
        <v>0</v>
      </c>
      <c r="BF281" s="79">
        <v>0</v>
      </c>
      <c r="BG281" s="79">
        <v>0</v>
      </c>
      <c r="BH281" s="79">
        <v>0</v>
      </c>
      <c r="BI281" s="79">
        <v>0</v>
      </c>
      <c r="BJ281" s="79">
        <v>0</v>
      </c>
      <c r="BK281" s="79">
        <v>39</v>
      </c>
      <c r="BL281" s="79">
        <v>5595</v>
      </c>
      <c r="BM281" s="79">
        <v>247</v>
      </c>
      <c r="BN281" s="79">
        <v>93</v>
      </c>
      <c r="BO281">
        <v>8935</v>
      </c>
      <c r="BP281">
        <v>3094</v>
      </c>
      <c r="BQ281">
        <v>8926</v>
      </c>
      <c r="BR281">
        <v>3130</v>
      </c>
      <c r="BS281">
        <v>8906</v>
      </c>
      <c r="BT281">
        <v>3126</v>
      </c>
      <c r="BU281">
        <v>8964</v>
      </c>
      <c r="BV281">
        <v>3226</v>
      </c>
      <c r="BW281">
        <v>8943</v>
      </c>
      <c r="BX281">
        <v>3202</v>
      </c>
      <c r="BY281">
        <v>8874</v>
      </c>
      <c r="BZ281">
        <v>3176</v>
      </c>
      <c r="CB281">
        <v>952.94200000000001</v>
      </c>
      <c r="CC281">
        <v>154</v>
      </c>
      <c r="CD281">
        <v>91</v>
      </c>
      <c r="CE281">
        <v>12940.26</v>
      </c>
      <c r="CF281">
        <v>3360.05</v>
      </c>
      <c r="CG281">
        <v>339.36078835288998</v>
      </c>
      <c r="CH281">
        <v>529</v>
      </c>
      <c r="CI281">
        <v>229.666666666667</v>
      </c>
      <c r="CJ281">
        <v>183.666666666667</v>
      </c>
      <c r="CK281" s="81">
        <v>2086</v>
      </c>
      <c r="CL281">
        <v>506</v>
      </c>
      <c r="CM281">
        <v>7618.0986141202802</v>
      </c>
      <c r="CN281">
        <v>1.3420000000000001</v>
      </c>
      <c r="CO281">
        <v>34930</v>
      </c>
      <c r="CP281">
        <v>5298</v>
      </c>
      <c r="CQ281">
        <v>851</v>
      </c>
      <c r="CR281">
        <v>1073</v>
      </c>
      <c r="CS281">
        <v>856</v>
      </c>
      <c r="CT281">
        <v>392</v>
      </c>
      <c r="CU281">
        <v>549.695536183174</v>
      </c>
      <c r="CV281">
        <v>309.43573154080502</v>
      </c>
      <c r="CW281">
        <v>99.377124251654195</v>
      </c>
      <c r="CX281">
        <v>1412.9946</v>
      </c>
      <c r="CY281">
        <v>795.4058</v>
      </c>
      <c r="CZ281">
        <v>255.44929999999999</v>
      </c>
      <c r="DA281">
        <v>39403</v>
      </c>
      <c r="DE281">
        <v>889</v>
      </c>
      <c r="DF281" t="s">
        <v>39</v>
      </c>
      <c r="DG281">
        <v>2899</v>
      </c>
      <c r="DH281">
        <v>2900</v>
      </c>
      <c r="DI281">
        <v>2848</v>
      </c>
      <c r="DJ281">
        <v>2760</v>
      </c>
      <c r="DK281">
        <v>2741</v>
      </c>
      <c r="DO281">
        <v>718</v>
      </c>
      <c r="DP281" t="s">
        <v>320</v>
      </c>
      <c r="DQ281">
        <v>23238</v>
      </c>
      <c r="DR281">
        <v>1.1499999999999999</v>
      </c>
      <c r="DS281">
        <v>1938</v>
      </c>
      <c r="DV281">
        <v>88</v>
      </c>
      <c r="DW281" t="s">
        <v>268</v>
      </c>
      <c r="DX281">
        <v>206.80550098231799</v>
      </c>
      <c r="DY281">
        <v>48</v>
      </c>
      <c r="DZ281">
        <v>26</v>
      </c>
      <c r="EA281">
        <v>19</v>
      </c>
      <c r="EB281">
        <v>101</v>
      </c>
      <c r="EC281">
        <v>60</v>
      </c>
      <c r="ED281">
        <v>28</v>
      </c>
      <c r="EE281" s="82">
        <v>5.4217375825740703E-2</v>
      </c>
      <c r="EF281" s="82">
        <v>0.51192710241985195</v>
      </c>
    </row>
    <row r="282" spans="1:136" x14ac:dyDescent="0.35">
      <c r="A282" s="72">
        <v>779</v>
      </c>
      <c r="B282" s="72">
        <v>10</v>
      </c>
      <c r="D282" s="72" t="s">
        <v>110</v>
      </c>
      <c r="E282" s="79">
        <v>1726000000</v>
      </c>
      <c r="F282" s="79">
        <v>510300000</v>
      </c>
      <c r="G282" s="79">
        <v>526750000</v>
      </c>
      <c r="H282" s="79">
        <v>21515</v>
      </c>
      <c r="I282" s="79">
        <v>2</v>
      </c>
      <c r="J282" s="79">
        <v>526.75</v>
      </c>
      <c r="K282" s="79">
        <v>4210</v>
      </c>
      <c r="L282" s="79">
        <v>4485</v>
      </c>
      <c r="M282" s="79">
        <v>1346</v>
      </c>
      <c r="N282" s="79">
        <v>2725</v>
      </c>
      <c r="O282" s="79">
        <v>1753.3</v>
      </c>
      <c r="P282" s="79">
        <v>338.66666666666703</v>
      </c>
      <c r="Q282" s="79">
        <v>1300.6666666666699</v>
      </c>
      <c r="R282" s="79">
        <v>520</v>
      </c>
      <c r="S282" s="79">
        <v>0</v>
      </c>
      <c r="T282" s="79">
        <v>652</v>
      </c>
      <c r="U282" s="79">
        <v>9644</v>
      </c>
      <c r="V282" s="79">
        <v>20160</v>
      </c>
      <c r="W282" s="79">
        <v>7060</v>
      </c>
      <c r="X282" s="79">
        <v>0</v>
      </c>
      <c r="Y282" s="79">
        <v>1340</v>
      </c>
      <c r="Z282" s="79">
        <v>0</v>
      </c>
      <c r="AA282" s="79">
        <v>0</v>
      </c>
      <c r="AB282" s="79">
        <v>0</v>
      </c>
      <c r="AC282" s="79">
        <v>2658</v>
      </c>
      <c r="AD282" s="79">
        <v>2658</v>
      </c>
      <c r="AE282" s="79">
        <v>306</v>
      </c>
      <c r="AF282" s="79">
        <v>0</v>
      </c>
      <c r="AG282" s="79">
        <v>191</v>
      </c>
      <c r="AH282" s="79">
        <v>148</v>
      </c>
      <c r="AI282" s="79">
        <v>43</v>
      </c>
      <c r="AJ282" s="79">
        <v>9717</v>
      </c>
      <c r="AK282" s="79">
        <v>9717</v>
      </c>
      <c r="AL282" s="79">
        <v>13</v>
      </c>
      <c r="AM282" s="79">
        <v>0</v>
      </c>
      <c r="AN282" s="79">
        <v>0</v>
      </c>
      <c r="AO282" s="79">
        <v>3600</v>
      </c>
      <c r="AP282" s="79">
        <v>1532</v>
      </c>
      <c r="AQ282" s="79">
        <v>537</v>
      </c>
      <c r="AR282" s="80">
        <v>3.0082299999999998E-4</v>
      </c>
      <c r="AS282" s="80">
        <v>1.6282199999999999E-4</v>
      </c>
      <c r="AT282" s="79">
        <v>10601.246999999999</v>
      </c>
      <c r="AU282" s="79">
        <v>0</v>
      </c>
      <c r="AV282" s="79">
        <v>1094</v>
      </c>
      <c r="AW282" s="79">
        <v>7941.0964912280697</v>
      </c>
      <c r="AX282" s="79">
        <v>2</v>
      </c>
      <c r="AY282" s="79">
        <v>2</v>
      </c>
      <c r="AZ282" s="79">
        <v>2302</v>
      </c>
      <c r="BA282" s="79">
        <v>1</v>
      </c>
      <c r="BB282" s="79">
        <v>0</v>
      </c>
      <c r="BC282" s="79">
        <v>0</v>
      </c>
      <c r="BD282" s="79">
        <v>0</v>
      </c>
      <c r="BE282" s="79">
        <v>0</v>
      </c>
      <c r="BF282" s="79">
        <v>0</v>
      </c>
      <c r="BG282" s="79">
        <v>0</v>
      </c>
      <c r="BH282" s="79">
        <v>0</v>
      </c>
      <c r="BI282" s="79">
        <v>0</v>
      </c>
      <c r="BJ282" s="79">
        <v>0</v>
      </c>
      <c r="BK282" s="79">
        <v>20</v>
      </c>
      <c r="BL282" s="79">
        <v>2768</v>
      </c>
      <c r="BM282" s="79">
        <v>148</v>
      </c>
      <c r="BN282" s="79">
        <v>43</v>
      </c>
      <c r="BO282">
        <v>4330</v>
      </c>
      <c r="BP282">
        <v>1668</v>
      </c>
      <c r="BQ282">
        <v>4372</v>
      </c>
      <c r="BR282">
        <v>1577</v>
      </c>
      <c r="BS282">
        <v>4388</v>
      </c>
      <c r="BT282">
        <v>1586</v>
      </c>
      <c r="BU282">
        <v>4400</v>
      </c>
      <c r="BV282">
        <v>1538</v>
      </c>
      <c r="BW282">
        <v>4397</v>
      </c>
      <c r="BX282">
        <v>1536</v>
      </c>
      <c r="BY282">
        <v>4386</v>
      </c>
      <c r="BZ282">
        <v>1521</v>
      </c>
      <c r="CB282">
        <v>395.74</v>
      </c>
      <c r="CC282">
        <v>197</v>
      </c>
      <c r="CD282">
        <v>53</v>
      </c>
      <c r="CE282">
        <v>6248.42</v>
      </c>
      <c r="CF282">
        <v>1614.6</v>
      </c>
      <c r="CG282">
        <v>164.777100522952</v>
      </c>
      <c r="CH282">
        <v>217</v>
      </c>
      <c r="CI282">
        <v>81.6666666666667</v>
      </c>
      <c r="CJ282">
        <v>75.3333333333333</v>
      </c>
      <c r="CK282" s="81">
        <v>962</v>
      </c>
      <c r="CL282">
        <v>207</v>
      </c>
      <c r="CM282">
        <v>3621.04512251503</v>
      </c>
      <c r="CN282">
        <v>0.53600000000000003</v>
      </c>
      <c r="CO282">
        <v>17030</v>
      </c>
      <c r="CP282">
        <v>2719</v>
      </c>
      <c r="CQ282">
        <v>420</v>
      </c>
      <c r="CR282">
        <v>552</v>
      </c>
      <c r="CS282">
        <v>470</v>
      </c>
      <c r="CT282">
        <v>192</v>
      </c>
      <c r="CU282">
        <v>303.13306576103702</v>
      </c>
      <c r="CV282">
        <v>170.151476793249</v>
      </c>
      <c r="CW282">
        <v>48.717814140166702</v>
      </c>
      <c r="CX282">
        <v>754.65599999999995</v>
      </c>
      <c r="CY282">
        <v>423.59559999999999</v>
      </c>
      <c r="CZ282">
        <v>121.28400000000001</v>
      </c>
      <c r="DA282">
        <v>56933</v>
      </c>
      <c r="DE282">
        <v>893</v>
      </c>
      <c r="DF282" t="s">
        <v>42</v>
      </c>
      <c r="DG282">
        <v>2819</v>
      </c>
      <c r="DH282">
        <v>2784</v>
      </c>
      <c r="DI282">
        <v>2691</v>
      </c>
      <c r="DJ282">
        <v>2631</v>
      </c>
      <c r="DK282">
        <v>2570</v>
      </c>
      <c r="DO282">
        <v>738</v>
      </c>
      <c r="DP282" t="s">
        <v>822</v>
      </c>
      <c r="DQ282">
        <v>5120</v>
      </c>
      <c r="DR282">
        <v>1.08</v>
      </c>
      <c r="DS282">
        <v>380</v>
      </c>
      <c r="DV282">
        <v>962</v>
      </c>
      <c r="DW282" t="s">
        <v>827</v>
      </c>
      <c r="DX282">
        <v>1599.5338715338701</v>
      </c>
      <c r="DY282">
        <v>317</v>
      </c>
      <c r="DZ282">
        <v>340</v>
      </c>
      <c r="EA282">
        <v>173</v>
      </c>
      <c r="EB282">
        <v>1144</v>
      </c>
      <c r="EC282">
        <v>726</v>
      </c>
      <c r="ED282">
        <v>242</v>
      </c>
      <c r="EE282" s="82">
        <v>0.16752531719917599</v>
      </c>
      <c r="EF282" s="82">
        <v>0.42615606722440202</v>
      </c>
    </row>
    <row r="283" spans="1:136" x14ac:dyDescent="0.35">
      <c r="A283" s="72">
        <v>1771</v>
      </c>
      <c r="B283" s="72">
        <v>10</v>
      </c>
      <c r="D283" s="72" t="s">
        <v>111</v>
      </c>
      <c r="E283" s="79">
        <v>3641200000</v>
      </c>
      <c r="F283" s="79">
        <v>409850000</v>
      </c>
      <c r="G283" s="79">
        <v>431200000</v>
      </c>
      <c r="H283" s="79">
        <v>39595</v>
      </c>
      <c r="I283" s="79">
        <v>2</v>
      </c>
      <c r="J283" s="79">
        <v>431.2</v>
      </c>
      <c r="K283" s="79">
        <v>7618</v>
      </c>
      <c r="L283" s="79">
        <v>8605</v>
      </c>
      <c r="M283" s="79">
        <v>2851</v>
      </c>
      <c r="N283" s="79">
        <v>5054</v>
      </c>
      <c r="O283" s="79">
        <v>3270.4</v>
      </c>
      <c r="P283" s="79">
        <v>750.66666666666697</v>
      </c>
      <c r="Q283" s="79">
        <v>2597.6666666666702</v>
      </c>
      <c r="R283" s="79">
        <v>1760</v>
      </c>
      <c r="S283" s="79">
        <v>0</v>
      </c>
      <c r="T283" s="79">
        <v>1285</v>
      </c>
      <c r="U283" s="79">
        <v>17932</v>
      </c>
      <c r="V283" s="79">
        <v>36130</v>
      </c>
      <c r="W283" s="79">
        <v>18360</v>
      </c>
      <c r="X283" s="79">
        <v>295.02</v>
      </c>
      <c r="Y283" s="79">
        <v>932.8</v>
      </c>
      <c r="Z283" s="79">
        <v>0</v>
      </c>
      <c r="AA283" s="79">
        <v>0</v>
      </c>
      <c r="AB283" s="79">
        <v>0</v>
      </c>
      <c r="AC283" s="79">
        <v>3101</v>
      </c>
      <c r="AD283" s="79">
        <v>3101</v>
      </c>
      <c r="AE283" s="79">
        <v>37</v>
      </c>
      <c r="AF283" s="79">
        <v>0</v>
      </c>
      <c r="AG283" s="79">
        <v>249</v>
      </c>
      <c r="AH283" s="79">
        <v>226</v>
      </c>
      <c r="AI283" s="79">
        <v>23</v>
      </c>
      <c r="AJ283" s="79">
        <v>17836</v>
      </c>
      <c r="AK283" s="79">
        <v>17836</v>
      </c>
      <c r="AL283" s="79">
        <v>0</v>
      </c>
      <c r="AM283" s="79">
        <v>0</v>
      </c>
      <c r="AN283" s="79">
        <v>0</v>
      </c>
      <c r="AO283" s="79">
        <v>0</v>
      </c>
      <c r="AP283" s="79">
        <v>1074</v>
      </c>
      <c r="AQ283" s="79">
        <v>0</v>
      </c>
      <c r="AR283" s="80">
        <v>2.8959599999999998E-4</v>
      </c>
      <c r="AS283" s="80">
        <v>5.5208099999999995E-4</v>
      </c>
      <c r="AT283" s="79">
        <v>24007.256000000001</v>
      </c>
      <c r="AU283" s="79">
        <v>0</v>
      </c>
      <c r="AV283" s="79">
        <v>466</v>
      </c>
      <c r="AW283" s="79">
        <v>5879.9458253664798</v>
      </c>
      <c r="AX283" s="79">
        <v>2</v>
      </c>
      <c r="AY283" s="79">
        <v>2</v>
      </c>
      <c r="AZ283" s="79">
        <v>3779</v>
      </c>
      <c r="BA283" s="79">
        <v>1</v>
      </c>
      <c r="BB283" s="79">
        <v>0</v>
      </c>
      <c r="BC283" s="79">
        <v>0</v>
      </c>
      <c r="BD283" s="79">
        <v>0</v>
      </c>
      <c r="BE283" s="79">
        <v>0</v>
      </c>
      <c r="BF283" s="79">
        <v>0</v>
      </c>
      <c r="BG283" s="79">
        <v>0</v>
      </c>
      <c r="BH283" s="79">
        <v>0</v>
      </c>
      <c r="BI283" s="79">
        <v>0</v>
      </c>
      <c r="BJ283" s="79">
        <v>0</v>
      </c>
      <c r="BK283" s="79">
        <v>59</v>
      </c>
      <c r="BL283" s="79">
        <v>5826</v>
      </c>
      <c r="BM283" s="79">
        <v>226</v>
      </c>
      <c r="BN283" s="79">
        <v>23</v>
      </c>
      <c r="BO283">
        <v>8083</v>
      </c>
      <c r="BP283">
        <v>1878</v>
      </c>
      <c r="BQ283">
        <v>8050</v>
      </c>
      <c r="BR283">
        <v>1973</v>
      </c>
      <c r="BS283">
        <v>7982</v>
      </c>
      <c r="BT283">
        <v>2005</v>
      </c>
      <c r="BU283">
        <v>7970</v>
      </c>
      <c r="BV283">
        <v>1922</v>
      </c>
      <c r="BW283">
        <v>7930</v>
      </c>
      <c r="BX283">
        <v>1814</v>
      </c>
      <c r="BY283">
        <v>7888</v>
      </c>
      <c r="BZ283">
        <v>1752</v>
      </c>
      <c r="CB283">
        <v>937.01400000000001</v>
      </c>
      <c r="CC283">
        <v>103</v>
      </c>
      <c r="CD283">
        <v>130</v>
      </c>
      <c r="CE283">
        <v>12373.9</v>
      </c>
      <c r="CF283">
        <v>2859.12</v>
      </c>
      <c r="CG283">
        <v>264.010802898073</v>
      </c>
      <c r="CH283">
        <v>472</v>
      </c>
      <c r="CI283">
        <v>230.333333333333</v>
      </c>
      <c r="CJ283">
        <v>200.333333333333</v>
      </c>
      <c r="CK283" s="81">
        <v>1847</v>
      </c>
      <c r="CL283">
        <v>398</v>
      </c>
      <c r="CM283">
        <v>6748.4873833337597</v>
      </c>
      <c r="CN283">
        <v>1.4019999999999999</v>
      </c>
      <c r="CO283">
        <v>30990</v>
      </c>
      <c r="CP283">
        <v>4801</v>
      </c>
      <c r="CQ283">
        <v>953</v>
      </c>
      <c r="CR283">
        <v>977</v>
      </c>
      <c r="CS283">
        <v>1008</v>
      </c>
      <c r="CT283">
        <v>510</v>
      </c>
      <c r="CU283">
        <v>546.41130298273197</v>
      </c>
      <c r="CV283">
        <v>373.319937205651</v>
      </c>
      <c r="CW283">
        <v>128.535007849294</v>
      </c>
      <c r="CX283">
        <v>1281.1020000000001</v>
      </c>
      <c r="CY283">
        <v>875.27639999999997</v>
      </c>
      <c r="CZ283">
        <v>301.35989999999998</v>
      </c>
      <c r="DA283">
        <v>12427</v>
      </c>
      <c r="DE283">
        <v>899</v>
      </c>
      <c r="DF283" t="s">
        <v>64</v>
      </c>
      <c r="DG283">
        <v>5289</v>
      </c>
      <c r="DH283">
        <v>5211</v>
      </c>
      <c r="DI283">
        <v>5098</v>
      </c>
      <c r="DJ283">
        <v>5055</v>
      </c>
      <c r="DK283">
        <v>4984</v>
      </c>
      <c r="DO283">
        <v>1723</v>
      </c>
      <c r="DP283" t="s">
        <v>21</v>
      </c>
      <c r="DQ283">
        <v>4497</v>
      </c>
      <c r="DR283">
        <v>1</v>
      </c>
      <c r="DS283">
        <v>304</v>
      </c>
      <c r="DV283">
        <v>1676</v>
      </c>
      <c r="DW283" t="s">
        <v>269</v>
      </c>
      <c r="DX283">
        <v>4701.7223596822496</v>
      </c>
      <c r="DY283">
        <v>989</v>
      </c>
      <c r="DZ283">
        <v>903</v>
      </c>
      <c r="EA283">
        <v>546</v>
      </c>
      <c r="EB283">
        <v>3105</v>
      </c>
      <c r="EC283">
        <v>1918</v>
      </c>
      <c r="ED283">
        <v>801</v>
      </c>
      <c r="EE283" s="82">
        <v>0.11623079284778599</v>
      </c>
      <c r="EF283" s="82">
        <v>0.418704494192155</v>
      </c>
    </row>
    <row r="284" spans="1:136" x14ac:dyDescent="0.35">
      <c r="A284" s="72">
        <v>1652</v>
      </c>
      <c r="B284" s="72">
        <v>10</v>
      </c>
      <c r="D284" s="72" t="s">
        <v>112</v>
      </c>
      <c r="E284" s="79">
        <v>2650000000</v>
      </c>
      <c r="F284" s="79">
        <v>435750000</v>
      </c>
      <c r="G284" s="79">
        <v>473200000</v>
      </c>
      <c r="H284" s="79">
        <v>30447</v>
      </c>
      <c r="I284" s="79">
        <v>4</v>
      </c>
      <c r="J284" s="79">
        <v>473.2</v>
      </c>
      <c r="K284" s="79">
        <v>6021</v>
      </c>
      <c r="L284" s="79">
        <v>5851</v>
      </c>
      <c r="M284" s="79">
        <v>1780</v>
      </c>
      <c r="N284" s="79">
        <v>3758</v>
      </c>
      <c r="O284" s="79">
        <v>2451.1999999999998</v>
      </c>
      <c r="P284" s="79">
        <v>388.66666666666703</v>
      </c>
      <c r="Q284" s="79">
        <v>1998.6666666666699</v>
      </c>
      <c r="R284" s="79">
        <v>460</v>
      </c>
      <c r="S284" s="79">
        <v>0</v>
      </c>
      <c r="T284" s="79">
        <v>808</v>
      </c>
      <c r="U284" s="79">
        <v>13064</v>
      </c>
      <c r="V284" s="79">
        <v>26010</v>
      </c>
      <c r="W284" s="79">
        <v>11360</v>
      </c>
      <c r="X284" s="79">
        <v>360.36</v>
      </c>
      <c r="Y284" s="79">
        <v>1689.6</v>
      </c>
      <c r="Z284" s="79">
        <v>0</v>
      </c>
      <c r="AA284" s="79">
        <v>0</v>
      </c>
      <c r="AB284" s="79">
        <v>0</v>
      </c>
      <c r="AC284" s="79">
        <v>12208</v>
      </c>
      <c r="AD284" s="79">
        <v>12208</v>
      </c>
      <c r="AE284" s="79">
        <v>126</v>
      </c>
      <c r="AF284" s="79">
        <v>0</v>
      </c>
      <c r="AG284" s="79">
        <v>367</v>
      </c>
      <c r="AH284" s="79">
        <v>190</v>
      </c>
      <c r="AI284" s="79">
        <v>176</v>
      </c>
      <c r="AJ284" s="79">
        <v>13068</v>
      </c>
      <c r="AK284" s="79">
        <v>13068</v>
      </c>
      <c r="AL284" s="79">
        <v>8</v>
      </c>
      <c r="AM284" s="79">
        <v>0</v>
      </c>
      <c r="AN284" s="79">
        <v>0</v>
      </c>
      <c r="AO284" s="79">
        <v>0</v>
      </c>
      <c r="AP284" s="79">
        <v>663</v>
      </c>
      <c r="AQ284" s="79">
        <v>663</v>
      </c>
      <c r="AR284" s="80">
        <v>2.2607899999999999E-4</v>
      </c>
      <c r="AS284" s="80">
        <v>1.18987E-4</v>
      </c>
      <c r="AT284" s="79">
        <v>10010.088</v>
      </c>
      <c r="AU284" s="79">
        <v>0</v>
      </c>
      <c r="AV284" s="79">
        <v>1068</v>
      </c>
      <c r="AW284" s="79">
        <v>2636.4031133452199</v>
      </c>
      <c r="AX284" s="79">
        <v>11</v>
      </c>
      <c r="AY284" s="79">
        <v>11</v>
      </c>
      <c r="AZ284" s="79">
        <v>3398</v>
      </c>
      <c r="BA284" s="79">
        <v>1</v>
      </c>
      <c r="BB284" s="79">
        <v>0</v>
      </c>
      <c r="BC284" s="79">
        <v>0</v>
      </c>
      <c r="BD284" s="79">
        <v>0</v>
      </c>
      <c r="BE284" s="79">
        <v>0</v>
      </c>
      <c r="BF284" s="79">
        <v>0</v>
      </c>
      <c r="BG284" s="79">
        <v>0</v>
      </c>
      <c r="BH284" s="79">
        <v>0</v>
      </c>
      <c r="BI284" s="79">
        <v>0</v>
      </c>
      <c r="BJ284" s="79">
        <v>0</v>
      </c>
      <c r="BK284" s="79">
        <v>43</v>
      </c>
      <c r="BL284" s="79">
        <v>3773</v>
      </c>
      <c r="BM284" s="79">
        <v>190</v>
      </c>
      <c r="BN284" s="79">
        <v>176</v>
      </c>
      <c r="BO284">
        <v>6356</v>
      </c>
      <c r="BP284">
        <v>2141</v>
      </c>
      <c r="BQ284">
        <v>6351</v>
      </c>
      <c r="BR284">
        <v>2102</v>
      </c>
      <c r="BS284">
        <v>6311</v>
      </c>
      <c r="BT284">
        <v>2096</v>
      </c>
      <c r="BU284">
        <v>6245</v>
      </c>
      <c r="BV284">
        <v>2097</v>
      </c>
      <c r="BW284">
        <v>6145</v>
      </c>
      <c r="BX284">
        <v>2097</v>
      </c>
      <c r="BY284">
        <v>6122</v>
      </c>
      <c r="BZ284">
        <v>2141</v>
      </c>
      <c r="CB284">
        <v>547.91099999999994</v>
      </c>
      <c r="CC284">
        <v>120</v>
      </c>
      <c r="CD284">
        <v>70</v>
      </c>
      <c r="CE284">
        <v>8481</v>
      </c>
      <c r="CF284">
        <v>2143.0500000000002</v>
      </c>
      <c r="CG284">
        <v>117.415784968685</v>
      </c>
      <c r="CH284">
        <v>289</v>
      </c>
      <c r="CI284">
        <v>111.333333333333</v>
      </c>
      <c r="CJ284">
        <v>79</v>
      </c>
      <c r="CK284" s="81">
        <v>1610</v>
      </c>
      <c r="CL284">
        <v>390</v>
      </c>
      <c r="CM284">
        <v>3919.34134718521</v>
      </c>
      <c r="CN284">
        <v>0.504</v>
      </c>
      <c r="CO284">
        <v>24596</v>
      </c>
      <c r="CP284">
        <v>3485</v>
      </c>
      <c r="CQ284">
        <v>586</v>
      </c>
      <c r="CR284">
        <v>613</v>
      </c>
      <c r="CS284">
        <v>582</v>
      </c>
      <c r="CT284">
        <v>345</v>
      </c>
      <c r="CU284">
        <v>401.21799816345299</v>
      </c>
      <c r="CV284">
        <v>232.96528925619799</v>
      </c>
      <c r="CW284">
        <v>88.909458218549105</v>
      </c>
      <c r="CX284">
        <v>1003.6188</v>
      </c>
      <c r="CY284">
        <v>582.74639999999999</v>
      </c>
      <c r="CZ284">
        <v>222.4008</v>
      </c>
      <c r="DA284">
        <v>46248</v>
      </c>
      <c r="DE284">
        <v>907</v>
      </c>
      <c r="DF284" t="s">
        <v>113</v>
      </c>
      <c r="DG284">
        <v>3495</v>
      </c>
      <c r="DH284">
        <v>3499</v>
      </c>
      <c r="DI284">
        <v>3545</v>
      </c>
      <c r="DJ284">
        <v>3497</v>
      </c>
      <c r="DK284">
        <v>3478</v>
      </c>
      <c r="DO284">
        <v>743</v>
      </c>
      <c r="DP284" t="s">
        <v>31</v>
      </c>
      <c r="DQ284">
        <v>6833</v>
      </c>
      <c r="DR284">
        <v>1</v>
      </c>
      <c r="DS284">
        <v>947</v>
      </c>
      <c r="DV284">
        <v>518</v>
      </c>
      <c r="DW284" t="s">
        <v>270</v>
      </c>
      <c r="DX284">
        <v>89168.598059800104</v>
      </c>
      <c r="DY284">
        <v>15965</v>
      </c>
      <c r="DZ284">
        <v>10143</v>
      </c>
      <c r="EA284">
        <v>5196</v>
      </c>
      <c r="EB284">
        <v>31405</v>
      </c>
      <c r="EC284">
        <v>16819</v>
      </c>
      <c r="ED284">
        <v>6781</v>
      </c>
      <c r="EE284" s="82">
        <v>0.240015016491198</v>
      </c>
      <c r="EF284" s="82">
        <v>0.49444682089853698</v>
      </c>
    </row>
    <row r="285" spans="1:136" x14ac:dyDescent="0.35">
      <c r="A285" s="72">
        <v>784</v>
      </c>
      <c r="B285" s="72">
        <v>10</v>
      </c>
      <c r="D285" s="72" t="s">
        <v>114</v>
      </c>
      <c r="E285" s="79">
        <v>2167600000</v>
      </c>
      <c r="F285" s="79">
        <v>579950000</v>
      </c>
      <c r="G285" s="79">
        <v>604100000</v>
      </c>
      <c r="H285" s="79">
        <v>26431</v>
      </c>
      <c r="I285" s="79">
        <v>2</v>
      </c>
      <c r="J285" s="79">
        <v>604.1</v>
      </c>
      <c r="K285" s="79">
        <v>5161</v>
      </c>
      <c r="L285" s="79">
        <v>5451</v>
      </c>
      <c r="M285" s="79">
        <v>1720</v>
      </c>
      <c r="N285" s="79">
        <v>3245</v>
      </c>
      <c r="O285" s="79">
        <v>2093.1999999999998</v>
      </c>
      <c r="P285" s="79">
        <v>476.33333333333297</v>
      </c>
      <c r="Q285" s="79">
        <v>1582.3333333333301</v>
      </c>
      <c r="R285" s="79">
        <v>1590</v>
      </c>
      <c r="S285" s="79">
        <v>0</v>
      </c>
      <c r="T285" s="79">
        <v>795</v>
      </c>
      <c r="U285" s="79">
        <v>11779</v>
      </c>
      <c r="V285" s="79">
        <v>21060</v>
      </c>
      <c r="W285" s="79">
        <v>5530</v>
      </c>
      <c r="X285" s="79">
        <v>0</v>
      </c>
      <c r="Y285" s="79">
        <v>0</v>
      </c>
      <c r="Z285" s="79">
        <v>0</v>
      </c>
      <c r="AA285" s="79">
        <v>0</v>
      </c>
      <c r="AB285" s="79">
        <v>0</v>
      </c>
      <c r="AC285" s="79">
        <v>6538</v>
      </c>
      <c r="AD285" s="79">
        <v>6538</v>
      </c>
      <c r="AE285" s="79">
        <v>28</v>
      </c>
      <c r="AF285" s="79">
        <v>0</v>
      </c>
      <c r="AG285" s="79">
        <v>245</v>
      </c>
      <c r="AH285" s="79">
        <v>180</v>
      </c>
      <c r="AI285" s="79">
        <v>66</v>
      </c>
      <c r="AJ285" s="79">
        <v>11518</v>
      </c>
      <c r="AK285" s="79">
        <v>11518</v>
      </c>
      <c r="AL285" s="79">
        <v>0</v>
      </c>
      <c r="AM285" s="79">
        <v>0</v>
      </c>
      <c r="AN285" s="79">
        <v>0</v>
      </c>
      <c r="AO285" s="79">
        <v>0</v>
      </c>
      <c r="AP285" s="79">
        <v>0</v>
      </c>
      <c r="AQ285" s="79">
        <v>0</v>
      </c>
      <c r="AR285" s="80">
        <v>1.98715E-4</v>
      </c>
      <c r="AS285" s="80">
        <v>1.15251E-4</v>
      </c>
      <c r="AT285" s="79">
        <v>12335.778</v>
      </c>
      <c r="AU285" s="79">
        <v>0</v>
      </c>
      <c r="AV285" s="79">
        <v>529</v>
      </c>
      <c r="AW285" s="79">
        <v>2129.4546146816901</v>
      </c>
      <c r="AX285" s="79">
        <v>8</v>
      </c>
      <c r="AY285" s="79">
        <v>8</v>
      </c>
      <c r="AZ285" s="79">
        <v>2662</v>
      </c>
      <c r="BA285" s="79">
        <v>1</v>
      </c>
      <c r="BB285" s="79">
        <v>0</v>
      </c>
      <c r="BC285" s="79">
        <v>0</v>
      </c>
      <c r="BD285" s="79">
        <v>0</v>
      </c>
      <c r="BE285" s="79">
        <v>0</v>
      </c>
      <c r="BF285" s="79">
        <v>0</v>
      </c>
      <c r="BG285" s="79">
        <v>0</v>
      </c>
      <c r="BH285" s="79">
        <v>0</v>
      </c>
      <c r="BI285" s="79">
        <v>0</v>
      </c>
      <c r="BJ285" s="79">
        <v>0</v>
      </c>
      <c r="BK285" s="79">
        <v>16</v>
      </c>
      <c r="BL285" s="79">
        <v>3250</v>
      </c>
      <c r="BM285" s="79">
        <v>180</v>
      </c>
      <c r="BN285" s="79">
        <v>66</v>
      </c>
      <c r="BO285">
        <v>5640</v>
      </c>
      <c r="BP285">
        <v>0</v>
      </c>
      <c r="BQ285">
        <v>5603</v>
      </c>
      <c r="BR285">
        <v>0</v>
      </c>
      <c r="BS285">
        <v>5532</v>
      </c>
      <c r="BT285">
        <v>0</v>
      </c>
      <c r="BU285">
        <v>5463</v>
      </c>
      <c r="BV285">
        <v>0</v>
      </c>
      <c r="BW285">
        <v>5511</v>
      </c>
      <c r="BX285">
        <v>0</v>
      </c>
      <c r="BY285">
        <v>5518</v>
      </c>
      <c r="BZ285">
        <v>0</v>
      </c>
      <c r="CB285">
        <v>572.87099999999998</v>
      </c>
      <c r="CC285">
        <v>74</v>
      </c>
      <c r="CD285">
        <v>107</v>
      </c>
      <c r="CE285">
        <v>7493.95</v>
      </c>
      <c r="CF285">
        <v>1859</v>
      </c>
      <c r="CG285">
        <v>172.358940387481</v>
      </c>
      <c r="CH285">
        <v>302</v>
      </c>
      <c r="CI285">
        <v>145.333333333333</v>
      </c>
      <c r="CJ285">
        <v>127.666666666667</v>
      </c>
      <c r="CK285" s="81">
        <v>1106</v>
      </c>
      <c r="CL285">
        <v>230</v>
      </c>
      <c r="CM285">
        <v>4585.1599709391203</v>
      </c>
      <c r="CN285">
        <v>0.83399999999999996</v>
      </c>
      <c r="CO285">
        <v>20980</v>
      </c>
      <c r="CP285">
        <v>3236</v>
      </c>
      <c r="CQ285">
        <v>495</v>
      </c>
      <c r="CR285">
        <v>599</v>
      </c>
      <c r="CS285">
        <v>534</v>
      </c>
      <c r="CT285">
        <v>237</v>
      </c>
      <c r="CU285">
        <v>357.28695954158701</v>
      </c>
      <c r="CV285">
        <v>214.626601840597</v>
      </c>
      <c r="CW285">
        <v>62.697864212536899</v>
      </c>
      <c r="CX285">
        <v>883.12720000000002</v>
      </c>
      <c r="CY285">
        <v>530.50519999999995</v>
      </c>
      <c r="CZ285">
        <v>154.97399999999999</v>
      </c>
      <c r="DA285">
        <v>9125</v>
      </c>
      <c r="DE285">
        <v>917</v>
      </c>
      <c r="DF285" t="s">
        <v>139</v>
      </c>
      <c r="DG285">
        <v>15361</v>
      </c>
      <c r="DH285">
        <v>15072</v>
      </c>
      <c r="DI285">
        <v>14902</v>
      </c>
      <c r="DJ285">
        <v>14674</v>
      </c>
      <c r="DK285">
        <v>14399</v>
      </c>
      <c r="DO285">
        <v>744</v>
      </c>
      <c r="DP285" t="s">
        <v>32</v>
      </c>
      <c r="DQ285">
        <v>3826</v>
      </c>
      <c r="DR285">
        <v>1</v>
      </c>
      <c r="DS285">
        <v>329</v>
      </c>
      <c r="DV285">
        <v>796</v>
      </c>
      <c r="DW285" t="s">
        <v>271</v>
      </c>
      <c r="DX285">
        <v>21418.9990341681</v>
      </c>
      <c r="DY285">
        <v>4139</v>
      </c>
      <c r="DZ285">
        <v>3067</v>
      </c>
      <c r="EA285">
        <v>1555</v>
      </c>
      <c r="EB285">
        <v>10496</v>
      </c>
      <c r="EC285">
        <v>5773</v>
      </c>
      <c r="ED285">
        <v>2093</v>
      </c>
      <c r="EE285" s="82">
        <v>0.19653061017510301</v>
      </c>
      <c r="EF285" s="82">
        <v>0.418704494192155</v>
      </c>
    </row>
    <row r="286" spans="1:136" x14ac:dyDescent="0.35">
      <c r="A286" s="72">
        <v>785</v>
      </c>
      <c r="B286" s="72">
        <v>10</v>
      </c>
      <c r="D286" s="72" t="s">
        <v>117</v>
      </c>
      <c r="E286" s="79">
        <v>2263200000</v>
      </c>
      <c r="F286" s="79">
        <v>243250000</v>
      </c>
      <c r="G286" s="79">
        <v>257250000</v>
      </c>
      <c r="H286" s="79">
        <v>23793</v>
      </c>
      <c r="I286" s="79">
        <v>2</v>
      </c>
      <c r="J286" s="79">
        <v>257.25</v>
      </c>
      <c r="K286" s="79">
        <v>4841</v>
      </c>
      <c r="L286" s="79">
        <v>5397</v>
      </c>
      <c r="M286" s="79">
        <v>1660</v>
      </c>
      <c r="N286" s="79">
        <v>2562</v>
      </c>
      <c r="O286" s="79">
        <v>1523.4</v>
      </c>
      <c r="P286" s="79">
        <v>286.66666666666703</v>
      </c>
      <c r="Q286" s="79">
        <v>1279.6666666666699</v>
      </c>
      <c r="R286" s="79">
        <v>670</v>
      </c>
      <c r="S286" s="79">
        <v>0</v>
      </c>
      <c r="T286" s="79">
        <v>682</v>
      </c>
      <c r="U286" s="79">
        <v>10455</v>
      </c>
      <c r="V286" s="79">
        <v>19360</v>
      </c>
      <c r="W286" s="79">
        <v>5790</v>
      </c>
      <c r="X286" s="79">
        <v>1802.66</v>
      </c>
      <c r="Y286" s="79">
        <v>1171.2</v>
      </c>
      <c r="Z286" s="79">
        <v>0</v>
      </c>
      <c r="AA286" s="79">
        <v>0</v>
      </c>
      <c r="AB286" s="79">
        <v>0</v>
      </c>
      <c r="AC286" s="79">
        <v>4297</v>
      </c>
      <c r="AD286" s="79">
        <v>4297</v>
      </c>
      <c r="AE286" s="79">
        <v>41</v>
      </c>
      <c r="AF286" s="79">
        <v>0</v>
      </c>
      <c r="AG286" s="79">
        <v>168</v>
      </c>
      <c r="AH286" s="79">
        <v>136</v>
      </c>
      <c r="AI286" s="79">
        <v>31</v>
      </c>
      <c r="AJ286" s="79">
        <v>10386</v>
      </c>
      <c r="AK286" s="79">
        <v>10386</v>
      </c>
      <c r="AL286" s="79">
        <v>0</v>
      </c>
      <c r="AM286" s="79">
        <v>0</v>
      </c>
      <c r="AN286" s="79">
        <v>0</v>
      </c>
      <c r="AO286" s="79">
        <v>0</v>
      </c>
      <c r="AP286" s="79">
        <v>891</v>
      </c>
      <c r="AQ286" s="79">
        <v>0</v>
      </c>
      <c r="AR286" s="80">
        <v>1.16285E-4</v>
      </c>
      <c r="AS286" s="80">
        <v>1.0025400000000001E-4</v>
      </c>
      <c r="AT286" s="79">
        <v>12162.005999999999</v>
      </c>
      <c r="AU286" s="79">
        <v>0</v>
      </c>
      <c r="AV286" s="79">
        <v>403</v>
      </c>
      <c r="AW286" s="79">
        <v>2210.3686030428798</v>
      </c>
      <c r="AX286" s="79">
        <v>3</v>
      </c>
      <c r="AY286" s="79">
        <v>3</v>
      </c>
      <c r="AZ286" s="79">
        <v>2485</v>
      </c>
      <c r="BA286" s="79">
        <v>1</v>
      </c>
      <c r="BB286" s="79">
        <v>0</v>
      </c>
      <c r="BC286" s="79">
        <v>0</v>
      </c>
      <c r="BD286" s="79">
        <v>0</v>
      </c>
      <c r="BE286" s="79">
        <v>0</v>
      </c>
      <c r="BF286" s="79">
        <v>0</v>
      </c>
      <c r="BG286" s="79">
        <v>0</v>
      </c>
      <c r="BH286" s="79">
        <v>0</v>
      </c>
      <c r="BI286" s="79">
        <v>0</v>
      </c>
      <c r="BJ286" s="79">
        <v>0</v>
      </c>
      <c r="BK286" s="79">
        <v>28</v>
      </c>
      <c r="BL286" s="79">
        <v>2803</v>
      </c>
      <c r="BM286" s="79">
        <v>136</v>
      </c>
      <c r="BN286" s="79">
        <v>31</v>
      </c>
      <c r="BO286">
        <v>4695</v>
      </c>
      <c r="BP286">
        <v>1418</v>
      </c>
      <c r="BQ286">
        <v>4726</v>
      </c>
      <c r="BR286">
        <v>1474</v>
      </c>
      <c r="BS286">
        <v>4742</v>
      </c>
      <c r="BT286">
        <v>1513</v>
      </c>
      <c r="BU286">
        <v>4757</v>
      </c>
      <c r="BV286">
        <v>1521</v>
      </c>
      <c r="BW286">
        <v>4750</v>
      </c>
      <c r="BX286">
        <v>1582</v>
      </c>
      <c r="BY286">
        <v>4768</v>
      </c>
      <c r="BZ286">
        <v>1614</v>
      </c>
      <c r="CB286">
        <v>430.84899999999999</v>
      </c>
      <c r="CC286">
        <v>37</v>
      </c>
      <c r="CD286">
        <v>47</v>
      </c>
      <c r="CE286">
        <v>7466.6</v>
      </c>
      <c r="CF286">
        <v>1856.4</v>
      </c>
      <c r="CG286">
        <v>149.324613463627</v>
      </c>
      <c r="CH286">
        <v>236</v>
      </c>
      <c r="CI286">
        <v>79.6666666666667</v>
      </c>
      <c r="CJ286">
        <v>77.6666666666667</v>
      </c>
      <c r="CK286" s="81">
        <v>993</v>
      </c>
      <c r="CL286">
        <v>230</v>
      </c>
      <c r="CM286">
        <v>4404.9428081865799</v>
      </c>
      <c r="CN286">
        <v>0.28000000000000003</v>
      </c>
      <c r="CO286">
        <v>18396</v>
      </c>
      <c r="CP286">
        <v>3252</v>
      </c>
      <c r="CQ286">
        <v>485</v>
      </c>
      <c r="CR286">
        <v>573</v>
      </c>
      <c r="CS286">
        <v>510</v>
      </c>
      <c r="CT286">
        <v>256</v>
      </c>
      <c r="CU286">
        <v>291.59630271519302</v>
      </c>
      <c r="CV286">
        <v>164.866320046216</v>
      </c>
      <c r="CW286">
        <v>52.5108030040439</v>
      </c>
      <c r="CX286">
        <v>782.27800000000002</v>
      </c>
      <c r="CY286">
        <v>442.29399999999998</v>
      </c>
      <c r="CZ286">
        <v>140.87299999999999</v>
      </c>
      <c r="DA286">
        <v>27828</v>
      </c>
      <c r="DE286">
        <v>928</v>
      </c>
      <c r="DF286" t="s">
        <v>167</v>
      </c>
      <c r="DG286">
        <v>7545</v>
      </c>
      <c r="DH286">
        <v>7339</v>
      </c>
      <c r="DI286">
        <v>7250</v>
      </c>
      <c r="DJ286">
        <v>7277</v>
      </c>
      <c r="DK286">
        <v>7278</v>
      </c>
      <c r="DO286">
        <v>1724</v>
      </c>
      <c r="DP286" t="s">
        <v>41</v>
      </c>
      <c r="DQ286">
        <v>8647</v>
      </c>
      <c r="DR286">
        <v>1</v>
      </c>
      <c r="DS286">
        <v>497</v>
      </c>
      <c r="DV286">
        <v>965</v>
      </c>
      <c r="DW286" t="s">
        <v>272</v>
      </c>
      <c r="DX286">
        <v>1567.6081330868799</v>
      </c>
      <c r="DY286">
        <v>323</v>
      </c>
      <c r="DZ286">
        <v>297</v>
      </c>
      <c r="EA286">
        <v>132</v>
      </c>
      <c r="EB286">
        <v>957</v>
      </c>
      <c r="EC286">
        <v>623</v>
      </c>
      <c r="ED286">
        <v>196</v>
      </c>
      <c r="EE286" s="82">
        <v>0.19622224737091401</v>
      </c>
      <c r="EF286" s="82">
        <v>0.50311442937072404</v>
      </c>
    </row>
    <row r="287" spans="1:136" x14ac:dyDescent="0.35">
      <c r="A287" s="72">
        <v>786</v>
      </c>
      <c r="B287" s="72">
        <v>10</v>
      </c>
      <c r="D287" s="72" t="s">
        <v>121</v>
      </c>
      <c r="E287" s="79">
        <v>948400000</v>
      </c>
      <c r="F287" s="79">
        <v>132650000</v>
      </c>
      <c r="G287" s="79">
        <v>148750000</v>
      </c>
      <c r="H287" s="79">
        <v>12483</v>
      </c>
      <c r="I287" s="79">
        <v>1</v>
      </c>
      <c r="J287" s="79">
        <v>148.75</v>
      </c>
      <c r="K287" s="79">
        <v>2321</v>
      </c>
      <c r="L287" s="79">
        <v>2770</v>
      </c>
      <c r="M287" s="79">
        <v>833</v>
      </c>
      <c r="N287" s="79">
        <v>1409</v>
      </c>
      <c r="O287" s="79">
        <v>842.4</v>
      </c>
      <c r="P287" s="79">
        <v>149.333333333333</v>
      </c>
      <c r="Q287" s="79">
        <v>823.33333333333303</v>
      </c>
      <c r="R287" s="79">
        <v>305</v>
      </c>
      <c r="S287" s="79">
        <v>0</v>
      </c>
      <c r="T287" s="79">
        <v>341</v>
      </c>
      <c r="U287" s="79">
        <v>5904</v>
      </c>
      <c r="V287" s="79">
        <v>11070</v>
      </c>
      <c r="W287" s="79">
        <v>2930</v>
      </c>
      <c r="X287" s="79">
        <v>411.84379999999999</v>
      </c>
      <c r="Y287" s="79">
        <v>600</v>
      </c>
      <c r="Z287" s="79">
        <v>0</v>
      </c>
      <c r="AA287" s="79">
        <v>0</v>
      </c>
      <c r="AB287" s="79">
        <v>0</v>
      </c>
      <c r="AC287" s="79">
        <v>2713</v>
      </c>
      <c r="AD287" s="79">
        <v>2713</v>
      </c>
      <c r="AE287" s="79">
        <v>90</v>
      </c>
      <c r="AF287" s="79">
        <v>0</v>
      </c>
      <c r="AG287" s="79">
        <v>88</v>
      </c>
      <c r="AH287" s="79">
        <v>63</v>
      </c>
      <c r="AI287" s="79">
        <v>25</v>
      </c>
      <c r="AJ287" s="79">
        <v>5666</v>
      </c>
      <c r="AK287" s="79">
        <v>5666</v>
      </c>
      <c r="AL287" s="79">
        <v>8</v>
      </c>
      <c r="AM287" s="79">
        <v>0</v>
      </c>
      <c r="AN287" s="79">
        <v>0</v>
      </c>
      <c r="AO287" s="79">
        <v>2950</v>
      </c>
      <c r="AP287" s="79">
        <v>0</v>
      </c>
      <c r="AQ287" s="79">
        <v>0</v>
      </c>
      <c r="AR287" s="80">
        <v>1.5497899999999999E-4</v>
      </c>
      <c r="AS287" s="80">
        <v>8.1524000000000001E-5</v>
      </c>
      <c r="AT287" s="79">
        <v>3614.9079999999999</v>
      </c>
      <c r="AU287" s="79">
        <v>0</v>
      </c>
      <c r="AV287" s="79">
        <v>545</v>
      </c>
      <c r="AW287" s="79">
        <v>2427.1262932572199</v>
      </c>
      <c r="AX287" s="79">
        <v>3</v>
      </c>
      <c r="AY287" s="79">
        <v>3</v>
      </c>
      <c r="AZ287" s="79">
        <v>1171</v>
      </c>
      <c r="BA287" s="79">
        <v>1</v>
      </c>
      <c r="BB287" s="79">
        <v>0</v>
      </c>
      <c r="BC287" s="79">
        <v>0</v>
      </c>
      <c r="BD287" s="79">
        <v>0</v>
      </c>
      <c r="BE287" s="79">
        <v>0</v>
      </c>
      <c r="BF287" s="79">
        <v>0</v>
      </c>
      <c r="BG287" s="79">
        <v>0</v>
      </c>
      <c r="BH287" s="79">
        <v>0</v>
      </c>
      <c r="BI287" s="79">
        <v>0</v>
      </c>
      <c r="BJ287" s="79">
        <v>0</v>
      </c>
      <c r="BK287" s="79">
        <v>18</v>
      </c>
      <c r="BL287" s="79">
        <v>1693</v>
      </c>
      <c r="BM287" s="79">
        <v>63</v>
      </c>
      <c r="BN287" s="79">
        <v>25</v>
      </c>
      <c r="BO287">
        <v>2752</v>
      </c>
      <c r="BP287">
        <v>999</v>
      </c>
      <c r="BQ287">
        <v>2821</v>
      </c>
      <c r="BR287">
        <v>948</v>
      </c>
      <c r="BS287">
        <v>2831</v>
      </c>
      <c r="BT287">
        <v>869</v>
      </c>
      <c r="BU287">
        <v>2725</v>
      </c>
      <c r="BV287">
        <v>839</v>
      </c>
      <c r="BW287">
        <v>2622</v>
      </c>
      <c r="BX287">
        <v>832</v>
      </c>
      <c r="BY287">
        <v>2581</v>
      </c>
      <c r="BZ287">
        <v>795</v>
      </c>
      <c r="CB287">
        <v>194.964</v>
      </c>
      <c r="CC287">
        <v>34</v>
      </c>
      <c r="CD287">
        <v>41</v>
      </c>
      <c r="CE287">
        <v>3497.34</v>
      </c>
      <c r="CF287">
        <v>828.16</v>
      </c>
      <c r="CG287">
        <v>103.06494594594599</v>
      </c>
      <c r="CH287">
        <v>118</v>
      </c>
      <c r="CI287">
        <v>46.6666666666667</v>
      </c>
      <c r="CJ287">
        <v>37.3333333333333</v>
      </c>
      <c r="CK287" s="81">
        <v>674</v>
      </c>
      <c r="CL287">
        <v>197</v>
      </c>
      <c r="CM287">
        <v>1861.9742719291301</v>
      </c>
      <c r="CN287">
        <v>0.18</v>
      </c>
      <c r="CO287">
        <v>9713</v>
      </c>
      <c r="CP287">
        <v>1663</v>
      </c>
      <c r="CQ287">
        <v>274</v>
      </c>
      <c r="CR287">
        <v>338</v>
      </c>
      <c r="CS287">
        <v>268</v>
      </c>
      <c r="CT287">
        <v>125</v>
      </c>
      <c r="CU287">
        <v>148.527638545711</v>
      </c>
      <c r="CV287">
        <v>83.407412636780805</v>
      </c>
      <c r="CW287">
        <v>25.4236498411578</v>
      </c>
      <c r="CX287">
        <v>452.64690000000002</v>
      </c>
      <c r="CY287">
        <v>254.1891</v>
      </c>
      <c r="CZ287">
        <v>77.480099999999993</v>
      </c>
      <c r="DA287">
        <v>173010</v>
      </c>
      <c r="DE287">
        <v>935</v>
      </c>
      <c r="DF287" t="s">
        <v>195</v>
      </c>
      <c r="DG287">
        <v>18600</v>
      </c>
      <c r="DH287">
        <v>18101</v>
      </c>
      <c r="DI287">
        <v>17804</v>
      </c>
      <c r="DJ287">
        <v>17533</v>
      </c>
      <c r="DK287">
        <v>17214</v>
      </c>
      <c r="DO287">
        <v>748</v>
      </c>
      <c r="DP287" t="s">
        <v>44</v>
      </c>
      <c r="DQ287">
        <v>30742</v>
      </c>
      <c r="DR287">
        <v>1</v>
      </c>
      <c r="DS287">
        <v>1797</v>
      </c>
      <c r="DV287">
        <v>1702</v>
      </c>
      <c r="DW287" t="s">
        <v>273</v>
      </c>
      <c r="DX287">
        <v>1205.5241409308401</v>
      </c>
      <c r="DY287">
        <v>180</v>
      </c>
      <c r="DZ287">
        <v>233</v>
      </c>
      <c r="EA287">
        <v>153</v>
      </c>
      <c r="EB287">
        <v>751</v>
      </c>
      <c r="EC287">
        <v>521</v>
      </c>
      <c r="ED287">
        <v>216</v>
      </c>
      <c r="EE287" s="82">
        <v>0.142462618851738</v>
      </c>
      <c r="EF287" s="82">
        <v>0.41502120714199497</v>
      </c>
    </row>
    <row r="288" spans="1:136" x14ac:dyDescent="0.35">
      <c r="A288" s="72">
        <v>788</v>
      </c>
      <c r="B288" s="72">
        <v>10</v>
      </c>
      <c r="D288" s="72" t="s">
        <v>125</v>
      </c>
      <c r="E288" s="79">
        <v>1489600000</v>
      </c>
      <c r="F288" s="79">
        <v>146650000</v>
      </c>
      <c r="G288" s="79">
        <v>181300000</v>
      </c>
      <c r="H288" s="79">
        <v>14195</v>
      </c>
      <c r="I288" s="79">
        <v>3</v>
      </c>
      <c r="J288" s="79">
        <v>181.3</v>
      </c>
      <c r="K288" s="79">
        <v>2522</v>
      </c>
      <c r="L288" s="79">
        <v>3219</v>
      </c>
      <c r="M288" s="79">
        <v>1037</v>
      </c>
      <c r="N288" s="79">
        <v>1299</v>
      </c>
      <c r="O288" s="79">
        <v>651.6</v>
      </c>
      <c r="P288" s="79">
        <v>93.3333333333333</v>
      </c>
      <c r="Q288" s="79">
        <v>856.33333333333303</v>
      </c>
      <c r="R288" s="79">
        <v>185</v>
      </c>
      <c r="S288" s="79">
        <v>0</v>
      </c>
      <c r="T288" s="79">
        <v>315</v>
      </c>
      <c r="U288" s="79">
        <v>6296</v>
      </c>
      <c r="V288" s="79">
        <v>8620</v>
      </c>
      <c r="W288" s="79">
        <v>730</v>
      </c>
      <c r="X288" s="79">
        <v>0</v>
      </c>
      <c r="Y288" s="79">
        <v>0</v>
      </c>
      <c r="Z288" s="79">
        <v>0</v>
      </c>
      <c r="AA288" s="79">
        <v>0</v>
      </c>
      <c r="AB288" s="79">
        <v>0</v>
      </c>
      <c r="AC288" s="79">
        <v>5758</v>
      </c>
      <c r="AD288" s="79">
        <v>5758</v>
      </c>
      <c r="AE288" s="79">
        <v>98</v>
      </c>
      <c r="AF288" s="79">
        <v>0</v>
      </c>
      <c r="AG288" s="79">
        <v>146</v>
      </c>
      <c r="AH288" s="79">
        <v>82</v>
      </c>
      <c r="AI288" s="79">
        <v>64</v>
      </c>
      <c r="AJ288" s="79">
        <v>6474</v>
      </c>
      <c r="AK288" s="79">
        <v>6474</v>
      </c>
      <c r="AL288" s="79">
        <v>0</v>
      </c>
      <c r="AM288" s="79">
        <v>0</v>
      </c>
      <c r="AN288" s="79">
        <v>0</v>
      </c>
      <c r="AO288" s="79">
        <v>0</v>
      </c>
      <c r="AP288" s="79">
        <v>0</v>
      </c>
      <c r="AQ288" s="79">
        <v>0</v>
      </c>
      <c r="AR288" s="80">
        <v>1.13755E-4</v>
      </c>
      <c r="AS288" s="80">
        <v>3.8544999999999998E-5</v>
      </c>
      <c r="AT288" s="79">
        <v>2421.2759999999998</v>
      </c>
      <c r="AU288" s="79">
        <v>0</v>
      </c>
      <c r="AV288" s="79">
        <v>966</v>
      </c>
      <c r="AW288" s="79">
        <v>2341.5932377049198</v>
      </c>
      <c r="AX288" s="79">
        <v>6</v>
      </c>
      <c r="AY288" s="79">
        <v>6</v>
      </c>
      <c r="AZ288" s="79">
        <v>1905</v>
      </c>
      <c r="BA288" s="79">
        <v>1</v>
      </c>
      <c r="BB288" s="79">
        <v>0</v>
      </c>
      <c r="BC288" s="79">
        <v>0</v>
      </c>
      <c r="BD288" s="79">
        <v>0</v>
      </c>
      <c r="BE288" s="79">
        <v>0</v>
      </c>
      <c r="BF288" s="79">
        <v>0</v>
      </c>
      <c r="BG288" s="79">
        <v>0</v>
      </c>
      <c r="BH288" s="79">
        <v>0</v>
      </c>
      <c r="BI288" s="79">
        <v>0</v>
      </c>
      <c r="BJ288" s="79">
        <v>0</v>
      </c>
      <c r="BK288" s="79">
        <v>19</v>
      </c>
      <c r="BL288" s="79">
        <v>1635</v>
      </c>
      <c r="BM288" s="79">
        <v>82</v>
      </c>
      <c r="BN288" s="79">
        <v>64</v>
      </c>
      <c r="BO288">
        <v>3156</v>
      </c>
      <c r="BP288">
        <v>0</v>
      </c>
      <c r="BQ288">
        <v>3069</v>
      </c>
      <c r="BR288">
        <v>0</v>
      </c>
      <c r="BS288">
        <v>2995</v>
      </c>
      <c r="BT288">
        <v>0</v>
      </c>
      <c r="BU288">
        <v>2938</v>
      </c>
      <c r="BV288">
        <v>0</v>
      </c>
      <c r="BW288">
        <v>2859</v>
      </c>
      <c r="BX288">
        <v>0</v>
      </c>
      <c r="BY288">
        <v>2773</v>
      </c>
      <c r="BZ288">
        <v>0</v>
      </c>
      <c r="CB288">
        <v>166.452</v>
      </c>
      <c r="CC288">
        <v>30</v>
      </c>
      <c r="CD288">
        <v>21</v>
      </c>
      <c r="CE288">
        <v>4627.82</v>
      </c>
      <c r="CF288">
        <v>1094.4000000000001</v>
      </c>
      <c r="CG288">
        <v>26.3845634075508</v>
      </c>
      <c r="CH288">
        <v>122</v>
      </c>
      <c r="CI288">
        <v>23</v>
      </c>
      <c r="CJ288">
        <v>20.6666666666667</v>
      </c>
      <c r="CK288" s="81">
        <v>763</v>
      </c>
      <c r="CL288">
        <v>345</v>
      </c>
      <c r="CM288">
        <v>2037.30154753132</v>
      </c>
      <c r="CN288">
        <v>7.0999999999999994E-2</v>
      </c>
      <c r="CO288">
        <v>10976</v>
      </c>
      <c r="CP288">
        <v>1909</v>
      </c>
      <c r="CQ288">
        <v>273</v>
      </c>
      <c r="CR288">
        <v>313</v>
      </c>
      <c r="CS288">
        <v>303</v>
      </c>
      <c r="CT288">
        <v>163</v>
      </c>
      <c r="CU288">
        <v>112.42465245597801</v>
      </c>
      <c r="CV288">
        <v>70.152177942539396</v>
      </c>
      <c r="CW288">
        <v>23.149212233549601</v>
      </c>
      <c r="CX288">
        <v>363.13670000000002</v>
      </c>
      <c r="CY288">
        <v>226.59469999999999</v>
      </c>
      <c r="CZ288">
        <v>74.772999999999996</v>
      </c>
      <c r="DA288">
        <v>224110</v>
      </c>
      <c r="DE288">
        <v>938</v>
      </c>
      <c r="DF288" t="s">
        <v>197</v>
      </c>
      <c r="DG288">
        <v>3838</v>
      </c>
      <c r="DH288">
        <v>3776</v>
      </c>
      <c r="DI288">
        <v>3695</v>
      </c>
      <c r="DJ288">
        <v>3606</v>
      </c>
      <c r="DK288">
        <v>3518</v>
      </c>
      <c r="DO288">
        <v>1721</v>
      </c>
      <c r="DP288" t="s">
        <v>46</v>
      </c>
      <c r="DQ288">
        <v>12341</v>
      </c>
      <c r="DR288">
        <v>1</v>
      </c>
      <c r="DS288">
        <v>656</v>
      </c>
      <c r="DV288">
        <v>845</v>
      </c>
      <c r="DW288" t="s">
        <v>274</v>
      </c>
      <c r="DX288">
        <v>2841.1958833619201</v>
      </c>
      <c r="DY288">
        <v>588</v>
      </c>
      <c r="DZ288">
        <v>650</v>
      </c>
      <c r="EA288">
        <v>316</v>
      </c>
      <c r="EB288">
        <v>2076</v>
      </c>
      <c r="EC288">
        <v>1360</v>
      </c>
      <c r="ED288">
        <v>460</v>
      </c>
      <c r="EE288" s="82">
        <v>0.135412700585129</v>
      </c>
      <c r="EF288" s="82">
        <v>0.35320490205816601</v>
      </c>
    </row>
    <row r="289" spans="1:136" x14ac:dyDescent="0.35">
      <c r="A289" s="72">
        <v>1655</v>
      </c>
      <c r="B289" s="72">
        <v>10</v>
      </c>
      <c r="D289" s="72" t="s">
        <v>128</v>
      </c>
      <c r="E289" s="79">
        <v>2583600000</v>
      </c>
      <c r="F289" s="79">
        <v>513100000</v>
      </c>
      <c r="G289" s="79">
        <v>550550000</v>
      </c>
      <c r="H289" s="79">
        <v>30194</v>
      </c>
      <c r="I289" s="79">
        <v>5</v>
      </c>
      <c r="J289" s="79">
        <v>550.54999999999995</v>
      </c>
      <c r="K289" s="79">
        <v>5391</v>
      </c>
      <c r="L289" s="79">
        <v>6989</v>
      </c>
      <c r="M289" s="79">
        <v>2197</v>
      </c>
      <c r="N289" s="79">
        <v>3758</v>
      </c>
      <c r="O289" s="79">
        <v>2400.4</v>
      </c>
      <c r="P289" s="79">
        <v>452.66666666666703</v>
      </c>
      <c r="Q289" s="79">
        <v>1902.6666666666699</v>
      </c>
      <c r="R289" s="79">
        <v>1640</v>
      </c>
      <c r="S289" s="79">
        <v>0</v>
      </c>
      <c r="T289" s="79">
        <v>857</v>
      </c>
      <c r="U289" s="79">
        <v>13600</v>
      </c>
      <c r="V289" s="79">
        <v>25920</v>
      </c>
      <c r="W289" s="79">
        <v>4820</v>
      </c>
      <c r="X289" s="79">
        <v>0</v>
      </c>
      <c r="Y289" s="79">
        <v>931.2</v>
      </c>
      <c r="Z289" s="79">
        <v>0</v>
      </c>
      <c r="AA289" s="79">
        <v>0</v>
      </c>
      <c r="AB289" s="79">
        <v>0</v>
      </c>
      <c r="AC289" s="79">
        <v>7448</v>
      </c>
      <c r="AD289" s="79">
        <v>7448</v>
      </c>
      <c r="AE289" s="79">
        <v>74</v>
      </c>
      <c r="AF289" s="79">
        <v>0</v>
      </c>
      <c r="AG289" s="79">
        <v>286</v>
      </c>
      <c r="AH289" s="79">
        <v>189</v>
      </c>
      <c r="AI289" s="79">
        <v>97</v>
      </c>
      <c r="AJ289" s="79">
        <v>13576</v>
      </c>
      <c r="AK289" s="79">
        <v>13576</v>
      </c>
      <c r="AL289" s="79">
        <v>10</v>
      </c>
      <c r="AM289" s="79">
        <v>0</v>
      </c>
      <c r="AN289" s="79">
        <v>0</v>
      </c>
      <c r="AO289" s="79">
        <v>0</v>
      </c>
      <c r="AP289" s="79">
        <v>1296</v>
      </c>
      <c r="AQ289" s="79">
        <v>616</v>
      </c>
      <c r="AR289" s="80">
        <v>2.9650100000000001E-4</v>
      </c>
      <c r="AS289" s="80">
        <v>1.6897E-4</v>
      </c>
      <c r="AT289" s="79">
        <v>10195.575999999999</v>
      </c>
      <c r="AU289" s="79">
        <v>0</v>
      </c>
      <c r="AV289" s="79">
        <v>977</v>
      </c>
      <c r="AW289" s="79">
        <v>4130.5006647168302</v>
      </c>
      <c r="AX289" s="79">
        <v>9</v>
      </c>
      <c r="AY289" s="79">
        <v>9</v>
      </c>
      <c r="AZ289" s="79">
        <v>3216</v>
      </c>
      <c r="BA289" s="79">
        <v>1</v>
      </c>
      <c r="BB289" s="79">
        <v>0</v>
      </c>
      <c r="BC289" s="79">
        <v>0</v>
      </c>
      <c r="BD289" s="79">
        <v>0</v>
      </c>
      <c r="BE289" s="79">
        <v>0</v>
      </c>
      <c r="BF289" s="79">
        <v>0</v>
      </c>
      <c r="BG289" s="79">
        <v>0</v>
      </c>
      <c r="BH289" s="79">
        <v>0</v>
      </c>
      <c r="BI289" s="79">
        <v>0</v>
      </c>
      <c r="BJ289" s="79">
        <v>0</v>
      </c>
      <c r="BK289" s="79">
        <v>15</v>
      </c>
      <c r="BL289" s="79">
        <v>3936</v>
      </c>
      <c r="BM289" s="79">
        <v>189</v>
      </c>
      <c r="BN289" s="79">
        <v>97</v>
      </c>
      <c r="BO289">
        <v>5949</v>
      </c>
      <c r="BP289">
        <v>2138</v>
      </c>
      <c r="BQ289">
        <v>5819</v>
      </c>
      <c r="BR289">
        <v>1975</v>
      </c>
      <c r="BS289">
        <v>5795</v>
      </c>
      <c r="BT289">
        <v>1842</v>
      </c>
      <c r="BU289">
        <v>5684</v>
      </c>
      <c r="BV289">
        <v>1695</v>
      </c>
      <c r="BW289">
        <v>5564</v>
      </c>
      <c r="BX289">
        <v>1564</v>
      </c>
      <c r="BY289">
        <v>5489</v>
      </c>
      <c r="BZ289">
        <v>1443</v>
      </c>
      <c r="CB289">
        <v>609.18299999999999</v>
      </c>
      <c r="CC289">
        <v>125</v>
      </c>
      <c r="CD289">
        <v>127</v>
      </c>
      <c r="CE289">
        <v>9087.2999999999993</v>
      </c>
      <c r="CF289">
        <v>2058.91</v>
      </c>
      <c r="CG289">
        <v>151.90048197596801</v>
      </c>
      <c r="CH289">
        <v>300</v>
      </c>
      <c r="CI289">
        <v>140.333333333333</v>
      </c>
      <c r="CJ289">
        <v>124.333333333333</v>
      </c>
      <c r="CK289" s="81">
        <v>1450</v>
      </c>
      <c r="CL289">
        <v>284</v>
      </c>
      <c r="CM289">
        <v>6736.1933669703003</v>
      </c>
      <c r="CN289">
        <v>0.72299999999999998</v>
      </c>
      <c r="CO289">
        <v>23205</v>
      </c>
      <c r="CP289">
        <v>4068</v>
      </c>
      <c r="CQ289">
        <v>724</v>
      </c>
      <c r="CR289">
        <v>689</v>
      </c>
      <c r="CS289">
        <v>668</v>
      </c>
      <c r="CT289">
        <v>324</v>
      </c>
      <c r="CU289">
        <v>429.65321154979398</v>
      </c>
      <c r="CV289">
        <v>260.09048320565699</v>
      </c>
      <c r="CW289">
        <v>80.803093694755503</v>
      </c>
      <c r="CX289">
        <v>1063.125</v>
      </c>
      <c r="CY289">
        <v>643.5625</v>
      </c>
      <c r="CZ289">
        <v>199.9375</v>
      </c>
      <c r="DA289">
        <v>8354</v>
      </c>
      <c r="DE289">
        <v>944</v>
      </c>
      <c r="DF289" t="s">
        <v>209</v>
      </c>
      <c r="DG289">
        <v>1786</v>
      </c>
      <c r="DH289">
        <v>1763</v>
      </c>
      <c r="DI289">
        <v>1679</v>
      </c>
      <c r="DJ289">
        <v>1637</v>
      </c>
      <c r="DK289">
        <v>1577</v>
      </c>
      <c r="DO289">
        <v>753</v>
      </c>
      <c r="DP289" t="s">
        <v>47</v>
      </c>
      <c r="DQ289">
        <v>12395</v>
      </c>
      <c r="DR289">
        <v>1</v>
      </c>
      <c r="DS289">
        <v>1385</v>
      </c>
      <c r="DV289">
        <v>1883</v>
      </c>
      <c r="DW289" t="s">
        <v>275</v>
      </c>
      <c r="DX289">
        <v>16147.0992080218</v>
      </c>
      <c r="DY289">
        <v>2848</v>
      </c>
      <c r="DZ289">
        <v>2593</v>
      </c>
      <c r="EA289">
        <v>1216</v>
      </c>
      <c r="EB289">
        <v>7676</v>
      </c>
      <c r="EC289">
        <v>4878</v>
      </c>
      <c r="ED289">
        <v>1707</v>
      </c>
      <c r="EE289" s="82">
        <v>0.24446410120364001</v>
      </c>
      <c r="EF289" s="82">
        <v>0.51638898100144803</v>
      </c>
    </row>
    <row r="290" spans="1:136" x14ac:dyDescent="0.35">
      <c r="A290" s="72">
        <v>1658</v>
      </c>
      <c r="B290" s="72">
        <v>10</v>
      </c>
      <c r="D290" s="72" t="s">
        <v>140</v>
      </c>
      <c r="E290" s="79">
        <v>1810400000</v>
      </c>
      <c r="F290" s="79">
        <v>231350000</v>
      </c>
      <c r="G290" s="79">
        <v>281750000</v>
      </c>
      <c r="H290" s="79">
        <v>15964</v>
      </c>
      <c r="I290" s="79">
        <v>2</v>
      </c>
      <c r="J290" s="79">
        <v>281.75</v>
      </c>
      <c r="K290" s="79">
        <v>2859</v>
      </c>
      <c r="L290" s="79">
        <v>3820</v>
      </c>
      <c r="M290" s="79">
        <v>1267</v>
      </c>
      <c r="N290" s="79">
        <v>1563</v>
      </c>
      <c r="O290" s="79">
        <v>846.4</v>
      </c>
      <c r="P290" s="79">
        <v>128.333333333333</v>
      </c>
      <c r="Q290" s="79">
        <v>831.33333333333303</v>
      </c>
      <c r="R290" s="79">
        <v>245</v>
      </c>
      <c r="S290" s="79">
        <v>0</v>
      </c>
      <c r="T290" s="79">
        <v>347</v>
      </c>
      <c r="U290" s="79">
        <v>7041</v>
      </c>
      <c r="V290" s="79">
        <v>11370</v>
      </c>
      <c r="W290" s="79">
        <v>2120</v>
      </c>
      <c r="X290" s="79">
        <v>2321.66</v>
      </c>
      <c r="Y290" s="79">
        <v>0</v>
      </c>
      <c r="Z290" s="79">
        <v>0</v>
      </c>
      <c r="AA290" s="79">
        <v>0</v>
      </c>
      <c r="AB290" s="79">
        <v>0</v>
      </c>
      <c r="AC290" s="79">
        <v>10394</v>
      </c>
      <c r="AD290" s="79">
        <v>10394</v>
      </c>
      <c r="AE290" s="79">
        <v>110</v>
      </c>
      <c r="AF290" s="79">
        <v>0</v>
      </c>
      <c r="AG290" s="79">
        <v>171</v>
      </c>
      <c r="AH290" s="79">
        <v>107</v>
      </c>
      <c r="AI290" s="79">
        <v>64</v>
      </c>
      <c r="AJ290" s="79">
        <v>7166</v>
      </c>
      <c r="AK290" s="79">
        <v>7166</v>
      </c>
      <c r="AL290" s="79">
        <v>0</v>
      </c>
      <c r="AM290" s="79">
        <v>0</v>
      </c>
      <c r="AN290" s="79">
        <v>0</v>
      </c>
      <c r="AO290" s="79">
        <v>0</v>
      </c>
      <c r="AP290" s="79">
        <v>0</v>
      </c>
      <c r="AQ290" s="79">
        <v>0</v>
      </c>
      <c r="AR290" s="80">
        <v>9.9848999999999999E-5</v>
      </c>
      <c r="AS290" s="80">
        <v>5.0760999999999997E-5</v>
      </c>
      <c r="AT290" s="79">
        <v>4170.6120000000001</v>
      </c>
      <c r="AU290" s="79">
        <v>0</v>
      </c>
      <c r="AV290" s="79">
        <v>1368</v>
      </c>
      <c r="AW290" s="79">
        <v>2079.08910891089</v>
      </c>
      <c r="AX290" s="79">
        <v>7</v>
      </c>
      <c r="AY290" s="79">
        <v>7</v>
      </c>
      <c r="AZ290" s="79">
        <v>2107</v>
      </c>
      <c r="BA290" s="79">
        <v>1</v>
      </c>
      <c r="BB290" s="79">
        <v>0</v>
      </c>
      <c r="BC290" s="79">
        <v>0</v>
      </c>
      <c r="BD290" s="79">
        <v>0</v>
      </c>
      <c r="BE290" s="79">
        <v>0</v>
      </c>
      <c r="BF290" s="79">
        <v>0</v>
      </c>
      <c r="BG290" s="79">
        <v>0</v>
      </c>
      <c r="BH290" s="79">
        <v>0</v>
      </c>
      <c r="BI290" s="79">
        <v>0</v>
      </c>
      <c r="BJ290" s="79">
        <v>0</v>
      </c>
      <c r="BK290" s="79">
        <v>8</v>
      </c>
      <c r="BL290" s="79">
        <v>1885</v>
      </c>
      <c r="BM290" s="79">
        <v>107</v>
      </c>
      <c r="BN290" s="79">
        <v>64</v>
      </c>
      <c r="BO290">
        <v>3287</v>
      </c>
      <c r="BP290">
        <v>0</v>
      </c>
      <c r="BQ290">
        <v>3233</v>
      </c>
      <c r="BR290">
        <v>0</v>
      </c>
      <c r="BS290">
        <v>3193</v>
      </c>
      <c r="BT290">
        <v>0</v>
      </c>
      <c r="BU290">
        <v>3135</v>
      </c>
      <c r="BV290">
        <v>0</v>
      </c>
      <c r="BW290">
        <v>3081</v>
      </c>
      <c r="BX290">
        <v>0</v>
      </c>
      <c r="BY290">
        <v>2980</v>
      </c>
      <c r="BZ290">
        <v>0</v>
      </c>
      <c r="CB290">
        <v>185.83500000000001</v>
      </c>
      <c r="CC290">
        <v>46</v>
      </c>
      <c r="CD290">
        <v>21</v>
      </c>
      <c r="CE290">
        <v>5416.47</v>
      </c>
      <c r="CF290">
        <v>1273.32</v>
      </c>
      <c r="CG290">
        <v>57.502943521594702</v>
      </c>
      <c r="CH290">
        <v>133</v>
      </c>
      <c r="CI290">
        <v>32</v>
      </c>
      <c r="CJ290">
        <v>24.6666666666667</v>
      </c>
      <c r="CK290" s="81">
        <v>703</v>
      </c>
      <c r="CL290">
        <v>251</v>
      </c>
      <c r="CM290">
        <v>2317.5851757188502</v>
      </c>
      <c r="CN290">
        <v>7.8E-2</v>
      </c>
      <c r="CO290">
        <v>12144</v>
      </c>
      <c r="CP290">
        <v>2103</v>
      </c>
      <c r="CQ290">
        <v>450</v>
      </c>
      <c r="CR290">
        <v>344</v>
      </c>
      <c r="CS290">
        <v>367</v>
      </c>
      <c r="CT290">
        <v>218</v>
      </c>
      <c r="CU290">
        <v>147.99598102149</v>
      </c>
      <c r="CV290">
        <v>99.4514094334357</v>
      </c>
      <c r="CW290">
        <v>38.386826681551803</v>
      </c>
      <c r="CX290">
        <v>399.83229999999998</v>
      </c>
      <c r="CY290">
        <v>268.68220000000002</v>
      </c>
      <c r="CZ290">
        <v>103.7075</v>
      </c>
      <c r="DA290">
        <v>191625</v>
      </c>
      <c r="DE290">
        <v>946</v>
      </c>
      <c r="DF290" t="s">
        <v>211</v>
      </c>
      <c r="DG290">
        <v>3537</v>
      </c>
      <c r="DH290">
        <v>3436</v>
      </c>
      <c r="DI290">
        <v>3407</v>
      </c>
      <c r="DJ290">
        <v>3348</v>
      </c>
      <c r="DK290">
        <v>3278</v>
      </c>
      <c r="DO290">
        <v>1728</v>
      </c>
      <c r="DP290" t="s">
        <v>50</v>
      </c>
      <c r="DQ290">
        <v>9194</v>
      </c>
      <c r="DR290">
        <v>1</v>
      </c>
      <c r="DS290">
        <v>684</v>
      </c>
      <c r="DV290">
        <v>610</v>
      </c>
      <c r="DW290" t="s">
        <v>276</v>
      </c>
      <c r="DX290">
        <v>3325.92744266718</v>
      </c>
      <c r="DY290">
        <v>523</v>
      </c>
      <c r="DZ290">
        <v>559</v>
      </c>
      <c r="EA290">
        <v>349</v>
      </c>
      <c r="EB290">
        <v>1598</v>
      </c>
      <c r="EC290">
        <v>1104</v>
      </c>
      <c r="ED290">
        <v>485</v>
      </c>
      <c r="EE290" s="82">
        <v>0.19055013913402499</v>
      </c>
      <c r="EF290" s="82">
        <v>0.48170966454611602</v>
      </c>
    </row>
    <row r="291" spans="1:136" x14ac:dyDescent="0.35">
      <c r="A291" s="72">
        <v>794</v>
      </c>
      <c r="B291" s="72">
        <v>10</v>
      </c>
      <c r="D291" s="72" t="s">
        <v>144</v>
      </c>
      <c r="E291" s="79">
        <v>6933600000</v>
      </c>
      <c r="F291" s="79">
        <v>1401050000</v>
      </c>
      <c r="G291" s="79">
        <v>1414350000</v>
      </c>
      <c r="H291" s="79">
        <v>91524</v>
      </c>
      <c r="I291" s="79">
        <v>1</v>
      </c>
      <c r="J291" s="79">
        <v>1414.35</v>
      </c>
      <c r="K291" s="79">
        <v>18870</v>
      </c>
      <c r="L291" s="79">
        <v>15701</v>
      </c>
      <c r="M291" s="79">
        <v>4881</v>
      </c>
      <c r="N291" s="79">
        <v>13624</v>
      </c>
      <c r="O291" s="79">
        <v>9576.7999999999993</v>
      </c>
      <c r="P291" s="79">
        <v>2610.3333333333298</v>
      </c>
      <c r="Q291" s="79">
        <v>8400.3333333333303</v>
      </c>
      <c r="R291" s="79">
        <v>8600</v>
      </c>
      <c r="S291" s="79">
        <v>0</v>
      </c>
      <c r="T291" s="79">
        <v>3337</v>
      </c>
      <c r="U291" s="79">
        <v>41095</v>
      </c>
      <c r="V291" s="79">
        <v>105510</v>
      </c>
      <c r="W291" s="79">
        <v>144650</v>
      </c>
      <c r="X291" s="79">
        <v>3112.58</v>
      </c>
      <c r="Y291" s="79">
        <v>4201.6000000000004</v>
      </c>
      <c r="Z291" s="79">
        <v>0</v>
      </c>
      <c r="AA291" s="79">
        <v>0</v>
      </c>
      <c r="AB291" s="79">
        <v>0</v>
      </c>
      <c r="AC291" s="79">
        <v>5313</v>
      </c>
      <c r="AD291" s="79">
        <v>5313</v>
      </c>
      <c r="AE291" s="79">
        <v>162</v>
      </c>
      <c r="AF291" s="79">
        <v>0</v>
      </c>
      <c r="AG291" s="79">
        <v>585</v>
      </c>
      <c r="AH291" s="79">
        <v>501</v>
      </c>
      <c r="AI291" s="79">
        <v>84</v>
      </c>
      <c r="AJ291" s="79">
        <v>40472</v>
      </c>
      <c r="AK291" s="79">
        <v>40472</v>
      </c>
      <c r="AL291" s="79">
        <v>10</v>
      </c>
      <c r="AM291" s="79">
        <v>0</v>
      </c>
      <c r="AN291" s="79">
        <v>0</v>
      </c>
      <c r="AO291" s="79">
        <v>0</v>
      </c>
      <c r="AP291" s="79">
        <v>4770</v>
      </c>
      <c r="AQ291" s="79">
        <v>4770</v>
      </c>
      <c r="AR291" s="80">
        <v>1.2117849999999999E-3</v>
      </c>
      <c r="AS291" s="80">
        <v>1.999514E-3</v>
      </c>
      <c r="AT291" s="79">
        <v>70745.055999999997</v>
      </c>
      <c r="AU291" s="79">
        <v>0</v>
      </c>
      <c r="AV291" s="79">
        <v>1460</v>
      </c>
      <c r="AW291" s="79">
        <v>24406.400000000001</v>
      </c>
      <c r="AX291" s="79">
        <v>1</v>
      </c>
      <c r="AY291" s="79">
        <v>1</v>
      </c>
      <c r="AZ291" s="79">
        <v>8219</v>
      </c>
      <c r="BA291" s="79">
        <v>1</v>
      </c>
      <c r="BB291" s="79">
        <v>0</v>
      </c>
      <c r="BC291" s="79">
        <v>0</v>
      </c>
      <c r="BD291" s="79">
        <v>0</v>
      </c>
      <c r="BE291" s="79">
        <v>0</v>
      </c>
      <c r="BF291" s="79">
        <v>0</v>
      </c>
      <c r="BG291" s="79">
        <v>0</v>
      </c>
      <c r="BH291" s="79">
        <v>0</v>
      </c>
      <c r="BI291" s="79">
        <v>0</v>
      </c>
      <c r="BJ291" s="79">
        <v>0</v>
      </c>
      <c r="BK291" s="79">
        <v>213</v>
      </c>
      <c r="BL291" s="79">
        <v>13951</v>
      </c>
      <c r="BM291" s="79">
        <v>501</v>
      </c>
      <c r="BN291" s="79">
        <v>84</v>
      </c>
      <c r="BO291">
        <v>20012</v>
      </c>
      <c r="BP291">
        <v>5699</v>
      </c>
      <c r="BQ291">
        <v>20120</v>
      </c>
      <c r="BR291">
        <v>5617</v>
      </c>
      <c r="BS291">
        <v>20169</v>
      </c>
      <c r="BT291">
        <v>5646</v>
      </c>
      <c r="BU291">
        <v>20150</v>
      </c>
      <c r="BV291">
        <v>5590</v>
      </c>
      <c r="BW291">
        <v>20090</v>
      </c>
      <c r="BX291">
        <v>5538</v>
      </c>
      <c r="BY291">
        <v>19988</v>
      </c>
      <c r="BZ291">
        <v>5435</v>
      </c>
      <c r="CB291">
        <v>2943.72</v>
      </c>
      <c r="CC291">
        <v>511</v>
      </c>
      <c r="CD291">
        <v>459</v>
      </c>
      <c r="CE291">
        <v>24722.080000000002</v>
      </c>
      <c r="CF291">
        <v>6329.85</v>
      </c>
      <c r="CG291">
        <v>741.28319148936203</v>
      </c>
      <c r="CH291">
        <v>1214</v>
      </c>
      <c r="CI291">
        <v>767.66666666666697</v>
      </c>
      <c r="CJ291">
        <v>638</v>
      </c>
      <c r="CK291" s="81">
        <v>5790</v>
      </c>
      <c r="CL291">
        <v>1162</v>
      </c>
      <c r="CM291">
        <v>13216.493328747199</v>
      </c>
      <c r="CN291">
        <v>6.8890000000000002</v>
      </c>
      <c r="CO291">
        <v>75823</v>
      </c>
      <c r="CP291">
        <v>9342</v>
      </c>
      <c r="CQ291">
        <v>1478</v>
      </c>
      <c r="CR291">
        <v>2202</v>
      </c>
      <c r="CS291">
        <v>1744</v>
      </c>
      <c r="CT291">
        <v>806</v>
      </c>
      <c r="CU291">
        <v>1414.5609408974101</v>
      </c>
      <c r="CV291">
        <v>828.43389998023304</v>
      </c>
      <c r="CW291">
        <v>266.67952164459399</v>
      </c>
      <c r="CX291">
        <v>3113.3424</v>
      </c>
      <c r="CY291">
        <v>1823.3208</v>
      </c>
      <c r="CZ291">
        <v>586.94159999999999</v>
      </c>
      <c r="DA291">
        <v>17521</v>
      </c>
      <c r="DE291">
        <v>951</v>
      </c>
      <c r="DF291" t="s">
        <v>825</v>
      </c>
      <c r="DG291">
        <v>2856</v>
      </c>
      <c r="DH291">
        <v>2805</v>
      </c>
      <c r="DI291">
        <v>2742</v>
      </c>
      <c r="DJ291">
        <v>2698</v>
      </c>
      <c r="DK291">
        <v>2659</v>
      </c>
      <c r="DO291">
        <v>755</v>
      </c>
      <c r="DP291" t="s">
        <v>54</v>
      </c>
      <c r="DQ291">
        <v>4276</v>
      </c>
      <c r="DR291">
        <v>1</v>
      </c>
      <c r="DS291">
        <v>515</v>
      </c>
      <c r="DV291">
        <v>1714</v>
      </c>
      <c r="DW291" t="s">
        <v>277</v>
      </c>
      <c r="DX291">
        <v>3807.0455951223798</v>
      </c>
      <c r="DY291">
        <v>778</v>
      </c>
      <c r="DZ291">
        <v>721</v>
      </c>
      <c r="EA291">
        <v>498</v>
      </c>
      <c r="EB291">
        <v>2267</v>
      </c>
      <c r="EC291">
        <v>1441</v>
      </c>
      <c r="ED291">
        <v>672</v>
      </c>
      <c r="EE291" s="82">
        <v>0.11959079397371999</v>
      </c>
      <c r="EF291" s="82">
        <v>0.46927942762387398</v>
      </c>
    </row>
    <row r="292" spans="1:136" x14ac:dyDescent="0.35">
      <c r="A292" s="72">
        <v>797</v>
      </c>
      <c r="B292" s="72">
        <v>10</v>
      </c>
      <c r="D292" s="72" t="s">
        <v>149</v>
      </c>
      <c r="E292" s="79">
        <v>4096000000</v>
      </c>
      <c r="F292" s="79">
        <v>537950000</v>
      </c>
      <c r="G292" s="79">
        <v>567700000</v>
      </c>
      <c r="H292" s="79">
        <v>44135</v>
      </c>
      <c r="I292" s="79">
        <v>2</v>
      </c>
      <c r="J292" s="79">
        <v>567.70000000000005</v>
      </c>
      <c r="K292" s="79">
        <v>8493</v>
      </c>
      <c r="L292" s="79">
        <v>8996</v>
      </c>
      <c r="M292" s="79">
        <v>2859</v>
      </c>
      <c r="N292" s="79">
        <v>4988</v>
      </c>
      <c r="O292" s="79">
        <v>3105.8</v>
      </c>
      <c r="P292" s="79">
        <v>544.33333333333303</v>
      </c>
      <c r="Q292" s="79">
        <v>2449.3333333333298</v>
      </c>
      <c r="R292" s="79">
        <v>1970</v>
      </c>
      <c r="S292" s="79">
        <v>0</v>
      </c>
      <c r="T292" s="79">
        <v>1157</v>
      </c>
      <c r="U292" s="79">
        <v>19093</v>
      </c>
      <c r="V292" s="79">
        <v>45150</v>
      </c>
      <c r="W292" s="79">
        <v>32590</v>
      </c>
      <c r="X292" s="79">
        <v>194.04</v>
      </c>
      <c r="Y292" s="79">
        <v>880</v>
      </c>
      <c r="Z292" s="79">
        <v>0</v>
      </c>
      <c r="AA292" s="79">
        <v>0</v>
      </c>
      <c r="AB292" s="79">
        <v>0</v>
      </c>
      <c r="AC292" s="79">
        <v>7880</v>
      </c>
      <c r="AD292" s="79">
        <v>7880</v>
      </c>
      <c r="AE292" s="79">
        <v>242</v>
      </c>
      <c r="AF292" s="79">
        <v>0</v>
      </c>
      <c r="AG292" s="79">
        <v>334</v>
      </c>
      <c r="AH292" s="79">
        <v>278</v>
      </c>
      <c r="AI292" s="79">
        <v>56</v>
      </c>
      <c r="AJ292" s="79">
        <v>18822</v>
      </c>
      <c r="AK292" s="79">
        <v>18822</v>
      </c>
      <c r="AL292" s="79">
        <v>16</v>
      </c>
      <c r="AM292" s="79">
        <v>0</v>
      </c>
      <c r="AN292" s="79">
        <v>0</v>
      </c>
      <c r="AO292" s="79">
        <v>6900</v>
      </c>
      <c r="AP292" s="79">
        <v>1162</v>
      </c>
      <c r="AQ292" s="79">
        <v>0</v>
      </c>
      <c r="AR292" s="80">
        <v>3.7964100000000001E-4</v>
      </c>
      <c r="AS292" s="80">
        <v>2.0282000000000001E-4</v>
      </c>
      <c r="AT292" s="79">
        <v>20271.294000000002</v>
      </c>
      <c r="AU292" s="79">
        <v>0</v>
      </c>
      <c r="AV292" s="79">
        <v>1631</v>
      </c>
      <c r="AW292" s="79">
        <v>8862.8644422556008</v>
      </c>
      <c r="AX292" s="79">
        <v>3</v>
      </c>
      <c r="AY292" s="79">
        <v>3</v>
      </c>
      <c r="AZ292" s="79">
        <v>5052</v>
      </c>
      <c r="BA292" s="79">
        <v>1</v>
      </c>
      <c r="BB292" s="79">
        <v>0</v>
      </c>
      <c r="BC292" s="79">
        <v>0</v>
      </c>
      <c r="BD292" s="79">
        <v>0</v>
      </c>
      <c r="BE292" s="79">
        <v>0</v>
      </c>
      <c r="BF292" s="79">
        <v>0</v>
      </c>
      <c r="BG292" s="79">
        <v>0</v>
      </c>
      <c r="BH292" s="79">
        <v>0</v>
      </c>
      <c r="BI292" s="79">
        <v>0</v>
      </c>
      <c r="BJ292" s="79">
        <v>0</v>
      </c>
      <c r="BK292" s="79">
        <v>56</v>
      </c>
      <c r="BL292" s="79">
        <v>5359</v>
      </c>
      <c r="BM292" s="79">
        <v>278</v>
      </c>
      <c r="BN292" s="79">
        <v>56</v>
      </c>
      <c r="BO292">
        <v>9661</v>
      </c>
      <c r="BP292">
        <v>1570</v>
      </c>
      <c r="BQ292">
        <v>9526</v>
      </c>
      <c r="BR292">
        <v>1559</v>
      </c>
      <c r="BS292">
        <v>9384</v>
      </c>
      <c r="BT292">
        <v>1536</v>
      </c>
      <c r="BU292">
        <v>9256</v>
      </c>
      <c r="BV292">
        <v>1457</v>
      </c>
      <c r="BW292">
        <v>9144</v>
      </c>
      <c r="BX292">
        <v>1363</v>
      </c>
      <c r="BY292">
        <v>8971</v>
      </c>
      <c r="BZ292">
        <v>1275</v>
      </c>
      <c r="CB292">
        <v>798.34199999999998</v>
      </c>
      <c r="CC292">
        <v>168</v>
      </c>
      <c r="CD292">
        <v>70</v>
      </c>
      <c r="CE292">
        <v>13278.42</v>
      </c>
      <c r="CF292">
        <v>3421.6</v>
      </c>
      <c r="CG292">
        <v>256.44222184300298</v>
      </c>
      <c r="CH292">
        <v>479</v>
      </c>
      <c r="CI292">
        <v>155.333333333333</v>
      </c>
      <c r="CJ292">
        <v>126.333333333333</v>
      </c>
      <c r="CK292" s="81">
        <v>1905</v>
      </c>
      <c r="CL292">
        <v>454</v>
      </c>
      <c r="CM292">
        <v>6896.6623422840503</v>
      </c>
      <c r="CN292">
        <v>0.51400000000000001</v>
      </c>
      <c r="CO292">
        <v>35139</v>
      </c>
      <c r="CP292">
        <v>5253</v>
      </c>
      <c r="CQ292">
        <v>884</v>
      </c>
      <c r="CR292">
        <v>949</v>
      </c>
      <c r="CS292">
        <v>901</v>
      </c>
      <c r="CT292">
        <v>460</v>
      </c>
      <c r="CU292">
        <v>526.87383912442897</v>
      </c>
      <c r="CV292">
        <v>326.22285623206898</v>
      </c>
      <c r="CW292">
        <v>106.265816597599</v>
      </c>
      <c r="CX292">
        <v>1325.095</v>
      </c>
      <c r="CY292">
        <v>820.45500000000004</v>
      </c>
      <c r="CZ292">
        <v>267.26</v>
      </c>
      <c r="DA292">
        <v>1144</v>
      </c>
      <c r="DE292">
        <v>957</v>
      </c>
      <c r="DF292" t="s">
        <v>260</v>
      </c>
      <c r="DG292">
        <v>10667</v>
      </c>
      <c r="DH292">
        <v>10623</v>
      </c>
      <c r="DI292">
        <v>10592</v>
      </c>
      <c r="DJ292">
        <v>10587</v>
      </c>
      <c r="DK292">
        <v>10584</v>
      </c>
      <c r="DO292">
        <v>756</v>
      </c>
      <c r="DP292" t="s">
        <v>58</v>
      </c>
      <c r="DQ292">
        <v>12573</v>
      </c>
      <c r="DR292">
        <v>1</v>
      </c>
      <c r="DS292">
        <v>646</v>
      </c>
      <c r="DV292">
        <v>90</v>
      </c>
      <c r="DW292" t="s">
        <v>278</v>
      </c>
      <c r="DX292">
        <v>8795.6515719172494</v>
      </c>
      <c r="DY292">
        <v>1447</v>
      </c>
      <c r="DZ292">
        <v>1274</v>
      </c>
      <c r="EA292">
        <v>662</v>
      </c>
      <c r="EB292">
        <v>3982</v>
      </c>
      <c r="EC292">
        <v>2610</v>
      </c>
      <c r="ED292">
        <v>915</v>
      </c>
      <c r="EE292" s="82">
        <v>0.23928605045198501</v>
      </c>
      <c r="EF292" s="82">
        <v>0.553480771644976</v>
      </c>
    </row>
    <row r="293" spans="1:136" x14ac:dyDescent="0.35">
      <c r="A293" s="72">
        <v>798</v>
      </c>
      <c r="B293" s="72">
        <v>10</v>
      </c>
      <c r="D293" s="72" t="s">
        <v>151</v>
      </c>
      <c r="E293" s="79">
        <v>1580400000</v>
      </c>
      <c r="F293" s="79">
        <v>254100000</v>
      </c>
      <c r="G293" s="79">
        <v>296800000</v>
      </c>
      <c r="H293" s="79">
        <v>15334</v>
      </c>
      <c r="I293" s="79">
        <v>2</v>
      </c>
      <c r="J293" s="79">
        <v>296.8</v>
      </c>
      <c r="K293" s="79">
        <v>2900</v>
      </c>
      <c r="L293" s="79">
        <v>3409</v>
      </c>
      <c r="M293" s="79">
        <v>1157</v>
      </c>
      <c r="N293" s="79">
        <v>1565</v>
      </c>
      <c r="O293" s="79">
        <v>845.6</v>
      </c>
      <c r="P293" s="79">
        <v>109</v>
      </c>
      <c r="Q293" s="79">
        <v>717</v>
      </c>
      <c r="R293" s="79">
        <v>185</v>
      </c>
      <c r="S293" s="79">
        <v>0</v>
      </c>
      <c r="T293" s="79">
        <v>319</v>
      </c>
      <c r="U293" s="79">
        <v>6570</v>
      </c>
      <c r="V293" s="79">
        <v>11870</v>
      </c>
      <c r="W293" s="79">
        <v>1730</v>
      </c>
      <c r="X293" s="79">
        <v>0</v>
      </c>
      <c r="Y293" s="79">
        <v>0</v>
      </c>
      <c r="Z293" s="79">
        <v>0</v>
      </c>
      <c r="AA293" s="79">
        <v>0</v>
      </c>
      <c r="AB293" s="79">
        <v>0</v>
      </c>
      <c r="AC293" s="79">
        <v>9483</v>
      </c>
      <c r="AD293" s="79">
        <v>9483</v>
      </c>
      <c r="AE293" s="79">
        <v>168</v>
      </c>
      <c r="AF293" s="79">
        <v>0</v>
      </c>
      <c r="AG293" s="79">
        <v>198</v>
      </c>
      <c r="AH293" s="79">
        <v>104</v>
      </c>
      <c r="AI293" s="79">
        <v>94</v>
      </c>
      <c r="AJ293" s="79">
        <v>7194</v>
      </c>
      <c r="AK293" s="79">
        <v>7194</v>
      </c>
      <c r="AL293" s="79">
        <v>0</v>
      </c>
      <c r="AM293" s="79">
        <v>0</v>
      </c>
      <c r="AN293" s="79">
        <v>0</v>
      </c>
      <c r="AO293" s="79">
        <v>0</v>
      </c>
      <c r="AP293" s="79">
        <v>0</v>
      </c>
      <c r="AQ293" s="79">
        <v>0</v>
      </c>
      <c r="AR293" s="80">
        <v>1.2509899999999999E-4</v>
      </c>
      <c r="AS293" s="80">
        <v>4.1677000000000001E-5</v>
      </c>
      <c r="AT293" s="79">
        <v>4136.55</v>
      </c>
      <c r="AU293" s="79">
        <v>0</v>
      </c>
      <c r="AV293" s="79">
        <v>1177</v>
      </c>
      <c r="AW293" s="79">
        <v>1870.07750492177</v>
      </c>
      <c r="AX293" s="79">
        <v>9</v>
      </c>
      <c r="AY293" s="79">
        <v>9</v>
      </c>
      <c r="AZ293" s="79">
        <v>2056</v>
      </c>
      <c r="BA293" s="79">
        <v>1</v>
      </c>
      <c r="BB293" s="79">
        <v>0</v>
      </c>
      <c r="BC293" s="79">
        <v>0</v>
      </c>
      <c r="BD293" s="79">
        <v>0</v>
      </c>
      <c r="BE293" s="79">
        <v>0</v>
      </c>
      <c r="BF293" s="79">
        <v>0</v>
      </c>
      <c r="BG293" s="79">
        <v>0</v>
      </c>
      <c r="BH293" s="79">
        <v>0</v>
      </c>
      <c r="BI293" s="79">
        <v>0</v>
      </c>
      <c r="BJ293" s="79">
        <v>0</v>
      </c>
      <c r="BK293" s="79">
        <v>9</v>
      </c>
      <c r="BL293" s="79">
        <v>1760</v>
      </c>
      <c r="BM293" s="79">
        <v>104</v>
      </c>
      <c r="BN293" s="79">
        <v>94</v>
      </c>
      <c r="BO293">
        <v>3526</v>
      </c>
      <c r="BP293">
        <v>0</v>
      </c>
      <c r="BQ293">
        <v>3427</v>
      </c>
      <c r="BR293">
        <v>0</v>
      </c>
      <c r="BS293">
        <v>3379</v>
      </c>
      <c r="BT293">
        <v>0</v>
      </c>
      <c r="BU293">
        <v>3295</v>
      </c>
      <c r="BV293">
        <v>0</v>
      </c>
      <c r="BW293">
        <v>3209</v>
      </c>
      <c r="BX293">
        <v>0</v>
      </c>
      <c r="BY293">
        <v>3164</v>
      </c>
      <c r="BZ293">
        <v>0</v>
      </c>
      <c r="CB293">
        <v>188.5</v>
      </c>
      <c r="CC293">
        <v>19</v>
      </c>
      <c r="CD293">
        <v>39</v>
      </c>
      <c r="CE293">
        <v>4862.4799999999996</v>
      </c>
      <c r="CF293">
        <v>1210.6400000000001</v>
      </c>
      <c r="CG293">
        <v>55.682914572864298</v>
      </c>
      <c r="CH293">
        <v>129</v>
      </c>
      <c r="CI293">
        <v>42.3333333333333</v>
      </c>
      <c r="CJ293">
        <v>23.3333333333333</v>
      </c>
      <c r="CK293" s="81">
        <v>608</v>
      </c>
      <c r="CL293">
        <v>159</v>
      </c>
      <c r="CM293">
        <v>2416.10609865471</v>
      </c>
      <c r="CN293">
        <v>7.5999999999999998E-2</v>
      </c>
      <c r="CO293">
        <v>11925</v>
      </c>
      <c r="CP293">
        <v>1942</v>
      </c>
      <c r="CQ293">
        <v>310</v>
      </c>
      <c r="CR293">
        <v>335</v>
      </c>
      <c r="CS293">
        <v>363</v>
      </c>
      <c r="CT293">
        <v>135</v>
      </c>
      <c r="CU293">
        <v>136.819349457882</v>
      </c>
      <c r="CV293">
        <v>94.033917153183197</v>
      </c>
      <c r="CW293">
        <v>24.331276063386198</v>
      </c>
      <c r="CX293">
        <v>434.05560000000003</v>
      </c>
      <c r="CY293">
        <v>298.32</v>
      </c>
      <c r="CZ293">
        <v>77.190299999999993</v>
      </c>
      <c r="DA293">
        <v>8760</v>
      </c>
      <c r="DE293">
        <v>962</v>
      </c>
      <c r="DF293" t="s">
        <v>827</v>
      </c>
      <c r="DG293">
        <v>2642</v>
      </c>
      <c r="DH293">
        <v>2562</v>
      </c>
      <c r="DI293">
        <v>2504</v>
      </c>
      <c r="DJ293">
        <v>2390</v>
      </c>
      <c r="DK293">
        <v>2323</v>
      </c>
      <c r="DO293">
        <v>757</v>
      </c>
      <c r="DP293" t="s">
        <v>59</v>
      </c>
      <c r="DQ293">
        <v>13715</v>
      </c>
      <c r="DR293">
        <v>1</v>
      </c>
      <c r="DS293">
        <v>1214</v>
      </c>
      <c r="DV293">
        <v>342</v>
      </c>
      <c r="DW293" t="s">
        <v>279</v>
      </c>
      <c r="DX293">
        <v>5554.8594307814401</v>
      </c>
      <c r="DY293">
        <v>1343</v>
      </c>
      <c r="DZ293">
        <v>1141</v>
      </c>
      <c r="EA293">
        <v>711</v>
      </c>
      <c r="EB293">
        <v>3742</v>
      </c>
      <c r="EC293">
        <v>2210</v>
      </c>
      <c r="ED293">
        <v>982</v>
      </c>
      <c r="EE293" s="82">
        <v>0.166535167735782</v>
      </c>
      <c r="EF293" s="82">
        <v>0.337414606567638</v>
      </c>
    </row>
    <row r="294" spans="1:136" x14ac:dyDescent="0.35">
      <c r="A294" s="72">
        <v>1659</v>
      </c>
      <c r="B294" s="72">
        <v>10</v>
      </c>
      <c r="D294" s="72" t="s">
        <v>171</v>
      </c>
      <c r="E294" s="79">
        <v>1997200000</v>
      </c>
      <c r="F294" s="79">
        <v>334250000</v>
      </c>
      <c r="G294" s="79">
        <v>357700000</v>
      </c>
      <c r="H294" s="79">
        <v>22333</v>
      </c>
      <c r="I294" s="79">
        <v>4</v>
      </c>
      <c r="J294" s="79">
        <v>357.7</v>
      </c>
      <c r="K294" s="79">
        <v>4251</v>
      </c>
      <c r="L294" s="79">
        <v>4875</v>
      </c>
      <c r="M294" s="79">
        <v>1560</v>
      </c>
      <c r="N294" s="79">
        <v>2591</v>
      </c>
      <c r="O294" s="79">
        <v>1644.2</v>
      </c>
      <c r="P294" s="79">
        <v>232.333333333333</v>
      </c>
      <c r="Q294" s="79">
        <v>1291.3333333333301</v>
      </c>
      <c r="R294" s="79">
        <v>355</v>
      </c>
      <c r="S294" s="79">
        <v>0</v>
      </c>
      <c r="T294" s="79">
        <v>531</v>
      </c>
      <c r="U294" s="79">
        <v>9615</v>
      </c>
      <c r="V294" s="79">
        <v>16420</v>
      </c>
      <c r="W294" s="79">
        <v>3360</v>
      </c>
      <c r="X294" s="79">
        <v>0</v>
      </c>
      <c r="Y294" s="79">
        <v>448</v>
      </c>
      <c r="Z294" s="79">
        <v>0</v>
      </c>
      <c r="AA294" s="79">
        <v>0</v>
      </c>
      <c r="AB294" s="79">
        <v>150.80000000000001</v>
      </c>
      <c r="AC294" s="79">
        <v>5535</v>
      </c>
      <c r="AD294" s="79">
        <v>5535</v>
      </c>
      <c r="AE294" s="79">
        <v>82</v>
      </c>
      <c r="AF294" s="79">
        <v>0</v>
      </c>
      <c r="AG294" s="79">
        <v>230</v>
      </c>
      <c r="AH294" s="79">
        <v>143</v>
      </c>
      <c r="AI294" s="79">
        <v>86</v>
      </c>
      <c r="AJ294" s="79">
        <v>9468</v>
      </c>
      <c r="AK294" s="79">
        <v>9468</v>
      </c>
      <c r="AL294" s="79">
        <v>0</v>
      </c>
      <c r="AM294" s="79">
        <v>0</v>
      </c>
      <c r="AN294" s="79">
        <v>0</v>
      </c>
      <c r="AO294" s="79">
        <v>0</v>
      </c>
      <c r="AP294" s="79">
        <v>0</v>
      </c>
      <c r="AQ294" s="79">
        <v>0</v>
      </c>
      <c r="AR294" s="80">
        <v>1.6757E-4</v>
      </c>
      <c r="AS294" s="80">
        <v>8.5952999999999995E-5</v>
      </c>
      <c r="AT294" s="79">
        <v>5945.9040000000005</v>
      </c>
      <c r="AU294" s="79">
        <v>0</v>
      </c>
      <c r="AV294" s="79">
        <v>1220</v>
      </c>
      <c r="AW294" s="79">
        <v>4850.6782980238604</v>
      </c>
      <c r="AX294" s="79">
        <v>7</v>
      </c>
      <c r="AY294" s="79">
        <v>7</v>
      </c>
      <c r="AZ294" s="79">
        <v>2469</v>
      </c>
      <c r="BA294" s="79">
        <v>1</v>
      </c>
      <c r="BB294" s="79">
        <v>0</v>
      </c>
      <c r="BC294" s="79">
        <v>0</v>
      </c>
      <c r="BD294" s="79">
        <v>0</v>
      </c>
      <c r="BE294" s="79">
        <v>0</v>
      </c>
      <c r="BF294" s="79">
        <v>0</v>
      </c>
      <c r="BG294" s="79">
        <v>0</v>
      </c>
      <c r="BH294" s="79">
        <v>0</v>
      </c>
      <c r="BI294" s="79">
        <v>0</v>
      </c>
      <c r="BJ294" s="79">
        <v>0</v>
      </c>
      <c r="BK294" s="79">
        <v>18</v>
      </c>
      <c r="BL294" s="79">
        <v>2634</v>
      </c>
      <c r="BM294" s="79">
        <v>143</v>
      </c>
      <c r="BN294" s="79">
        <v>86</v>
      </c>
      <c r="BO294">
        <v>4855</v>
      </c>
      <c r="BP294">
        <v>372</v>
      </c>
      <c r="BQ294">
        <v>4748</v>
      </c>
      <c r="BR294">
        <v>386</v>
      </c>
      <c r="BS294">
        <v>4669</v>
      </c>
      <c r="BT294">
        <v>363</v>
      </c>
      <c r="BU294">
        <v>4635</v>
      </c>
      <c r="BV294">
        <v>344</v>
      </c>
      <c r="BW294">
        <v>4581</v>
      </c>
      <c r="BX294">
        <v>382</v>
      </c>
      <c r="BY294">
        <v>4540</v>
      </c>
      <c r="BZ294">
        <v>426</v>
      </c>
      <c r="CB294">
        <v>369.83699999999999</v>
      </c>
      <c r="CC294">
        <v>60</v>
      </c>
      <c r="CD294">
        <v>37</v>
      </c>
      <c r="CE294">
        <v>6474.96</v>
      </c>
      <c r="CF294">
        <v>1560.9</v>
      </c>
      <c r="CG294">
        <v>97.165537902991602</v>
      </c>
      <c r="CH294">
        <v>221</v>
      </c>
      <c r="CI294">
        <v>76.3333333333333</v>
      </c>
      <c r="CJ294">
        <v>55.3333333333333</v>
      </c>
      <c r="CK294" s="81">
        <v>1059</v>
      </c>
      <c r="CL294">
        <v>246</v>
      </c>
      <c r="CM294">
        <v>3450.0494240837702</v>
      </c>
      <c r="CN294">
        <v>0.223</v>
      </c>
      <c r="CO294">
        <v>17458</v>
      </c>
      <c r="CP294">
        <v>2847</v>
      </c>
      <c r="CQ294">
        <v>468</v>
      </c>
      <c r="CR294">
        <v>472</v>
      </c>
      <c r="CS294">
        <v>510</v>
      </c>
      <c r="CT294">
        <v>238</v>
      </c>
      <c r="CU294">
        <v>298.51920152091202</v>
      </c>
      <c r="CV294">
        <v>184.42547528517099</v>
      </c>
      <c r="CW294">
        <v>58.001985635825903</v>
      </c>
      <c r="CX294">
        <v>758.76660000000004</v>
      </c>
      <c r="CY294">
        <v>468.76679999999999</v>
      </c>
      <c r="CZ294">
        <v>147.42760000000001</v>
      </c>
      <c r="DA294">
        <v>0</v>
      </c>
      <c r="DE294">
        <v>965</v>
      </c>
      <c r="DF294" t="s">
        <v>272</v>
      </c>
      <c r="DG294">
        <v>2010</v>
      </c>
      <c r="DH294">
        <v>1974</v>
      </c>
      <c r="DI294">
        <v>1934</v>
      </c>
      <c r="DJ294">
        <v>1906</v>
      </c>
      <c r="DK294">
        <v>1863</v>
      </c>
      <c r="DO294">
        <v>758</v>
      </c>
      <c r="DP294" t="s">
        <v>60</v>
      </c>
      <c r="DQ294">
        <v>85293</v>
      </c>
      <c r="DR294">
        <v>1</v>
      </c>
      <c r="DS294">
        <v>2165</v>
      </c>
      <c r="DV294">
        <v>847</v>
      </c>
      <c r="DW294" t="s">
        <v>280</v>
      </c>
      <c r="DX294">
        <v>2290.54243308385</v>
      </c>
      <c r="DY294">
        <v>395</v>
      </c>
      <c r="DZ294">
        <v>397</v>
      </c>
      <c r="EA294">
        <v>185</v>
      </c>
      <c r="EB294">
        <v>1298</v>
      </c>
      <c r="EC294">
        <v>831</v>
      </c>
      <c r="ED294">
        <v>255</v>
      </c>
      <c r="EE294" s="82">
        <v>0.18546141987585399</v>
      </c>
      <c r="EF294" s="82">
        <v>0.45714514872359002</v>
      </c>
    </row>
    <row r="295" spans="1:136" x14ac:dyDescent="0.35">
      <c r="A295" s="72">
        <v>1685</v>
      </c>
      <c r="B295" s="72">
        <v>10</v>
      </c>
      <c r="D295" s="72" t="s">
        <v>172</v>
      </c>
      <c r="E295" s="79">
        <v>1488000000</v>
      </c>
      <c r="F295" s="79">
        <v>194600000</v>
      </c>
      <c r="G295" s="79">
        <v>225750000</v>
      </c>
      <c r="H295" s="79">
        <v>15529</v>
      </c>
      <c r="I295" s="79">
        <v>3</v>
      </c>
      <c r="J295" s="79">
        <v>225.75</v>
      </c>
      <c r="K295" s="79">
        <v>3048</v>
      </c>
      <c r="L295" s="79">
        <v>3326</v>
      </c>
      <c r="M295" s="79">
        <v>1026</v>
      </c>
      <c r="N295" s="79">
        <v>1562</v>
      </c>
      <c r="O295" s="79">
        <v>899.6</v>
      </c>
      <c r="P295" s="79">
        <v>146.666666666667</v>
      </c>
      <c r="Q295" s="79">
        <v>895.66666666666697</v>
      </c>
      <c r="R295" s="79">
        <v>215</v>
      </c>
      <c r="S295" s="79">
        <v>0</v>
      </c>
      <c r="T295" s="79">
        <v>337</v>
      </c>
      <c r="U295" s="79">
        <v>6519</v>
      </c>
      <c r="V295" s="79">
        <v>12160</v>
      </c>
      <c r="W295" s="79">
        <v>1910</v>
      </c>
      <c r="X295" s="79">
        <v>487.86</v>
      </c>
      <c r="Y295" s="79">
        <v>0</v>
      </c>
      <c r="Z295" s="79">
        <v>0</v>
      </c>
      <c r="AA295" s="79">
        <v>0</v>
      </c>
      <c r="AB295" s="79">
        <v>0</v>
      </c>
      <c r="AC295" s="79">
        <v>7036</v>
      </c>
      <c r="AD295" s="79">
        <v>7036</v>
      </c>
      <c r="AE295" s="79">
        <v>35</v>
      </c>
      <c r="AF295" s="79">
        <v>0</v>
      </c>
      <c r="AG295" s="79">
        <v>186</v>
      </c>
      <c r="AH295" s="79">
        <v>99</v>
      </c>
      <c r="AI295" s="79">
        <v>87</v>
      </c>
      <c r="AJ295" s="79">
        <v>6624</v>
      </c>
      <c r="AK295" s="79">
        <v>6624</v>
      </c>
      <c r="AL295" s="79">
        <v>0</v>
      </c>
      <c r="AM295" s="79">
        <v>0</v>
      </c>
      <c r="AN295" s="79">
        <v>0</v>
      </c>
      <c r="AO295" s="79">
        <v>0</v>
      </c>
      <c r="AP295" s="79">
        <v>0</v>
      </c>
      <c r="AQ295" s="79">
        <v>0</v>
      </c>
      <c r="AR295" s="80">
        <v>1.0674400000000001E-4</v>
      </c>
      <c r="AS295" s="80">
        <v>4.6297000000000001E-5</v>
      </c>
      <c r="AT295" s="79">
        <v>3153.0239999999999</v>
      </c>
      <c r="AU295" s="79">
        <v>0</v>
      </c>
      <c r="AV295" s="79">
        <v>490</v>
      </c>
      <c r="AW295" s="79">
        <v>1076.1151180879699</v>
      </c>
      <c r="AX295" s="79">
        <v>6</v>
      </c>
      <c r="AY295" s="79">
        <v>6</v>
      </c>
      <c r="AZ295" s="79">
        <v>1820</v>
      </c>
      <c r="BA295" s="79">
        <v>1</v>
      </c>
      <c r="BB295" s="79">
        <v>0</v>
      </c>
      <c r="BC295" s="79">
        <v>0</v>
      </c>
      <c r="BD295" s="79">
        <v>0</v>
      </c>
      <c r="BE295" s="79">
        <v>0</v>
      </c>
      <c r="BF295" s="79">
        <v>0</v>
      </c>
      <c r="BG295" s="79">
        <v>0</v>
      </c>
      <c r="BH295" s="79">
        <v>0</v>
      </c>
      <c r="BI295" s="79">
        <v>0</v>
      </c>
      <c r="BJ295" s="79">
        <v>0</v>
      </c>
      <c r="BK295" s="79">
        <v>12</v>
      </c>
      <c r="BL295" s="79">
        <v>1739</v>
      </c>
      <c r="BM295" s="79">
        <v>99</v>
      </c>
      <c r="BN295" s="79">
        <v>87</v>
      </c>
      <c r="BO295">
        <v>3451</v>
      </c>
      <c r="BP295">
        <v>0</v>
      </c>
      <c r="BQ295">
        <v>3388</v>
      </c>
      <c r="BR295">
        <v>0</v>
      </c>
      <c r="BS295">
        <v>3374</v>
      </c>
      <c r="BT295">
        <v>0</v>
      </c>
      <c r="BU295">
        <v>3360</v>
      </c>
      <c r="BV295">
        <v>0</v>
      </c>
      <c r="BW295">
        <v>3354</v>
      </c>
      <c r="BX295">
        <v>0</v>
      </c>
      <c r="BY295">
        <v>3318</v>
      </c>
      <c r="BZ295">
        <v>0</v>
      </c>
      <c r="CB295">
        <v>222.50399999999999</v>
      </c>
      <c r="CC295">
        <v>27</v>
      </c>
      <c r="CD295">
        <v>21</v>
      </c>
      <c r="CE295">
        <v>4322.16</v>
      </c>
      <c r="CF295">
        <v>1162.8</v>
      </c>
      <c r="CG295">
        <v>70.848206472757099</v>
      </c>
      <c r="CH295">
        <v>142</v>
      </c>
      <c r="CI295">
        <v>46.3333333333333</v>
      </c>
      <c r="CJ295">
        <v>30</v>
      </c>
      <c r="CK295" s="81">
        <v>749</v>
      </c>
      <c r="CL295">
        <v>188</v>
      </c>
      <c r="CM295">
        <v>2247.3465699536</v>
      </c>
      <c r="CN295">
        <v>0.10299999999999999</v>
      </c>
      <c r="CO295">
        <v>12203</v>
      </c>
      <c r="CP295">
        <v>1980</v>
      </c>
      <c r="CQ295">
        <v>320</v>
      </c>
      <c r="CR295">
        <v>327</v>
      </c>
      <c r="CS295">
        <v>309</v>
      </c>
      <c r="CT295">
        <v>152</v>
      </c>
      <c r="CU295">
        <v>159.439975845411</v>
      </c>
      <c r="CV295">
        <v>91.671195652173907</v>
      </c>
      <c r="CW295">
        <v>29.334782608695701</v>
      </c>
      <c r="CX295">
        <v>509.16379999999998</v>
      </c>
      <c r="CY295">
        <v>292.7475</v>
      </c>
      <c r="CZ295">
        <v>93.679199999999994</v>
      </c>
      <c r="DA295">
        <v>17464</v>
      </c>
      <c r="DE295">
        <v>971</v>
      </c>
      <c r="DF295" t="s">
        <v>287</v>
      </c>
      <c r="DG295">
        <v>4788</v>
      </c>
      <c r="DH295">
        <v>4701</v>
      </c>
      <c r="DI295">
        <v>4627</v>
      </c>
      <c r="DJ295">
        <v>4545</v>
      </c>
      <c r="DK295">
        <v>4416</v>
      </c>
      <c r="DO295">
        <v>1706</v>
      </c>
      <c r="DP295" t="s">
        <v>71</v>
      </c>
      <c r="DQ295">
        <v>8941</v>
      </c>
      <c r="DR295">
        <v>1</v>
      </c>
      <c r="DS295">
        <v>589</v>
      </c>
      <c r="DV295">
        <v>848</v>
      </c>
      <c r="DW295" t="s">
        <v>281</v>
      </c>
      <c r="DX295">
        <v>1537.3503028554901</v>
      </c>
      <c r="DY295">
        <v>364</v>
      </c>
      <c r="DZ295">
        <v>452</v>
      </c>
      <c r="EA295">
        <v>276</v>
      </c>
      <c r="EB295">
        <v>1087</v>
      </c>
      <c r="EC295">
        <v>994</v>
      </c>
      <c r="ED295">
        <v>408</v>
      </c>
      <c r="EE295" s="82">
        <v>0.11579875110267999</v>
      </c>
      <c r="EF295" s="82">
        <v>0.30454739891698501</v>
      </c>
    </row>
    <row r="296" spans="1:136" x14ac:dyDescent="0.35">
      <c r="A296" s="72">
        <v>809</v>
      </c>
      <c r="B296" s="72">
        <v>10</v>
      </c>
      <c r="D296" s="72" t="s">
        <v>188</v>
      </c>
      <c r="E296" s="79">
        <v>2041200000</v>
      </c>
      <c r="F296" s="79">
        <v>347550000</v>
      </c>
      <c r="G296" s="79">
        <v>373100000</v>
      </c>
      <c r="H296" s="79">
        <v>23327</v>
      </c>
      <c r="I296" s="79">
        <v>2</v>
      </c>
      <c r="J296" s="79">
        <v>373.1</v>
      </c>
      <c r="K296" s="79">
        <v>4330</v>
      </c>
      <c r="L296" s="79">
        <v>5170</v>
      </c>
      <c r="M296" s="79">
        <v>1666</v>
      </c>
      <c r="N296" s="79">
        <v>2896</v>
      </c>
      <c r="O296" s="79">
        <v>1834.7</v>
      </c>
      <c r="P296" s="79">
        <v>261.33333333333297</v>
      </c>
      <c r="Q296" s="79">
        <v>1374.3333333333301</v>
      </c>
      <c r="R296" s="79">
        <v>600</v>
      </c>
      <c r="S296" s="79">
        <v>0</v>
      </c>
      <c r="T296" s="79">
        <v>637</v>
      </c>
      <c r="U296" s="79">
        <v>10355</v>
      </c>
      <c r="V296" s="79">
        <v>18540</v>
      </c>
      <c r="W296" s="79">
        <v>5220</v>
      </c>
      <c r="X296" s="79">
        <v>0</v>
      </c>
      <c r="Y296" s="79">
        <v>255.2</v>
      </c>
      <c r="Z296" s="79">
        <v>0</v>
      </c>
      <c r="AA296" s="79">
        <v>0</v>
      </c>
      <c r="AB296" s="79">
        <v>1.0999999999999699</v>
      </c>
      <c r="AC296" s="79">
        <v>4991</v>
      </c>
      <c r="AD296" s="79">
        <v>4991</v>
      </c>
      <c r="AE296" s="79">
        <v>80</v>
      </c>
      <c r="AF296" s="79">
        <v>0</v>
      </c>
      <c r="AG296" s="79">
        <v>171</v>
      </c>
      <c r="AH296" s="79">
        <v>135</v>
      </c>
      <c r="AI296" s="79">
        <v>37</v>
      </c>
      <c r="AJ296" s="79">
        <v>10613</v>
      </c>
      <c r="AK296" s="79">
        <v>10613</v>
      </c>
      <c r="AL296" s="79">
        <v>0</v>
      </c>
      <c r="AM296" s="79">
        <v>0</v>
      </c>
      <c r="AN296" s="79">
        <v>0</v>
      </c>
      <c r="AO296" s="79">
        <v>0</v>
      </c>
      <c r="AP296" s="79">
        <v>1032</v>
      </c>
      <c r="AQ296" s="79">
        <v>0</v>
      </c>
      <c r="AR296" s="80">
        <v>1.93668E-4</v>
      </c>
      <c r="AS296" s="80">
        <v>1.16977E-4</v>
      </c>
      <c r="AT296" s="79">
        <v>11228.554</v>
      </c>
      <c r="AU296" s="79">
        <v>0</v>
      </c>
      <c r="AV296" s="79">
        <v>519</v>
      </c>
      <c r="AW296" s="79">
        <v>2387.4409386708699</v>
      </c>
      <c r="AX296" s="79">
        <v>5</v>
      </c>
      <c r="AY296" s="79">
        <v>5</v>
      </c>
      <c r="AZ296" s="79">
        <v>2506</v>
      </c>
      <c r="BA296" s="79">
        <v>1</v>
      </c>
      <c r="BB296" s="79">
        <v>0</v>
      </c>
      <c r="BC296" s="79">
        <v>0</v>
      </c>
      <c r="BD296" s="79">
        <v>0</v>
      </c>
      <c r="BE296" s="79">
        <v>0</v>
      </c>
      <c r="BF296" s="79">
        <v>0</v>
      </c>
      <c r="BG296" s="79">
        <v>0</v>
      </c>
      <c r="BH296" s="79">
        <v>0</v>
      </c>
      <c r="BI296" s="79">
        <v>0</v>
      </c>
      <c r="BJ296" s="79">
        <v>0</v>
      </c>
      <c r="BK296" s="79">
        <v>23</v>
      </c>
      <c r="BL296" s="79">
        <v>2950</v>
      </c>
      <c r="BM296" s="79">
        <v>135</v>
      </c>
      <c r="BN296" s="79">
        <v>37</v>
      </c>
      <c r="BO296">
        <v>4913</v>
      </c>
      <c r="BP296">
        <v>289</v>
      </c>
      <c r="BQ296">
        <v>4857</v>
      </c>
      <c r="BR296">
        <v>313</v>
      </c>
      <c r="BS296">
        <v>4747</v>
      </c>
      <c r="BT296">
        <v>305</v>
      </c>
      <c r="BU296">
        <v>4672</v>
      </c>
      <c r="BV296">
        <v>313</v>
      </c>
      <c r="BW296">
        <v>4594</v>
      </c>
      <c r="BX296">
        <v>297</v>
      </c>
      <c r="BY296">
        <v>4496</v>
      </c>
      <c r="BZ296">
        <v>302</v>
      </c>
      <c r="CB296">
        <v>359.39</v>
      </c>
      <c r="CC296">
        <v>86</v>
      </c>
      <c r="CD296">
        <v>48</v>
      </c>
      <c r="CE296">
        <v>6953.13</v>
      </c>
      <c r="CF296">
        <v>1633.45</v>
      </c>
      <c r="CG296">
        <v>192.67372704850601</v>
      </c>
      <c r="CH296">
        <v>241</v>
      </c>
      <c r="CI296">
        <v>83</v>
      </c>
      <c r="CJ296">
        <v>79</v>
      </c>
      <c r="CK296" s="81">
        <v>1113</v>
      </c>
      <c r="CL296">
        <v>217</v>
      </c>
      <c r="CM296">
        <v>4543.0321880587899</v>
      </c>
      <c r="CN296">
        <v>0.11600000000000001</v>
      </c>
      <c r="CO296">
        <v>18157</v>
      </c>
      <c r="CP296">
        <v>2951</v>
      </c>
      <c r="CQ296">
        <v>553</v>
      </c>
      <c r="CR296">
        <v>521</v>
      </c>
      <c r="CS296">
        <v>545</v>
      </c>
      <c r="CT296">
        <v>298</v>
      </c>
      <c r="CU296">
        <v>310.65258645057901</v>
      </c>
      <c r="CV296">
        <v>197.075096579666</v>
      </c>
      <c r="CW296">
        <v>68.284792235937104</v>
      </c>
      <c r="CX296">
        <v>779.35889999999995</v>
      </c>
      <c r="CY296">
        <v>494.41800000000001</v>
      </c>
      <c r="CZ296">
        <v>171.3115</v>
      </c>
      <c r="DA296">
        <v>14600</v>
      </c>
      <c r="DE296">
        <v>981</v>
      </c>
      <c r="DF296" t="s">
        <v>307</v>
      </c>
      <c r="DG296">
        <v>1603</v>
      </c>
      <c r="DH296">
        <v>1576</v>
      </c>
      <c r="DI296">
        <v>1531</v>
      </c>
      <c r="DJ296">
        <v>1489</v>
      </c>
      <c r="DK296">
        <v>1453</v>
      </c>
      <c r="DO296">
        <v>1684</v>
      </c>
      <c r="DP296" t="s">
        <v>72</v>
      </c>
      <c r="DQ296">
        <v>10999</v>
      </c>
      <c r="DR296">
        <v>1</v>
      </c>
      <c r="DS296">
        <v>851</v>
      </c>
      <c r="DV296">
        <v>37</v>
      </c>
      <c r="DW296" t="s">
        <v>282</v>
      </c>
      <c r="DX296">
        <v>5885.4953964545803</v>
      </c>
      <c r="DY296">
        <v>914</v>
      </c>
      <c r="DZ296">
        <v>941</v>
      </c>
      <c r="EA296">
        <v>518</v>
      </c>
      <c r="EB296">
        <v>2656</v>
      </c>
      <c r="EC296">
        <v>1844</v>
      </c>
      <c r="ED296">
        <v>718</v>
      </c>
      <c r="EE296" s="82">
        <v>0.27968488461741697</v>
      </c>
      <c r="EF296" s="82">
        <v>0.63046780222485799</v>
      </c>
    </row>
    <row r="297" spans="1:136" x14ac:dyDescent="0.35">
      <c r="A297" s="72">
        <v>1948</v>
      </c>
      <c r="B297" s="72">
        <v>10</v>
      </c>
      <c r="D297" s="72" t="s">
        <v>198</v>
      </c>
      <c r="E297" s="79">
        <v>7291600000</v>
      </c>
      <c r="F297" s="79">
        <v>1439900000</v>
      </c>
      <c r="G297" s="79">
        <v>1593200000</v>
      </c>
      <c r="H297" s="79">
        <v>80815</v>
      </c>
      <c r="I297" s="79">
        <v>5</v>
      </c>
      <c r="J297" s="79">
        <v>1593.2</v>
      </c>
      <c r="K297" s="79">
        <v>15799</v>
      </c>
      <c r="L297" s="79">
        <v>16401</v>
      </c>
      <c r="M297" s="79">
        <v>5237</v>
      </c>
      <c r="N297" s="79">
        <v>9148</v>
      </c>
      <c r="O297" s="79">
        <v>5692.9</v>
      </c>
      <c r="P297" s="79">
        <v>846.66666666666697</v>
      </c>
      <c r="Q297" s="79">
        <v>5237.6666666666697</v>
      </c>
      <c r="R297" s="79">
        <v>3480</v>
      </c>
      <c r="S297" s="79">
        <v>0</v>
      </c>
      <c r="T297" s="79">
        <v>2225</v>
      </c>
      <c r="U297" s="79">
        <v>35156</v>
      </c>
      <c r="V297" s="79">
        <v>76730</v>
      </c>
      <c r="W297" s="79">
        <v>47380</v>
      </c>
      <c r="X297" s="79">
        <v>1646.58</v>
      </c>
      <c r="Y297" s="79">
        <v>3528</v>
      </c>
      <c r="Z297" s="79">
        <v>0</v>
      </c>
      <c r="AA297" s="79">
        <v>0</v>
      </c>
      <c r="AB297" s="79">
        <v>0</v>
      </c>
      <c r="AC297" s="79">
        <v>18401</v>
      </c>
      <c r="AD297" s="79">
        <v>18401</v>
      </c>
      <c r="AE297" s="79">
        <v>151</v>
      </c>
      <c r="AF297" s="79">
        <v>0</v>
      </c>
      <c r="AG297" s="79">
        <v>861</v>
      </c>
      <c r="AH297" s="79">
        <v>524</v>
      </c>
      <c r="AI297" s="79">
        <v>337</v>
      </c>
      <c r="AJ297" s="79">
        <v>34551</v>
      </c>
      <c r="AK297" s="79">
        <v>34551</v>
      </c>
      <c r="AL297" s="79">
        <v>0</v>
      </c>
      <c r="AM297" s="79">
        <v>0</v>
      </c>
      <c r="AN297" s="79">
        <v>0</v>
      </c>
      <c r="AO297" s="79">
        <v>0</v>
      </c>
      <c r="AP297" s="79">
        <v>1732</v>
      </c>
      <c r="AQ297" s="79">
        <v>0</v>
      </c>
      <c r="AR297" s="80">
        <v>4.7864099999999997E-4</v>
      </c>
      <c r="AS297" s="80">
        <v>3.5838999999999999E-4</v>
      </c>
      <c r="AT297" s="79">
        <v>33894.531000000003</v>
      </c>
      <c r="AU297" s="79">
        <v>0</v>
      </c>
      <c r="AV297" s="79">
        <v>2896</v>
      </c>
      <c r="AW297" s="79">
        <v>12615.3643811988</v>
      </c>
      <c r="AX297" s="79">
        <v>16</v>
      </c>
      <c r="AY297" s="79">
        <v>16</v>
      </c>
      <c r="AZ297" s="79">
        <v>9566</v>
      </c>
      <c r="BA297" s="79">
        <v>1</v>
      </c>
      <c r="BB297" s="79">
        <v>0</v>
      </c>
      <c r="BC297" s="79">
        <v>0</v>
      </c>
      <c r="BD297" s="79">
        <v>0</v>
      </c>
      <c r="BE297" s="79">
        <v>0</v>
      </c>
      <c r="BF297" s="79">
        <v>0</v>
      </c>
      <c r="BG297" s="79">
        <v>0</v>
      </c>
      <c r="BH297" s="79">
        <v>0</v>
      </c>
      <c r="BI297" s="79">
        <v>0</v>
      </c>
      <c r="BJ297" s="79">
        <v>0</v>
      </c>
      <c r="BK297" s="79">
        <v>127</v>
      </c>
      <c r="BL297" s="79">
        <v>10155</v>
      </c>
      <c r="BM297" s="79">
        <v>524</v>
      </c>
      <c r="BN297" s="79">
        <v>337</v>
      </c>
      <c r="BO297">
        <v>17426</v>
      </c>
      <c r="BP297">
        <v>4920</v>
      </c>
      <c r="BQ297">
        <v>17317</v>
      </c>
      <c r="BR297">
        <v>4773</v>
      </c>
      <c r="BS297">
        <v>17173</v>
      </c>
      <c r="BT297">
        <v>4821</v>
      </c>
      <c r="BU297">
        <v>17024</v>
      </c>
      <c r="BV297">
        <v>4847</v>
      </c>
      <c r="BW297">
        <v>16797</v>
      </c>
      <c r="BX297">
        <v>4893</v>
      </c>
      <c r="BY297">
        <v>16629</v>
      </c>
      <c r="BZ297">
        <v>5035</v>
      </c>
      <c r="CB297">
        <v>1453.508</v>
      </c>
      <c r="CC297">
        <v>177</v>
      </c>
      <c r="CD297">
        <v>165</v>
      </c>
      <c r="CE297">
        <v>23646.99</v>
      </c>
      <c r="CF297">
        <v>6010.52</v>
      </c>
      <c r="CG297">
        <v>461.83478822419602</v>
      </c>
      <c r="CH297">
        <v>820</v>
      </c>
      <c r="CI297">
        <v>279.33333333333297</v>
      </c>
      <c r="CJ297">
        <v>211.333333333333</v>
      </c>
      <c r="CK297" s="81">
        <v>4391</v>
      </c>
      <c r="CL297">
        <v>893</v>
      </c>
      <c r="CM297">
        <v>11899.1632784331</v>
      </c>
      <c r="CN297">
        <v>0.66800000000000004</v>
      </c>
      <c r="CO297">
        <v>64414</v>
      </c>
      <c r="CP297">
        <v>9437</v>
      </c>
      <c r="CQ297">
        <v>1727</v>
      </c>
      <c r="CR297">
        <v>1700</v>
      </c>
      <c r="CS297">
        <v>1622</v>
      </c>
      <c r="CT297">
        <v>841</v>
      </c>
      <c r="CU297">
        <v>955.32500361784003</v>
      </c>
      <c r="CV297">
        <v>583.11403722034095</v>
      </c>
      <c r="CW297">
        <v>195.41487655928901</v>
      </c>
      <c r="CX297">
        <v>2492.5601999999999</v>
      </c>
      <c r="CY297">
        <v>1521.4160999999999</v>
      </c>
      <c r="CZ297">
        <v>509.8614</v>
      </c>
      <c r="DA297">
        <v>33953</v>
      </c>
      <c r="DE297">
        <v>983</v>
      </c>
      <c r="DF297" t="s">
        <v>315</v>
      </c>
      <c r="DG297">
        <v>19950</v>
      </c>
      <c r="DH297">
        <v>19847</v>
      </c>
      <c r="DI297">
        <v>19441</v>
      </c>
      <c r="DJ297">
        <v>19267</v>
      </c>
      <c r="DK297">
        <v>18989</v>
      </c>
      <c r="DO297">
        <v>762</v>
      </c>
      <c r="DP297" t="s">
        <v>83</v>
      </c>
      <c r="DQ297">
        <v>13951</v>
      </c>
      <c r="DR297">
        <v>1</v>
      </c>
      <c r="DS297">
        <v>858</v>
      </c>
      <c r="DV297">
        <v>180</v>
      </c>
      <c r="DW297" t="s">
        <v>283</v>
      </c>
      <c r="DX297">
        <v>1351.70220975096</v>
      </c>
      <c r="DY297">
        <v>208</v>
      </c>
      <c r="DZ297">
        <v>256</v>
      </c>
      <c r="EA297">
        <v>140</v>
      </c>
      <c r="EB297">
        <v>862</v>
      </c>
      <c r="EC297">
        <v>562</v>
      </c>
      <c r="ED297">
        <v>213</v>
      </c>
      <c r="EE297" s="82">
        <v>0.12047010434692</v>
      </c>
      <c r="EF297" s="82">
        <v>0.48592072440140599</v>
      </c>
    </row>
    <row r="298" spans="1:136" x14ac:dyDescent="0.35">
      <c r="A298" s="72">
        <v>815</v>
      </c>
      <c r="B298" s="72">
        <v>10</v>
      </c>
      <c r="D298" s="72" t="s">
        <v>204</v>
      </c>
      <c r="E298" s="79">
        <v>915200000</v>
      </c>
      <c r="F298" s="79">
        <v>142800000</v>
      </c>
      <c r="G298" s="79">
        <v>164500000</v>
      </c>
      <c r="H298" s="79">
        <v>10891</v>
      </c>
      <c r="I298" s="79">
        <v>2</v>
      </c>
      <c r="J298" s="79">
        <v>164.5</v>
      </c>
      <c r="K298" s="79">
        <v>1968</v>
      </c>
      <c r="L298" s="79">
        <v>2320</v>
      </c>
      <c r="M298" s="79">
        <v>714</v>
      </c>
      <c r="N298" s="79">
        <v>1342</v>
      </c>
      <c r="O298" s="79">
        <v>881.8</v>
      </c>
      <c r="P298" s="79">
        <v>103.333333333333</v>
      </c>
      <c r="Q298" s="79">
        <v>712.33333333333303</v>
      </c>
      <c r="R298" s="79">
        <v>135</v>
      </c>
      <c r="S298" s="79">
        <v>0</v>
      </c>
      <c r="T298" s="79">
        <v>228</v>
      </c>
      <c r="U298" s="79">
        <v>4657</v>
      </c>
      <c r="V298" s="79">
        <v>8360</v>
      </c>
      <c r="W298" s="79">
        <v>1180</v>
      </c>
      <c r="X298" s="79">
        <v>0</v>
      </c>
      <c r="Y298" s="79">
        <v>352.8</v>
      </c>
      <c r="Z298" s="79">
        <v>0</v>
      </c>
      <c r="AA298" s="79">
        <v>0</v>
      </c>
      <c r="AB298" s="79">
        <v>0</v>
      </c>
      <c r="AC298" s="79">
        <v>5221</v>
      </c>
      <c r="AD298" s="79">
        <v>5221</v>
      </c>
      <c r="AE298" s="79">
        <v>97</v>
      </c>
      <c r="AF298" s="79">
        <v>0</v>
      </c>
      <c r="AG298" s="79">
        <v>141</v>
      </c>
      <c r="AH298" s="79">
        <v>74</v>
      </c>
      <c r="AI298" s="79">
        <v>67</v>
      </c>
      <c r="AJ298" s="79">
        <v>4602</v>
      </c>
      <c r="AK298" s="79">
        <v>4602</v>
      </c>
      <c r="AL298" s="79">
        <v>0</v>
      </c>
      <c r="AM298" s="79">
        <v>0</v>
      </c>
      <c r="AN298" s="79">
        <v>0</v>
      </c>
      <c r="AO298" s="79">
        <v>0</v>
      </c>
      <c r="AP298" s="79">
        <v>0</v>
      </c>
      <c r="AQ298" s="79">
        <v>0</v>
      </c>
      <c r="AR298" s="80">
        <v>1.1184900000000001E-4</v>
      </c>
      <c r="AS298" s="80">
        <v>4.4675000000000002E-5</v>
      </c>
      <c r="AT298" s="79">
        <v>1454.232</v>
      </c>
      <c r="AU298" s="79">
        <v>0</v>
      </c>
      <c r="AV298" s="79">
        <v>757</v>
      </c>
      <c r="AW298" s="79">
        <v>1550.2984204588199</v>
      </c>
      <c r="AX298" s="79">
        <v>6</v>
      </c>
      <c r="AY298" s="79">
        <v>6</v>
      </c>
      <c r="AZ298" s="79">
        <v>1242</v>
      </c>
      <c r="BA298" s="79">
        <v>1</v>
      </c>
      <c r="BB298" s="79">
        <v>0</v>
      </c>
      <c r="BC298" s="79">
        <v>0</v>
      </c>
      <c r="BD298" s="79">
        <v>0</v>
      </c>
      <c r="BE298" s="79">
        <v>0</v>
      </c>
      <c r="BF298" s="79">
        <v>0</v>
      </c>
      <c r="BG298" s="79">
        <v>0</v>
      </c>
      <c r="BH298" s="79">
        <v>0</v>
      </c>
      <c r="BI298" s="79">
        <v>0</v>
      </c>
      <c r="BJ298" s="79">
        <v>0</v>
      </c>
      <c r="BK298" s="79">
        <v>13</v>
      </c>
      <c r="BL298" s="79">
        <v>1243</v>
      </c>
      <c r="BM298" s="79">
        <v>74</v>
      </c>
      <c r="BN298" s="79">
        <v>67</v>
      </c>
      <c r="BO298">
        <v>2486</v>
      </c>
      <c r="BP298">
        <v>456</v>
      </c>
      <c r="BQ298">
        <v>2458</v>
      </c>
      <c r="BR298">
        <v>459</v>
      </c>
      <c r="BS298">
        <v>2404</v>
      </c>
      <c r="BT298">
        <v>418</v>
      </c>
      <c r="BU298">
        <v>2352</v>
      </c>
      <c r="BV298">
        <v>387</v>
      </c>
      <c r="BW298">
        <v>2253</v>
      </c>
      <c r="BX298">
        <v>425</v>
      </c>
      <c r="BY298">
        <v>2173</v>
      </c>
      <c r="BZ298">
        <v>446</v>
      </c>
      <c r="CB298">
        <v>157.44</v>
      </c>
      <c r="CC298">
        <v>35</v>
      </c>
      <c r="CD298">
        <v>9</v>
      </c>
      <c r="CE298">
        <v>3083.8</v>
      </c>
      <c r="CF298">
        <v>694.4</v>
      </c>
      <c r="CG298">
        <v>52.0485765765766</v>
      </c>
      <c r="CH298">
        <v>108</v>
      </c>
      <c r="CI298">
        <v>27.6666666666667</v>
      </c>
      <c r="CJ298">
        <v>19</v>
      </c>
      <c r="CK298" s="81">
        <v>609</v>
      </c>
      <c r="CL298">
        <v>130</v>
      </c>
      <c r="CM298">
        <v>1928.81919081567</v>
      </c>
      <c r="CN298">
        <v>9.2999999999999999E-2</v>
      </c>
      <c r="CO298">
        <v>8571</v>
      </c>
      <c r="CP298">
        <v>1344</v>
      </c>
      <c r="CQ298">
        <v>262</v>
      </c>
      <c r="CR298">
        <v>214</v>
      </c>
      <c r="CS298">
        <v>212</v>
      </c>
      <c r="CT298">
        <v>113</v>
      </c>
      <c r="CU298">
        <v>156.738896132116</v>
      </c>
      <c r="CV298">
        <v>89.291351586266799</v>
      </c>
      <c r="CW298">
        <v>34.2986093003042</v>
      </c>
      <c r="CX298">
        <v>370.63580000000002</v>
      </c>
      <c r="CY298">
        <v>211.1446</v>
      </c>
      <c r="CZ298">
        <v>81.104900000000001</v>
      </c>
      <c r="DA298">
        <v>3969</v>
      </c>
      <c r="DE298">
        <v>984</v>
      </c>
      <c r="DF298" t="s">
        <v>316</v>
      </c>
      <c r="DG298">
        <v>10548</v>
      </c>
      <c r="DH298">
        <v>9391</v>
      </c>
      <c r="DI298">
        <v>9266</v>
      </c>
      <c r="DJ298">
        <v>9146</v>
      </c>
      <c r="DK298">
        <v>9045</v>
      </c>
      <c r="DO298">
        <v>766</v>
      </c>
      <c r="DP298" t="s">
        <v>89</v>
      </c>
      <c r="DQ298">
        <v>11138</v>
      </c>
      <c r="DR298">
        <v>1</v>
      </c>
      <c r="DS298">
        <v>1173</v>
      </c>
      <c r="DV298">
        <v>532</v>
      </c>
      <c r="DW298" t="s">
        <v>284</v>
      </c>
      <c r="DX298">
        <v>2549.31187078217</v>
      </c>
      <c r="DY298">
        <v>534</v>
      </c>
      <c r="DZ298">
        <v>350</v>
      </c>
      <c r="EA298">
        <v>151</v>
      </c>
      <c r="EB298">
        <v>1810</v>
      </c>
      <c r="EC298">
        <v>843</v>
      </c>
      <c r="ED298">
        <v>211</v>
      </c>
      <c r="EE298" s="82">
        <v>0.17833954261187501</v>
      </c>
      <c r="EF298" s="82">
        <v>0.48170966454611602</v>
      </c>
    </row>
    <row r="299" spans="1:136" x14ac:dyDescent="0.35">
      <c r="A299" s="72">
        <v>1709</v>
      </c>
      <c r="B299" s="72">
        <v>10</v>
      </c>
      <c r="D299" s="72" t="s">
        <v>205</v>
      </c>
      <c r="E299" s="79">
        <v>2970000000</v>
      </c>
      <c r="F299" s="79">
        <v>1847650000</v>
      </c>
      <c r="G299" s="79">
        <v>1887550000</v>
      </c>
      <c r="H299" s="79">
        <v>36961</v>
      </c>
      <c r="I299" s="79">
        <v>7</v>
      </c>
      <c r="J299" s="79">
        <v>1887.55</v>
      </c>
      <c r="K299" s="79">
        <v>6992</v>
      </c>
      <c r="L299" s="79">
        <v>7957</v>
      </c>
      <c r="M299" s="79">
        <v>2415</v>
      </c>
      <c r="N299" s="79">
        <v>4507</v>
      </c>
      <c r="O299" s="79">
        <v>2861.9</v>
      </c>
      <c r="P299" s="79">
        <v>502.33333333333297</v>
      </c>
      <c r="Q299" s="79">
        <v>2009.3333333333301</v>
      </c>
      <c r="R299" s="79">
        <v>1140</v>
      </c>
      <c r="S299" s="79">
        <v>0</v>
      </c>
      <c r="T299" s="79">
        <v>1047</v>
      </c>
      <c r="U299" s="79">
        <v>16482</v>
      </c>
      <c r="V299" s="79">
        <v>29930</v>
      </c>
      <c r="W299" s="79">
        <v>4810</v>
      </c>
      <c r="X299" s="79">
        <v>186.12</v>
      </c>
      <c r="Y299" s="79">
        <v>873.6</v>
      </c>
      <c r="Z299" s="79">
        <v>0</v>
      </c>
      <c r="AA299" s="79">
        <v>0</v>
      </c>
      <c r="AB299" s="79">
        <v>423.2</v>
      </c>
      <c r="AC299" s="79">
        <v>15923</v>
      </c>
      <c r="AD299" s="79">
        <v>16878.38</v>
      </c>
      <c r="AE299" s="79">
        <v>2479</v>
      </c>
      <c r="AF299" s="79">
        <v>0</v>
      </c>
      <c r="AG299" s="79">
        <v>500</v>
      </c>
      <c r="AH299" s="79">
        <v>218</v>
      </c>
      <c r="AI299" s="79">
        <v>315</v>
      </c>
      <c r="AJ299" s="79">
        <v>16451</v>
      </c>
      <c r="AK299" s="79">
        <v>17931.59</v>
      </c>
      <c r="AL299" s="79">
        <v>27</v>
      </c>
      <c r="AM299" s="79">
        <v>0</v>
      </c>
      <c r="AN299" s="79">
        <v>0</v>
      </c>
      <c r="AO299" s="79">
        <v>12350</v>
      </c>
      <c r="AP299" s="79">
        <v>1513</v>
      </c>
      <c r="AQ299" s="79">
        <v>1513</v>
      </c>
      <c r="AR299" s="80">
        <v>4.8159199999999998E-4</v>
      </c>
      <c r="AS299" s="80">
        <v>1.94336E-4</v>
      </c>
      <c r="AT299" s="79">
        <v>12321.799000000001</v>
      </c>
      <c r="AU299" s="79">
        <v>0</v>
      </c>
      <c r="AV299" s="79">
        <v>3770.42</v>
      </c>
      <c r="AW299" s="79">
        <v>9970.3110955330994</v>
      </c>
      <c r="AX299" s="79">
        <v>20</v>
      </c>
      <c r="AY299" s="79">
        <v>21</v>
      </c>
      <c r="AZ299" s="79">
        <v>4259</v>
      </c>
      <c r="BA299" s="79">
        <v>1</v>
      </c>
      <c r="BB299" s="79">
        <v>0</v>
      </c>
      <c r="BC299" s="79">
        <v>0</v>
      </c>
      <c r="BD299" s="79">
        <v>0</v>
      </c>
      <c r="BE299" s="79">
        <v>0</v>
      </c>
      <c r="BF299" s="79">
        <v>0</v>
      </c>
      <c r="BG299" s="79">
        <v>0</v>
      </c>
      <c r="BH299" s="79">
        <v>0</v>
      </c>
      <c r="BI299" s="79">
        <v>0</v>
      </c>
      <c r="BJ299" s="79">
        <v>0</v>
      </c>
      <c r="BK299" s="79">
        <v>22</v>
      </c>
      <c r="BL299" s="79">
        <v>4853</v>
      </c>
      <c r="BM299" s="79">
        <v>200</v>
      </c>
      <c r="BN299" s="79">
        <v>300</v>
      </c>
      <c r="BO299">
        <v>7861</v>
      </c>
      <c r="BP299">
        <v>608</v>
      </c>
      <c r="BQ299">
        <v>7786</v>
      </c>
      <c r="BR299">
        <v>596</v>
      </c>
      <c r="BS299">
        <v>7667</v>
      </c>
      <c r="BT299">
        <v>610</v>
      </c>
      <c r="BU299">
        <v>7586</v>
      </c>
      <c r="BV299">
        <v>718</v>
      </c>
      <c r="BW299">
        <v>7550</v>
      </c>
      <c r="BX299">
        <v>800</v>
      </c>
      <c r="BY299">
        <v>7503</v>
      </c>
      <c r="BZ299">
        <v>955</v>
      </c>
      <c r="CB299">
        <v>615.29600000000005</v>
      </c>
      <c r="CC299">
        <v>142</v>
      </c>
      <c r="CD299">
        <v>68</v>
      </c>
      <c r="CE299">
        <v>11457.98</v>
      </c>
      <c r="CF299">
        <v>2767.6</v>
      </c>
      <c r="CG299">
        <v>239.52004170286699</v>
      </c>
      <c r="CH299">
        <v>407</v>
      </c>
      <c r="CI299">
        <v>155.666666666667</v>
      </c>
      <c r="CJ299">
        <v>132.333333333333</v>
      </c>
      <c r="CK299" s="81">
        <v>1507</v>
      </c>
      <c r="CL299">
        <v>296</v>
      </c>
      <c r="CM299">
        <v>6602.1060921603803</v>
      </c>
      <c r="CN299">
        <v>0.68100000000000005</v>
      </c>
      <c r="CO299">
        <v>29004</v>
      </c>
      <c r="CP299">
        <v>4702</v>
      </c>
      <c r="CQ299">
        <v>840</v>
      </c>
      <c r="CR299">
        <v>867</v>
      </c>
      <c r="CS299">
        <v>876</v>
      </c>
      <c r="CT299">
        <v>415</v>
      </c>
      <c r="CU299">
        <v>502.58519846817802</v>
      </c>
      <c r="CV299">
        <v>299.91584706096899</v>
      </c>
      <c r="CW299">
        <v>102.465448908881</v>
      </c>
      <c r="CX299">
        <v>1220.3136</v>
      </c>
      <c r="CY299">
        <v>728.21759999999995</v>
      </c>
      <c r="CZ299">
        <v>248.7936</v>
      </c>
      <c r="DA299">
        <v>26592</v>
      </c>
      <c r="DE299">
        <v>986</v>
      </c>
      <c r="DF299" t="s">
        <v>321</v>
      </c>
      <c r="DG299">
        <v>2391</v>
      </c>
      <c r="DH299">
        <v>2366</v>
      </c>
      <c r="DI299">
        <v>2343</v>
      </c>
      <c r="DJ299">
        <v>2301</v>
      </c>
      <c r="DK299">
        <v>2228</v>
      </c>
      <c r="DO299">
        <v>1719</v>
      </c>
      <c r="DP299" t="s">
        <v>92</v>
      </c>
      <c r="DQ299">
        <v>11886</v>
      </c>
      <c r="DR299">
        <v>1</v>
      </c>
      <c r="DS299">
        <v>781</v>
      </c>
      <c r="DV299">
        <v>851</v>
      </c>
      <c r="DW299" t="s">
        <v>285</v>
      </c>
      <c r="DX299">
        <v>3634.2240442556599</v>
      </c>
      <c r="DY299">
        <v>564</v>
      </c>
      <c r="DZ299">
        <v>518</v>
      </c>
      <c r="EA299">
        <v>268</v>
      </c>
      <c r="EB299">
        <v>1839</v>
      </c>
      <c r="EC299">
        <v>1052</v>
      </c>
      <c r="ED299">
        <v>376</v>
      </c>
      <c r="EE299" s="82">
        <v>0.25025289555278102</v>
      </c>
      <c r="EF299" s="82">
        <v>0.473389425315906</v>
      </c>
    </row>
    <row r="300" spans="1:136" x14ac:dyDescent="0.35">
      <c r="A300" s="72">
        <v>820</v>
      </c>
      <c r="B300" s="72">
        <v>10</v>
      </c>
      <c r="D300" s="72" t="s">
        <v>222</v>
      </c>
      <c r="E300" s="79">
        <v>2587200000</v>
      </c>
      <c r="F300" s="79">
        <v>236250000</v>
      </c>
      <c r="G300" s="79">
        <v>252700000</v>
      </c>
      <c r="H300" s="79">
        <v>23186</v>
      </c>
      <c r="I300" s="79">
        <v>2</v>
      </c>
      <c r="J300" s="79">
        <v>252.7</v>
      </c>
      <c r="K300" s="79">
        <v>4363</v>
      </c>
      <c r="L300" s="79">
        <v>5915</v>
      </c>
      <c r="M300" s="79">
        <v>1978</v>
      </c>
      <c r="N300" s="79">
        <v>2056</v>
      </c>
      <c r="O300" s="79">
        <v>1035.2</v>
      </c>
      <c r="P300" s="79">
        <v>359.33333333333297</v>
      </c>
      <c r="Q300" s="79">
        <v>1087.3333333333301</v>
      </c>
      <c r="R300" s="79">
        <v>435</v>
      </c>
      <c r="S300" s="79">
        <v>0</v>
      </c>
      <c r="T300" s="79">
        <v>654</v>
      </c>
      <c r="U300" s="79">
        <v>10191</v>
      </c>
      <c r="V300" s="79">
        <v>19320</v>
      </c>
      <c r="W300" s="79">
        <v>7320</v>
      </c>
      <c r="X300" s="79">
        <v>0</v>
      </c>
      <c r="Y300" s="79">
        <v>443.2</v>
      </c>
      <c r="Z300" s="79">
        <v>0</v>
      </c>
      <c r="AA300" s="79">
        <v>0</v>
      </c>
      <c r="AB300" s="79">
        <v>0</v>
      </c>
      <c r="AC300" s="79">
        <v>3362</v>
      </c>
      <c r="AD300" s="79">
        <v>3362</v>
      </c>
      <c r="AE300" s="79">
        <v>32</v>
      </c>
      <c r="AF300" s="79">
        <v>0</v>
      </c>
      <c r="AG300" s="79">
        <v>175</v>
      </c>
      <c r="AH300" s="79">
        <v>147</v>
      </c>
      <c r="AI300" s="79">
        <v>28</v>
      </c>
      <c r="AJ300" s="79">
        <v>10208</v>
      </c>
      <c r="AK300" s="79">
        <v>10208</v>
      </c>
      <c r="AL300" s="79">
        <v>0</v>
      </c>
      <c r="AM300" s="79">
        <v>0</v>
      </c>
      <c r="AN300" s="79">
        <v>0</v>
      </c>
      <c r="AO300" s="79">
        <v>0</v>
      </c>
      <c r="AP300" s="79">
        <v>0</v>
      </c>
      <c r="AQ300" s="79">
        <v>0</v>
      </c>
      <c r="AR300" s="80">
        <v>8.1248999999999994E-5</v>
      </c>
      <c r="AS300" s="80">
        <v>6.7951E-5</v>
      </c>
      <c r="AT300" s="79">
        <v>11361.504000000001</v>
      </c>
      <c r="AU300" s="79">
        <v>0</v>
      </c>
      <c r="AV300" s="79">
        <v>515</v>
      </c>
      <c r="AW300" s="79">
        <v>3518.2056570418399</v>
      </c>
      <c r="AX300" s="79">
        <v>3</v>
      </c>
      <c r="AY300" s="79">
        <v>3</v>
      </c>
      <c r="AZ300" s="79">
        <v>2932</v>
      </c>
      <c r="BA300" s="79">
        <v>1</v>
      </c>
      <c r="BB300" s="79">
        <v>0</v>
      </c>
      <c r="BC300" s="79">
        <v>0</v>
      </c>
      <c r="BD300" s="79">
        <v>0</v>
      </c>
      <c r="BE300" s="79">
        <v>0</v>
      </c>
      <c r="BF300" s="79">
        <v>0</v>
      </c>
      <c r="BG300" s="79">
        <v>0</v>
      </c>
      <c r="BH300" s="79">
        <v>0</v>
      </c>
      <c r="BI300" s="79">
        <v>0</v>
      </c>
      <c r="BJ300" s="79">
        <v>0</v>
      </c>
      <c r="BK300" s="79">
        <v>15</v>
      </c>
      <c r="BL300" s="79">
        <v>2865</v>
      </c>
      <c r="BM300" s="79">
        <v>147</v>
      </c>
      <c r="BN300" s="79">
        <v>28</v>
      </c>
      <c r="BO300">
        <v>4938</v>
      </c>
      <c r="BP300">
        <v>548</v>
      </c>
      <c r="BQ300">
        <v>4750</v>
      </c>
      <c r="BR300">
        <v>528</v>
      </c>
      <c r="BS300">
        <v>4647</v>
      </c>
      <c r="BT300">
        <v>539</v>
      </c>
      <c r="BU300">
        <v>4559</v>
      </c>
      <c r="BV300">
        <v>588</v>
      </c>
      <c r="BW300">
        <v>4481</v>
      </c>
      <c r="BX300">
        <v>689</v>
      </c>
      <c r="BY300">
        <v>4427</v>
      </c>
      <c r="BZ300">
        <v>733</v>
      </c>
      <c r="CB300">
        <v>349.04</v>
      </c>
      <c r="CC300">
        <v>20</v>
      </c>
      <c r="CD300">
        <v>38</v>
      </c>
      <c r="CE300">
        <v>8774.82</v>
      </c>
      <c r="CF300">
        <v>2009.43</v>
      </c>
      <c r="CG300">
        <v>103.120347639485</v>
      </c>
      <c r="CH300">
        <v>261</v>
      </c>
      <c r="CI300">
        <v>111.666666666667</v>
      </c>
      <c r="CJ300">
        <v>80.3333333333333</v>
      </c>
      <c r="CK300" s="81">
        <v>728</v>
      </c>
      <c r="CL300">
        <v>173</v>
      </c>
      <c r="CM300">
        <v>3607.2498282300198</v>
      </c>
      <c r="CN300">
        <v>0.60299999999999998</v>
      </c>
      <c r="CO300">
        <v>17271</v>
      </c>
      <c r="CP300">
        <v>3401</v>
      </c>
      <c r="CQ300">
        <v>536</v>
      </c>
      <c r="CR300">
        <v>592</v>
      </c>
      <c r="CS300">
        <v>584</v>
      </c>
      <c r="CT300">
        <v>274</v>
      </c>
      <c r="CU300">
        <v>207.89184952978101</v>
      </c>
      <c r="CV300">
        <v>137.81708463949801</v>
      </c>
      <c r="CW300">
        <v>41.4769592476489</v>
      </c>
      <c r="CX300">
        <v>606.79999999999995</v>
      </c>
      <c r="CY300">
        <v>402.26400000000001</v>
      </c>
      <c r="CZ300">
        <v>121.06399999999999</v>
      </c>
      <c r="DA300">
        <v>10585</v>
      </c>
      <c r="DE300">
        <v>988</v>
      </c>
      <c r="DF300" t="s">
        <v>332</v>
      </c>
      <c r="DG300">
        <v>9709</v>
      </c>
      <c r="DH300">
        <v>9587</v>
      </c>
      <c r="DI300">
        <v>9487</v>
      </c>
      <c r="DJ300">
        <v>9351</v>
      </c>
      <c r="DK300">
        <v>9201</v>
      </c>
      <c r="DO300">
        <v>770</v>
      </c>
      <c r="DP300" t="s">
        <v>100</v>
      </c>
      <c r="DQ300">
        <v>8508</v>
      </c>
      <c r="DR300">
        <v>1</v>
      </c>
      <c r="DS300">
        <v>561</v>
      </c>
      <c r="DV300">
        <v>1708</v>
      </c>
      <c r="DW300" t="s">
        <v>286</v>
      </c>
      <c r="DX300">
        <v>6245.7564082152503</v>
      </c>
      <c r="DY300">
        <v>1086</v>
      </c>
      <c r="DZ300">
        <v>1007</v>
      </c>
      <c r="EA300">
        <v>562</v>
      </c>
      <c r="EB300">
        <v>3331</v>
      </c>
      <c r="EC300">
        <v>2094</v>
      </c>
      <c r="ED300">
        <v>782</v>
      </c>
      <c r="EE300" s="82">
        <v>0.201334317953165</v>
      </c>
      <c r="EF300" s="82">
        <v>0.52542617575569694</v>
      </c>
    </row>
    <row r="301" spans="1:136" x14ac:dyDescent="0.35">
      <c r="A301" s="72">
        <v>823</v>
      </c>
      <c r="B301" s="72">
        <v>10</v>
      </c>
      <c r="D301" s="72" t="s">
        <v>225</v>
      </c>
      <c r="E301" s="79">
        <v>1968800000</v>
      </c>
      <c r="F301" s="79">
        <v>455700000</v>
      </c>
      <c r="G301" s="79">
        <v>492450000</v>
      </c>
      <c r="H301" s="79">
        <v>18623</v>
      </c>
      <c r="I301" s="79">
        <v>2</v>
      </c>
      <c r="J301" s="79">
        <v>492.45</v>
      </c>
      <c r="K301" s="79">
        <v>3436</v>
      </c>
      <c r="L301" s="79">
        <v>3926</v>
      </c>
      <c r="M301" s="79">
        <v>1178</v>
      </c>
      <c r="N301" s="79">
        <v>1889</v>
      </c>
      <c r="O301" s="79">
        <v>1078.8</v>
      </c>
      <c r="P301" s="79">
        <v>134.666666666667</v>
      </c>
      <c r="Q301" s="79">
        <v>835.66666666666697</v>
      </c>
      <c r="R301" s="79">
        <v>240</v>
      </c>
      <c r="S301" s="79">
        <v>0</v>
      </c>
      <c r="T301" s="79">
        <v>406</v>
      </c>
      <c r="U301" s="79">
        <v>7864</v>
      </c>
      <c r="V301" s="79">
        <v>14570</v>
      </c>
      <c r="W301" s="79">
        <v>3200</v>
      </c>
      <c r="X301" s="79">
        <v>0</v>
      </c>
      <c r="Y301" s="79">
        <v>849.6</v>
      </c>
      <c r="Z301" s="79">
        <v>0</v>
      </c>
      <c r="AA301" s="79">
        <v>0</v>
      </c>
      <c r="AB301" s="79">
        <v>0</v>
      </c>
      <c r="AC301" s="79">
        <v>10176</v>
      </c>
      <c r="AD301" s="79">
        <v>10176</v>
      </c>
      <c r="AE301" s="79">
        <v>108</v>
      </c>
      <c r="AF301" s="79">
        <v>0</v>
      </c>
      <c r="AG301" s="79">
        <v>227</v>
      </c>
      <c r="AH301" s="79">
        <v>132</v>
      </c>
      <c r="AI301" s="79">
        <v>95</v>
      </c>
      <c r="AJ301" s="79">
        <v>8102</v>
      </c>
      <c r="AK301" s="79">
        <v>8102</v>
      </c>
      <c r="AL301" s="79">
        <v>10</v>
      </c>
      <c r="AM301" s="79">
        <v>0</v>
      </c>
      <c r="AN301" s="79">
        <v>0</v>
      </c>
      <c r="AO301" s="79">
        <v>0</v>
      </c>
      <c r="AP301" s="79">
        <v>0</v>
      </c>
      <c r="AQ301" s="79">
        <v>0</v>
      </c>
      <c r="AR301" s="80">
        <v>1.8325500000000001E-4</v>
      </c>
      <c r="AS301" s="80">
        <v>5.5822000000000002E-5</v>
      </c>
      <c r="AT301" s="79">
        <v>4958.424</v>
      </c>
      <c r="AU301" s="79">
        <v>0</v>
      </c>
      <c r="AV301" s="79">
        <v>1299</v>
      </c>
      <c r="AW301" s="79">
        <v>2352.3217619603302</v>
      </c>
      <c r="AX301" s="79">
        <v>9</v>
      </c>
      <c r="AY301" s="79">
        <v>9</v>
      </c>
      <c r="AZ301" s="79">
        <v>2531</v>
      </c>
      <c r="BA301" s="79">
        <v>1</v>
      </c>
      <c r="BB301" s="79">
        <v>0</v>
      </c>
      <c r="BC301" s="79">
        <v>0</v>
      </c>
      <c r="BD301" s="79">
        <v>0</v>
      </c>
      <c r="BE301" s="79">
        <v>0</v>
      </c>
      <c r="BF301" s="79">
        <v>0</v>
      </c>
      <c r="BG301" s="79">
        <v>0</v>
      </c>
      <c r="BH301" s="79">
        <v>0</v>
      </c>
      <c r="BI301" s="79">
        <v>0</v>
      </c>
      <c r="BJ301" s="79">
        <v>0</v>
      </c>
      <c r="BK301" s="79">
        <v>20</v>
      </c>
      <c r="BL301" s="79">
        <v>2049</v>
      </c>
      <c r="BM301" s="79">
        <v>132</v>
      </c>
      <c r="BN301" s="79">
        <v>95</v>
      </c>
      <c r="BO301">
        <v>4106</v>
      </c>
      <c r="BP301">
        <v>991</v>
      </c>
      <c r="BQ301">
        <v>4008</v>
      </c>
      <c r="BR301">
        <v>1036</v>
      </c>
      <c r="BS301">
        <v>3929</v>
      </c>
      <c r="BT301">
        <v>1066</v>
      </c>
      <c r="BU301">
        <v>3876</v>
      </c>
      <c r="BV301">
        <v>1109</v>
      </c>
      <c r="BW301">
        <v>3805</v>
      </c>
      <c r="BX301">
        <v>1148</v>
      </c>
      <c r="BY301">
        <v>3720</v>
      </c>
      <c r="BZ301">
        <v>1156</v>
      </c>
      <c r="CB301">
        <v>202.72399999999999</v>
      </c>
      <c r="CC301">
        <v>24</v>
      </c>
      <c r="CD301">
        <v>36</v>
      </c>
      <c r="CE301">
        <v>5782.84</v>
      </c>
      <c r="CF301">
        <v>1433.25</v>
      </c>
      <c r="CG301">
        <v>71.803833795013801</v>
      </c>
      <c r="CH301">
        <v>153</v>
      </c>
      <c r="CI301">
        <v>39.6666666666667</v>
      </c>
      <c r="CJ301">
        <v>23.6666666666667</v>
      </c>
      <c r="CK301" s="81">
        <v>701</v>
      </c>
      <c r="CL301">
        <v>114</v>
      </c>
      <c r="CM301">
        <v>2677.0703203472699</v>
      </c>
      <c r="CN301">
        <v>9.5000000000000001E-2</v>
      </c>
      <c r="CO301">
        <v>14697</v>
      </c>
      <c r="CP301">
        <v>2279</v>
      </c>
      <c r="CQ301">
        <v>469</v>
      </c>
      <c r="CR301">
        <v>398</v>
      </c>
      <c r="CS301">
        <v>366</v>
      </c>
      <c r="CT301">
        <v>202</v>
      </c>
      <c r="CU301">
        <v>186.81268822512999</v>
      </c>
      <c r="CV301">
        <v>102.79358183164599</v>
      </c>
      <c r="CW301">
        <v>36.483732411750204</v>
      </c>
      <c r="CX301">
        <v>518.4085</v>
      </c>
      <c r="CY301">
        <v>285.25400000000002</v>
      </c>
      <c r="CZ301">
        <v>101.24299999999999</v>
      </c>
      <c r="DA301">
        <v>4593</v>
      </c>
      <c r="DE301">
        <v>994</v>
      </c>
      <c r="DF301" t="s">
        <v>308</v>
      </c>
      <c r="DG301">
        <v>2868</v>
      </c>
      <c r="DH301">
        <v>2849</v>
      </c>
      <c r="DI301">
        <v>2809</v>
      </c>
      <c r="DJ301">
        <v>2751</v>
      </c>
      <c r="DK301">
        <v>2628</v>
      </c>
      <c r="DO301">
        <v>772</v>
      </c>
      <c r="DP301" t="s">
        <v>102</v>
      </c>
      <c r="DQ301">
        <v>112577</v>
      </c>
      <c r="DR301">
        <v>1</v>
      </c>
      <c r="DS301">
        <v>2605</v>
      </c>
      <c r="DV301">
        <v>971</v>
      </c>
      <c r="DW301" t="s">
        <v>287</v>
      </c>
      <c r="DX301">
        <v>3455.8814866760199</v>
      </c>
      <c r="DY301">
        <v>695</v>
      </c>
      <c r="DZ301">
        <v>661</v>
      </c>
      <c r="EA301">
        <v>336</v>
      </c>
      <c r="EB301">
        <v>2346</v>
      </c>
      <c r="EC301">
        <v>1422</v>
      </c>
      <c r="ED301">
        <v>460</v>
      </c>
      <c r="EE301" s="82">
        <v>0.194996285674436</v>
      </c>
      <c r="EF301" s="82">
        <v>0.47753270234147599</v>
      </c>
    </row>
    <row r="302" spans="1:136" x14ac:dyDescent="0.35">
      <c r="A302" s="72">
        <v>824</v>
      </c>
      <c r="B302" s="72">
        <v>10</v>
      </c>
      <c r="D302" s="72" t="s">
        <v>226</v>
      </c>
      <c r="E302" s="79">
        <v>3017600000</v>
      </c>
      <c r="F302" s="79">
        <v>377300000</v>
      </c>
      <c r="G302" s="79">
        <v>410550000</v>
      </c>
      <c r="H302" s="79">
        <v>26140</v>
      </c>
      <c r="I302" s="79">
        <v>3</v>
      </c>
      <c r="J302" s="79">
        <v>410.55</v>
      </c>
      <c r="K302" s="79">
        <v>4926</v>
      </c>
      <c r="L302" s="79">
        <v>6223</v>
      </c>
      <c r="M302" s="79">
        <v>2145</v>
      </c>
      <c r="N302" s="79">
        <v>3077</v>
      </c>
      <c r="O302" s="79">
        <v>1875.6</v>
      </c>
      <c r="P302" s="79">
        <v>272.33333333333297</v>
      </c>
      <c r="Q302" s="79">
        <v>1362.3333333333301</v>
      </c>
      <c r="R302" s="79">
        <v>655</v>
      </c>
      <c r="S302" s="79">
        <v>0</v>
      </c>
      <c r="T302" s="79">
        <v>728</v>
      </c>
      <c r="U302" s="79">
        <v>11974</v>
      </c>
      <c r="V302" s="79">
        <v>24170</v>
      </c>
      <c r="W302" s="79">
        <v>9610</v>
      </c>
      <c r="X302" s="79">
        <v>617.12</v>
      </c>
      <c r="Y302" s="79">
        <v>1413.6</v>
      </c>
      <c r="Z302" s="79">
        <v>0</v>
      </c>
      <c r="AA302" s="79">
        <v>0</v>
      </c>
      <c r="AB302" s="79">
        <v>254.5</v>
      </c>
      <c r="AC302" s="79">
        <v>6384</v>
      </c>
      <c r="AD302" s="79">
        <v>6384</v>
      </c>
      <c r="AE302" s="79">
        <v>129</v>
      </c>
      <c r="AF302" s="79">
        <v>0</v>
      </c>
      <c r="AG302" s="79">
        <v>225</v>
      </c>
      <c r="AH302" s="79">
        <v>167</v>
      </c>
      <c r="AI302" s="79">
        <v>58</v>
      </c>
      <c r="AJ302" s="79">
        <v>12014</v>
      </c>
      <c r="AK302" s="79">
        <v>12014</v>
      </c>
      <c r="AL302" s="79">
        <v>10</v>
      </c>
      <c r="AM302" s="79">
        <v>0</v>
      </c>
      <c r="AN302" s="79">
        <v>0</v>
      </c>
      <c r="AO302" s="79">
        <v>0</v>
      </c>
      <c r="AP302" s="79">
        <v>1176</v>
      </c>
      <c r="AQ302" s="79">
        <v>1176</v>
      </c>
      <c r="AR302" s="80">
        <v>2.37082E-4</v>
      </c>
      <c r="AS302" s="80">
        <v>1.3608700000000001E-4</v>
      </c>
      <c r="AT302" s="79">
        <v>11989.972</v>
      </c>
      <c r="AU302" s="79">
        <v>0</v>
      </c>
      <c r="AV302" s="79">
        <v>1181</v>
      </c>
      <c r="AW302" s="79">
        <v>4739.9570090588104</v>
      </c>
      <c r="AX302" s="79">
        <v>3</v>
      </c>
      <c r="AY302" s="79">
        <v>3</v>
      </c>
      <c r="AZ302" s="79">
        <v>3735</v>
      </c>
      <c r="BA302" s="79">
        <v>1</v>
      </c>
      <c r="BB302" s="79">
        <v>0</v>
      </c>
      <c r="BC302" s="79">
        <v>0</v>
      </c>
      <c r="BD302" s="79">
        <v>0</v>
      </c>
      <c r="BE302" s="79">
        <v>0</v>
      </c>
      <c r="BF302" s="79">
        <v>0</v>
      </c>
      <c r="BG302" s="79">
        <v>0</v>
      </c>
      <c r="BH302" s="79">
        <v>0</v>
      </c>
      <c r="BI302" s="79">
        <v>0</v>
      </c>
      <c r="BJ302" s="79">
        <v>0</v>
      </c>
      <c r="BK302" s="79">
        <v>15</v>
      </c>
      <c r="BL302" s="79">
        <v>3450</v>
      </c>
      <c r="BM302" s="79">
        <v>167</v>
      </c>
      <c r="BN302" s="79">
        <v>58</v>
      </c>
      <c r="BO302">
        <v>5588</v>
      </c>
      <c r="BP302">
        <v>1375</v>
      </c>
      <c r="BQ302">
        <v>5576</v>
      </c>
      <c r="BR302">
        <v>1437</v>
      </c>
      <c r="BS302">
        <v>5371</v>
      </c>
      <c r="BT302">
        <v>1548</v>
      </c>
      <c r="BU302">
        <v>5354</v>
      </c>
      <c r="BV302">
        <v>1655</v>
      </c>
      <c r="BW302">
        <v>5165</v>
      </c>
      <c r="BX302">
        <v>1717</v>
      </c>
      <c r="BY302">
        <v>5182</v>
      </c>
      <c r="BZ302">
        <v>1804</v>
      </c>
      <c r="CB302">
        <v>472.89600000000002</v>
      </c>
      <c r="CC302">
        <v>61</v>
      </c>
      <c r="CD302">
        <v>82</v>
      </c>
      <c r="CE302">
        <v>8704.7999999999993</v>
      </c>
      <c r="CF302">
        <v>2076.69</v>
      </c>
      <c r="CG302">
        <v>139.642212733316</v>
      </c>
      <c r="CH302">
        <v>280</v>
      </c>
      <c r="CI302">
        <v>86.3333333333333</v>
      </c>
      <c r="CJ302">
        <v>55</v>
      </c>
      <c r="CK302" s="81">
        <v>1090</v>
      </c>
      <c r="CL302">
        <v>288</v>
      </c>
      <c r="CM302">
        <v>4617.6788078188501</v>
      </c>
      <c r="CN302">
        <v>0.23400000000000001</v>
      </c>
      <c r="CO302">
        <v>19917</v>
      </c>
      <c r="CP302">
        <v>3326</v>
      </c>
      <c r="CQ302">
        <v>752</v>
      </c>
      <c r="CR302">
        <v>643</v>
      </c>
      <c r="CS302">
        <v>692</v>
      </c>
      <c r="CT302">
        <v>336</v>
      </c>
      <c r="CU302">
        <v>313.17243216247698</v>
      </c>
      <c r="CV302">
        <v>228.088197103379</v>
      </c>
      <c r="CW302">
        <v>76.0293990344598</v>
      </c>
      <c r="CX302">
        <v>689.26160000000004</v>
      </c>
      <c r="CY302">
        <v>501.99959999999999</v>
      </c>
      <c r="CZ302">
        <v>167.33320000000001</v>
      </c>
      <c r="DA302">
        <v>51738</v>
      </c>
      <c r="DE302">
        <v>995</v>
      </c>
      <c r="DF302" t="s">
        <v>182</v>
      </c>
      <c r="DG302">
        <v>17374</v>
      </c>
      <c r="DH302">
        <v>17416</v>
      </c>
      <c r="DI302">
        <v>17565</v>
      </c>
      <c r="DJ302">
        <v>17520</v>
      </c>
      <c r="DK302">
        <v>17476</v>
      </c>
      <c r="DO302">
        <v>777</v>
      </c>
      <c r="DP302" t="s">
        <v>109</v>
      </c>
      <c r="DQ302">
        <v>18824</v>
      </c>
      <c r="DR302">
        <v>1</v>
      </c>
      <c r="DS302">
        <v>1657</v>
      </c>
      <c r="DV302">
        <v>1904</v>
      </c>
      <c r="DW302" t="s">
        <v>288</v>
      </c>
      <c r="DX302">
        <v>6710.0159735213701</v>
      </c>
      <c r="DY302">
        <v>1792</v>
      </c>
      <c r="DZ302">
        <v>1315</v>
      </c>
      <c r="EA302">
        <v>655</v>
      </c>
      <c r="EB302">
        <v>4954</v>
      </c>
      <c r="EC302">
        <v>2676</v>
      </c>
      <c r="ED302">
        <v>933</v>
      </c>
      <c r="EE302" s="82">
        <v>0.13509270455894401</v>
      </c>
      <c r="EF302" s="82">
        <v>0.31326727033450502</v>
      </c>
    </row>
    <row r="303" spans="1:136" x14ac:dyDescent="0.35">
      <c r="A303" s="72">
        <v>826</v>
      </c>
      <c r="B303" s="72">
        <v>10</v>
      </c>
      <c r="D303" s="72" t="s">
        <v>233</v>
      </c>
      <c r="E303" s="79">
        <v>4850400000</v>
      </c>
      <c r="F303" s="79">
        <v>1064700000</v>
      </c>
      <c r="G303" s="79">
        <v>1093750000</v>
      </c>
      <c r="H303" s="79">
        <v>55616</v>
      </c>
      <c r="I303" s="79">
        <v>2</v>
      </c>
      <c r="J303" s="79">
        <v>1093.75</v>
      </c>
      <c r="K303" s="79">
        <v>10499</v>
      </c>
      <c r="L303" s="79">
        <v>12289</v>
      </c>
      <c r="M303" s="79">
        <v>3821</v>
      </c>
      <c r="N303" s="79">
        <v>7314</v>
      </c>
      <c r="O303" s="79">
        <v>4722.1000000000004</v>
      </c>
      <c r="P303" s="79">
        <v>981.33333333333303</v>
      </c>
      <c r="Q303" s="79">
        <v>3552.3333333333298</v>
      </c>
      <c r="R303" s="79">
        <v>4430</v>
      </c>
      <c r="S303" s="79">
        <v>0</v>
      </c>
      <c r="T303" s="79">
        <v>1894</v>
      </c>
      <c r="U303" s="79">
        <v>25340</v>
      </c>
      <c r="V303" s="79">
        <v>56490</v>
      </c>
      <c r="W303" s="79">
        <v>46000</v>
      </c>
      <c r="X303" s="79">
        <v>1546.28</v>
      </c>
      <c r="Y303" s="79">
        <v>2030.4</v>
      </c>
      <c r="Z303" s="79">
        <v>0</v>
      </c>
      <c r="AA303" s="79">
        <v>0</v>
      </c>
      <c r="AB303" s="79">
        <v>0</v>
      </c>
      <c r="AC303" s="79">
        <v>7142</v>
      </c>
      <c r="AD303" s="79">
        <v>7142</v>
      </c>
      <c r="AE303" s="79">
        <v>167</v>
      </c>
      <c r="AF303" s="79">
        <v>0</v>
      </c>
      <c r="AG303" s="79">
        <v>453</v>
      </c>
      <c r="AH303" s="79">
        <v>314</v>
      </c>
      <c r="AI303" s="79">
        <v>139</v>
      </c>
      <c r="AJ303" s="79">
        <v>25919</v>
      </c>
      <c r="AK303" s="79">
        <v>25919</v>
      </c>
      <c r="AL303" s="79">
        <v>10</v>
      </c>
      <c r="AM303" s="79">
        <v>0</v>
      </c>
      <c r="AN303" s="79">
        <v>0</v>
      </c>
      <c r="AO303" s="79">
        <v>0</v>
      </c>
      <c r="AP303" s="79">
        <v>1991</v>
      </c>
      <c r="AQ303" s="79">
        <v>1991</v>
      </c>
      <c r="AR303" s="80">
        <v>4.02929E-4</v>
      </c>
      <c r="AS303" s="80">
        <v>8.4261600000000002E-4</v>
      </c>
      <c r="AT303" s="79">
        <v>40044.855000000003</v>
      </c>
      <c r="AU303" s="79">
        <v>0</v>
      </c>
      <c r="AV303" s="79">
        <v>1342</v>
      </c>
      <c r="AW303" s="79">
        <v>10211.611985223701</v>
      </c>
      <c r="AX303" s="79">
        <v>7</v>
      </c>
      <c r="AY303" s="79">
        <v>7</v>
      </c>
      <c r="AZ303" s="79">
        <v>5988</v>
      </c>
      <c r="BA303" s="79">
        <v>1</v>
      </c>
      <c r="BB303" s="79">
        <v>0</v>
      </c>
      <c r="BC303" s="79">
        <v>0</v>
      </c>
      <c r="BD303" s="79">
        <v>0</v>
      </c>
      <c r="BE303" s="79">
        <v>0</v>
      </c>
      <c r="BF303" s="79">
        <v>0</v>
      </c>
      <c r="BG303" s="79">
        <v>0</v>
      </c>
      <c r="BH303" s="79">
        <v>0</v>
      </c>
      <c r="BI303" s="79">
        <v>0</v>
      </c>
      <c r="BJ303" s="79">
        <v>0</v>
      </c>
      <c r="BK303" s="79">
        <v>55</v>
      </c>
      <c r="BL303" s="79">
        <v>7954</v>
      </c>
      <c r="BM303" s="79">
        <v>314</v>
      </c>
      <c r="BN303" s="79">
        <v>139</v>
      </c>
      <c r="BO303">
        <v>11578</v>
      </c>
      <c r="BP303">
        <v>2789</v>
      </c>
      <c r="BQ303">
        <v>11400</v>
      </c>
      <c r="BR303">
        <v>2683</v>
      </c>
      <c r="BS303">
        <v>11246</v>
      </c>
      <c r="BT303">
        <v>2573</v>
      </c>
      <c r="BU303">
        <v>11091</v>
      </c>
      <c r="BV303">
        <v>2491</v>
      </c>
      <c r="BW303">
        <v>10792</v>
      </c>
      <c r="BX303">
        <v>2449</v>
      </c>
      <c r="BY303">
        <v>10667</v>
      </c>
      <c r="BZ303">
        <v>2463</v>
      </c>
      <c r="CB303">
        <v>1291.377</v>
      </c>
      <c r="CC303">
        <v>198</v>
      </c>
      <c r="CD303">
        <v>153</v>
      </c>
      <c r="CE303">
        <v>17423.7</v>
      </c>
      <c r="CF303">
        <v>3953.4</v>
      </c>
      <c r="CG303">
        <v>481.88349401627602</v>
      </c>
      <c r="CH303">
        <v>631</v>
      </c>
      <c r="CI303">
        <v>315.33333333333297</v>
      </c>
      <c r="CJ303">
        <v>257.66666666666703</v>
      </c>
      <c r="CK303" s="81">
        <v>2571</v>
      </c>
      <c r="CL303">
        <v>544</v>
      </c>
      <c r="CM303">
        <v>10142.254756562599</v>
      </c>
      <c r="CN303">
        <v>1.851</v>
      </c>
      <c r="CO303">
        <v>43327</v>
      </c>
      <c r="CP303">
        <v>7258</v>
      </c>
      <c r="CQ303">
        <v>1210</v>
      </c>
      <c r="CR303">
        <v>1468</v>
      </c>
      <c r="CS303">
        <v>1315</v>
      </c>
      <c r="CT303">
        <v>668</v>
      </c>
      <c r="CU303">
        <v>816.92566842856604</v>
      </c>
      <c r="CV303">
        <v>495.18375708939402</v>
      </c>
      <c r="CW303">
        <v>169.980296307728</v>
      </c>
      <c r="CX303">
        <v>1927.6715999999999</v>
      </c>
      <c r="CY303">
        <v>1168.4682</v>
      </c>
      <c r="CZ303">
        <v>401.0967</v>
      </c>
      <c r="DA303">
        <v>9030</v>
      </c>
      <c r="DE303">
        <v>1507</v>
      </c>
      <c r="DF303" t="s">
        <v>158</v>
      </c>
      <c r="DG303">
        <v>8434</v>
      </c>
      <c r="DH303">
        <v>9287</v>
      </c>
      <c r="DI303">
        <v>9212</v>
      </c>
      <c r="DJ303">
        <v>9045</v>
      </c>
      <c r="DK303">
        <v>8833</v>
      </c>
      <c r="DO303">
        <v>779</v>
      </c>
      <c r="DP303" t="s">
        <v>110</v>
      </c>
      <c r="DQ303">
        <v>9687</v>
      </c>
      <c r="DR303">
        <v>1</v>
      </c>
      <c r="DS303">
        <v>1092</v>
      </c>
      <c r="DV303">
        <v>617</v>
      </c>
      <c r="DW303" t="s">
        <v>820</v>
      </c>
      <c r="DX303">
        <v>1025.4121037463999</v>
      </c>
      <c r="DY303">
        <v>181</v>
      </c>
      <c r="DZ303">
        <v>179</v>
      </c>
      <c r="EA303">
        <v>107</v>
      </c>
      <c r="EB303">
        <v>699</v>
      </c>
      <c r="EC303">
        <v>398</v>
      </c>
      <c r="ED303">
        <v>154</v>
      </c>
      <c r="EE303" s="82">
        <v>0.15868115634369301</v>
      </c>
      <c r="EF303" s="82">
        <v>0.38309035837626698</v>
      </c>
    </row>
    <row r="304" spans="1:136" x14ac:dyDescent="0.35">
      <c r="A304" s="72">
        <v>828</v>
      </c>
      <c r="B304" s="72">
        <v>10</v>
      </c>
      <c r="D304" s="72" t="s">
        <v>238</v>
      </c>
      <c r="E304" s="79">
        <v>7418800000</v>
      </c>
      <c r="F304" s="79">
        <v>1170750000</v>
      </c>
      <c r="G304" s="79">
        <v>1254050000</v>
      </c>
      <c r="H304" s="79">
        <v>91451</v>
      </c>
      <c r="I304" s="79">
        <v>6</v>
      </c>
      <c r="J304" s="79">
        <v>1254.05</v>
      </c>
      <c r="K304" s="79">
        <v>17434</v>
      </c>
      <c r="L304" s="79">
        <v>18007</v>
      </c>
      <c r="M304" s="79">
        <v>5644</v>
      </c>
      <c r="N304" s="79">
        <v>12223</v>
      </c>
      <c r="O304" s="79">
        <v>8192.4</v>
      </c>
      <c r="P304" s="79">
        <v>1654</v>
      </c>
      <c r="Q304" s="79">
        <v>7897</v>
      </c>
      <c r="R304" s="79">
        <v>6395</v>
      </c>
      <c r="S304" s="79">
        <v>0</v>
      </c>
      <c r="T304" s="79">
        <v>2895</v>
      </c>
      <c r="U304" s="79">
        <v>40919</v>
      </c>
      <c r="V304" s="79">
        <v>95500</v>
      </c>
      <c r="W304" s="79">
        <v>98480</v>
      </c>
      <c r="X304" s="79">
        <v>2779.44</v>
      </c>
      <c r="Y304" s="79">
        <v>4780.8</v>
      </c>
      <c r="Z304" s="79">
        <v>0</v>
      </c>
      <c r="AA304" s="79">
        <v>0</v>
      </c>
      <c r="AB304" s="79">
        <v>0</v>
      </c>
      <c r="AC304" s="79">
        <v>16207</v>
      </c>
      <c r="AD304" s="79">
        <v>16207</v>
      </c>
      <c r="AE304" s="79">
        <v>886</v>
      </c>
      <c r="AF304" s="79">
        <v>0</v>
      </c>
      <c r="AG304" s="79">
        <v>755</v>
      </c>
      <c r="AH304" s="79">
        <v>563</v>
      </c>
      <c r="AI304" s="79">
        <v>192</v>
      </c>
      <c r="AJ304" s="79">
        <v>40306</v>
      </c>
      <c r="AK304" s="79">
        <v>40306</v>
      </c>
      <c r="AL304" s="79">
        <v>10</v>
      </c>
      <c r="AM304" s="79">
        <v>0</v>
      </c>
      <c r="AN304" s="79">
        <v>0</v>
      </c>
      <c r="AO304" s="79">
        <v>1400</v>
      </c>
      <c r="AP304" s="79">
        <v>2590</v>
      </c>
      <c r="AQ304" s="79">
        <v>0</v>
      </c>
      <c r="AR304" s="80">
        <v>7.3687700000000004E-4</v>
      </c>
      <c r="AS304" s="80">
        <v>1.0370729999999999E-3</v>
      </c>
      <c r="AT304" s="79">
        <v>55743.197999999997</v>
      </c>
      <c r="AU304" s="79">
        <v>0</v>
      </c>
      <c r="AV304" s="79">
        <v>3433</v>
      </c>
      <c r="AW304" s="79">
        <v>18399.344117475001</v>
      </c>
      <c r="AX304" s="79">
        <v>22</v>
      </c>
      <c r="AY304" s="79">
        <v>22</v>
      </c>
      <c r="AZ304" s="79">
        <v>9476</v>
      </c>
      <c r="BA304" s="79">
        <v>1</v>
      </c>
      <c r="BB304" s="79">
        <v>0</v>
      </c>
      <c r="BC304" s="79">
        <v>0</v>
      </c>
      <c r="BD304" s="79">
        <v>0</v>
      </c>
      <c r="BE304" s="79">
        <v>0</v>
      </c>
      <c r="BF304" s="79">
        <v>0</v>
      </c>
      <c r="BG304" s="79">
        <v>0</v>
      </c>
      <c r="BH304" s="79">
        <v>0</v>
      </c>
      <c r="BI304" s="79">
        <v>0</v>
      </c>
      <c r="BJ304" s="79">
        <v>0</v>
      </c>
      <c r="BK304" s="79">
        <v>320</v>
      </c>
      <c r="BL304" s="79">
        <v>13239</v>
      </c>
      <c r="BM304" s="79">
        <v>563</v>
      </c>
      <c r="BN304" s="79">
        <v>192</v>
      </c>
      <c r="BO304">
        <v>19258</v>
      </c>
      <c r="BP304">
        <v>6754</v>
      </c>
      <c r="BQ304">
        <v>19075.3</v>
      </c>
      <c r="BR304">
        <v>6783</v>
      </c>
      <c r="BS304">
        <v>18823.48</v>
      </c>
      <c r="BT304">
        <v>6842</v>
      </c>
      <c r="BU304">
        <v>18759.599999999999</v>
      </c>
      <c r="BV304">
        <v>6910</v>
      </c>
      <c r="BW304">
        <v>18542.939999999999</v>
      </c>
      <c r="BX304">
        <v>6904</v>
      </c>
      <c r="BY304">
        <v>18280.080000000002</v>
      </c>
      <c r="BZ304">
        <v>6944</v>
      </c>
      <c r="CB304">
        <v>2144.3820000000001</v>
      </c>
      <c r="CC304">
        <v>368</v>
      </c>
      <c r="CD304">
        <v>278</v>
      </c>
      <c r="CE304">
        <v>26856.28</v>
      </c>
      <c r="CF304">
        <v>6435.84</v>
      </c>
      <c r="CG304">
        <v>668.94661867110597</v>
      </c>
      <c r="CH304">
        <v>1067</v>
      </c>
      <c r="CI304">
        <v>486</v>
      </c>
      <c r="CJ304">
        <v>404.66666666666703</v>
      </c>
      <c r="CK304" s="81">
        <v>6243</v>
      </c>
      <c r="CL304">
        <v>1376</v>
      </c>
      <c r="CM304">
        <v>15219.621641945299</v>
      </c>
      <c r="CN304">
        <v>3.173</v>
      </c>
      <c r="CO304">
        <v>73444</v>
      </c>
      <c r="CP304">
        <v>10461</v>
      </c>
      <c r="CQ304">
        <v>1902</v>
      </c>
      <c r="CR304">
        <v>2214</v>
      </c>
      <c r="CS304">
        <v>1944</v>
      </c>
      <c r="CT304">
        <v>1019</v>
      </c>
      <c r="CU304">
        <v>1326.64602788667</v>
      </c>
      <c r="CV304">
        <v>803.06089415967904</v>
      </c>
      <c r="CW304">
        <v>284.353882796606</v>
      </c>
      <c r="CX304">
        <v>3036.3604</v>
      </c>
      <c r="CY304">
        <v>1838.0052000000001</v>
      </c>
      <c r="CZ304">
        <v>650.81479999999999</v>
      </c>
      <c r="DA304">
        <v>21223</v>
      </c>
      <c r="DE304">
        <v>1509</v>
      </c>
      <c r="DF304" t="s">
        <v>239</v>
      </c>
      <c r="DG304">
        <v>8832</v>
      </c>
      <c r="DH304">
        <v>8694</v>
      </c>
      <c r="DI304">
        <v>8577</v>
      </c>
      <c r="DJ304">
        <v>8381</v>
      </c>
      <c r="DK304">
        <v>8177</v>
      </c>
      <c r="DO304">
        <v>1771</v>
      </c>
      <c r="DP304" t="s">
        <v>111</v>
      </c>
      <c r="DQ304">
        <v>17627</v>
      </c>
      <c r="DR304">
        <v>1</v>
      </c>
      <c r="DS304">
        <v>1343</v>
      </c>
      <c r="DV304">
        <v>1900</v>
      </c>
      <c r="DW304" t="s">
        <v>289</v>
      </c>
      <c r="DX304">
        <v>13315.2504464058</v>
      </c>
      <c r="DY304">
        <v>2433</v>
      </c>
      <c r="DZ304">
        <v>1992</v>
      </c>
      <c r="EA304">
        <v>1077</v>
      </c>
      <c r="EB304">
        <v>7050</v>
      </c>
      <c r="EC304">
        <v>4237</v>
      </c>
      <c r="ED304">
        <v>1481</v>
      </c>
      <c r="EE304" s="82">
        <v>0.20947705860327201</v>
      </c>
      <c r="EF304" s="82">
        <v>0.51720871999144702</v>
      </c>
    </row>
    <row r="305" spans="1:136" x14ac:dyDescent="0.35">
      <c r="A305" s="72">
        <v>1667</v>
      </c>
      <c r="B305" s="72">
        <v>10</v>
      </c>
      <c r="D305" s="72" t="s">
        <v>253</v>
      </c>
      <c r="E305" s="79">
        <v>1176000000</v>
      </c>
      <c r="F305" s="79">
        <v>157500000</v>
      </c>
      <c r="G305" s="79">
        <v>194950000</v>
      </c>
      <c r="H305" s="79">
        <v>13060</v>
      </c>
      <c r="I305" s="79">
        <v>3</v>
      </c>
      <c r="J305" s="79">
        <v>194.95</v>
      </c>
      <c r="K305" s="79">
        <v>2595</v>
      </c>
      <c r="L305" s="79">
        <v>2545</v>
      </c>
      <c r="M305" s="79">
        <v>716</v>
      </c>
      <c r="N305" s="79">
        <v>1361</v>
      </c>
      <c r="O305" s="79">
        <v>793.9</v>
      </c>
      <c r="P305" s="79">
        <v>102.333333333333</v>
      </c>
      <c r="Q305" s="79">
        <v>679.33333333333303</v>
      </c>
      <c r="R305" s="79">
        <v>150</v>
      </c>
      <c r="S305" s="79">
        <v>0</v>
      </c>
      <c r="T305" s="79">
        <v>286</v>
      </c>
      <c r="U305" s="79">
        <v>5522</v>
      </c>
      <c r="V305" s="79">
        <v>11650</v>
      </c>
      <c r="W305" s="79">
        <v>2590</v>
      </c>
      <c r="X305" s="79">
        <v>0</v>
      </c>
      <c r="Y305" s="79">
        <v>0</v>
      </c>
      <c r="Z305" s="79">
        <v>0</v>
      </c>
      <c r="AA305" s="79">
        <v>0</v>
      </c>
      <c r="AB305" s="79">
        <v>0</v>
      </c>
      <c r="AC305" s="79">
        <v>7780</v>
      </c>
      <c r="AD305" s="79">
        <v>7780</v>
      </c>
      <c r="AE305" s="79">
        <v>86</v>
      </c>
      <c r="AF305" s="79">
        <v>0</v>
      </c>
      <c r="AG305" s="79">
        <v>182</v>
      </c>
      <c r="AH305" s="79">
        <v>83</v>
      </c>
      <c r="AI305" s="79">
        <v>99</v>
      </c>
      <c r="AJ305" s="79">
        <v>5671</v>
      </c>
      <c r="AK305" s="79">
        <v>5671</v>
      </c>
      <c r="AL305" s="79">
        <v>0</v>
      </c>
      <c r="AM305" s="79">
        <v>0</v>
      </c>
      <c r="AN305" s="79">
        <v>0</v>
      </c>
      <c r="AO305" s="79">
        <v>0</v>
      </c>
      <c r="AP305" s="79">
        <v>0</v>
      </c>
      <c r="AQ305" s="79">
        <v>0</v>
      </c>
      <c r="AR305" s="80">
        <v>8.0006999999999995E-5</v>
      </c>
      <c r="AS305" s="80">
        <v>4.1189999999999997E-5</v>
      </c>
      <c r="AT305" s="79">
        <v>3170.0889999999999</v>
      </c>
      <c r="AU305" s="79">
        <v>0</v>
      </c>
      <c r="AV305" s="79">
        <v>391</v>
      </c>
      <c r="AW305" s="79">
        <v>649.18128654970803</v>
      </c>
      <c r="AX305" s="79">
        <v>8</v>
      </c>
      <c r="AY305" s="79">
        <v>8</v>
      </c>
      <c r="AZ305" s="79">
        <v>1575</v>
      </c>
      <c r="BA305" s="79">
        <v>1</v>
      </c>
      <c r="BB305" s="79">
        <v>0</v>
      </c>
      <c r="BC305" s="79">
        <v>0</v>
      </c>
      <c r="BD305" s="79">
        <v>0</v>
      </c>
      <c r="BE305" s="79">
        <v>0</v>
      </c>
      <c r="BF305" s="79">
        <v>0</v>
      </c>
      <c r="BG305" s="79">
        <v>0</v>
      </c>
      <c r="BH305" s="79">
        <v>0</v>
      </c>
      <c r="BI305" s="79">
        <v>0</v>
      </c>
      <c r="BJ305" s="79">
        <v>0</v>
      </c>
      <c r="BK305" s="79">
        <v>17</v>
      </c>
      <c r="BL305" s="79">
        <v>1537</v>
      </c>
      <c r="BM305" s="79">
        <v>83</v>
      </c>
      <c r="BN305" s="79">
        <v>99</v>
      </c>
      <c r="BO305">
        <v>2626</v>
      </c>
      <c r="BP305">
        <v>0</v>
      </c>
      <c r="BQ305">
        <v>2595</v>
      </c>
      <c r="BR305">
        <v>0</v>
      </c>
      <c r="BS305">
        <v>2576</v>
      </c>
      <c r="BT305">
        <v>0</v>
      </c>
      <c r="BU305">
        <v>2573</v>
      </c>
      <c r="BV305">
        <v>0</v>
      </c>
      <c r="BW305">
        <v>2558</v>
      </c>
      <c r="BX305">
        <v>0</v>
      </c>
      <c r="BY305">
        <v>2564</v>
      </c>
      <c r="BZ305">
        <v>0</v>
      </c>
      <c r="CB305">
        <v>228.36</v>
      </c>
      <c r="CC305">
        <v>33</v>
      </c>
      <c r="CD305">
        <v>29</v>
      </c>
      <c r="CE305">
        <v>3815</v>
      </c>
      <c r="CF305">
        <v>945.01</v>
      </c>
      <c r="CG305">
        <v>66.923616226978595</v>
      </c>
      <c r="CH305">
        <v>123</v>
      </c>
      <c r="CI305">
        <v>26</v>
      </c>
      <c r="CJ305">
        <v>23.3333333333333</v>
      </c>
      <c r="CK305" s="81">
        <v>577</v>
      </c>
      <c r="CL305">
        <v>115</v>
      </c>
      <c r="CM305">
        <v>2059.9547888533298</v>
      </c>
      <c r="CN305">
        <v>6.6000000000000003E-2</v>
      </c>
      <c r="CO305">
        <v>10515</v>
      </c>
      <c r="CP305">
        <v>1598</v>
      </c>
      <c r="CQ305">
        <v>231</v>
      </c>
      <c r="CR305">
        <v>246</v>
      </c>
      <c r="CS305">
        <v>247</v>
      </c>
      <c r="CT305">
        <v>124</v>
      </c>
      <c r="CU305">
        <v>138.17303826485599</v>
      </c>
      <c r="CV305">
        <v>69.996473285134897</v>
      </c>
      <c r="CW305">
        <v>24.638758596367499</v>
      </c>
      <c r="CX305">
        <v>424.31130000000002</v>
      </c>
      <c r="CY305">
        <v>214.95</v>
      </c>
      <c r="CZ305">
        <v>75.662400000000005</v>
      </c>
      <c r="DA305">
        <v>0</v>
      </c>
      <c r="DE305">
        <v>1525</v>
      </c>
      <c r="DF305" t="s">
        <v>293</v>
      </c>
      <c r="DG305">
        <v>8608</v>
      </c>
      <c r="DH305">
        <v>8523</v>
      </c>
      <c r="DI305">
        <v>8437</v>
      </c>
      <c r="DJ305">
        <v>8300</v>
      </c>
      <c r="DK305">
        <v>8231</v>
      </c>
      <c r="DO305">
        <v>1652</v>
      </c>
      <c r="DP305" t="s">
        <v>112</v>
      </c>
      <c r="DQ305">
        <v>13019</v>
      </c>
      <c r="DR305">
        <v>1</v>
      </c>
      <c r="DS305">
        <v>766</v>
      </c>
      <c r="DV305">
        <v>9</v>
      </c>
      <c r="DW305" t="s">
        <v>801</v>
      </c>
      <c r="DX305">
        <v>902.66396213657902</v>
      </c>
      <c r="DY305">
        <v>187</v>
      </c>
      <c r="DZ305">
        <v>123</v>
      </c>
      <c r="EA305">
        <v>68</v>
      </c>
      <c r="EB305">
        <v>551</v>
      </c>
      <c r="EC305">
        <v>244</v>
      </c>
      <c r="ED305">
        <v>93</v>
      </c>
      <c r="EE305" s="82">
        <v>0.186378160576326</v>
      </c>
      <c r="EF305" s="82">
        <v>0.47753270234147599</v>
      </c>
    </row>
    <row r="306" spans="1:136" x14ac:dyDescent="0.35">
      <c r="A306" s="72">
        <v>1674</v>
      </c>
      <c r="B306" s="72">
        <v>10</v>
      </c>
      <c r="D306" s="72" t="s">
        <v>261</v>
      </c>
      <c r="E306" s="79">
        <v>5921200000</v>
      </c>
      <c r="F306" s="79">
        <v>1304450000</v>
      </c>
      <c r="G306" s="79">
        <v>1392300000</v>
      </c>
      <c r="H306" s="79">
        <v>77032</v>
      </c>
      <c r="I306" s="79">
        <v>4</v>
      </c>
      <c r="J306" s="79">
        <v>1392.3</v>
      </c>
      <c r="K306" s="79">
        <v>14261</v>
      </c>
      <c r="L306" s="79">
        <v>16343</v>
      </c>
      <c r="M306" s="79">
        <v>5260</v>
      </c>
      <c r="N306" s="79">
        <v>11244</v>
      </c>
      <c r="O306" s="79">
        <v>7701</v>
      </c>
      <c r="P306" s="79">
        <v>1843.3333333333301</v>
      </c>
      <c r="Q306" s="79">
        <v>6026.3333333333303</v>
      </c>
      <c r="R306" s="79">
        <v>7715</v>
      </c>
      <c r="S306" s="79">
        <v>0</v>
      </c>
      <c r="T306" s="79">
        <v>2590</v>
      </c>
      <c r="U306" s="79">
        <v>36160</v>
      </c>
      <c r="V306" s="79">
        <v>83130</v>
      </c>
      <c r="W306" s="79">
        <v>85570</v>
      </c>
      <c r="X306" s="79">
        <v>2346.1</v>
      </c>
      <c r="Y306" s="79">
        <v>3535.2</v>
      </c>
      <c r="Z306" s="79">
        <v>0</v>
      </c>
      <c r="AA306" s="79">
        <v>0</v>
      </c>
      <c r="AB306" s="79">
        <v>0</v>
      </c>
      <c r="AC306" s="79">
        <v>10648</v>
      </c>
      <c r="AD306" s="79">
        <v>10648</v>
      </c>
      <c r="AE306" s="79">
        <v>69</v>
      </c>
      <c r="AF306" s="79">
        <v>0</v>
      </c>
      <c r="AG306" s="79">
        <v>575</v>
      </c>
      <c r="AH306" s="79">
        <v>456</v>
      </c>
      <c r="AI306" s="79">
        <v>119</v>
      </c>
      <c r="AJ306" s="79">
        <v>35430</v>
      </c>
      <c r="AK306" s="79">
        <v>35430</v>
      </c>
      <c r="AL306" s="79">
        <v>10</v>
      </c>
      <c r="AM306" s="79">
        <v>0</v>
      </c>
      <c r="AN306" s="79">
        <v>0</v>
      </c>
      <c r="AO306" s="79">
        <v>0</v>
      </c>
      <c r="AP306" s="79">
        <v>3464</v>
      </c>
      <c r="AQ306" s="79">
        <v>3464</v>
      </c>
      <c r="AR306" s="80">
        <v>1.117552E-3</v>
      </c>
      <c r="AS306" s="80">
        <v>1.6063830000000001E-3</v>
      </c>
      <c r="AT306" s="79">
        <v>61010.46</v>
      </c>
      <c r="AU306" s="79">
        <v>0</v>
      </c>
      <c r="AV306" s="79">
        <v>1301</v>
      </c>
      <c r="AW306" s="79">
        <v>9351.3699729401906</v>
      </c>
      <c r="AX306" s="79">
        <v>9</v>
      </c>
      <c r="AY306" s="79">
        <v>9</v>
      </c>
      <c r="AZ306" s="79">
        <v>7428</v>
      </c>
      <c r="BA306" s="79">
        <v>1</v>
      </c>
      <c r="BB306" s="79">
        <v>0</v>
      </c>
      <c r="BC306" s="79">
        <v>0</v>
      </c>
      <c r="BD306" s="79">
        <v>0</v>
      </c>
      <c r="BE306" s="79">
        <v>0</v>
      </c>
      <c r="BF306" s="79">
        <v>0</v>
      </c>
      <c r="BG306" s="79">
        <v>0</v>
      </c>
      <c r="BH306" s="79">
        <v>0</v>
      </c>
      <c r="BI306" s="79">
        <v>0</v>
      </c>
      <c r="BJ306" s="79">
        <v>0</v>
      </c>
      <c r="BK306" s="79">
        <v>61</v>
      </c>
      <c r="BL306" s="79">
        <v>12413</v>
      </c>
      <c r="BM306" s="79">
        <v>456</v>
      </c>
      <c r="BN306" s="79">
        <v>119</v>
      </c>
      <c r="BO306">
        <v>16148</v>
      </c>
      <c r="BP306">
        <v>4704</v>
      </c>
      <c r="BQ306">
        <v>16073</v>
      </c>
      <c r="BR306">
        <v>4841</v>
      </c>
      <c r="BS306">
        <v>15904</v>
      </c>
      <c r="BT306">
        <v>4950</v>
      </c>
      <c r="BU306">
        <v>15711</v>
      </c>
      <c r="BV306">
        <v>4880</v>
      </c>
      <c r="BW306">
        <v>15451</v>
      </c>
      <c r="BX306">
        <v>4875</v>
      </c>
      <c r="BY306">
        <v>15316</v>
      </c>
      <c r="BZ306">
        <v>4686</v>
      </c>
      <c r="CB306">
        <v>2153.4110000000001</v>
      </c>
      <c r="CC306">
        <v>224</v>
      </c>
      <c r="CD306">
        <v>313</v>
      </c>
      <c r="CE306">
        <v>22393.599999999999</v>
      </c>
      <c r="CF306">
        <v>5243.34</v>
      </c>
      <c r="CG306">
        <v>516.47095246180004</v>
      </c>
      <c r="CH306">
        <v>957</v>
      </c>
      <c r="CI306">
        <v>579.66666666666697</v>
      </c>
      <c r="CJ306">
        <v>481.33333333333297</v>
      </c>
      <c r="CK306" s="81">
        <v>4183</v>
      </c>
      <c r="CL306">
        <v>1046</v>
      </c>
      <c r="CM306">
        <v>13390.3156133056</v>
      </c>
      <c r="CN306">
        <v>4.4960000000000004</v>
      </c>
      <c r="CO306">
        <v>60689</v>
      </c>
      <c r="CP306">
        <v>9335</v>
      </c>
      <c r="CQ306">
        <v>1748</v>
      </c>
      <c r="CR306">
        <v>2023</v>
      </c>
      <c r="CS306">
        <v>1881</v>
      </c>
      <c r="CT306">
        <v>876</v>
      </c>
      <c r="CU306">
        <v>1267.19813717189</v>
      </c>
      <c r="CV306">
        <v>803.57315834039002</v>
      </c>
      <c r="CW306">
        <v>258.43886536833202</v>
      </c>
      <c r="CX306">
        <v>2783.8249999999998</v>
      </c>
      <c r="CY306">
        <v>1765.3175000000001</v>
      </c>
      <c r="CZ306">
        <v>567.74749999999995</v>
      </c>
      <c r="DA306">
        <v>87296</v>
      </c>
      <c r="DE306">
        <v>1581</v>
      </c>
      <c r="DF306" t="s">
        <v>306</v>
      </c>
      <c r="DG306">
        <v>10682</v>
      </c>
      <c r="DH306">
        <v>10552</v>
      </c>
      <c r="DI306">
        <v>10497</v>
      </c>
      <c r="DJ306">
        <v>10254</v>
      </c>
      <c r="DK306">
        <v>10038</v>
      </c>
      <c r="DO306">
        <v>784</v>
      </c>
      <c r="DP306" t="s">
        <v>114</v>
      </c>
      <c r="DQ306">
        <v>11447</v>
      </c>
      <c r="DR306">
        <v>1</v>
      </c>
      <c r="DS306">
        <v>1068</v>
      </c>
      <c r="DV306">
        <v>715</v>
      </c>
      <c r="DW306" t="s">
        <v>290</v>
      </c>
      <c r="DX306">
        <v>8350.5179428661395</v>
      </c>
      <c r="DY306">
        <v>1651</v>
      </c>
      <c r="DZ306">
        <v>1434</v>
      </c>
      <c r="EA306">
        <v>796</v>
      </c>
      <c r="EB306">
        <v>4669</v>
      </c>
      <c r="EC306">
        <v>2977</v>
      </c>
      <c r="ED306">
        <v>1139</v>
      </c>
      <c r="EE306" s="82">
        <v>0.20980626040165201</v>
      </c>
      <c r="EF306" s="82">
        <v>0.48592072440140599</v>
      </c>
    </row>
    <row r="307" spans="1:136" x14ac:dyDescent="0.35">
      <c r="A307" s="72">
        <v>840</v>
      </c>
      <c r="B307" s="72">
        <v>10</v>
      </c>
      <c r="D307" s="72" t="s">
        <v>264</v>
      </c>
      <c r="E307" s="79">
        <v>1911200000</v>
      </c>
      <c r="F307" s="79">
        <v>266000000</v>
      </c>
      <c r="G307" s="79">
        <v>306950000</v>
      </c>
      <c r="H307" s="79">
        <v>22572</v>
      </c>
      <c r="I307" s="79">
        <v>2</v>
      </c>
      <c r="J307" s="79">
        <v>306.95</v>
      </c>
      <c r="K307" s="79">
        <v>3555</v>
      </c>
      <c r="L307" s="79">
        <v>5019</v>
      </c>
      <c r="M307" s="79">
        <v>1562</v>
      </c>
      <c r="N307" s="79">
        <v>2887</v>
      </c>
      <c r="O307" s="79">
        <v>1900.7</v>
      </c>
      <c r="P307" s="79">
        <v>332.66666666666703</v>
      </c>
      <c r="Q307" s="79">
        <v>2020.6666666666699</v>
      </c>
      <c r="R307" s="79">
        <v>375</v>
      </c>
      <c r="S307" s="79">
        <v>0</v>
      </c>
      <c r="T307" s="79">
        <v>547</v>
      </c>
      <c r="U307" s="79">
        <v>9978</v>
      </c>
      <c r="V307" s="79">
        <v>20840</v>
      </c>
      <c r="W307" s="79">
        <v>9100</v>
      </c>
      <c r="X307" s="79">
        <v>0</v>
      </c>
      <c r="Y307" s="79">
        <v>301.60000000000002</v>
      </c>
      <c r="Z307" s="79">
        <v>0</v>
      </c>
      <c r="AA307" s="79">
        <v>0</v>
      </c>
      <c r="AB307" s="79">
        <v>42.6</v>
      </c>
      <c r="AC307" s="79">
        <v>6438</v>
      </c>
      <c r="AD307" s="79">
        <v>6438</v>
      </c>
      <c r="AE307" s="79">
        <v>9</v>
      </c>
      <c r="AF307" s="79">
        <v>0</v>
      </c>
      <c r="AG307" s="79">
        <v>207</v>
      </c>
      <c r="AH307" s="79">
        <v>142</v>
      </c>
      <c r="AI307" s="79">
        <v>65</v>
      </c>
      <c r="AJ307" s="79">
        <v>9863</v>
      </c>
      <c r="AK307" s="79">
        <v>9863</v>
      </c>
      <c r="AL307" s="79">
        <v>0</v>
      </c>
      <c r="AM307" s="79">
        <v>0</v>
      </c>
      <c r="AN307" s="79">
        <v>0</v>
      </c>
      <c r="AO307" s="79">
        <v>0</v>
      </c>
      <c r="AP307" s="79">
        <v>637</v>
      </c>
      <c r="AQ307" s="79">
        <v>0</v>
      </c>
      <c r="AR307" s="80">
        <v>1.4663499999999999E-4</v>
      </c>
      <c r="AS307" s="80">
        <v>1.07153E-4</v>
      </c>
      <c r="AT307" s="79">
        <v>6539.1689999999999</v>
      </c>
      <c r="AU307" s="79">
        <v>0</v>
      </c>
      <c r="AV307" s="79">
        <v>227</v>
      </c>
      <c r="AW307" s="79">
        <v>794.76407631456505</v>
      </c>
      <c r="AX307" s="79">
        <v>6</v>
      </c>
      <c r="AY307" s="79">
        <v>6</v>
      </c>
      <c r="AZ307" s="79">
        <v>2618</v>
      </c>
      <c r="BA307" s="79">
        <v>1</v>
      </c>
      <c r="BB307" s="79">
        <v>0</v>
      </c>
      <c r="BC307" s="79">
        <v>0</v>
      </c>
      <c r="BD307" s="79">
        <v>0</v>
      </c>
      <c r="BE307" s="79">
        <v>0</v>
      </c>
      <c r="BF307" s="79">
        <v>0</v>
      </c>
      <c r="BG307" s="79">
        <v>0</v>
      </c>
      <c r="BH307" s="79">
        <v>0</v>
      </c>
      <c r="BI307" s="79">
        <v>0</v>
      </c>
      <c r="BJ307" s="79">
        <v>0</v>
      </c>
      <c r="BK307" s="79">
        <v>14</v>
      </c>
      <c r="BL307" s="79">
        <v>2704</v>
      </c>
      <c r="BM307" s="79">
        <v>142</v>
      </c>
      <c r="BN307" s="79">
        <v>65</v>
      </c>
      <c r="BO307">
        <v>4147</v>
      </c>
      <c r="BP307">
        <v>304</v>
      </c>
      <c r="BQ307">
        <v>4007</v>
      </c>
      <c r="BR307">
        <v>321</v>
      </c>
      <c r="BS307">
        <v>3882</v>
      </c>
      <c r="BT307">
        <v>357</v>
      </c>
      <c r="BU307">
        <v>3774</v>
      </c>
      <c r="BV307">
        <v>382</v>
      </c>
      <c r="BW307">
        <v>3701</v>
      </c>
      <c r="BX307">
        <v>373</v>
      </c>
      <c r="BY307">
        <v>3641</v>
      </c>
      <c r="BZ307">
        <v>345</v>
      </c>
      <c r="CB307">
        <v>341.28</v>
      </c>
      <c r="CC307">
        <v>116</v>
      </c>
      <c r="CD307">
        <v>59</v>
      </c>
      <c r="CE307">
        <v>6357</v>
      </c>
      <c r="CF307">
        <v>1419.6</v>
      </c>
      <c r="CG307">
        <v>102.58858974359001</v>
      </c>
      <c r="CH307">
        <v>158</v>
      </c>
      <c r="CI307">
        <v>81.3333333333333</v>
      </c>
      <c r="CJ307">
        <v>75.6666666666667</v>
      </c>
      <c r="CK307" s="81">
        <v>1688</v>
      </c>
      <c r="CL307">
        <v>210</v>
      </c>
      <c r="CM307">
        <v>5632.7455270246001</v>
      </c>
      <c r="CN307">
        <v>0.48899999999999999</v>
      </c>
      <c r="CO307">
        <v>17553</v>
      </c>
      <c r="CP307">
        <v>3041</v>
      </c>
      <c r="CQ307">
        <v>416</v>
      </c>
      <c r="CR307">
        <v>573</v>
      </c>
      <c r="CS307">
        <v>498</v>
      </c>
      <c r="CT307">
        <v>218</v>
      </c>
      <c r="CU307">
        <v>353.237666024536</v>
      </c>
      <c r="CV307">
        <v>200.61124404339401</v>
      </c>
      <c r="CW307">
        <v>55.115096826523398</v>
      </c>
      <c r="CX307">
        <v>875.25750000000005</v>
      </c>
      <c r="CY307">
        <v>497.07749999999999</v>
      </c>
      <c r="CZ307">
        <v>136.565</v>
      </c>
      <c r="DA307">
        <v>7938</v>
      </c>
      <c r="DE307">
        <v>1586</v>
      </c>
      <c r="DF307" t="s">
        <v>232</v>
      </c>
      <c r="DG307">
        <v>7018</v>
      </c>
      <c r="DH307">
        <v>6947</v>
      </c>
      <c r="DI307">
        <v>6936</v>
      </c>
      <c r="DJ307">
        <v>6784</v>
      </c>
      <c r="DK307">
        <v>6630</v>
      </c>
      <c r="DO307">
        <v>785</v>
      </c>
      <c r="DP307" t="s">
        <v>117</v>
      </c>
      <c r="DQ307">
        <v>10201</v>
      </c>
      <c r="DR307">
        <v>1</v>
      </c>
      <c r="DS307">
        <v>1167</v>
      </c>
      <c r="DV307">
        <v>93</v>
      </c>
      <c r="DW307" t="s">
        <v>291</v>
      </c>
      <c r="DX307">
        <v>588.69673405909805</v>
      </c>
      <c r="DY307">
        <v>155</v>
      </c>
      <c r="DZ307">
        <v>114</v>
      </c>
      <c r="EA307">
        <v>48</v>
      </c>
      <c r="EB307">
        <v>417</v>
      </c>
      <c r="EC307">
        <v>228</v>
      </c>
      <c r="ED307">
        <v>74</v>
      </c>
      <c r="EE307" s="82">
        <v>5.3907642891267399E-2</v>
      </c>
      <c r="EF307" s="82">
        <v>0.42992500956889801</v>
      </c>
    </row>
    <row r="308" spans="1:136" x14ac:dyDescent="0.35">
      <c r="A308" s="72">
        <v>796</v>
      </c>
      <c r="B308" s="72">
        <v>10</v>
      </c>
      <c r="D308" s="72" t="s">
        <v>271</v>
      </c>
      <c r="E308" s="79">
        <v>15696000000</v>
      </c>
      <c r="F308" s="79">
        <v>2967300000</v>
      </c>
      <c r="G308" s="79">
        <v>3069500000</v>
      </c>
      <c r="H308" s="79">
        <v>154205</v>
      </c>
      <c r="I308" s="79">
        <v>5</v>
      </c>
      <c r="J308" s="79">
        <v>3069.5</v>
      </c>
      <c r="K308" s="79">
        <v>28962</v>
      </c>
      <c r="L308" s="79">
        <v>27492</v>
      </c>
      <c r="M308" s="79">
        <v>8243</v>
      </c>
      <c r="N308" s="79">
        <v>21590</v>
      </c>
      <c r="O308" s="79">
        <v>14285.8</v>
      </c>
      <c r="P308" s="79">
        <v>3843.3333333333298</v>
      </c>
      <c r="Q308" s="79">
        <v>12837.333333333299</v>
      </c>
      <c r="R308" s="79">
        <v>11975</v>
      </c>
      <c r="S308" s="79">
        <v>0</v>
      </c>
      <c r="T308" s="79">
        <v>5230</v>
      </c>
      <c r="U308" s="79">
        <v>74721</v>
      </c>
      <c r="V308" s="79">
        <v>177080</v>
      </c>
      <c r="W308" s="79">
        <v>262510</v>
      </c>
      <c r="X308" s="79">
        <v>4856.16</v>
      </c>
      <c r="Y308" s="79">
        <v>7004</v>
      </c>
      <c r="Z308" s="79">
        <v>0</v>
      </c>
      <c r="AA308" s="79">
        <v>0</v>
      </c>
      <c r="AB308" s="79">
        <v>0</v>
      </c>
      <c r="AC308" s="79">
        <v>10969</v>
      </c>
      <c r="AD308" s="79">
        <v>10969</v>
      </c>
      <c r="AE308" s="79">
        <v>839</v>
      </c>
      <c r="AF308" s="79">
        <v>0</v>
      </c>
      <c r="AG308" s="79">
        <v>861</v>
      </c>
      <c r="AH308" s="79">
        <v>770</v>
      </c>
      <c r="AI308" s="79">
        <v>91</v>
      </c>
      <c r="AJ308" s="79">
        <v>73042</v>
      </c>
      <c r="AK308" s="79">
        <v>73042</v>
      </c>
      <c r="AL308" s="79">
        <v>0</v>
      </c>
      <c r="AM308" s="79">
        <v>54</v>
      </c>
      <c r="AN308" s="79">
        <v>0</v>
      </c>
      <c r="AO308" s="79">
        <v>7350</v>
      </c>
      <c r="AP308" s="79">
        <v>8390</v>
      </c>
      <c r="AQ308" s="79">
        <v>8390</v>
      </c>
      <c r="AR308" s="80">
        <v>3.4843320000000001E-3</v>
      </c>
      <c r="AS308" s="80">
        <v>5.3910310000000001E-3</v>
      </c>
      <c r="AT308" s="79">
        <v>143600.57199999999</v>
      </c>
      <c r="AU308" s="79">
        <v>0</v>
      </c>
      <c r="AV308" s="79">
        <v>5122</v>
      </c>
      <c r="AW308" s="79">
        <v>66890.075372628693</v>
      </c>
      <c r="AX308" s="79">
        <v>8</v>
      </c>
      <c r="AY308" s="79">
        <v>8</v>
      </c>
      <c r="AZ308" s="79">
        <v>20218</v>
      </c>
      <c r="BA308" s="79">
        <v>1</v>
      </c>
      <c r="BB308" s="79">
        <v>0</v>
      </c>
      <c r="BC308" s="79">
        <v>0</v>
      </c>
      <c r="BD308" s="79">
        <v>0</v>
      </c>
      <c r="BE308" s="79">
        <v>0</v>
      </c>
      <c r="BF308" s="79">
        <v>0</v>
      </c>
      <c r="BG308" s="79">
        <v>0</v>
      </c>
      <c r="BH308" s="79">
        <v>0</v>
      </c>
      <c r="BI308" s="79">
        <v>0</v>
      </c>
      <c r="BJ308" s="79">
        <v>0</v>
      </c>
      <c r="BK308" s="79">
        <v>403</v>
      </c>
      <c r="BL308" s="79">
        <v>28889</v>
      </c>
      <c r="BM308" s="79">
        <v>770</v>
      </c>
      <c r="BN308" s="79">
        <v>91</v>
      </c>
      <c r="BO308">
        <v>29522</v>
      </c>
      <c r="BP308">
        <v>8639</v>
      </c>
      <c r="BQ308">
        <v>29729.7</v>
      </c>
      <c r="BR308">
        <v>8755</v>
      </c>
      <c r="BS308">
        <v>29782.52</v>
      </c>
      <c r="BT308">
        <v>8888</v>
      </c>
      <c r="BU308">
        <v>29952.400000000001</v>
      </c>
      <c r="BV308">
        <v>8974</v>
      </c>
      <c r="BW308">
        <v>29924.06</v>
      </c>
      <c r="BX308">
        <v>9051</v>
      </c>
      <c r="BY308">
        <v>29986.92</v>
      </c>
      <c r="BZ308">
        <v>8976</v>
      </c>
      <c r="CB308">
        <v>3678.174</v>
      </c>
      <c r="CC308">
        <v>515</v>
      </c>
      <c r="CD308">
        <v>691</v>
      </c>
      <c r="CE308">
        <v>50131.26</v>
      </c>
      <c r="CF308">
        <v>11609.25</v>
      </c>
      <c r="CG308">
        <v>1274.8155331205501</v>
      </c>
      <c r="CH308">
        <v>1864</v>
      </c>
      <c r="CI308">
        <v>959</v>
      </c>
      <c r="CJ308">
        <v>881.66666666666697</v>
      </c>
      <c r="CK308" s="81">
        <v>8994</v>
      </c>
      <c r="CL308">
        <v>2314</v>
      </c>
      <c r="CM308">
        <v>21833.746888026999</v>
      </c>
      <c r="CN308">
        <v>7.383</v>
      </c>
      <c r="CO308">
        <v>126713</v>
      </c>
      <c r="CP308">
        <v>16307</v>
      </c>
      <c r="CQ308">
        <v>2942</v>
      </c>
      <c r="CR308">
        <v>4285</v>
      </c>
      <c r="CS308">
        <v>3067</v>
      </c>
      <c r="CT308">
        <v>1552</v>
      </c>
      <c r="CU308">
        <v>2099.0006516798599</v>
      </c>
      <c r="CV308">
        <v>1153.3550915911401</v>
      </c>
      <c r="CW308">
        <v>402.11939432107602</v>
      </c>
      <c r="CX308">
        <v>4493.4884000000002</v>
      </c>
      <c r="CY308">
        <v>2469.0738999999999</v>
      </c>
      <c r="CZ308">
        <v>860.84720000000004</v>
      </c>
      <c r="DA308">
        <v>218253</v>
      </c>
      <c r="DE308">
        <v>1598</v>
      </c>
      <c r="DF308" t="s">
        <v>168</v>
      </c>
      <c r="DG308">
        <v>5304</v>
      </c>
      <c r="DH308">
        <v>5289</v>
      </c>
      <c r="DI308">
        <v>5211</v>
      </c>
      <c r="DJ308">
        <v>5211</v>
      </c>
      <c r="DK308">
        <v>5111</v>
      </c>
      <c r="DO308">
        <v>786</v>
      </c>
      <c r="DP308" t="s">
        <v>121</v>
      </c>
      <c r="DQ308">
        <v>5624</v>
      </c>
      <c r="DR308">
        <v>1.01</v>
      </c>
      <c r="DS308">
        <v>636</v>
      </c>
      <c r="DV308">
        <v>448</v>
      </c>
      <c r="DW308" t="s">
        <v>292</v>
      </c>
      <c r="DX308">
        <v>2043.1704965450699</v>
      </c>
      <c r="DY308">
        <v>460</v>
      </c>
      <c r="DZ308">
        <v>304</v>
      </c>
      <c r="EA308">
        <v>140</v>
      </c>
      <c r="EB308">
        <v>1297</v>
      </c>
      <c r="EC308">
        <v>663</v>
      </c>
      <c r="ED308">
        <v>195</v>
      </c>
      <c r="EE308" s="82">
        <v>9.1039784623195397E-2</v>
      </c>
      <c r="EF308" s="82">
        <v>0.49444682089853698</v>
      </c>
    </row>
    <row r="309" spans="1:136" x14ac:dyDescent="0.35">
      <c r="A309" s="72">
        <v>1702</v>
      </c>
      <c r="B309" s="72">
        <v>10</v>
      </c>
      <c r="D309" s="72" t="s">
        <v>273</v>
      </c>
      <c r="E309" s="79">
        <v>990400000</v>
      </c>
      <c r="F309" s="79">
        <v>226450000</v>
      </c>
      <c r="G309" s="79">
        <v>254450000</v>
      </c>
      <c r="H309" s="79">
        <v>11606</v>
      </c>
      <c r="I309" s="79">
        <v>2</v>
      </c>
      <c r="J309" s="79">
        <v>254.45</v>
      </c>
      <c r="K309" s="79">
        <v>2152</v>
      </c>
      <c r="L309" s="79">
        <v>2478</v>
      </c>
      <c r="M309" s="79">
        <v>783</v>
      </c>
      <c r="N309" s="79">
        <v>1220</v>
      </c>
      <c r="O309" s="79">
        <v>722.7</v>
      </c>
      <c r="P309" s="79">
        <v>85.3333333333333</v>
      </c>
      <c r="Q309" s="79">
        <v>746.33333333333303</v>
      </c>
      <c r="R309" s="79">
        <v>135</v>
      </c>
      <c r="S309" s="79">
        <v>0</v>
      </c>
      <c r="T309" s="79">
        <v>207</v>
      </c>
      <c r="U309" s="79">
        <v>4969</v>
      </c>
      <c r="V309" s="79">
        <v>9260</v>
      </c>
      <c r="W309" s="79">
        <v>1130</v>
      </c>
      <c r="X309" s="79">
        <v>311.39999999999998</v>
      </c>
      <c r="Y309" s="79">
        <v>837.6</v>
      </c>
      <c r="Z309" s="79">
        <v>0</v>
      </c>
      <c r="AA309" s="79">
        <v>0</v>
      </c>
      <c r="AB309" s="79">
        <v>0</v>
      </c>
      <c r="AC309" s="79">
        <v>9926</v>
      </c>
      <c r="AD309" s="79">
        <v>9926</v>
      </c>
      <c r="AE309" s="79">
        <v>50</v>
      </c>
      <c r="AF309" s="79">
        <v>0</v>
      </c>
      <c r="AG309" s="79">
        <v>226</v>
      </c>
      <c r="AH309" s="79">
        <v>69</v>
      </c>
      <c r="AI309" s="79">
        <v>157</v>
      </c>
      <c r="AJ309" s="79">
        <v>4973</v>
      </c>
      <c r="AK309" s="79">
        <v>4973</v>
      </c>
      <c r="AL309" s="79">
        <v>0</v>
      </c>
      <c r="AM309" s="79">
        <v>0</v>
      </c>
      <c r="AN309" s="79">
        <v>0</v>
      </c>
      <c r="AO309" s="79">
        <v>0</v>
      </c>
      <c r="AP309" s="79">
        <v>0</v>
      </c>
      <c r="AQ309" s="79">
        <v>0</v>
      </c>
      <c r="AR309" s="80">
        <v>1.09211E-4</v>
      </c>
      <c r="AS309" s="80">
        <v>4.1091999999999999E-5</v>
      </c>
      <c r="AT309" s="79">
        <v>1337.7370000000001</v>
      </c>
      <c r="AU309" s="79">
        <v>0</v>
      </c>
      <c r="AV309" s="79">
        <v>731</v>
      </c>
      <c r="AW309" s="79">
        <v>850.43965517241395</v>
      </c>
      <c r="AX309" s="79">
        <v>7</v>
      </c>
      <c r="AY309" s="79">
        <v>7</v>
      </c>
      <c r="AZ309" s="79">
        <v>1482</v>
      </c>
      <c r="BA309" s="79">
        <v>1</v>
      </c>
      <c r="BB309" s="79">
        <v>0</v>
      </c>
      <c r="BC309" s="79">
        <v>0</v>
      </c>
      <c r="BD309" s="79">
        <v>0</v>
      </c>
      <c r="BE309" s="79">
        <v>0</v>
      </c>
      <c r="BF309" s="79">
        <v>0</v>
      </c>
      <c r="BG309" s="79">
        <v>0</v>
      </c>
      <c r="BH309" s="79">
        <v>0</v>
      </c>
      <c r="BI309" s="79">
        <v>0</v>
      </c>
      <c r="BJ309" s="79">
        <v>0</v>
      </c>
      <c r="BK309" s="79">
        <v>18</v>
      </c>
      <c r="BL309" s="79">
        <v>1236</v>
      </c>
      <c r="BM309" s="79">
        <v>69</v>
      </c>
      <c r="BN309" s="79">
        <v>157</v>
      </c>
      <c r="BO309">
        <v>2817</v>
      </c>
      <c r="BP309">
        <v>1375</v>
      </c>
      <c r="BQ309">
        <v>2787</v>
      </c>
      <c r="BR309">
        <v>1314</v>
      </c>
      <c r="BS309">
        <v>2705</v>
      </c>
      <c r="BT309">
        <v>1318</v>
      </c>
      <c r="BU309">
        <v>2647</v>
      </c>
      <c r="BV309">
        <v>1301</v>
      </c>
      <c r="BW309">
        <v>2535</v>
      </c>
      <c r="BX309">
        <v>1300</v>
      </c>
      <c r="BY309">
        <v>2483</v>
      </c>
      <c r="BZ309">
        <v>1324</v>
      </c>
      <c r="CB309">
        <v>150.63999999999999</v>
      </c>
      <c r="CC309">
        <v>9</v>
      </c>
      <c r="CD309">
        <v>16</v>
      </c>
      <c r="CE309">
        <v>3210.57</v>
      </c>
      <c r="CF309">
        <v>780.12</v>
      </c>
      <c r="CG309">
        <v>42.915683679192398</v>
      </c>
      <c r="CH309">
        <v>76</v>
      </c>
      <c r="CI309">
        <v>25</v>
      </c>
      <c r="CJ309">
        <v>12</v>
      </c>
      <c r="CK309" s="81">
        <v>661</v>
      </c>
      <c r="CL309">
        <v>257</v>
      </c>
      <c r="CM309">
        <v>1677.4544005520099</v>
      </c>
      <c r="CN309">
        <v>5.8999999999999997E-2</v>
      </c>
      <c r="CO309">
        <v>9128</v>
      </c>
      <c r="CP309">
        <v>1354</v>
      </c>
      <c r="CQ309">
        <v>341</v>
      </c>
      <c r="CR309">
        <v>208</v>
      </c>
      <c r="CS309">
        <v>238</v>
      </c>
      <c r="CT309">
        <v>170</v>
      </c>
      <c r="CU309">
        <v>117.85837522622199</v>
      </c>
      <c r="CV309">
        <v>74.260949125276497</v>
      </c>
      <c r="CW309">
        <v>35.023265634425897</v>
      </c>
      <c r="CX309">
        <v>336.565</v>
      </c>
      <c r="CY309">
        <v>212.065</v>
      </c>
      <c r="CZ309">
        <v>100.015</v>
      </c>
      <c r="DA309">
        <v>46720</v>
      </c>
      <c r="DE309">
        <v>1621</v>
      </c>
      <c r="DF309" t="s">
        <v>176</v>
      </c>
      <c r="DG309">
        <v>13606</v>
      </c>
      <c r="DH309">
        <v>13990</v>
      </c>
      <c r="DI309">
        <v>14384</v>
      </c>
      <c r="DJ309">
        <v>14676</v>
      </c>
      <c r="DK309">
        <v>15000</v>
      </c>
      <c r="DO309">
        <v>788</v>
      </c>
      <c r="DP309" t="s">
        <v>125</v>
      </c>
      <c r="DQ309">
        <v>6358</v>
      </c>
      <c r="DR309">
        <v>1</v>
      </c>
      <c r="DS309">
        <v>366</v>
      </c>
      <c r="DV309">
        <v>1525</v>
      </c>
      <c r="DW309" t="s">
        <v>293</v>
      </c>
      <c r="DX309">
        <v>3796.01104017026</v>
      </c>
      <c r="DY309">
        <v>763</v>
      </c>
      <c r="DZ309">
        <v>685</v>
      </c>
      <c r="EA309">
        <v>405</v>
      </c>
      <c r="EB309">
        <v>2313</v>
      </c>
      <c r="EC309">
        <v>1502</v>
      </c>
      <c r="ED309">
        <v>594</v>
      </c>
      <c r="EE309" s="82">
        <v>0.141077800087023</v>
      </c>
      <c r="EF309" s="82">
        <v>0.301679790195787</v>
      </c>
    </row>
    <row r="310" spans="1:136" x14ac:dyDescent="0.35">
      <c r="A310" s="72">
        <v>845</v>
      </c>
      <c r="B310" s="72">
        <v>10</v>
      </c>
      <c r="D310" s="72" t="s">
        <v>274</v>
      </c>
      <c r="E310" s="79">
        <v>2998400000</v>
      </c>
      <c r="F310" s="79">
        <v>207200000</v>
      </c>
      <c r="G310" s="79">
        <v>234150000</v>
      </c>
      <c r="H310" s="79">
        <v>28991</v>
      </c>
      <c r="I310" s="79">
        <v>4</v>
      </c>
      <c r="J310" s="79">
        <v>234.15</v>
      </c>
      <c r="K310" s="79">
        <v>5929</v>
      </c>
      <c r="L310" s="79">
        <v>6203</v>
      </c>
      <c r="M310" s="79">
        <v>2058</v>
      </c>
      <c r="N310" s="79">
        <v>2883</v>
      </c>
      <c r="O310" s="79">
        <v>1663.9</v>
      </c>
      <c r="P310" s="79">
        <v>252.333333333333</v>
      </c>
      <c r="Q310" s="79">
        <v>1620.3333333333301</v>
      </c>
      <c r="R310" s="79">
        <v>480</v>
      </c>
      <c r="S310" s="79">
        <v>0</v>
      </c>
      <c r="T310" s="79">
        <v>658</v>
      </c>
      <c r="U310" s="79">
        <v>12291</v>
      </c>
      <c r="V310" s="79">
        <v>23080</v>
      </c>
      <c r="W310" s="79">
        <v>4540</v>
      </c>
      <c r="X310" s="79">
        <v>1198.1980000000001</v>
      </c>
      <c r="Y310" s="79">
        <v>925.6</v>
      </c>
      <c r="Z310" s="79">
        <v>0</v>
      </c>
      <c r="AA310" s="79">
        <v>0</v>
      </c>
      <c r="AB310" s="79">
        <v>0</v>
      </c>
      <c r="AC310" s="79">
        <v>5834</v>
      </c>
      <c r="AD310" s="79">
        <v>5834</v>
      </c>
      <c r="AE310" s="79">
        <v>100</v>
      </c>
      <c r="AF310" s="79">
        <v>0</v>
      </c>
      <c r="AG310" s="79">
        <v>224</v>
      </c>
      <c r="AH310" s="79">
        <v>165</v>
      </c>
      <c r="AI310" s="79">
        <v>58</v>
      </c>
      <c r="AJ310" s="79">
        <v>12191</v>
      </c>
      <c r="AK310" s="79">
        <v>12191</v>
      </c>
      <c r="AL310" s="79">
        <v>0</v>
      </c>
      <c r="AM310" s="79">
        <v>0</v>
      </c>
      <c r="AN310" s="79">
        <v>0</v>
      </c>
      <c r="AO310" s="79">
        <v>0</v>
      </c>
      <c r="AP310" s="79">
        <v>0</v>
      </c>
      <c r="AQ310" s="79">
        <v>0</v>
      </c>
      <c r="AR310" s="80">
        <v>1.9521E-4</v>
      </c>
      <c r="AS310" s="80">
        <v>1.06859E-4</v>
      </c>
      <c r="AT310" s="79">
        <v>7619.375</v>
      </c>
      <c r="AU310" s="79">
        <v>0</v>
      </c>
      <c r="AV310" s="79">
        <v>1291</v>
      </c>
      <c r="AW310" s="79">
        <v>6307.2768790023601</v>
      </c>
      <c r="AX310" s="79">
        <v>7</v>
      </c>
      <c r="AY310" s="79">
        <v>7</v>
      </c>
      <c r="AZ310" s="79">
        <v>3628</v>
      </c>
      <c r="BA310" s="79">
        <v>1</v>
      </c>
      <c r="BB310" s="79">
        <v>0</v>
      </c>
      <c r="BC310" s="79">
        <v>0</v>
      </c>
      <c r="BD310" s="79">
        <v>0</v>
      </c>
      <c r="BE310" s="79">
        <v>0</v>
      </c>
      <c r="BF310" s="79">
        <v>0</v>
      </c>
      <c r="BG310" s="79">
        <v>0</v>
      </c>
      <c r="BH310" s="79">
        <v>0</v>
      </c>
      <c r="BI310" s="79">
        <v>0</v>
      </c>
      <c r="BJ310" s="79">
        <v>0</v>
      </c>
      <c r="BK310" s="79">
        <v>38</v>
      </c>
      <c r="BL310" s="79">
        <v>3297</v>
      </c>
      <c r="BM310" s="79">
        <v>165</v>
      </c>
      <c r="BN310" s="79">
        <v>58</v>
      </c>
      <c r="BO310">
        <v>6523</v>
      </c>
      <c r="BP310">
        <v>1136</v>
      </c>
      <c r="BQ310">
        <v>6420</v>
      </c>
      <c r="BR310">
        <v>1131</v>
      </c>
      <c r="BS310">
        <v>6292</v>
      </c>
      <c r="BT310">
        <v>1151</v>
      </c>
      <c r="BU310">
        <v>6251</v>
      </c>
      <c r="BV310">
        <v>1146</v>
      </c>
      <c r="BW310">
        <v>6125</v>
      </c>
      <c r="BX310">
        <v>1110</v>
      </c>
      <c r="BY310">
        <v>6044</v>
      </c>
      <c r="BZ310">
        <v>1122</v>
      </c>
      <c r="CB310">
        <v>409.101</v>
      </c>
      <c r="CC310">
        <v>77</v>
      </c>
      <c r="CD310">
        <v>65</v>
      </c>
      <c r="CE310">
        <v>9285.9</v>
      </c>
      <c r="CF310">
        <v>2492.4899999999998</v>
      </c>
      <c r="CG310">
        <v>191.72168481123799</v>
      </c>
      <c r="CH310">
        <v>233</v>
      </c>
      <c r="CI310">
        <v>70</v>
      </c>
      <c r="CJ310">
        <v>45.6666666666667</v>
      </c>
      <c r="CK310" s="81">
        <v>1368</v>
      </c>
      <c r="CL310">
        <v>331</v>
      </c>
      <c r="CM310">
        <v>4454.9969453930898</v>
      </c>
      <c r="CN310">
        <v>0.14299999999999999</v>
      </c>
      <c r="CO310">
        <v>22788</v>
      </c>
      <c r="CP310">
        <v>3488</v>
      </c>
      <c r="CQ310">
        <v>657</v>
      </c>
      <c r="CR310">
        <v>618</v>
      </c>
      <c r="CS310">
        <v>650</v>
      </c>
      <c r="CT310">
        <v>318</v>
      </c>
      <c r="CU310">
        <v>290.16909195308</v>
      </c>
      <c r="CV310">
        <v>187.12221310803099</v>
      </c>
      <c r="CW310">
        <v>63.465958493971002</v>
      </c>
      <c r="CX310">
        <v>750.90319999999997</v>
      </c>
      <c r="CY310">
        <v>484.23719999999997</v>
      </c>
      <c r="CZ310">
        <v>164.238</v>
      </c>
      <c r="DA310">
        <v>124569</v>
      </c>
      <c r="DE310">
        <v>1640</v>
      </c>
      <c r="DF310" t="s">
        <v>183</v>
      </c>
      <c r="DG310">
        <v>7802</v>
      </c>
      <c r="DH310">
        <v>7667</v>
      </c>
      <c r="DI310">
        <v>7474</v>
      </c>
      <c r="DJ310">
        <v>7174</v>
      </c>
      <c r="DK310">
        <v>7013</v>
      </c>
      <c r="DO310">
        <v>1655</v>
      </c>
      <c r="DP310" t="s">
        <v>128</v>
      </c>
      <c r="DQ310">
        <v>13356</v>
      </c>
      <c r="DR310">
        <v>1</v>
      </c>
      <c r="DS310">
        <v>745</v>
      </c>
      <c r="DV310">
        <v>716</v>
      </c>
      <c r="DW310" t="s">
        <v>294</v>
      </c>
      <c r="DX310">
        <v>3151.3746114996102</v>
      </c>
      <c r="DY310">
        <v>540</v>
      </c>
      <c r="DZ310">
        <v>487</v>
      </c>
      <c r="EA310">
        <v>292</v>
      </c>
      <c r="EB310">
        <v>1708</v>
      </c>
      <c r="EC310">
        <v>1020</v>
      </c>
      <c r="ED310">
        <v>402</v>
      </c>
      <c r="EE310" s="82">
        <v>0.18177526926856299</v>
      </c>
      <c r="EF310" s="82">
        <v>0.50750240615976905</v>
      </c>
    </row>
    <row r="311" spans="1:136" x14ac:dyDescent="0.35">
      <c r="A311" s="72">
        <v>847</v>
      </c>
      <c r="B311" s="72">
        <v>10</v>
      </c>
      <c r="D311" s="72" t="s">
        <v>280</v>
      </c>
      <c r="E311" s="79">
        <v>1779600000</v>
      </c>
      <c r="F311" s="79">
        <v>326900000</v>
      </c>
      <c r="G311" s="79">
        <v>352450000</v>
      </c>
      <c r="H311" s="79">
        <v>19322</v>
      </c>
      <c r="I311" s="79">
        <v>3</v>
      </c>
      <c r="J311" s="79">
        <v>352.45</v>
      </c>
      <c r="K311" s="79">
        <v>3487</v>
      </c>
      <c r="L311" s="79">
        <v>3798</v>
      </c>
      <c r="M311" s="79">
        <v>1276</v>
      </c>
      <c r="N311" s="79">
        <v>2332</v>
      </c>
      <c r="O311" s="79">
        <v>1520.6</v>
      </c>
      <c r="P311" s="79">
        <v>211</v>
      </c>
      <c r="Q311" s="79">
        <v>1091</v>
      </c>
      <c r="R311" s="79">
        <v>250</v>
      </c>
      <c r="S311" s="79">
        <v>0</v>
      </c>
      <c r="T311" s="79">
        <v>394</v>
      </c>
      <c r="U311" s="79">
        <v>8385</v>
      </c>
      <c r="V311" s="79">
        <v>16600</v>
      </c>
      <c r="W311" s="79">
        <v>6230</v>
      </c>
      <c r="X311" s="79">
        <v>342.54</v>
      </c>
      <c r="Y311" s="79">
        <v>560.79999999999995</v>
      </c>
      <c r="Z311" s="79">
        <v>0</v>
      </c>
      <c r="AA311" s="79">
        <v>0</v>
      </c>
      <c r="AB311" s="79">
        <v>0</v>
      </c>
      <c r="AC311" s="79">
        <v>8012</v>
      </c>
      <c r="AD311" s="79">
        <v>8012</v>
      </c>
      <c r="AE311" s="79">
        <v>138</v>
      </c>
      <c r="AF311" s="79">
        <v>0</v>
      </c>
      <c r="AG311" s="79">
        <v>259</v>
      </c>
      <c r="AH311" s="79">
        <v>127</v>
      </c>
      <c r="AI311" s="79">
        <v>132</v>
      </c>
      <c r="AJ311" s="79">
        <v>8114</v>
      </c>
      <c r="AK311" s="79">
        <v>8114</v>
      </c>
      <c r="AL311" s="79">
        <v>0</v>
      </c>
      <c r="AM311" s="79">
        <v>0</v>
      </c>
      <c r="AN311" s="79">
        <v>0</v>
      </c>
      <c r="AO311" s="79">
        <v>0</v>
      </c>
      <c r="AP311" s="79">
        <v>0</v>
      </c>
      <c r="AQ311" s="79">
        <v>0</v>
      </c>
      <c r="AR311" s="80">
        <v>1.2492100000000001E-4</v>
      </c>
      <c r="AS311" s="80">
        <v>7.0666000000000004E-5</v>
      </c>
      <c r="AT311" s="79">
        <v>5898.8779999999997</v>
      </c>
      <c r="AU311" s="79">
        <v>0</v>
      </c>
      <c r="AV311" s="79">
        <v>901</v>
      </c>
      <c r="AW311" s="79">
        <v>2136.08858895706</v>
      </c>
      <c r="AX311" s="79">
        <v>5</v>
      </c>
      <c r="AY311" s="79">
        <v>5</v>
      </c>
      <c r="AZ311" s="79">
        <v>2474</v>
      </c>
      <c r="BA311" s="79">
        <v>1</v>
      </c>
      <c r="BB311" s="79">
        <v>0</v>
      </c>
      <c r="BC311" s="79">
        <v>0</v>
      </c>
      <c r="BD311" s="79">
        <v>0</v>
      </c>
      <c r="BE311" s="79">
        <v>0</v>
      </c>
      <c r="BF311" s="79">
        <v>0</v>
      </c>
      <c r="BG311" s="79">
        <v>0</v>
      </c>
      <c r="BH311" s="79">
        <v>0</v>
      </c>
      <c r="BI311" s="79">
        <v>0</v>
      </c>
      <c r="BJ311" s="79">
        <v>0</v>
      </c>
      <c r="BK311" s="79">
        <v>15</v>
      </c>
      <c r="BL311" s="79">
        <v>2398</v>
      </c>
      <c r="BM311" s="79">
        <v>127</v>
      </c>
      <c r="BN311" s="79">
        <v>132</v>
      </c>
      <c r="BO311">
        <v>4173</v>
      </c>
      <c r="BP311">
        <v>950</v>
      </c>
      <c r="BQ311">
        <v>4048</v>
      </c>
      <c r="BR311">
        <v>892</v>
      </c>
      <c r="BS311">
        <v>3925</v>
      </c>
      <c r="BT311">
        <v>855</v>
      </c>
      <c r="BU311">
        <v>3821</v>
      </c>
      <c r="BV311">
        <v>853</v>
      </c>
      <c r="BW311">
        <v>3720</v>
      </c>
      <c r="BX311">
        <v>873</v>
      </c>
      <c r="BY311">
        <v>3674</v>
      </c>
      <c r="BZ311">
        <v>891</v>
      </c>
      <c r="CB311">
        <v>355.67399999999998</v>
      </c>
      <c r="CC311">
        <v>31</v>
      </c>
      <c r="CD311">
        <v>49</v>
      </c>
      <c r="CE311">
        <v>5447.1</v>
      </c>
      <c r="CF311">
        <v>1304.24</v>
      </c>
      <c r="CG311">
        <v>30.1611401617251</v>
      </c>
      <c r="CH311">
        <v>148</v>
      </c>
      <c r="CI311">
        <v>63.3333333333333</v>
      </c>
      <c r="CJ311">
        <v>36.6666666666667</v>
      </c>
      <c r="CK311" s="81">
        <v>880</v>
      </c>
      <c r="CL311">
        <v>218</v>
      </c>
      <c r="CM311">
        <v>2724.8576208099798</v>
      </c>
      <c r="CN311">
        <v>0.14499999999999999</v>
      </c>
      <c r="CO311">
        <v>15524</v>
      </c>
      <c r="CP311">
        <v>2085</v>
      </c>
      <c r="CQ311">
        <v>437</v>
      </c>
      <c r="CR311">
        <v>378</v>
      </c>
      <c r="CS311">
        <v>404</v>
      </c>
      <c r="CT311">
        <v>196</v>
      </c>
      <c r="CU311">
        <v>241.376978062608</v>
      </c>
      <c r="CV311">
        <v>160.41824007887601</v>
      </c>
      <c r="CW311">
        <v>52.285851614493502</v>
      </c>
      <c r="CX311">
        <v>588.74480000000005</v>
      </c>
      <c r="CY311">
        <v>391.27760000000001</v>
      </c>
      <c r="CZ311">
        <v>127.5309</v>
      </c>
      <c r="DA311">
        <v>0</v>
      </c>
      <c r="DE311">
        <v>1641</v>
      </c>
      <c r="DF311" t="s">
        <v>193</v>
      </c>
      <c r="DG311">
        <v>4564</v>
      </c>
      <c r="DH311">
        <v>4432</v>
      </c>
      <c r="DI311">
        <v>4317</v>
      </c>
      <c r="DJ311">
        <v>4203</v>
      </c>
      <c r="DK311">
        <v>4067</v>
      </c>
      <c r="DO311">
        <v>1658</v>
      </c>
      <c r="DP311" t="s">
        <v>140</v>
      </c>
      <c r="DQ311">
        <v>7132</v>
      </c>
      <c r="DR311">
        <v>1</v>
      </c>
      <c r="DS311">
        <v>582</v>
      </c>
      <c r="DV311">
        <v>281</v>
      </c>
      <c r="DW311" t="s">
        <v>295</v>
      </c>
      <c r="DX311">
        <v>5719.0731008927096</v>
      </c>
      <c r="DY311">
        <v>929</v>
      </c>
      <c r="DZ311">
        <v>736</v>
      </c>
      <c r="EA311">
        <v>329</v>
      </c>
      <c r="EB311">
        <v>2778</v>
      </c>
      <c r="EC311">
        <v>1482</v>
      </c>
      <c r="ED311">
        <v>452</v>
      </c>
      <c r="EE311" s="82">
        <v>0.216512983612414</v>
      </c>
      <c r="EF311" s="82">
        <v>0.49444682089853698</v>
      </c>
    </row>
    <row r="312" spans="1:136" x14ac:dyDescent="0.35">
      <c r="A312" s="72">
        <v>848</v>
      </c>
      <c r="B312" s="72">
        <v>10</v>
      </c>
      <c r="D312" s="72" t="s">
        <v>281</v>
      </c>
      <c r="E312" s="79">
        <v>1872400000</v>
      </c>
      <c r="F312" s="79">
        <v>465500000</v>
      </c>
      <c r="G312" s="79">
        <v>476000000</v>
      </c>
      <c r="H312" s="79">
        <v>16904</v>
      </c>
      <c r="I312" s="79">
        <v>1</v>
      </c>
      <c r="J312" s="79">
        <v>476</v>
      </c>
      <c r="K312" s="79">
        <v>3491</v>
      </c>
      <c r="L312" s="79">
        <v>3874</v>
      </c>
      <c r="M312" s="79">
        <v>1507</v>
      </c>
      <c r="N312" s="79">
        <v>1564</v>
      </c>
      <c r="O312" s="79">
        <v>847.8</v>
      </c>
      <c r="P312" s="79">
        <v>202</v>
      </c>
      <c r="Q312" s="79">
        <v>771</v>
      </c>
      <c r="R312" s="79">
        <v>330</v>
      </c>
      <c r="S312" s="79">
        <v>0</v>
      </c>
      <c r="T312" s="79">
        <v>449</v>
      </c>
      <c r="U312" s="79">
        <v>7351</v>
      </c>
      <c r="V312" s="79">
        <v>14790</v>
      </c>
      <c r="W312" s="79">
        <v>5130</v>
      </c>
      <c r="X312" s="79">
        <v>456.72</v>
      </c>
      <c r="Y312" s="79">
        <v>0</v>
      </c>
      <c r="Z312" s="79">
        <v>0</v>
      </c>
      <c r="AA312" s="79">
        <v>0</v>
      </c>
      <c r="AB312" s="79">
        <v>0</v>
      </c>
      <c r="AC312" s="79">
        <v>2594</v>
      </c>
      <c r="AD312" s="79">
        <v>2594</v>
      </c>
      <c r="AE312" s="79">
        <v>57</v>
      </c>
      <c r="AF312" s="79">
        <v>0</v>
      </c>
      <c r="AG312" s="79">
        <v>171</v>
      </c>
      <c r="AH312" s="79">
        <v>136</v>
      </c>
      <c r="AI312" s="79">
        <v>36</v>
      </c>
      <c r="AJ312" s="79">
        <v>7162</v>
      </c>
      <c r="AK312" s="79">
        <v>7162</v>
      </c>
      <c r="AL312" s="79">
        <v>0</v>
      </c>
      <c r="AM312" s="79">
        <v>0</v>
      </c>
      <c r="AN312" s="79">
        <v>0</v>
      </c>
      <c r="AO312" s="79">
        <v>0</v>
      </c>
      <c r="AP312" s="79">
        <v>0</v>
      </c>
      <c r="AQ312" s="79">
        <v>0</v>
      </c>
      <c r="AR312" s="80">
        <v>3.9898000000000003E-5</v>
      </c>
      <c r="AS312" s="80">
        <v>5.3606999999999997E-5</v>
      </c>
      <c r="AT312" s="79">
        <v>4905.97</v>
      </c>
      <c r="AU312" s="79">
        <v>0</v>
      </c>
      <c r="AV312" s="79">
        <v>560</v>
      </c>
      <c r="AW312" s="79">
        <v>3570.8185590343301</v>
      </c>
      <c r="AX312" s="79">
        <v>2</v>
      </c>
      <c r="AY312" s="79">
        <v>2</v>
      </c>
      <c r="AZ312" s="79">
        <v>2147</v>
      </c>
      <c r="BA312" s="79">
        <v>1</v>
      </c>
      <c r="BB312" s="79">
        <v>0</v>
      </c>
      <c r="BC312" s="79">
        <v>0</v>
      </c>
      <c r="BD312" s="79">
        <v>0</v>
      </c>
      <c r="BE312" s="79">
        <v>0</v>
      </c>
      <c r="BF312" s="79">
        <v>0</v>
      </c>
      <c r="BG312" s="79">
        <v>0</v>
      </c>
      <c r="BH312" s="79">
        <v>0</v>
      </c>
      <c r="BI312" s="79">
        <v>0</v>
      </c>
      <c r="BJ312" s="79">
        <v>0</v>
      </c>
      <c r="BK312" s="79">
        <v>11</v>
      </c>
      <c r="BL312" s="79">
        <v>2031</v>
      </c>
      <c r="BM312" s="79">
        <v>136</v>
      </c>
      <c r="BN312" s="79">
        <v>36</v>
      </c>
      <c r="BO312">
        <v>3681</v>
      </c>
      <c r="BP312">
        <v>0</v>
      </c>
      <c r="BQ312">
        <v>3670</v>
      </c>
      <c r="BR312">
        <v>0</v>
      </c>
      <c r="BS312">
        <v>3664</v>
      </c>
      <c r="BT312">
        <v>0</v>
      </c>
      <c r="BU312">
        <v>3619</v>
      </c>
      <c r="BV312">
        <v>0</v>
      </c>
      <c r="BW312">
        <v>3613</v>
      </c>
      <c r="BX312">
        <v>0</v>
      </c>
      <c r="BY312">
        <v>3576</v>
      </c>
      <c r="BZ312">
        <v>0</v>
      </c>
      <c r="CB312">
        <v>272.298</v>
      </c>
      <c r="CC312">
        <v>31</v>
      </c>
      <c r="CD312">
        <v>35</v>
      </c>
      <c r="CE312">
        <v>6038.4</v>
      </c>
      <c r="CF312">
        <v>1544.45</v>
      </c>
      <c r="CG312">
        <v>76.981296072507504</v>
      </c>
      <c r="CH312">
        <v>163</v>
      </c>
      <c r="CI312">
        <v>82</v>
      </c>
      <c r="CJ312">
        <v>57</v>
      </c>
      <c r="CK312" s="81">
        <v>569</v>
      </c>
      <c r="CL312">
        <v>194</v>
      </c>
      <c r="CM312">
        <v>2414.4160730593599</v>
      </c>
      <c r="CN312">
        <v>0.20100000000000001</v>
      </c>
      <c r="CO312">
        <v>13030</v>
      </c>
      <c r="CP312">
        <v>1784</v>
      </c>
      <c r="CQ312">
        <v>583</v>
      </c>
      <c r="CR312">
        <v>376</v>
      </c>
      <c r="CS312">
        <v>456</v>
      </c>
      <c r="CT312">
        <v>289</v>
      </c>
      <c r="CU312">
        <v>129.383607930746</v>
      </c>
      <c r="CV312">
        <v>118.01963138788</v>
      </c>
      <c r="CW312">
        <v>52.440016755096302</v>
      </c>
      <c r="CX312">
        <v>332.81849999999997</v>
      </c>
      <c r="CY312">
        <v>303.5865</v>
      </c>
      <c r="CZ312">
        <v>134.89349999999999</v>
      </c>
      <c r="DA312">
        <v>64240</v>
      </c>
      <c r="DE312">
        <v>1651</v>
      </c>
      <c r="DF312" t="s">
        <v>796</v>
      </c>
      <c r="DG312">
        <v>3716</v>
      </c>
      <c r="DH312">
        <v>3650</v>
      </c>
      <c r="DI312">
        <v>3557</v>
      </c>
      <c r="DJ312">
        <v>3467</v>
      </c>
      <c r="DK312">
        <v>3370</v>
      </c>
      <c r="DO312">
        <v>794</v>
      </c>
      <c r="DP312" t="s">
        <v>144</v>
      </c>
      <c r="DQ312">
        <v>39944</v>
      </c>
      <c r="DR312">
        <v>1</v>
      </c>
      <c r="DS312">
        <v>1732</v>
      </c>
      <c r="DV312">
        <v>855</v>
      </c>
      <c r="DW312" t="s">
        <v>296</v>
      </c>
      <c r="DX312">
        <v>34259.531309767299</v>
      </c>
      <c r="DY312">
        <v>5344</v>
      </c>
      <c r="DZ312">
        <v>4212</v>
      </c>
      <c r="EA312">
        <v>1868</v>
      </c>
      <c r="EB312">
        <v>13411</v>
      </c>
      <c r="EC312">
        <v>7821</v>
      </c>
      <c r="ED312">
        <v>2484</v>
      </c>
      <c r="EE312" s="82">
        <v>0.238205406915905</v>
      </c>
      <c r="EF312" s="82">
        <v>0.53461785247155802</v>
      </c>
    </row>
    <row r="313" spans="1:136" x14ac:dyDescent="0.35">
      <c r="A313" s="72">
        <v>851</v>
      </c>
      <c r="B313" s="72">
        <v>10</v>
      </c>
      <c r="D313" s="72" t="s">
        <v>285</v>
      </c>
      <c r="E313" s="79">
        <v>1745600000</v>
      </c>
      <c r="F313" s="79">
        <v>340900000</v>
      </c>
      <c r="G313" s="79">
        <v>375550000</v>
      </c>
      <c r="H313" s="79">
        <v>25054</v>
      </c>
      <c r="I313" s="79">
        <v>4</v>
      </c>
      <c r="J313" s="79">
        <v>375.55</v>
      </c>
      <c r="K313" s="79">
        <v>4161</v>
      </c>
      <c r="L313" s="79">
        <v>5214</v>
      </c>
      <c r="M313" s="79">
        <v>1540</v>
      </c>
      <c r="N313" s="79">
        <v>3700</v>
      </c>
      <c r="O313" s="79">
        <v>2653.9</v>
      </c>
      <c r="P313" s="79">
        <v>347</v>
      </c>
      <c r="Q313" s="79">
        <v>1368</v>
      </c>
      <c r="R313" s="79">
        <v>465</v>
      </c>
      <c r="S313" s="79">
        <v>0</v>
      </c>
      <c r="T313" s="79">
        <v>642</v>
      </c>
      <c r="U313" s="79">
        <v>12258</v>
      </c>
      <c r="V313" s="79">
        <v>23250</v>
      </c>
      <c r="W313" s="79">
        <v>5690</v>
      </c>
      <c r="X313" s="79">
        <v>0</v>
      </c>
      <c r="Y313" s="79">
        <v>488.8</v>
      </c>
      <c r="Z313" s="79">
        <v>0</v>
      </c>
      <c r="AA313" s="79">
        <v>0</v>
      </c>
      <c r="AB313" s="79">
        <v>147.9</v>
      </c>
      <c r="AC313" s="79">
        <v>14648</v>
      </c>
      <c r="AD313" s="79">
        <v>15380.4</v>
      </c>
      <c r="AE313" s="79">
        <v>1266</v>
      </c>
      <c r="AF313" s="79">
        <v>0</v>
      </c>
      <c r="AG313" s="79">
        <v>216</v>
      </c>
      <c r="AH313" s="79">
        <v>146.06</v>
      </c>
      <c r="AI313" s="79">
        <v>87.15</v>
      </c>
      <c r="AJ313" s="79">
        <v>10461</v>
      </c>
      <c r="AK313" s="79">
        <v>11402.49</v>
      </c>
      <c r="AL313" s="79">
        <v>8</v>
      </c>
      <c r="AM313" s="79">
        <v>0</v>
      </c>
      <c r="AN313" s="79">
        <v>0</v>
      </c>
      <c r="AO313" s="79">
        <v>6200</v>
      </c>
      <c r="AP313" s="79">
        <v>1329</v>
      </c>
      <c r="AQ313" s="79">
        <v>747</v>
      </c>
      <c r="AR313" s="80">
        <v>3.2956100000000002E-4</v>
      </c>
      <c r="AS313" s="80">
        <v>1.27284E-4</v>
      </c>
      <c r="AT313" s="79">
        <v>7521.4589999999998</v>
      </c>
      <c r="AU313" s="79">
        <v>0</v>
      </c>
      <c r="AV313" s="79">
        <v>3552.15</v>
      </c>
      <c r="AW313" s="79">
        <v>6713.0519479703398</v>
      </c>
      <c r="AX313" s="79">
        <v>8</v>
      </c>
      <c r="AY313" s="79">
        <v>8.4</v>
      </c>
      <c r="AZ313" s="79">
        <v>2432</v>
      </c>
      <c r="BA313" s="79">
        <v>1</v>
      </c>
      <c r="BB313" s="79">
        <v>0</v>
      </c>
      <c r="BC313" s="79">
        <v>0</v>
      </c>
      <c r="BD313" s="79">
        <v>0</v>
      </c>
      <c r="BE313" s="79">
        <v>0</v>
      </c>
      <c r="BF313" s="79">
        <v>0</v>
      </c>
      <c r="BG313" s="79">
        <v>0</v>
      </c>
      <c r="BH313" s="79">
        <v>0</v>
      </c>
      <c r="BI313" s="79">
        <v>0</v>
      </c>
      <c r="BJ313" s="79">
        <v>0</v>
      </c>
      <c r="BK313" s="79">
        <v>7</v>
      </c>
      <c r="BL313" s="79">
        <v>4725</v>
      </c>
      <c r="BM313" s="79">
        <v>134</v>
      </c>
      <c r="BN313" s="79">
        <v>83</v>
      </c>
      <c r="BO313">
        <v>4796</v>
      </c>
      <c r="BP313">
        <v>421</v>
      </c>
      <c r="BQ313">
        <v>4707</v>
      </c>
      <c r="BR313">
        <v>377</v>
      </c>
      <c r="BS313">
        <v>4630</v>
      </c>
      <c r="BT313">
        <v>353</v>
      </c>
      <c r="BU313">
        <v>4565</v>
      </c>
      <c r="BV313">
        <v>373</v>
      </c>
      <c r="BW313">
        <v>4498</v>
      </c>
      <c r="BX313">
        <v>438</v>
      </c>
      <c r="BY313">
        <v>4422</v>
      </c>
      <c r="BZ313">
        <v>513</v>
      </c>
      <c r="CB313">
        <v>441.06599999999997</v>
      </c>
      <c r="CC313">
        <v>65</v>
      </c>
      <c r="CD313">
        <v>67</v>
      </c>
      <c r="CE313">
        <v>7775.95</v>
      </c>
      <c r="CF313">
        <v>1599.84</v>
      </c>
      <c r="CG313">
        <v>137.634450643777</v>
      </c>
      <c r="CH313">
        <v>228</v>
      </c>
      <c r="CI313">
        <v>111.333333333333</v>
      </c>
      <c r="CJ313">
        <v>85</v>
      </c>
      <c r="CK313" s="81">
        <v>1021</v>
      </c>
      <c r="CL313">
        <v>210</v>
      </c>
      <c r="CM313">
        <v>4759.3315602504599</v>
      </c>
      <c r="CN313">
        <v>0.51</v>
      </c>
      <c r="CO313">
        <v>19840</v>
      </c>
      <c r="CP313">
        <v>3081</v>
      </c>
      <c r="CQ313">
        <v>593</v>
      </c>
      <c r="CR313">
        <v>572</v>
      </c>
      <c r="CS313">
        <v>542</v>
      </c>
      <c r="CT313">
        <v>275</v>
      </c>
      <c r="CU313">
        <v>475.17012713889699</v>
      </c>
      <c r="CV313">
        <v>276.52719625274801</v>
      </c>
      <c r="CW313">
        <v>97.672450052576195</v>
      </c>
      <c r="CX313">
        <v>886.49090000000001</v>
      </c>
      <c r="CY313">
        <v>515.89700000000005</v>
      </c>
      <c r="CZ313">
        <v>182.22049999999999</v>
      </c>
      <c r="DA313">
        <v>11907</v>
      </c>
      <c r="DE313">
        <v>1652</v>
      </c>
      <c r="DF313" t="s">
        <v>112</v>
      </c>
      <c r="DG313">
        <v>6356</v>
      </c>
      <c r="DH313">
        <v>6351</v>
      </c>
      <c r="DI313">
        <v>6311</v>
      </c>
      <c r="DJ313">
        <v>6245</v>
      </c>
      <c r="DK313">
        <v>6145</v>
      </c>
      <c r="DO313">
        <v>797</v>
      </c>
      <c r="DP313" t="s">
        <v>149</v>
      </c>
      <c r="DQ313">
        <v>18588</v>
      </c>
      <c r="DR313">
        <v>1</v>
      </c>
      <c r="DS313">
        <v>1067</v>
      </c>
      <c r="DV313">
        <v>183</v>
      </c>
      <c r="DW313" t="s">
        <v>297</v>
      </c>
      <c r="DX313">
        <v>2053.0815656565701</v>
      </c>
      <c r="DY313">
        <v>369</v>
      </c>
      <c r="DZ313">
        <v>420</v>
      </c>
      <c r="EA313">
        <v>240</v>
      </c>
      <c r="EB313">
        <v>1346</v>
      </c>
      <c r="EC313">
        <v>853</v>
      </c>
      <c r="ED313">
        <v>328</v>
      </c>
      <c r="EE313" s="82">
        <v>0.13814888825618399</v>
      </c>
      <c r="EF313" s="82">
        <v>0.44529638226801799</v>
      </c>
    </row>
    <row r="314" spans="1:136" x14ac:dyDescent="0.35">
      <c r="A314" s="72">
        <v>855</v>
      </c>
      <c r="B314" s="72">
        <v>10</v>
      </c>
      <c r="D314" s="72" t="s">
        <v>296</v>
      </c>
      <c r="E314" s="79">
        <v>16478000000</v>
      </c>
      <c r="F314" s="79">
        <v>4180050000</v>
      </c>
      <c r="G314" s="79">
        <v>4313400000</v>
      </c>
      <c r="H314" s="79">
        <v>217259</v>
      </c>
      <c r="I314" s="79">
        <v>3</v>
      </c>
      <c r="J314" s="79">
        <v>4313.3999999999996</v>
      </c>
      <c r="K314" s="79">
        <v>39311</v>
      </c>
      <c r="L314" s="79">
        <v>36404</v>
      </c>
      <c r="M314" s="79">
        <v>11311</v>
      </c>
      <c r="N314" s="79">
        <v>34610</v>
      </c>
      <c r="O314" s="79">
        <v>24349.5</v>
      </c>
      <c r="P314" s="79">
        <v>7264</v>
      </c>
      <c r="Q314" s="79">
        <v>18671</v>
      </c>
      <c r="R314" s="79">
        <v>24800</v>
      </c>
      <c r="S314" s="79">
        <v>0</v>
      </c>
      <c r="T314" s="79">
        <v>7984</v>
      </c>
      <c r="U314" s="79">
        <v>111029</v>
      </c>
      <c r="V314" s="79">
        <v>242700</v>
      </c>
      <c r="W314" s="79">
        <v>359800</v>
      </c>
      <c r="X314" s="79">
        <v>5176.72</v>
      </c>
      <c r="Y314" s="79">
        <v>9148</v>
      </c>
      <c r="Z314" s="79">
        <v>0</v>
      </c>
      <c r="AA314" s="79">
        <v>0</v>
      </c>
      <c r="AB314" s="79">
        <v>0</v>
      </c>
      <c r="AC314" s="79">
        <v>11605</v>
      </c>
      <c r="AD314" s="79">
        <v>11605</v>
      </c>
      <c r="AE314" s="79">
        <v>208</v>
      </c>
      <c r="AF314" s="79">
        <v>0</v>
      </c>
      <c r="AG314" s="79">
        <v>1253</v>
      </c>
      <c r="AH314" s="79">
        <v>1034</v>
      </c>
      <c r="AI314" s="79">
        <v>219</v>
      </c>
      <c r="AJ314" s="79">
        <v>102605</v>
      </c>
      <c r="AK314" s="79">
        <v>102605</v>
      </c>
      <c r="AL314" s="79">
        <v>10</v>
      </c>
      <c r="AM314" s="79">
        <v>0</v>
      </c>
      <c r="AN314" s="79">
        <v>0</v>
      </c>
      <c r="AO314" s="79">
        <v>0</v>
      </c>
      <c r="AP314" s="79">
        <v>16436</v>
      </c>
      <c r="AQ314" s="79">
        <v>16436</v>
      </c>
      <c r="AR314" s="80">
        <v>8.6006940000000007E-3</v>
      </c>
      <c r="AS314" s="80">
        <v>1.1799999E-2</v>
      </c>
      <c r="AT314" s="79">
        <v>285344.505</v>
      </c>
      <c r="AU314" s="79">
        <v>0</v>
      </c>
      <c r="AV314" s="79">
        <v>2649</v>
      </c>
      <c r="AW314" s="79">
        <v>48719.130703462302</v>
      </c>
      <c r="AX314" s="79">
        <v>4</v>
      </c>
      <c r="AY314" s="79">
        <v>4</v>
      </c>
      <c r="AZ314" s="79">
        <v>20478</v>
      </c>
      <c r="BA314" s="79">
        <v>1</v>
      </c>
      <c r="BB314" s="79">
        <v>0</v>
      </c>
      <c r="BC314" s="79">
        <v>0</v>
      </c>
      <c r="BD314" s="79">
        <v>0</v>
      </c>
      <c r="BE314" s="79">
        <v>0</v>
      </c>
      <c r="BF314" s="79">
        <v>0</v>
      </c>
      <c r="BG314" s="79">
        <v>0</v>
      </c>
      <c r="BH314" s="79">
        <v>0</v>
      </c>
      <c r="BI314" s="79">
        <v>0</v>
      </c>
      <c r="BJ314" s="79">
        <v>0</v>
      </c>
      <c r="BK314" s="79">
        <v>249</v>
      </c>
      <c r="BL314" s="79">
        <v>48909</v>
      </c>
      <c r="BM314" s="79">
        <v>1034</v>
      </c>
      <c r="BN314" s="79">
        <v>219</v>
      </c>
      <c r="BO314">
        <v>40121</v>
      </c>
      <c r="BP314">
        <v>10902</v>
      </c>
      <c r="BQ314">
        <v>40083</v>
      </c>
      <c r="BR314">
        <v>10883</v>
      </c>
      <c r="BS314">
        <v>40242</v>
      </c>
      <c r="BT314">
        <v>11083</v>
      </c>
      <c r="BU314">
        <v>40301</v>
      </c>
      <c r="BV314">
        <v>11293</v>
      </c>
      <c r="BW314">
        <v>40177</v>
      </c>
      <c r="BX314">
        <v>11215</v>
      </c>
      <c r="BY314">
        <v>40044</v>
      </c>
      <c r="BZ314">
        <v>11369</v>
      </c>
      <c r="CB314">
        <v>6643.5590000000002</v>
      </c>
      <c r="CC314">
        <v>803</v>
      </c>
      <c r="CD314">
        <v>864</v>
      </c>
      <c r="CE314">
        <v>56870.59</v>
      </c>
      <c r="CF314">
        <v>13153.82</v>
      </c>
      <c r="CG314">
        <v>1531.6082649903301</v>
      </c>
      <c r="CH314">
        <v>3031</v>
      </c>
      <c r="CI314">
        <v>2150.3333333333298</v>
      </c>
      <c r="CJ314">
        <v>1942</v>
      </c>
      <c r="CK314" s="81">
        <v>11407</v>
      </c>
      <c r="CL314">
        <v>3167</v>
      </c>
      <c r="CM314">
        <v>32024.564892247199</v>
      </c>
      <c r="CN314">
        <v>18.001999999999999</v>
      </c>
      <c r="CO314">
        <v>180855</v>
      </c>
      <c r="CP314">
        <v>21191</v>
      </c>
      <c r="CQ314">
        <v>3902</v>
      </c>
      <c r="CR314">
        <v>5546</v>
      </c>
      <c r="CS314">
        <v>4265</v>
      </c>
      <c r="CT314">
        <v>1895</v>
      </c>
      <c r="CU314">
        <v>3251.8999902538899</v>
      </c>
      <c r="CV314">
        <v>1897.7920325520199</v>
      </c>
      <c r="CW314">
        <v>600.63919399639406</v>
      </c>
      <c r="CX314">
        <v>7325.6238000000003</v>
      </c>
      <c r="CY314">
        <v>4275.1962000000003</v>
      </c>
      <c r="CZ314">
        <v>1353.0726</v>
      </c>
      <c r="DA314">
        <v>591690</v>
      </c>
      <c r="DE314">
        <v>1655</v>
      </c>
      <c r="DF314" t="s">
        <v>128</v>
      </c>
      <c r="DG314">
        <v>5949</v>
      </c>
      <c r="DH314">
        <v>5819</v>
      </c>
      <c r="DI314">
        <v>5795</v>
      </c>
      <c r="DJ314">
        <v>5684</v>
      </c>
      <c r="DK314">
        <v>5564</v>
      </c>
      <c r="DO314">
        <v>798</v>
      </c>
      <c r="DP314" t="s">
        <v>151</v>
      </c>
      <c r="DQ314">
        <v>6895</v>
      </c>
      <c r="DR314">
        <v>1</v>
      </c>
      <c r="DS314">
        <v>588</v>
      </c>
      <c r="DV314">
        <v>1700</v>
      </c>
      <c r="DW314" t="s">
        <v>298</v>
      </c>
      <c r="DX314">
        <v>4037.6616022099502</v>
      </c>
      <c r="DY314">
        <v>670</v>
      </c>
      <c r="DZ314">
        <v>612</v>
      </c>
      <c r="EA314">
        <v>313</v>
      </c>
      <c r="EB314">
        <v>2259</v>
      </c>
      <c r="EC314">
        <v>1277</v>
      </c>
      <c r="ED314">
        <v>421</v>
      </c>
      <c r="EE314" s="82">
        <v>0.19182289695070401</v>
      </c>
      <c r="EF314" s="82">
        <v>0.55829946497093697</v>
      </c>
    </row>
    <row r="315" spans="1:136" x14ac:dyDescent="0.35">
      <c r="A315" s="72">
        <v>856</v>
      </c>
      <c r="B315" s="72">
        <v>10</v>
      </c>
      <c r="D315" s="72" t="s">
        <v>301</v>
      </c>
      <c r="E315" s="79">
        <v>3815600000</v>
      </c>
      <c r="F315" s="79">
        <v>803600000</v>
      </c>
      <c r="G315" s="79">
        <v>846300000</v>
      </c>
      <c r="H315" s="79">
        <v>41782</v>
      </c>
      <c r="I315" s="79">
        <v>2</v>
      </c>
      <c r="J315" s="79">
        <v>846.3</v>
      </c>
      <c r="K315" s="79">
        <v>8077</v>
      </c>
      <c r="L315" s="79">
        <v>8829</v>
      </c>
      <c r="M315" s="79">
        <v>2844</v>
      </c>
      <c r="N315" s="79">
        <v>5548</v>
      </c>
      <c r="O315" s="79">
        <v>3659.2</v>
      </c>
      <c r="P315" s="79">
        <v>675.66666666666697</v>
      </c>
      <c r="Q315" s="79">
        <v>3147.6666666666702</v>
      </c>
      <c r="R315" s="79">
        <v>2260</v>
      </c>
      <c r="S315" s="79">
        <v>0</v>
      </c>
      <c r="T315" s="79">
        <v>1333</v>
      </c>
      <c r="U315" s="79">
        <v>18996</v>
      </c>
      <c r="V315" s="79">
        <v>46220</v>
      </c>
      <c r="W315" s="79">
        <v>43900</v>
      </c>
      <c r="X315" s="79">
        <v>517.28</v>
      </c>
      <c r="Y315" s="79">
        <v>2279.1999999999998</v>
      </c>
      <c r="Z315" s="79">
        <v>0</v>
      </c>
      <c r="AA315" s="79">
        <v>0</v>
      </c>
      <c r="AB315" s="79">
        <v>0</v>
      </c>
      <c r="AC315" s="79">
        <v>6699</v>
      </c>
      <c r="AD315" s="79">
        <v>6699</v>
      </c>
      <c r="AE315" s="79">
        <v>54</v>
      </c>
      <c r="AF315" s="79">
        <v>0</v>
      </c>
      <c r="AG315" s="79">
        <v>390</v>
      </c>
      <c r="AH315" s="79">
        <v>283</v>
      </c>
      <c r="AI315" s="79">
        <v>107</v>
      </c>
      <c r="AJ315" s="79">
        <v>18888</v>
      </c>
      <c r="AK315" s="79">
        <v>18888</v>
      </c>
      <c r="AL315" s="79">
        <v>0</v>
      </c>
      <c r="AM315" s="79">
        <v>0</v>
      </c>
      <c r="AN315" s="79">
        <v>0</v>
      </c>
      <c r="AO315" s="79">
        <v>0</v>
      </c>
      <c r="AP315" s="79">
        <v>550</v>
      </c>
      <c r="AQ315" s="79">
        <v>0</v>
      </c>
      <c r="AR315" s="80">
        <v>1.9106799999999999E-4</v>
      </c>
      <c r="AS315" s="80">
        <v>3.5193300000000002E-4</v>
      </c>
      <c r="AT315" s="79">
        <v>25763.232</v>
      </c>
      <c r="AU315" s="79">
        <v>0</v>
      </c>
      <c r="AV315" s="79">
        <v>613</v>
      </c>
      <c r="AW315" s="79">
        <v>3792.7389308455499</v>
      </c>
      <c r="AX315" s="79">
        <v>7</v>
      </c>
      <c r="AY315" s="79">
        <v>7</v>
      </c>
      <c r="AZ315" s="79">
        <v>4895</v>
      </c>
      <c r="BA315" s="79">
        <v>1</v>
      </c>
      <c r="BB315" s="79">
        <v>0</v>
      </c>
      <c r="BC315" s="79">
        <v>0</v>
      </c>
      <c r="BD315" s="79">
        <v>0</v>
      </c>
      <c r="BE315" s="79">
        <v>0</v>
      </c>
      <c r="BF315" s="79">
        <v>0</v>
      </c>
      <c r="BG315" s="79">
        <v>0</v>
      </c>
      <c r="BH315" s="79">
        <v>0</v>
      </c>
      <c r="BI315" s="79">
        <v>0</v>
      </c>
      <c r="BJ315" s="79">
        <v>0</v>
      </c>
      <c r="BK315" s="79">
        <v>54</v>
      </c>
      <c r="BL315" s="79">
        <v>6286</v>
      </c>
      <c r="BM315" s="79">
        <v>283</v>
      </c>
      <c r="BN315" s="79">
        <v>107</v>
      </c>
      <c r="BO315">
        <v>8975</v>
      </c>
      <c r="BP315">
        <v>2635</v>
      </c>
      <c r="BQ315">
        <v>8909</v>
      </c>
      <c r="BR315">
        <v>2782</v>
      </c>
      <c r="BS315">
        <v>8881</v>
      </c>
      <c r="BT315">
        <v>2971</v>
      </c>
      <c r="BU315">
        <v>8792</v>
      </c>
      <c r="BV315">
        <v>3045</v>
      </c>
      <c r="BW315">
        <v>8663</v>
      </c>
      <c r="BX315">
        <v>3066</v>
      </c>
      <c r="BY315">
        <v>8518</v>
      </c>
      <c r="BZ315">
        <v>2998</v>
      </c>
      <c r="CB315">
        <v>896.54700000000003</v>
      </c>
      <c r="CC315">
        <v>146</v>
      </c>
      <c r="CD315">
        <v>133</v>
      </c>
      <c r="CE315">
        <v>12573.2</v>
      </c>
      <c r="CF315">
        <v>3036.66</v>
      </c>
      <c r="CG315">
        <v>268.66982170542599</v>
      </c>
      <c r="CH315">
        <v>477</v>
      </c>
      <c r="CI315">
        <v>213.333333333333</v>
      </c>
      <c r="CJ315">
        <v>186.333333333333</v>
      </c>
      <c r="CK315" s="81">
        <v>2472</v>
      </c>
      <c r="CL315">
        <v>605</v>
      </c>
      <c r="CM315">
        <v>6255.4583732150204</v>
      </c>
      <c r="CN315">
        <v>1.1080000000000001</v>
      </c>
      <c r="CO315">
        <v>32953</v>
      </c>
      <c r="CP315">
        <v>5055</v>
      </c>
      <c r="CQ315">
        <v>930</v>
      </c>
      <c r="CR315">
        <v>1062</v>
      </c>
      <c r="CS315">
        <v>966</v>
      </c>
      <c r="CT315">
        <v>418</v>
      </c>
      <c r="CU315">
        <v>608.31681490893698</v>
      </c>
      <c r="CV315">
        <v>379.90741211351099</v>
      </c>
      <c r="CW315">
        <v>120.694705633206</v>
      </c>
      <c r="CX315">
        <v>1398.242</v>
      </c>
      <c r="CY315">
        <v>873.23329999999999</v>
      </c>
      <c r="CZ315">
        <v>277.42189999999999</v>
      </c>
      <c r="DA315">
        <v>29838</v>
      </c>
      <c r="DE315">
        <v>1658</v>
      </c>
      <c r="DF315" t="s">
        <v>140</v>
      </c>
      <c r="DG315">
        <v>3287</v>
      </c>
      <c r="DH315">
        <v>3233</v>
      </c>
      <c r="DI315">
        <v>3193</v>
      </c>
      <c r="DJ315">
        <v>3135</v>
      </c>
      <c r="DK315">
        <v>3081</v>
      </c>
      <c r="DO315">
        <v>1659</v>
      </c>
      <c r="DP315" t="s">
        <v>171</v>
      </c>
      <c r="DQ315">
        <v>9340</v>
      </c>
      <c r="DR315">
        <v>1</v>
      </c>
      <c r="DS315">
        <v>618</v>
      </c>
      <c r="DV315">
        <v>1730</v>
      </c>
      <c r="DW315" t="s">
        <v>299</v>
      </c>
      <c r="DX315">
        <v>3704.0393554826801</v>
      </c>
      <c r="DY315">
        <v>784</v>
      </c>
      <c r="DZ315">
        <v>796</v>
      </c>
      <c r="EA315">
        <v>525</v>
      </c>
      <c r="EB315">
        <v>2612</v>
      </c>
      <c r="EC315">
        <v>1693</v>
      </c>
      <c r="ED315">
        <v>738</v>
      </c>
      <c r="EE315" s="82">
        <v>0.13841653935908099</v>
      </c>
      <c r="EF315" s="82">
        <v>0.36624757212398801</v>
      </c>
    </row>
    <row r="316" spans="1:136" x14ac:dyDescent="0.35">
      <c r="A316" s="72">
        <v>858</v>
      </c>
      <c r="B316" s="72">
        <v>10</v>
      </c>
      <c r="D316" s="72" t="s">
        <v>309</v>
      </c>
      <c r="E316" s="79">
        <v>3088400000</v>
      </c>
      <c r="F316" s="79">
        <v>406700000</v>
      </c>
      <c r="G316" s="79">
        <v>422800000</v>
      </c>
      <c r="H316" s="79">
        <v>30910</v>
      </c>
      <c r="I316" s="79">
        <v>1</v>
      </c>
      <c r="J316" s="79">
        <v>422.8</v>
      </c>
      <c r="K316" s="79">
        <v>5197</v>
      </c>
      <c r="L316" s="79">
        <v>7789</v>
      </c>
      <c r="M316" s="79">
        <v>2649</v>
      </c>
      <c r="N316" s="79">
        <v>4558</v>
      </c>
      <c r="O316" s="79">
        <v>3087.9</v>
      </c>
      <c r="P316" s="79">
        <v>543.66666666666697</v>
      </c>
      <c r="Q316" s="79">
        <v>1970.6666666666699</v>
      </c>
      <c r="R316" s="79">
        <v>625</v>
      </c>
      <c r="S316" s="79">
        <v>0</v>
      </c>
      <c r="T316" s="79">
        <v>972</v>
      </c>
      <c r="U316" s="79">
        <v>14678</v>
      </c>
      <c r="V316" s="79">
        <v>31520</v>
      </c>
      <c r="W316" s="79">
        <v>22560</v>
      </c>
      <c r="X316" s="79">
        <v>164.34</v>
      </c>
      <c r="Y316" s="79">
        <v>1988</v>
      </c>
      <c r="Z316" s="79">
        <v>0</v>
      </c>
      <c r="AA316" s="79">
        <v>0</v>
      </c>
      <c r="AB316" s="79">
        <v>0</v>
      </c>
      <c r="AC316" s="79">
        <v>5494</v>
      </c>
      <c r="AD316" s="79">
        <v>5494</v>
      </c>
      <c r="AE316" s="79">
        <v>156</v>
      </c>
      <c r="AF316" s="79">
        <v>0</v>
      </c>
      <c r="AG316" s="79">
        <v>236</v>
      </c>
      <c r="AH316" s="79">
        <v>191</v>
      </c>
      <c r="AI316" s="79">
        <v>45</v>
      </c>
      <c r="AJ316" s="79">
        <v>14701</v>
      </c>
      <c r="AK316" s="79">
        <v>14701</v>
      </c>
      <c r="AL316" s="79">
        <v>0</v>
      </c>
      <c r="AM316" s="79">
        <v>0</v>
      </c>
      <c r="AN316" s="79">
        <v>0</v>
      </c>
      <c r="AO316" s="79">
        <v>0</v>
      </c>
      <c r="AP316" s="79">
        <v>1372</v>
      </c>
      <c r="AQ316" s="79">
        <v>0</v>
      </c>
      <c r="AR316" s="80">
        <v>3.6847799999999999E-4</v>
      </c>
      <c r="AS316" s="80">
        <v>5.0010799999999998E-4</v>
      </c>
      <c r="AT316" s="79">
        <v>21507.562999999998</v>
      </c>
      <c r="AU316" s="79">
        <v>0</v>
      </c>
      <c r="AV316" s="79">
        <v>1315</v>
      </c>
      <c r="AW316" s="79">
        <v>7194.09734513274</v>
      </c>
      <c r="AX316" s="79">
        <v>3</v>
      </c>
      <c r="AY316" s="79">
        <v>3</v>
      </c>
      <c r="AZ316" s="79">
        <v>3434</v>
      </c>
      <c r="BA316" s="79">
        <v>1</v>
      </c>
      <c r="BB316" s="79">
        <v>0</v>
      </c>
      <c r="BC316" s="79">
        <v>0</v>
      </c>
      <c r="BD316" s="79">
        <v>0</v>
      </c>
      <c r="BE316" s="79">
        <v>0</v>
      </c>
      <c r="BF316" s="79">
        <v>0</v>
      </c>
      <c r="BG316" s="79">
        <v>0</v>
      </c>
      <c r="BH316" s="79">
        <v>0</v>
      </c>
      <c r="BI316" s="79">
        <v>0</v>
      </c>
      <c r="BJ316" s="79">
        <v>0</v>
      </c>
      <c r="BK316" s="79">
        <v>29</v>
      </c>
      <c r="BL316" s="79">
        <v>4962</v>
      </c>
      <c r="BM316" s="79">
        <v>191</v>
      </c>
      <c r="BN316" s="79">
        <v>45</v>
      </c>
      <c r="BO316">
        <v>5981</v>
      </c>
      <c r="BP316">
        <v>2393</v>
      </c>
      <c r="BQ316">
        <v>5884</v>
      </c>
      <c r="BR316">
        <v>2286</v>
      </c>
      <c r="BS316">
        <v>5730</v>
      </c>
      <c r="BT316">
        <v>2319</v>
      </c>
      <c r="BU316">
        <v>5667</v>
      </c>
      <c r="BV316">
        <v>2309</v>
      </c>
      <c r="BW316">
        <v>5552</v>
      </c>
      <c r="BX316">
        <v>2319</v>
      </c>
      <c r="BY316">
        <v>5419</v>
      </c>
      <c r="BZ316">
        <v>2372</v>
      </c>
      <c r="CB316">
        <v>587.26099999999997</v>
      </c>
      <c r="CC316">
        <v>86</v>
      </c>
      <c r="CD316">
        <v>43</v>
      </c>
      <c r="CE316">
        <v>9606.4599999999991</v>
      </c>
      <c r="CF316">
        <v>2031.44</v>
      </c>
      <c r="CG316">
        <v>154.73617850637501</v>
      </c>
      <c r="CH316">
        <v>345</v>
      </c>
      <c r="CI316">
        <v>133.333333333333</v>
      </c>
      <c r="CJ316">
        <v>136.666666666667</v>
      </c>
      <c r="CK316" s="81">
        <v>1427</v>
      </c>
      <c r="CL316">
        <v>332</v>
      </c>
      <c r="CM316">
        <v>5667.3712775097501</v>
      </c>
      <c r="CN316">
        <v>0.96599999999999997</v>
      </c>
      <c r="CO316">
        <v>23121</v>
      </c>
      <c r="CP316">
        <v>4237</v>
      </c>
      <c r="CQ316">
        <v>903</v>
      </c>
      <c r="CR316">
        <v>862</v>
      </c>
      <c r="CS316">
        <v>858</v>
      </c>
      <c r="CT316">
        <v>481</v>
      </c>
      <c r="CU316">
        <v>546.54212638596005</v>
      </c>
      <c r="CV316">
        <v>385.64617372967803</v>
      </c>
      <c r="CW316">
        <v>138.630977484525</v>
      </c>
      <c r="CX316">
        <v>1178.9662000000001</v>
      </c>
      <c r="CY316">
        <v>831.89160000000004</v>
      </c>
      <c r="CZ316">
        <v>299.04599999999999</v>
      </c>
      <c r="DA316">
        <v>15347</v>
      </c>
      <c r="DE316">
        <v>1659</v>
      </c>
      <c r="DF316" t="s">
        <v>171</v>
      </c>
      <c r="DG316">
        <v>4855</v>
      </c>
      <c r="DH316">
        <v>4748</v>
      </c>
      <c r="DI316">
        <v>4669</v>
      </c>
      <c r="DJ316">
        <v>4635</v>
      </c>
      <c r="DK316">
        <v>4581</v>
      </c>
      <c r="DO316">
        <v>1685</v>
      </c>
      <c r="DP316" t="s">
        <v>172</v>
      </c>
      <c r="DQ316">
        <v>6382</v>
      </c>
      <c r="DR316">
        <v>1</v>
      </c>
      <c r="DS316">
        <v>458</v>
      </c>
      <c r="DV316">
        <v>737</v>
      </c>
      <c r="DW316" t="s">
        <v>300</v>
      </c>
      <c r="DX316">
        <v>4156.3973907175496</v>
      </c>
      <c r="DY316">
        <v>740</v>
      </c>
      <c r="DZ316">
        <v>710</v>
      </c>
      <c r="EA316">
        <v>438</v>
      </c>
      <c r="EB316">
        <v>2489</v>
      </c>
      <c r="EC316">
        <v>1580</v>
      </c>
      <c r="ED316">
        <v>602</v>
      </c>
      <c r="EE316" s="82">
        <v>0.186292698079457</v>
      </c>
      <c r="EF316" s="82">
        <v>0.51192710241985195</v>
      </c>
    </row>
    <row r="317" spans="1:136" x14ac:dyDescent="0.35">
      <c r="A317" s="72">
        <v>861</v>
      </c>
      <c r="B317" s="72">
        <v>10</v>
      </c>
      <c r="D317" s="72" t="s">
        <v>313</v>
      </c>
      <c r="E317" s="79">
        <v>4758000000</v>
      </c>
      <c r="F317" s="79">
        <v>899150000</v>
      </c>
      <c r="G317" s="79">
        <v>925400000</v>
      </c>
      <c r="H317" s="79">
        <v>45337</v>
      </c>
      <c r="I317" s="79">
        <v>1</v>
      </c>
      <c r="J317" s="79">
        <v>925.4</v>
      </c>
      <c r="K317" s="79">
        <v>8498</v>
      </c>
      <c r="L317" s="79">
        <v>9616</v>
      </c>
      <c r="M317" s="79">
        <v>3210</v>
      </c>
      <c r="N317" s="79">
        <v>5178</v>
      </c>
      <c r="O317" s="79">
        <v>3179.2</v>
      </c>
      <c r="P317" s="79">
        <v>550.33333333333303</v>
      </c>
      <c r="Q317" s="79">
        <v>2842.3333333333298</v>
      </c>
      <c r="R317" s="79">
        <v>1210</v>
      </c>
      <c r="S317" s="79">
        <v>0</v>
      </c>
      <c r="T317" s="79">
        <v>1325</v>
      </c>
      <c r="U317" s="79">
        <v>20559</v>
      </c>
      <c r="V317" s="79">
        <v>45980</v>
      </c>
      <c r="W317" s="79">
        <v>35090</v>
      </c>
      <c r="X317" s="79">
        <v>1170.22</v>
      </c>
      <c r="Y317" s="79">
        <v>1518.4</v>
      </c>
      <c r="Z317" s="79">
        <v>0</v>
      </c>
      <c r="AA317" s="79">
        <v>0</v>
      </c>
      <c r="AB317" s="79">
        <v>0</v>
      </c>
      <c r="AC317" s="79">
        <v>3168</v>
      </c>
      <c r="AD317" s="79">
        <v>3168</v>
      </c>
      <c r="AE317" s="79">
        <v>21</v>
      </c>
      <c r="AF317" s="79">
        <v>0</v>
      </c>
      <c r="AG317" s="79">
        <v>297</v>
      </c>
      <c r="AH317" s="79">
        <v>263</v>
      </c>
      <c r="AI317" s="79">
        <v>34</v>
      </c>
      <c r="AJ317" s="79">
        <v>19988</v>
      </c>
      <c r="AK317" s="79">
        <v>19988</v>
      </c>
      <c r="AL317" s="79">
        <v>0</v>
      </c>
      <c r="AM317" s="79">
        <v>0</v>
      </c>
      <c r="AN317" s="79">
        <v>0</v>
      </c>
      <c r="AO317" s="79">
        <v>0</v>
      </c>
      <c r="AP317" s="79">
        <v>0</v>
      </c>
      <c r="AQ317" s="79">
        <v>0</v>
      </c>
      <c r="AR317" s="80">
        <v>1.8201799999999999E-4</v>
      </c>
      <c r="AS317" s="80">
        <v>3.8190400000000002E-4</v>
      </c>
      <c r="AT317" s="79">
        <v>33499.887999999999</v>
      </c>
      <c r="AU317" s="79">
        <v>0</v>
      </c>
      <c r="AV317" s="79">
        <v>266</v>
      </c>
      <c r="AW317" s="79">
        <v>3781.6375039197201</v>
      </c>
      <c r="AX317" s="79">
        <v>5</v>
      </c>
      <c r="AY317" s="79">
        <v>5</v>
      </c>
      <c r="AZ317" s="79">
        <v>4362</v>
      </c>
      <c r="BA317" s="79">
        <v>1</v>
      </c>
      <c r="BB317" s="79">
        <v>0</v>
      </c>
      <c r="BC317" s="79">
        <v>0</v>
      </c>
      <c r="BD317" s="79">
        <v>0</v>
      </c>
      <c r="BE317" s="79">
        <v>0</v>
      </c>
      <c r="BF317" s="79">
        <v>0</v>
      </c>
      <c r="BG317" s="79">
        <v>0</v>
      </c>
      <c r="BH317" s="79">
        <v>0</v>
      </c>
      <c r="BI317" s="79">
        <v>0</v>
      </c>
      <c r="BJ317" s="79">
        <v>0</v>
      </c>
      <c r="BK317" s="79">
        <v>33</v>
      </c>
      <c r="BL317" s="79">
        <v>6294</v>
      </c>
      <c r="BM317" s="79">
        <v>263</v>
      </c>
      <c r="BN317" s="79">
        <v>34</v>
      </c>
      <c r="BO317">
        <v>9074</v>
      </c>
      <c r="BP317">
        <v>2325</v>
      </c>
      <c r="BQ317">
        <v>8972</v>
      </c>
      <c r="BR317">
        <v>2311</v>
      </c>
      <c r="BS317">
        <v>8885</v>
      </c>
      <c r="BT317">
        <v>2239</v>
      </c>
      <c r="BU317">
        <v>8785</v>
      </c>
      <c r="BV317">
        <v>2165</v>
      </c>
      <c r="BW317">
        <v>8767</v>
      </c>
      <c r="BX317">
        <v>2246</v>
      </c>
      <c r="BY317">
        <v>8727</v>
      </c>
      <c r="BZ317">
        <v>2229</v>
      </c>
      <c r="CB317">
        <v>798.81200000000001</v>
      </c>
      <c r="CC317">
        <v>77</v>
      </c>
      <c r="CD317">
        <v>89</v>
      </c>
      <c r="CE317">
        <v>14517.51</v>
      </c>
      <c r="CF317">
        <v>3576.27</v>
      </c>
      <c r="CG317">
        <v>214.245214695752</v>
      </c>
      <c r="CH317">
        <v>473</v>
      </c>
      <c r="CI317">
        <v>166.666666666667</v>
      </c>
      <c r="CJ317">
        <v>118.333333333333</v>
      </c>
      <c r="CK317" s="81">
        <v>2292</v>
      </c>
      <c r="CL317">
        <v>809</v>
      </c>
      <c r="CM317">
        <v>7020.91787621003</v>
      </c>
      <c r="CN317">
        <v>0.28499999999999998</v>
      </c>
      <c r="CO317">
        <v>35721</v>
      </c>
      <c r="CP317">
        <v>5328</v>
      </c>
      <c r="CQ317">
        <v>1078</v>
      </c>
      <c r="CR317">
        <v>1039</v>
      </c>
      <c r="CS317">
        <v>990</v>
      </c>
      <c r="CT317">
        <v>595</v>
      </c>
      <c r="CU317">
        <v>520.74748849309594</v>
      </c>
      <c r="CV317">
        <v>351.03534120472301</v>
      </c>
      <c r="CW317">
        <v>136.15145087052201</v>
      </c>
      <c r="CX317">
        <v>1276.8599999999999</v>
      </c>
      <c r="CY317">
        <v>860.73</v>
      </c>
      <c r="CZ317">
        <v>333.84</v>
      </c>
      <c r="DA317">
        <v>152737</v>
      </c>
      <c r="DE317">
        <v>1663</v>
      </c>
      <c r="DF317" t="s">
        <v>795</v>
      </c>
      <c r="DG317">
        <v>2161</v>
      </c>
      <c r="DH317">
        <v>2136</v>
      </c>
      <c r="DI317">
        <v>2123</v>
      </c>
      <c r="DJ317">
        <v>2104</v>
      </c>
      <c r="DK317">
        <v>2034</v>
      </c>
      <c r="DO317">
        <v>809</v>
      </c>
      <c r="DP317" t="s">
        <v>188</v>
      </c>
      <c r="DQ317">
        <v>10501</v>
      </c>
      <c r="DR317">
        <v>1</v>
      </c>
      <c r="DS317">
        <v>1046</v>
      </c>
      <c r="DV317">
        <v>856</v>
      </c>
      <c r="DW317" t="s">
        <v>301</v>
      </c>
      <c r="DX317">
        <v>5474.2189926780602</v>
      </c>
      <c r="DY317">
        <v>1044</v>
      </c>
      <c r="DZ317">
        <v>957</v>
      </c>
      <c r="EA317">
        <v>386</v>
      </c>
      <c r="EB317">
        <v>3103</v>
      </c>
      <c r="EC317">
        <v>1944</v>
      </c>
      <c r="ED317">
        <v>569</v>
      </c>
      <c r="EE317" s="82">
        <v>0.19281727695523199</v>
      </c>
      <c r="EF317" s="82">
        <v>0.44529638226801799</v>
      </c>
    </row>
    <row r="318" spans="1:136" x14ac:dyDescent="0.35">
      <c r="A318" s="72">
        <v>865</v>
      </c>
      <c r="B318" s="72">
        <v>10</v>
      </c>
      <c r="D318" s="72" t="s">
        <v>324</v>
      </c>
      <c r="E318" s="79">
        <v>3312000000</v>
      </c>
      <c r="F318" s="79">
        <v>432600000</v>
      </c>
      <c r="G318" s="79">
        <v>490000000</v>
      </c>
      <c r="H318" s="79">
        <v>26396</v>
      </c>
      <c r="I318" s="79">
        <v>1</v>
      </c>
      <c r="J318" s="79">
        <v>490</v>
      </c>
      <c r="K318" s="79">
        <v>5511</v>
      </c>
      <c r="L318" s="79">
        <v>5474</v>
      </c>
      <c r="M318" s="79">
        <v>1663</v>
      </c>
      <c r="N318" s="79">
        <v>3143</v>
      </c>
      <c r="O318" s="79">
        <v>1944.3</v>
      </c>
      <c r="P318" s="79">
        <v>281</v>
      </c>
      <c r="Q318" s="79">
        <v>1704</v>
      </c>
      <c r="R318" s="79">
        <v>630</v>
      </c>
      <c r="S318" s="79">
        <v>0</v>
      </c>
      <c r="T318" s="79">
        <v>778</v>
      </c>
      <c r="U318" s="79">
        <v>12259</v>
      </c>
      <c r="V318" s="79">
        <v>25500</v>
      </c>
      <c r="W318" s="79">
        <v>13440</v>
      </c>
      <c r="X318" s="79">
        <v>1881.9978000000001</v>
      </c>
      <c r="Y318" s="79">
        <v>1602.4</v>
      </c>
      <c r="Z318" s="79">
        <v>0</v>
      </c>
      <c r="AA318" s="79">
        <v>0</v>
      </c>
      <c r="AB318" s="79">
        <v>0</v>
      </c>
      <c r="AC318" s="79">
        <v>3343</v>
      </c>
      <c r="AD318" s="79">
        <v>3343</v>
      </c>
      <c r="AE318" s="79">
        <v>101</v>
      </c>
      <c r="AF318" s="79">
        <v>0</v>
      </c>
      <c r="AG318" s="79">
        <v>157</v>
      </c>
      <c r="AH318" s="79">
        <v>138</v>
      </c>
      <c r="AI318" s="79">
        <v>19</v>
      </c>
      <c r="AJ318" s="79">
        <v>11987</v>
      </c>
      <c r="AK318" s="79">
        <v>11987</v>
      </c>
      <c r="AL318" s="79">
        <v>0</v>
      </c>
      <c r="AM318" s="79">
        <v>0</v>
      </c>
      <c r="AN318" s="79">
        <v>0</v>
      </c>
      <c r="AO318" s="79">
        <v>0</v>
      </c>
      <c r="AP318" s="79">
        <v>1311</v>
      </c>
      <c r="AQ318" s="79">
        <v>0</v>
      </c>
      <c r="AR318" s="80">
        <v>3.47614E-4</v>
      </c>
      <c r="AS318" s="80">
        <v>2.0203699999999999E-4</v>
      </c>
      <c r="AT318" s="79">
        <v>15511.178</v>
      </c>
      <c r="AU318" s="79">
        <v>0</v>
      </c>
      <c r="AV318" s="79">
        <v>1012</v>
      </c>
      <c r="AW318" s="79">
        <v>7756.3159117305504</v>
      </c>
      <c r="AX318" s="79">
        <v>3</v>
      </c>
      <c r="AY318" s="79">
        <v>3</v>
      </c>
      <c r="AZ318" s="79">
        <v>3590</v>
      </c>
      <c r="BA318" s="79">
        <v>1</v>
      </c>
      <c r="BB318" s="79">
        <v>0</v>
      </c>
      <c r="BC318" s="79">
        <v>0</v>
      </c>
      <c r="BD318" s="79">
        <v>0</v>
      </c>
      <c r="BE318" s="79">
        <v>0</v>
      </c>
      <c r="BF318" s="79">
        <v>0</v>
      </c>
      <c r="BG318" s="79">
        <v>0</v>
      </c>
      <c r="BH318" s="79">
        <v>0</v>
      </c>
      <c r="BI318" s="79">
        <v>0</v>
      </c>
      <c r="BJ318" s="79">
        <v>0</v>
      </c>
      <c r="BK318" s="79">
        <v>70</v>
      </c>
      <c r="BL318" s="79">
        <v>3751</v>
      </c>
      <c r="BM318" s="79">
        <v>138</v>
      </c>
      <c r="BN318" s="79">
        <v>19</v>
      </c>
      <c r="BO318">
        <v>5660</v>
      </c>
      <c r="BP318">
        <v>2071</v>
      </c>
      <c r="BQ318">
        <v>5613</v>
      </c>
      <c r="BR318">
        <v>2028</v>
      </c>
      <c r="BS318">
        <v>5638</v>
      </c>
      <c r="BT318">
        <v>1938</v>
      </c>
      <c r="BU318">
        <v>5624</v>
      </c>
      <c r="BV318">
        <v>1921</v>
      </c>
      <c r="BW318">
        <v>5459</v>
      </c>
      <c r="BX318">
        <v>1907</v>
      </c>
      <c r="BY318">
        <v>5378</v>
      </c>
      <c r="BZ318">
        <v>1818</v>
      </c>
      <c r="CB318">
        <v>429.858</v>
      </c>
      <c r="CC318">
        <v>45</v>
      </c>
      <c r="CD318">
        <v>44</v>
      </c>
      <c r="CE318">
        <v>9054.99</v>
      </c>
      <c r="CF318">
        <v>2554.25</v>
      </c>
      <c r="CG318">
        <v>161.78189609432599</v>
      </c>
      <c r="CH318">
        <v>298</v>
      </c>
      <c r="CI318">
        <v>67.3333333333333</v>
      </c>
      <c r="CJ318">
        <v>60.3333333333333</v>
      </c>
      <c r="CK318" s="81">
        <v>1423</v>
      </c>
      <c r="CL318">
        <v>513</v>
      </c>
      <c r="CM318">
        <v>3532.85454279444</v>
      </c>
      <c r="CN318">
        <v>0.129</v>
      </c>
      <c r="CO318">
        <v>20922</v>
      </c>
      <c r="CP318">
        <v>3047</v>
      </c>
      <c r="CQ318">
        <v>764</v>
      </c>
      <c r="CR318">
        <v>697</v>
      </c>
      <c r="CS318">
        <v>606</v>
      </c>
      <c r="CT318">
        <v>351</v>
      </c>
      <c r="CU318">
        <v>310.93877533995197</v>
      </c>
      <c r="CV318">
        <v>183.93561358138001</v>
      </c>
      <c r="CW318">
        <v>78.505147242846405</v>
      </c>
      <c r="CX318">
        <v>572.79960000000005</v>
      </c>
      <c r="CY318">
        <v>338.83920000000001</v>
      </c>
      <c r="CZ318">
        <v>144.61920000000001</v>
      </c>
      <c r="DA318">
        <v>167518</v>
      </c>
      <c r="DE318">
        <v>1667</v>
      </c>
      <c r="DF318" t="s">
        <v>253</v>
      </c>
      <c r="DG318">
        <v>2626</v>
      </c>
      <c r="DH318">
        <v>2595</v>
      </c>
      <c r="DI318">
        <v>2576</v>
      </c>
      <c r="DJ318">
        <v>2573</v>
      </c>
      <c r="DK318">
        <v>2558</v>
      </c>
      <c r="DO318">
        <v>1948</v>
      </c>
      <c r="DP318" t="s">
        <v>198</v>
      </c>
      <c r="DQ318">
        <v>33922</v>
      </c>
      <c r="DR318">
        <v>1</v>
      </c>
      <c r="DS318">
        <v>970</v>
      </c>
      <c r="DV318">
        <v>450</v>
      </c>
      <c r="DW318" t="s">
        <v>302</v>
      </c>
      <c r="DX318">
        <v>1233.2457749011101</v>
      </c>
      <c r="DY318">
        <v>246</v>
      </c>
      <c r="DZ318">
        <v>233</v>
      </c>
      <c r="EA318">
        <v>131</v>
      </c>
      <c r="EB318">
        <v>855</v>
      </c>
      <c r="EC318">
        <v>512</v>
      </c>
      <c r="ED318">
        <v>177</v>
      </c>
      <c r="EE318" s="82">
        <v>0.114105169253666</v>
      </c>
      <c r="EF318" s="82">
        <v>0.36295171754800198</v>
      </c>
    </row>
    <row r="319" spans="1:136" x14ac:dyDescent="0.35">
      <c r="A319" s="72">
        <v>866</v>
      </c>
      <c r="B319" s="72">
        <v>10</v>
      </c>
      <c r="D319" s="72" t="s">
        <v>326</v>
      </c>
      <c r="E319" s="79">
        <v>2023200000</v>
      </c>
      <c r="F319" s="79">
        <v>156450000</v>
      </c>
      <c r="G319" s="79">
        <v>162400000</v>
      </c>
      <c r="H319" s="79">
        <v>17247</v>
      </c>
      <c r="I319" s="79">
        <v>1</v>
      </c>
      <c r="J319" s="79">
        <v>162.4</v>
      </c>
      <c r="K319" s="79">
        <v>3537</v>
      </c>
      <c r="L319" s="79">
        <v>4144</v>
      </c>
      <c r="M319" s="79">
        <v>1409</v>
      </c>
      <c r="N319" s="79">
        <v>1741</v>
      </c>
      <c r="O319" s="79">
        <v>978</v>
      </c>
      <c r="P319" s="79">
        <v>200</v>
      </c>
      <c r="Q319" s="79">
        <v>725</v>
      </c>
      <c r="R319" s="79">
        <v>425</v>
      </c>
      <c r="S319" s="79">
        <v>0</v>
      </c>
      <c r="T319" s="79">
        <v>497</v>
      </c>
      <c r="U319" s="79">
        <v>7544</v>
      </c>
      <c r="V319" s="79">
        <v>14040</v>
      </c>
      <c r="W319" s="79">
        <v>4270</v>
      </c>
      <c r="X319" s="79">
        <v>0</v>
      </c>
      <c r="Y319" s="79">
        <v>0</v>
      </c>
      <c r="Z319" s="79">
        <v>0</v>
      </c>
      <c r="AA319" s="79">
        <v>0</v>
      </c>
      <c r="AB319" s="79">
        <v>0</v>
      </c>
      <c r="AC319" s="79">
        <v>2241</v>
      </c>
      <c r="AD319" s="79">
        <v>2241</v>
      </c>
      <c r="AE319" s="79">
        <v>25</v>
      </c>
      <c r="AF319" s="79">
        <v>0</v>
      </c>
      <c r="AG319" s="79">
        <v>104</v>
      </c>
      <c r="AH319" s="79">
        <v>94</v>
      </c>
      <c r="AI319" s="79">
        <v>10</v>
      </c>
      <c r="AJ319" s="79">
        <v>7630</v>
      </c>
      <c r="AK319" s="79">
        <v>7630</v>
      </c>
      <c r="AL319" s="79">
        <v>0</v>
      </c>
      <c r="AM319" s="79">
        <v>0</v>
      </c>
      <c r="AN319" s="79">
        <v>0</v>
      </c>
      <c r="AO319" s="79">
        <v>0</v>
      </c>
      <c r="AP319" s="79">
        <v>559</v>
      </c>
      <c r="AQ319" s="79">
        <v>0</v>
      </c>
      <c r="AR319" s="80">
        <v>1.1101E-4</v>
      </c>
      <c r="AS319" s="80">
        <v>9.2660999999999999E-5</v>
      </c>
      <c r="AT319" s="79">
        <v>6378.68</v>
      </c>
      <c r="AU319" s="79">
        <v>0</v>
      </c>
      <c r="AV319" s="79">
        <v>339</v>
      </c>
      <c r="AW319" s="79">
        <v>2580.19991173875</v>
      </c>
      <c r="AX319" s="79">
        <v>1</v>
      </c>
      <c r="AY319" s="79">
        <v>1</v>
      </c>
      <c r="AZ319" s="79">
        <v>2065</v>
      </c>
      <c r="BA319" s="79">
        <v>1</v>
      </c>
      <c r="BB319" s="79">
        <v>0</v>
      </c>
      <c r="BC319" s="79">
        <v>0</v>
      </c>
      <c r="BD319" s="79">
        <v>0</v>
      </c>
      <c r="BE319" s="79">
        <v>0</v>
      </c>
      <c r="BF319" s="79">
        <v>0</v>
      </c>
      <c r="BG319" s="79">
        <v>0</v>
      </c>
      <c r="BH319" s="79">
        <v>0</v>
      </c>
      <c r="BI319" s="79">
        <v>0</v>
      </c>
      <c r="BJ319" s="79">
        <v>0</v>
      </c>
      <c r="BK319" s="79">
        <v>11</v>
      </c>
      <c r="BL319" s="79">
        <v>2239</v>
      </c>
      <c r="BM319" s="79">
        <v>94</v>
      </c>
      <c r="BN319" s="79">
        <v>10</v>
      </c>
      <c r="BO319">
        <v>3806</v>
      </c>
      <c r="BP319">
        <v>0</v>
      </c>
      <c r="BQ319">
        <v>3763</v>
      </c>
      <c r="BR319">
        <v>0</v>
      </c>
      <c r="BS319">
        <v>3668</v>
      </c>
      <c r="BT319">
        <v>0</v>
      </c>
      <c r="BU319">
        <v>3599</v>
      </c>
      <c r="BV319">
        <v>0</v>
      </c>
      <c r="BW319">
        <v>3638</v>
      </c>
      <c r="BX319">
        <v>0</v>
      </c>
      <c r="BY319">
        <v>3583</v>
      </c>
      <c r="BZ319">
        <v>0</v>
      </c>
      <c r="CB319">
        <v>279.423</v>
      </c>
      <c r="CC319">
        <v>18</v>
      </c>
      <c r="CD319">
        <v>14</v>
      </c>
      <c r="CE319">
        <v>6878.84</v>
      </c>
      <c r="CF319">
        <v>1680.84</v>
      </c>
      <c r="CG319">
        <v>94.594804511278198</v>
      </c>
      <c r="CH319">
        <v>179</v>
      </c>
      <c r="CI319">
        <v>58.3333333333333</v>
      </c>
      <c r="CJ319">
        <v>45.3333333333333</v>
      </c>
      <c r="CK319" s="81">
        <v>525</v>
      </c>
      <c r="CL319">
        <v>97</v>
      </c>
      <c r="CM319">
        <v>2193.7316736180501</v>
      </c>
      <c r="CN319">
        <v>0.108</v>
      </c>
      <c r="CO319">
        <v>13103</v>
      </c>
      <c r="CP319">
        <v>2165</v>
      </c>
      <c r="CQ319">
        <v>570</v>
      </c>
      <c r="CR319">
        <v>400</v>
      </c>
      <c r="CS319">
        <v>473</v>
      </c>
      <c r="CT319">
        <v>293</v>
      </c>
      <c r="CU319">
        <v>168.55439056356499</v>
      </c>
      <c r="CV319">
        <v>126.255570117955</v>
      </c>
      <c r="CW319">
        <v>55.501179554390603</v>
      </c>
      <c r="CX319">
        <v>342.952</v>
      </c>
      <c r="CY319">
        <v>256.88799999999998</v>
      </c>
      <c r="CZ319">
        <v>112.9264</v>
      </c>
      <c r="DA319">
        <v>0</v>
      </c>
      <c r="DE319">
        <v>1669</v>
      </c>
      <c r="DF319" t="s">
        <v>259</v>
      </c>
      <c r="DG319">
        <v>3946</v>
      </c>
      <c r="DH319">
        <v>3923</v>
      </c>
      <c r="DI319">
        <v>3802</v>
      </c>
      <c r="DJ319">
        <v>3706</v>
      </c>
      <c r="DK319">
        <v>3656</v>
      </c>
      <c r="DO319">
        <v>815</v>
      </c>
      <c r="DP319" t="s">
        <v>204</v>
      </c>
      <c r="DQ319">
        <v>4566</v>
      </c>
      <c r="DR319">
        <v>1</v>
      </c>
      <c r="DS319">
        <v>315</v>
      </c>
      <c r="DV319">
        <v>451</v>
      </c>
      <c r="DW319" t="s">
        <v>303</v>
      </c>
      <c r="DX319">
        <v>3377.8846637335</v>
      </c>
      <c r="DY319">
        <v>675</v>
      </c>
      <c r="DZ319">
        <v>655</v>
      </c>
      <c r="EA319">
        <v>368</v>
      </c>
      <c r="EB319">
        <v>1853</v>
      </c>
      <c r="EC319">
        <v>1308</v>
      </c>
      <c r="ED319">
        <v>509</v>
      </c>
      <c r="EE319" s="82">
        <v>0.16013744041074299</v>
      </c>
      <c r="EF319" s="82">
        <v>0.37291119083034402</v>
      </c>
    </row>
    <row r="320" spans="1:136" x14ac:dyDescent="0.35">
      <c r="A320" s="72">
        <v>867</v>
      </c>
      <c r="B320" s="72">
        <v>10</v>
      </c>
      <c r="D320" s="72" t="s">
        <v>327</v>
      </c>
      <c r="E320" s="79">
        <v>4048000000</v>
      </c>
      <c r="F320" s="79">
        <v>1109150000</v>
      </c>
      <c r="G320" s="79">
        <v>1135400000</v>
      </c>
      <c r="H320" s="79">
        <v>48240</v>
      </c>
      <c r="I320" s="79">
        <v>2</v>
      </c>
      <c r="J320" s="79">
        <v>1135.4000000000001</v>
      </c>
      <c r="K320" s="79">
        <v>9062</v>
      </c>
      <c r="L320" s="79">
        <v>10136</v>
      </c>
      <c r="M320" s="79">
        <v>3252</v>
      </c>
      <c r="N320" s="79">
        <v>6932</v>
      </c>
      <c r="O320" s="79">
        <v>4748.2</v>
      </c>
      <c r="P320" s="79">
        <v>783.33333333333303</v>
      </c>
      <c r="Q320" s="79">
        <v>3128.3333333333298</v>
      </c>
      <c r="R320" s="79">
        <v>2900</v>
      </c>
      <c r="S320" s="79">
        <v>0</v>
      </c>
      <c r="T320" s="79">
        <v>1477</v>
      </c>
      <c r="U320" s="79">
        <v>22092</v>
      </c>
      <c r="V320" s="79">
        <v>51160</v>
      </c>
      <c r="W320" s="79">
        <v>40180</v>
      </c>
      <c r="X320" s="79">
        <v>764.28</v>
      </c>
      <c r="Y320" s="79">
        <v>3369.6</v>
      </c>
      <c r="Z320" s="79">
        <v>0</v>
      </c>
      <c r="AA320" s="79">
        <v>0</v>
      </c>
      <c r="AB320" s="79">
        <v>109</v>
      </c>
      <c r="AC320" s="79">
        <v>6449</v>
      </c>
      <c r="AD320" s="79">
        <v>6449</v>
      </c>
      <c r="AE320" s="79">
        <v>315</v>
      </c>
      <c r="AF320" s="79">
        <v>0</v>
      </c>
      <c r="AG320" s="79">
        <v>427</v>
      </c>
      <c r="AH320" s="79">
        <v>337</v>
      </c>
      <c r="AI320" s="79">
        <v>90</v>
      </c>
      <c r="AJ320" s="79">
        <v>21838</v>
      </c>
      <c r="AK320" s="79">
        <v>21838</v>
      </c>
      <c r="AL320" s="79">
        <v>0</v>
      </c>
      <c r="AM320" s="79">
        <v>0</v>
      </c>
      <c r="AN320" s="79">
        <v>0</v>
      </c>
      <c r="AO320" s="79">
        <v>0</v>
      </c>
      <c r="AP320" s="79">
        <v>1316</v>
      </c>
      <c r="AQ320" s="79">
        <v>0</v>
      </c>
      <c r="AR320" s="80">
        <v>6.2302500000000003E-4</v>
      </c>
      <c r="AS320" s="80">
        <v>6.6022499999999996E-4</v>
      </c>
      <c r="AT320" s="79">
        <v>28433.076000000001</v>
      </c>
      <c r="AU320" s="79">
        <v>0</v>
      </c>
      <c r="AV320" s="79">
        <v>2174</v>
      </c>
      <c r="AW320" s="79">
        <v>15504.695446481401</v>
      </c>
      <c r="AX320" s="79">
        <v>3</v>
      </c>
      <c r="AY320" s="79">
        <v>3</v>
      </c>
      <c r="AZ320" s="79">
        <v>5558</v>
      </c>
      <c r="BA320" s="79">
        <v>1</v>
      </c>
      <c r="BB320" s="79">
        <v>0</v>
      </c>
      <c r="BC320" s="79">
        <v>0</v>
      </c>
      <c r="BD320" s="79">
        <v>0</v>
      </c>
      <c r="BE320" s="79">
        <v>0</v>
      </c>
      <c r="BF320" s="79">
        <v>0</v>
      </c>
      <c r="BG320" s="79">
        <v>0</v>
      </c>
      <c r="BH320" s="79">
        <v>0</v>
      </c>
      <c r="BI320" s="79">
        <v>0</v>
      </c>
      <c r="BJ320" s="79">
        <v>0</v>
      </c>
      <c r="BK320" s="79">
        <v>87</v>
      </c>
      <c r="BL320" s="79">
        <v>7265</v>
      </c>
      <c r="BM320" s="79">
        <v>337</v>
      </c>
      <c r="BN320" s="79">
        <v>90</v>
      </c>
      <c r="BO320">
        <v>9444</v>
      </c>
      <c r="BP320">
        <v>3730</v>
      </c>
      <c r="BQ320">
        <v>9340</v>
      </c>
      <c r="BR320">
        <v>3821</v>
      </c>
      <c r="BS320">
        <v>9326</v>
      </c>
      <c r="BT320">
        <v>4009</v>
      </c>
      <c r="BU320">
        <v>9258</v>
      </c>
      <c r="BV320">
        <v>4161</v>
      </c>
      <c r="BW320">
        <v>9169</v>
      </c>
      <c r="BX320">
        <v>4256</v>
      </c>
      <c r="BY320">
        <v>9044</v>
      </c>
      <c r="BZ320">
        <v>4410</v>
      </c>
      <c r="CB320">
        <v>960.572</v>
      </c>
      <c r="CC320">
        <v>193</v>
      </c>
      <c r="CD320">
        <v>134</v>
      </c>
      <c r="CE320">
        <v>14260.62</v>
      </c>
      <c r="CF320">
        <v>3326.08</v>
      </c>
      <c r="CG320">
        <v>325.29026761722002</v>
      </c>
      <c r="CH320">
        <v>494</v>
      </c>
      <c r="CI320">
        <v>223.333333333333</v>
      </c>
      <c r="CJ320">
        <v>195.333333333333</v>
      </c>
      <c r="CK320" s="81">
        <v>2345</v>
      </c>
      <c r="CL320">
        <v>493</v>
      </c>
      <c r="CM320">
        <v>8566.9627443057398</v>
      </c>
      <c r="CN320">
        <v>1.2649999999999999</v>
      </c>
      <c r="CO320">
        <v>38104</v>
      </c>
      <c r="CP320">
        <v>5866</v>
      </c>
      <c r="CQ320">
        <v>1018</v>
      </c>
      <c r="CR320">
        <v>1183</v>
      </c>
      <c r="CS320">
        <v>1115</v>
      </c>
      <c r="CT320">
        <v>492</v>
      </c>
      <c r="CU320">
        <v>789.91714442714499</v>
      </c>
      <c r="CV320">
        <v>494.43203590072397</v>
      </c>
      <c r="CW320">
        <v>149.373266782672</v>
      </c>
      <c r="CX320">
        <v>1704.6035999999999</v>
      </c>
      <c r="CY320">
        <v>1066.9608000000001</v>
      </c>
      <c r="CZ320">
        <v>322.34039999999999</v>
      </c>
      <c r="DA320">
        <v>24872</v>
      </c>
      <c r="DE320">
        <v>1674</v>
      </c>
      <c r="DF320" t="s">
        <v>261</v>
      </c>
      <c r="DG320">
        <v>16148</v>
      </c>
      <c r="DH320">
        <v>16073</v>
      </c>
      <c r="DI320">
        <v>15904</v>
      </c>
      <c r="DJ320">
        <v>15711</v>
      </c>
      <c r="DK320">
        <v>15451</v>
      </c>
      <c r="DO320">
        <v>1709</v>
      </c>
      <c r="DP320" t="s">
        <v>205</v>
      </c>
      <c r="DQ320">
        <v>16385</v>
      </c>
      <c r="DR320">
        <v>1.0900000000000001</v>
      </c>
      <c r="DS320">
        <v>747</v>
      </c>
      <c r="DV320">
        <v>184</v>
      </c>
      <c r="DW320" t="s">
        <v>304</v>
      </c>
      <c r="DX320">
        <v>1364.1513594164501</v>
      </c>
      <c r="DY320">
        <v>209</v>
      </c>
      <c r="DZ320">
        <v>212</v>
      </c>
      <c r="EA320">
        <v>78</v>
      </c>
      <c r="EB320">
        <v>739</v>
      </c>
      <c r="EC320">
        <v>410</v>
      </c>
      <c r="ED320">
        <v>101</v>
      </c>
      <c r="EE320" s="82">
        <v>0.11271656937727199</v>
      </c>
      <c r="EF320" s="82">
        <v>0.50750240615976905</v>
      </c>
    </row>
    <row r="321" spans="1:136" x14ac:dyDescent="0.35">
      <c r="A321" s="72">
        <v>873</v>
      </c>
      <c r="B321" s="72">
        <v>10</v>
      </c>
      <c r="D321" s="72" t="s">
        <v>348</v>
      </c>
      <c r="E321" s="79">
        <v>1890000000</v>
      </c>
      <c r="F321" s="79">
        <v>399000000</v>
      </c>
      <c r="G321" s="79">
        <v>428750000</v>
      </c>
      <c r="H321" s="79">
        <v>21866</v>
      </c>
      <c r="I321" s="79">
        <v>4</v>
      </c>
      <c r="J321" s="79">
        <v>428.75</v>
      </c>
      <c r="K321" s="79">
        <v>3820</v>
      </c>
      <c r="L321" s="79">
        <v>5275</v>
      </c>
      <c r="M321" s="79">
        <v>1754</v>
      </c>
      <c r="N321" s="79">
        <v>2665</v>
      </c>
      <c r="O321" s="79">
        <v>1620.1</v>
      </c>
      <c r="P321" s="79">
        <v>287</v>
      </c>
      <c r="Q321" s="79">
        <v>1136</v>
      </c>
      <c r="R321" s="79">
        <v>410</v>
      </c>
      <c r="S321" s="79">
        <v>0</v>
      </c>
      <c r="T321" s="79">
        <v>631</v>
      </c>
      <c r="U321" s="79">
        <v>9898</v>
      </c>
      <c r="V321" s="79">
        <v>20030</v>
      </c>
      <c r="W321" s="79">
        <v>5790</v>
      </c>
      <c r="X321" s="79">
        <v>179.92</v>
      </c>
      <c r="Y321" s="79">
        <v>512</v>
      </c>
      <c r="Z321" s="79">
        <v>0</v>
      </c>
      <c r="AA321" s="79">
        <v>0</v>
      </c>
      <c r="AB321" s="79">
        <v>140.6</v>
      </c>
      <c r="AC321" s="79">
        <v>9139</v>
      </c>
      <c r="AD321" s="79">
        <v>9687.34</v>
      </c>
      <c r="AE321" s="79">
        <v>58</v>
      </c>
      <c r="AF321" s="79">
        <v>0</v>
      </c>
      <c r="AG321" s="79">
        <v>210</v>
      </c>
      <c r="AH321" s="79">
        <v>155</v>
      </c>
      <c r="AI321" s="79">
        <v>57.78</v>
      </c>
      <c r="AJ321" s="79">
        <v>10449</v>
      </c>
      <c r="AK321" s="79">
        <v>10449</v>
      </c>
      <c r="AL321" s="79">
        <v>0</v>
      </c>
      <c r="AM321" s="79">
        <v>0</v>
      </c>
      <c r="AN321" s="79">
        <v>0</v>
      </c>
      <c r="AO321" s="79">
        <v>0</v>
      </c>
      <c r="AP321" s="79">
        <v>0</v>
      </c>
      <c r="AQ321" s="79">
        <v>0</v>
      </c>
      <c r="AR321" s="80">
        <v>1.8531600000000001E-4</v>
      </c>
      <c r="AS321" s="80">
        <v>1.19698E-4</v>
      </c>
      <c r="AT321" s="79">
        <v>6927.6869999999999</v>
      </c>
      <c r="AU321" s="79">
        <v>0</v>
      </c>
      <c r="AV321" s="79">
        <v>629.64</v>
      </c>
      <c r="AW321" s="79">
        <v>1895.16428400565</v>
      </c>
      <c r="AX321" s="79">
        <v>6</v>
      </c>
      <c r="AY321" s="79">
        <v>6.42</v>
      </c>
      <c r="AZ321" s="79">
        <v>2007</v>
      </c>
      <c r="BA321" s="79">
        <v>1</v>
      </c>
      <c r="BB321" s="79">
        <v>0</v>
      </c>
      <c r="BC321" s="79">
        <v>0</v>
      </c>
      <c r="BD321" s="79">
        <v>0</v>
      </c>
      <c r="BE321" s="79">
        <v>0</v>
      </c>
      <c r="BF321" s="79">
        <v>0</v>
      </c>
      <c r="BG321" s="79">
        <v>0</v>
      </c>
      <c r="BH321" s="79">
        <v>0</v>
      </c>
      <c r="BI321" s="79">
        <v>0</v>
      </c>
      <c r="BJ321" s="79">
        <v>0</v>
      </c>
      <c r="BK321" s="79">
        <v>8</v>
      </c>
      <c r="BL321" s="79">
        <v>2720</v>
      </c>
      <c r="BM321" s="79">
        <v>155</v>
      </c>
      <c r="BN321" s="79">
        <v>54</v>
      </c>
      <c r="BO321">
        <v>4289</v>
      </c>
      <c r="BP321">
        <v>454</v>
      </c>
      <c r="BQ321">
        <v>4230</v>
      </c>
      <c r="BR321">
        <v>437</v>
      </c>
      <c r="BS321">
        <v>4215</v>
      </c>
      <c r="BT321">
        <v>431</v>
      </c>
      <c r="BU321">
        <v>4176</v>
      </c>
      <c r="BV321">
        <v>410</v>
      </c>
      <c r="BW321">
        <v>4094</v>
      </c>
      <c r="BX321">
        <v>395</v>
      </c>
      <c r="BY321">
        <v>4035</v>
      </c>
      <c r="BZ321">
        <v>392</v>
      </c>
      <c r="CB321">
        <v>397.28</v>
      </c>
      <c r="CC321">
        <v>89</v>
      </c>
      <c r="CD321">
        <v>54</v>
      </c>
      <c r="CE321">
        <v>6606.06</v>
      </c>
      <c r="CF321">
        <v>1479.04</v>
      </c>
      <c r="CG321">
        <v>66.482670267026705</v>
      </c>
      <c r="CH321">
        <v>209</v>
      </c>
      <c r="CI321">
        <v>91.6666666666667</v>
      </c>
      <c r="CJ321">
        <v>75.3333333333333</v>
      </c>
      <c r="CK321" s="81">
        <v>849</v>
      </c>
      <c r="CL321">
        <v>191</v>
      </c>
      <c r="CM321">
        <v>3808.2056341665898</v>
      </c>
      <c r="CN321">
        <v>0.44</v>
      </c>
      <c r="CO321">
        <v>16591</v>
      </c>
      <c r="CP321">
        <v>3040</v>
      </c>
      <c r="CQ321">
        <v>481</v>
      </c>
      <c r="CR321">
        <v>547</v>
      </c>
      <c r="CS321">
        <v>508</v>
      </c>
      <c r="CT321">
        <v>219</v>
      </c>
      <c r="CU321">
        <v>280.63747727055198</v>
      </c>
      <c r="CV321">
        <v>187.76352761029801</v>
      </c>
      <c r="CW321">
        <v>49.925562254761203</v>
      </c>
      <c r="CX321">
        <v>805.99300000000005</v>
      </c>
      <c r="CY321">
        <v>539.25829999999996</v>
      </c>
      <c r="CZ321">
        <v>143.38659999999999</v>
      </c>
      <c r="DA321">
        <v>7938</v>
      </c>
      <c r="DE321">
        <v>1676</v>
      </c>
      <c r="DF321" t="s">
        <v>269</v>
      </c>
      <c r="DG321">
        <v>6750</v>
      </c>
      <c r="DH321">
        <v>6718</v>
      </c>
      <c r="DI321">
        <v>6703</v>
      </c>
      <c r="DJ321">
        <v>6537</v>
      </c>
      <c r="DK321">
        <v>6419</v>
      </c>
      <c r="DO321">
        <v>820</v>
      </c>
      <c r="DP321" t="s">
        <v>222</v>
      </c>
      <c r="DQ321">
        <v>10171</v>
      </c>
      <c r="DR321">
        <v>1</v>
      </c>
      <c r="DS321">
        <v>1115</v>
      </c>
      <c r="DV321">
        <v>344</v>
      </c>
      <c r="DW321" t="s">
        <v>305</v>
      </c>
      <c r="DX321">
        <v>47451.487168161599</v>
      </c>
      <c r="DY321">
        <v>6917</v>
      </c>
      <c r="DZ321">
        <v>4487</v>
      </c>
      <c r="EA321">
        <v>2273</v>
      </c>
      <c r="EB321">
        <v>14143</v>
      </c>
      <c r="EC321">
        <v>8160</v>
      </c>
      <c r="ED321">
        <v>3024</v>
      </c>
      <c r="EE321" s="82">
        <v>0.20047800891692999</v>
      </c>
      <c r="EF321" s="82">
        <v>0.41502120714199497</v>
      </c>
    </row>
    <row r="322" spans="1:136" x14ac:dyDescent="0.35">
      <c r="A322" s="72">
        <v>879</v>
      </c>
      <c r="B322" s="72">
        <v>10</v>
      </c>
      <c r="D322" s="72" t="s">
        <v>361</v>
      </c>
      <c r="E322" s="79">
        <v>2099600000</v>
      </c>
      <c r="F322" s="79">
        <v>253750000</v>
      </c>
      <c r="G322" s="79">
        <v>305900000</v>
      </c>
      <c r="H322" s="79">
        <v>21612</v>
      </c>
      <c r="I322" s="79">
        <v>2</v>
      </c>
      <c r="J322" s="79">
        <v>305.89999999999998</v>
      </c>
      <c r="K322" s="79">
        <v>3578</v>
      </c>
      <c r="L322" s="79">
        <v>4731</v>
      </c>
      <c r="M322" s="79">
        <v>1431</v>
      </c>
      <c r="N322" s="79">
        <v>2654</v>
      </c>
      <c r="O322" s="79">
        <v>1693.7</v>
      </c>
      <c r="P322" s="79">
        <v>216.666666666667</v>
      </c>
      <c r="Q322" s="79">
        <v>1160.6666666666699</v>
      </c>
      <c r="R322" s="79">
        <v>465</v>
      </c>
      <c r="S322" s="79">
        <v>0</v>
      </c>
      <c r="T322" s="79">
        <v>486</v>
      </c>
      <c r="U322" s="79">
        <v>9829</v>
      </c>
      <c r="V322" s="79">
        <v>18110</v>
      </c>
      <c r="W322" s="79">
        <v>4850</v>
      </c>
      <c r="X322" s="79">
        <v>505.16</v>
      </c>
      <c r="Y322" s="79">
        <v>248</v>
      </c>
      <c r="Z322" s="79">
        <v>0</v>
      </c>
      <c r="AA322" s="79">
        <v>0</v>
      </c>
      <c r="AB322" s="79">
        <v>0</v>
      </c>
      <c r="AC322" s="79">
        <v>12059</v>
      </c>
      <c r="AD322" s="79">
        <v>12059</v>
      </c>
      <c r="AE322" s="79">
        <v>61</v>
      </c>
      <c r="AF322" s="79">
        <v>0</v>
      </c>
      <c r="AG322" s="79">
        <v>246</v>
      </c>
      <c r="AH322" s="79">
        <v>107</v>
      </c>
      <c r="AI322" s="79">
        <v>138</v>
      </c>
      <c r="AJ322" s="79">
        <v>9603</v>
      </c>
      <c r="AK322" s="79">
        <v>9603</v>
      </c>
      <c r="AL322" s="79">
        <v>0</v>
      </c>
      <c r="AM322" s="79">
        <v>0</v>
      </c>
      <c r="AN322" s="79">
        <v>0</v>
      </c>
      <c r="AO322" s="79">
        <v>0</v>
      </c>
      <c r="AP322" s="79">
        <v>0</v>
      </c>
      <c r="AQ322" s="79">
        <v>0</v>
      </c>
      <c r="AR322" s="80">
        <v>2.1311799999999999E-4</v>
      </c>
      <c r="AS322" s="80">
        <v>9.6386999999999997E-5</v>
      </c>
      <c r="AT322" s="79">
        <v>5185.62</v>
      </c>
      <c r="AU322" s="79">
        <v>0</v>
      </c>
      <c r="AV322" s="79">
        <v>1462</v>
      </c>
      <c r="AW322" s="79">
        <v>2606.9920792079201</v>
      </c>
      <c r="AX322" s="79">
        <v>6</v>
      </c>
      <c r="AY322" s="79">
        <v>6</v>
      </c>
      <c r="AZ322" s="79">
        <v>2572</v>
      </c>
      <c r="BA322" s="79">
        <v>1</v>
      </c>
      <c r="BB322" s="79">
        <v>0</v>
      </c>
      <c r="BC322" s="79">
        <v>0</v>
      </c>
      <c r="BD322" s="79">
        <v>0</v>
      </c>
      <c r="BE322" s="79">
        <v>0</v>
      </c>
      <c r="BF322" s="79">
        <v>0</v>
      </c>
      <c r="BG322" s="79">
        <v>0</v>
      </c>
      <c r="BH322" s="79">
        <v>0</v>
      </c>
      <c r="BI322" s="79">
        <v>0</v>
      </c>
      <c r="BJ322" s="79">
        <v>0</v>
      </c>
      <c r="BK322" s="79">
        <v>9</v>
      </c>
      <c r="BL322" s="79">
        <v>2877</v>
      </c>
      <c r="BM322" s="79">
        <v>107</v>
      </c>
      <c r="BN322" s="79">
        <v>138</v>
      </c>
      <c r="BO322">
        <v>4277</v>
      </c>
      <c r="BP322">
        <v>347</v>
      </c>
      <c r="BQ322">
        <v>4187</v>
      </c>
      <c r="BR322">
        <v>314</v>
      </c>
      <c r="BS322">
        <v>4173</v>
      </c>
      <c r="BT322">
        <v>321</v>
      </c>
      <c r="BU322">
        <v>4073</v>
      </c>
      <c r="BV322">
        <v>317</v>
      </c>
      <c r="BW322">
        <v>3998</v>
      </c>
      <c r="BX322">
        <v>295</v>
      </c>
      <c r="BY322">
        <v>3946</v>
      </c>
      <c r="BZ322">
        <v>312</v>
      </c>
      <c r="CB322">
        <v>336.33199999999999</v>
      </c>
      <c r="CC322">
        <v>39</v>
      </c>
      <c r="CD322">
        <v>41</v>
      </c>
      <c r="CE322">
        <v>6395.4</v>
      </c>
      <c r="CF322">
        <v>1502.34</v>
      </c>
      <c r="CG322">
        <v>112.350547223094</v>
      </c>
      <c r="CH322">
        <v>163</v>
      </c>
      <c r="CI322">
        <v>64</v>
      </c>
      <c r="CJ322">
        <v>41.6666666666667</v>
      </c>
      <c r="CK322" s="81">
        <v>944</v>
      </c>
      <c r="CL322">
        <v>280</v>
      </c>
      <c r="CM322">
        <v>4160.3100000000004</v>
      </c>
      <c r="CN322">
        <v>0.111</v>
      </c>
      <c r="CO322">
        <v>16881</v>
      </c>
      <c r="CP322">
        <v>2713</v>
      </c>
      <c r="CQ322">
        <v>587</v>
      </c>
      <c r="CR322">
        <v>489</v>
      </c>
      <c r="CS322">
        <v>449</v>
      </c>
      <c r="CT322">
        <v>274</v>
      </c>
      <c r="CU322">
        <v>291.71923357284197</v>
      </c>
      <c r="CV322">
        <v>169.66983234405899</v>
      </c>
      <c r="CW322">
        <v>70.019670936165795</v>
      </c>
      <c r="CX322">
        <v>730.07560000000001</v>
      </c>
      <c r="CY322">
        <v>424.6268</v>
      </c>
      <c r="CZ322">
        <v>175.23580000000001</v>
      </c>
      <c r="DA322">
        <v>60225</v>
      </c>
      <c r="DE322">
        <v>1680</v>
      </c>
      <c r="DF322" t="s">
        <v>0</v>
      </c>
      <c r="DG322">
        <v>5449</v>
      </c>
      <c r="DH322">
        <v>5357</v>
      </c>
      <c r="DI322">
        <v>5252</v>
      </c>
      <c r="DJ322">
        <v>5152</v>
      </c>
      <c r="DK322">
        <v>5058</v>
      </c>
      <c r="DO322">
        <v>823</v>
      </c>
      <c r="DP322" t="s">
        <v>225</v>
      </c>
      <c r="DQ322">
        <v>8019</v>
      </c>
      <c r="DR322">
        <v>1</v>
      </c>
      <c r="DS322">
        <v>611</v>
      </c>
      <c r="DV322">
        <v>1581</v>
      </c>
      <c r="DW322" t="s">
        <v>306</v>
      </c>
      <c r="DX322">
        <v>5385.0293911171402</v>
      </c>
      <c r="DY322">
        <v>1354</v>
      </c>
      <c r="DZ322">
        <v>1330</v>
      </c>
      <c r="EA322">
        <v>811</v>
      </c>
      <c r="EB322">
        <v>3820</v>
      </c>
      <c r="EC322">
        <v>2665</v>
      </c>
      <c r="ED322">
        <v>1135</v>
      </c>
      <c r="EE322" s="82">
        <v>0.11898374979127101</v>
      </c>
      <c r="EF322" s="82">
        <v>0.29039926317332598</v>
      </c>
    </row>
    <row r="323" spans="1:136" x14ac:dyDescent="0.35">
      <c r="A323" s="72">
        <v>888</v>
      </c>
      <c r="B323" s="72">
        <v>11</v>
      </c>
      <c r="D323" s="72" t="s">
        <v>36</v>
      </c>
      <c r="E323" s="79">
        <v>1220800000</v>
      </c>
      <c r="F323" s="79">
        <v>308350000</v>
      </c>
      <c r="G323" s="79">
        <v>315350000</v>
      </c>
      <c r="H323" s="79">
        <v>15929</v>
      </c>
      <c r="I323" s="79">
        <v>2</v>
      </c>
      <c r="J323" s="79">
        <v>315.35000000000002</v>
      </c>
      <c r="K323" s="79">
        <v>2438</v>
      </c>
      <c r="L323" s="79">
        <v>4075</v>
      </c>
      <c r="M323" s="79">
        <v>1359</v>
      </c>
      <c r="N323" s="79">
        <v>2201</v>
      </c>
      <c r="O323" s="79">
        <v>1450.3</v>
      </c>
      <c r="P323" s="79">
        <v>269</v>
      </c>
      <c r="Q323" s="79">
        <v>1224</v>
      </c>
      <c r="R323" s="79">
        <v>455</v>
      </c>
      <c r="S323" s="79">
        <v>0</v>
      </c>
      <c r="T323" s="79">
        <v>502</v>
      </c>
      <c r="U323" s="79">
        <v>7474</v>
      </c>
      <c r="V323" s="79">
        <v>13510</v>
      </c>
      <c r="W323" s="79">
        <v>4790</v>
      </c>
      <c r="X323" s="79">
        <v>0</v>
      </c>
      <c r="Y323" s="79">
        <v>0</v>
      </c>
      <c r="Z323" s="79">
        <v>0</v>
      </c>
      <c r="AA323" s="79">
        <v>0</v>
      </c>
      <c r="AB323" s="79">
        <v>0</v>
      </c>
      <c r="AC323" s="79">
        <v>2103</v>
      </c>
      <c r="AD323" s="79">
        <v>2103</v>
      </c>
      <c r="AE323" s="79">
        <v>0</v>
      </c>
      <c r="AF323" s="79">
        <v>0</v>
      </c>
      <c r="AG323" s="79">
        <v>128</v>
      </c>
      <c r="AH323" s="79">
        <v>98</v>
      </c>
      <c r="AI323" s="79">
        <v>29</v>
      </c>
      <c r="AJ323" s="79">
        <v>7507</v>
      </c>
      <c r="AK323" s="79">
        <v>7507</v>
      </c>
      <c r="AL323" s="79">
        <v>0</v>
      </c>
      <c r="AM323" s="79">
        <v>0</v>
      </c>
      <c r="AN323" s="79">
        <v>0</v>
      </c>
      <c r="AO323" s="79">
        <v>0</v>
      </c>
      <c r="AP323" s="79">
        <v>644</v>
      </c>
      <c r="AQ323" s="79">
        <v>0</v>
      </c>
      <c r="AR323" s="80">
        <v>3.9243999999999998E-4</v>
      </c>
      <c r="AS323" s="80">
        <v>5.1533299999999998E-4</v>
      </c>
      <c r="AT323" s="79">
        <v>6658.7089999999998</v>
      </c>
      <c r="AU323" s="79">
        <v>0</v>
      </c>
      <c r="AV323" s="79">
        <v>76</v>
      </c>
      <c r="AW323" s="79">
        <v>575.65572990965302</v>
      </c>
      <c r="AX323" s="79">
        <v>3</v>
      </c>
      <c r="AY323" s="79">
        <v>3</v>
      </c>
      <c r="AZ323" s="79">
        <v>1751</v>
      </c>
      <c r="BA323" s="79">
        <v>1</v>
      </c>
      <c r="BB323" s="79">
        <v>0</v>
      </c>
      <c r="BC323" s="79">
        <v>0</v>
      </c>
      <c r="BD323" s="79">
        <v>0</v>
      </c>
      <c r="BE323" s="79">
        <v>0</v>
      </c>
      <c r="BF323" s="79">
        <v>0</v>
      </c>
      <c r="BG323" s="79">
        <v>0</v>
      </c>
      <c r="BH323" s="79">
        <v>0</v>
      </c>
      <c r="BI323" s="79">
        <v>0</v>
      </c>
      <c r="BJ323" s="79">
        <v>0</v>
      </c>
      <c r="BK323" s="79">
        <v>8</v>
      </c>
      <c r="BL323" s="79">
        <v>2334</v>
      </c>
      <c r="BM323" s="79">
        <v>98</v>
      </c>
      <c r="BN323" s="79">
        <v>29</v>
      </c>
      <c r="BO323">
        <v>3222</v>
      </c>
      <c r="BP323">
        <v>0</v>
      </c>
      <c r="BQ323">
        <v>3132</v>
      </c>
      <c r="BR323">
        <v>0</v>
      </c>
      <c r="BS323">
        <v>3064</v>
      </c>
      <c r="BT323">
        <v>0</v>
      </c>
      <c r="BU323">
        <v>2981</v>
      </c>
      <c r="BV323">
        <v>0</v>
      </c>
      <c r="BW323">
        <v>2911</v>
      </c>
      <c r="BX323">
        <v>0</v>
      </c>
      <c r="BY323">
        <v>2788</v>
      </c>
      <c r="BZ323">
        <v>0</v>
      </c>
      <c r="CB323">
        <v>277.93200000000002</v>
      </c>
      <c r="CC323">
        <v>32</v>
      </c>
      <c r="CD323">
        <v>30</v>
      </c>
      <c r="CE323">
        <v>5064.6000000000004</v>
      </c>
      <c r="CF323">
        <v>1051.96</v>
      </c>
      <c r="CG323">
        <v>52.807018820577198</v>
      </c>
      <c r="CH323">
        <v>178</v>
      </c>
      <c r="CI323">
        <v>75</v>
      </c>
      <c r="CJ323">
        <v>61</v>
      </c>
      <c r="CK323" s="81">
        <v>955</v>
      </c>
      <c r="CL323">
        <v>177</v>
      </c>
      <c r="CM323">
        <v>2881.6936992780702</v>
      </c>
      <c r="CN323">
        <v>0.52400000000000002</v>
      </c>
      <c r="CO323">
        <v>11854</v>
      </c>
      <c r="CP323">
        <v>2246</v>
      </c>
      <c r="CQ323">
        <v>470</v>
      </c>
      <c r="CR323">
        <v>458</v>
      </c>
      <c r="CS323">
        <v>446</v>
      </c>
      <c r="CT323">
        <v>247</v>
      </c>
      <c r="CU323">
        <v>267.95871852937302</v>
      </c>
      <c r="CV323">
        <v>181.79463167710099</v>
      </c>
      <c r="CW323">
        <v>68.390329026242199</v>
      </c>
      <c r="CX323">
        <v>617.63109999999995</v>
      </c>
      <c r="CY323">
        <v>419.02730000000003</v>
      </c>
      <c r="CZ323">
        <v>157.6362</v>
      </c>
      <c r="DA323">
        <v>0</v>
      </c>
      <c r="DE323">
        <v>1681</v>
      </c>
      <c r="DF323" t="s">
        <v>55</v>
      </c>
      <c r="DG323">
        <v>5506</v>
      </c>
      <c r="DH323">
        <v>5443</v>
      </c>
      <c r="DI323">
        <v>5311</v>
      </c>
      <c r="DJ323">
        <v>5259</v>
      </c>
      <c r="DK323">
        <v>5092</v>
      </c>
      <c r="DO323">
        <v>824</v>
      </c>
      <c r="DP323" t="s">
        <v>226</v>
      </c>
      <c r="DQ323">
        <v>11896</v>
      </c>
      <c r="DR323">
        <v>1</v>
      </c>
      <c r="DS323">
        <v>983</v>
      </c>
      <c r="DV323">
        <v>981</v>
      </c>
      <c r="DW323" t="s">
        <v>307</v>
      </c>
      <c r="DX323">
        <v>2015.97793972819</v>
      </c>
      <c r="DY323">
        <v>396</v>
      </c>
      <c r="DZ323">
        <v>325</v>
      </c>
      <c r="EA323">
        <v>131</v>
      </c>
      <c r="EB323">
        <v>984</v>
      </c>
      <c r="EC323">
        <v>632</v>
      </c>
      <c r="ED323">
        <v>186</v>
      </c>
      <c r="EE323" s="82">
        <v>0.235548924721735</v>
      </c>
      <c r="EF323" s="82">
        <v>0.59324584449704798</v>
      </c>
    </row>
    <row r="324" spans="1:136" x14ac:dyDescent="0.35">
      <c r="A324" s="72">
        <v>1954</v>
      </c>
      <c r="B324" s="72">
        <v>11</v>
      </c>
      <c r="D324" s="72" t="s">
        <v>37</v>
      </c>
      <c r="E324" s="79">
        <v>2787200000</v>
      </c>
      <c r="F324" s="79">
        <v>230650000</v>
      </c>
      <c r="G324" s="79">
        <v>262150000</v>
      </c>
      <c r="H324" s="79">
        <v>35727</v>
      </c>
      <c r="I324" s="79">
        <v>7</v>
      </c>
      <c r="J324" s="79">
        <v>262.14999999999998</v>
      </c>
      <c r="K324" s="79">
        <v>5754</v>
      </c>
      <c r="L324" s="79">
        <v>9230</v>
      </c>
      <c r="M324" s="79">
        <v>3008</v>
      </c>
      <c r="N324" s="79">
        <v>4841</v>
      </c>
      <c r="O324" s="79">
        <v>3165.2</v>
      </c>
      <c r="P324" s="79">
        <v>501.33333333333297</v>
      </c>
      <c r="Q324" s="79">
        <v>2855.3333333333298</v>
      </c>
      <c r="R324" s="79">
        <v>610</v>
      </c>
      <c r="S324" s="79">
        <v>0</v>
      </c>
      <c r="T324" s="79">
        <v>1092</v>
      </c>
      <c r="U324" s="79">
        <v>16504</v>
      </c>
      <c r="V324" s="79">
        <v>25490</v>
      </c>
      <c r="W324" s="79">
        <v>4860</v>
      </c>
      <c r="X324" s="79">
        <v>0</v>
      </c>
      <c r="Y324" s="79">
        <v>0</v>
      </c>
      <c r="Z324" s="79">
        <v>0</v>
      </c>
      <c r="AA324" s="79">
        <v>0</v>
      </c>
      <c r="AB324" s="79">
        <v>0</v>
      </c>
      <c r="AC324" s="79">
        <v>7831</v>
      </c>
      <c r="AD324" s="79">
        <v>7831</v>
      </c>
      <c r="AE324" s="79">
        <v>18</v>
      </c>
      <c r="AF324" s="79">
        <v>0</v>
      </c>
      <c r="AG324" s="79">
        <v>272</v>
      </c>
      <c r="AH324" s="79">
        <v>236</v>
      </c>
      <c r="AI324" s="79">
        <v>36</v>
      </c>
      <c r="AJ324" s="79">
        <v>16758</v>
      </c>
      <c r="AK324" s="79">
        <v>16758</v>
      </c>
      <c r="AL324" s="79">
        <v>0</v>
      </c>
      <c r="AM324" s="79">
        <v>0</v>
      </c>
      <c r="AN324" s="79">
        <v>0</v>
      </c>
      <c r="AO324" s="79">
        <v>0</v>
      </c>
      <c r="AP324" s="79">
        <v>519</v>
      </c>
      <c r="AQ324" s="79">
        <v>0</v>
      </c>
      <c r="AR324" s="80">
        <v>9.7348599999999997E-4</v>
      </c>
      <c r="AS324" s="80">
        <v>5.1974499999999995E-4</v>
      </c>
      <c r="AT324" s="79">
        <v>8345.4840000000004</v>
      </c>
      <c r="AU324" s="79">
        <v>0</v>
      </c>
      <c r="AV324" s="79">
        <v>463</v>
      </c>
      <c r="AW324" s="79">
        <v>2107.4787871066401</v>
      </c>
      <c r="AX324" s="79">
        <v>12</v>
      </c>
      <c r="AY324" s="79">
        <v>12</v>
      </c>
      <c r="AZ324" s="79">
        <v>3433</v>
      </c>
      <c r="BA324" s="79">
        <v>1</v>
      </c>
      <c r="BB324" s="79">
        <v>0</v>
      </c>
      <c r="BC324" s="79">
        <v>0</v>
      </c>
      <c r="BD324" s="79">
        <v>0</v>
      </c>
      <c r="BE324" s="79">
        <v>0</v>
      </c>
      <c r="BF324" s="79">
        <v>0</v>
      </c>
      <c r="BG324" s="79">
        <v>0</v>
      </c>
      <c r="BH324" s="79">
        <v>0</v>
      </c>
      <c r="BI324" s="79">
        <v>0</v>
      </c>
      <c r="BJ324" s="79">
        <v>0</v>
      </c>
      <c r="BK324" s="79">
        <v>10</v>
      </c>
      <c r="BL324" s="79">
        <v>4829</v>
      </c>
      <c r="BM324" s="79">
        <v>236</v>
      </c>
      <c r="BN324" s="79">
        <v>36</v>
      </c>
      <c r="BO324">
        <v>7044</v>
      </c>
      <c r="BP324">
        <v>0</v>
      </c>
      <c r="BQ324">
        <v>6897</v>
      </c>
      <c r="BR324">
        <v>0</v>
      </c>
      <c r="BS324">
        <v>6732</v>
      </c>
      <c r="BT324">
        <v>0</v>
      </c>
      <c r="BU324">
        <v>6529</v>
      </c>
      <c r="BV324">
        <v>0</v>
      </c>
      <c r="BW324">
        <v>6371</v>
      </c>
      <c r="BX324">
        <v>0</v>
      </c>
      <c r="BY324">
        <v>6263</v>
      </c>
      <c r="BZ324">
        <v>0</v>
      </c>
      <c r="CB324">
        <v>598.41600000000005</v>
      </c>
      <c r="CC324">
        <v>55</v>
      </c>
      <c r="CD324">
        <v>53</v>
      </c>
      <c r="CE324">
        <v>10945.96</v>
      </c>
      <c r="CF324">
        <v>2351.0300000000002</v>
      </c>
      <c r="CG324">
        <v>151.05016988417</v>
      </c>
      <c r="CH324">
        <v>337</v>
      </c>
      <c r="CI324">
        <v>144.333333333333</v>
      </c>
      <c r="CJ324">
        <v>114.333333333333</v>
      </c>
      <c r="CK324" s="81">
        <v>2354</v>
      </c>
      <c r="CL324">
        <v>434</v>
      </c>
      <c r="CM324">
        <v>6648.4503789926603</v>
      </c>
      <c r="CN324">
        <v>0.96</v>
      </c>
      <c r="CO324">
        <v>26497</v>
      </c>
      <c r="CP324">
        <v>5197</v>
      </c>
      <c r="CQ324">
        <v>1025</v>
      </c>
      <c r="CR324">
        <v>886</v>
      </c>
      <c r="CS324">
        <v>964</v>
      </c>
      <c r="CT324">
        <v>475</v>
      </c>
      <c r="CU324">
        <v>589.67385129490401</v>
      </c>
      <c r="CV324">
        <v>394.18620360424899</v>
      </c>
      <c r="CW324">
        <v>128.24745196324099</v>
      </c>
      <c r="CX324">
        <v>1390.2266</v>
      </c>
      <c r="CY324">
        <v>929.34109999999998</v>
      </c>
      <c r="CZ324">
        <v>302.3587</v>
      </c>
      <c r="DA324">
        <v>13627</v>
      </c>
      <c r="DE324">
        <v>1684</v>
      </c>
      <c r="DF324" t="s">
        <v>72</v>
      </c>
      <c r="DG324">
        <v>5475</v>
      </c>
      <c r="DH324">
        <v>5421</v>
      </c>
      <c r="DI324">
        <v>5404</v>
      </c>
      <c r="DJ324">
        <v>5360</v>
      </c>
      <c r="DK324">
        <v>5268</v>
      </c>
      <c r="DO324">
        <v>826</v>
      </c>
      <c r="DP324" t="s">
        <v>233</v>
      </c>
      <c r="DQ324">
        <v>25471</v>
      </c>
      <c r="DR324">
        <v>1</v>
      </c>
      <c r="DS324">
        <v>1538</v>
      </c>
      <c r="DV324">
        <v>994</v>
      </c>
      <c r="DW324" t="s">
        <v>308</v>
      </c>
      <c r="DX324">
        <v>2685.10772357724</v>
      </c>
      <c r="DY324">
        <v>570</v>
      </c>
      <c r="DZ324">
        <v>545</v>
      </c>
      <c r="EA324">
        <v>243</v>
      </c>
      <c r="EB324">
        <v>1578</v>
      </c>
      <c r="EC324">
        <v>1065</v>
      </c>
      <c r="ED324">
        <v>334</v>
      </c>
      <c r="EE324" s="82">
        <v>0.199844525245922</v>
      </c>
      <c r="EF324" s="82">
        <v>0.45316433785906901</v>
      </c>
    </row>
    <row r="325" spans="1:136" x14ac:dyDescent="0.35">
      <c r="A325" s="72">
        <v>889</v>
      </c>
      <c r="B325" s="72">
        <v>11</v>
      </c>
      <c r="D325" s="72" t="s">
        <v>39</v>
      </c>
      <c r="E325" s="79">
        <v>966400000</v>
      </c>
      <c r="F325" s="79">
        <v>114450000</v>
      </c>
      <c r="G325" s="79">
        <v>122850000</v>
      </c>
      <c r="H325" s="79">
        <v>13519</v>
      </c>
      <c r="I325" s="79">
        <v>1</v>
      </c>
      <c r="J325" s="79">
        <v>122.85</v>
      </c>
      <c r="K325" s="79">
        <v>2420</v>
      </c>
      <c r="L325" s="79">
        <v>3116</v>
      </c>
      <c r="M325" s="79">
        <v>983</v>
      </c>
      <c r="N325" s="79">
        <v>1833</v>
      </c>
      <c r="O325" s="79">
        <v>1185</v>
      </c>
      <c r="P325" s="79">
        <v>207.333333333333</v>
      </c>
      <c r="Q325" s="79">
        <v>900.33333333333303</v>
      </c>
      <c r="R325" s="79">
        <v>600</v>
      </c>
      <c r="S325" s="79">
        <v>0</v>
      </c>
      <c r="T325" s="79">
        <v>365</v>
      </c>
      <c r="U325" s="79">
        <v>5974</v>
      </c>
      <c r="V325" s="79">
        <v>14150</v>
      </c>
      <c r="W325" s="79">
        <v>9120</v>
      </c>
      <c r="X325" s="79">
        <v>0</v>
      </c>
      <c r="Y325" s="79">
        <v>228.8</v>
      </c>
      <c r="Z325" s="79">
        <v>0</v>
      </c>
      <c r="AA325" s="79">
        <v>0</v>
      </c>
      <c r="AB325" s="79">
        <v>0</v>
      </c>
      <c r="AC325" s="79">
        <v>2785</v>
      </c>
      <c r="AD325" s="79">
        <v>2785</v>
      </c>
      <c r="AE325" s="79">
        <v>131</v>
      </c>
      <c r="AF325" s="79">
        <v>0</v>
      </c>
      <c r="AG325" s="79">
        <v>108</v>
      </c>
      <c r="AH325" s="79">
        <v>92</v>
      </c>
      <c r="AI325" s="79">
        <v>16</v>
      </c>
      <c r="AJ325" s="79">
        <v>6480</v>
      </c>
      <c r="AK325" s="79">
        <v>6480</v>
      </c>
      <c r="AL325" s="79">
        <v>0</v>
      </c>
      <c r="AM325" s="79">
        <v>0</v>
      </c>
      <c r="AN325" s="79">
        <v>0</v>
      </c>
      <c r="AO325" s="79">
        <v>0</v>
      </c>
      <c r="AP325" s="79">
        <v>0</v>
      </c>
      <c r="AQ325" s="79">
        <v>0</v>
      </c>
      <c r="AR325" s="80">
        <v>2.4515099999999998E-4</v>
      </c>
      <c r="AS325" s="80">
        <v>1.3544699999999999E-4</v>
      </c>
      <c r="AT325" s="79">
        <v>4795.2</v>
      </c>
      <c r="AU325" s="79">
        <v>0</v>
      </c>
      <c r="AV325" s="79">
        <v>333</v>
      </c>
      <c r="AW325" s="79">
        <v>1543.83641975309</v>
      </c>
      <c r="AX325" s="79">
        <v>2</v>
      </c>
      <c r="AY325" s="79">
        <v>2</v>
      </c>
      <c r="AZ325" s="79">
        <v>1082</v>
      </c>
      <c r="BA325" s="79">
        <v>1</v>
      </c>
      <c r="BB325" s="79">
        <v>0</v>
      </c>
      <c r="BC325" s="79">
        <v>0</v>
      </c>
      <c r="BD325" s="79">
        <v>0</v>
      </c>
      <c r="BE325" s="79">
        <v>0</v>
      </c>
      <c r="BF325" s="79">
        <v>0</v>
      </c>
      <c r="BG325" s="79">
        <v>0</v>
      </c>
      <c r="BH325" s="79">
        <v>0</v>
      </c>
      <c r="BI325" s="79">
        <v>0</v>
      </c>
      <c r="BJ325" s="79">
        <v>0</v>
      </c>
      <c r="BK325" s="79">
        <v>18</v>
      </c>
      <c r="BL325" s="79">
        <v>1701</v>
      </c>
      <c r="BM325" s="79">
        <v>92</v>
      </c>
      <c r="BN325" s="79">
        <v>16</v>
      </c>
      <c r="BO325">
        <v>2899</v>
      </c>
      <c r="BP325">
        <v>284</v>
      </c>
      <c r="BQ325">
        <v>2900</v>
      </c>
      <c r="BR325">
        <v>272</v>
      </c>
      <c r="BS325">
        <v>2848</v>
      </c>
      <c r="BT325">
        <v>302</v>
      </c>
      <c r="BU325">
        <v>2760</v>
      </c>
      <c r="BV325">
        <v>311</v>
      </c>
      <c r="BW325">
        <v>2741</v>
      </c>
      <c r="BX325">
        <v>303</v>
      </c>
      <c r="BY325">
        <v>2678</v>
      </c>
      <c r="BZ325">
        <v>305</v>
      </c>
      <c r="CB325">
        <v>225.06</v>
      </c>
      <c r="CC325">
        <v>47</v>
      </c>
      <c r="CD325">
        <v>17</v>
      </c>
      <c r="CE325">
        <v>3653.04</v>
      </c>
      <c r="CF325">
        <v>874.8</v>
      </c>
      <c r="CG325">
        <v>71.263922677982094</v>
      </c>
      <c r="CH325">
        <v>131</v>
      </c>
      <c r="CI325">
        <v>59.6666666666667</v>
      </c>
      <c r="CJ325">
        <v>58.3333333333333</v>
      </c>
      <c r="CK325" s="81">
        <v>693</v>
      </c>
      <c r="CL325">
        <v>182</v>
      </c>
      <c r="CM325">
        <v>2361.3213594263502</v>
      </c>
      <c r="CN325">
        <v>0.307</v>
      </c>
      <c r="CO325">
        <v>10403</v>
      </c>
      <c r="CP325">
        <v>1811</v>
      </c>
      <c r="CQ325">
        <v>322</v>
      </c>
      <c r="CR325">
        <v>331</v>
      </c>
      <c r="CS325">
        <v>323</v>
      </c>
      <c r="CT325">
        <v>182</v>
      </c>
      <c r="CU325">
        <v>203.71759259259301</v>
      </c>
      <c r="CV325">
        <v>125.631944444444</v>
      </c>
      <c r="CW325">
        <v>46.266203703703702</v>
      </c>
      <c r="CX325">
        <v>565.35500000000002</v>
      </c>
      <c r="CY325">
        <v>348.65249999999997</v>
      </c>
      <c r="CZ325">
        <v>128.39750000000001</v>
      </c>
      <c r="DA325">
        <v>0</v>
      </c>
      <c r="DE325">
        <v>1685</v>
      </c>
      <c r="DF325" t="s">
        <v>172</v>
      </c>
      <c r="DG325">
        <v>3451</v>
      </c>
      <c r="DH325">
        <v>3388</v>
      </c>
      <c r="DI325">
        <v>3374</v>
      </c>
      <c r="DJ325">
        <v>3360</v>
      </c>
      <c r="DK325">
        <v>3354</v>
      </c>
      <c r="DO325">
        <v>828</v>
      </c>
      <c r="DP325" t="s">
        <v>238</v>
      </c>
      <c r="DQ325">
        <v>39857</v>
      </c>
      <c r="DR325">
        <v>1</v>
      </c>
      <c r="DS325">
        <v>1367</v>
      </c>
      <c r="DV325">
        <v>858</v>
      </c>
      <c r="DW325" t="s">
        <v>309</v>
      </c>
      <c r="DX325">
        <v>4505.0124634997501</v>
      </c>
      <c r="DY325">
        <v>852</v>
      </c>
      <c r="DZ325">
        <v>824</v>
      </c>
      <c r="EA325">
        <v>425</v>
      </c>
      <c r="EB325">
        <v>2590</v>
      </c>
      <c r="EC325">
        <v>1763</v>
      </c>
      <c r="ED325">
        <v>617</v>
      </c>
      <c r="EE325" s="82">
        <v>0.208477982984097</v>
      </c>
      <c r="EF325" s="82">
        <v>0.45316433785906901</v>
      </c>
    </row>
    <row r="326" spans="1:136" x14ac:dyDescent="0.35">
      <c r="A326" s="72">
        <v>893</v>
      </c>
      <c r="B326" s="72">
        <v>11</v>
      </c>
      <c r="D326" s="72" t="s">
        <v>42</v>
      </c>
      <c r="E326" s="79">
        <v>993200000</v>
      </c>
      <c r="F326" s="79">
        <v>132300000</v>
      </c>
      <c r="G326" s="79">
        <v>148400000</v>
      </c>
      <c r="H326" s="79">
        <v>13140</v>
      </c>
      <c r="I326" s="79">
        <v>4</v>
      </c>
      <c r="J326" s="79">
        <v>148.4</v>
      </c>
      <c r="K326" s="79">
        <v>2212</v>
      </c>
      <c r="L326" s="79">
        <v>3065</v>
      </c>
      <c r="M326" s="79">
        <v>948</v>
      </c>
      <c r="N326" s="79">
        <v>1731</v>
      </c>
      <c r="O326" s="79">
        <v>1155.5999999999999</v>
      </c>
      <c r="P326" s="79">
        <v>181</v>
      </c>
      <c r="Q326" s="79">
        <v>979</v>
      </c>
      <c r="R326" s="79">
        <v>170</v>
      </c>
      <c r="S326" s="79">
        <v>0</v>
      </c>
      <c r="T326" s="79">
        <v>332</v>
      </c>
      <c r="U326" s="79">
        <v>5760</v>
      </c>
      <c r="V326" s="79">
        <v>11160</v>
      </c>
      <c r="W326" s="79">
        <v>1420</v>
      </c>
      <c r="X326" s="79">
        <v>0</v>
      </c>
      <c r="Y326" s="79">
        <v>0</v>
      </c>
      <c r="Z326" s="79">
        <v>0</v>
      </c>
      <c r="AA326" s="79">
        <v>0</v>
      </c>
      <c r="AB326" s="79">
        <v>0</v>
      </c>
      <c r="AC326" s="79">
        <v>10292</v>
      </c>
      <c r="AD326" s="79">
        <v>10292</v>
      </c>
      <c r="AE326" s="79">
        <v>558</v>
      </c>
      <c r="AF326" s="79">
        <v>0</v>
      </c>
      <c r="AG326" s="79">
        <v>133</v>
      </c>
      <c r="AH326" s="79">
        <v>72</v>
      </c>
      <c r="AI326" s="79">
        <v>61</v>
      </c>
      <c r="AJ326" s="79">
        <v>5754</v>
      </c>
      <c r="AK326" s="79">
        <v>5754</v>
      </c>
      <c r="AL326" s="79">
        <v>0</v>
      </c>
      <c r="AM326" s="79">
        <v>0</v>
      </c>
      <c r="AN326" s="79">
        <v>0</v>
      </c>
      <c r="AO326" s="79">
        <v>0</v>
      </c>
      <c r="AP326" s="79">
        <v>0</v>
      </c>
      <c r="AQ326" s="79">
        <v>0</v>
      </c>
      <c r="AR326" s="80">
        <v>1.9296600000000001E-4</v>
      </c>
      <c r="AS326" s="80">
        <v>1.29309E-4</v>
      </c>
      <c r="AT326" s="79">
        <v>1812.51</v>
      </c>
      <c r="AU326" s="79">
        <v>0</v>
      </c>
      <c r="AV326" s="79">
        <v>1422</v>
      </c>
      <c r="AW326" s="79">
        <v>1722.12718894009</v>
      </c>
      <c r="AX326" s="79">
        <v>11</v>
      </c>
      <c r="AY326" s="79">
        <v>11</v>
      </c>
      <c r="AZ326" s="79">
        <v>1213</v>
      </c>
      <c r="BA326" s="79">
        <v>1</v>
      </c>
      <c r="BB326" s="79">
        <v>0</v>
      </c>
      <c r="BC326" s="79">
        <v>0</v>
      </c>
      <c r="BD326" s="79">
        <v>0</v>
      </c>
      <c r="BE326" s="79">
        <v>0</v>
      </c>
      <c r="BF326" s="79">
        <v>0</v>
      </c>
      <c r="BG326" s="79">
        <v>0</v>
      </c>
      <c r="BH326" s="79">
        <v>0</v>
      </c>
      <c r="BI326" s="79">
        <v>0</v>
      </c>
      <c r="BJ326" s="79">
        <v>0</v>
      </c>
      <c r="BK326" s="79">
        <v>11</v>
      </c>
      <c r="BL326" s="79">
        <v>1560</v>
      </c>
      <c r="BM326" s="79">
        <v>72</v>
      </c>
      <c r="BN326" s="79">
        <v>61</v>
      </c>
      <c r="BO326">
        <v>2819</v>
      </c>
      <c r="BP326">
        <v>0</v>
      </c>
      <c r="BQ326">
        <v>2784</v>
      </c>
      <c r="BR326">
        <v>0</v>
      </c>
      <c r="BS326">
        <v>2691</v>
      </c>
      <c r="BT326">
        <v>0</v>
      </c>
      <c r="BU326">
        <v>2631</v>
      </c>
      <c r="BV326">
        <v>0</v>
      </c>
      <c r="BW326">
        <v>2570</v>
      </c>
      <c r="BX326">
        <v>0</v>
      </c>
      <c r="BY326">
        <v>2503</v>
      </c>
      <c r="BZ326">
        <v>0</v>
      </c>
      <c r="CB326">
        <v>185.80799999999999</v>
      </c>
      <c r="CC326">
        <v>42</v>
      </c>
      <c r="CD326">
        <v>23</v>
      </c>
      <c r="CE326">
        <v>3485.02</v>
      </c>
      <c r="CF326">
        <v>808.86</v>
      </c>
      <c r="CG326">
        <v>51.249240694789101</v>
      </c>
      <c r="CH326">
        <v>114</v>
      </c>
      <c r="CI326">
        <v>56</v>
      </c>
      <c r="CJ326">
        <v>45.6666666666667</v>
      </c>
      <c r="CK326" s="81">
        <v>798</v>
      </c>
      <c r="CL326">
        <v>183</v>
      </c>
      <c r="CM326">
        <v>2597.08235294118</v>
      </c>
      <c r="CN326">
        <v>0.3</v>
      </c>
      <c r="CO326">
        <v>10075</v>
      </c>
      <c r="CP326">
        <v>1814</v>
      </c>
      <c r="CQ326">
        <v>303</v>
      </c>
      <c r="CR326">
        <v>313</v>
      </c>
      <c r="CS326">
        <v>309</v>
      </c>
      <c r="CT326">
        <v>173</v>
      </c>
      <c r="CU326">
        <v>219.310948905109</v>
      </c>
      <c r="CV326">
        <v>133.15307612095901</v>
      </c>
      <c r="CW326">
        <v>47.798540145985399</v>
      </c>
      <c r="CX326">
        <v>549.38520000000005</v>
      </c>
      <c r="CY326">
        <v>333.55529999999999</v>
      </c>
      <c r="CZ326">
        <v>119.73779999999999</v>
      </c>
      <c r="DA326">
        <v>8760</v>
      </c>
      <c r="DE326">
        <v>1690</v>
      </c>
      <c r="DF326" t="s">
        <v>79</v>
      </c>
      <c r="DG326">
        <v>5300</v>
      </c>
      <c r="DH326">
        <v>5262</v>
      </c>
      <c r="DI326">
        <v>5165</v>
      </c>
      <c r="DJ326">
        <v>5087</v>
      </c>
      <c r="DK326">
        <v>5062</v>
      </c>
      <c r="DO326">
        <v>1667</v>
      </c>
      <c r="DP326" t="s">
        <v>253</v>
      </c>
      <c r="DQ326">
        <v>5632</v>
      </c>
      <c r="DR326">
        <v>1</v>
      </c>
      <c r="DS326">
        <v>556</v>
      </c>
      <c r="DV326">
        <v>47</v>
      </c>
      <c r="DW326" t="s">
        <v>310</v>
      </c>
      <c r="DX326">
        <v>4750.2112449799197</v>
      </c>
      <c r="DY326">
        <v>769</v>
      </c>
      <c r="DZ326">
        <v>653</v>
      </c>
      <c r="EA326">
        <v>339</v>
      </c>
      <c r="EB326">
        <v>2285</v>
      </c>
      <c r="EC326">
        <v>1275</v>
      </c>
      <c r="ED326">
        <v>461</v>
      </c>
      <c r="EE326" s="82">
        <v>0.27035796389988498</v>
      </c>
      <c r="EF326" s="82">
        <v>0.59324584449704798</v>
      </c>
    </row>
    <row r="327" spans="1:136" x14ac:dyDescent="0.35">
      <c r="A327" s="72">
        <v>899</v>
      </c>
      <c r="B327" s="72">
        <v>11</v>
      </c>
      <c r="D327" s="72" t="s">
        <v>64</v>
      </c>
      <c r="E327" s="79">
        <v>1706800000</v>
      </c>
      <c r="F327" s="79">
        <v>268100000</v>
      </c>
      <c r="G327" s="79">
        <v>273350000</v>
      </c>
      <c r="H327" s="79">
        <v>28103</v>
      </c>
      <c r="I327" s="79">
        <v>1</v>
      </c>
      <c r="J327" s="79">
        <v>273.35000000000002</v>
      </c>
      <c r="K327" s="79">
        <v>4481</v>
      </c>
      <c r="L327" s="79">
        <v>6810</v>
      </c>
      <c r="M327" s="79">
        <v>2260</v>
      </c>
      <c r="N327" s="79">
        <v>5425</v>
      </c>
      <c r="O327" s="79">
        <v>3966.4</v>
      </c>
      <c r="P327" s="79">
        <v>885.66666666666697</v>
      </c>
      <c r="Q327" s="79">
        <v>3760.6666666666702</v>
      </c>
      <c r="R327" s="79">
        <v>905</v>
      </c>
      <c r="S327" s="79">
        <v>0</v>
      </c>
      <c r="T327" s="79">
        <v>1132</v>
      </c>
      <c r="U327" s="79">
        <v>14094</v>
      </c>
      <c r="V327" s="79">
        <v>29250</v>
      </c>
      <c r="W327" s="79">
        <v>24470</v>
      </c>
      <c r="X327" s="79">
        <v>217.8</v>
      </c>
      <c r="Y327" s="79">
        <v>135.19999999999999</v>
      </c>
      <c r="Z327" s="79">
        <v>0</v>
      </c>
      <c r="AA327" s="79">
        <v>0</v>
      </c>
      <c r="AB327" s="79">
        <v>0</v>
      </c>
      <c r="AC327" s="79">
        <v>1725</v>
      </c>
      <c r="AD327" s="79">
        <v>1725</v>
      </c>
      <c r="AE327" s="79">
        <v>9</v>
      </c>
      <c r="AF327" s="79">
        <v>0</v>
      </c>
      <c r="AG327" s="79">
        <v>170</v>
      </c>
      <c r="AH327" s="79">
        <v>154</v>
      </c>
      <c r="AI327" s="79">
        <v>16</v>
      </c>
      <c r="AJ327" s="79">
        <v>14586</v>
      </c>
      <c r="AK327" s="79">
        <v>14586</v>
      </c>
      <c r="AL327" s="79">
        <v>0</v>
      </c>
      <c r="AM327" s="79">
        <v>0</v>
      </c>
      <c r="AN327" s="79">
        <v>0</v>
      </c>
      <c r="AO327" s="79">
        <v>0</v>
      </c>
      <c r="AP327" s="79">
        <v>3867</v>
      </c>
      <c r="AQ327" s="79">
        <v>0</v>
      </c>
      <c r="AR327" s="80">
        <v>1.477587E-3</v>
      </c>
      <c r="AS327" s="80">
        <v>2.2267609999999998E-3</v>
      </c>
      <c r="AT327" s="79">
        <v>24373.205999999998</v>
      </c>
      <c r="AU327" s="79">
        <v>0</v>
      </c>
      <c r="AV327" s="79">
        <v>149</v>
      </c>
      <c r="AW327" s="79">
        <v>2414.8483275663202</v>
      </c>
      <c r="AX327" s="79">
        <v>1</v>
      </c>
      <c r="AY327" s="79">
        <v>1</v>
      </c>
      <c r="AZ327" s="79">
        <v>1851</v>
      </c>
      <c r="BA327" s="79">
        <v>1</v>
      </c>
      <c r="BB327" s="79">
        <v>0</v>
      </c>
      <c r="BC327" s="79">
        <v>0</v>
      </c>
      <c r="BD327" s="79">
        <v>0</v>
      </c>
      <c r="BE327" s="79">
        <v>0</v>
      </c>
      <c r="BF327" s="79">
        <v>0</v>
      </c>
      <c r="BG327" s="79">
        <v>0</v>
      </c>
      <c r="BH327" s="79">
        <v>0</v>
      </c>
      <c r="BI327" s="79">
        <v>0</v>
      </c>
      <c r="BJ327" s="79">
        <v>0</v>
      </c>
      <c r="BK327" s="79">
        <v>1</v>
      </c>
      <c r="BL327" s="79">
        <v>5252</v>
      </c>
      <c r="BM327" s="79">
        <v>154</v>
      </c>
      <c r="BN327" s="79">
        <v>16</v>
      </c>
      <c r="BO327">
        <v>5289</v>
      </c>
      <c r="BP327">
        <v>750</v>
      </c>
      <c r="BQ327">
        <v>5211</v>
      </c>
      <c r="BR327">
        <v>697</v>
      </c>
      <c r="BS327">
        <v>5098</v>
      </c>
      <c r="BT327">
        <v>699</v>
      </c>
      <c r="BU327">
        <v>5055</v>
      </c>
      <c r="BV327">
        <v>701</v>
      </c>
      <c r="BW327">
        <v>4984</v>
      </c>
      <c r="BX327">
        <v>712</v>
      </c>
      <c r="BY327">
        <v>4937</v>
      </c>
      <c r="BZ327">
        <v>689</v>
      </c>
      <c r="CB327">
        <v>900.68100000000004</v>
      </c>
      <c r="CC327">
        <v>123</v>
      </c>
      <c r="CD327">
        <v>92</v>
      </c>
      <c r="CE327">
        <v>7362.36</v>
      </c>
      <c r="CF327">
        <v>1478.88</v>
      </c>
      <c r="CG327">
        <v>189.10076484617201</v>
      </c>
      <c r="CH327">
        <v>366</v>
      </c>
      <c r="CI327">
        <v>235.666666666667</v>
      </c>
      <c r="CJ327">
        <v>233.333333333333</v>
      </c>
      <c r="CK327" s="81">
        <v>2875</v>
      </c>
      <c r="CL327">
        <v>625</v>
      </c>
      <c r="CM327">
        <v>6404.6152179415103</v>
      </c>
      <c r="CN327">
        <v>2.3170000000000002</v>
      </c>
      <c r="CO327">
        <v>21293</v>
      </c>
      <c r="CP327">
        <v>3765</v>
      </c>
      <c r="CQ327">
        <v>785</v>
      </c>
      <c r="CR327">
        <v>931</v>
      </c>
      <c r="CS327">
        <v>870</v>
      </c>
      <c r="CT327">
        <v>407</v>
      </c>
      <c r="CU327">
        <v>651.00518305224205</v>
      </c>
      <c r="CV327">
        <v>444.336870972165</v>
      </c>
      <c r="CW327">
        <v>144.66781845605399</v>
      </c>
      <c r="CX327">
        <v>1432.5696</v>
      </c>
      <c r="CY327">
        <v>977.78560000000004</v>
      </c>
      <c r="CZ327">
        <v>318.34879999999998</v>
      </c>
      <c r="DA327">
        <v>26592</v>
      </c>
      <c r="DE327">
        <v>1695</v>
      </c>
      <c r="DF327" t="s">
        <v>218</v>
      </c>
      <c r="DG327">
        <v>1347</v>
      </c>
      <c r="DH327">
        <v>1334</v>
      </c>
      <c r="DI327">
        <v>1348</v>
      </c>
      <c r="DJ327">
        <v>1370</v>
      </c>
      <c r="DK327">
        <v>1340</v>
      </c>
      <c r="DO327">
        <v>1674</v>
      </c>
      <c r="DP327" t="s">
        <v>261</v>
      </c>
      <c r="DQ327">
        <v>35384</v>
      </c>
      <c r="DR327">
        <v>1</v>
      </c>
      <c r="DS327">
        <v>1718</v>
      </c>
      <c r="DV327">
        <v>345</v>
      </c>
      <c r="DW327" t="s">
        <v>311</v>
      </c>
      <c r="DX327">
        <v>8222.5082542765394</v>
      </c>
      <c r="DY327">
        <v>1315</v>
      </c>
      <c r="DZ327">
        <v>1247</v>
      </c>
      <c r="EA327">
        <v>684</v>
      </c>
      <c r="EB327">
        <v>4165</v>
      </c>
      <c r="EC327">
        <v>2453</v>
      </c>
      <c r="ED327">
        <v>905</v>
      </c>
      <c r="EE327" s="82">
        <v>0.19751811898095101</v>
      </c>
      <c r="EF327" s="82">
        <v>0.473389425315906</v>
      </c>
    </row>
    <row r="328" spans="1:136" x14ac:dyDescent="0.35">
      <c r="A328" s="72">
        <v>1711</v>
      </c>
      <c r="B328" s="72">
        <v>11</v>
      </c>
      <c r="D328" s="72" t="s">
        <v>96</v>
      </c>
      <c r="E328" s="79">
        <v>2496400000</v>
      </c>
      <c r="F328" s="79">
        <v>389200000</v>
      </c>
      <c r="G328" s="79">
        <v>419300000</v>
      </c>
      <c r="H328" s="79">
        <v>31638</v>
      </c>
      <c r="I328" s="79">
        <v>5</v>
      </c>
      <c r="J328" s="79">
        <v>419.3</v>
      </c>
      <c r="K328" s="79">
        <v>4892</v>
      </c>
      <c r="L328" s="79">
        <v>7971</v>
      </c>
      <c r="M328" s="79">
        <v>2480</v>
      </c>
      <c r="N328" s="79">
        <v>4540</v>
      </c>
      <c r="O328" s="79">
        <v>2997.6</v>
      </c>
      <c r="P328" s="79">
        <v>454.33333333333297</v>
      </c>
      <c r="Q328" s="79">
        <v>2820.3333333333298</v>
      </c>
      <c r="R328" s="79">
        <v>605</v>
      </c>
      <c r="S328" s="79">
        <v>0</v>
      </c>
      <c r="T328" s="79">
        <v>924</v>
      </c>
      <c r="U328" s="79">
        <v>15071</v>
      </c>
      <c r="V328" s="79">
        <v>29310</v>
      </c>
      <c r="W328" s="79">
        <v>16200</v>
      </c>
      <c r="X328" s="79">
        <v>237.6</v>
      </c>
      <c r="Y328" s="79">
        <v>1091.2</v>
      </c>
      <c r="Z328" s="79">
        <v>0</v>
      </c>
      <c r="AA328" s="79">
        <v>0</v>
      </c>
      <c r="AB328" s="79">
        <v>0</v>
      </c>
      <c r="AC328" s="79">
        <v>10303</v>
      </c>
      <c r="AD328" s="79">
        <v>10303</v>
      </c>
      <c r="AE328" s="79">
        <v>159</v>
      </c>
      <c r="AF328" s="79">
        <v>0</v>
      </c>
      <c r="AG328" s="79">
        <v>302</v>
      </c>
      <c r="AH328" s="79">
        <v>227</v>
      </c>
      <c r="AI328" s="79">
        <v>75</v>
      </c>
      <c r="AJ328" s="79">
        <v>15424</v>
      </c>
      <c r="AK328" s="79">
        <v>15424</v>
      </c>
      <c r="AL328" s="79">
        <v>29</v>
      </c>
      <c r="AM328" s="79">
        <v>0</v>
      </c>
      <c r="AN328" s="79">
        <v>0</v>
      </c>
      <c r="AO328" s="79">
        <v>0</v>
      </c>
      <c r="AP328" s="79">
        <v>572</v>
      </c>
      <c r="AQ328" s="79">
        <v>572</v>
      </c>
      <c r="AR328" s="80">
        <v>7.6928999999999995E-4</v>
      </c>
      <c r="AS328" s="80">
        <v>4.4813299999999997E-4</v>
      </c>
      <c r="AT328" s="79">
        <v>10966.464</v>
      </c>
      <c r="AU328" s="79">
        <v>0</v>
      </c>
      <c r="AV328" s="79">
        <v>987</v>
      </c>
      <c r="AW328" s="79">
        <v>2984.7740393806198</v>
      </c>
      <c r="AX328" s="79">
        <v>12</v>
      </c>
      <c r="AY328" s="79">
        <v>12</v>
      </c>
      <c r="AZ328" s="79">
        <v>3285</v>
      </c>
      <c r="BA328" s="79">
        <v>1</v>
      </c>
      <c r="BB328" s="79">
        <v>0</v>
      </c>
      <c r="BC328" s="79">
        <v>0</v>
      </c>
      <c r="BD328" s="79">
        <v>0</v>
      </c>
      <c r="BE328" s="79">
        <v>0</v>
      </c>
      <c r="BF328" s="79">
        <v>0</v>
      </c>
      <c r="BG328" s="79">
        <v>0</v>
      </c>
      <c r="BH328" s="79">
        <v>0</v>
      </c>
      <c r="BI328" s="79">
        <v>0</v>
      </c>
      <c r="BJ328" s="79">
        <v>0</v>
      </c>
      <c r="BK328" s="79">
        <v>11</v>
      </c>
      <c r="BL328" s="79">
        <v>4474</v>
      </c>
      <c r="BM328" s="79">
        <v>227</v>
      </c>
      <c r="BN328" s="79">
        <v>75</v>
      </c>
      <c r="BO328">
        <v>5789</v>
      </c>
      <c r="BP328">
        <v>1610</v>
      </c>
      <c r="BQ328">
        <v>5708</v>
      </c>
      <c r="BR328">
        <v>1667</v>
      </c>
      <c r="BS328">
        <v>5662</v>
      </c>
      <c r="BT328">
        <v>1775</v>
      </c>
      <c r="BU328">
        <v>5539</v>
      </c>
      <c r="BV328">
        <v>1748</v>
      </c>
      <c r="BW328">
        <v>5424</v>
      </c>
      <c r="BX328">
        <v>1753</v>
      </c>
      <c r="BY328">
        <v>5316</v>
      </c>
      <c r="BZ328">
        <v>1708</v>
      </c>
      <c r="CB328">
        <v>543.01199999999994</v>
      </c>
      <c r="CC328">
        <v>53</v>
      </c>
      <c r="CD328">
        <v>94</v>
      </c>
      <c r="CE328">
        <v>9086.08</v>
      </c>
      <c r="CF328">
        <v>1920</v>
      </c>
      <c r="CG328">
        <v>143.16492470837801</v>
      </c>
      <c r="CH328">
        <v>293</v>
      </c>
      <c r="CI328">
        <v>119.333333333333</v>
      </c>
      <c r="CJ328">
        <v>99</v>
      </c>
      <c r="CK328" s="81">
        <v>2366</v>
      </c>
      <c r="CL328">
        <v>618</v>
      </c>
      <c r="CM328">
        <v>5985.1414056287804</v>
      </c>
      <c r="CN328">
        <v>0.93899999999999995</v>
      </c>
      <c r="CO328">
        <v>23667</v>
      </c>
      <c r="CP328">
        <v>4626</v>
      </c>
      <c r="CQ328">
        <v>865</v>
      </c>
      <c r="CR328">
        <v>918</v>
      </c>
      <c r="CS328">
        <v>764</v>
      </c>
      <c r="CT328">
        <v>394</v>
      </c>
      <c r="CU328">
        <v>557.58003112033202</v>
      </c>
      <c r="CV328">
        <v>326.30772821576801</v>
      </c>
      <c r="CW328">
        <v>111.16618257261401</v>
      </c>
      <c r="CX328">
        <v>1346.1348</v>
      </c>
      <c r="CY328">
        <v>787.78679999999997</v>
      </c>
      <c r="CZ328">
        <v>268.38240000000002</v>
      </c>
      <c r="DA328">
        <v>145313</v>
      </c>
      <c r="DE328">
        <v>1696</v>
      </c>
      <c r="DF328" t="s">
        <v>345</v>
      </c>
      <c r="DG328">
        <v>5009</v>
      </c>
      <c r="DH328">
        <v>4979</v>
      </c>
      <c r="DI328">
        <v>4934</v>
      </c>
      <c r="DJ328">
        <v>4828</v>
      </c>
      <c r="DK328">
        <v>4757</v>
      </c>
      <c r="DO328">
        <v>840</v>
      </c>
      <c r="DP328" t="s">
        <v>264</v>
      </c>
      <c r="DQ328">
        <v>9776</v>
      </c>
      <c r="DR328">
        <v>1</v>
      </c>
      <c r="DS328">
        <v>657</v>
      </c>
      <c r="DV328">
        <v>717</v>
      </c>
      <c r="DW328" t="s">
        <v>312</v>
      </c>
      <c r="DX328">
        <v>2404.9726729291201</v>
      </c>
      <c r="DY328">
        <v>631</v>
      </c>
      <c r="DZ328">
        <v>496</v>
      </c>
      <c r="EA328">
        <v>304</v>
      </c>
      <c r="EB328">
        <v>2026</v>
      </c>
      <c r="EC328">
        <v>1159</v>
      </c>
      <c r="ED328">
        <v>441</v>
      </c>
      <c r="EE328" s="82">
        <v>6.4296534562721705E-2</v>
      </c>
      <c r="EF328" s="82">
        <v>0.40056396059305099</v>
      </c>
    </row>
    <row r="329" spans="1:136" x14ac:dyDescent="0.35">
      <c r="A329" s="72">
        <v>1903</v>
      </c>
      <c r="B329" s="72">
        <v>11</v>
      </c>
      <c r="D329" s="72" t="s">
        <v>101</v>
      </c>
      <c r="E329" s="79">
        <v>2326400000</v>
      </c>
      <c r="F329" s="79">
        <v>251300000</v>
      </c>
      <c r="G329" s="79">
        <v>273700000</v>
      </c>
      <c r="H329" s="79">
        <v>25658</v>
      </c>
      <c r="I329" s="79">
        <v>5</v>
      </c>
      <c r="J329" s="79">
        <v>273.7</v>
      </c>
      <c r="K329" s="79">
        <v>4456</v>
      </c>
      <c r="L329" s="79">
        <v>6347</v>
      </c>
      <c r="M329" s="79">
        <v>2112</v>
      </c>
      <c r="N329" s="79">
        <v>2618</v>
      </c>
      <c r="O329" s="79">
        <v>1461.1</v>
      </c>
      <c r="P329" s="79">
        <v>224.666666666667</v>
      </c>
      <c r="Q329" s="79">
        <v>1392.6666666666699</v>
      </c>
      <c r="R329" s="79">
        <v>355</v>
      </c>
      <c r="S329" s="79">
        <v>0</v>
      </c>
      <c r="T329" s="79">
        <v>574</v>
      </c>
      <c r="U329" s="79">
        <v>11366</v>
      </c>
      <c r="V329" s="79">
        <v>17820</v>
      </c>
      <c r="W329" s="79">
        <v>3070</v>
      </c>
      <c r="X329" s="79">
        <v>442.88</v>
      </c>
      <c r="Y329" s="79">
        <v>0</v>
      </c>
      <c r="Z329" s="79">
        <v>0</v>
      </c>
      <c r="AA329" s="79">
        <v>0</v>
      </c>
      <c r="AB329" s="79">
        <v>0</v>
      </c>
      <c r="AC329" s="79">
        <v>7756</v>
      </c>
      <c r="AD329" s="79">
        <v>7756</v>
      </c>
      <c r="AE329" s="79">
        <v>121</v>
      </c>
      <c r="AF329" s="79">
        <v>0</v>
      </c>
      <c r="AG329" s="79">
        <v>219</v>
      </c>
      <c r="AH329" s="79">
        <v>180</v>
      </c>
      <c r="AI329" s="79">
        <v>39</v>
      </c>
      <c r="AJ329" s="79">
        <v>11569</v>
      </c>
      <c r="AK329" s="79">
        <v>11569</v>
      </c>
      <c r="AL329" s="79">
        <v>0</v>
      </c>
      <c r="AM329" s="79">
        <v>0</v>
      </c>
      <c r="AN329" s="79">
        <v>0</v>
      </c>
      <c r="AO329" s="79">
        <v>0</v>
      </c>
      <c r="AP329" s="79">
        <v>0</v>
      </c>
      <c r="AQ329" s="79">
        <v>0</v>
      </c>
      <c r="AR329" s="80">
        <v>6.6093399999999996E-4</v>
      </c>
      <c r="AS329" s="80">
        <v>2.08381E-4</v>
      </c>
      <c r="AT329" s="79">
        <v>5321.74</v>
      </c>
      <c r="AU329" s="79">
        <v>0</v>
      </c>
      <c r="AV329" s="79">
        <v>294</v>
      </c>
      <c r="AW329" s="79">
        <v>957.65545258347095</v>
      </c>
      <c r="AX329" s="79">
        <v>20</v>
      </c>
      <c r="AY329" s="79">
        <v>20</v>
      </c>
      <c r="AZ329" s="79">
        <v>2737</v>
      </c>
      <c r="BA329" s="79">
        <v>1</v>
      </c>
      <c r="BB329" s="79">
        <v>0</v>
      </c>
      <c r="BC329" s="79">
        <v>0</v>
      </c>
      <c r="BD329" s="79">
        <v>0</v>
      </c>
      <c r="BE329" s="79">
        <v>0</v>
      </c>
      <c r="BF329" s="79">
        <v>0</v>
      </c>
      <c r="BG329" s="79">
        <v>0</v>
      </c>
      <c r="BH329" s="79">
        <v>0</v>
      </c>
      <c r="BI329" s="79">
        <v>0</v>
      </c>
      <c r="BJ329" s="79">
        <v>0</v>
      </c>
      <c r="BK329" s="79">
        <v>14</v>
      </c>
      <c r="BL329" s="79">
        <v>2950</v>
      </c>
      <c r="BM329" s="79">
        <v>180</v>
      </c>
      <c r="BN329" s="79">
        <v>39</v>
      </c>
      <c r="BO329">
        <v>5245</v>
      </c>
      <c r="BP329">
        <v>746</v>
      </c>
      <c r="BQ329">
        <v>5122</v>
      </c>
      <c r="BR329">
        <v>602</v>
      </c>
      <c r="BS329">
        <v>5027</v>
      </c>
      <c r="BT329">
        <v>0</v>
      </c>
      <c r="BU329">
        <v>4871</v>
      </c>
      <c r="BV329">
        <v>0</v>
      </c>
      <c r="BW329">
        <v>4756</v>
      </c>
      <c r="BX329">
        <v>0</v>
      </c>
      <c r="BY329">
        <v>4630</v>
      </c>
      <c r="BZ329">
        <v>0</v>
      </c>
      <c r="CB329">
        <v>338.65600000000001</v>
      </c>
      <c r="CC329">
        <v>29</v>
      </c>
      <c r="CD329">
        <v>34</v>
      </c>
      <c r="CE329">
        <v>8252.25</v>
      </c>
      <c r="CF329">
        <v>1912.5</v>
      </c>
      <c r="CG329">
        <v>105.311512899897</v>
      </c>
      <c r="CH329">
        <v>197</v>
      </c>
      <c r="CI329">
        <v>58</v>
      </c>
      <c r="CJ329">
        <v>30.6666666666667</v>
      </c>
      <c r="CK329" s="81">
        <v>1168</v>
      </c>
      <c r="CL329">
        <v>232</v>
      </c>
      <c r="CM329">
        <v>4204.9175623930296</v>
      </c>
      <c r="CN329">
        <v>0.17199999999999999</v>
      </c>
      <c r="CO329">
        <v>19311</v>
      </c>
      <c r="CP329">
        <v>3572</v>
      </c>
      <c r="CQ329">
        <v>663</v>
      </c>
      <c r="CR329">
        <v>576</v>
      </c>
      <c r="CS329">
        <v>579</v>
      </c>
      <c r="CT329">
        <v>280</v>
      </c>
      <c r="CU329">
        <v>272.92221453885401</v>
      </c>
      <c r="CV329">
        <v>177.69623130780499</v>
      </c>
      <c r="CW329">
        <v>55.822128100959503</v>
      </c>
      <c r="CX329">
        <v>820.31560000000002</v>
      </c>
      <c r="CY329">
        <v>534.09720000000004</v>
      </c>
      <c r="CZ329">
        <v>167.78319999999999</v>
      </c>
      <c r="DA329">
        <v>0</v>
      </c>
      <c r="DE329">
        <v>1699</v>
      </c>
      <c r="DF329" t="s">
        <v>219</v>
      </c>
      <c r="DG329">
        <v>6649</v>
      </c>
      <c r="DH329">
        <v>6465</v>
      </c>
      <c r="DI329">
        <v>6405</v>
      </c>
      <c r="DJ329">
        <v>6338</v>
      </c>
      <c r="DK329">
        <v>6229</v>
      </c>
      <c r="DO329">
        <v>796</v>
      </c>
      <c r="DP329" t="s">
        <v>271</v>
      </c>
      <c r="DQ329">
        <v>72232</v>
      </c>
      <c r="DR329">
        <v>1</v>
      </c>
      <c r="DS329">
        <v>1963</v>
      </c>
      <c r="DV329">
        <v>861</v>
      </c>
      <c r="DW329" t="s">
        <v>313</v>
      </c>
      <c r="DX329">
        <v>5099.4576999846504</v>
      </c>
      <c r="DY329">
        <v>1029</v>
      </c>
      <c r="DZ329">
        <v>984</v>
      </c>
      <c r="EA329">
        <v>539</v>
      </c>
      <c r="EB329">
        <v>3220</v>
      </c>
      <c r="EC329">
        <v>2153</v>
      </c>
      <c r="ED329">
        <v>788</v>
      </c>
      <c r="EE329" s="82">
        <v>0.15748334763871</v>
      </c>
      <c r="EF329" s="82">
        <v>0.39000213880868401</v>
      </c>
    </row>
    <row r="330" spans="1:136" x14ac:dyDescent="0.35">
      <c r="A330" s="72">
        <v>907</v>
      </c>
      <c r="B330" s="72">
        <v>11</v>
      </c>
      <c r="D330" s="72" t="s">
        <v>113</v>
      </c>
      <c r="E330" s="79">
        <v>1434400000</v>
      </c>
      <c r="F330" s="79">
        <v>231350000</v>
      </c>
      <c r="G330" s="79">
        <v>246400000</v>
      </c>
      <c r="H330" s="79">
        <v>17071</v>
      </c>
      <c r="I330" s="79">
        <v>3</v>
      </c>
      <c r="J330" s="79">
        <v>246.4</v>
      </c>
      <c r="K330" s="79">
        <v>3179</v>
      </c>
      <c r="L330" s="79">
        <v>3917</v>
      </c>
      <c r="M330" s="79">
        <v>1228</v>
      </c>
      <c r="N330" s="79">
        <v>2205</v>
      </c>
      <c r="O330" s="79">
        <v>1338</v>
      </c>
      <c r="P330" s="79">
        <v>291.33333333333297</v>
      </c>
      <c r="Q330" s="79">
        <v>1626.3333333333301</v>
      </c>
      <c r="R330" s="79">
        <v>465</v>
      </c>
      <c r="S330" s="79">
        <v>0</v>
      </c>
      <c r="T330" s="79">
        <v>444</v>
      </c>
      <c r="U330" s="79">
        <v>7898</v>
      </c>
      <c r="V330" s="79">
        <v>15760</v>
      </c>
      <c r="W330" s="79">
        <v>5790</v>
      </c>
      <c r="X330" s="79">
        <v>683.42</v>
      </c>
      <c r="Y330" s="79">
        <v>519.20000000000005</v>
      </c>
      <c r="Z330" s="79">
        <v>0</v>
      </c>
      <c r="AA330" s="79">
        <v>0</v>
      </c>
      <c r="AB330" s="79">
        <v>0</v>
      </c>
      <c r="AC330" s="79">
        <v>4753</v>
      </c>
      <c r="AD330" s="79">
        <v>4753</v>
      </c>
      <c r="AE330" s="79">
        <v>289</v>
      </c>
      <c r="AF330" s="79">
        <v>0</v>
      </c>
      <c r="AG330" s="79">
        <v>180</v>
      </c>
      <c r="AH330" s="79">
        <v>113</v>
      </c>
      <c r="AI330" s="79">
        <v>67</v>
      </c>
      <c r="AJ330" s="79">
        <v>8670</v>
      </c>
      <c r="AK330" s="79">
        <v>8670</v>
      </c>
      <c r="AL330" s="79">
        <v>5</v>
      </c>
      <c r="AM330" s="79">
        <v>0</v>
      </c>
      <c r="AN330" s="79">
        <v>0</v>
      </c>
      <c r="AO330" s="79">
        <v>0</v>
      </c>
      <c r="AP330" s="79">
        <v>569</v>
      </c>
      <c r="AQ330" s="79">
        <v>569</v>
      </c>
      <c r="AR330" s="80">
        <v>3.0259999999999998E-4</v>
      </c>
      <c r="AS330" s="80">
        <v>2.4564900000000002E-4</v>
      </c>
      <c r="AT330" s="79">
        <v>5514.12</v>
      </c>
      <c r="AU330" s="79">
        <v>0</v>
      </c>
      <c r="AV330" s="79">
        <v>883</v>
      </c>
      <c r="AW330" s="79">
        <v>2989.62574375248</v>
      </c>
      <c r="AX330" s="79">
        <v>5</v>
      </c>
      <c r="AY330" s="79">
        <v>5</v>
      </c>
      <c r="AZ330" s="79">
        <v>1621</v>
      </c>
      <c r="BA330" s="79">
        <v>1</v>
      </c>
      <c r="BB330" s="79">
        <v>0</v>
      </c>
      <c r="BC330" s="79">
        <v>0</v>
      </c>
      <c r="BD330" s="79">
        <v>0</v>
      </c>
      <c r="BE330" s="79">
        <v>0</v>
      </c>
      <c r="BF330" s="79">
        <v>0</v>
      </c>
      <c r="BG330" s="79">
        <v>0</v>
      </c>
      <c r="BH330" s="79">
        <v>0</v>
      </c>
      <c r="BI330" s="79">
        <v>0</v>
      </c>
      <c r="BJ330" s="79">
        <v>0</v>
      </c>
      <c r="BK330" s="79">
        <v>4</v>
      </c>
      <c r="BL330" s="79">
        <v>2255</v>
      </c>
      <c r="BM330" s="79">
        <v>113</v>
      </c>
      <c r="BN330" s="79">
        <v>67</v>
      </c>
      <c r="BO330">
        <v>3495</v>
      </c>
      <c r="BP330">
        <v>602</v>
      </c>
      <c r="BQ330">
        <v>3499</v>
      </c>
      <c r="BR330">
        <v>581</v>
      </c>
      <c r="BS330">
        <v>3545</v>
      </c>
      <c r="BT330">
        <v>587</v>
      </c>
      <c r="BU330">
        <v>3497</v>
      </c>
      <c r="BV330">
        <v>560</v>
      </c>
      <c r="BW330">
        <v>3478</v>
      </c>
      <c r="BX330">
        <v>580</v>
      </c>
      <c r="BY330">
        <v>3453</v>
      </c>
      <c r="BZ330">
        <v>537</v>
      </c>
      <c r="CB330">
        <v>308.363</v>
      </c>
      <c r="CC330">
        <v>31</v>
      </c>
      <c r="CD330">
        <v>28</v>
      </c>
      <c r="CE330">
        <v>4401.76</v>
      </c>
      <c r="CF330">
        <v>1065.5999999999999</v>
      </c>
      <c r="CG330">
        <v>93.809128425998395</v>
      </c>
      <c r="CH330">
        <v>167</v>
      </c>
      <c r="CI330">
        <v>71.6666666666667</v>
      </c>
      <c r="CJ330">
        <v>61.6666666666667</v>
      </c>
      <c r="CK330" s="81">
        <v>1335</v>
      </c>
      <c r="CL330">
        <v>595</v>
      </c>
      <c r="CM330">
        <v>2802.5016564237599</v>
      </c>
      <c r="CN330">
        <v>0.47399999999999998</v>
      </c>
      <c r="CO330">
        <v>13154</v>
      </c>
      <c r="CP330">
        <v>2302</v>
      </c>
      <c r="CQ330">
        <v>387</v>
      </c>
      <c r="CR330">
        <v>431</v>
      </c>
      <c r="CS330">
        <v>373</v>
      </c>
      <c r="CT330">
        <v>175</v>
      </c>
      <c r="CU330">
        <v>209.88235294117601</v>
      </c>
      <c r="CV330">
        <v>130.55916955017301</v>
      </c>
      <c r="CW330">
        <v>38.7356401384083</v>
      </c>
      <c r="CX330">
        <v>655.11199999999997</v>
      </c>
      <c r="CY330">
        <v>407.51819999999998</v>
      </c>
      <c r="CZ330">
        <v>120.9067</v>
      </c>
      <c r="DA330">
        <v>387903</v>
      </c>
      <c r="DE330">
        <v>1700</v>
      </c>
      <c r="DF330" t="s">
        <v>298</v>
      </c>
      <c r="DG330">
        <v>8179</v>
      </c>
      <c r="DH330">
        <v>8152</v>
      </c>
      <c r="DI330">
        <v>8162</v>
      </c>
      <c r="DJ330">
        <v>8193</v>
      </c>
      <c r="DK330">
        <v>8159</v>
      </c>
      <c r="DO330">
        <v>1702</v>
      </c>
      <c r="DP330" t="s">
        <v>273</v>
      </c>
      <c r="DQ330">
        <v>4972</v>
      </c>
      <c r="DR330">
        <v>1</v>
      </c>
      <c r="DS330">
        <v>268</v>
      </c>
      <c r="DV330">
        <v>453</v>
      </c>
      <c r="DW330" t="s">
        <v>314</v>
      </c>
      <c r="DX330">
        <v>9244.8149378412199</v>
      </c>
      <c r="DY330">
        <v>1815</v>
      </c>
      <c r="DZ330">
        <v>1536</v>
      </c>
      <c r="EA330">
        <v>1032</v>
      </c>
      <c r="EB330">
        <v>4821</v>
      </c>
      <c r="EC330">
        <v>2947</v>
      </c>
      <c r="ED330">
        <v>1370</v>
      </c>
      <c r="EE330" s="82">
        <v>0.198885097081931</v>
      </c>
      <c r="EF330" s="82">
        <v>0.43372316852071502</v>
      </c>
    </row>
    <row r="331" spans="1:136" x14ac:dyDescent="0.35">
      <c r="A331" s="72">
        <v>1729</v>
      </c>
      <c r="B331" s="72">
        <v>11</v>
      </c>
      <c r="D331" s="72" t="s">
        <v>123</v>
      </c>
      <c r="E331" s="79">
        <v>1221600000</v>
      </c>
      <c r="F331" s="79">
        <v>137200000</v>
      </c>
      <c r="G331" s="79">
        <v>158550000</v>
      </c>
      <c r="H331" s="79">
        <v>14246</v>
      </c>
      <c r="I331" s="79">
        <v>4</v>
      </c>
      <c r="J331" s="79">
        <v>158.55000000000001</v>
      </c>
      <c r="K331" s="79">
        <v>1997</v>
      </c>
      <c r="L331" s="79">
        <v>3950</v>
      </c>
      <c r="M331" s="79">
        <v>1267</v>
      </c>
      <c r="N331" s="79">
        <v>2004</v>
      </c>
      <c r="O331" s="79">
        <v>1277.8</v>
      </c>
      <c r="P331" s="79">
        <v>151.333333333333</v>
      </c>
      <c r="Q331" s="79">
        <v>1061.3333333333301</v>
      </c>
      <c r="R331" s="79">
        <v>155</v>
      </c>
      <c r="S331" s="79">
        <v>0</v>
      </c>
      <c r="T331" s="79">
        <v>349</v>
      </c>
      <c r="U331" s="79">
        <v>6790</v>
      </c>
      <c r="V331" s="79">
        <v>9230</v>
      </c>
      <c r="W331" s="79">
        <v>820</v>
      </c>
      <c r="X331" s="79">
        <v>253.44</v>
      </c>
      <c r="Y331" s="79">
        <v>1124</v>
      </c>
      <c r="Z331" s="79">
        <v>0</v>
      </c>
      <c r="AA331" s="79">
        <v>0</v>
      </c>
      <c r="AB331" s="79">
        <v>0</v>
      </c>
      <c r="AC331" s="79">
        <v>7317</v>
      </c>
      <c r="AD331" s="79">
        <v>7317</v>
      </c>
      <c r="AE331" s="79">
        <v>19</v>
      </c>
      <c r="AF331" s="79">
        <v>0</v>
      </c>
      <c r="AG331" s="79">
        <v>119</v>
      </c>
      <c r="AH331" s="79">
        <v>87</v>
      </c>
      <c r="AI331" s="79">
        <v>32</v>
      </c>
      <c r="AJ331" s="79">
        <v>7262</v>
      </c>
      <c r="AK331" s="79">
        <v>7262</v>
      </c>
      <c r="AL331" s="79">
        <v>0</v>
      </c>
      <c r="AM331" s="79">
        <v>0</v>
      </c>
      <c r="AN331" s="79">
        <v>0</v>
      </c>
      <c r="AO331" s="79">
        <v>0</v>
      </c>
      <c r="AP331" s="79">
        <v>0</v>
      </c>
      <c r="AQ331" s="79">
        <v>0</v>
      </c>
      <c r="AR331" s="80">
        <v>5.7190500000000005E-4</v>
      </c>
      <c r="AS331" s="80">
        <v>1.8492500000000001E-4</v>
      </c>
      <c r="AT331" s="79">
        <v>2084.194</v>
      </c>
      <c r="AU331" s="79">
        <v>0</v>
      </c>
      <c r="AV331" s="79">
        <v>551</v>
      </c>
      <c r="AW331" s="79">
        <v>1070.0035441657601</v>
      </c>
      <c r="AX331" s="79">
        <v>20</v>
      </c>
      <c r="AY331" s="79">
        <v>20</v>
      </c>
      <c r="AZ331" s="79">
        <v>1588</v>
      </c>
      <c r="BA331" s="79">
        <v>1</v>
      </c>
      <c r="BB331" s="79">
        <v>0</v>
      </c>
      <c r="BC331" s="79">
        <v>0</v>
      </c>
      <c r="BD331" s="79">
        <v>0</v>
      </c>
      <c r="BE331" s="79">
        <v>0</v>
      </c>
      <c r="BF331" s="79">
        <v>0</v>
      </c>
      <c r="BG331" s="79">
        <v>0</v>
      </c>
      <c r="BH331" s="79">
        <v>0</v>
      </c>
      <c r="BI331" s="79">
        <v>0</v>
      </c>
      <c r="BJ331" s="79">
        <v>0</v>
      </c>
      <c r="BK331" s="79">
        <v>10</v>
      </c>
      <c r="BL331" s="79">
        <v>2053</v>
      </c>
      <c r="BM331" s="79">
        <v>87</v>
      </c>
      <c r="BN331" s="79">
        <v>32</v>
      </c>
      <c r="BO331">
        <v>2589</v>
      </c>
      <c r="BP331">
        <v>1760</v>
      </c>
      <c r="BQ331">
        <v>2519</v>
      </c>
      <c r="BR331">
        <v>1707</v>
      </c>
      <c r="BS331">
        <v>2444</v>
      </c>
      <c r="BT331">
        <v>1709</v>
      </c>
      <c r="BU331">
        <v>2367</v>
      </c>
      <c r="BV331">
        <v>1652</v>
      </c>
      <c r="BW331">
        <v>2289</v>
      </c>
      <c r="BX331">
        <v>1620</v>
      </c>
      <c r="BY331">
        <v>2236</v>
      </c>
      <c r="BZ331">
        <v>1626</v>
      </c>
      <c r="CB331">
        <v>175.73599999999999</v>
      </c>
      <c r="CC331">
        <v>17</v>
      </c>
      <c r="CD331">
        <v>11</v>
      </c>
      <c r="CE331">
        <v>4439.72</v>
      </c>
      <c r="CF331">
        <v>868</v>
      </c>
      <c r="CG331">
        <v>33.496399602385701</v>
      </c>
      <c r="CH331">
        <v>103</v>
      </c>
      <c r="CI331">
        <v>39</v>
      </c>
      <c r="CJ331">
        <v>25</v>
      </c>
      <c r="CK331" s="81">
        <v>910</v>
      </c>
      <c r="CL331">
        <v>190</v>
      </c>
      <c r="CM331">
        <v>2602.1829225255001</v>
      </c>
      <c r="CN331">
        <v>0.35</v>
      </c>
      <c r="CO331">
        <v>10296</v>
      </c>
      <c r="CP331">
        <v>2251</v>
      </c>
      <c r="CQ331">
        <v>432</v>
      </c>
      <c r="CR331">
        <v>402</v>
      </c>
      <c r="CS331">
        <v>403</v>
      </c>
      <c r="CT331">
        <v>176</v>
      </c>
      <c r="CU331">
        <v>241.589011291655</v>
      </c>
      <c r="CV331">
        <v>154.13836408702801</v>
      </c>
      <c r="CW331">
        <v>46.628614706692403</v>
      </c>
      <c r="CX331">
        <v>606.04219999999998</v>
      </c>
      <c r="CY331">
        <v>386.66640000000001</v>
      </c>
      <c r="CZ331">
        <v>116.971</v>
      </c>
      <c r="DA331">
        <v>0</v>
      </c>
      <c r="DE331">
        <v>1701</v>
      </c>
      <c r="DF331" t="s">
        <v>337</v>
      </c>
      <c r="DG331">
        <v>3856</v>
      </c>
      <c r="DH331">
        <v>3831</v>
      </c>
      <c r="DI331">
        <v>3793</v>
      </c>
      <c r="DJ331">
        <v>3705</v>
      </c>
      <c r="DK331">
        <v>3616</v>
      </c>
      <c r="DO331">
        <v>845</v>
      </c>
      <c r="DP331" t="s">
        <v>274</v>
      </c>
      <c r="DQ331">
        <v>12069</v>
      </c>
      <c r="DR331">
        <v>1</v>
      </c>
      <c r="DS331">
        <v>617</v>
      </c>
      <c r="DV331">
        <v>983</v>
      </c>
      <c r="DW331" t="s">
        <v>315</v>
      </c>
      <c r="DX331">
        <v>16694.711555574399</v>
      </c>
      <c r="DY331">
        <v>2728</v>
      </c>
      <c r="DZ331">
        <v>2394</v>
      </c>
      <c r="EA331">
        <v>1313</v>
      </c>
      <c r="EB331">
        <v>7726</v>
      </c>
      <c r="EC331">
        <v>4713</v>
      </c>
      <c r="ED331">
        <v>1799</v>
      </c>
      <c r="EE331" s="82">
        <v>0.25004532228155901</v>
      </c>
      <c r="EF331" s="82">
        <v>0.53927286471392499</v>
      </c>
    </row>
    <row r="332" spans="1:136" x14ac:dyDescent="0.35">
      <c r="A332" s="72">
        <v>917</v>
      </c>
      <c r="B332" s="72">
        <v>11</v>
      </c>
      <c r="D332" s="72" t="s">
        <v>139</v>
      </c>
      <c r="E332" s="79">
        <v>5016800000</v>
      </c>
      <c r="F332" s="79">
        <v>1522150000</v>
      </c>
      <c r="G332" s="79">
        <v>1553300000</v>
      </c>
      <c r="H332" s="79">
        <v>86832</v>
      </c>
      <c r="I332" s="79">
        <v>1</v>
      </c>
      <c r="J332" s="79">
        <v>1553.3</v>
      </c>
      <c r="K332" s="79">
        <v>13652</v>
      </c>
      <c r="L332" s="79">
        <v>19783</v>
      </c>
      <c r="M332" s="79">
        <v>6342</v>
      </c>
      <c r="N332" s="79">
        <v>19217</v>
      </c>
      <c r="O332" s="79">
        <v>14588.4</v>
      </c>
      <c r="P332" s="79">
        <v>4356.6666666666697</v>
      </c>
      <c r="Q332" s="79">
        <v>13422.666666666701</v>
      </c>
      <c r="R332" s="79">
        <v>5310</v>
      </c>
      <c r="S332" s="79">
        <v>0</v>
      </c>
      <c r="T332" s="79">
        <v>4095</v>
      </c>
      <c r="U332" s="79">
        <v>46750</v>
      </c>
      <c r="V332" s="79">
        <v>103940</v>
      </c>
      <c r="W332" s="79">
        <v>149750</v>
      </c>
      <c r="X332" s="79">
        <v>5548.6369999999997</v>
      </c>
      <c r="Y332" s="79">
        <v>5703.2</v>
      </c>
      <c r="Z332" s="79">
        <v>0</v>
      </c>
      <c r="AA332" s="79">
        <v>0</v>
      </c>
      <c r="AB332" s="79">
        <v>0</v>
      </c>
      <c r="AC332" s="79">
        <v>4491</v>
      </c>
      <c r="AD332" s="79">
        <v>4491</v>
      </c>
      <c r="AE332" s="79">
        <v>62</v>
      </c>
      <c r="AF332" s="79">
        <v>0</v>
      </c>
      <c r="AG332" s="79">
        <v>519</v>
      </c>
      <c r="AH332" s="79">
        <v>472</v>
      </c>
      <c r="AI332" s="79">
        <v>47</v>
      </c>
      <c r="AJ332" s="79">
        <v>46286</v>
      </c>
      <c r="AK332" s="79">
        <v>46286</v>
      </c>
      <c r="AL332" s="79">
        <v>0</v>
      </c>
      <c r="AM332" s="79">
        <v>0</v>
      </c>
      <c r="AN332" s="79">
        <v>0</v>
      </c>
      <c r="AO332" s="79">
        <v>0</v>
      </c>
      <c r="AP332" s="79">
        <v>7754</v>
      </c>
      <c r="AQ332" s="79">
        <v>0</v>
      </c>
      <c r="AR332" s="80">
        <v>9.2766640000000004E-3</v>
      </c>
      <c r="AS332" s="80">
        <v>1.8246696999999999E-2</v>
      </c>
      <c r="AT332" s="79">
        <v>84009.09</v>
      </c>
      <c r="AU332" s="79">
        <v>0</v>
      </c>
      <c r="AV332" s="79">
        <v>510</v>
      </c>
      <c r="AW332" s="79">
        <v>9726.4045684164303</v>
      </c>
      <c r="AX332" s="79">
        <v>4</v>
      </c>
      <c r="AY332" s="79">
        <v>4</v>
      </c>
      <c r="AZ332" s="79">
        <v>6900</v>
      </c>
      <c r="BA332" s="79">
        <v>1</v>
      </c>
      <c r="BB332" s="79">
        <v>0</v>
      </c>
      <c r="BC332" s="79">
        <v>0</v>
      </c>
      <c r="BD332" s="79">
        <v>0</v>
      </c>
      <c r="BE332" s="79">
        <v>0</v>
      </c>
      <c r="BF332" s="79">
        <v>0</v>
      </c>
      <c r="BG332" s="79">
        <v>0</v>
      </c>
      <c r="BH332" s="79">
        <v>0</v>
      </c>
      <c r="BI332" s="79">
        <v>0</v>
      </c>
      <c r="BJ332" s="79">
        <v>0</v>
      </c>
      <c r="BK332" s="79">
        <v>84</v>
      </c>
      <c r="BL332" s="79">
        <v>20709</v>
      </c>
      <c r="BM332" s="79">
        <v>472</v>
      </c>
      <c r="BN332" s="79">
        <v>47</v>
      </c>
      <c r="BO332">
        <v>15361</v>
      </c>
      <c r="BP332">
        <v>7949</v>
      </c>
      <c r="BQ332">
        <v>15072</v>
      </c>
      <c r="BR332">
        <v>7795</v>
      </c>
      <c r="BS332">
        <v>14902</v>
      </c>
      <c r="BT332">
        <v>7738</v>
      </c>
      <c r="BU332">
        <v>14674</v>
      </c>
      <c r="BV332">
        <v>7662</v>
      </c>
      <c r="BW332">
        <v>14399</v>
      </c>
      <c r="BX332">
        <v>7551</v>
      </c>
      <c r="BY332">
        <v>14264</v>
      </c>
      <c r="BZ332">
        <v>7642</v>
      </c>
      <c r="CB332">
        <v>3645.0839999999998</v>
      </c>
      <c r="CC332">
        <v>426</v>
      </c>
      <c r="CD332">
        <v>393</v>
      </c>
      <c r="CE332">
        <v>23443.16</v>
      </c>
      <c r="CF332">
        <v>4131.1899999999996</v>
      </c>
      <c r="CG332">
        <v>658.49821024967105</v>
      </c>
      <c r="CH332">
        <v>1334</v>
      </c>
      <c r="CI332">
        <v>1115.6666666666699</v>
      </c>
      <c r="CJ332">
        <v>1053</v>
      </c>
      <c r="CK332" s="81">
        <v>9066</v>
      </c>
      <c r="CL332">
        <v>2171</v>
      </c>
      <c r="CM332">
        <v>20184.848739903398</v>
      </c>
      <c r="CN332">
        <v>13.054</v>
      </c>
      <c r="CO332">
        <v>67049</v>
      </c>
      <c r="CP332">
        <v>10911</v>
      </c>
      <c r="CQ332">
        <v>2530</v>
      </c>
      <c r="CR332">
        <v>3227</v>
      </c>
      <c r="CS332">
        <v>2640</v>
      </c>
      <c r="CT332">
        <v>1409</v>
      </c>
      <c r="CU332">
        <v>2310.5811778939601</v>
      </c>
      <c r="CV332">
        <v>1468.7366374281601</v>
      </c>
      <c r="CW332">
        <v>582.45178239640495</v>
      </c>
      <c r="CX332">
        <v>4502.7002000000002</v>
      </c>
      <c r="CY332">
        <v>2862.172</v>
      </c>
      <c r="CZ332">
        <v>1135.0416</v>
      </c>
      <c r="DA332">
        <v>92688</v>
      </c>
      <c r="DE332">
        <v>1702</v>
      </c>
      <c r="DF332" t="s">
        <v>273</v>
      </c>
      <c r="DG332">
        <v>2817</v>
      </c>
      <c r="DH332">
        <v>2787</v>
      </c>
      <c r="DI332">
        <v>2705</v>
      </c>
      <c r="DJ332">
        <v>2647</v>
      </c>
      <c r="DK332">
        <v>2535</v>
      </c>
      <c r="DO332">
        <v>847</v>
      </c>
      <c r="DP332" t="s">
        <v>280</v>
      </c>
      <c r="DQ332">
        <v>8024</v>
      </c>
      <c r="DR332">
        <v>1</v>
      </c>
      <c r="DS332">
        <v>720</v>
      </c>
      <c r="DV332">
        <v>984</v>
      </c>
      <c r="DW332" t="s">
        <v>316</v>
      </c>
      <c r="DX332">
        <v>5728.7687348912204</v>
      </c>
      <c r="DY332">
        <v>987</v>
      </c>
      <c r="DZ332">
        <v>922</v>
      </c>
      <c r="EA332">
        <v>432</v>
      </c>
      <c r="EB332">
        <v>3159</v>
      </c>
      <c r="EC332">
        <v>1985</v>
      </c>
      <c r="ED332">
        <v>606</v>
      </c>
      <c r="EE332" s="82">
        <v>0.19845109324778401</v>
      </c>
      <c r="EF332" s="82">
        <v>0.47753270234147599</v>
      </c>
    </row>
    <row r="333" spans="1:136" x14ac:dyDescent="0.35">
      <c r="A333" s="72">
        <v>1507</v>
      </c>
      <c r="B333" s="72">
        <v>11</v>
      </c>
      <c r="D333" s="72" t="s">
        <v>158</v>
      </c>
      <c r="E333" s="79">
        <v>3591600000</v>
      </c>
      <c r="F333" s="79">
        <v>652400000</v>
      </c>
      <c r="G333" s="79">
        <v>728700000</v>
      </c>
      <c r="H333" s="79">
        <v>42291</v>
      </c>
      <c r="I333" s="79">
        <v>9</v>
      </c>
      <c r="J333" s="79">
        <v>728.7</v>
      </c>
      <c r="K333" s="79">
        <v>7779</v>
      </c>
      <c r="L333" s="79">
        <v>8966</v>
      </c>
      <c r="M333" s="79">
        <v>2964</v>
      </c>
      <c r="N333" s="79">
        <v>4816</v>
      </c>
      <c r="O333" s="79">
        <v>2899.2</v>
      </c>
      <c r="P333" s="79">
        <v>389.66666666666703</v>
      </c>
      <c r="Q333" s="79">
        <v>2169.6666666666702</v>
      </c>
      <c r="R333" s="79">
        <v>550</v>
      </c>
      <c r="S333" s="79">
        <v>0</v>
      </c>
      <c r="T333" s="79">
        <v>953</v>
      </c>
      <c r="U333" s="79">
        <v>18484</v>
      </c>
      <c r="V333" s="79">
        <v>38590</v>
      </c>
      <c r="W333" s="79">
        <v>17210</v>
      </c>
      <c r="X333" s="79">
        <v>166.32</v>
      </c>
      <c r="Y333" s="79">
        <v>1622.4</v>
      </c>
      <c r="Z333" s="79">
        <v>0</v>
      </c>
      <c r="AA333" s="79">
        <v>0</v>
      </c>
      <c r="AB333" s="79">
        <v>0</v>
      </c>
      <c r="AC333" s="79">
        <v>18866</v>
      </c>
      <c r="AD333" s="79">
        <v>18866</v>
      </c>
      <c r="AE333" s="79">
        <v>326</v>
      </c>
      <c r="AF333" s="79">
        <v>0</v>
      </c>
      <c r="AG333" s="79">
        <v>517</v>
      </c>
      <c r="AH333" s="79">
        <v>276</v>
      </c>
      <c r="AI333" s="79">
        <v>241</v>
      </c>
      <c r="AJ333" s="79">
        <v>19168</v>
      </c>
      <c r="AK333" s="79">
        <v>19168</v>
      </c>
      <c r="AL333" s="79">
        <v>0</v>
      </c>
      <c r="AM333" s="79">
        <v>0</v>
      </c>
      <c r="AN333" s="79">
        <v>0</v>
      </c>
      <c r="AO333" s="79">
        <v>0</v>
      </c>
      <c r="AP333" s="79">
        <v>0</v>
      </c>
      <c r="AQ333" s="79">
        <v>0</v>
      </c>
      <c r="AR333" s="80">
        <v>5.0099699999999999E-4</v>
      </c>
      <c r="AS333" s="80">
        <v>2.9053999999999999E-4</v>
      </c>
      <c r="AT333" s="79">
        <v>10791.584000000001</v>
      </c>
      <c r="AU333" s="79">
        <v>0</v>
      </c>
      <c r="AV333" s="79">
        <v>3065</v>
      </c>
      <c r="AW333" s="79">
        <v>6753.9555543976703</v>
      </c>
      <c r="AX333" s="79">
        <v>17</v>
      </c>
      <c r="AY333" s="79">
        <v>17</v>
      </c>
      <c r="AZ333" s="79">
        <v>4325</v>
      </c>
      <c r="BA333" s="79">
        <v>1</v>
      </c>
      <c r="BB333" s="79">
        <v>0</v>
      </c>
      <c r="BC333" s="79">
        <v>0</v>
      </c>
      <c r="BD333" s="79">
        <v>0</v>
      </c>
      <c r="BE333" s="79">
        <v>0</v>
      </c>
      <c r="BF333" s="79">
        <v>0</v>
      </c>
      <c r="BG333" s="79">
        <v>0</v>
      </c>
      <c r="BH333" s="79">
        <v>0</v>
      </c>
      <c r="BI333" s="79">
        <v>0</v>
      </c>
      <c r="BJ333" s="79">
        <v>0</v>
      </c>
      <c r="BK333" s="79">
        <v>32</v>
      </c>
      <c r="BL333" s="79">
        <v>5198</v>
      </c>
      <c r="BM333" s="79">
        <v>276</v>
      </c>
      <c r="BN333" s="79">
        <v>241</v>
      </c>
      <c r="BO333">
        <v>8434</v>
      </c>
      <c r="BP333">
        <v>2298</v>
      </c>
      <c r="BQ333">
        <v>9287</v>
      </c>
      <c r="BR333">
        <v>2196</v>
      </c>
      <c r="BS333">
        <v>9212</v>
      </c>
      <c r="BT333">
        <v>2203</v>
      </c>
      <c r="BU333">
        <v>9045</v>
      </c>
      <c r="BV333">
        <v>2172</v>
      </c>
      <c r="BW333">
        <v>8833</v>
      </c>
      <c r="BX333">
        <v>2154</v>
      </c>
      <c r="BY333">
        <v>8627</v>
      </c>
      <c r="BZ333">
        <v>2144</v>
      </c>
      <c r="CB333">
        <v>591.20399999999995</v>
      </c>
      <c r="CC333">
        <v>49</v>
      </c>
      <c r="CD333">
        <v>51</v>
      </c>
      <c r="CE333">
        <v>12329.61</v>
      </c>
      <c r="CF333">
        <v>2979.76</v>
      </c>
      <c r="CG333">
        <v>132.15207351584101</v>
      </c>
      <c r="CH333">
        <v>325</v>
      </c>
      <c r="CI333">
        <v>121.333333333333</v>
      </c>
      <c r="CJ333">
        <v>78.3333333333333</v>
      </c>
      <c r="CK333" s="81">
        <v>1780</v>
      </c>
      <c r="CL333">
        <v>430</v>
      </c>
      <c r="CM333">
        <v>6693.4957648470299</v>
      </c>
      <c r="CN333">
        <v>0.215</v>
      </c>
      <c r="CO333">
        <v>33325</v>
      </c>
      <c r="CP333">
        <v>4989</v>
      </c>
      <c r="CQ333">
        <v>1013</v>
      </c>
      <c r="CR333">
        <v>841</v>
      </c>
      <c r="CS333">
        <v>862</v>
      </c>
      <c r="CT333">
        <v>471</v>
      </c>
      <c r="CU333">
        <v>458.44507512520897</v>
      </c>
      <c r="CV333">
        <v>302.20166944908198</v>
      </c>
      <c r="CW333">
        <v>101.18764607679501</v>
      </c>
      <c r="CX333">
        <v>1326.0625</v>
      </c>
      <c r="CY333">
        <v>874.125</v>
      </c>
      <c r="CZ333">
        <v>292.6875</v>
      </c>
      <c r="DA333">
        <v>65858</v>
      </c>
      <c r="DE333">
        <v>1705</v>
      </c>
      <c r="DF333" t="s">
        <v>185</v>
      </c>
      <c r="DG333">
        <v>10309</v>
      </c>
      <c r="DH333">
        <v>10315</v>
      </c>
      <c r="DI333">
        <v>10323</v>
      </c>
      <c r="DJ333">
        <v>10303</v>
      </c>
      <c r="DK333">
        <v>10186</v>
      </c>
      <c r="DO333">
        <v>848</v>
      </c>
      <c r="DP333" t="s">
        <v>281</v>
      </c>
      <c r="DQ333">
        <v>7124</v>
      </c>
      <c r="DR333">
        <v>1</v>
      </c>
      <c r="DS333">
        <v>682</v>
      </c>
      <c r="DV333">
        <v>620</v>
      </c>
      <c r="DW333" t="s">
        <v>810</v>
      </c>
      <c r="DX333">
        <v>2258.2116415002401</v>
      </c>
      <c r="DY333">
        <v>505</v>
      </c>
      <c r="DZ333">
        <v>348</v>
      </c>
      <c r="EA333">
        <v>178</v>
      </c>
      <c r="EB333">
        <v>1541</v>
      </c>
      <c r="EC333">
        <v>796</v>
      </c>
      <c r="ED333">
        <v>257</v>
      </c>
      <c r="EE333" s="82">
        <v>0.165422148742389</v>
      </c>
      <c r="EF333" s="82">
        <v>0.40773802822016803</v>
      </c>
    </row>
    <row r="334" spans="1:136" x14ac:dyDescent="0.35">
      <c r="A334" s="72">
        <v>928</v>
      </c>
      <c r="B334" s="72">
        <v>11</v>
      </c>
      <c r="D334" s="72" t="s">
        <v>167</v>
      </c>
      <c r="E334" s="79">
        <v>2691600000</v>
      </c>
      <c r="F334" s="79">
        <v>529200000</v>
      </c>
      <c r="G334" s="79">
        <v>540050000</v>
      </c>
      <c r="H334" s="79">
        <v>45642</v>
      </c>
      <c r="I334" s="79">
        <v>1</v>
      </c>
      <c r="J334" s="79">
        <v>540.04999999999995</v>
      </c>
      <c r="K334" s="79">
        <v>6803</v>
      </c>
      <c r="L334" s="79">
        <v>11555</v>
      </c>
      <c r="M334" s="79">
        <v>3790</v>
      </c>
      <c r="N334" s="79">
        <v>9601</v>
      </c>
      <c r="O334" s="79">
        <v>7192.1</v>
      </c>
      <c r="P334" s="79">
        <v>1749</v>
      </c>
      <c r="Q334" s="79">
        <v>6760</v>
      </c>
      <c r="R334" s="79">
        <v>1765</v>
      </c>
      <c r="S334" s="79">
        <v>0</v>
      </c>
      <c r="T334" s="79">
        <v>1881</v>
      </c>
      <c r="U334" s="79">
        <v>23818</v>
      </c>
      <c r="V334" s="79">
        <v>48190</v>
      </c>
      <c r="W334" s="79">
        <v>51680</v>
      </c>
      <c r="X334" s="79">
        <v>864.94</v>
      </c>
      <c r="Y334" s="79">
        <v>300.8</v>
      </c>
      <c r="Z334" s="79">
        <v>0</v>
      </c>
      <c r="AA334" s="79">
        <v>0</v>
      </c>
      <c r="AB334" s="79">
        <v>0</v>
      </c>
      <c r="AC334" s="79">
        <v>2191</v>
      </c>
      <c r="AD334" s="79">
        <v>2191</v>
      </c>
      <c r="AE334" s="79">
        <v>24</v>
      </c>
      <c r="AF334" s="79">
        <v>0</v>
      </c>
      <c r="AG334" s="79">
        <v>294</v>
      </c>
      <c r="AH334" s="79">
        <v>252</v>
      </c>
      <c r="AI334" s="79">
        <v>42</v>
      </c>
      <c r="AJ334" s="79">
        <v>24089</v>
      </c>
      <c r="AK334" s="79">
        <v>24089</v>
      </c>
      <c r="AL334" s="79">
        <v>0</v>
      </c>
      <c r="AM334" s="79">
        <v>0</v>
      </c>
      <c r="AN334" s="79">
        <v>0</v>
      </c>
      <c r="AO334" s="79">
        <v>0</v>
      </c>
      <c r="AP334" s="79">
        <v>7506</v>
      </c>
      <c r="AQ334" s="79">
        <v>0</v>
      </c>
      <c r="AR334" s="80">
        <v>3.0165669999999999E-3</v>
      </c>
      <c r="AS334" s="80">
        <v>4.7433509999999998E-3</v>
      </c>
      <c r="AT334" s="79">
        <v>41866.682000000001</v>
      </c>
      <c r="AU334" s="79">
        <v>0</v>
      </c>
      <c r="AV334" s="79">
        <v>232</v>
      </c>
      <c r="AW334" s="79">
        <v>4780.5616252821701</v>
      </c>
      <c r="AX334" s="79">
        <v>1</v>
      </c>
      <c r="AY334" s="79">
        <v>1</v>
      </c>
      <c r="AZ334" s="79">
        <v>3073</v>
      </c>
      <c r="BA334" s="79">
        <v>1</v>
      </c>
      <c r="BB334" s="79">
        <v>0</v>
      </c>
      <c r="BC334" s="79">
        <v>0</v>
      </c>
      <c r="BD334" s="79">
        <v>0</v>
      </c>
      <c r="BE334" s="79">
        <v>0</v>
      </c>
      <c r="BF334" s="79">
        <v>0</v>
      </c>
      <c r="BG334" s="79">
        <v>0</v>
      </c>
      <c r="BH334" s="79">
        <v>0</v>
      </c>
      <c r="BI334" s="79">
        <v>0</v>
      </c>
      <c r="BJ334" s="79">
        <v>0</v>
      </c>
      <c r="BK334" s="79">
        <v>39</v>
      </c>
      <c r="BL334" s="79">
        <v>9248</v>
      </c>
      <c r="BM334" s="79">
        <v>252</v>
      </c>
      <c r="BN334" s="79">
        <v>42</v>
      </c>
      <c r="BO334">
        <v>7545</v>
      </c>
      <c r="BP334">
        <v>1654</v>
      </c>
      <c r="BQ334">
        <v>7339</v>
      </c>
      <c r="BR334">
        <v>1347</v>
      </c>
      <c r="BS334">
        <v>7250</v>
      </c>
      <c r="BT334">
        <v>1154</v>
      </c>
      <c r="BU334">
        <v>7277</v>
      </c>
      <c r="BV334">
        <v>847</v>
      </c>
      <c r="BW334">
        <v>7278</v>
      </c>
      <c r="BX334">
        <v>792</v>
      </c>
      <c r="BY334">
        <v>7208</v>
      </c>
      <c r="BZ334">
        <v>521</v>
      </c>
      <c r="CB334">
        <v>1680.3409999999999</v>
      </c>
      <c r="CC334">
        <v>321</v>
      </c>
      <c r="CD334">
        <v>148</v>
      </c>
      <c r="CE334">
        <v>11626.47</v>
      </c>
      <c r="CF334">
        <v>2126.11</v>
      </c>
      <c r="CG334">
        <v>172.971896233666</v>
      </c>
      <c r="CH334">
        <v>571</v>
      </c>
      <c r="CI334">
        <v>437</v>
      </c>
      <c r="CJ334">
        <v>420.66666666666703</v>
      </c>
      <c r="CK334" s="81">
        <v>5011</v>
      </c>
      <c r="CL334">
        <v>1158</v>
      </c>
      <c r="CM334">
        <v>9960.0973443712901</v>
      </c>
      <c r="CN334">
        <v>5.1820000000000004</v>
      </c>
      <c r="CO334">
        <v>34087</v>
      </c>
      <c r="CP334">
        <v>6511</v>
      </c>
      <c r="CQ334">
        <v>1254</v>
      </c>
      <c r="CR334">
        <v>1619</v>
      </c>
      <c r="CS334">
        <v>1408</v>
      </c>
      <c r="CT334">
        <v>618</v>
      </c>
      <c r="CU334">
        <v>1245.6075885258799</v>
      </c>
      <c r="CV334">
        <v>787.31237079164805</v>
      </c>
      <c r="CW334">
        <v>254.97336543650599</v>
      </c>
      <c r="CX334">
        <v>2652.9748</v>
      </c>
      <c r="CY334">
        <v>1676.8683000000001</v>
      </c>
      <c r="CZ334">
        <v>543.05859999999996</v>
      </c>
      <c r="DA334">
        <v>58382</v>
      </c>
      <c r="DE334">
        <v>1706</v>
      </c>
      <c r="DF334" t="s">
        <v>71</v>
      </c>
      <c r="DG334">
        <v>4101</v>
      </c>
      <c r="DH334">
        <v>4100</v>
      </c>
      <c r="DI334">
        <v>4063</v>
      </c>
      <c r="DJ334">
        <v>4058</v>
      </c>
      <c r="DK334">
        <v>3985</v>
      </c>
      <c r="DO334">
        <v>851</v>
      </c>
      <c r="DP334" t="s">
        <v>285</v>
      </c>
      <c r="DQ334">
        <v>10376</v>
      </c>
      <c r="DR334">
        <v>1.0900000000000001</v>
      </c>
      <c r="DS334">
        <v>713</v>
      </c>
      <c r="DV334">
        <v>622</v>
      </c>
      <c r="DW334" t="s">
        <v>318</v>
      </c>
      <c r="DX334">
        <v>12292.5548041454</v>
      </c>
      <c r="DY334">
        <v>2174</v>
      </c>
      <c r="DZ334">
        <v>1859</v>
      </c>
      <c r="EA334">
        <v>1185</v>
      </c>
      <c r="EB334">
        <v>5413</v>
      </c>
      <c r="EC334">
        <v>3459</v>
      </c>
      <c r="ED334">
        <v>1577</v>
      </c>
      <c r="EE334" s="82">
        <v>0.248408673095217</v>
      </c>
      <c r="EF334" s="82">
        <v>0.52542617575569694</v>
      </c>
    </row>
    <row r="335" spans="1:136" x14ac:dyDescent="0.35">
      <c r="A335" s="72">
        <v>882</v>
      </c>
      <c r="B335" s="72">
        <v>11</v>
      </c>
      <c r="D335" s="72" t="s">
        <v>173</v>
      </c>
      <c r="E335" s="79">
        <v>2463600000</v>
      </c>
      <c r="F335" s="79">
        <v>273700000</v>
      </c>
      <c r="G335" s="79">
        <v>287000000</v>
      </c>
      <c r="H335" s="79">
        <v>37591</v>
      </c>
      <c r="I335" s="79">
        <v>1</v>
      </c>
      <c r="J335" s="79">
        <v>287</v>
      </c>
      <c r="K335" s="79">
        <v>5931</v>
      </c>
      <c r="L335" s="79">
        <v>9290</v>
      </c>
      <c r="M335" s="79">
        <v>2866</v>
      </c>
      <c r="N335" s="79">
        <v>6312</v>
      </c>
      <c r="O335" s="79">
        <v>4456.7</v>
      </c>
      <c r="P335" s="79">
        <v>1055.6666666666699</v>
      </c>
      <c r="Q335" s="79">
        <v>4762.6666666666697</v>
      </c>
      <c r="R335" s="79">
        <v>900</v>
      </c>
      <c r="S335" s="79">
        <v>0</v>
      </c>
      <c r="T335" s="79">
        <v>1395</v>
      </c>
      <c r="U335" s="79">
        <v>18545</v>
      </c>
      <c r="V335" s="79">
        <v>37480</v>
      </c>
      <c r="W335" s="79">
        <v>34510</v>
      </c>
      <c r="X335" s="79">
        <v>203.94</v>
      </c>
      <c r="Y335" s="79">
        <v>1641.6</v>
      </c>
      <c r="Z335" s="79">
        <v>0</v>
      </c>
      <c r="AA335" s="79">
        <v>0</v>
      </c>
      <c r="AB335" s="79">
        <v>248</v>
      </c>
      <c r="AC335" s="79">
        <v>2460</v>
      </c>
      <c r="AD335" s="79">
        <v>2460</v>
      </c>
      <c r="AE335" s="79">
        <v>6</v>
      </c>
      <c r="AF335" s="79">
        <v>0</v>
      </c>
      <c r="AG335" s="79">
        <v>217</v>
      </c>
      <c r="AH335" s="79">
        <v>204</v>
      </c>
      <c r="AI335" s="79">
        <v>12</v>
      </c>
      <c r="AJ335" s="79">
        <v>18553</v>
      </c>
      <c r="AK335" s="79">
        <v>18553</v>
      </c>
      <c r="AL335" s="79">
        <v>0</v>
      </c>
      <c r="AM335" s="79">
        <v>0</v>
      </c>
      <c r="AN335" s="79">
        <v>0</v>
      </c>
      <c r="AO335" s="79">
        <v>0</v>
      </c>
      <c r="AP335" s="79">
        <v>2575</v>
      </c>
      <c r="AQ335" s="79">
        <v>0</v>
      </c>
      <c r="AR335" s="80">
        <v>1.2622429999999999E-3</v>
      </c>
      <c r="AS335" s="80">
        <v>1.655636E-3</v>
      </c>
      <c r="AT335" s="79">
        <v>27013.168000000001</v>
      </c>
      <c r="AU335" s="79">
        <v>0</v>
      </c>
      <c r="AV335" s="79">
        <v>184</v>
      </c>
      <c r="AW335" s="79">
        <v>2804.8434712084299</v>
      </c>
      <c r="AX335" s="79">
        <v>3</v>
      </c>
      <c r="AY335" s="79">
        <v>3</v>
      </c>
      <c r="AZ335" s="79">
        <v>2541</v>
      </c>
      <c r="BA335" s="79">
        <v>1</v>
      </c>
      <c r="BB335" s="79">
        <v>0</v>
      </c>
      <c r="BC335" s="79">
        <v>0</v>
      </c>
      <c r="BD335" s="79">
        <v>0</v>
      </c>
      <c r="BE335" s="79">
        <v>0</v>
      </c>
      <c r="BF335" s="79">
        <v>0</v>
      </c>
      <c r="BG335" s="79">
        <v>0</v>
      </c>
      <c r="BH335" s="79">
        <v>0</v>
      </c>
      <c r="BI335" s="79">
        <v>0</v>
      </c>
      <c r="BJ335" s="79">
        <v>0</v>
      </c>
      <c r="BK335" s="79">
        <v>0</v>
      </c>
      <c r="BL335" s="79">
        <v>6096</v>
      </c>
      <c r="BM335" s="79">
        <v>204</v>
      </c>
      <c r="BN335" s="79">
        <v>12</v>
      </c>
      <c r="BO335">
        <v>6903</v>
      </c>
      <c r="BP335">
        <v>1640</v>
      </c>
      <c r="BQ335">
        <v>6710</v>
      </c>
      <c r="BR335">
        <v>1758</v>
      </c>
      <c r="BS335">
        <v>6532</v>
      </c>
      <c r="BT335">
        <v>1787</v>
      </c>
      <c r="BU335">
        <v>6486</v>
      </c>
      <c r="BV335">
        <v>1953</v>
      </c>
      <c r="BW335">
        <v>6352</v>
      </c>
      <c r="BX335">
        <v>1913</v>
      </c>
      <c r="BY335">
        <v>6178</v>
      </c>
      <c r="BZ335">
        <v>2035</v>
      </c>
      <c r="CB335">
        <v>1061.6489999999999</v>
      </c>
      <c r="CC335">
        <v>142</v>
      </c>
      <c r="CD335">
        <v>90</v>
      </c>
      <c r="CE335">
        <v>10259.040000000001</v>
      </c>
      <c r="CF335">
        <v>2068.5300000000002</v>
      </c>
      <c r="CG335">
        <v>224.58727251054501</v>
      </c>
      <c r="CH335">
        <v>435</v>
      </c>
      <c r="CI335">
        <v>290.66666666666703</v>
      </c>
      <c r="CJ335">
        <v>272</v>
      </c>
      <c r="CK335" s="81">
        <v>3707</v>
      </c>
      <c r="CL335">
        <v>895</v>
      </c>
      <c r="CM335">
        <v>8181.6237074602996</v>
      </c>
      <c r="CN335">
        <v>3.08</v>
      </c>
      <c r="CO335">
        <v>28301</v>
      </c>
      <c r="CP335">
        <v>5450</v>
      </c>
      <c r="CQ335">
        <v>974</v>
      </c>
      <c r="CR335">
        <v>1195</v>
      </c>
      <c r="CS335">
        <v>1059</v>
      </c>
      <c r="CT335">
        <v>482</v>
      </c>
      <c r="CU335">
        <v>824.65644909179105</v>
      </c>
      <c r="CV335">
        <v>495.80277044143799</v>
      </c>
      <c r="CW335">
        <v>157.34051096857601</v>
      </c>
      <c r="CX335">
        <v>1851.0735999999999</v>
      </c>
      <c r="CY335">
        <v>1112.9087999999999</v>
      </c>
      <c r="CZ335">
        <v>353.17599999999999</v>
      </c>
      <c r="DA335">
        <v>108664</v>
      </c>
      <c r="DE335">
        <v>1708</v>
      </c>
      <c r="DF335" t="s">
        <v>286</v>
      </c>
      <c r="DG335">
        <v>9644</v>
      </c>
      <c r="DH335">
        <v>9504</v>
      </c>
      <c r="DI335">
        <v>9420</v>
      </c>
      <c r="DJ335">
        <v>9336</v>
      </c>
      <c r="DK335">
        <v>9252</v>
      </c>
      <c r="DO335">
        <v>855</v>
      </c>
      <c r="DP335" t="s">
        <v>296</v>
      </c>
      <c r="DQ335">
        <v>101298</v>
      </c>
      <c r="DR335">
        <v>1</v>
      </c>
      <c r="DS335">
        <v>2732</v>
      </c>
      <c r="DV335">
        <v>96</v>
      </c>
      <c r="DW335" t="s">
        <v>319</v>
      </c>
      <c r="DX335">
        <v>210.80172413793099</v>
      </c>
      <c r="DY335">
        <v>27</v>
      </c>
      <c r="DZ335">
        <v>28</v>
      </c>
      <c r="EA335">
        <v>11</v>
      </c>
      <c r="EB335">
        <v>77</v>
      </c>
      <c r="EC335">
        <v>54</v>
      </c>
      <c r="ED335">
        <v>13</v>
      </c>
      <c r="EE335" s="82">
        <v>9.4287303352931798E-2</v>
      </c>
      <c r="EF335" s="82">
        <v>0.473389425315906</v>
      </c>
    </row>
    <row r="336" spans="1:136" x14ac:dyDescent="0.35">
      <c r="A336" s="72">
        <v>1640</v>
      </c>
      <c r="B336" s="72">
        <v>11</v>
      </c>
      <c r="D336" s="72" t="s">
        <v>183</v>
      </c>
      <c r="E336" s="79">
        <v>2930400000</v>
      </c>
      <c r="F336" s="79">
        <v>470050000</v>
      </c>
      <c r="G336" s="79">
        <v>526400000</v>
      </c>
      <c r="H336" s="79">
        <v>35681</v>
      </c>
      <c r="I336" s="79">
        <v>8</v>
      </c>
      <c r="J336" s="79">
        <v>526.4</v>
      </c>
      <c r="K336" s="79">
        <v>5974</v>
      </c>
      <c r="L336" s="79">
        <v>8615</v>
      </c>
      <c r="M336" s="79">
        <v>2712</v>
      </c>
      <c r="N336" s="79">
        <v>4260</v>
      </c>
      <c r="O336" s="79">
        <v>2627</v>
      </c>
      <c r="P336" s="79">
        <v>388.33333333333297</v>
      </c>
      <c r="Q336" s="79">
        <v>2188.3333333333298</v>
      </c>
      <c r="R336" s="79">
        <v>565</v>
      </c>
      <c r="S336" s="79">
        <v>0</v>
      </c>
      <c r="T336" s="79">
        <v>847</v>
      </c>
      <c r="U336" s="79">
        <v>16324</v>
      </c>
      <c r="V336" s="79">
        <v>29620</v>
      </c>
      <c r="W336" s="79">
        <v>6360</v>
      </c>
      <c r="X336" s="79">
        <v>1020.7</v>
      </c>
      <c r="Y336" s="79">
        <v>1524</v>
      </c>
      <c r="Z336" s="79">
        <v>0</v>
      </c>
      <c r="AA336" s="79">
        <v>0</v>
      </c>
      <c r="AB336" s="79">
        <v>0</v>
      </c>
      <c r="AC336" s="79">
        <v>16251</v>
      </c>
      <c r="AD336" s="79">
        <v>16251</v>
      </c>
      <c r="AE336" s="79">
        <v>239</v>
      </c>
      <c r="AF336" s="79">
        <v>0</v>
      </c>
      <c r="AG336" s="79">
        <v>435</v>
      </c>
      <c r="AH336" s="79">
        <v>250</v>
      </c>
      <c r="AI336" s="79">
        <v>186</v>
      </c>
      <c r="AJ336" s="79">
        <v>16330</v>
      </c>
      <c r="AK336" s="79">
        <v>16330</v>
      </c>
      <c r="AL336" s="79">
        <v>0</v>
      </c>
      <c r="AM336" s="79">
        <v>0</v>
      </c>
      <c r="AN336" s="79">
        <v>0</v>
      </c>
      <c r="AO336" s="79">
        <v>0</v>
      </c>
      <c r="AP336" s="79">
        <v>0</v>
      </c>
      <c r="AQ336" s="79">
        <v>0</v>
      </c>
      <c r="AR336" s="80">
        <v>5.8512400000000002E-4</v>
      </c>
      <c r="AS336" s="80">
        <v>2.6229600000000002E-4</v>
      </c>
      <c r="AT336" s="79">
        <v>6254.39</v>
      </c>
      <c r="AU336" s="79">
        <v>0</v>
      </c>
      <c r="AV336" s="79">
        <v>2002</v>
      </c>
      <c r="AW336" s="79">
        <v>4331.9200727713796</v>
      </c>
      <c r="AX336" s="79">
        <v>19</v>
      </c>
      <c r="AY336" s="79">
        <v>19</v>
      </c>
      <c r="AZ336" s="79">
        <v>3694</v>
      </c>
      <c r="BA336" s="79">
        <v>1</v>
      </c>
      <c r="BB336" s="79">
        <v>0</v>
      </c>
      <c r="BC336" s="79">
        <v>0</v>
      </c>
      <c r="BD336" s="79">
        <v>0</v>
      </c>
      <c r="BE336" s="79">
        <v>0</v>
      </c>
      <c r="BF336" s="79">
        <v>0</v>
      </c>
      <c r="BG336" s="79">
        <v>0</v>
      </c>
      <c r="BH336" s="79">
        <v>0</v>
      </c>
      <c r="BI336" s="79">
        <v>0</v>
      </c>
      <c r="BJ336" s="79">
        <v>0</v>
      </c>
      <c r="BK336" s="79">
        <v>25</v>
      </c>
      <c r="BL336" s="79">
        <v>4666</v>
      </c>
      <c r="BM336" s="79">
        <v>250</v>
      </c>
      <c r="BN336" s="79">
        <v>186</v>
      </c>
      <c r="BO336">
        <v>7802</v>
      </c>
      <c r="BP336">
        <v>2149</v>
      </c>
      <c r="BQ336">
        <v>7667</v>
      </c>
      <c r="BR336">
        <v>2116</v>
      </c>
      <c r="BS336">
        <v>7474</v>
      </c>
      <c r="BT336">
        <v>2098</v>
      </c>
      <c r="BU336">
        <v>7174</v>
      </c>
      <c r="BV336">
        <v>2064</v>
      </c>
      <c r="BW336">
        <v>7013</v>
      </c>
      <c r="BX336">
        <v>2286</v>
      </c>
      <c r="BY336">
        <v>6868</v>
      </c>
      <c r="BZ336">
        <v>2214</v>
      </c>
      <c r="CB336">
        <v>477.92</v>
      </c>
      <c r="CC336">
        <v>78</v>
      </c>
      <c r="CD336">
        <v>47</v>
      </c>
      <c r="CE336">
        <v>10723.29</v>
      </c>
      <c r="CF336">
        <v>2470.3000000000002</v>
      </c>
      <c r="CG336">
        <v>85.995329359165396</v>
      </c>
      <c r="CH336">
        <v>301</v>
      </c>
      <c r="CI336">
        <v>96</v>
      </c>
      <c r="CJ336">
        <v>72.3333333333333</v>
      </c>
      <c r="CK336" s="81">
        <v>1800</v>
      </c>
      <c r="CL336">
        <v>417</v>
      </c>
      <c r="CM336">
        <v>5226.9604371887099</v>
      </c>
      <c r="CN336">
        <v>0.34399999999999997</v>
      </c>
      <c r="CO336">
        <v>27066</v>
      </c>
      <c r="CP336">
        <v>4866</v>
      </c>
      <c r="CQ336">
        <v>1037</v>
      </c>
      <c r="CR336">
        <v>822</v>
      </c>
      <c r="CS336">
        <v>874</v>
      </c>
      <c r="CT336">
        <v>472</v>
      </c>
      <c r="CU336">
        <v>475.20869565217401</v>
      </c>
      <c r="CV336">
        <v>299.378260869565</v>
      </c>
      <c r="CW336">
        <v>104.565217391304</v>
      </c>
      <c r="CX336">
        <v>1269.9246000000001</v>
      </c>
      <c r="CY336">
        <v>800.04390000000001</v>
      </c>
      <c r="CZ336">
        <v>279.435</v>
      </c>
      <c r="DA336">
        <v>25051</v>
      </c>
      <c r="DE336">
        <v>1709</v>
      </c>
      <c r="DF336" t="s">
        <v>205</v>
      </c>
      <c r="DG336">
        <v>7861</v>
      </c>
      <c r="DH336">
        <v>7786</v>
      </c>
      <c r="DI336">
        <v>7667</v>
      </c>
      <c r="DJ336">
        <v>7586</v>
      </c>
      <c r="DK336">
        <v>7550</v>
      </c>
      <c r="DO336">
        <v>856</v>
      </c>
      <c r="DP336" t="s">
        <v>301</v>
      </c>
      <c r="DQ336">
        <v>18695</v>
      </c>
      <c r="DR336">
        <v>1</v>
      </c>
      <c r="DS336">
        <v>1354</v>
      </c>
      <c r="DV336">
        <v>718</v>
      </c>
      <c r="DW336" t="s">
        <v>320</v>
      </c>
      <c r="DX336">
        <v>7674.1611883691503</v>
      </c>
      <c r="DY336">
        <v>1468</v>
      </c>
      <c r="DZ336">
        <v>1214</v>
      </c>
      <c r="EA336">
        <v>741</v>
      </c>
      <c r="EB336">
        <v>3734</v>
      </c>
      <c r="EC336">
        <v>2223</v>
      </c>
      <c r="ED336">
        <v>983</v>
      </c>
      <c r="EE336" s="82">
        <v>0.23024189639251</v>
      </c>
      <c r="EF336" s="82">
        <v>0.54870379860755203</v>
      </c>
    </row>
    <row r="337" spans="1:136" x14ac:dyDescent="0.35">
      <c r="A337" s="72">
        <v>1641</v>
      </c>
      <c r="B337" s="72">
        <v>11</v>
      </c>
      <c r="D337" s="72" t="s">
        <v>193</v>
      </c>
      <c r="E337" s="79">
        <v>1925200000</v>
      </c>
      <c r="F337" s="79">
        <v>272650000</v>
      </c>
      <c r="G337" s="79">
        <v>292950000</v>
      </c>
      <c r="H337" s="79">
        <v>23716</v>
      </c>
      <c r="I337" s="79">
        <v>6</v>
      </c>
      <c r="J337" s="79">
        <v>292.95</v>
      </c>
      <c r="K337" s="79">
        <v>3566</v>
      </c>
      <c r="L337" s="79">
        <v>6147</v>
      </c>
      <c r="M337" s="79">
        <v>1949</v>
      </c>
      <c r="N337" s="79">
        <v>3141</v>
      </c>
      <c r="O337" s="79">
        <v>1954.9</v>
      </c>
      <c r="P337" s="79">
        <v>293.33333333333297</v>
      </c>
      <c r="Q337" s="79">
        <v>1959.3333333333301</v>
      </c>
      <c r="R337" s="79">
        <v>315</v>
      </c>
      <c r="S337" s="79">
        <v>0</v>
      </c>
      <c r="T337" s="79">
        <v>567</v>
      </c>
      <c r="U337" s="79">
        <v>11343</v>
      </c>
      <c r="V337" s="79">
        <v>20720</v>
      </c>
      <c r="W337" s="79">
        <v>5110</v>
      </c>
      <c r="X337" s="79">
        <v>460.98</v>
      </c>
      <c r="Y337" s="79">
        <v>0</v>
      </c>
      <c r="Z337" s="79">
        <v>0</v>
      </c>
      <c r="AA337" s="79">
        <v>0</v>
      </c>
      <c r="AB337" s="79">
        <v>0</v>
      </c>
      <c r="AC337" s="79">
        <v>4567</v>
      </c>
      <c r="AD337" s="79">
        <v>4567</v>
      </c>
      <c r="AE337" s="79">
        <v>1245</v>
      </c>
      <c r="AF337" s="79">
        <v>0</v>
      </c>
      <c r="AG337" s="79">
        <v>205</v>
      </c>
      <c r="AH337" s="79">
        <v>169</v>
      </c>
      <c r="AI337" s="79">
        <v>36</v>
      </c>
      <c r="AJ337" s="79">
        <v>11861</v>
      </c>
      <c r="AK337" s="79">
        <v>11861</v>
      </c>
      <c r="AL337" s="79">
        <v>24</v>
      </c>
      <c r="AM337" s="79">
        <v>0</v>
      </c>
      <c r="AN337" s="79">
        <v>0</v>
      </c>
      <c r="AO337" s="79">
        <v>0</v>
      </c>
      <c r="AP337" s="79">
        <v>0</v>
      </c>
      <c r="AQ337" s="79">
        <v>0</v>
      </c>
      <c r="AR337" s="80">
        <v>5.77624E-4</v>
      </c>
      <c r="AS337" s="80">
        <v>2.26973E-4</v>
      </c>
      <c r="AT337" s="79">
        <v>5159.5349999999999</v>
      </c>
      <c r="AU337" s="79">
        <v>0</v>
      </c>
      <c r="AV337" s="79">
        <v>2046</v>
      </c>
      <c r="AW337" s="79">
        <v>8348.7501720578093</v>
      </c>
      <c r="AX337" s="79">
        <v>9</v>
      </c>
      <c r="AY337" s="79">
        <v>9</v>
      </c>
      <c r="AZ337" s="79">
        <v>2560</v>
      </c>
      <c r="BA337" s="79">
        <v>1</v>
      </c>
      <c r="BB337" s="79">
        <v>0</v>
      </c>
      <c r="BC337" s="79">
        <v>0</v>
      </c>
      <c r="BD337" s="79">
        <v>0</v>
      </c>
      <c r="BE337" s="79">
        <v>0</v>
      </c>
      <c r="BF337" s="79">
        <v>0</v>
      </c>
      <c r="BG337" s="79">
        <v>0</v>
      </c>
      <c r="BH337" s="79">
        <v>0</v>
      </c>
      <c r="BI337" s="79">
        <v>0</v>
      </c>
      <c r="BJ337" s="79">
        <v>0</v>
      </c>
      <c r="BK337" s="79">
        <v>20</v>
      </c>
      <c r="BL337" s="79">
        <v>3232</v>
      </c>
      <c r="BM337" s="79">
        <v>169</v>
      </c>
      <c r="BN337" s="79">
        <v>36</v>
      </c>
      <c r="BO337">
        <v>4564</v>
      </c>
      <c r="BP337">
        <v>0</v>
      </c>
      <c r="BQ337">
        <v>4432</v>
      </c>
      <c r="BR337">
        <v>0</v>
      </c>
      <c r="BS337">
        <v>4317</v>
      </c>
      <c r="BT337">
        <v>0</v>
      </c>
      <c r="BU337">
        <v>4203</v>
      </c>
      <c r="BV337">
        <v>0</v>
      </c>
      <c r="BW337">
        <v>4067</v>
      </c>
      <c r="BX337">
        <v>0</v>
      </c>
      <c r="BY337">
        <v>3996</v>
      </c>
      <c r="BZ337">
        <v>0</v>
      </c>
      <c r="CB337">
        <v>313.80799999999999</v>
      </c>
      <c r="CC337">
        <v>30</v>
      </c>
      <c r="CD337">
        <v>17</v>
      </c>
      <c r="CE337">
        <v>7036.34</v>
      </c>
      <c r="CF337">
        <v>1533.7</v>
      </c>
      <c r="CG337">
        <v>44.1198548009368</v>
      </c>
      <c r="CH337">
        <v>168</v>
      </c>
      <c r="CI337">
        <v>70.3333333333333</v>
      </c>
      <c r="CJ337">
        <v>52.6666666666667</v>
      </c>
      <c r="CK337" s="81">
        <v>1666</v>
      </c>
      <c r="CL337">
        <v>642</v>
      </c>
      <c r="CM337">
        <v>4262.7905274235</v>
      </c>
      <c r="CN337">
        <v>0.41399999999999998</v>
      </c>
      <c r="CO337">
        <v>17569</v>
      </c>
      <c r="CP337">
        <v>3546</v>
      </c>
      <c r="CQ337">
        <v>652</v>
      </c>
      <c r="CR337">
        <v>649</v>
      </c>
      <c r="CS337">
        <v>614</v>
      </c>
      <c r="CT337">
        <v>323</v>
      </c>
      <c r="CU337">
        <v>353.53347103954098</v>
      </c>
      <c r="CV337">
        <v>217.888694039288</v>
      </c>
      <c r="CW337">
        <v>77.299392968552397</v>
      </c>
      <c r="CX337">
        <v>922.13549999999998</v>
      </c>
      <c r="CY337">
        <v>568.32780000000002</v>
      </c>
      <c r="CZ337">
        <v>201.62309999999999</v>
      </c>
      <c r="DA337">
        <v>227030</v>
      </c>
      <c r="DE337">
        <v>1711</v>
      </c>
      <c r="DF337" t="s">
        <v>96</v>
      </c>
      <c r="DG337">
        <v>5789</v>
      </c>
      <c r="DH337">
        <v>5708</v>
      </c>
      <c r="DI337">
        <v>5662</v>
      </c>
      <c r="DJ337">
        <v>5539</v>
      </c>
      <c r="DK337">
        <v>5424</v>
      </c>
      <c r="DO337">
        <v>858</v>
      </c>
      <c r="DP337" t="s">
        <v>309</v>
      </c>
      <c r="DQ337">
        <v>14604</v>
      </c>
      <c r="DR337">
        <v>1</v>
      </c>
      <c r="DS337">
        <v>1458</v>
      </c>
      <c r="DV337">
        <v>986</v>
      </c>
      <c r="DW337" t="s">
        <v>321</v>
      </c>
      <c r="DX337">
        <v>1420.8813987022299</v>
      </c>
      <c r="DY337">
        <v>317</v>
      </c>
      <c r="DZ337">
        <v>341</v>
      </c>
      <c r="EA337">
        <v>140</v>
      </c>
      <c r="EB337">
        <v>1133</v>
      </c>
      <c r="EC337">
        <v>765</v>
      </c>
      <c r="ED337">
        <v>214</v>
      </c>
      <c r="EE337" s="82">
        <v>0.14280269970988299</v>
      </c>
      <c r="EF337" s="82">
        <v>0.39701708014307702</v>
      </c>
    </row>
    <row r="338" spans="1:136" x14ac:dyDescent="0.35">
      <c r="A338" s="72">
        <v>935</v>
      </c>
      <c r="B338" s="72">
        <v>11</v>
      </c>
      <c r="D338" s="72" t="s">
        <v>195</v>
      </c>
      <c r="E338" s="79">
        <v>10094800000</v>
      </c>
      <c r="F338" s="79">
        <v>2497950000</v>
      </c>
      <c r="G338" s="79">
        <v>2535400000</v>
      </c>
      <c r="H338" s="79">
        <v>121565</v>
      </c>
      <c r="I338" s="79">
        <v>1</v>
      </c>
      <c r="J338" s="79">
        <v>2535.4</v>
      </c>
      <c r="K338" s="79">
        <v>15968</v>
      </c>
      <c r="L338" s="79">
        <v>25903</v>
      </c>
      <c r="M338" s="79">
        <v>8354</v>
      </c>
      <c r="N338" s="79">
        <v>20808</v>
      </c>
      <c r="O338" s="79">
        <v>14346.3</v>
      </c>
      <c r="P338" s="79">
        <v>3771.6666666666702</v>
      </c>
      <c r="Q338" s="79">
        <v>12326.666666666701</v>
      </c>
      <c r="R338" s="79">
        <v>5495</v>
      </c>
      <c r="S338" s="79">
        <v>0</v>
      </c>
      <c r="T338" s="79">
        <v>3973</v>
      </c>
      <c r="U338" s="79">
        <v>70912</v>
      </c>
      <c r="V338" s="79">
        <v>135800</v>
      </c>
      <c r="W338" s="79">
        <v>190950</v>
      </c>
      <c r="X338" s="79">
        <v>2801.92</v>
      </c>
      <c r="Y338" s="79">
        <v>4352</v>
      </c>
      <c r="Z338" s="79">
        <v>0</v>
      </c>
      <c r="AA338" s="79">
        <v>0</v>
      </c>
      <c r="AB338" s="79">
        <v>0</v>
      </c>
      <c r="AC338" s="79">
        <v>5562</v>
      </c>
      <c r="AD338" s="79">
        <v>5562</v>
      </c>
      <c r="AE338" s="79">
        <v>450</v>
      </c>
      <c r="AF338" s="79">
        <v>0</v>
      </c>
      <c r="AG338" s="79">
        <v>614</v>
      </c>
      <c r="AH338" s="79">
        <v>558</v>
      </c>
      <c r="AI338" s="79">
        <v>56</v>
      </c>
      <c r="AJ338" s="79">
        <v>64617</v>
      </c>
      <c r="AK338" s="79">
        <v>64617</v>
      </c>
      <c r="AL338" s="79">
        <v>0</v>
      </c>
      <c r="AM338" s="79">
        <v>0</v>
      </c>
      <c r="AN338" s="79">
        <v>101</v>
      </c>
      <c r="AO338" s="79">
        <v>2600</v>
      </c>
      <c r="AP338" s="79">
        <v>12746</v>
      </c>
      <c r="AQ338" s="79">
        <v>10137</v>
      </c>
      <c r="AR338" s="80">
        <v>8.721052E-3</v>
      </c>
      <c r="AS338" s="80">
        <v>1.0494013E-2</v>
      </c>
      <c r="AT338" s="79">
        <v>158376.26699999999</v>
      </c>
      <c r="AU338" s="79">
        <v>0</v>
      </c>
      <c r="AV338" s="79">
        <v>1163</v>
      </c>
      <c r="AW338" s="79">
        <v>23516.3165335995</v>
      </c>
      <c r="AX338" s="79">
        <v>2</v>
      </c>
      <c r="AY338" s="79">
        <v>2</v>
      </c>
      <c r="AZ338" s="79">
        <v>11749</v>
      </c>
      <c r="BA338" s="79">
        <v>1</v>
      </c>
      <c r="BB338" s="79">
        <v>0</v>
      </c>
      <c r="BC338" s="79">
        <v>0</v>
      </c>
      <c r="BD338" s="79">
        <v>0</v>
      </c>
      <c r="BE338" s="79">
        <v>0</v>
      </c>
      <c r="BF338" s="79">
        <v>0</v>
      </c>
      <c r="BG338" s="79">
        <v>0</v>
      </c>
      <c r="BH338" s="79">
        <v>0</v>
      </c>
      <c r="BI338" s="79">
        <v>0</v>
      </c>
      <c r="BJ338" s="79">
        <v>0</v>
      </c>
      <c r="BK338" s="79">
        <v>110</v>
      </c>
      <c r="BL338" s="79">
        <v>37332</v>
      </c>
      <c r="BM338" s="79">
        <v>558</v>
      </c>
      <c r="BN338" s="79">
        <v>56</v>
      </c>
      <c r="BO338">
        <v>18600</v>
      </c>
      <c r="BP338">
        <v>6067</v>
      </c>
      <c r="BQ338">
        <v>18101</v>
      </c>
      <c r="BR338">
        <v>6037</v>
      </c>
      <c r="BS338">
        <v>17804</v>
      </c>
      <c r="BT338">
        <v>6813</v>
      </c>
      <c r="BU338">
        <v>17533</v>
      </c>
      <c r="BV338">
        <v>6848</v>
      </c>
      <c r="BW338">
        <v>17214</v>
      </c>
      <c r="BX338">
        <v>6812</v>
      </c>
      <c r="BY338">
        <v>17021</v>
      </c>
      <c r="BZ338">
        <v>6721</v>
      </c>
      <c r="CB338">
        <v>3161.6640000000002</v>
      </c>
      <c r="CC338">
        <v>255</v>
      </c>
      <c r="CD338">
        <v>414</v>
      </c>
      <c r="CE338">
        <v>34937.040000000001</v>
      </c>
      <c r="CF338">
        <v>5934.69</v>
      </c>
      <c r="CG338">
        <v>684.84350134427598</v>
      </c>
      <c r="CH338">
        <v>1271</v>
      </c>
      <c r="CI338">
        <v>855.66666666666697</v>
      </c>
      <c r="CJ338">
        <v>816.66666666666697</v>
      </c>
      <c r="CK338" s="81">
        <v>8555</v>
      </c>
      <c r="CL338">
        <v>2294</v>
      </c>
      <c r="CM338">
        <v>19374.7622893425</v>
      </c>
      <c r="CN338">
        <v>10.129</v>
      </c>
      <c r="CO338">
        <v>95662</v>
      </c>
      <c r="CP338">
        <v>14354</v>
      </c>
      <c r="CQ338">
        <v>3195</v>
      </c>
      <c r="CR338">
        <v>3931</v>
      </c>
      <c r="CS338">
        <v>3115</v>
      </c>
      <c r="CT338">
        <v>1651</v>
      </c>
      <c r="CU338">
        <v>2089.4351223362301</v>
      </c>
      <c r="CV338">
        <v>1326.12857142857</v>
      </c>
      <c r="CW338">
        <v>497.77000789265998</v>
      </c>
      <c r="CX338">
        <v>4987.83</v>
      </c>
      <c r="CY338">
        <v>3165.69</v>
      </c>
      <c r="CZ338">
        <v>1188.26</v>
      </c>
      <c r="DA338">
        <v>215033</v>
      </c>
      <c r="DE338">
        <v>1714</v>
      </c>
      <c r="DF338" t="s">
        <v>277</v>
      </c>
      <c r="DG338">
        <v>4333</v>
      </c>
      <c r="DH338">
        <v>4222</v>
      </c>
      <c r="DI338">
        <v>4110</v>
      </c>
      <c r="DJ338">
        <v>4066</v>
      </c>
      <c r="DK338">
        <v>4021</v>
      </c>
      <c r="DO338">
        <v>861</v>
      </c>
      <c r="DP338" t="s">
        <v>313</v>
      </c>
      <c r="DQ338">
        <v>19805</v>
      </c>
      <c r="DR338">
        <v>1</v>
      </c>
      <c r="DS338">
        <v>1676</v>
      </c>
      <c r="DV338">
        <v>626</v>
      </c>
      <c r="DW338" t="s">
        <v>322</v>
      </c>
      <c r="DX338">
        <v>2666.4848127663399</v>
      </c>
      <c r="DY338">
        <v>700</v>
      </c>
      <c r="DZ338">
        <v>634</v>
      </c>
      <c r="EA338">
        <v>408</v>
      </c>
      <c r="EB338">
        <v>1950</v>
      </c>
      <c r="EC338">
        <v>1274</v>
      </c>
      <c r="ED338">
        <v>603</v>
      </c>
      <c r="EE338" s="82">
        <v>0.13184808388543101</v>
      </c>
      <c r="EF338" s="82">
        <v>0.27136109216292698</v>
      </c>
    </row>
    <row r="339" spans="1:136" x14ac:dyDescent="0.35">
      <c r="A339" s="72">
        <v>938</v>
      </c>
      <c r="B339" s="72">
        <v>11</v>
      </c>
      <c r="D339" s="72" t="s">
        <v>197</v>
      </c>
      <c r="E339" s="79">
        <v>1718000000</v>
      </c>
      <c r="F339" s="79">
        <v>116550000</v>
      </c>
      <c r="G339" s="79">
        <v>128450000</v>
      </c>
      <c r="H339" s="79">
        <v>18923</v>
      </c>
      <c r="I339" s="79">
        <v>3</v>
      </c>
      <c r="J339" s="79">
        <v>128.44999999999999</v>
      </c>
      <c r="K339" s="79">
        <v>3089</v>
      </c>
      <c r="L339" s="79">
        <v>5006</v>
      </c>
      <c r="M339" s="79">
        <v>1661</v>
      </c>
      <c r="N339" s="79">
        <v>2331</v>
      </c>
      <c r="O339" s="79">
        <v>1461.5</v>
      </c>
      <c r="P339" s="79">
        <v>240</v>
      </c>
      <c r="Q339" s="79">
        <v>1303</v>
      </c>
      <c r="R339" s="79">
        <v>240</v>
      </c>
      <c r="S339" s="79">
        <v>0</v>
      </c>
      <c r="T339" s="79">
        <v>538</v>
      </c>
      <c r="U339" s="79">
        <v>8785</v>
      </c>
      <c r="V339" s="79">
        <v>15200</v>
      </c>
      <c r="W339" s="79">
        <v>4680</v>
      </c>
      <c r="X339" s="79">
        <v>0</v>
      </c>
      <c r="Y339" s="79">
        <v>1139.2</v>
      </c>
      <c r="Z339" s="79">
        <v>0</v>
      </c>
      <c r="AA339" s="79">
        <v>0</v>
      </c>
      <c r="AB339" s="79">
        <v>269</v>
      </c>
      <c r="AC339" s="79">
        <v>2672</v>
      </c>
      <c r="AD339" s="79">
        <v>2672</v>
      </c>
      <c r="AE339" s="79">
        <v>97</v>
      </c>
      <c r="AF339" s="79">
        <v>0</v>
      </c>
      <c r="AG339" s="79">
        <v>132</v>
      </c>
      <c r="AH339" s="79">
        <v>116</v>
      </c>
      <c r="AI339" s="79">
        <v>16</v>
      </c>
      <c r="AJ339" s="79">
        <v>8695</v>
      </c>
      <c r="AK339" s="79">
        <v>8695</v>
      </c>
      <c r="AL339" s="79">
        <v>0</v>
      </c>
      <c r="AM339" s="79">
        <v>0</v>
      </c>
      <c r="AN339" s="79">
        <v>0</v>
      </c>
      <c r="AO339" s="79">
        <v>0</v>
      </c>
      <c r="AP339" s="79">
        <v>589</v>
      </c>
      <c r="AQ339" s="79">
        <v>0</v>
      </c>
      <c r="AR339" s="80">
        <v>4.99462E-4</v>
      </c>
      <c r="AS339" s="80">
        <v>2.9914200000000002E-4</v>
      </c>
      <c r="AT339" s="79">
        <v>5338.73</v>
      </c>
      <c r="AU339" s="79">
        <v>0</v>
      </c>
      <c r="AV339" s="79">
        <v>434</v>
      </c>
      <c r="AW339" s="79">
        <v>2965.9017695919101</v>
      </c>
      <c r="AX339" s="79">
        <v>7</v>
      </c>
      <c r="AY339" s="79">
        <v>7</v>
      </c>
      <c r="AZ339" s="79">
        <v>1878</v>
      </c>
      <c r="BA339" s="79">
        <v>1</v>
      </c>
      <c r="BB339" s="79">
        <v>0</v>
      </c>
      <c r="BC339" s="79">
        <v>0</v>
      </c>
      <c r="BD339" s="79">
        <v>0</v>
      </c>
      <c r="BE339" s="79">
        <v>0</v>
      </c>
      <c r="BF339" s="79">
        <v>0</v>
      </c>
      <c r="BG339" s="79">
        <v>0</v>
      </c>
      <c r="BH339" s="79">
        <v>0</v>
      </c>
      <c r="BI339" s="79">
        <v>0</v>
      </c>
      <c r="BJ339" s="79">
        <v>0</v>
      </c>
      <c r="BK339" s="79">
        <v>13</v>
      </c>
      <c r="BL339" s="79">
        <v>2575</v>
      </c>
      <c r="BM339" s="79">
        <v>116</v>
      </c>
      <c r="BN339" s="79">
        <v>16</v>
      </c>
      <c r="BO339">
        <v>3838</v>
      </c>
      <c r="BP339">
        <v>1050</v>
      </c>
      <c r="BQ339">
        <v>3776</v>
      </c>
      <c r="BR339">
        <v>1134</v>
      </c>
      <c r="BS339">
        <v>3695</v>
      </c>
      <c r="BT339">
        <v>1173</v>
      </c>
      <c r="BU339">
        <v>3606</v>
      </c>
      <c r="BV339">
        <v>1195</v>
      </c>
      <c r="BW339">
        <v>3518</v>
      </c>
      <c r="BX339">
        <v>1204</v>
      </c>
      <c r="BY339">
        <v>3420</v>
      </c>
      <c r="BZ339">
        <v>1281</v>
      </c>
      <c r="CB339">
        <v>290.36599999999999</v>
      </c>
      <c r="CC339">
        <v>12</v>
      </c>
      <c r="CD339">
        <v>21</v>
      </c>
      <c r="CE339">
        <v>6287.04</v>
      </c>
      <c r="CF339">
        <v>1403.25</v>
      </c>
      <c r="CG339">
        <v>95.019380281690104</v>
      </c>
      <c r="CH339">
        <v>173</v>
      </c>
      <c r="CI339">
        <v>52.6666666666667</v>
      </c>
      <c r="CJ339">
        <v>35.6666666666667</v>
      </c>
      <c r="CK339" s="81">
        <v>1063</v>
      </c>
      <c r="CL339">
        <v>229</v>
      </c>
      <c r="CM339">
        <v>3763.9278151260501</v>
      </c>
      <c r="CN339">
        <v>0.316</v>
      </c>
      <c r="CO339">
        <v>13917</v>
      </c>
      <c r="CP339">
        <v>2772</v>
      </c>
      <c r="CQ339">
        <v>573</v>
      </c>
      <c r="CR339">
        <v>502</v>
      </c>
      <c r="CS339">
        <v>519</v>
      </c>
      <c r="CT339">
        <v>250</v>
      </c>
      <c r="CU339">
        <v>280.87021276595698</v>
      </c>
      <c r="CV339">
        <v>190.776595744681</v>
      </c>
      <c r="CW339">
        <v>63.536170212766002</v>
      </c>
      <c r="CX339">
        <v>645.8415</v>
      </c>
      <c r="CY339">
        <v>438.67750000000001</v>
      </c>
      <c r="CZ339">
        <v>146.09700000000001</v>
      </c>
      <c r="DA339">
        <v>0</v>
      </c>
      <c r="DE339">
        <v>1719</v>
      </c>
      <c r="DF339" t="s">
        <v>92</v>
      </c>
      <c r="DG339">
        <v>5586</v>
      </c>
      <c r="DH339">
        <v>5506</v>
      </c>
      <c r="DI339">
        <v>5398</v>
      </c>
      <c r="DJ339">
        <v>5378</v>
      </c>
      <c r="DK339">
        <v>5304</v>
      </c>
      <c r="DO339">
        <v>865</v>
      </c>
      <c r="DP339" t="s">
        <v>324</v>
      </c>
      <c r="DQ339">
        <v>11894</v>
      </c>
      <c r="DR339">
        <v>1</v>
      </c>
      <c r="DS339">
        <v>1289</v>
      </c>
      <c r="DV339">
        <v>285</v>
      </c>
      <c r="DW339" t="s">
        <v>323</v>
      </c>
      <c r="DX339">
        <v>2754.81970353938</v>
      </c>
      <c r="DY339">
        <v>501</v>
      </c>
      <c r="DZ339">
        <v>541</v>
      </c>
      <c r="EA339">
        <v>320</v>
      </c>
      <c r="EB339">
        <v>1893</v>
      </c>
      <c r="EC339">
        <v>1184</v>
      </c>
      <c r="ED339">
        <v>457</v>
      </c>
      <c r="EE339" s="82">
        <v>0.15167364366338201</v>
      </c>
      <c r="EF339" s="82">
        <v>0.41502120714199497</v>
      </c>
    </row>
    <row r="340" spans="1:136" x14ac:dyDescent="0.35">
      <c r="A340" s="72">
        <v>944</v>
      </c>
      <c r="B340" s="72">
        <v>11</v>
      </c>
      <c r="D340" s="72" t="s">
        <v>209</v>
      </c>
      <c r="E340" s="79">
        <v>824400000</v>
      </c>
      <c r="F340" s="79">
        <v>56000000</v>
      </c>
      <c r="G340" s="79">
        <v>56350000</v>
      </c>
      <c r="H340" s="79">
        <v>7806</v>
      </c>
      <c r="I340" s="79">
        <v>1</v>
      </c>
      <c r="J340" s="79">
        <v>56.35</v>
      </c>
      <c r="K340" s="79">
        <v>1298</v>
      </c>
      <c r="L340" s="79">
        <v>2080</v>
      </c>
      <c r="M340" s="79">
        <v>695</v>
      </c>
      <c r="N340" s="79">
        <v>830</v>
      </c>
      <c r="O340" s="79">
        <v>465.2</v>
      </c>
      <c r="P340" s="79">
        <v>103.666666666667</v>
      </c>
      <c r="Q340" s="79">
        <v>390.66666666666703</v>
      </c>
      <c r="R340" s="79">
        <v>120</v>
      </c>
      <c r="S340" s="79">
        <v>0</v>
      </c>
      <c r="T340" s="79">
        <v>195</v>
      </c>
      <c r="U340" s="79">
        <v>3601</v>
      </c>
      <c r="V340" s="79">
        <v>5850</v>
      </c>
      <c r="W340" s="79">
        <v>900</v>
      </c>
      <c r="X340" s="79">
        <v>0</v>
      </c>
      <c r="Y340" s="79">
        <v>206.4</v>
      </c>
      <c r="Z340" s="79">
        <v>0</v>
      </c>
      <c r="AA340" s="79">
        <v>0</v>
      </c>
      <c r="AB340" s="79">
        <v>0</v>
      </c>
      <c r="AC340" s="79">
        <v>1739</v>
      </c>
      <c r="AD340" s="79">
        <v>1739</v>
      </c>
      <c r="AE340" s="79">
        <v>142</v>
      </c>
      <c r="AF340" s="79">
        <v>0</v>
      </c>
      <c r="AG340" s="79">
        <v>54</v>
      </c>
      <c r="AH340" s="79">
        <v>45</v>
      </c>
      <c r="AI340" s="79">
        <v>9</v>
      </c>
      <c r="AJ340" s="79">
        <v>3648</v>
      </c>
      <c r="AK340" s="79">
        <v>3648</v>
      </c>
      <c r="AL340" s="79">
        <v>0</v>
      </c>
      <c r="AM340" s="79">
        <v>0</v>
      </c>
      <c r="AN340" s="79">
        <v>0</v>
      </c>
      <c r="AO340" s="79">
        <v>0</v>
      </c>
      <c r="AP340" s="79">
        <v>0</v>
      </c>
      <c r="AQ340" s="79">
        <v>0</v>
      </c>
      <c r="AR340" s="80">
        <v>4.2024999999999998E-5</v>
      </c>
      <c r="AS340" s="80">
        <v>5.9988000000000002E-5</v>
      </c>
      <c r="AT340" s="79">
        <v>1543.104</v>
      </c>
      <c r="AU340" s="79">
        <v>0</v>
      </c>
      <c r="AV340" s="79">
        <v>257</v>
      </c>
      <c r="AW340" s="79">
        <v>1066.52950558214</v>
      </c>
      <c r="AX340" s="79">
        <v>4</v>
      </c>
      <c r="AY340" s="79">
        <v>4</v>
      </c>
      <c r="AZ340" s="79">
        <v>914</v>
      </c>
      <c r="BA340" s="79">
        <v>1</v>
      </c>
      <c r="BB340" s="79">
        <v>0</v>
      </c>
      <c r="BC340" s="79">
        <v>0</v>
      </c>
      <c r="BD340" s="79">
        <v>0</v>
      </c>
      <c r="BE340" s="79">
        <v>0</v>
      </c>
      <c r="BF340" s="79">
        <v>0</v>
      </c>
      <c r="BG340" s="79">
        <v>0</v>
      </c>
      <c r="BH340" s="79">
        <v>0</v>
      </c>
      <c r="BI340" s="79">
        <v>0</v>
      </c>
      <c r="BJ340" s="79">
        <v>0</v>
      </c>
      <c r="BK340" s="79">
        <v>3</v>
      </c>
      <c r="BL340" s="79">
        <v>1112</v>
      </c>
      <c r="BM340" s="79">
        <v>45</v>
      </c>
      <c r="BN340" s="79">
        <v>9</v>
      </c>
      <c r="BO340">
        <v>1786</v>
      </c>
      <c r="BP340">
        <v>242</v>
      </c>
      <c r="BQ340">
        <v>1763</v>
      </c>
      <c r="BR340">
        <v>243</v>
      </c>
      <c r="BS340">
        <v>1679</v>
      </c>
      <c r="BT340">
        <v>240</v>
      </c>
      <c r="BU340">
        <v>1637</v>
      </c>
      <c r="BV340">
        <v>243</v>
      </c>
      <c r="BW340">
        <v>1577</v>
      </c>
      <c r="BX340">
        <v>249</v>
      </c>
      <c r="BY340">
        <v>1524</v>
      </c>
      <c r="BZ340">
        <v>257</v>
      </c>
      <c r="CB340">
        <v>98.647999999999996</v>
      </c>
      <c r="CC340">
        <v>1</v>
      </c>
      <c r="CD340">
        <v>9</v>
      </c>
      <c r="CE340">
        <v>3013.25</v>
      </c>
      <c r="CF340">
        <v>533.12</v>
      </c>
      <c r="CG340">
        <v>36.0310070921986</v>
      </c>
      <c r="CH340">
        <v>80</v>
      </c>
      <c r="CI340">
        <v>24.6666666666667</v>
      </c>
      <c r="CJ340">
        <v>19.3333333333333</v>
      </c>
      <c r="CK340" s="81">
        <v>287</v>
      </c>
      <c r="CL340">
        <v>79</v>
      </c>
      <c r="CM340">
        <v>1048.24866537718</v>
      </c>
      <c r="CN340">
        <v>0.11799999999999999</v>
      </c>
      <c r="CO340">
        <v>5726</v>
      </c>
      <c r="CP340">
        <v>1186</v>
      </c>
      <c r="CQ340">
        <v>199</v>
      </c>
      <c r="CR340">
        <v>213</v>
      </c>
      <c r="CS340">
        <v>228</v>
      </c>
      <c r="CT340">
        <v>114</v>
      </c>
      <c r="CU340">
        <v>89.902960526315795</v>
      </c>
      <c r="CV340">
        <v>62.740789473684202</v>
      </c>
      <c r="CW340">
        <v>21.551206140350899</v>
      </c>
      <c r="CX340">
        <v>216.71700000000001</v>
      </c>
      <c r="CY340">
        <v>151.24080000000001</v>
      </c>
      <c r="CZ340">
        <v>51.950600000000001</v>
      </c>
      <c r="DA340">
        <v>9855</v>
      </c>
      <c r="DE340">
        <v>1721</v>
      </c>
      <c r="DF340" t="s">
        <v>46</v>
      </c>
      <c r="DG340">
        <v>7068</v>
      </c>
      <c r="DH340">
        <v>7061</v>
      </c>
      <c r="DI340">
        <v>6935</v>
      </c>
      <c r="DJ340">
        <v>6915</v>
      </c>
      <c r="DK340">
        <v>6810</v>
      </c>
      <c r="DO340">
        <v>866</v>
      </c>
      <c r="DP340" t="s">
        <v>326</v>
      </c>
      <c r="DQ340">
        <v>7586</v>
      </c>
      <c r="DR340">
        <v>1</v>
      </c>
      <c r="DS340">
        <v>831</v>
      </c>
      <c r="DV340">
        <v>865</v>
      </c>
      <c r="DW340" t="s">
        <v>324</v>
      </c>
      <c r="DX340">
        <v>3145.6512024407798</v>
      </c>
      <c r="DY340">
        <v>690</v>
      </c>
      <c r="DZ340">
        <v>628</v>
      </c>
      <c r="EA340">
        <v>322</v>
      </c>
      <c r="EB340">
        <v>1882</v>
      </c>
      <c r="EC340">
        <v>1130</v>
      </c>
      <c r="ED340">
        <v>451</v>
      </c>
      <c r="EE340" s="82">
        <v>0.16447378530694301</v>
      </c>
      <c r="EF340" s="82">
        <v>0.29883136280382799</v>
      </c>
    </row>
    <row r="341" spans="1:136" x14ac:dyDescent="0.35">
      <c r="A341" s="72">
        <v>946</v>
      </c>
      <c r="B341" s="72">
        <v>11</v>
      </c>
      <c r="D341" s="72" t="s">
        <v>211</v>
      </c>
      <c r="E341" s="79">
        <v>1518000000</v>
      </c>
      <c r="F341" s="79">
        <v>265650000</v>
      </c>
      <c r="G341" s="79">
        <v>290150000</v>
      </c>
      <c r="H341" s="79">
        <v>17001</v>
      </c>
      <c r="I341" s="79">
        <v>2</v>
      </c>
      <c r="J341" s="79">
        <v>290.14999999999998</v>
      </c>
      <c r="K341" s="79">
        <v>2925</v>
      </c>
      <c r="L341" s="79">
        <v>3879</v>
      </c>
      <c r="M341" s="79">
        <v>1286</v>
      </c>
      <c r="N341" s="79">
        <v>2074</v>
      </c>
      <c r="O341" s="79">
        <v>1333.6</v>
      </c>
      <c r="P341" s="79">
        <v>141.333333333333</v>
      </c>
      <c r="Q341" s="79">
        <v>1011.33333333333</v>
      </c>
      <c r="R341" s="79">
        <v>220</v>
      </c>
      <c r="S341" s="79">
        <v>0</v>
      </c>
      <c r="T341" s="79">
        <v>369</v>
      </c>
      <c r="U341" s="79">
        <v>7450</v>
      </c>
      <c r="V341" s="79">
        <v>15480</v>
      </c>
      <c r="W341" s="79">
        <v>6170</v>
      </c>
      <c r="X341" s="79">
        <v>0</v>
      </c>
      <c r="Y341" s="79">
        <v>0</v>
      </c>
      <c r="Z341" s="79">
        <v>0</v>
      </c>
      <c r="AA341" s="79">
        <v>0</v>
      </c>
      <c r="AB341" s="79">
        <v>0</v>
      </c>
      <c r="AC341" s="79">
        <v>9989</v>
      </c>
      <c r="AD341" s="79">
        <v>9989</v>
      </c>
      <c r="AE341" s="79">
        <v>190</v>
      </c>
      <c r="AF341" s="79">
        <v>0</v>
      </c>
      <c r="AG341" s="79">
        <v>259</v>
      </c>
      <c r="AH341" s="79">
        <v>126</v>
      </c>
      <c r="AI341" s="79">
        <v>133</v>
      </c>
      <c r="AJ341" s="79">
        <v>7404</v>
      </c>
      <c r="AK341" s="79">
        <v>7404</v>
      </c>
      <c r="AL341" s="79">
        <v>0</v>
      </c>
      <c r="AM341" s="79">
        <v>0</v>
      </c>
      <c r="AN341" s="79">
        <v>0</v>
      </c>
      <c r="AO341" s="79">
        <v>0</v>
      </c>
      <c r="AP341" s="79">
        <v>0</v>
      </c>
      <c r="AQ341" s="79">
        <v>0</v>
      </c>
      <c r="AR341" s="80">
        <v>1.95902E-4</v>
      </c>
      <c r="AS341" s="80">
        <v>1.0128600000000001E-4</v>
      </c>
      <c r="AT341" s="79">
        <v>4708.9440000000004</v>
      </c>
      <c r="AU341" s="79">
        <v>0</v>
      </c>
      <c r="AV341" s="79">
        <v>1333</v>
      </c>
      <c r="AW341" s="79">
        <v>2226.38107869142</v>
      </c>
      <c r="AX341" s="79">
        <v>8</v>
      </c>
      <c r="AY341" s="79">
        <v>8</v>
      </c>
      <c r="AZ341" s="79">
        <v>2146</v>
      </c>
      <c r="BA341" s="79">
        <v>1</v>
      </c>
      <c r="BB341" s="79">
        <v>0</v>
      </c>
      <c r="BC341" s="79">
        <v>0</v>
      </c>
      <c r="BD341" s="79">
        <v>0</v>
      </c>
      <c r="BE341" s="79">
        <v>0</v>
      </c>
      <c r="BF341" s="79">
        <v>0</v>
      </c>
      <c r="BG341" s="79">
        <v>0</v>
      </c>
      <c r="BH341" s="79">
        <v>0</v>
      </c>
      <c r="BI341" s="79">
        <v>0</v>
      </c>
      <c r="BJ341" s="79">
        <v>0</v>
      </c>
      <c r="BK341" s="79">
        <v>5</v>
      </c>
      <c r="BL341" s="79">
        <v>2012</v>
      </c>
      <c r="BM341" s="79">
        <v>126</v>
      </c>
      <c r="BN341" s="79">
        <v>133</v>
      </c>
      <c r="BO341">
        <v>3537</v>
      </c>
      <c r="BP341">
        <v>0</v>
      </c>
      <c r="BQ341">
        <v>3436</v>
      </c>
      <c r="BR341">
        <v>0</v>
      </c>
      <c r="BS341">
        <v>3407</v>
      </c>
      <c r="BT341">
        <v>0</v>
      </c>
      <c r="BU341">
        <v>3348</v>
      </c>
      <c r="BV341">
        <v>0</v>
      </c>
      <c r="BW341">
        <v>3278</v>
      </c>
      <c r="BX341">
        <v>0</v>
      </c>
      <c r="BY341">
        <v>3189</v>
      </c>
      <c r="BZ341">
        <v>0</v>
      </c>
      <c r="CB341">
        <v>280.8</v>
      </c>
      <c r="CC341">
        <v>25</v>
      </c>
      <c r="CD341">
        <v>20</v>
      </c>
      <c r="CE341">
        <v>4861.5200000000004</v>
      </c>
      <c r="CF341">
        <v>1108.1400000000001</v>
      </c>
      <c r="CG341">
        <v>58.171962616822398</v>
      </c>
      <c r="CH341">
        <v>155</v>
      </c>
      <c r="CI341">
        <v>46.3333333333333</v>
      </c>
      <c r="CJ341">
        <v>32.3333333333333</v>
      </c>
      <c r="CK341" s="81">
        <v>870</v>
      </c>
      <c r="CL341">
        <v>202</v>
      </c>
      <c r="CM341">
        <v>2604.70748764366</v>
      </c>
      <c r="CN341">
        <v>8.5000000000000006E-2</v>
      </c>
      <c r="CO341">
        <v>13122</v>
      </c>
      <c r="CP341">
        <v>2210</v>
      </c>
      <c r="CQ341">
        <v>383</v>
      </c>
      <c r="CR341">
        <v>335</v>
      </c>
      <c r="CS341">
        <v>397</v>
      </c>
      <c r="CT341">
        <v>205</v>
      </c>
      <c r="CU341">
        <v>238.11712587790399</v>
      </c>
      <c r="CV341">
        <v>158.324473257699</v>
      </c>
      <c r="CW341">
        <v>51.874230145867102</v>
      </c>
      <c r="CX341">
        <v>609.57420000000002</v>
      </c>
      <c r="CY341">
        <v>405.30689999999998</v>
      </c>
      <c r="CZ341">
        <v>132.79679999999999</v>
      </c>
      <c r="DA341">
        <v>0</v>
      </c>
      <c r="DE341">
        <v>1722</v>
      </c>
      <c r="DF341" t="s">
        <v>805</v>
      </c>
      <c r="DG341">
        <v>2073</v>
      </c>
      <c r="DH341">
        <v>2078</v>
      </c>
      <c r="DI341">
        <v>2075</v>
      </c>
      <c r="DJ341">
        <v>2044</v>
      </c>
      <c r="DK341">
        <v>2081</v>
      </c>
      <c r="DO341">
        <v>867</v>
      </c>
      <c r="DP341" t="s">
        <v>327</v>
      </c>
      <c r="DQ341">
        <v>21594</v>
      </c>
      <c r="DR341">
        <v>1</v>
      </c>
      <c r="DS341">
        <v>1280</v>
      </c>
      <c r="DV341">
        <v>1949</v>
      </c>
      <c r="DW341" t="s">
        <v>325</v>
      </c>
      <c r="DX341">
        <v>6752.65428514217</v>
      </c>
      <c r="DY341">
        <v>1165</v>
      </c>
      <c r="DZ341">
        <v>971</v>
      </c>
      <c r="EA341">
        <v>475</v>
      </c>
      <c r="EB341">
        <v>3654</v>
      </c>
      <c r="EC341">
        <v>2037</v>
      </c>
      <c r="ED341">
        <v>634</v>
      </c>
      <c r="EE341" s="82">
        <v>0.21939524572614599</v>
      </c>
      <c r="EF341" s="82">
        <v>0.56076690288488495</v>
      </c>
    </row>
    <row r="342" spans="1:136" x14ac:dyDescent="0.35">
      <c r="A342" s="72">
        <v>1894</v>
      </c>
      <c r="B342" s="72">
        <v>11</v>
      </c>
      <c r="D342" s="72" t="s">
        <v>244</v>
      </c>
      <c r="E342" s="79">
        <v>3547600000</v>
      </c>
      <c r="F342" s="79">
        <v>628250000</v>
      </c>
      <c r="G342" s="79">
        <v>686700000</v>
      </c>
      <c r="H342" s="79">
        <v>43311</v>
      </c>
      <c r="I342" s="79">
        <v>6</v>
      </c>
      <c r="J342" s="79">
        <v>686.7</v>
      </c>
      <c r="K342" s="79">
        <v>7807</v>
      </c>
      <c r="L342" s="79">
        <v>9523</v>
      </c>
      <c r="M342" s="79">
        <v>3016</v>
      </c>
      <c r="N342" s="79">
        <v>5088</v>
      </c>
      <c r="O342" s="79">
        <v>3198</v>
      </c>
      <c r="P342" s="79">
        <v>404.66666666666703</v>
      </c>
      <c r="Q342" s="79">
        <v>2549.6666666666702</v>
      </c>
      <c r="R342" s="79">
        <v>1105</v>
      </c>
      <c r="S342" s="79">
        <v>0</v>
      </c>
      <c r="T342" s="79">
        <v>908</v>
      </c>
      <c r="U342" s="79">
        <v>18776</v>
      </c>
      <c r="V342" s="79">
        <v>38610</v>
      </c>
      <c r="W342" s="79">
        <v>16040</v>
      </c>
      <c r="X342" s="79">
        <v>45.54</v>
      </c>
      <c r="Y342" s="79">
        <v>1185.5999999999999</v>
      </c>
      <c r="Z342" s="79">
        <v>0</v>
      </c>
      <c r="AA342" s="79">
        <v>0</v>
      </c>
      <c r="AB342" s="79">
        <v>0</v>
      </c>
      <c r="AC342" s="79">
        <v>15934</v>
      </c>
      <c r="AD342" s="79">
        <v>15934</v>
      </c>
      <c r="AE342" s="79">
        <v>201</v>
      </c>
      <c r="AF342" s="79">
        <v>0</v>
      </c>
      <c r="AG342" s="79">
        <v>512</v>
      </c>
      <c r="AH342" s="79">
        <v>282</v>
      </c>
      <c r="AI342" s="79">
        <v>230</v>
      </c>
      <c r="AJ342" s="79">
        <v>18900</v>
      </c>
      <c r="AK342" s="79">
        <v>18900</v>
      </c>
      <c r="AL342" s="79">
        <v>5</v>
      </c>
      <c r="AM342" s="79">
        <v>0</v>
      </c>
      <c r="AN342" s="79">
        <v>0</v>
      </c>
      <c r="AO342" s="79">
        <v>0</v>
      </c>
      <c r="AP342" s="79">
        <v>0</v>
      </c>
      <c r="AQ342" s="79">
        <v>0</v>
      </c>
      <c r="AR342" s="80">
        <v>4.1444399999999998E-4</v>
      </c>
      <c r="AS342" s="80">
        <v>2.5300499999999999E-4</v>
      </c>
      <c r="AT342" s="79">
        <v>10962</v>
      </c>
      <c r="AU342" s="79">
        <v>0</v>
      </c>
      <c r="AV342" s="79">
        <v>1817</v>
      </c>
      <c r="AW342" s="79">
        <v>4877.35277347382</v>
      </c>
      <c r="AX342" s="79">
        <v>18</v>
      </c>
      <c r="AY342" s="79">
        <v>18</v>
      </c>
      <c r="AZ342" s="79">
        <v>4300</v>
      </c>
      <c r="BA342" s="79">
        <v>1</v>
      </c>
      <c r="BB342" s="79">
        <v>0</v>
      </c>
      <c r="BC342" s="79">
        <v>0</v>
      </c>
      <c r="BD342" s="79">
        <v>0</v>
      </c>
      <c r="BE342" s="79">
        <v>0</v>
      </c>
      <c r="BF342" s="79">
        <v>0</v>
      </c>
      <c r="BG342" s="79">
        <v>0</v>
      </c>
      <c r="BH342" s="79">
        <v>0</v>
      </c>
      <c r="BI342" s="79">
        <v>0</v>
      </c>
      <c r="BJ342" s="79">
        <v>0</v>
      </c>
      <c r="BK342" s="79">
        <v>65</v>
      </c>
      <c r="BL342" s="79">
        <v>4973</v>
      </c>
      <c r="BM342" s="79">
        <v>282</v>
      </c>
      <c r="BN342" s="79">
        <v>230</v>
      </c>
      <c r="BO342">
        <v>9457</v>
      </c>
      <c r="BP342">
        <v>2161</v>
      </c>
      <c r="BQ342">
        <v>9298</v>
      </c>
      <c r="BR342">
        <v>2114</v>
      </c>
      <c r="BS342">
        <v>9213</v>
      </c>
      <c r="BT342">
        <v>2144</v>
      </c>
      <c r="BU342">
        <v>8949</v>
      </c>
      <c r="BV342">
        <v>2143</v>
      </c>
      <c r="BW342">
        <v>8764</v>
      </c>
      <c r="BX342">
        <v>2055</v>
      </c>
      <c r="BY342">
        <v>8568</v>
      </c>
      <c r="BZ342">
        <v>1942</v>
      </c>
      <c r="CB342">
        <v>601.13900000000001</v>
      </c>
      <c r="CC342">
        <v>73</v>
      </c>
      <c r="CD342">
        <v>64</v>
      </c>
      <c r="CE342">
        <v>11761.75</v>
      </c>
      <c r="CF342">
        <v>2875.6</v>
      </c>
      <c r="CG342">
        <v>114.667985932178</v>
      </c>
      <c r="CH342">
        <v>348</v>
      </c>
      <c r="CI342">
        <v>112.333333333333</v>
      </c>
      <c r="CJ342">
        <v>81.3333333333333</v>
      </c>
      <c r="CK342" s="81">
        <v>2145</v>
      </c>
      <c r="CL342">
        <v>605</v>
      </c>
      <c r="CM342">
        <v>6907.28259488411</v>
      </c>
      <c r="CN342">
        <v>0.217</v>
      </c>
      <c r="CO342">
        <v>33788</v>
      </c>
      <c r="CP342">
        <v>5551</v>
      </c>
      <c r="CQ342">
        <v>956</v>
      </c>
      <c r="CR342">
        <v>881</v>
      </c>
      <c r="CS342">
        <v>877</v>
      </c>
      <c r="CT342">
        <v>446</v>
      </c>
      <c r="CU342">
        <v>559.05777777777803</v>
      </c>
      <c r="CV342">
        <v>338.92031746031699</v>
      </c>
      <c r="CW342">
        <v>109.81492063492099</v>
      </c>
      <c r="CX342">
        <v>1550.2367999999999</v>
      </c>
      <c r="CY342">
        <v>939.80759999999998</v>
      </c>
      <c r="CZ342">
        <v>304.51080000000002</v>
      </c>
      <c r="DA342">
        <v>76193</v>
      </c>
      <c r="DE342">
        <v>1723</v>
      </c>
      <c r="DF342" t="s">
        <v>21</v>
      </c>
      <c r="DG342">
        <v>2050</v>
      </c>
      <c r="DH342">
        <v>2027</v>
      </c>
      <c r="DI342">
        <v>2006</v>
      </c>
      <c r="DJ342">
        <v>1973</v>
      </c>
      <c r="DK342">
        <v>1941</v>
      </c>
      <c r="DO342">
        <v>870</v>
      </c>
      <c r="DP342" t="s">
        <v>823</v>
      </c>
      <c r="DQ342">
        <v>11023</v>
      </c>
      <c r="DR342">
        <v>1.18</v>
      </c>
      <c r="DS342">
        <v>629</v>
      </c>
      <c r="DV342">
        <v>866</v>
      </c>
      <c r="DW342" t="s">
        <v>326</v>
      </c>
      <c r="DX342">
        <v>1717.8997949418999</v>
      </c>
      <c r="DY342">
        <v>410</v>
      </c>
      <c r="DZ342">
        <v>471</v>
      </c>
      <c r="EA342">
        <v>283</v>
      </c>
      <c r="EB342">
        <v>1304</v>
      </c>
      <c r="EC342">
        <v>972</v>
      </c>
      <c r="ED342">
        <v>426</v>
      </c>
      <c r="EE342" s="82">
        <v>0.12645660360425801</v>
      </c>
      <c r="EF342" s="82">
        <v>0.260864464787043</v>
      </c>
    </row>
    <row r="343" spans="1:136" x14ac:dyDescent="0.35">
      <c r="A343" s="72">
        <v>1669</v>
      </c>
      <c r="B343" s="72">
        <v>11</v>
      </c>
      <c r="D343" s="72" t="s">
        <v>259</v>
      </c>
      <c r="E343" s="79">
        <v>1666800000</v>
      </c>
      <c r="F343" s="79">
        <v>158200000</v>
      </c>
      <c r="G343" s="79">
        <v>178150000</v>
      </c>
      <c r="H343" s="79">
        <v>20615</v>
      </c>
      <c r="I343" s="79">
        <v>5</v>
      </c>
      <c r="J343" s="79">
        <v>178.15</v>
      </c>
      <c r="K343" s="79">
        <v>3256</v>
      </c>
      <c r="L343" s="79">
        <v>5416</v>
      </c>
      <c r="M343" s="79">
        <v>1647</v>
      </c>
      <c r="N343" s="79">
        <v>2764</v>
      </c>
      <c r="O343" s="79">
        <v>1781.9</v>
      </c>
      <c r="P343" s="79">
        <v>276.33333333333297</v>
      </c>
      <c r="Q343" s="79">
        <v>1609.3333333333301</v>
      </c>
      <c r="R343" s="79">
        <v>345</v>
      </c>
      <c r="S343" s="79">
        <v>0</v>
      </c>
      <c r="T343" s="79">
        <v>623</v>
      </c>
      <c r="U343" s="79">
        <v>9703</v>
      </c>
      <c r="V343" s="79">
        <v>16720</v>
      </c>
      <c r="W343" s="79">
        <v>3360</v>
      </c>
      <c r="X343" s="79">
        <v>0</v>
      </c>
      <c r="Y343" s="79">
        <v>0</v>
      </c>
      <c r="Z343" s="79">
        <v>0</v>
      </c>
      <c r="AA343" s="79">
        <v>0</v>
      </c>
      <c r="AB343" s="79">
        <v>0</v>
      </c>
      <c r="AC343" s="79">
        <v>8825</v>
      </c>
      <c r="AD343" s="79">
        <v>8825</v>
      </c>
      <c r="AE343" s="79">
        <v>54</v>
      </c>
      <c r="AF343" s="79">
        <v>0</v>
      </c>
      <c r="AG343" s="79">
        <v>181</v>
      </c>
      <c r="AH343" s="79">
        <v>140</v>
      </c>
      <c r="AI343" s="79">
        <v>40</v>
      </c>
      <c r="AJ343" s="79">
        <v>9821</v>
      </c>
      <c r="AK343" s="79">
        <v>9821</v>
      </c>
      <c r="AL343" s="79">
        <v>7</v>
      </c>
      <c r="AM343" s="79">
        <v>0</v>
      </c>
      <c r="AN343" s="79">
        <v>0</v>
      </c>
      <c r="AO343" s="79">
        <v>0</v>
      </c>
      <c r="AP343" s="79">
        <v>0</v>
      </c>
      <c r="AQ343" s="79">
        <v>0</v>
      </c>
      <c r="AR343" s="80">
        <v>2.61706E-4</v>
      </c>
      <c r="AS343" s="80">
        <v>1.9823799999999999E-4</v>
      </c>
      <c r="AT343" s="79">
        <v>3761.4430000000002</v>
      </c>
      <c r="AU343" s="79">
        <v>0</v>
      </c>
      <c r="AV343" s="79">
        <v>815</v>
      </c>
      <c r="AW343" s="79">
        <v>1892.2429327627001</v>
      </c>
      <c r="AX343" s="79">
        <v>11</v>
      </c>
      <c r="AY343" s="79">
        <v>11</v>
      </c>
      <c r="AZ343" s="79">
        <v>1818</v>
      </c>
      <c r="BA343" s="79">
        <v>1</v>
      </c>
      <c r="BB343" s="79">
        <v>0</v>
      </c>
      <c r="BC343" s="79">
        <v>0</v>
      </c>
      <c r="BD343" s="79">
        <v>0</v>
      </c>
      <c r="BE343" s="79">
        <v>0</v>
      </c>
      <c r="BF343" s="79">
        <v>0</v>
      </c>
      <c r="BG343" s="79">
        <v>0</v>
      </c>
      <c r="BH343" s="79">
        <v>0</v>
      </c>
      <c r="BI343" s="79">
        <v>0</v>
      </c>
      <c r="BJ343" s="79">
        <v>0</v>
      </c>
      <c r="BK343" s="79">
        <v>21</v>
      </c>
      <c r="BL343" s="79">
        <v>2933</v>
      </c>
      <c r="BM343" s="79">
        <v>140</v>
      </c>
      <c r="BN343" s="79">
        <v>40</v>
      </c>
      <c r="BO343">
        <v>3946</v>
      </c>
      <c r="BP343">
        <v>0</v>
      </c>
      <c r="BQ343">
        <v>3923</v>
      </c>
      <c r="BR343">
        <v>0</v>
      </c>
      <c r="BS343">
        <v>3802</v>
      </c>
      <c r="BT343">
        <v>0</v>
      </c>
      <c r="BU343">
        <v>3706</v>
      </c>
      <c r="BV343">
        <v>0</v>
      </c>
      <c r="BW343">
        <v>3656</v>
      </c>
      <c r="BX343">
        <v>0</v>
      </c>
      <c r="BY343">
        <v>3565</v>
      </c>
      <c r="BZ343">
        <v>0</v>
      </c>
      <c r="CB343">
        <v>358.16</v>
      </c>
      <c r="CC343">
        <v>64</v>
      </c>
      <c r="CD343">
        <v>25</v>
      </c>
      <c r="CE343">
        <v>6287.95</v>
      </c>
      <c r="CF343">
        <v>1334.52</v>
      </c>
      <c r="CG343">
        <v>77.415044776119402</v>
      </c>
      <c r="CH343">
        <v>191</v>
      </c>
      <c r="CI343">
        <v>78.6666666666667</v>
      </c>
      <c r="CJ343">
        <v>69</v>
      </c>
      <c r="CK343" s="81">
        <v>1333</v>
      </c>
      <c r="CL343">
        <v>271</v>
      </c>
      <c r="CM343">
        <v>3656.0880885623101</v>
      </c>
      <c r="CN343">
        <v>0.438</v>
      </c>
      <c r="CO343">
        <v>15199</v>
      </c>
      <c r="CP343">
        <v>3208</v>
      </c>
      <c r="CQ343">
        <v>561</v>
      </c>
      <c r="CR343">
        <v>607</v>
      </c>
      <c r="CS343">
        <v>520</v>
      </c>
      <c r="CT343">
        <v>284</v>
      </c>
      <c r="CU343">
        <v>359.79102942673899</v>
      </c>
      <c r="CV343">
        <v>204.661765604317</v>
      </c>
      <c r="CW343">
        <v>72.393656450463297</v>
      </c>
      <c r="CX343">
        <v>906.42930000000001</v>
      </c>
      <c r="CY343">
        <v>515.60879999999997</v>
      </c>
      <c r="CZ343">
        <v>182.38290000000001</v>
      </c>
      <c r="DA343">
        <v>0</v>
      </c>
      <c r="DE343">
        <v>1724</v>
      </c>
      <c r="DF343" t="s">
        <v>41</v>
      </c>
      <c r="DG343">
        <v>4105</v>
      </c>
      <c r="DH343">
        <v>4016</v>
      </c>
      <c r="DI343">
        <v>3959</v>
      </c>
      <c r="DJ343">
        <v>3896</v>
      </c>
      <c r="DK343">
        <v>3829</v>
      </c>
      <c r="DO343">
        <v>873</v>
      </c>
      <c r="DP343" t="s">
        <v>348</v>
      </c>
      <c r="DQ343">
        <v>10448</v>
      </c>
      <c r="DR343">
        <v>1</v>
      </c>
      <c r="DS343">
        <v>660</v>
      </c>
      <c r="DV343">
        <v>867</v>
      </c>
      <c r="DW343" t="s">
        <v>327</v>
      </c>
      <c r="DX343">
        <v>6833.6364928236499</v>
      </c>
      <c r="DY343">
        <v>1154</v>
      </c>
      <c r="DZ343">
        <v>1094</v>
      </c>
      <c r="EA343">
        <v>491</v>
      </c>
      <c r="EB343">
        <v>3545</v>
      </c>
      <c r="EC343">
        <v>2218</v>
      </c>
      <c r="ED343">
        <v>689</v>
      </c>
      <c r="EE343" s="82">
        <v>0.21645996539889101</v>
      </c>
      <c r="EF343" s="82">
        <v>0.46927942762387398</v>
      </c>
    </row>
    <row r="344" spans="1:136" x14ac:dyDescent="0.35">
      <c r="A344" s="72">
        <v>957</v>
      </c>
      <c r="B344" s="72">
        <v>11</v>
      </c>
      <c r="D344" s="72" t="s">
        <v>260</v>
      </c>
      <c r="E344" s="79">
        <v>4474000000</v>
      </c>
      <c r="F344" s="79">
        <v>1387750000</v>
      </c>
      <c r="G344" s="79">
        <v>1416100000</v>
      </c>
      <c r="H344" s="79">
        <v>58209</v>
      </c>
      <c r="I344" s="79">
        <v>2</v>
      </c>
      <c r="J344" s="79">
        <v>1416.1</v>
      </c>
      <c r="K344" s="79">
        <v>10349</v>
      </c>
      <c r="L344" s="79">
        <v>12102</v>
      </c>
      <c r="M344" s="79">
        <v>3755</v>
      </c>
      <c r="N344" s="79">
        <v>10327</v>
      </c>
      <c r="O344" s="79">
        <v>7557.2</v>
      </c>
      <c r="P344" s="79">
        <v>1781.3333333333301</v>
      </c>
      <c r="Q344" s="79">
        <v>6140.3333333333303</v>
      </c>
      <c r="R344" s="79">
        <v>5625</v>
      </c>
      <c r="S344" s="79">
        <v>0</v>
      </c>
      <c r="T344" s="79">
        <v>2225</v>
      </c>
      <c r="U344" s="79">
        <v>28699</v>
      </c>
      <c r="V344" s="79">
        <v>67080</v>
      </c>
      <c r="W344" s="79">
        <v>79090</v>
      </c>
      <c r="X344" s="79">
        <v>2266.1999999999998</v>
      </c>
      <c r="Y344" s="79">
        <v>3364</v>
      </c>
      <c r="Z344" s="79">
        <v>74.900000000000006</v>
      </c>
      <c r="AA344" s="79">
        <v>0</v>
      </c>
      <c r="AB344" s="79">
        <v>0</v>
      </c>
      <c r="AC344" s="79">
        <v>6065</v>
      </c>
      <c r="AD344" s="79">
        <v>6065</v>
      </c>
      <c r="AE344" s="79">
        <v>1040</v>
      </c>
      <c r="AF344" s="79">
        <v>0</v>
      </c>
      <c r="AG344" s="79">
        <v>438</v>
      </c>
      <c r="AH344" s="79">
        <v>356</v>
      </c>
      <c r="AI344" s="79">
        <v>82</v>
      </c>
      <c r="AJ344" s="79">
        <v>27698</v>
      </c>
      <c r="AK344" s="79">
        <v>27698</v>
      </c>
      <c r="AL344" s="79">
        <v>34</v>
      </c>
      <c r="AM344" s="79">
        <v>0</v>
      </c>
      <c r="AN344" s="79">
        <v>0</v>
      </c>
      <c r="AO344" s="79">
        <v>0</v>
      </c>
      <c r="AP344" s="79">
        <v>3316</v>
      </c>
      <c r="AQ344" s="79">
        <v>2811</v>
      </c>
      <c r="AR344" s="80">
        <v>2.9356959999999998E-3</v>
      </c>
      <c r="AS344" s="80">
        <v>3.1542530000000001E-3</v>
      </c>
      <c r="AT344" s="79">
        <v>41547</v>
      </c>
      <c r="AU344" s="79">
        <v>0</v>
      </c>
      <c r="AV344" s="79">
        <v>2282</v>
      </c>
      <c r="AW344" s="79">
        <v>18695.698522167499</v>
      </c>
      <c r="AX344" s="79">
        <v>9</v>
      </c>
      <c r="AY344" s="79">
        <v>9</v>
      </c>
      <c r="AZ344" s="79">
        <v>5725</v>
      </c>
      <c r="BA344" s="79">
        <v>1</v>
      </c>
      <c r="BB344" s="79">
        <v>0</v>
      </c>
      <c r="BC344" s="79">
        <v>0</v>
      </c>
      <c r="BD344" s="79">
        <v>0</v>
      </c>
      <c r="BE344" s="79">
        <v>0</v>
      </c>
      <c r="BF344" s="79">
        <v>0</v>
      </c>
      <c r="BG344" s="79">
        <v>0</v>
      </c>
      <c r="BH344" s="79">
        <v>0</v>
      </c>
      <c r="BI344" s="79">
        <v>0</v>
      </c>
      <c r="BJ344" s="79">
        <v>0</v>
      </c>
      <c r="BK344" s="79">
        <v>85</v>
      </c>
      <c r="BL344" s="79">
        <v>11285</v>
      </c>
      <c r="BM344" s="79">
        <v>356</v>
      </c>
      <c r="BN344" s="79">
        <v>82</v>
      </c>
      <c r="BO344">
        <v>10667</v>
      </c>
      <c r="BP344">
        <v>4275</v>
      </c>
      <c r="BQ344">
        <v>10623</v>
      </c>
      <c r="BR344">
        <v>4173</v>
      </c>
      <c r="BS344">
        <v>10592</v>
      </c>
      <c r="BT344">
        <v>4202</v>
      </c>
      <c r="BU344">
        <v>10587</v>
      </c>
      <c r="BV344">
        <v>4117</v>
      </c>
      <c r="BW344">
        <v>10584</v>
      </c>
      <c r="BX344">
        <v>3978</v>
      </c>
      <c r="BY344">
        <v>10517</v>
      </c>
      <c r="BZ344">
        <v>4195</v>
      </c>
      <c r="CB344">
        <v>1904.2159999999999</v>
      </c>
      <c r="CC344">
        <v>189</v>
      </c>
      <c r="CD344">
        <v>336</v>
      </c>
      <c r="CE344">
        <v>16778.400000000001</v>
      </c>
      <c r="CF344">
        <v>3504.36</v>
      </c>
      <c r="CG344">
        <v>414.93289912384603</v>
      </c>
      <c r="CH344">
        <v>761</v>
      </c>
      <c r="CI344">
        <v>495.33333333333297</v>
      </c>
      <c r="CJ344">
        <v>444.66666666666703</v>
      </c>
      <c r="CK344" s="81">
        <v>4359</v>
      </c>
      <c r="CL344">
        <v>973</v>
      </c>
      <c r="CM344">
        <v>9757.7928644097501</v>
      </c>
      <c r="CN344">
        <v>4.7</v>
      </c>
      <c r="CO344">
        <v>46107</v>
      </c>
      <c r="CP344">
        <v>7016</v>
      </c>
      <c r="CQ344">
        <v>1331</v>
      </c>
      <c r="CR344">
        <v>1929</v>
      </c>
      <c r="CS344">
        <v>1483</v>
      </c>
      <c r="CT344">
        <v>690</v>
      </c>
      <c r="CU344">
        <v>1264.35355621345</v>
      </c>
      <c r="CV344">
        <v>746.225070402195</v>
      </c>
      <c r="CW344">
        <v>256.47223626254601</v>
      </c>
      <c r="CX344">
        <v>2434.7035999999998</v>
      </c>
      <c r="CY344">
        <v>1436.9690000000001</v>
      </c>
      <c r="CZ344">
        <v>493.87599999999998</v>
      </c>
      <c r="DA344">
        <v>46650</v>
      </c>
      <c r="DE344">
        <v>1728</v>
      </c>
      <c r="DF344" t="s">
        <v>50</v>
      </c>
      <c r="DG344">
        <v>4334</v>
      </c>
      <c r="DH344">
        <v>4268</v>
      </c>
      <c r="DI344">
        <v>4251</v>
      </c>
      <c r="DJ344">
        <v>4228</v>
      </c>
      <c r="DK344">
        <v>4156</v>
      </c>
      <c r="DO344">
        <v>874</v>
      </c>
      <c r="DP344" t="s">
        <v>824</v>
      </c>
      <c r="DQ344">
        <v>6098</v>
      </c>
      <c r="DR344">
        <v>1.2</v>
      </c>
      <c r="DS344">
        <v>355</v>
      </c>
      <c r="DV344">
        <v>627</v>
      </c>
      <c r="DW344" t="s">
        <v>328</v>
      </c>
      <c r="DX344">
        <v>3022.4543080939902</v>
      </c>
      <c r="DY344">
        <v>554</v>
      </c>
      <c r="DZ344">
        <v>559</v>
      </c>
      <c r="EA344">
        <v>319</v>
      </c>
      <c r="EB344">
        <v>1942</v>
      </c>
      <c r="EC344">
        <v>1211</v>
      </c>
      <c r="ED344">
        <v>470</v>
      </c>
      <c r="EE344" s="82">
        <v>0.15644445173035801</v>
      </c>
      <c r="EF344" s="82">
        <v>0.40056396059305099</v>
      </c>
    </row>
    <row r="345" spans="1:136" x14ac:dyDescent="0.35">
      <c r="A345" s="72">
        <v>965</v>
      </c>
      <c r="B345" s="72">
        <v>11</v>
      </c>
      <c r="D345" s="72" t="s">
        <v>272</v>
      </c>
      <c r="E345" s="79">
        <v>718800000</v>
      </c>
      <c r="F345" s="79">
        <v>61950000</v>
      </c>
      <c r="G345" s="79">
        <v>70350000</v>
      </c>
      <c r="H345" s="79">
        <v>10516</v>
      </c>
      <c r="I345" s="79">
        <v>2</v>
      </c>
      <c r="J345" s="79">
        <v>70.349999999999994</v>
      </c>
      <c r="K345" s="79">
        <v>1725</v>
      </c>
      <c r="L345" s="79">
        <v>2696</v>
      </c>
      <c r="M345" s="79">
        <v>920</v>
      </c>
      <c r="N345" s="79">
        <v>1575</v>
      </c>
      <c r="O345" s="79">
        <v>1035.3</v>
      </c>
      <c r="P345" s="79">
        <v>140</v>
      </c>
      <c r="Q345" s="79">
        <v>895</v>
      </c>
      <c r="R345" s="79">
        <v>105</v>
      </c>
      <c r="S345" s="79">
        <v>0</v>
      </c>
      <c r="T345" s="79">
        <v>321</v>
      </c>
      <c r="U345" s="79">
        <v>4936</v>
      </c>
      <c r="V345" s="79">
        <v>7980</v>
      </c>
      <c r="W345" s="79">
        <v>1570</v>
      </c>
      <c r="X345" s="79">
        <v>0</v>
      </c>
      <c r="Y345" s="79">
        <v>0</v>
      </c>
      <c r="Z345" s="79">
        <v>0</v>
      </c>
      <c r="AA345" s="79">
        <v>0</v>
      </c>
      <c r="AB345" s="79">
        <v>0</v>
      </c>
      <c r="AC345" s="79">
        <v>1603</v>
      </c>
      <c r="AD345" s="79">
        <v>1603</v>
      </c>
      <c r="AE345" s="79">
        <v>0</v>
      </c>
      <c r="AF345" s="79">
        <v>0</v>
      </c>
      <c r="AG345" s="79">
        <v>67</v>
      </c>
      <c r="AH345" s="79">
        <v>61</v>
      </c>
      <c r="AI345" s="79">
        <v>6</v>
      </c>
      <c r="AJ345" s="79">
        <v>5397</v>
      </c>
      <c r="AK345" s="79">
        <v>5397</v>
      </c>
      <c r="AL345" s="79">
        <v>0</v>
      </c>
      <c r="AM345" s="79">
        <v>0</v>
      </c>
      <c r="AN345" s="79">
        <v>0</v>
      </c>
      <c r="AO345" s="79">
        <v>0</v>
      </c>
      <c r="AP345" s="79">
        <v>0</v>
      </c>
      <c r="AQ345" s="79">
        <v>0</v>
      </c>
      <c r="AR345" s="80">
        <v>3.1818200000000002E-4</v>
      </c>
      <c r="AS345" s="80">
        <v>3.2073399999999998E-4</v>
      </c>
      <c r="AT345" s="79">
        <v>3675.357</v>
      </c>
      <c r="AU345" s="79">
        <v>0</v>
      </c>
      <c r="AV345" s="79">
        <v>41</v>
      </c>
      <c r="AW345" s="79">
        <v>268.96818465377402</v>
      </c>
      <c r="AX345" s="79">
        <v>3</v>
      </c>
      <c r="AY345" s="79">
        <v>3</v>
      </c>
      <c r="AZ345" s="79">
        <v>823</v>
      </c>
      <c r="BA345" s="79">
        <v>1</v>
      </c>
      <c r="BB345" s="79">
        <v>0</v>
      </c>
      <c r="BC345" s="79">
        <v>0</v>
      </c>
      <c r="BD345" s="79">
        <v>0</v>
      </c>
      <c r="BE345" s="79">
        <v>0</v>
      </c>
      <c r="BF345" s="79">
        <v>0</v>
      </c>
      <c r="BG345" s="79">
        <v>0</v>
      </c>
      <c r="BH345" s="79">
        <v>0</v>
      </c>
      <c r="BI345" s="79">
        <v>0</v>
      </c>
      <c r="BJ345" s="79">
        <v>0</v>
      </c>
      <c r="BK345" s="79">
        <v>8</v>
      </c>
      <c r="BL345" s="79">
        <v>1573</v>
      </c>
      <c r="BM345" s="79">
        <v>61</v>
      </c>
      <c r="BN345" s="79">
        <v>6</v>
      </c>
      <c r="BO345">
        <v>2010</v>
      </c>
      <c r="BP345">
        <v>0</v>
      </c>
      <c r="BQ345">
        <v>1974</v>
      </c>
      <c r="BR345">
        <v>0</v>
      </c>
      <c r="BS345">
        <v>1934</v>
      </c>
      <c r="BT345">
        <v>0</v>
      </c>
      <c r="BU345">
        <v>1906</v>
      </c>
      <c r="BV345">
        <v>0</v>
      </c>
      <c r="BW345">
        <v>1863</v>
      </c>
      <c r="BX345">
        <v>0</v>
      </c>
      <c r="BY345">
        <v>1821</v>
      </c>
      <c r="BZ345">
        <v>0</v>
      </c>
      <c r="CB345">
        <v>162.15</v>
      </c>
      <c r="CC345">
        <v>27</v>
      </c>
      <c r="CD345">
        <v>9</v>
      </c>
      <c r="CE345">
        <v>3084.48</v>
      </c>
      <c r="CF345">
        <v>638.82000000000005</v>
      </c>
      <c r="CG345">
        <v>57.285841836734697</v>
      </c>
      <c r="CH345">
        <v>102</v>
      </c>
      <c r="CI345">
        <v>42.3333333333333</v>
      </c>
      <c r="CJ345">
        <v>32.3333333333333</v>
      </c>
      <c r="CK345" s="81">
        <v>755</v>
      </c>
      <c r="CL345">
        <v>118</v>
      </c>
      <c r="CM345">
        <v>2047.2765366353201</v>
      </c>
      <c r="CN345">
        <v>0.191</v>
      </c>
      <c r="CO345">
        <v>7820</v>
      </c>
      <c r="CP345">
        <v>1527</v>
      </c>
      <c r="CQ345">
        <v>249</v>
      </c>
      <c r="CR345">
        <v>323</v>
      </c>
      <c r="CS345">
        <v>312</v>
      </c>
      <c r="CT345">
        <v>130</v>
      </c>
      <c r="CU345">
        <v>184.73112840466899</v>
      </c>
      <c r="CV345">
        <v>125.64785992217899</v>
      </c>
      <c r="CW345">
        <v>38.941245136186801</v>
      </c>
      <c r="CX345">
        <v>484.4853</v>
      </c>
      <c r="CY345">
        <v>329.53050000000002</v>
      </c>
      <c r="CZ345">
        <v>102.1293</v>
      </c>
      <c r="DA345">
        <v>34310</v>
      </c>
      <c r="DE345">
        <v>1729</v>
      </c>
      <c r="DF345" t="s">
        <v>123</v>
      </c>
      <c r="DG345">
        <v>2589</v>
      </c>
      <c r="DH345">
        <v>2519</v>
      </c>
      <c r="DI345">
        <v>2444</v>
      </c>
      <c r="DJ345">
        <v>2367</v>
      </c>
      <c r="DK345">
        <v>2289</v>
      </c>
      <c r="DO345">
        <v>879</v>
      </c>
      <c r="DP345" t="s">
        <v>361</v>
      </c>
      <c r="DQ345">
        <v>9555</v>
      </c>
      <c r="DR345">
        <v>1</v>
      </c>
      <c r="DS345">
        <v>539</v>
      </c>
      <c r="DV345">
        <v>289</v>
      </c>
      <c r="DW345" t="s">
        <v>329</v>
      </c>
      <c r="DX345">
        <v>4914.9162543851799</v>
      </c>
      <c r="DY345">
        <v>843</v>
      </c>
      <c r="DZ345">
        <v>695</v>
      </c>
      <c r="EA345">
        <v>394</v>
      </c>
      <c r="EB345">
        <v>2130</v>
      </c>
      <c r="EC345">
        <v>1283</v>
      </c>
      <c r="ED345">
        <v>531</v>
      </c>
      <c r="EE345" s="82">
        <v>0.156613389776284</v>
      </c>
      <c r="EF345" s="82">
        <v>0.45316433785906901</v>
      </c>
    </row>
    <row r="346" spans="1:136" x14ac:dyDescent="0.35">
      <c r="A346" s="72">
        <v>1883</v>
      </c>
      <c r="B346" s="72">
        <v>11</v>
      </c>
      <c r="D346" s="72" t="s">
        <v>275</v>
      </c>
      <c r="E346" s="79">
        <v>6531200000</v>
      </c>
      <c r="F346" s="79">
        <v>2339050000</v>
      </c>
      <c r="G346" s="79">
        <v>2362150000</v>
      </c>
      <c r="H346" s="79">
        <v>92661</v>
      </c>
      <c r="I346" s="79">
        <v>3</v>
      </c>
      <c r="J346" s="79">
        <v>2362.15</v>
      </c>
      <c r="K346" s="79">
        <v>14540</v>
      </c>
      <c r="L346" s="79">
        <v>21888</v>
      </c>
      <c r="M346" s="79">
        <v>7044</v>
      </c>
      <c r="N346" s="79">
        <v>16227</v>
      </c>
      <c r="O346" s="79">
        <v>11542.1</v>
      </c>
      <c r="P346" s="79">
        <v>2708.6666666666702</v>
      </c>
      <c r="Q346" s="79">
        <v>10628.666666666701</v>
      </c>
      <c r="R346" s="79">
        <v>3830</v>
      </c>
      <c r="S346" s="79">
        <v>0</v>
      </c>
      <c r="T346" s="79">
        <v>3410</v>
      </c>
      <c r="U346" s="79">
        <v>46793</v>
      </c>
      <c r="V346" s="79">
        <v>104150</v>
      </c>
      <c r="W346" s="79">
        <v>134510</v>
      </c>
      <c r="X346" s="79">
        <v>2415.36</v>
      </c>
      <c r="Y346" s="79">
        <v>4601.6000000000004</v>
      </c>
      <c r="Z346" s="79">
        <v>0</v>
      </c>
      <c r="AA346" s="79">
        <v>0</v>
      </c>
      <c r="AB346" s="79">
        <v>0</v>
      </c>
      <c r="AC346" s="79">
        <v>7860</v>
      </c>
      <c r="AD346" s="79">
        <v>7860</v>
      </c>
      <c r="AE346" s="79">
        <v>198</v>
      </c>
      <c r="AF346" s="79">
        <v>0</v>
      </c>
      <c r="AG346" s="79">
        <v>770</v>
      </c>
      <c r="AH346" s="79">
        <v>611</v>
      </c>
      <c r="AI346" s="79">
        <v>158</v>
      </c>
      <c r="AJ346" s="79">
        <v>46849</v>
      </c>
      <c r="AK346" s="79">
        <v>46849</v>
      </c>
      <c r="AL346" s="79">
        <v>14</v>
      </c>
      <c r="AM346" s="79">
        <v>0</v>
      </c>
      <c r="AN346" s="79">
        <v>0</v>
      </c>
      <c r="AO346" s="79">
        <v>0</v>
      </c>
      <c r="AP346" s="79">
        <v>4826</v>
      </c>
      <c r="AQ346" s="79">
        <v>2297</v>
      </c>
      <c r="AR346" s="80">
        <v>4.4524200000000003E-3</v>
      </c>
      <c r="AS346" s="80">
        <v>7.4121569999999999E-3</v>
      </c>
      <c r="AT346" s="79">
        <v>69945.557000000001</v>
      </c>
      <c r="AU346" s="79">
        <v>0</v>
      </c>
      <c r="AV346" s="79">
        <v>879</v>
      </c>
      <c r="AW346" s="79">
        <v>10107.8454951601</v>
      </c>
      <c r="AX346" s="79">
        <v>7</v>
      </c>
      <c r="AY346" s="79">
        <v>7</v>
      </c>
      <c r="AZ346" s="79">
        <v>8525</v>
      </c>
      <c r="BA346" s="79">
        <v>1</v>
      </c>
      <c r="BB346" s="79">
        <v>0</v>
      </c>
      <c r="BC346" s="79">
        <v>0</v>
      </c>
      <c r="BD346" s="79">
        <v>0</v>
      </c>
      <c r="BE346" s="79">
        <v>0</v>
      </c>
      <c r="BF346" s="79">
        <v>0</v>
      </c>
      <c r="BG346" s="79">
        <v>0</v>
      </c>
      <c r="BH346" s="79">
        <v>0</v>
      </c>
      <c r="BI346" s="79">
        <v>0</v>
      </c>
      <c r="BJ346" s="79">
        <v>0</v>
      </c>
      <c r="BK346" s="79">
        <v>59</v>
      </c>
      <c r="BL346" s="79">
        <v>17890</v>
      </c>
      <c r="BM346" s="79">
        <v>611</v>
      </c>
      <c r="BN346" s="79">
        <v>158</v>
      </c>
      <c r="BO346">
        <v>17755</v>
      </c>
      <c r="BP346">
        <v>7132</v>
      </c>
      <c r="BQ346">
        <v>17420</v>
      </c>
      <c r="BR346">
        <v>7069</v>
      </c>
      <c r="BS346">
        <v>17042</v>
      </c>
      <c r="BT346">
        <v>7085</v>
      </c>
      <c r="BU346">
        <v>16765</v>
      </c>
      <c r="BV346">
        <v>7013</v>
      </c>
      <c r="BW346">
        <v>16418</v>
      </c>
      <c r="BX346">
        <v>6859</v>
      </c>
      <c r="BY346">
        <v>16060</v>
      </c>
      <c r="BZ346">
        <v>6795</v>
      </c>
      <c r="CB346">
        <v>2384.56</v>
      </c>
      <c r="CC346">
        <v>326</v>
      </c>
      <c r="CD346">
        <v>264</v>
      </c>
      <c r="CE346">
        <v>27120</v>
      </c>
      <c r="CF346">
        <v>5491.2</v>
      </c>
      <c r="CG346">
        <v>651.210439576814</v>
      </c>
      <c r="CH346">
        <v>1075</v>
      </c>
      <c r="CI346">
        <v>623.33333333333303</v>
      </c>
      <c r="CJ346">
        <v>563.66666666666697</v>
      </c>
      <c r="CK346" s="81">
        <v>7920</v>
      </c>
      <c r="CL346">
        <v>1942</v>
      </c>
      <c r="CM346">
        <v>18281.023370210001</v>
      </c>
      <c r="CN346">
        <v>7.6269999999999998</v>
      </c>
      <c r="CO346">
        <v>70773</v>
      </c>
      <c r="CP346">
        <v>12194</v>
      </c>
      <c r="CQ346">
        <v>2650</v>
      </c>
      <c r="CR346">
        <v>2960</v>
      </c>
      <c r="CS346">
        <v>2594</v>
      </c>
      <c r="CT346">
        <v>1292</v>
      </c>
      <c r="CU346">
        <v>1935.4679416849899</v>
      </c>
      <c r="CV346">
        <v>1219.27582018826</v>
      </c>
      <c r="CW346">
        <v>446.66539947490901</v>
      </c>
      <c r="CX346">
        <v>4056.0527999999999</v>
      </c>
      <c r="CY346">
        <v>2555.1687000000002</v>
      </c>
      <c r="CZ346">
        <v>936.05190000000005</v>
      </c>
      <c r="DA346">
        <v>223624</v>
      </c>
      <c r="DE346">
        <v>1730</v>
      </c>
      <c r="DF346" t="s">
        <v>299</v>
      </c>
      <c r="DG346">
        <v>7052</v>
      </c>
      <c r="DH346">
        <v>7038</v>
      </c>
      <c r="DI346">
        <v>7028</v>
      </c>
      <c r="DJ346">
        <v>6974</v>
      </c>
      <c r="DK346">
        <v>6941</v>
      </c>
      <c r="DO346">
        <v>888</v>
      </c>
      <c r="DP346" t="s">
        <v>36</v>
      </c>
      <c r="DQ346">
        <v>7448</v>
      </c>
      <c r="DR346">
        <v>1</v>
      </c>
      <c r="DS346">
        <v>884</v>
      </c>
      <c r="DV346">
        <v>629</v>
      </c>
      <c r="DW346" t="s">
        <v>330</v>
      </c>
      <c r="DX346">
        <v>2719.5395539292599</v>
      </c>
      <c r="DY346">
        <v>771</v>
      </c>
      <c r="DZ346">
        <v>771</v>
      </c>
      <c r="EA346">
        <v>586</v>
      </c>
      <c r="EB346">
        <v>2087</v>
      </c>
      <c r="EC346">
        <v>1551</v>
      </c>
      <c r="ED346">
        <v>798</v>
      </c>
      <c r="EE346" s="82">
        <v>0.121822149586399</v>
      </c>
      <c r="EF346" s="82">
        <v>9.5802996128103196E-2</v>
      </c>
    </row>
    <row r="347" spans="1:136" x14ac:dyDescent="0.35">
      <c r="A347" s="72">
        <v>971</v>
      </c>
      <c r="B347" s="72">
        <v>11</v>
      </c>
      <c r="D347" s="72" t="s">
        <v>287</v>
      </c>
      <c r="E347" s="79">
        <v>1905200000</v>
      </c>
      <c r="F347" s="79">
        <v>242550000</v>
      </c>
      <c r="G347" s="79">
        <v>251650000</v>
      </c>
      <c r="H347" s="79">
        <v>24961</v>
      </c>
      <c r="I347" s="79">
        <v>2</v>
      </c>
      <c r="J347" s="79">
        <v>251.65</v>
      </c>
      <c r="K347" s="79">
        <v>3832</v>
      </c>
      <c r="L347" s="79">
        <v>6649</v>
      </c>
      <c r="M347" s="79">
        <v>2120</v>
      </c>
      <c r="N347" s="79">
        <v>3480</v>
      </c>
      <c r="O347" s="79">
        <v>2300.1999999999998</v>
      </c>
      <c r="P347" s="79">
        <v>308.33333333333297</v>
      </c>
      <c r="Q347" s="79">
        <v>1970.3333333333301</v>
      </c>
      <c r="R347" s="79">
        <v>465</v>
      </c>
      <c r="S347" s="79">
        <v>0</v>
      </c>
      <c r="T347" s="79">
        <v>777</v>
      </c>
      <c r="U347" s="79">
        <v>11738</v>
      </c>
      <c r="V347" s="79">
        <v>23330</v>
      </c>
      <c r="W347" s="79">
        <v>14460</v>
      </c>
      <c r="X347" s="79">
        <v>0</v>
      </c>
      <c r="Y347" s="79">
        <v>1161.5999999999999</v>
      </c>
      <c r="Z347" s="79">
        <v>0</v>
      </c>
      <c r="AA347" s="79">
        <v>0</v>
      </c>
      <c r="AB347" s="79">
        <v>145.19999999999999</v>
      </c>
      <c r="AC347" s="79">
        <v>2089</v>
      </c>
      <c r="AD347" s="79">
        <v>2089</v>
      </c>
      <c r="AE347" s="79">
        <v>191</v>
      </c>
      <c r="AF347" s="79">
        <v>0</v>
      </c>
      <c r="AG347" s="79">
        <v>160</v>
      </c>
      <c r="AH347" s="79">
        <v>151</v>
      </c>
      <c r="AI347" s="79">
        <v>9</v>
      </c>
      <c r="AJ347" s="79">
        <v>11798</v>
      </c>
      <c r="AK347" s="79">
        <v>11798</v>
      </c>
      <c r="AL347" s="79">
        <v>0</v>
      </c>
      <c r="AM347" s="79">
        <v>0</v>
      </c>
      <c r="AN347" s="79">
        <v>0</v>
      </c>
      <c r="AO347" s="79">
        <v>0</v>
      </c>
      <c r="AP347" s="79">
        <v>669</v>
      </c>
      <c r="AQ347" s="79">
        <v>0</v>
      </c>
      <c r="AR347" s="80">
        <v>5.6672899999999997E-4</v>
      </c>
      <c r="AS347" s="80">
        <v>6.2973E-4</v>
      </c>
      <c r="AT347" s="79">
        <v>10629.998</v>
      </c>
      <c r="AU347" s="79">
        <v>0</v>
      </c>
      <c r="AV347" s="79">
        <v>523</v>
      </c>
      <c r="AW347" s="79">
        <v>5725.7030701754402</v>
      </c>
      <c r="AX347" s="79">
        <v>3</v>
      </c>
      <c r="AY347" s="79">
        <v>3</v>
      </c>
      <c r="AZ347" s="79">
        <v>2051</v>
      </c>
      <c r="BA347" s="79">
        <v>1</v>
      </c>
      <c r="BB347" s="79">
        <v>0</v>
      </c>
      <c r="BC347" s="79">
        <v>0</v>
      </c>
      <c r="BD347" s="79">
        <v>0</v>
      </c>
      <c r="BE347" s="79">
        <v>0</v>
      </c>
      <c r="BF347" s="79">
        <v>0</v>
      </c>
      <c r="BG347" s="79">
        <v>0</v>
      </c>
      <c r="BH347" s="79">
        <v>0</v>
      </c>
      <c r="BI347" s="79">
        <v>0</v>
      </c>
      <c r="BJ347" s="79">
        <v>0</v>
      </c>
      <c r="BK347" s="79">
        <v>1</v>
      </c>
      <c r="BL347" s="79">
        <v>3528</v>
      </c>
      <c r="BM347" s="79">
        <v>151</v>
      </c>
      <c r="BN347" s="79">
        <v>9</v>
      </c>
      <c r="BO347">
        <v>4788</v>
      </c>
      <c r="BP347">
        <v>1188</v>
      </c>
      <c r="BQ347">
        <v>4701</v>
      </c>
      <c r="BR347">
        <v>1188</v>
      </c>
      <c r="BS347">
        <v>4627</v>
      </c>
      <c r="BT347">
        <v>1222</v>
      </c>
      <c r="BU347">
        <v>4545</v>
      </c>
      <c r="BV347">
        <v>1257</v>
      </c>
      <c r="BW347">
        <v>4416</v>
      </c>
      <c r="BX347">
        <v>1338</v>
      </c>
      <c r="BY347">
        <v>4338</v>
      </c>
      <c r="BZ347">
        <v>1398</v>
      </c>
      <c r="CB347">
        <v>402.36</v>
      </c>
      <c r="CC347">
        <v>50</v>
      </c>
      <c r="CD347">
        <v>45</v>
      </c>
      <c r="CE347">
        <v>7504.25</v>
      </c>
      <c r="CF347">
        <v>1616.55</v>
      </c>
      <c r="CG347">
        <v>128.41521804511299</v>
      </c>
      <c r="CH347">
        <v>241</v>
      </c>
      <c r="CI347">
        <v>78</v>
      </c>
      <c r="CJ347">
        <v>66.3333333333333</v>
      </c>
      <c r="CK347" s="81">
        <v>1662</v>
      </c>
      <c r="CL347">
        <v>282</v>
      </c>
      <c r="CM347">
        <v>5060.4384184487699</v>
      </c>
      <c r="CN347">
        <v>0.496</v>
      </c>
      <c r="CO347">
        <v>18312</v>
      </c>
      <c r="CP347">
        <v>3859</v>
      </c>
      <c r="CQ347">
        <v>670</v>
      </c>
      <c r="CR347">
        <v>717</v>
      </c>
      <c r="CS347">
        <v>656</v>
      </c>
      <c r="CT347">
        <v>351</v>
      </c>
      <c r="CU347">
        <v>466.74680454314301</v>
      </c>
      <c r="CV347">
        <v>282.89457535175399</v>
      </c>
      <c r="CW347">
        <v>93.778284454992402</v>
      </c>
      <c r="CX347">
        <v>1143.135</v>
      </c>
      <c r="CY347">
        <v>692.85249999999996</v>
      </c>
      <c r="CZ347">
        <v>229.67750000000001</v>
      </c>
      <c r="DA347">
        <v>17520</v>
      </c>
      <c r="DE347">
        <v>1731</v>
      </c>
      <c r="DF347" t="s">
        <v>201</v>
      </c>
      <c r="DG347">
        <v>7434</v>
      </c>
      <c r="DH347">
        <v>7274</v>
      </c>
      <c r="DI347">
        <v>7217</v>
      </c>
      <c r="DJ347">
        <v>7111</v>
      </c>
      <c r="DK347">
        <v>6934</v>
      </c>
      <c r="DO347">
        <v>889</v>
      </c>
      <c r="DP347" t="s">
        <v>39</v>
      </c>
      <c r="DQ347">
        <v>6467</v>
      </c>
      <c r="DR347">
        <v>1</v>
      </c>
      <c r="DS347">
        <v>740</v>
      </c>
      <c r="DV347">
        <v>852</v>
      </c>
      <c r="DW347" t="s">
        <v>331</v>
      </c>
      <c r="DX347">
        <v>1713.23745639925</v>
      </c>
      <c r="DY347">
        <v>472</v>
      </c>
      <c r="DZ347">
        <v>438</v>
      </c>
      <c r="EA347">
        <v>199</v>
      </c>
      <c r="EB347">
        <v>1489</v>
      </c>
      <c r="EC347">
        <v>933</v>
      </c>
      <c r="ED347">
        <v>298</v>
      </c>
      <c r="EE347" s="82">
        <v>0.13523787675398199</v>
      </c>
      <c r="EF347" s="82">
        <v>0.307434383372786</v>
      </c>
    </row>
    <row r="348" spans="1:136" x14ac:dyDescent="0.35">
      <c r="A348" s="72">
        <v>981</v>
      </c>
      <c r="B348" s="72">
        <v>11</v>
      </c>
      <c r="D348" s="72" t="s">
        <v>307</v>
      </c>
      <c r="E348" s="79">
        <v>756400000</v>
      </c>
      <c r="F348" s="79">
        <v>80850000</v>
      </c>
      <c r="G348" s="79">
        <v>86450000</v>
      </c>
      <c r="H348" s="79">
        <v>10092</v>
      </c>
      <c r="I348" s="79">
        <v>2</v>
      </c>
      <c r="J348" s="79">
        <v>86.45</v>
      </c>
      <c r="K348" s="79">
        <v>1274</v>
      </c>
      <c r="L348" s="79">
        <v>2774</v>
      </c>
      <c r="M348" s="79">
        <v>947</v>
      </c>
      <c r="N348" s="79">
        <v>2110</v>
      </c>
      <c r="O348" s="79">
        <v>1487.9</v>
      </c>
      <c r="P348" s="79">
        <v>288.66666666666703</v>
      </c>
      <c r="Q348" s="79">
        <v>811.66666666666697</v>
      </c>
      <c r="R348" s="79">
        <v>210</v>
      </c>
      <c r="S348" s="79">
        <v>0</v>
      </c>
      <c r="T348" s="79">
        <v>300</v>
      </c>
      <c r="U348" s="79">
        <v>5629</v>
      </c>
      <c r="V348" s="79">
        <v>8720</v>
      </c>
      <c r="W348" s="79">
        <v>3510</v>
      </c>
      <c r="X348" s="79">
        <v>0</v>
      </c>
      <c r="Y348" s="79">
        <v>0</v>
      </c>
      <c r="Z348" s="79">
        <v>0</v>
      </c>
      <c r="AA348" s="79">
        <v>0</v>
      </c>
      <c r="AB348" s="79">
        <v>0</v>
      </c>
      <c r="AC348" s="79">
        <v>2389</v>
      </c>
      <c r="AD348" s="79">
        <v>2389</v>
      </c>
      <c r="AE348" s="79">
        <v>1</v>
      </c>
      <c r="AF348" s="79">
        <v>0</v>
      </c>
      <c r="AG348" s="79">
        <v>60</v>
      </c>
      <c r="AH348" s="79">
        <v>47</v>
      </c>
      <c r="AI348" s="79">
        <v>13</v>
      </c>
      <c r="AJ348" s="79">
        <v>6221</v>
      </c>
      <c r="AK348" s="79">
        <v>6221</v>
      </c>
      <c r="AL348" s="79">
        <v>0</v>
      </c>
      <c r="AM348" s="79">
        <v>0</v>
      </c>
      <c r="AN348" s="79">
        <v>0</v>
      </c>
      <c r="AO348" s="79">
        <v>0</v>
      </c>
      <c r="AP348" s="79">
        <v>1410</v>
      </c>
      <c r="AQ348" s="79">
        <v>0</v>
      </c>
      <c r="AR348" s="80">
        <v>8.6127100000000004E-4</v>
      </c>
      <c r="AS348" s="80">
        <v>7.6205800000000003E-4</v>
      </c>
      <c r="AT348" s="79">
        <v>6463.6189999999997</v>
      </c>
      <c r="AU348" s="79">
        <v>0</v>
      </c>
      <c r="AV348" s="79">
        <v>90</v>
      </c>
      <c r="AW348" s="79">
        <v>380.03347280334702</v>
      </c>
      <c r="AX348" s="79">
        <v>6</v>
      </c>
      <c r="AY348" s="79">
        <v>6</v>
      </c>
      <c r="AZ348" s="79">
        <v>776</v>
      </c>
      <c r="BA348" s="79">
        <v>1</v>
      </c>
      <c r="BB348" s="79">
        <v>0</v>
      </c>
      <c r="BC348" s="79">
        <v>0</v>
      </c>
      <c r="BD348" s="79">
        <v>0</v>
      </c>
      <c r="BE348" s="79">
        <v>0</v>
      </c>
      <c r="BF348" s="79">
        <v>0</v>
      </c>
      <c r="BG348" s="79">
        <v>0</v>
      </c>
      <c r="BH348" s="79">
        <v>0</v>
      </c>
      <c r="BI348" s="79">
        <v>0</v>
      </c>
      <c r="BJ348" s="79">
        <v>0</v>
      </c>
      <c r="BK348" s="79">
        <v>11</v>
      </c>
      <c r="BL348" s="79">
        <v>2606</v>
      </c>
      <c r="BM348" s="79">
        <v>47</v>
      </c>
      <c r="BN348" s="79">
        <v>13</v>
      </c>
      <c r="BO348">
        <v>1603</v>
      </c>
      <c r="BP348">
        <v>0</v>
      </c>
      <c r="BQ348">
        <v>1576</v>
      </c>
      <c r="BR348">
        <v>0</v>
      </c>
      <c r="BS348">
        <v>1531</v>
      </c>
      <c r="BT348">
        <v>0</v>
      </c>
      <c r="BU348">
        <v>1489</v>
      </c>
      <c r="BV348">
        <v>0</v>
      </c>
      <c r="BW348">
        <v>1453</v>
      </c>
      <c r="BX348">
        <v>0</v>
      </c>
      <c r="BY348">
        <v>1379</v>
      </c>
      <c r="BZ348">
        <v>0</v>
      </c>
      <c r="CB348">
        <v>286.64999999999998</v>
      </c>
      <c r="CC348">
        <v>19</v>
      </c>
      <c r="CD348">
        <v>23</v>
      </c>
      <c r="CE348">
        <v>3006.3</v>
      </c>
      <c r="CF348">
        <v>403</v>
      </c>
      <c r="CG348">
        <v>27.345916736053301</v>
      </c>
      <c r="CH348">
        <v>93</v>
      </c>
      <c r="CI348">
        <v>73.6666666666667</v>
      </c>
      <c r="CJ348">
        <v>68.6666666666667</v>
      </c>
      <c r="CK348" s="81">
        <v>523</v>
      </c>
      <c r="CL348">
        <v>115</v>
      </c>
      <c r="CM348">
        <v>1689.1526910299001</v>
      </c>
      <c r="CN348">
        <v>0.874</v>
      </c>
      <c r="CO348">
        <v>7318</v>
      </c>
      <c r="CP348">
        <v>1533</v>
      </c>
      <c r="CQ348">
        <v>294</v>
      </c>
      <c r="CR348">
        <v>416</v>
      </c>
      <c r="CS348">
        <v>348</v>
      </c>
      <c r="CT348">
        <v>132</v>
      </c>
      <c r="CU348">
        <v>236.06450731393701</v>
      </c>
      <c r="CV348">
        <v>160.48559717087301</v>
      </c>
      <c r="CW348">
        <v>46.160536891175099</v>
      </c>
      <c r="CX348">
        <v>585.48839999999996</v>
      </c>
      <c r="CY348">
        <v>398.03719999999998</v>
      </c>
      <c r="CZ348">
        <v>114.4876</v>
      </c>
      <c r="DA348">
        <v>7938</v>
      </c>
      <c r="DE348">
        <v>1734</v>
      </c>
      <c r="DF348" t="s">
        <v>242</v>
      </c>
      <c r="DG348">
        <v>11193</v>
      </c>
      <c r="DH348">
        <v>11244</v>
      </c>
      <c r="DI348">
        <v>11227</v>
      </c>
      <c r="DJ348">
        <v>11168</v>
      </c>
      <c r="DK348">
        <v>11074</v>
      </c>
      <c r="DO348">
        <v>893</v>
      </c>
      <c r="DP348" t="s">
        <v>42</v>
      </c>
      <c r="DQ348">
        <v>5713</v>
      </c>
      <c r="DR348">
        <v>1</v>
      </c>
      <c r="DS348">
        <v>313</v>
      </c>
      <c r="DV348">
        <v>988</v>
      </c>
      <c r="DW348" t="s">
        <v>332</v>
      </c>
      <c r="DX348">
        <v>7141.7191650853902</v>
      </c>
      <c r="DY348">
        <v>1338</v>
      </c>
      <c r="DZ348">
        <v>1259</v>
      </c>
      <c r="EA348">
        <v>582</v>
      </c>
      <c r="EB348">
        <v>3922</v>
      </c>
      <c r="EC348">
        <v>2622</v>
      </c>
      <c r="ED348">
        <v>833</v>
      </c>
      <c r="EE348" s="82">
        <v>0.20589451171822501</v>
      </c>
      <c r="EF348" s="82">
        <v>0.473389425315906</v>
      </c>
    </row>
    <row r="349" spans="1:136" x14ac:dyDescent="0.35">
      <c r="A349" s="72">
        <v>994</v>
      </c>
      <c r="B349" s="72">
        <v>11</v>
      </c>
      <c r="D349" s="72" t="s">
        <v>308</v>
      </c>
      <c r="E349" s="79">
        <v>1476800000</v>
      </c>
      <c r="F349" s="79">
        <v>204750000</v>
      </c>
      <c r="G349" s="79">
        <v>214900000</v>
      </c>
      <c r="H349" s="79">
        <v>16470</v>
      </c>
      <c r="I349" s="79">
        <v>4</v>
      </c>
      <c r="J349" s="79">
        <v>214.9</v>
      </c>
      <c r="K349" s="79">
        <v>2331</v>
      </c>
      <c r="L349" s="79">
        <v>4736</v>
      </c>
      <c r="M349" s="79">
        <v>1577</v>
      </c>
      <c r="N349" s="79">
        <v>2714</v>
      </c>
      <c r="O349" s="79">
        <v>1808.5</v>
      </c>
      <c r="P349" s="79">
        <v>298</v>
      </c>
      <c r="Q349" s="79">
        <v>1273</v>
      </c>
      <c r="R349" s="79">
        <v>275</v>
      </c>
      <c r="S349" s="79">
        <v>0</v>
      </c>
      <c r="T349" s="79">
        <v>459</v>
      </c>
      <c r="U349" s="79">
        <v>8308</v>
      </c>
      <c r="V349" s="79">
        <v>13370</v>
      </c>
      <c r="W349" s="79">
        <v>3420</v>
      </c>
      <c r="X349" s="79">
        <v>1089.9000000000001</v>
      </c>
      <c r="Y349" s="79">
        <v>528</v>
      </c>
      <c r="Z349" s="79">
        <v>0</v>
      </c>
      <c r="AA349" s="79">
        <v>0</v>
      </c>
      <c r="AB349" s="79">
        <v>94.599999999999895</v>
      </c>
      <c r="AC349" s="79">
        <v>3672</v>
      </c>
      <c r="AD349" s="79">
        <v>3672</v>
      </c>
      <c r="AE349" s="79">
        <v>20</v>
      </c>
      <c r="AF349" s="79">
        <v>0</v>
      </c>
      <c r="AG349" s="79">
        <v>118</v>
      </c>
      <c r="AH349" s="79">
        <v>103</v>
      </c>
      <c r="AI349" s="79">
        <v>15</v>
      </c>
      <c r="AJ349" s="79">
        <v>9055</v>
      </c>
      <c r="AK349" s="79">
        <v>9055</v>
      </c>
      <c r="AL349" s="79">
        <v>7</v>
      </c>
      <c r="AM349" s="79">
        <v>0</v>
      </c>
      <c r="AN349" s="79">
        <v>0</v>
      </c>
      <c r="AO349" s="79">
        <v>0</v>
      </c>
      <c r="AP349" s="79">
        <v>588</v>
      </c>
      <c r="AQ349" s="79">
        <v>588</v>
      </c>
      <c r="AR349" s="80">
        <v>9.1397799999999997E-4</v>
      </c>
      <c r="AS349" s="80">
        <v>5.7661799999999999E-4</v>
      </c>
      <c r="AT349" s="79">
        <v>6121.18</v>
      </c>
      <c r="AU349" s="79">
        <v>0</v>
      </c>
      <c r="AV349" s="79">
        <v>391</v>
      </c>
      <c r="AW349" s="79">
        <v>1744.2497291441</v>
      </c>
      <c r="AX349" s="79">
        <v>6</v>
      </c>
      <c r="AY349" s="79">
        <v>6</v>
      </c>
      <c r="AZ349" s="79">
        <v>1911</v>
      </c>
      <c r="BA349" s="79">
        <v>1</v>
      </c>
      <c r="BB349" s="79">
        <v>0</v>
      </c>
      <c r="BC349" s="79">
        <v>0</v>
      </c>
      <c r="BD349" s="79">
        <v>0</v>
      </c>
      <c r="BE349" s="79">
        <v>0</v>
      </c>
      <c r="BF349" s="79">
        <v>0</v>
      </c>
      <c r="BG349" s="79">
        <v>0</v>
      </c>
      <c r="BH349" s="79">
        <v>0</v>
      </c>
      <c r="BI349" s="79">
        <v>0</v>
      </c>
      <c r="BJ349" s="79">
        <v>0</v>
      </c>
      <c r="BK349" s="79">
        <v>6</v>
      </c>
      <c r="BL349" s="79">
        <v>2984</v>
      </c>
      <c r="BM349" s="79">
        <v>103</v>
      </c>
      <c r="BN349" s="79">
        <v>15</v>
      </c>
      <c r="BO349">
        <v>2868</v>
      </c>
      <c r="BP349">
        <v>514</v>
      </c>
      <c r="BQ349">
        <v>2849</v>
      </c>
      <c r="BR349">
        <v>507</v>
      </c>
      <c r="BS349">
        <v>2809</v>
      </c>
      <c r="BT349">
        <v>486</v>
      </c>
      <c r="BU349">
        <v>2751</v>
      </c>
      <c r="BV349">
        <v>466</v>
      </c>
      <c r="BW349">
        <v>2628</v>
      </c>
      <c r="BX349">
        <v>494</v>
      </c>
      <c r="BY349">
        <v>2572</v>
      </c>
      <c r="BZ349">
        <v>504</v>
      </c>
      <c r="CB349">
        <v>289.04399999999998</v>
      </c>
      <c r="CC349">
        <v>11</v>
      </c>
      <c r="CD349">
        <v>24</v>
      </c>
      <c r="CE349">
        <v>5214.66</v>
      </c>
      <c r="CF349">
        <v>1047.25</v>
      </c>
      <c r="CG349">
        <v>61.271416812609502</v>
      </c>
      <c r="CH349">
        <v>154</v>
      </c>
      <c r="CI349">
        <v>66</v>
      </c>
      <c r="CJ349">
        <v>56.6666666666667</v>
      </c>
      <c r="CK349" s="81">
        <v>975</v>
      </c>
      <c r="CL349">
        <v>211</v>
      </c>
      <c r="CM349">
        <v>3407.90802760625</v>
      </c>
      <c r="CN349">
        <v>0.68899999999999995</v>
      </c>
      <c r="CO349">
        <v>11734</v>
      </c>
      <c r="CP349">
        <v>2571</v>
      </c>
      <c r="CQ349">
        <v>588</v>
      </c>
      <c r="CR349">
        <v>566</v>
      </c>
      <c r="CS349">
        <v>556</v>
      </c>
      <c r="CT349">
        <v>245</v>
      </c>
      <c r="CU349">
        <v>319.95770292655999</v>
      </c>
      <c r="CV349">
        <v>216.101270016565</v>
      </c>
      <c r="CW349">
        <v>70.702263942573197</v>
      </c>
      <c r="CX349">
        <v>725.86620000000005</v>
      </c>
      <c r="CY349">
        <v>490.25420000000003</v>
      </c>
      <c r="CZ349">
        <v>160.3974</v>
      </c>
      <c r="DA349">
        <v>15922</v>
      </c>
      <c r="DE349">
        <v>1735</v>
      </c>
      <c r="DF349" t="s">
        <v>154</v>
      </c>
      <c r="DG349">
        <v>7721</v>
      </c>
      <c r="DH349">
        <v>7718</v>
      </c>
      <c r="DI349">
        <v>7663</v>
      </c>
      <c r="DJ349">
        <v>7563</v>
      </c>
      <c r="DK349">
        <v>7345</v>
      </c>
      <c r="DO349">
        <v>899</v>
      </c>
      <c r="DP349" t="s">
        <v>64</v>
      </c>
      <c r="DQ349">
        <v>14622</v>
      </c>
      <c r="DR349">
        <v>1</v>
      </c>
      <c r="DS349">
        <v>1672</v>
      </c>
      <c r="DV349">
        <v>457</v>
      </c>
      <c r="DW349" t="s">
        <v>333</v>
      </c>
      <c r="DX349">
        <v>2894.4698767686</v>
      </c>
      <c r="DY349">
        <v>572</v>
      </c>
      <c r="DZ349">
        <v>399</v>
      </c>
      <c r="EA349">
        <v>233</v>
      </c>
      <c r="EB349">
        <v>1366</v>
      </c>
      <c r="EC349">
        <v>826</v>
      </c>
      <c r="ED349">
        <v>332</v>
      </c>
      <c r="EE349" s="82">
        <v>0.221215167769237</v>
      </c>
      <c r="EF349" s="82">
        <v>0.39349657055146697</v>
      </c>
    </row>
    <row r="350" spans="1:136" x14ac:dyDescent="0.35">
      <c r="A350" s="72">
        <v>983</v>
      </c>
      <c r="B350" s="72">
        <v>11</v>
      </c>
      <c r="D350" s="72" t="s">
        <v>315</v>
      </c>
      <c r="E350" s="79">
        <v>7522400000</v>
      </c>
      <c r="F350" s="79">
        <v>2354450000</v>
      </c>
      <c r="G350" s="79">
        <v>2389450000</v>
      </c>
      <c r="H350" s="79">
        <v>101603</v>
      </c>
      <c r="I350" s="79">
        <v>3</v>
      </c>
      <c r="J350" s="79">
        <v>2389.4499999999998</v>
      </c>
      <c r="K350" s="79">
        <v>18161</v>
      </c>
      <c r="L350" s="79">
        <v>21766</v>
      </c>
      <c r="M350" s="79">
        <v>6855</v>
      </c>
      <c r="N350" s="79">
        <v>16785</v>
      </c>
      <c r="O350" s="79">
        <v>11981.3</v>
      </c>
      <c r="P350" s="79">
        <v>3204.3333333333298</v>
      </c>
      <c r="Q350" s="79">
        <v>8912.3333333333303</v>
      </c>
      <c r="R350" s="79">
        <v>8930</v>
      </c>
      <c r="S350" s="79">
        <v>0</v>
      </c>
      <c r="T350" s="79">
        <v>3497</v>
      </c>
      <c r="U350" s="79">
        <v>49017</v>
      </c>
      <c r="V350" s="79">
        <v>109570</v>
      </c>
      <c r="W350" s="79">
        <v>143760</v>
      </c>
      <c r="X350" s="79">
        <v>3776.88</v>
      </c>
      <c r="Y350" s="79">
        <v>4670.3999999999996</v>
      </c>
      <c r="Z350" s="79">
        <v>0</v>
      </c>
      <c r="AA350" s="79">
        <v>0</v>
      </c>
      <c r="AB350" s="79">
        <v>0</v>
      </c>
      <c r="AC350" s="79">
        <v>12412</v>
      </c>
      <c r="AD350" s="79">
        <v>12412</v>
      </c>
      <c r="AE350" s="79">
        <v>488</v>
      </c>
      <c r="AF350" s="79">
        <v>0</v>
      </c>
      <c r="AG350" s="79">
        <v>922</v>
      </c>
      <c r="AH350" s="79">
        <v>633</v>
      </c>
      <c r="AI350" s="79">
        <v>289</v>
      </c>
      <c r="AJ350" s="79">
        <v>48037</v>
      </c>
      <c r="AK350" s="79">
        <v>48037</v>
      </c>
      <c r="AL350" s="79">
        <v>10</v>
      </c>
      <c r="AM350" s="79">
        <v>0</v>
      </c>
      <c r="AN350" s="79">
        <v>0</v>
      </c>
      <c r="AO350" s="79">
        <v>0</v>
      </c>
      <c r="AP350" s="79">
        <v>7161</v>
      </c>
      <c r="AQ350" s="79">
        <v>4755</v>
      </c>
      <c r="AR350" s="80">
        <v>3.7905550000000001E-3</v>
      </c>
      <c r="AS350" s="80">
        <v>5.9178110000000003E-3</v>
      </c>
      <c r="AT350" s="79">
        <v>78684.606</v>
      </c>
      <c r="AU350" s="79">
        <v>0</v>
      </c>
      <c r="AV350" s="79">
        <v>2179</v>
      </c>
      <c r="AW350" s="79">
        <v>17162.243178294601</v>
      </c>
      <c r="AX350" s="79">
        <v>14</v>
      </c>
      <c r="AY350" s="79">
        <v>14</v>
      </c>
      <c r="AZ350" s="79">
        <v>9153</v>
      </c>
      <c r="BA350" s="79">
        <v>1</v>
      </c>
      <c r="BB350" s="79">
        <v>0</v>
      </c>
      <c r="BC350" s="79">
        <v>0</v>
      </c>
      <c r="BD350" s="79">
        <v>0</v>
      </c>
      <c r="BE350" s="79">
        <v>0</v>
      </c>
      <c r="BF350" s="79">
        <v>0</v>
      </c>
      <c r="BG350" s="79">
        <v>0</v>
      </c>
      <c r="BH350" s="79">
        <v>0</v>
      </c>
      <c r="BI350" s="79">
        <v>0</v>
      </c>
      <c r="BJ350" s="79">
        <v>0</v>
      </c>
      <c r="BK350" s="79">
        <v>69</v>
      </c>
      <c r="BL350" s="79">
        <v>18216</v>
      </c>
      <c r="BM350" s="79">
        <v>633</v>
      </c>
      <c r="BN350" s="79">
        <v>289</v>
      </c>
      <c r="BO350">
        <v>19950</v>
      </c>
      <c r="BP350">
        <v>5856</v>
      </c>
      <c r="BQ350">
        <v>19847</v>
      </c>
      <c r="BR350">
        <v>5978</v>
      </c>
      <c r="BS350">
        <v>19441</v>
      </c>
      <c r="BT350">
        <v>6082</v>
      </c>
      <c r="BU350">
        <v>19267</v>
      </c>
      <c r="BV350">
        <v>6058</v>
      </c>
      <c r="BW350">
        <v>18989</v>
      </c>
      <c r="BX350">
        <v>6092</v>
      </c>
      <c r="BY350">
        <v>18872</v>
      </c>
      <c r="BZ350">
        <v>6113</v>
      </c>
      <c r="CB350">
        <v>3160.0140000000001</v>
      </c>
      <c r="CC350">
        <v>443</v>
      </c>
      <c r="CD350">
        <v>375</v>
      </c>
      <c r="CE350">
        <v>28136.51</v>
      </c>
      <c r="CF350">
        <v>5801.95</v>
      </c>
      <c r="CG350">
        <v>576.05982424566798</v>
      </c>
      <c r="CH350">
        <v>1281</v>
      </c>
      <c r="CI350">
        <v>847.33333333333303</v>
      </c>
      <c r="CJ350">
        <v>763.66666666666697</v>
      </c>
      <c r="CK350" s="81">
        <v>5708</v>
      </c>
      <c r="CL350">
        <v>1347</v>
      </c>
      <c r="CM350">
        <v>18597.992302956001</v>
      </c>
      <c r="CN350">
        <v>8.391</v>
      </c>
      <c r="CO350">
        <v>79837</v>
      </c>
      <c r="CP350">
        <v>12373</v>
      </c>
      <c r="CQ350">
        <v>2538</v>
      </c>
      <c r="CR350">
        <v>2855</v>
      </c>
      <c r="CS350">
        <v>2404</v>
      </c>
      <c r="CT350">
        <v>1318</v>
      </c>
      <c r="CU350">
        <v>1975.64122030934</v>
      </c>
      <c r="CV350">
        <v>1194.21413493765</v>
      </c>
      <c r="CW350">
        <v>450.94802756208799</v>
      </c>
      <c r="CX350">
        <v>4271.0032000000001</v>
      </c>
      <c r="CY350">
        <v>2581.6896000000002</v>
      </c>
      <c r="CZ350">
        <v>974.87360000000001</v>
      </c>
      <c r="DA350">
        <v>104841</v>
      </c>
      <c r="DE350">
        <v>1740</v>
      </c>
      <c r="DF350" t="s">
        <v>210</v>
      </c>
      <c r="DG350">
        <v>6312</v>
      </c>
      <c r="DH350">
        <v>6210</v>
      </c>
      <c r="DI350">
        <v>6186</v>
      </c>
      <c r="DJ350">
        <v>6075</v>
      </c>
      <c r="DK350">
        <v>5962</v>
      </c>
      <c r="DO350">
        <v>1711</v>
      </c>
      <c r="DP350" t="s">
        <v>96</v>
      </c>
      <c r="DQ350">
        <v>15435</v>
      </c>
      <c r="DR350">
        <v>1</v>
      </c>
      <c r="DS350">
        <v>712</v>
      </c>
      <c r="DV350">
        <v>870</v>
      </c>
      <c r="DW350" t="s">
        <v>823</v>
      </c>
      <c r="DX350">
        <v>2701.0164305949002</v>
      </c>
      <c r="DY350">
        <v>550</v>
      </c>
      <c r="DZ350">
        <v>508</v>
      </c>
      <c r="EA350">
        <v>224</v>
      </c>
      <c r="EB350">
        <v>1883</v>
      </c>
      <c r="EC350">
        <v>1107</v>
      </c>
      <c r="ED350">
        <v>341</v>
      </c>
      <c r="EE350" s="82">
        <v>0.14503460315657299</v>
      </c>
      <c r="EF350" s="82">
        <v>0.40773802822016803</v>
      </c>
    </row>
    <row r="351" spans="1:136" x14ac:dyDescent="0.35">
      <c r="A351" s="72">
        <v>984</v>
      </c>
      <c r="B351" s="72">
        <v>11</v>
      </c>
      <c r="D351" s="72" t="s">
        <v>316</v>
      </c>
      <c r="E351" s="79">
        <v>3336400000</v>
      </c>
      <c r="F351" s="79">
        <v>951650000</v>
      </c>
      <c r="G351" s="79">
        <v>1029350000</v>
      </c>
      <c r="H351" s="79">
        <v>43326</v>
      </c>
      <c r="I351" s="79">
        <v>4</v>
      </c>
      <c r="J351" s="79">
        <v>1029.3499999999999</v>
      </c>
      <c r="K351" s="79">
        <v>8042</v>
      </c>
      <c r="L351" s="79">
        <v>9096</v>
      </c>
      <c r="M351" s="79">
        <v>2952</v>
      </c>
      <c r="N351" s="79">
        <v>5772</v>
      </c>
      <c r="O351" s="79">
        <v>3840.5</v>
      </c>
      <c r="P351" s="79">
        <v>789.33333333333303</v>
      </c>
      <c r="Q351" s="79">
        <v>3429.3333333333298</v>
      </c>
      <c r="R351" s="79">
        <v>2720</v>
      </c>
      <c r="S351" s="79">
        <v>0</v>
      </c>
      <c r="T351" s="79">
        <v>1219</v>
      </c>
      <c r="U351" s="79">
        <v>19578</v>
      </c>
      <c r="V351" s="79">
        <v>46220</v>
      </c>
      <c r="W351" s="79">
        <v>41810</v>
      </c>
      <c r="X351" s="79">
        <v>612.05999999999995</v>
      </c>
      <c r="Y351" s="79">
        <v>1360.8</v>
      </c>
      <c r="Z351" s="79">
        <v>0</v>
      </c>
      <c r="AA351" s="79">
        <v>0</v>
      </c>
      <c r="AB351" s="79">
        <v>0</v>
      </c>
      <c r="AC351" s="79">
        <v>16316</v>
      </c>
      <c r="AD351" s="79">
        <v>16316</v>
      </c>
      <c r="AE351" s="79">
        <v>184</v>
      </c>
      <c r="AF351" s="79">
        <v>0</v>
      </c>
      <c r="AG351" s="79">
        <v>568</v>
      </c>
      <c r="AH351" s="79">
        <v>260</v>
      </c>
      <c r="AI351" s="79">
        <v>308</v>
      </c>
      <c r="AJ351" s="79">
        <v>19315</v>
      </c>
      <c r="AK351" s="79">
        <v>19315</v>
      </c>
      <c r="AL351" s="79">
        <v>0</v>
      </c>
      <c r="AM351" s="79">
        <v>0</v>
      </c>
      <c r="AN351" s="79">
        <v>0</v>
      </c>
      <c r="AO351" s="79">
        <v>0</v>
      </c>
      <c r="AP351" s="79">
        <v>626</v>
      </c>
      <c r="AQ351" s="79">
        <v>0</v>
      </c>
      <c r="AR351" s="80">
        <v>4.4822599999999997E-4</v>
      </c>
      <c r="AS351" s="80">
        <v>7.3056800000000002E-4</v>
      </c>
      <c r="AT351" s="79">
        <v>19179.794999999998</v>
      </c>
      <c r="AU351" s="79">
        <v>0</v>
      </c>
      <c r="AV351" s="79">
        <v>1374</v>
      </c>
      <c r="AW351" s="79">
        <v>3607.8741818181802</v>
      </c>
      <c r="AX351" s="79">
        <v>14</v>
      </c>
      <c r="AY351" s="79">
        <v>14</v>
      </c>
      <c r="AZ351" s="79">
        <v>4205</v>
      </c>
      <c r="BA351" s="79">
        <v>1</v>
      </c>
      <c r="BB351" s="79">
        <v>0</v>
      </c>
      <c r="BC351" s="79">
        <v>0</v>
      </c>
      <c r="BD351" s="79">
        <v>0</v>
      </c>
      <c r="BE351" s="79">
        <v>0</v>
      </c>
      <c r="BF351" s="79">
        <v>0</v>
      </c>
      <c r="BG351" s="79">
        <v>0</v>
      </c>
      <c r="BH351" s="79">
        <v>0</v>
      </c>
      <c r="BI351" s="79">
        <v>0</v>
      </c>
      <c r="BJ351" s="79">
        <v>0</v>
      </c>
      <c r="BK351" s="79">
        <v>44</v>
      </c>
      <c r="BL351" s="79">
        <v>6007</v>
      </c>
      <c r="BM351" s="79">
        <v>260</v>
      </c>
      <c r="BN351" s="79">
        <v>308</v>
      </c>
      <c r="BO351">
        <v>10548</v>
      </c>
      <c r="BP351">
        <v>2316</v>
      </c>
      <c r="BQ351">
        <v>9391</v>
      </c>
      <c r="BR351">
        <v>2273</v>
      </c>
      <c r="BS351">
        <v>9266</v>
      </c>
      <c r="BT351">
        <v>2346</v>
      </c>
      <c r="BU351">
        <v>9146</v>
      </c>
      <c r="BV351">
        <v>2361</v>
      </c>
      <c r="BW351">
        <v>9045</v>
      </c>
      <c r="BX351">
        <v>2416</v>
      </c>
      <c r="BY351">
        <v>8879</v>
      </c>
      <c r="BZ351">
        <v>2337</v>
      </c>
      <c r="CB351">
        <v>1085.67</v>
      </c>
      <c r="CC351">
        <v>116</v>
      </c>
      <c r="CD351">
        <v>100</v>
      </c>
      <c r="CE351">
        <v>12000</v>
      </c>
      <c r="CF351">
        <v>2863.16</v>
      </c>
      <c r="CG351">
        <v>204.99513207547199</v>
      </c>
      <c r="CH351">
        <v>466</v>
      </c>
      <c r="CI351">
        <v>263.66666666666703</v>
      </c>
      <c r="CJ351">
        <v>204.666666666667</v>
      </c>
      <c r="CK351" s="81">
        <v>2640</v>
      </c>
      <c r="CL351">
        <v>685</v>
      </c>
      <c r="CM351">
        <v>6859.6214012150303</v>
      </c>
      <c r="CN351">
        <v>1.841</v>
      </c>
      <c r="CO351">
        <v>34230</v>
      </c>
      <c r="CP351">
        <v>5284</v>
      </c>
      <c r="CQ351">
        <v>860</v>
      </c>
      <c r="CR351">
        <v>998</v>
      </c>
      <c r="CS351">
        <v>947</v>
      </c>
      <c r="CT351">
        <v>449</v>
      </c>
      <c r="CU351">
        <v>640.44786435412902</v>
      </c>
      <c r="CV351">
        <v>402.24341185607102</v>
      </c>
      <c r="CW351">
        <v>127.254465441367</v>
      </c>
      <c r="CX351">
        <v>1538.0274999999999</v>
      </c>
      <c r="CY351">
        <v>965.98249999999996</v>
      </c>
      <c r="CZ351">
        <v>305.60000000000002</v>
      </c>
      <c r="DA351">
        <v>100577</v>
      </c>
      <c r="DE351">
        <v>1742</v>
      </c>
      <c r="DF351" t="s">
        <v>257</v>
      </c>
      <c r="DG351">
        <v>9685</v>
      </c>
      <c r="DH351">
        <v>9752</v>
      </c>
      <c r="DI351">
        <v>9810</v>
      </c>
      <c r="DJ351">
        <v>9734</v>
      </c>
      <c r="DK351">
        <v>9685</v>
      </c>
      <c r="DO351">
        <v>1903</v>
      </c>
      <c r="DP351" t="s">
        <v>101</v>
      </c>
      <c r="DQ351">
        <v>11521</v>
      </c>
      <c r="DR351">
        <v>1</v>
      </c>
      <c r="DS351">
        <v>461</v>
      </c>
      <c r="DV351">
        <v>668</v>
      </c>
      <c r="DW351" t="s">
        <v>335</v>
      </c>
      <c r="DX351">
        <v>2375.98353498815</v>
      </c>
      <c r="DY351">
        <v>415</v>
      </c>
      <c r="DZ351">
        <v>370</v>
      </c>
      <c r="EA351">
        <v>197</v>
      </c>
      <c r="EB351">
        <v>1427</v>
      </c>
      <c r="EC351">
        <v>782</v>
      </c>
      <c r="ED351">
        <v>272</v>
      </c>
      <c r="EE351" s="82">
        <v>0.19257277859723601</v>
      </c>
      <c r="EF351" s="82">
        <v>0.44140850577478302</v>
      </c>
    </row>
    <row r="352" spans="1:136" x14ac:dyDescent="0.35">
      <c r="A352" s="72">
        <v>986</v>
      </c>
      <c r="B352" s="72">
        <v>11</v>
      </c>
      <c r="D352" s="72" t="s">
        <v>321</v>
      </c>
      <c r="E352" s="79">
        <v>1061600000</v>
      </c>
      <c r="F352" s="79">
        <v>79800000</v>
      </c>
      <c r="G352" s="79">
        <v>89250000</v>
      </c>
      <c r="H352" s="79">
        <v>12452</v>
      </c>
      <c r="I352" s="79">
        <v>3</v>
      </c>
      <c r="J352" s="79">
        <v>89.25</v>
      </c>
      <c r="K352" s="79">
        <v>2118</v>
      </c>
      <c r="L352" s="79">
        <v>3309</v>
      </c>
      <c r="M352" s="79">
        <v>1120</v>
      </c>
      <c r="N352" s="79">
        <v>1427</v>
      </c>
      <c r="O352" s="79">
        <v>839.9</v>
      </c>
      <c r="P352" s="79">
        <v>123.666666666667</v>
      </c>
      <c r="Q352" s="79">
        <v>805.66666666666697</v>
      </c>
      <c r="R352" s="79">
        <v>195</v>
      </c>
      <c r="S352" s="79">
        <v>0</v>
      </c>
      <c r="T352" s="79">
        <v>376</v>
      </c>
      <c r="U352" s="79">
        <v>5666</v>
      </c>
      <c r="V352" s="79">
        <v>8240</v>
      </c>
      <c r="W352" s="79">
        <v>1120</v>
      </c>
      <c r="X352" s="79">
        <v>0</v>
      </c>
      <c r="Y352" s="79">
        <v>0</v>
      </c>
      <c r="Z352" s="79">
        <v>0</v>
      </c>
      <c r="AA352" s="79">
        <v>0</v>
      </c>
      <c r="AB352" s="79">
        <v>0</v>
      </c>
      <c r="AC352" s="79">
        <v>3150</v>
      </c>
      <c r="AD352" s="79">
        <v>3150</v>
      </c>
      <c r="AE352" s="79">
        <v>2</v>
      </c>
      <c r="AF352" s="79">
        <v>0</v>
      </c>
      <c r="AG352" s="79">
        <v>88</v>
      </c>
      <c r="AH352" s="79">
        <v>77</v>
      </c>
      <c r="AI352" s="79">
        <v>11</v>
      </c>
      <c r="AJ352" s="79">
        <v>5871</v>
      </c>
      <c r="AK352" s="79">
        <v>5871</v>
      </c>
      <c r="AL352" s="79">
        <v>0</v>
      </c>
      <c r="AM352" s="79">
        <v>0</v>
      </c>
      <c r="AN352" s="79">
        <v>0</v>
      </c>
      <c r="AO352" s="79">
        <v>0</v>
      </c>
      <c r="AP352" s="79">
        <v>0</v>
      </c>
      <c r="AQ352" s="79">
        <v>0</v>
      </c>
      <c r="AR352" s="80">
        <v>3.0101100000000001E-4</v>
      </c>
      <c r="AS352" s="80">
        <v>1.2288699999999999E-4</v>
      </c>
      <c r="AT352" s="79">
        <v>3187.953</v>
      </c>
      <c r="AU352" s="79">
        <v>0</v>
      </c>
      <c r="AV352" s="79">
        <v>100</v>
      </c>
      <c r="AW352" s="79">
        <v>395.05076142131998</v>
      </c>
      <c r="AX352" s="79">
        <v>6</v>
      </c>
      <c r="AY352" s="79">
        <v>6</v>
      </c>
      <c r="AZ352" s="79">
        <v>1181</v>
      </c>
      <c r="BA352" s="79">
        <v>1</v>
      </c>
      <c r="BB352" s="79">
        <v>0</v>
      </c>
      <c r="BC352" s="79">
        <v>0</v>
      </c>
      <c r="BD352" s="79">
        <v>0</v>
      </c>
      <c r="BE352" s="79">
        <v>0</v>
      </c>
      <c r="BF352" s="79">
        <v>0</v>
      </c>
      <c r="BG352" s="79">
        <v>0</v>
      </c>
      <c r="BH352" s="79">
        <v>0</v>
      </c>
      <c r="BI352" s="79">
        <v>0</v>
      </c>
      <c r="BJ352" s="79">
        <v>0</v>
      </c>
      <c r="BK352" s="79">
        <v>6</v>
      </c>
      <c r="BL352" s="79">
        <v>1622</v>
      </c>
      <c r="BM352" s="79">
        <v>77</v>
      </c>
      <c r="BN352" s="79">
        <v>11</v>
      </c>
      <c r="BO352">
        <v>2391</v>
      </c>
      <c r="BP352">
        <v>0</v>
      </c>
      <c r="BQ352">
        <v>2366</v>
      </c>
      <c r="BR352">
        <v>0</v>
      </c>
      <c r="BS352">
        <v>2343</v>
      </c>
      <c r="BT352">
        <v>0</v>
      </c>
      <c r="BU352">
        <v>2301</v>
      </c>
      <c r="BV352">
        <v>0</v>
      </c>
      <c r="BW352">
        <v>2228</v>
      </c>
      <c r="BX352">
        <v>0</v>
      </c>
      <c r="BY352">
        <v>2146</v>
      </c>
      <c r="BZ352">
        <v>0</v>
      </c>
      <c r="CB352">
        <v>247.80600000000001</v>
      </c>
      <c r="CC352">
        <v>5</v>
      </c>
      <c r="CD352">
        <v>8</v>
      </c>
      <c r="CE352">
        <v>4142.5200000000004</v>
      </c>
      <c r="CF352">
        <v>852.84</v>
      </c>
      <c r="CG352">
        <v>47.9028510638298</v>
      </c>
      <c r="CH352">
        <v>127</v>
      </c>
      <c r="CI352">
        <v>40.3333333333333</v>
      </c>
      <c r="CJ352">
        <v>28.3333333333333</v>
      </c>
      <c r="CK352" s="81">
        <v>682</v>
      </c>
      <c r="CL352">
        <v>109</v>
      </c>
      <c r="CM352">
        <v>2385.4129402339399</v>
      </c>
      <c r="CN352">
        <v>0.115</v>
      </c>
      <c r="CO352">
        <v>9143</v>
      </c>
      <c r="CP352">
        <v>1847</v>
      </c>
      <c r="CQ352">
        <v>342</v>
      </c>
      <c r="CR352">
        <v>340</v>
      </c>
      <c r="CS352">
        <v>334</v>
      </c>
      <c r="CT352">
        <v>170</v>
      </c>
      <c r="CU352">
        <v>162.94431953670599</v>
      </c>
      <c r="CV352">
        <v>111.01386475898499</v>
      </c>
      <c r="CW352">
        <v>35.049480497359902</v>
      </c>
      <c r="CX352">
        <v>452.18299999999999</v>
      </c>
      <c r="CY352">
        <v>308.072</v>
      </c>
      <c r="CZ352">
        <v>97.265000000000001</v>
      </c>
      <c r="DA352">
        <v>0</v>
      </c>
      <c r="DE352">
        <v>1771</v>
      </c>
      <c r="DF352" t="s">
        <v>111</v>
      </c>
      <c r="DG352">
        <v>8083</v>
      </c>
      <c r="DH352">
        <v>8050</v>
      </c>
      <c r="DI352">
        <v>7982</v>
      </c>
      <c r="DJ352">
        <v>7970</v>
      </c>
      <c r="DK352">
        <v>7930</v>
      </c>
      <c r="DO352">
        <v>907</v>
      </c>
      <c r="DP352" t="s">
        <v>113</v>
      </c>
      <c r="DQ352">
        <v>8674</v>
      </c>
      <c r="DR352">
        <v>1</v>
      </c>
      <c r="DS352">
        <v>632</v>
      </c>
      <c r="DV352">
        <v>1701</v>
      </c>
      <c r="DW352" t="s">
        <v>337</v>
      </c>
      <c r="DX352">
        <v>2560.6955120553798</v>
      </c>
      <c r="DY352">
        <v>590</v>
      </c>
      <c r="DZ352">
        <v>494</v>
      </c>
      <c r="EA352">
        <v>305</v>
      </c>
      <c r="EB352">
        <v>1850</v>
      </c>
      <c r="EC352">
        <v>1125</v>
      </c>
      <c r="ED352">
        <v>434</v>
      </c>
      <c r="EE352" s="82">
        <v>0.158238756762342</v>
      </c>
      <c r="EF352" s="82">
        <v>0.44140850577478302</v>
      </c>
    </row>
    <row r="353" spans="1:136" x14ac:dyDescent="0.35">
      <c r="A353" s="72">
        <v>988</v>
      </c>
      <c r="B353" s="72">
        <v>11</v>
      </c>
      <c r="D353" s="72" t="s">
        <v>332</v>
      </c>
      <c r="E353" s="79">
        <v>4274000000</v>
      </c>
      <c r="F353" s="79">
        <v>854350000</v>
      </c>
      <c r="G353" s="79">
        <v>884800000</v>
      </c>
      <c r="H353" s="79">
        <v>49842</v>
      </c>
      <c r="I353" s="79">
        <v>3</v>
      </c>
      <c r="J353" s="79">
        <v>884.8</v>
      </c>
      <c r="K353" s="79">
        <v>8674</v>
      </c>
      <c r="L353" s="79">
        <v>11519</v>
      </c>
      <c r="M353" s="79">
        <v>3943</v>
      </c>
      <c r="N353" s="79">
        <v>7198</v>
      </c>
      <c r="O353" s="79">
        <v>4848.8</v>
      </c>
      <c r="P353" s="79">
        <v>956.66666666666697</v>
      </c>
      <c r="Q353" s="79">
        <v>3888.6666666666702</v>
      </c>
      <c r="R353" s="79">
        <v>3755</v>
      </c>
      <c r="S353" s="79">
        <v>0</v>
      </c>
      <c r="T353" s="79">
        <v>1475</v>
      </c>
      <c r="U353" s="79">
        <v>23357</v>
      </c>
      <c r="V353" s="79">
        <v>54050</v>
      </c>
      <c r="W353" s="79">
        <v>54700</v>
      </c>
      <c r="X353" s="79">
        <v>919.04</v>
      </c>
      <c r="Y353" s="79">
        <v>2850.4</v>
      </c>
      <c r="Z353" s="79">
        <v>0</v>
      </c>
      <c r="AA353" s="79">
        <v>0</v>
      </c>
      <c r="AB353" s="79">
        <v>0</v>
      </c>
      <c r="AC353" s="79">
        <v>10414</v>
      </c>
      <c r="AD353" s="79">
        <v>10414</v>
      </c>
      <c r="AE353" s="79">
        <v>140</v>
      </c>
      <c r="AF353" s="79">
        <v>0</v>
      </c>
      <c r="AG353" s="79">
        <v>462</v>
      </c>
      <c r="AH353" s="79">
        <v>326</v>
      </c>
      <c r="AI353" s="79">
        <v>136</v>
      </c>
      <c r="AJ353" s="79">
        <v>23492</v>
      </c>
      <c r="AK353" s="79">
        <v>23492</v>
      </c>
      <c r="AL353" s="79">
        <v>13</v>
      </c>
      <c r="AM353" s="79">
        <v>0</v>
      </c>
      <c r="AN353" s="79">
        <v>0</v>
      </c>
      <c r="AO353" s="79">
        <v>0</v>
      </c>
      <c r="AP353" s="79">
        <v>1312</v>
      </c>
      <c r="AQ353" s="79">
        <v>1312</v>
      </c>
      <c r="AR353" s="80">
        <v>8.3736300000000004E-4</v>
      </c>
      <c r="AS353" s="80">
        <v>1.3613239999999999E-3</v>
      </c>
      <c r="AT353" s="79">
        <v>31056.423999999999</v>
      </c>
      <c r="AU353" s="79">
        <v>0</v>
      </c>
      <c r="AV353" s="79">
        <v>1451</v>
      </c>
      <c r="AW353" s="79">
        <v>6852.4485503126798</v>
      </c>
      <c r="AX353" s="79">
        <v>8</v>
      </c>
      <c r="AY353" s="79">
        <v>8</v>
      </c>
      <c r="AZ353" s="79">
        <v>5056</v>
      </c>
      <c r="BA353" s="79">
        <v>1</v>
      </c>
      <c r="BB353" s="79">
        <v>0</v>
      </c>
      <c r="BC353" s="79">
        <v>0</v>
      </c>
      <c r="BD353" s="79">
        <v>0</v>
      </c>
      <c r="BE353" s="79">
        <v>0</v>
      </c>
      <c r="BF353" s="79">
        <v>0</v>
      </c>
      <c r="BG353" s="79">
        <v>0</v>
      </c>
      <c r="BH353" s="79">
        <v>0</v>
      </c>
      <c r="BI353" s="79">
        <v>0</v>
      </c>
      <c r="BJ353" s="79">
        <v>0</v>
      </c>
      <c r="BK353" s="79">
        <v>58</v>
      </c>
      <c r="BL353" s="79">
        <v>7755</v>
      </c>
      <c r="BM353" s="79">
        <v>326</v>
      </c>
      <c r="BN353" s="79">
        <v>136</v>
      </c>
      <c r="BO353">
        <v>9709</v>
      </c>
      <c r="BP353">
        <v>3791</v>
      </c>
      <c r="BQ353">
        <v>9587</v>
      </c>
      <c r="BR353">
        <v>3750</v>
      </c>
      <c r="BS353">
        <v>9487</v>
      </c>
      <c r="BT353">
        <v>3801</v>
      </c>
      <c r="BU353">
        <v>9351</v>
      </c>
      <c r="BV353">
        <v>3725</v>
      </c>
      <c r="BW353">
        <v>9201</v>
      </c>
      <c r="BX353">
        <v>3673</v>
      </c>
      <c r="BY353">
        <v>9056</v>
      </c>
      <c r="BZ353">
        <v>3654</v>
      </c>
      <c r="CB353">
        <v>1058.2280000000001</v>
      </c>
      <c r="CC353">
        <v>96</v>
      </c>
      <c r="CD353">
        <v>197</v>
      </c>
      <c r="CE353">
        <v>14567.8</v>
      </c>
      <c r="CF353">
        <v>3302</v>
      </c>
      <c r="CG353">
        <v>271.23573460864901</v>
      </c>
      <c r="CH353">
        <v>494</v>
      </c>
      <c r="CI353">
        <v>260.66666666666703</v>
      </c>
      <c r="CJ353">
        <v>198.333333333333</v>
      </c>
      <c r="CK353" s="81">
        <v>2932</v>
      </c>
      <c r="CL353">
        <v>666</v>
      </c>
      <c r="CM353">
        <v>8755.3411405295301</v>
      </c>
      <c r="CN353">
        <v>1.9570000000000001</v>
      </c>
      <c r="CO353">
        <v>38323</v>
      </c>
      <c r="CP353">
        <v>6295</v>
      </c>
      <c r="CQ353">
        <v>1281</v>
      </c>
      <c r="CR353">
        <v>1344</v>
      </c>
      <c r="CS353">
        <v>1303</v>
      </c>
      <c r="CT353">
        <v>623</v>
      </c>
      <c r="CU353">
        <v>813.43098927294398</v>
      </c>
      <c r="CV353">
        <v>561.20752596628597</v>
      </c>
      <c r="CW353">
        <v>185.142754980419</v>
      </c>
      <c r="CX353">
        <v>1865.2753</v>
      </c>
      <c r="CY353">
        <v>1286.9027000000001</v>
      </c>
      <c r="CZ353">
        <v>424.55009999999999</v>
      </c>
      <c r="DA353">
        <v>33835</v>
      </c>
      <c r="DE353">
        <v>1773</v>
      </c>
      <c r="DF353" t="s">
        <v>230</v>
      </c>
      <c r="DG353">
        <v>4100</v>
      </c>
      <c r="DH353">
        <v>4047</v>
      </c>
      <c r="DI353">
        <v>3990</v>
      </c>
      <c r="DJ353">
        <v>3959</v>
      </c>
      <c r="DK353">
        <v>3874</v>
      </c>
      <c r="DO353">
        <v>1729</v>
      </c>
      <c r="DP353" t="s">
        <v>123</v>
      </c>
      <c r="DQ353">
        <v>7221</v>
      </c>
      <c r="DR353">
        <v>1</v>
      </c>
      <c r="DS353">
        <v>285</v>
      </c>
      <c r="DV353">
        <v>293</v>
      </c>
      <c r="DW353" t="s">
        <v>338</v>
      </c>
      <c r="DX353">
        <v>2048.9372637944098</v>
      </c>
      <c r="DY353">
        <v>389</v>
      </c>
      <c r="DZ353">
        <v>285</v>
      </c>
      <c r="EA353">
        <v>139</v>
      </c>
      <c r="EB353">
        <v>1137</v>
      </c>
      <c r="EC353">
        <v>535</v>
      </c>
      <c r="ED353">
        <v>189</v>
      </c>
      <c r="EE353" s="82">
        <v>0.206177116526361</v>
      </c>
      <c r="EF353" s="82">
        <v>0.49444682089853698</v>
      </c>
    </row>
    <row r="354" spans="1:136" x14ac:dyDescent="0.35">
      <c r="A354" s="72">
        <v>34</v>
      </c>
      <c r="B354" s="72">
        <v>12</v>
      </c>
      <c r="D354" s="72" t="s">
        <v>19</v>
      </c>
      <c r="E354" s="79">
        <v>15118000000</v>
      </c>
      <c r="F354" s="79">
        <v>2402050000</v>
      </c>
      <c r="G354" s="79">
        <v>2423050000</v>
      </c>
      <c r="H354" s="79">
        <v>207904</v>
      </c>
      <c r="I354" s="79">
        <v>3</v>
      </c>
      <c r="J354" s="79">
        <v>2423.0500000000002</v>
      </c>
      <c r="K354" s="79">
        <v>47572</v>
      </c>
      <c r="L354" s="79">
        <v>23434</v>
      </c>
      <c r="M354" s="79">
        <v>5762</v>
      </c>
      <c r="N354" s="79">
        <v>24024</v>
      </c>
      <c r="O354" s="79">
        <v>15553.2</v>
      </c>
      <c r="P354" s="79">
        <v>6042</v>
      </c>
      <c r="Q354" s="79">
        <v>16716</v>
      </c>
      <c r="R354" s="79">
        <v>43910</v>
      </c>
      <c r="S354" s="79">
        <v>2329.1999999999998</v>
      </c>
      <c r="T354" s="79">
        <v>10658</v>
      </c>
      <c r="U354" s="79">
        <v>89595</v>
      </c>
      <c r="V354" s="79">
        <v>216790</v>
      </c>
      <c r="W354" s="79">
        <v>278320</v>
      </c>
      <c r="X354" s="79">
        <v>5547.52</v>
      </c>
      <c r="Y354" s="79">
        <v>10184.799999999999</v>
      </c>
      <c r="Z354" s="79">
        <v>0</v>
      </c>
      <c r="AA354" s="79">
        <v>0</v>
      </c>
      <c r="AB354" s="79">
        <v>0</v>
      </c>
      <c r="AC354" s="79">
        <v>12909</v>
      </c>
      <c r="AD354" s="79">
        <v>15878.07</v>
      </c>
      <c r="AE354" s="79">
        <v>2087</v>
      </c>
      <c r="AF354" s="79">
        <v>9881</v>
      </c>
      <c r="AG354" s="79">
        <v>804</v>
      </c>
      <c r="AH354" s="79">
        <v>949.76</v>
      </c>
      <c r="AI354" s="79">
        <v>74.400000000000006</v>
      </c>
      <c r="AJ354" s="79">
        <v>84708</v>
      </c>
      <c r="AK354" s="79">
        <v>108426.24000000001</v>
      </c>
      <c r="AL354" s="79">
        <v>0</v>
      </c>
      <c r="AM354" s="79">
        <v>0</v>
      </c>
      <c r="AN354" s="79">
        <v>0</v>
      </c>
      <c r="AO354" s="79">
        <v>0</v>
      </c>
      <c r="AP354" s="79">
        <v>0</v>
      </c>
      <c r="AQ354" s="79">
        <v>0</v>
      </c>
      <c r="AR354" s="80">
        <v>0</v>
      </c>
      <c r="AS354" s="80">
        <v>2.6008800000000001E-4</v>
      </c>
      <c r="AT354" s="79">
        <v>135617.508</v>
      </c>
      <c r="AU354" s="79">
        <v>0</v>
      </c>
      <c r="AV354" s="79">
        <v>7199.19</v>
      </c>
      <c r="AW354" s="79">
        <v>184390.578885036</v>
      </c>
      <c r="AX354" s="79">
        <v>6</v>
      </c>
      <c r="AY354" s="79">
        <v>7.2</v>
      </c>
      <c r="AZ354" s="79">
        <v>21166</v>
      </c>
      <c r="BA354" s="79">
        <v>1</v>
      </c>
      <c r="BB354" s="79">
        <v>0</v>
      </c>
      <c r="BC354" s="79">
        <v>0</v>
      </c>
      <c r="BD354" s="79">
        <v>0</v>
      </c>
      <c r="BE354" s="79">
        <v>0</v>
      </c>
      <c r="BF354" s="79">
        <v>0</v>
      </c>
      <c r="BG354" s="79">
        <v>0</v>
      </c>
      <c r="BH354" s="79">
        <v>0</v>
      </c>
      <c r="BI354" s="79">
        <v>0</v>
      </c>
      <c r="BJ354" s="79">
        <v>0</v>
      </c>
      <c r="BK354" s="79">
        <v>187</v>
      </c>
      <c r="BL354" s="79">
        <v>27837</v>
      </c>
      <c r="BM354" s="79">
        <v>742</v>
      </c>
      <c r="BN354" s="79">
        <v>62</v>
      </c>
      <c r="BO354">
        <v>48858</v>
      </c>
      <c r="BP354">
        <v>11797</v>
      </c>
      <c r="BQ354">
        <v>48704</v>
      </c>
      <c r="BR354">
        <v>11827</v>
      </c>
      <c r="BS354">
        <v>48600</v>
      </c>
      <c r="BT354">
        <v>12110</v>
      </c>
      <c r="BU354">
        <v>48544</v>
      </c>
      <c r="BV354">
        <v>12210</v>
      </c>
      <c r="BW354">
        <v>48247</v>
      </c>
      <c r="BX354">
        <v>12471</v>
      </c>
      <c r="BY354">
        <v>47865</v>
      </c>
      <c r="BZ354">
        <v>12595</v>
      </c>
      <c r="CB354">
        <v>7849.38</v>
      </c>
      <c r="CC354">
        <v>741</v>
      </c>
      <c r="CD354">
        <v>695</v>
      </c>
      <c r="CE354">
        <v>56803.5</v>
      </c>
      <c r="CF354">
        <v>15665.8</v>
      </c>
      <c r="CG354">
        <v>1305.4429936686699</v>
      </c>
      <c r="CH354">
        <v>4390</v>
      </c>
      <c r="CI354">
        <v>2073.6666666666702</v>
      </c>
      <c r="CJ354">
        <v>1978</v>
      </c>
      <c r="CK354" s="81">
        <v>10674</v>
      </c>
      <c r="CL354">
        <v>2378</v>
      </c>
      <c r="CM354">
        <v>19922.773677862198</v>
      </c>
      <c r="CN354">
        <v>13.157</v>
      </c>
      <c r="CO354">
        <v>184470</v>
      </c>
      <c r="CP354">
        <v>15681</v>
      </c>
      <c r="CQ354">
        <v>1991</v>
      </c>
      <c r="CR354">
        <v>3710</v>
      </c>
      <c r="CS354">
        <v>2118</v>
      </c>
      <c r="CT354">
        <v>1061</v>
      </c>
      <c r="CU354">
        <v>1921.6578268876599</v>
      </c>
      <c r="CV354">
        <v>763.26500920810304</v>
      </c>
      <c r="CW354">
        <v>268.62081031307503</v>
      </c>
      <c r="CX354">
        <v>4953.5577999999996</v>
      </c>
      <c r="CY354">
        <v>1967.5081</v>
      </c>
      <c r="CZ354">
        <v>692.43790000000001</v>
      </c>
      <c r="DA354">
        <v>58427</v>
      </c>
      <c r="DE354">
        <v>1774</v>
      </c>
      <c r="DF354" t="s">
        <v>86</v>
      </c>
      <c r="DG354">
        <v>6516</v>
      </c>
      <c r="DH354">
        <v>6369</v>
      </c>
      <c r="DI354">
        <v>6278</v>
      </c>
      <c r="DJ354">
        <v>6157</v>
      </c>
      <c r="DK354">
        <v>6007</v>
      </c>
      <c r="DO354">
        <v>917</v>
      </c>
      <c r="DP354" t="s">
        <v>139</v>
      </c>
      <c r="DQ354">
        <v>46133</v>
      </c>
      <c r="DR354">
        <v>1</v>
      </c>
      <c r="DS354">
        <v>1809</v>
      </c>
      <c r="DV354">
        <v>1950</v>
      </c>
      <c r="DW354" t="s">
        <v>339</v>
      </c>
      <c r="DX354">
        <v>4130.0076763298102</v>
      </c>
      <c r="DY354">
        <v>729</v>
      </c>
      <c r="DZ354">
        <v>701</v>
      </c>
      <c r="EA354">
        <v>402</v>
      </c>
      <c r="EB354">
        <v>2353</v>
      </c>
      <c r="EC354">
        <v>1410</v>
      </c>
      <c r="ED354">
        <v>548</v>
      </c>
      <c r="EE354" s="82">
        <v>0.23306513518788799</v>
      </c>
      <c r="EF354" s="82">
        <v>0.592310291432811</v>
      </c>
    </row>
    <row r="355" spans="1:136" x14ac:dyDescent="0.35">
      <c r="A355" s="72">
        <v>303</v>
      </c>
      <c r="B355" s="72">
        <v>12</v>
      </c>
      <c r="D355" s="72" t="s">
        <v>93</v>
      </c>
      <c r="E355" s="79">
        <v>2918000000</v>
      </c>
      <c r="F355" s="79">
        <v>684600000</v>
      </c>
      <c r="G355" s="79">
        <v>768600000</v>
      </c>
      <c r="H355" s="79">
        <v>40815</v>
      </c>
      <c r="I355" s="79">
        <v>3</v>
      </c>
      <c r="J355" s="79">
        <v>768.6</v>
      </c>
      <c r="K355" s="79">
        <v>8611</v>
      </c>
      <c r="L355" s="79">
        <v>7266</v>
      </c>
      <c r="M355" s="79">
        <v>2235</v>
      </c>
      <c r="N355" s="79">
        <v>4446</v>
      </c>
      <c r="O355" s="79">
        <v>2612.3000000000002</v>
      </c>
      <c r="P355" s="79">
        <v>659.33333333333303</v>
      </c>
      <c r="Q355" s="79">
        <v>2553.3333333333298</v>
      </c>
      <c r="R355" s="79">
        <v>1990</v>
      </c>
      <c r="S355" s="79">
        <v>0</v>
      </c>
      <c r="T355" s="79">
        <v>1163</v>
      </c>
      <c r="U355" s="79">
        <v>17958</v>
      </c>
      <c r="V355" s="79">
        <v>39070</v>
      </c>
      <c r="W355" s="79">
        <v>23640</v>
      </c>
      <c r="X355" s="79">
        <v>348.48</v>
      </c>
      <c r="Y355" s="79">
        <v>1802.4</v>
      </c>
      <c r="Z355" s="79">
        <v>0</v>
      </c>
      <c r="AA355" s="79">
        <v>0</v>
      </c>
      <c r="AB355" s="79">
        <v>0</v>
      </c>
      <c r="AC355" s="79">
        <v>33362</v>
      </c>
      <c r="AD355" s="79">
        <v>34029.24</v>
      </c>
      <c r="AE355" s="79">
        <v>5766</v>
      </c>
      <c r="AF355" s="79">
        <v>3261</v>
      </c>
      <c r="AG355" s="79">
        <v>393</v>
      </c>
      <c r="AH355" s="79">
        <v>239</v>
      </c>
      <c r="AI355" s="79">
        <v>157.08000000000001</v>
      </c>
      <c r="AJ355" s="79">
        <v>18337</v>
      </c>
      <c r="AK355" s="79">
        <v>18337</v>
      </c>
      <c r="AL355" s="79">
        <v>0</v>
      </c>
      <c r="AM355" s="79">
        <v>0</v>
      </c>
      <c r="AN355" s="79">
        <v>0</v>
      </c>
      <c r="AO355" s="79">
        <v>0</v>
      </c>
      <c r="AP355" s="79">
        <v>0</v>
      </c>
      <c r="AQ355" s="79">
        <v>0</v>
      </c>
      <c r="AR355" s="80">
        <v>0</v>
      </c>
      <c r="AS355" s="80">
        <v>1.8053899999999999E-4</v>
      </c>
      <c r="AT355" s="79">
        <v>13954.457</v>
      </c>
      <c r="AU355" s="79">
        <v>0</v>
      </c>
      <c r="AV355" s="79">
        <v>7401.12</v>
      </c>
      <c r="AW355" s="79">
        <v>8175.6008280515198</v>
      </c>
      <c r="AX355" s="79">
        <v>12</v>
      </c>
      <c r="AY355" s="79">
        <v>12.24</v>
      </c>
      <c r="AZ355" s="79">
        <v>4503</v>
      </c>
      <c r="BA355" s="79">
        <v>1</v>
      </c>
      <c r="BB355" s="79">
        <v>0</v>
      </c>
      <c r="BC355" s="79">
        <v>0</v>
      </c>
      <c r="BD355" s="79">
        <v>0</v>
      </c>
      <c r="BE355" s="79">
        <v>0</v>
      </c>
      <c r="BF355" s="79">
        <v>0</v>
      </c>
      <c r="BG355" s="79">
        <v>0</v>
      </c>
      <c r="BH355" s="79">
        <v>0</v>
      </c>
      <c r="BI355" s="79">
        <v>0</v>
      </c>
      <c r="BJ355" s="79">
        <v>0</v>
      </c>
      <c r="BK355" s="79">
        <v>39</v>
      </c>
      <c r="BL355" s="79">
        <v>5275</v>
      </c>
      <c r="BM355" s="79">
        <v>239</v>
      </c>
      <c r="BN355" s="79">
        <v>154</v>
      </c>
      <c r="BO355">
        <v>9601</v>
      </c>
      <c r="BP355">
        <v>2118</v>
      </c>
      <c r="BQ355">
        <v>9642</v>
      </c>
      <c r="BR355">
        <v>2228</v>
      </c>
      <c r="BS355">
        <v>9613</v>
      </c>
      <c r="BT355">
        <v>2254</v>
      </c>
      <c r="BU355">
        <v>9580</v>
      </c>
      <c r="BV355">
        <v>2288</v>
      </c>
      <c r="BW355">
        <v>9451</v>
      </c>
      <c r="BX355">
        <v>2344</v>
      </c>
      <c r="BY355">
        <v>9320</v>
      </c>
      <c r="BZ355">
        <v>2346</v>
      </c>
      <c r="CB355">
        <v>998.87599999999998</v>
      </c>
      <c r="CC355">
        <v>199</v>
      </c>
      <c r="CD355">
        <v>144</v>
      </c>
      <c r="CE355">
        <v>11097.6</v>
      </c>
      <c r="CF355">
        <v>2904.08</v>
      </c>
      <c r="CG355">
        <v>301.51654933163599</v>
      </c>
      <c r="CH355">
        <v>468</v>
      </c>
      <c r="CI355">
        <v>204.666666666667</v>
      </c>
      <c r="CJ355">
        <v>167</v>
      </c>
      <c r="CK355" s="81">
        <v>1894</v>
      </c>
      <c r="CL355">
        <v>573</v>
      </c>
      <c r="CM355">
        <v>5089.7688559321996</v>
      </c>
      <c r="CN355">
        <v>1.2929999999999999</v>
      </c>
      <c r="CO355">
        <v>33549</v>
      </c>
      <c r="CP355">
        <v>4200</v>
      </c>
      <c r="CQ355">
        <v>831</v>
      </c>
      <c r="CR355">
        <v>746</v>
      </c>
      <c r="CS355">
        <v>643</v>
      </c>
      <c r="CT355">
        <v>432</v>
      </c>
      <c r="CU355">
        <v>363.84436930795698</v>
      </c>
      <c r="CV355">
        <v>216.255188962208</v>
      </c>
      <c r="CW355">
        <v>92.599389213066502</v>
      </c>
      <c r="CX355">
        <v>1157.2174</v>
      </c>
      <c r="CY355">
        <v>687.80579999999998</v>
      </c>
      <c r="CZ355">
        <v>294.51499999999999</v>
      </c>
      <c r="DA355">
        <v>17428</v>
      </c>
      <c r="DE355">
        <v>1783</v>
      </c>
      <c r="DF355" t="s">
        <v>340</v>
      </c>
      <c r="DG355">
        <v>23188</v>
      </c>
      <c r="DH355">
        <v>22955</v>
      </c>
      <c r="DI355">
        <v>22601</v>
      </c>
      <c r="DJ355">
        <v>22237</v>
      </c>
      <c r="DK355">
        <v>22014</v>
      </c>
      <c r="DO355">
        <v>1507</v>
      </c>
      <c r="DP355" t="s">
        <v>158</v>
      </c>
      <c r="DQ355">
        <v>19102</v>
      </c>
      <c r="DR355">
        <v>1</v>
      </c>
      <c r="DS355">
        <v>560</v>
      </c>
      <c r="DV355">
        <v>1783</v>
      </c>
      <c r="DW355" t="s">
        <v>340</v>
      </c>
      <c r="DX355">
        <v>11922.312707556801</v>
      </c>
      <c r="DY355">
        <v>2039</v>
      </c>
      <c r="DZ355">
        <v>1990</v>
      </c>
      <c r="EA355">
        <v>1063</v>
      </c>
      <c r="EB355">
        <v>7095</v>
      </c>
      <c r="EC355">
        <v>4438</v>
      </c>
      <c r="ED355">
        <v>1568</v>
      </c>
      <c r="EE355" s="82">
        <v>0.17002882559242499</v>
      </c>
      <c r="EF355" s="82">
        <v>0.41502120714199497</v>
      </c>
    </row>
    <row r="356" spans="1:136" x14ac:dyDescent="0.35">
      <c r="A356" s="72">
        <v>995</v>
      </c>
      <c r="B356" s="72">
        <v>12</v>
      </c>
      <c r="D356" s="72" t="s">
        <v>182</v>
      </c>
      <c r="E356" s="79">
        <v>4911600000</v>
      </c>
      <c r="F356" s="79">
        <v>1221150000</v>
      </c>
      <c r="G356" s="79">
        <v>1272250000</v>
      </c>
      <c r="H356" s="79">
        <v>77893</v>
      </c>
      <c r="I356" s="79">
        <v>1</v>
      </c>
      <c r="J356" s="79">
        <v>1272.25</v>
      </c>
      <c r="K356" s="79">
        <v>17201</v>
      </c>
      <c r="L356" s="79">
        <v>13540</v>
      </c>
      <c r="M356" s="79">
        <v>3375</v>
      </c>
      <c r="N356" s="79">
        <v>10987</v>
      </c>
      <c r="O356" s="79">
        <v>7642.1</v>
      </c>
      <c r="P356" s="79">
        <v>2299.6666666666702</v>
      </c>
      <c r="Q356" s="79">
        <v>7309.6666666666697</v>
      </c>
      <c r="R356" s="79">
        <v>11885</v>
      </c>
      <c r="S356" s="79">
        <v>0</v>
      </c>
      <c r="T356" s="79">
        <v>3530</v>
      </c>
      <c r="U356" s="79">
        <v>34792</v>
      </c>
      <c r="V356" s="79">
        <v>78910</v>
      </c>
      <c r="W356" s="79">
        <v>85700</v>
      </c>
      <c r="X356" s="79">
        <v>4019.76</v>
      </c>
      <c r="Y356" s="79">
        <v>2923.2</v>
      </c>
      <c r="Z356" s="79">
        <v>0</v>
      </c>
      <c r="AA356" s="79">
        <v>0</v>
      </c>
      <c r="AB356" s="79">
        <v>0</v>
      </c>
      <c r="AC356" s="79">
        <v>22954</v>
      </c>
      <c r="AD356" s="79">
        <v>25938.02</v>
      </c>
      <c r="AE356" s="79">
        <v>3058</v>
      </c>
      <c r="AF356" s="79">
        <v>10000</v>
      </c>
      <c r="AG356" s="79">
        <v>460</v>
      </c>
      <c r="AH356" s="79">
        <v>414.12</v>
      </c>
      <c r="AI356" s="79">
        <v>126.56</v>
      </c>
      <c r="AJ356" s="79">
        <v>33449</v>
      </c>
      <c r="AK356" s="79">
        <v>39804.31</v>
      </c>
      <c r="AL356" s="79">
        <v>0</v>
      </c>
      <c r="AM356" s="79">
        <v>0</v>
      </c>
      <c r="AN356" s="79">
        <v>0</v>
      </c>
      <c r="AO356" s="79">
        <v>0</v>
      </c>
      <c r="AP356" s="79">
        <v>0</v>
      </c>
      <c r="AQ356" s="79">
        <v>0</v>
      </c>
      <c r="AR356" s="80">
        <v>1.6395000000000001E-5</v>
      </c>
      <c r="AS356" s="80">
        <v>8.1816699999999996E-4</v>
      </c>
      <c r="AT356" s="79">
        <v>45791.680999999997</v>
      </c>
      <c r="AU356" s="79">
        <v>0</v>
      </c>
      <c r="AV356" s="79">
        <v>10320.290000000001</v>
      </c>
      <c r="AW356" s="79">
        <v>47410.251806473898</v>
      </c>
      <c r="AX356" s="79">
        <v>6</v>
      </c>
      <c r="AY356" s="79">
        <v>6.72</v>
      </c>
      <c r="AZ356" s="79">
        <v>7819</v>
      </c>
      <c r="BA356" s="79">
        <v>1</v>
      </c>
      <c r="BB356" s="79">
        <v>0</v>
      </c>
      <c r="BC356" s="79">
        <v>0</v>
      </c>
      <c r="BD356" s="79">
        <v>0</v>
      </c>
      <c r="BE356" s="79">
        <v>0</v>
      </c>
      <c r="BF356" s="79">
        <v>0</v>
      </c>
      <c r="BG356" s="79">
        <v>0</v>
      </c>
      <c r="BH356" s="79">
        <v>0</v>
      </c>
      <c r="BI356" s="79">
        <v>0</v>
      </c>
      <c r="BJ356" s="79">
        <v>0</v>
      </c>
      <c r="BK356" s="79">
        <v>91</v>
      </c>
      <c r="BL356" s="79">
        <v>11476</v>
      </c>
      <c r="BM356" s="79">
        <v>348</v>
      </c>
      <c r="BN356" s="79">
        <v>113</v>
      </c>
      <c r="BO356">
        <v>17374</v>
      </c>
      <c r="BP356">
        <v>3536</v>
      </c>
      <c r="BQ356">
        <v>17416</v>
      </c>
      <c r="BR356">
        <v>3488</v>
      </c>
      <c r="BS356">
        <v>17565</v>
      </c>
      <c r="BT356">
        <v>3563</v>
      </c>
      <c r="BU356">
        <v>17520</v>
      </c>
      <c r="BV356">
        <v>3596</v>
      </c>
      <c r="BW356">
        <v>17476</v>
      </c>
      <c r="BX356">
        <v>3664</v>
      </c>
      <c r="BY356">
        <v>17437</v>
      </c>
      <c r="BZ356">
        <v>3760</v>
      </c>
      <c r="CB356">
        <v>3147.7829999999999</v>
      </c>
      <c r="CC356">
        <v>423</v>
      </c>
      <c r="CD356">
        <v>361</v>
      </c>
      <c r="CE356">
        <v>20370.599999999999</v>
      </c>
      <c r="CF356">
        <v>5071.04</v>
      </c>
      <c r="CG356">
        <v>625.85425870178699</v>
      </c>
      <c r="CH356">
        <v>1412</v>
      </c>
      <c r="CI356">
        <v>750.33333333333303</v>
      </c>
      <c r="CJ356">
        <v>677.66666666666697</v>
      </c>
      <c r="CK356" s="81">
        <v>5010</v>
      </c>
      <c r="CL356">
        <v>1439</v>
      </c>
      <c r="CM356">
        <v>9946.5522747161194</v>
      </c>
      <c r="CN356">
        <v>5.843</v>
      </c>
      <c r="CO356">
        <v>64353</v>
      </c>
      <c r="CP356">
        <v>9192</v>
      </c>
      <c r="CQ356">
        <v>973</v>
      </c>
      <c r="CR356">
        <v>2141</v>
      </c>
      <c r="CS356">
        <v>1109</v>
      </c>
      <c r="CT356">
        <v>473</v>
      </c>
      <c r="CU356">
        <v>1353.0005740081899</v>
      </c>
      <c r="CV356">
        <v>554.49719573081404</v>
      </c>
      <c r="CW356">
        <v>152.16115877903701</v>
      </c>
      <c r="CX356">
        <v>3138.66</v>
      </c>
      <c r="CY356">
        <v>1286.31</v>
      </c>
      <c r="CZ356">
        <v>352.98</v>
      </c>
      <c r="DA356">
        <v>32114</v>
      </c>
      <c r="DE356">
        <v>1842</v>
      </c>
      <c r="DF356" t="s">
        <v>202</v>
      </c>
      <c r="DG356">
        <v>4421</v>
      </c>
      <c r="DH356">
        <v>4396</v>
      </c>
      <c r="DI356">
        <v>4377</v>
      </c>
      <c r="DJ356">
        <v>4292</v>
      </c>
      <c r="DK356">
        <v>4243</v>
      </c>
      <c r="DO356">
        <v>928</v>
      </c>
      <c r="DP356" t="s">
        <v>167</v>
      </c>
      <c r="DQ356">
        <v>24298</v>
      </c>
      <c r="DR356">
        <v>1</v>
      </c>
      <c r="DS356">
        <v>1756</v>
      </c>
      <c r="DV356">
        <v>98</v>
      </c>
      <c r="DW356" t="s">
        <v>341</v>
      </c>
      <c r="DX356">
        <v>3966.0437812723399</v>
      </c>
      <c r="DY356">
        <v>667</v>
      </c>
      <c r="DZ356">
        <v>606</v>
      </c>
      <c r="EA356">
        <v>323</v>
      </c>
      <c r="EB356">
        <v>2040</v>
      </c>
      <c r="EC356">
        <v>1311</v>
      </c>
      <c r="ED356">
        <v>456</v>
      </c>
      <c r="EE356" s="82">
        <v>0.233533242054692</v>
      </c>
      <c r="EF356" s="82">
        <v>0.553480771644976</v>
      </c>
    </row>
    <row r="357" spans="1:136" x14ac:dyDescent="0.35">
      <c r="A357" s="72">
        <v>171</v>
      </c>
      <c r="B357" s="72">
        <v>12</v>
      </c>
      <c r="D357" s="72" t="s">
        <v>220</v>
      </c>
      <c r="E357" s="79">
        <v>2918800000</v>
      </c>
      <c r="F357" s="79">
        <v>1152900000</v>
      </c>
      <c r="G357" s="79">
        <v>1288700000</v>
      </c>
      <c r="H357" s="79">
        <v>46849</v>
      </c>
      <c r="I357" s="79">
        <v>5</v>
      </c>
      <c r="J357" s="79">
        <v>1288.7</v>
      </c>
      <c r="K357" s="79">
        <v>10727</v>
      </c>
      <c r="L357" s="79">
        <v>8176</v>
      </c>
      <c r="M357" s="79">
        <v>2433</v>
      </c>
      <c r="N357" s="79">
        <v>5835</v>
      </c>
      <c r="O357" s="79">
        <v>3815.8</v>
      </c>
      <c r="P357" s="79">
        <v>932.33333333333303</v>
      </c>
      <c r="Q357" s="79">
        <v>3149.3333333333298</v>
      </c>
      <c r="R357" s="79">
        <v>1915</v>
      </c>
      <c r="S357" s="79">
        <v>0</v>
      </c>
      <c r="T357" s="79">
        <v>1255</v>
      </c>
      <c r="U357" s="79">
        <v>20361</v>
      </c>
      <c r="V357" s="79">
        <v>45090</v>
      </c>
      <c r="W357" s="79">
        <v>35480</v>
      </c>
      <c r="X357" s="79">
        <v>1752.52</v>
      </c>
      <c r="Y357" s="79">
        <v>2605.6</v>
      </c>
      <c r="Z357" s="79">
        <v>0</v>
      </c>
      <c r="AA357" s="79">
        <v>0</v>
      </c>
      <c r="AB357" s="79">
        <v>0</v>
      </c>
      <c r="AC357" s="79">
        <v>45970</v>
      </c>
      <c r="AD357" s="79">
        <v>46889.4</v>
      </c>
      <c r="AE357" s="79">
        <v>2904</v>
      </c>
      <c r="AF357" s="79">
        <v>10000</v>
      </c>
      <c r="AG357" s="79">
        <v>585</v>
      </c>
      <c r="AH357" s="79">
        <v>248.46</v>
      </c>
      <c r="AI357" s="79">
        <v>345.78</v>
      </c>
      <c r="AJ357" s="79">
        <v>20192</v>
      </c>
      <c r="AK357" s="79">
        <v>20393.919999999998</v>
      </c>
      <c r="AL357" s="79">
        <v>0</v>
      </c>
      <c r="AM357" s="79">
        <v>0</v>
      </c>
      <c r="AN357" s="79">
        <v>0</v>
      </c>
      <c r="AO357" s="79">
        <v>0</v>
      </c>
      <c r="AP357" s="79">
        <v>0</v>
      </c>
      <c r="AQ357" s="79">
        <v>0</v>
      </c>
      <c r="AR357" s="80">
        <v>3.4313999999999997E-5</v>
      </c>
      <c r="AS357" s="80">
        <v>8.75901E-4</v>
      </c>
      <c r="AT357" s="79">
        <v>14962.272000000001</v>
      </c>
      <c r="AU357" s="79">
        <v>0</v>
      </c>
      <c r="AV357" s="79">
        <v>9295.26</v>
      </c>
      <c r="AW357" s="79">
        <v>9555.4360711216596</v>
      </c>
      <c r="AX357" s="79">
        <v>15</v>
      </c>
      <c r="AY357" s="79">
        <v>15.3</v>
      </c>
      <c r="AZ357" s="79">
        <v>5601</v>
      </c>
      <c r="BA357" s="79">
        <v>1</v>
      </c>
      <c r="BB357" s="79">
        <v>0</v>
      </c>
      <c r="BC357" s="79">
        <v>0</v>
      </c>
      <c r="BD357" s="79">
        <v>0</v>
      </c>
      <c r="BE357" s="79">
        <v>0</v>
      </c>
      <c r="BF357" s="79">
        <v>0</v>
      </c>
      <c r="BG357" s="79">
        <v>0</v>
      </c>
      <c r="BH357" s="79">
        <v>0</v>
      </c>
      <c r="BI357" s="79">
        <v>0</v>
      </c>
      <c r="BJ357" s="79">
        <v>0</v>
      </c>
      <c r="BK357" s="79">
        <v>65</v>
      </c>
      <c r="BL357" s="79">
        <v>5873</v>
      </c>
      <c r="BM357" s="79">
        <v>246</v>
      </c>
      <c r="BN357" s="79">
        <v>339</v>
      </c>
      <c r="BO357">
        <v>11562</v>
      </c>
      <c r="BP357">
        <v>3259</v>
      </c>
      <c r="BQ357">
        <v>11492</v>
      </c>
      <c r="BR357">
        <v>3151</v>
      </c>
      <c r="BS357">
        <v>11494</v>
      </c>
      <c r="BT357">
        <v>3240</v>
      </c>
      <c r="BU357">
        <v>11437</v>
      </c>
      <c r="BV357">
        <v>3269</v>
      </c>
      <c r="BW357">
        <v>11266</v>
      </c>
      <c r="BX357">
        <v>3310</v>
      </c>
      <c r="BY357">
        <v>11238</v>
      </c>
      <c r="BZ357">
        <v>3384</v>
      </c>
      <c r="CB357">
        <v>1233.605</v>
      </c>
      <c r="CC357">
        <v>211</v>
      </c>
      <c r="CD357">
        <v>262</v>
      </c>
      <c r="CE357">
        <v>11960.42</v>
      </c>
      <c r="CF357">
        <v>3182.31</v>
      </c>
      <c r="CG357">
        <v>377.00765857359602</v>
      </c>
      <c r="CH357">
        <v>523</v>
      </c>
      <c r="CI357">
        <v>318</v>
      </c>
      <c r="CJ357">
        <v>238.666666666667</v>
      </c>
      <c r="CK357" s="81">
        <v>2217</v>
      </c>
      <c r="CL357">
        <v>695</v>
      </c>
      <c r="CM357">
        <v>5193.7734163095702</v>
      </c>
      <c r="CN357">
        <v>2.0150000000000001</v>
      </c>
      <c r="CO357">
        <v>38673</v>
      </c>
      <c r="CP357">
        <v>4888</v>
      </c>
      <c r="CQ357">
        <v>855</v>
      </c>
      <c r="CR357">
        <v>906</v>
      </c>
      <c r="CS357">
        <v>776</v>
      </c>
      <c r="CT357">
        <v>416</v>
      </c>
      <c r="CU357">
        <v>575.43140847860502</v>
      </c>
      <c r="CV357">
        <v>312.56602614897002</v>
      </c>
      <c r="CW357">
        <v>110.361885895404</v>
      </c>
      <c r="CX357">
        <v>1518.5415</v>
      </c>
      <c r="CY357">
        <v>824.84979999999996</v>
      </c>
      <c r="CZ357">
        <v>291.24079999999998</v>
      </c>
      <c r="DA357">
        <v>34491</v>
      </c>
      <c r="DE357">
        <v>1859</v>
      </c>
      <c r="DF357" t="s">
        <v>45</v>
      </c>
      <c r="DG357">
        <v>9975</v>
      </c>
      <c r="DH357">
        <v>9830</v>
      </c>
      <c r="DI357">
        <v>9674</v>
      </c>
      <c r="DJ357">
        <v>9591</v>
      </c>
      <c r="DK357">
        <v>9366</v>
      </c>
      <c r="DO357">
        <v>882</v>
      </c>
      <c r="DP357" t="s">
        <v>173</v>
      </c>
      <c r="DQ357">
        <v>18563</v>
      </c>
      <c r="DR357">
        <v>1</v>
      </c>
      <c r="DS357">
        <v>1455</v>
      </c>
      <c r="DV357">
        <v>614</v>
      </c>
      <c r="DW357" t="s">
        <v>342</v>
      </c>
      <c r="DX357">
        <v>1540.6879079888099</v>
      </c>
      <c r="DY357">
        <v>373</v>
      </c>
      <c r="DZ357">
        <v>399</v>
      </c>
      <c r="EA357">
        <v>292</v>
      </c>
      <c r="EB357">
        <v>1300</v>
      </c>
      <c r="EC357">
        <v>814</v>
      </c>
      <c r="ED357">
        <v>421</v>
      </c>
      <c r="EE357" s="82">
        <v>0.11828958741694701</v>
      </c>
      <c r="EF357" s="82">
        <v>0.248115023516807</v>
      </c>
    </row>
    <row r="358" spans="1:136" x14ac:dyDescent="0.35">
      <c r="A358" s="72">
        <v>184</v>
      </c>
      <c r="B358" s="72">
        <v>12</v>
      </c>
      <c r="D358" s="72" t="s">
        <v>304</v>
      </c>
      <c r="E358" s="79">
        <v>1142800000</v>
      </c>
      <c r="F358" s="79">
        <v>263550000</v>
      </c>
      <c r="G358" s="79">
        <v>265300000</v>
      </c>
      <c r="H358" s="79">
        <v>20776</v>
      </c>
      <c r="I358" s="79">
        <v>1</v>
      </c>
      <c r="J358" s="79">
        <v>265.3</v>
      </c>
      <c r="K358" s="79">
        <v>6969</v>
      </c>
      <c r="L358" s="79">
        <v>1966</v>
      </c>
      <c r="M358" s="79">
        <v>580</v>
      </c>
      <c r="N358" s="79">
        <v>1385</v>
      </c>
      <c r="O358" s="79">
        <v>734.4</v>
      </c>
      <c r="P358" s="79">
        <v>126.666666666667</v>
      </c>
      <c r="Q358" s="79">
        <v>807.66666666666697</v>
      </c>
      <c r="R358" s="79">
        <v>315</v>
      </c>
      <c r="S358" s="79">
        <v>0</v>
      </c>
      <c r="T358" s="79">
        <v>282</v>
      </c>
      <c r="U358" s="79">
        <v>6460</v>
      </c>
      <c r="V358" s="79">
        <v>21650</v>
      </c>
      <c r="W358" s="79">
        <v>14820</v>
      </c>
      <c r="X358" s="79">
        <v>65.739999999999995</v>
      </c>
      <c r="Y358" s="79">
        <v>802.4</v>
      </c>
      <c r="Z358" s="79">
        <v>0</v>
      </c>
      <c r="AA358" s="79">
        <v>0</v>
      </c>
      <c r="AB358" s="79">
        <v>520.1</v>
      </c>
      <c r="AC358" s="79">
        <v>1150</v>
      </c>
      <c r="AD358" s="79">
        <v>1380</v>
      </c>
      <c r="AE358" s="79">
        <v>38</v>
      </c>
      <c r="AF358" s="79">
        <v>9802</v>
      </c>
      <c r="AG358" s="79">
        <v>99</v>
      </c>
      <c r="AH358" s="79">
        <v>117.5</v>
      </c>
      <c r="AI358" s="79">
        <v>6.84</v>
      </c>
      <c r="AJ358" s="79">
        <v>6506</v>
      </c>
      <c r="AK358" s="79">
        <v>8132.5</v>
      </c>
      <c r="AL358" s="79">
        <v>0</v>
      </c>
      <c r="AM358" s="79">
        <v>0</v>
      </c>
      <c r="AN358" s="79">
        <v>0</v>
      </c>
      <c r="AO358" s="79">
        <v>0</v>
      </c>
      <c r="AP358" s="79">
        <v>724</v>
      </c>
      <c r="AQ358" s="79">
        <v>0</v>
      </c>
      <c r="AR358" s="80">
        <v>1.1387000000000001E-4</v>
      </c>
      <c r="AS358" s="80">
        <v>4.8016000000000002E-5</v>
      </c>
      <c r="AT358" s="79">
        <v>6922.384</v>
      </c>
      <c r="AU358" s="79">
        <v>0</v>
      </c>
      <c r="AV358" s="79">
        <v>487.2</v>
      </c>
      <c r="AW358" s="79">
        <v>19265.018181818199</v>
      </c>
      <c r="AX358" s="79">
        <v>1</v>
      </c>
      <c r="AY358" s="79">
        <v>1.1399999999999999</v>
      </c>
      <c r="AZ358" s="79">
        <v>1942</v>
      </c>
      <c r="BA358" s="79">
        <v>1</v>
      </c>
      <c r="BB358" s="79">
        <v>0</v>
      </c>
      <c r="BC358" s="79">
        <v>0</v>
      </c>
      <c r="BD358" s="79">
        <v>0</v>
      </c>
      <c r="BE358" s="79">
        <v>0</v>
      </c>
      <c r="BF358" s="79">
        <v>0</v>
      </c>
      <c r="BG358" s="79">
        <v>0</v>
      </c>
      <c r="BH358" s="79">
        <v>0</v>
      </c>
      <c r="BI358" s="79">
        <v>0</v>
      </c>
      <c r="BJ358" s="79">
        <v>0</v>
      </c>
      <c r="BK358" s="79">
        <v>23</v>
      </c>
      <c r="BL358" s="79">
        <v>1219</v>
      </c>
      <c r="BM358" s="79">
        <v>94</v>
      </c>
      <c r="BN358" s="79">
        <v>6</v>
      </c>
      <c r="BO358">
        <v>6626</v>
      </c>
      <c r="BP358">
        <v>439</v>
      </c>
      <c r="BQ358">
        <v>6667</v>
      </c>
      <c r="BR358">
        <v>417</v>
      </c>
      <c r="BS358">
        <v>6794</v>
      </c>
      <c r="BT358">
        <v>451</v>
      </c>
      <c r="BU358">
        <v>6806</v>
      </c>
      <c r="BV358">
        <v>472</v>
      </c>
      <c r="BW358">
        <v>6830</v>
      </c>
      <c r="BX358">
        <v>483</v>
      </c>
      <c r="BY358">
        <v>6859</v>
      </c>
      <c r="BZ358">
        <v>512</v>
      </c>
      <c r="CB358">
        <v>362.38799999999998</v>
      </c>
      <c r="CC358">
        <v>269</v>
      </c>
      <c r="CD358">
        <v>38</v>
      </c>
      <c r="CE358">
        <v>3858.26</v>
      </c>
      <c r="CF358">
        <v>1519.1</v>
      </c>
      <c r="CG358">
        <v>113.673500712048</v>
      </c>
      <c r="CH358">
        <v>121</v>
      </c>
      <c r="CI358">
        <v>62</v>
      </c>
      <c r="CJ358">
        <v>32.6666666666667</v>
      </c>
      <c r="CK358" s="81">
        <v>681</v>
      </c>
      <c r="CL358">
        <v>257</v>
      </c>
      <c r="CM358">
        <v>699.10974933706905</v>
      </c>
      <c r="CN358">
        <v>0.10199999999999999</v>
      </c>
      <c r="CO358">
        <v>18810</v>
      </c>
      <c r="CP358">
        <v>1209</v>
      </c>
      <c r="CQ358">
        <v>177</v>
      </c>
      <c r="CR358">
        <v>216</v>
      </c>
      <c r="CS358">
        <v>218</v>
      </c>
      <c r="CT358">
        <v>84</v>
      </c>
      <c r="CU358">
        <v>84.660313556716901</v>
      </c>
      <c r="CV358">
        <v>49.102981862895803</v>
      </c>
      <c r="CW358">
        <v>11.7395634798647</v>
      </c>
      <c r="CX358">
        <v>380.625</v>
      </c>
      <c r="CY358">
        <v>220.76249999999999</v>
      </c>
      <c r="CZ358">
        <v>52.78</v>
      </c>
      <c r="DA358">
        <v>3969</v>
      </c>
      <c r="DE358">
        <v>1876</v>
      </c>
      <c r="DF358" t="s">
        <v>62</v>
      </c>
      <c r="DG358">
        <v>8330</v>
      </c>
      <c r="DH358">
        <v>8175</v>
      </c>
      <c r="DI358">
        <v>8016</v>
      </c>
      <c r="DJ358">
        <v>7793</v>
      </c>
      <c r="DK358">
        <v>7613</v>
      </c>
      <c r="DO358">
        <v>1640</v>
      </c>
      <c r="DP358" t="s">
        <v>183</v>
      </c>
      <c r="DQ358">
        <v>16233</v>
      </c>
      <c r="DR358">
        <v>1</v>
      </c>
      <c r="DS358">
        <v>381</v>
      </c>
      <c r="DV358">
        <v>189</v>
      </c>
      <c r="DW358" t="s">
        <v>343</v>
      </c>
      <c r="DX358">
        <v>2372.2635774258702</v>
      </c>
      <c r="DY358">
        <v>421</v>
      </c>
      <c r="DZ358">
        <v>457</v>
      </c>
      <c r="EA358">
        <v>260</v>
      </c>
      <c r="EB358">
        <v>1665</v>
      </c>
      <c r="EC358">
        <v>1042</v>
      </c>
      <c r="ED358">
        <v>375</v>
      </c>
      <c r="EE358" s="82">
        <v>0.13381269243306401</v>
      </c>
      <c r="EF358" s="82">
        <v>0.41136582378160802</v>
      </c>
    </row>
    <row r="359" spans="1:136" x14ac:dyDescent="0.35">
      <c r="A359" s="72">
        <v>50</v>
      </c>
      <c r="B359" s="72">
        <v>12</v>
      </c>
      <c r="D359" s="72" t="s">
        <v>355</v>
      </c>
      <c r="E359" s="79">
        <v>1802800000</v>
      </c>
      <c r="F359" s="79">
        <v>547050000</v>
      </c>
      <c r="G359" s="79">
        <v>602350000</v>
      </c>
      <c r="H359" s="79">
        <v>22309</v>
      </c>
      <c r="I359" s="79">
        <v>3</v>
      </c>
      <c r="J359" s="79">
        <v>602.35</v>
      </c>
      <c r="K359" s="79">
        <v>5012</v>
      </c>
      <c r="L359" s="79">
        <v>2854</v>
      </c>
      <c r="M359" s="79">
        <v>885</v>
      </c>
      <c r="N359" s="79">
        <v>2165</v>
      </c>
      <c r="O359" s="79">
        <v>1171.7</v>
      </c>
      <c r="P359" s="79">
        <v>293.33333333333297</v>
      </c>
      <c r="Q359" s="79">
        <v>1165.3333333333301</v>
      </c>
      <c r="R359" s="79">
        <v>590</v>
      </c>
      <c r="S359" s="79">
        <v>0</v>
      </c>
      <c r="T359" s="79">
        <v>643</v>
      </c>
      <c r="U359" s="79">
        <v>9471</v>
      </c>
      <c r="V359" s="79">
        <v>21190</v>
      </c>
      <c r="W359" s="79">
        <v>9530</v>
      </c>
      <c r="X359" s="79">
        <v>0</v>
      </c>
      <c r="Y359" s="79">
        <v>481.6</v>
      </c>
      <c r="Z359" s="79">
        <v>0</v>
      </c>
      <c r="AA359" s="79">
        <v>0</v>
      </c>
      <c r="AB359" s="79">
        <v>55.3</v>
      </c>
      <c r="AC359" s="79">
        <v>24714</v>
      </c>
      <c r="AD359" s="79">
        <v>25702.560000000001</v>
      </c>
      <c r="AE359" s="79">
        <v>2171</v>
      </c>
      <c r="AF359" s="79">
        <v>0</v>
      </c>
      <c r="AG359" s="79">
        <v>238</v>
      </c>
      <c r="AH359" s="79">
        <v>111</v>
      </c>
      <c r="AI359" s="79">
        <v>133.35</v>
      </c>
      <c r="AJ359" s="79">
        <v>9933</v>
      </c>
      <c r="AK359" s="79">
        <v>9933</v>
      </c>
      <c r="AL359" s="79">
        <v>0</v>
      </c>
      <c r="AM359" s="79">
        <v>0</v>
      </c>
      <c r="AN359" s="79">
        <v>0</v>
      </c>
      <c r="AO359" s="79">
        <v>0</v>
      </c>
      <c r="AP359" s="79">
        <v>0</v>
      </c>
      <c r="AQ359" s="79">
        <v>0</v>
      </c>
      <c r="AR359" s="80">
        <v>0</v>
      </c>
      <c r="AS359" s="80">
        <v>1.6589999999999999E-6</v>
      </c>
      <c r="AT359" s="79">
        <v>8005.9979999999996</v>
      </c>
      <c r="AU359" s="79">
        <v>0</v>
      </c>
      <c r="AV359" s="79">
        <v>5730.4</v>
      </c>
      <c r="AW359" s="79">
        <v>5250.4026126092604</v>
      </c>
      <c r="AX359" s="79">
        <v>6</v>
      </c>
      <c r="AY359" s="79">
        <v>6.3</v>
      </c>
      <c r="AZ359" s="79">
        <v>2988</v>
      </c>
      <c r="BA359" s="79">
        <v>1</v>
      </c>
      <c r="BB359" s="79">
        <v>0</v>
      </c>
      <c r="BC359" s="79">
        <v>0</v>
      </c>
      <c r="BD359" s="79">
        <v>0</v>
      </c>
      <c r="BE359" s="79">
        <v>0</v>
      </c>
      <c r="BF359" s="79">
        <v>0</v>
      </c>
      <c r="BG359" s="79">
        <v>0</v>
      </c>
      <c r="BH359" s="79">
        <v>0</v>
      </c>
      <c r="BI359" s="79">
        <v>0</v>
      </c>
      <c r="BJ359" s="79">
        <v>0</v>
      </c>
      <c r="BK359" s="79">
        <v>7</v>
      </c>
      <c r="BL359" s="79">
        <v>2928</v>
      </c>
      <c r="BM359" s="79">
        <v>111</v>
      </c>
      <c r="BN359" s="79">
        <v>127</v>
      </c>
      <c r="BO359">
        <v>6128</v>
      </c>
      <c r="BP359">
        <v>497</v>
      </c>
      <c r="BQ359">
        <v>6064</v>
      </c>
      <c r="BR359">
        <v>525</v>
      </c>
      <c r="BS359">
        <v>6025</v>
      </c>
      <c r="BT359">
        <v>557</v>
      </c>
      <c r="BU359">
        <v>5961</v>
      </c>
      <c r="BV359">
        <v>655</v>
      </c>
      <c r="BW359">
        <v>5839</v>
      </c>
      <c r="BX359">
        <v>695</v>
      </c>
      <c r="BY359">
        <v>5681</v>
      </c>
      <c r="BZ359">
        <v>728</v>
      </c>
      <c r="CB359">
        <v>461.10399999999998</v>
      </c>
      <c r="CC359">
        <v>57</v>
      </c>
      <c r="CD359">
        <v>28</v>
      </c>
      <c r="CE359">
        <v>6481.17</v>
      </c>
      <c r="CF359">
        <v>1948.88</v>
      </c>
      <c r="CG359">
        <v>137.52089571201699</v>
      </c>
      <c r="CH359">
        <v>264</v>
      </c>
      <c r="CI359">
        <v>103.666666666667</v>
      </c>
      <c r="CJ359">
        <v>84.6666666666667</v>
      </c>
      <c r="CK359" s="81">
        <v>872</v>
      </c>
      <c r="CL359">
        <v>217</v>
      </c>
      <c r="CM359">
        <v>1751.8310477999401</v>
      </c>
      <c r="CN359">
        <v>0.245</v>
      </c>
      <c r="CO359">
        <v>19455</v>
      </c>
      <c r="CP359">
        <v>1705</v>
      </c>
      <c r="CQ359">
        <v>264</v>
      </c>
      <c r="CR359">
        <v>325</v>
      </c>
      <c r="CS359">
        <v>274</v>
      </c>
      <c r="CT359">
        <v>153</v>
      </c>
      <c r="CU359">
        <v>128.34084365247199</v>
      </c>
      <c r="CV359">
        <v>72.545605557233401</v>
      </c>
      <c r="CW359">
        <v>25.361471861471902</v>
      </c>
      <c r="CX359">
        <v>480.2432</v>
      </c>
      <c r="CY359">
        <v>271.46100000000001</v>
      </c>
      <c r="CZ359">
        <v>94.900999999999996</v>
      </c>
      <c r="DA359">
        <v>10950</v>
      </c>
      <c r="DE359">
        <v>1883</v>
      </c>
      <c r="DF359" t="s">
        <v>275</v>
      </c>
      <c r="DG359">
        <v>17755</v>
      </c>
      <c r="DH359">
        <v>17420</v>
      </c>
      <c r="DI359">
        <v>17042</v>
      </c>
      <c r="DJ359">
        <v>16765</v>
      </c>
      <c r="DK359">
        <v>16418</v>
      </c>
      <c r="DO359">
        <v>1641</v>
      </c>
      <c r="DP359" t="s">
        <v>193</v>
      </c>
      <c r="DQ359">
        <v>11833</v>
      </c>
      <c r="DR359">
        <v>1</v>
      </c>
      <c r="DS359">
        <v>434</v>
      </c>
      <c r="DV359">
        <v>296</v>
      </c>
      <c r="DW359" t="s">
        <v>344</v>
      </c>
      <c r="DX359">
        <v>5083.5386396526801</v>
      </c>
      <c r="DY359">
        <v>979</v>
      </c>
      <c r="DZ359">
        <v>898</v>
      </c>
      <c r="EA359">
        <v>374</v>
      </c>
      <c r="EB359">
        <v>3115</v>
      </c>
      <c r="EC359">
        <v>1761</v>
      </c>
      <c r="ED359">
        <v>512</v>
      </c>
      <c r="EE359" s="82">
        <v>0.182874555653702</v>
      </c>
      <c r="EF359" s="82">
        <v>0.43372316852071502</v>
      </c>
    </row>
    <row r="360" spans="1:136" x14ac:dyDescent="0.35">
      <c r="A360" s="72"/>
      <c r="B360" s="72"/>
      <c r="D360" s="72"/>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80"/>
      <c r="AS360" s="80"/>
      <c r="AT360" s="79"/>
      <c r="AU360" s="79"/>
      <c r="AV360" s="79"/>
      <c r="AW360" s="79"/>
      <c r="AX360" s="79"/>
      <c r="AY360" s="79"/>
      <c r="AZ360" s="79"/>
      <c r="BA360" s="79"/>
      <c r="BB360" s="79"/>
      <c r="BC360" s="79"/>
      <c r="BD360" s="79"/>
      <c r="BE360" s="79"/>
      <c r="BF360" s="79"/>
      <c r="BG360" s="79"/>
      <c r="BH360" s="79"/>
      <c r="BI360" s="79"/>
      <c r="BJ360" s="79"/>
      <c r="BK360" s="79"/>
      <c r="BL360" s="79"/>
      <c r="BM360" s="79"/>
      <c r="BN360" s="79"/>
      <c r="CK360" s="81"/>
      <c r="DE360">
        <v>1884</v>
      </c>
      <c r="DF360" t="s">
        <v>163</v>
      </c>
      <c r="DG360">
        <v>5754</v>
      </c>
      <c r="DH360">
        <v>5723</v>
      </c>
      <c r="DI360">
        <v>5637</v>
      </c>
      <c r="DJ360">
        <v>5512</v>
      </c>
      <c r="DK360">
        <v>5461</v>
      </c>
      <c r="DO360">
        <v>935</v>
      </c>
      <c r="DP360" t="s">
        <v>195</v>
      </c>
      <c r="DQ360">
        <v>64577</v>
      </c>
      <c r="DR360">
        <v>1</v>
      </c>
      <c r="DS360">
        <v>2433</v>
      </c>
      <c r="DV360">
        <v>1696</v>
      </c>
      <c r="DW360" t="s">
        <v>345</v>
      </c>
      <c r="DX360">
        <v>2543.6503726648002</v>
      </c>
      <c r="DY360">
        <v>690</v>
      </c>
      <c r="DZ360">
        <v>556</v>
      </c>
      <c r="EA360">
        <v>345</v>
      </c>
      <c r="EB360">
        <v>2007</v>
      </c>
      <c r="EC360">
        <v>1226</v>
      </c>
      <c r="ED360">
        <v>489</v>
      </c>
      <c r="EE360" s="82">
        <v>0.116979473911524</v>
      </c>
      <c r="EF360" s="82">
        <v>0.29319128730346999</v>
      </c>
    </row>
    <row r="361" spans="1:136" x14ac:dyDescent="0.35">
      <c r="A361" s="72"/>
      <c r="B361" s="72"/>
      <c r="D361" s="72"/>
      <c r="E361" s="79">
        <f t="shared" ref="E361:AJ361" si="2">SUM(E5:E359)</f>
        <v>1543456000000</v>
      </c>
      <c r="F361" s="79">
        <f t="shared" si="2"/>
        <v>292856550000</v>
      </c>
      <c r="G361" s="79">
        <f t="shared" si="2"/>
        <v>305470200000</v>
      </c>
      <c r="H361" s="79">
        <f t="shared" si="2"/>
        <v>17282163</v>
      </c>
      <c r="I361" s="79">
        <f t="shared" si="2"/>
        <v>1156</v>
      </c>
      <c r="J361" s="79">
        <f t="shared" si="2"/>
        <v>305470.2000000003</v>
      </c>
      <c r="K361" s="79">
        <f t="shared" si="2"/>
        <v>3357755</v>
      </c>
      <c r="L361" s="79">
        <f t="shared" si="2"/>
        <v>3314004</v>
      </c>
      <c r="M361" s="79">
        <f t="shared" si="2"/>
        <v>1030840</v>
      </c>
      <c r="N361" s="79">
        <f t="shared" si="2"/>
        <v>2408285</v>
      </c>
      <c r="O361" s="79">
        <f t="shared" si="2"/>
        <v>1602865.9999999998</v>
      </c>
      <c r="P361" s="79">
        <f t="shared" si="2"/>
        <v>428351.66666666628</v>
      </c>
      <c r="Q361" s="79">
        <f t="shared" si="2"/>
        <v>1297461.666666666</v>
      </c>
      <c r="R361" s="79">
        <f t="shared" si="2"/>
        <v>1488225</v>
      </c>
      <c r="S361" s="79">
        <f t="shared" si="2"/>
        <v>119616.2</v>
      </c>
      <c r="T361" s="79">
        <f t="shared" si="2"/>
        <v>582106</v>
      </c>
      <c r="U361" s="79">
        <f t="shared" si="2"/>
        <v>8171352</v>
      </c>
      <c r="V361" s="79">
        <f t="shared" si="2"/>
        <v>17282120</v>
      </c>
      <c r="W361" s="79">
        <f t="shared" si="2"/>
        <v>17282080</v>
      </c>
      <c r="X361" s="79">
        <f t="shared" si="2"/>
        <v>366606.89819999976</v>
      </c>
      <c r="Y361" s="79">
        <f t="shared" si="2"/>
        <v>724996.79999999993</v>
      </c>
      <c r="Z361" s="79">
        <f t="shared" si="2"/>
        <v>14647.899999999998</v>
      </c>
      <c r="AA361" s="79">
        <f t="shared" si="2"/>
        <v>12879.29999999997</v>
      </c>
      <c r="AB361" s="79">
        <f t="shared" si="2"/>
        <v>33422.69999999999</v>
      </c>
      <c r="AC361" s="79">
        <f t="shared" si="2"/>
        <v>3364430</v>
      </c>
      <c r="AD361" s="79">
        <f t="shared" si="2"/>
        <v>3566597.3200000003</v>
      </c>
      <c r="AE361" s="79">
        <f t="shared" si="2"/>
        <v>194893</v>
      </c>
      <c r="AF361" s="79">
        <f t="shared" si="2"/>
        <v>308725</v>
      </c>
      <c r="AG361" s="79">
        <f t="shared" si="2"/>
        <v>111722</v>
      </c>
      <c r="AH361" s="79">
        <f t="shared" si="2"/>
        <v>90983.830000000045</v>
      </c>
      <c r="AI361" s="79">
        <f t="shared" si="2"/>
        <v>29391.63</v>
      </c>
      <c r="AJ361" s="79">
        <f t="shared" si="2"/>
        <v>8054190</v>
      </c>
      <c r="AK361" s="79">
        <f t="shared" ref="AK361:CV361" si="3">SUM(AK5:AK359)</f>
        <v>8887586.1300000045</v>
      </c>
      <c r="AL361" s="79">
        <f t="shared" si="3"/>
        <v>1622</v>
      </c>
      <c r="AM361" s="79">
        <f t="shared" si="3"/>
        <v>472</v>
      </c>
      <c r="AN361" s="79">
        <f t="shared" si="3"/>
        <v>1366</v>
      </c>
      <c r="AO361" s="79">
        <f t="shared" si="3"/>
        <v>533050</v>
      </c>
      <c r="AP361" s="79">
        <f t="shared" si="3"/>
        <v>1283074</v>
      </c>
      <c r="AQ361" s="79">
        <f t="shared" si="3"/>
        <v>926137</v>
      </c>
      <c r="AR361" s="79">
        <f t="shared" si="3"/>
        <v>0.99873632500000087</v>
      </c>
      <c r="AS361" s="79">
        <f t="shared" si="3"/>
        <v>0.99794088800000047</v>
      </c>
      <c r="AT361" s="79">
        <f t="shared" si="3"/>
        <v>16195498.634</v>
      </c>
      <c r="AU361" s="79">
        <f t="shared" si="3"/>
        <v>1805068.6549999998</v>
      </c>
      <c r="AV361" s="79">
        <f t="shared" si="3"/>
        <v>1124572.3299999998</v>
      </c>
      <c r="AW361" s="79">
        <f t="shared" si="3"/>
        <v>14753572.891146427</v>
      </c>
      <c r="AX361" s="79">
        <f t="shared" si="3"/>
        <v>3330</v>
      </c>
      <c r="AY361" s="79">
        <f t="shared" si="3"/>
        <v>3587.6199999999972</v>
      </c>
      <c r="AZ361" s="79">
        <f t="shared" si="3"/>
        <v>1933241</v>
      </c>
      <c r="BA361" s="79">
        <f t="shared" si="3"/>
        <v>355</v>
      </c>
      <c r="BB361" s="79">
        <f t="shared" si="3"/>
        <v>1</v>
      </c>
      <c r="BC361" s="79">
        <f t="shared" si="3"/>
        <v>1</v>
      </c>
      <c r="BD361" s="79">
        <f t="shared" si="3"/>
        <v>1</v>
      </c>
      <c r="BE361" s="79">
        <f t="shared" si="3"/>
        <v>1</v>
      </c>
      <c r="BF361" s="79">
        <f t="shared" si="3"/>
        <v>1</v>
      </c>
      <c r="BG361" s="79">
        <f t="shared" si="3"/>
        <v>5</v>
      </c>
      <c r="BH361" s="79">
        <f t="shared" si="3"/>
        <v>9574</v>
      </c>
      <c r="BI361" s="79">
        <f t="shared" si="3"/>
        <v>8563</v>
      </c>
      <c r="BJ361" s="79">
        <f t="shared" si="3"/>
        <v>6047</v>
      </c>
      <c r="BK361" s="79">
        <f t="shared" si="3"/>
        <v>15329</v>
      </c>
      <c r="BL361" s="79">
        <f t="shared" si="3"/>
        <v>3037622</v>
      </c>
      <c r="BM361" s="79">
        <f t="shared" si="3"/>
        <v>83856</v>
      </c>
      <c r="BN361" s="79">
        <f t="shared" si="3"/>
        <v>27865</v>
      </c>
      <c r="BO361" s="79">
        <f t="shared" si="3"/>
        <v>3528241</v>
      </c>
      <c r="BP361" s="79">
        <f t="shared" si="3"/>
        <v>866169</v>
      </c>
      <c r="BQ361" s="79">
        <f t="shared" si="3"/>
        <v>3514478</v>
      </c>
      <c r="BR361" s="79">
        <f t="shared" si="3"/>
        <v>868208</v>
      </c>
      <c r="BS361" s="79">
        <f t="shared" si="3"/>
        <v>3502083</v>
      </c>
      <c r="BT361" s="79">
        <f t="shared" si="3"/>
        <v>882026</v>
      </c>
      <c r="BU361" s="79">
        <f t="shared" si="3"/>
        <v>3486770</v>
      </c>
      <c r="BV361" s="79">
        <f t="shared" si="3"/>
        <v>891585</v>
      </c>
      <c r="BW361" s="79">
        <f t="shared" si="3"/>
        <v>3463493</v>
      </c>
      <c r="BX361" s="79">
        <f t="shared" si="3"/>
        <v>901825</v>
      </c>
      <c r="BY361" s="79">
        <f t="shared" si="3"/>
        <v>3442802</v>
      </c>
      <c r="BZ361" s="79">
        <f t="shared" si="3"/>
        <v>909993</v>
      </c>
      <c r="CA361" s="79">
        <f t="shared" si="3"/>
        <v>0</v>
      </c>
      <c r="CB361" s="79">
        <f t="shared" si="3"/>
        <v>442275.11599999981</v>
      </c>
      <c r="CC361" s="79">
        <f t="shared" si="3"/>
        <v>56601</v>
      </c>
      <c r="CD361" s="79">
        <f t="shared" si="3"/>
        <v>56534</v>
      </c>
      <c r="CE361" s="79">
        <f t="shared" si="3"/>
        <v>5135692.5400000019</v>
      </c>
      <c r="CF361" s="79">
        <f t="shared" si="3"/>
        <v>1222845.3300000012</v>
      </c>
      <c r="CG361" s="79">
        <f t="shared" si="3"/>
        <v>118392.50661665516</v>
      </c>
      <c r="CH361" s="79">
        <f t="shared" si="3"/>
        <v>215418</v>
      </c>
      <c r="CI361" s="79">
        <f t="shared" si="3"/>
        <v>120236.66666666664</v>
      </c>
      <c r="CJ361" s="79">
        <f t="shared" si="3"/>
        <v>106809.66666666669</v>
      </c>
      <c r="CK361" s="79">
        <f t="shared" si="3"/>
        <v>869110</v>
      </c>
      <c r="CL361" s="79">
        <f t="shared" si="3"/>
        <v>244605</v>
      </c>
      <c r="CM361" s="79">
        <f t="shared" si="3"/>
        <v>2408134.2718234104</v>
      </c>
      <c r="CN361" s="79">
        <f t="shared" si="3"/>
        <v>999.99999999999943</v>
      </c>
      <c r="CO361" s="79">
        <f t="shared" si="3"/>
        <v>13968159</v>
      </c>
      <c r="CP361" s="79">
        <f t="shared" si="3"/>
        <v>1906458</v>
      </c>
      <c r="CQ361" s="79">
        <f t="shared" si="3"/>
        <v>376706</v>
      </c>
      <c r="CR361" s="79">
        <f t="shared" si="3"/>
        <v>452273</v>
      </c>
      <c r="CS361" s="79">
        <f t="shared" si="3"/>
        <v>366859</v>
      </c>
      <c r="CT361" s="79">
        <f t="shared" si="3"/>
        <v>194464</v>
      </c>
      <c r="CU361" s="79">
        <f t="shared" si="3"/>
        <v>239060.44395857531</v>
      </c>
      <c r="CV361" s="79">
        <f t="shared" si="3"/>
        <v>142317.94498542612</v>
      </c>
      <c r="CW361" s="79">
        <f t="shared" ref="CW361:DE361" si="4">SUM(CW5:CW359)</f>
        <v>52533.311254247667</v>
      </c>
      <c r="CX361" s="79">
        <f t="shared" si="4"/>
        <v>553600.63840000017</v>
      </c>
      <c r="CY361" s="79">
        <f t="shared" si="4"/>
        <v>330083.28149999998</v>
      </c>
      <c r="CZ361" s="79">
        <f t="shared" si="4"/>
        <v>121028.9761</v>
      </c>
      <c r="DA361" s="79">
        <f t="shared" si="4"/>
        <v>22707857</v>
      </c>
      <c r="DB361" s="79">
        <f t="shared" si="4"/>
        <v>0</v>
      </c>
      <c r="DC361" s="79">
        <f t="shared" si="4"/>
        <v>0</v>
      </c>
      <c r="DD361" s="79">
        <f t="shared" si="4"/>
        <v>0</v>
      </c>
      <c r="DE361" s="79">
        <f t="shared" si="4"/>
        <v>238909</v>
      </c>
      <c r="DF361" t="s">
        <v>75</v>
      </c>
      <c r="DG361">
        <v>4457</v>
      </c>
      <c r="DH361">
        <v>4381</v>
      </c>
      <c r="DI361">
        <v>4280</v>
      </c>
      <c r="DJ361">
        <v>4254</v>
      </c>
      <c r="DK361">
        <v>4150</v>
      </c>
      <c r="DO361">
        <v>938</v>
      </c>
      <c r="DP361" t="s">
        <v>197</v>
      </c>
      <c r="DQ361">
        <v>8677</v>
      </c>
      <c r="DR361">
        <v>1</v>
      </c>
      <c r="DS361">
        <v>612</v>
      </c>
      <c r="DV361">
        <v>352</v>
      </c>
      <c r="DW361" t="s">
        <v>346</v>
      </c>
      <c r="DX361">
        <v>2261.02614445575</v>
      </c>
      <c r="DY361">
        <v>570</v>
      </c>
      <c r="DZ361">
        <v>365</v>
      </c>
      <c r="EA361">
        <v>168</v>
      </c>
      <c r="EB361">
        <v>1817</v>
      </c>
      <c r="EC361">
        <v>822</v>
      </c>
      <c r="ED361">
        <v>243</v>
      </c>
      <c r="EE361" s="82">
        <v>0.124776433487996</v>
      </c>
      <c r="EF361" s="82">
        <v>0.359679489169694</v>
      </c>
    </row>
    <row r="362" spans="1:136" x14ac:dyDescent="0.35">
      <c r="A362" s="72"/>
      <c r="B362" s="72"/>
      <c r="D362" s="72"/>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c r="AE362" s="79"/>
      <c r="AF362" s="79"/>
      <c r="AG362" s="79"/>
      <c r="AH362" s="79"/>
      <c r="AI362" s="79"/>
      <c r="AJ362" s="79"/>
      <c r="AK362" s="79"/>
      <c r="AL362" s="79"/>
      <c r="AM362" s="79"/>
      <c r="AN362" s="79"/>
      <c r="AO362" s="79"/>
      <c r="AP362" s="79"/>
      <c r="AQ362" s="79"/>
      <c r="AR362" s="80"/>
      <c r="AS362" s="80"/>
      <c r="AT362" s="79"/>
      <c r="AU362" s="79"/>
      <c r="AV362" s="79"/>
      <c r="AW362" s="79"/>
      <c r="AX362" s="79"/>
      <c r="AY362" s="79"/>
      <c r="AZ362" s="79"/>
      <c r="BA362" s="79"/>
      <c r="BB362" s="79"/>
      <c r="BC362" s="79"/>
      <c r="BD362" s="79"/>
      <c r="BE362" s="79"/>
      <c r="BF362" s="79"/>
      <c r="BG362" s="79"/>
      <c r="BH362" s="79"/>
      <c r="BI362" s="79"/>
      <c r="BJ362" s="79"/>
      <c r="BK362" s="79"/>
      <c r="BL362" s="79"/>
      <c r="BM362" s="79"/>
      <c r="BN362" s="79"/>
      <c r="CK362" s="81"/>
      <c r="DE362">
        <v>1892</v>
      </c>
      <c r="DF362" t="s">
        <v>360</v>
      </c>
      <c r="DG362">
        <v>9717</v>
      </c>
      <c r="DH362">
        <v>9544</v>
      </c>
      <c r="DI362">
        <v>9463</v>
      </c>
      <c r="DJ362">
        <v>9285</v>
      </c>
      <c r="DK362">
        <v>9180</v>
      </c>
      <c r="DO362">
        <v>944</v>
      </c>
      <c r="DP362" t="s">
        <v>209</v>
      </c>
      <c r="DQ362">
        <v>3633</v>
      </c>
      <c r="DR362">
        <v>1</v>
      </c>
      <c r="DS362">
        <v>423</v>
      </c>
      <c r="DV362">
        <v>53</v>
      </c>
      <c r="DW362" t="s">
        <v>802</v>
      </c>
      <c r="DX362">
        <v>1800</v>
      </c>
      <c r="DY362">
        <v>398</v>
      </c>
      <c r="DZ362">
        <v>276</v>
      </c>
      <c r="EA362">
        <v>123</v>
      </c>
      <c r="EB362">
        <v>1173</v>
      </c>
      <c r="EC362">
        <v>559</v>
      </c>
      <c r="ED362">
        <v>178</v>
      </c>
      <c r="EE362" s="82">
        <v>0.19561504352110401</v>
      </c>
      <c r="EF362" s="82">
        <v>0.49876271685266299</v>
      </c>
    </row>
    <row r="363" spans="1:136" x14ac:dyDescent="0.35">
      <c r="A363" s="72"/>
      <c r="B363" s="72"/>
      <c r="D363" s="72"/>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c r="AE363" s="79"/>
      <c r="AF363" s="79"/>
      <c r="AG363" s="79"/>
      <c r="AH363" s="79"/>
      <c r="AI363" s="79"/>
      <c r="AJ363" s="79"/>
      <c r="AK363" s="79"/>
      <c r="AL363" s="79"/>
      <c r="AM363" s="79"/>
      <c r="AN363" s="79"/>
      <c r="AO363" s="79"/>
      <c r="AP363" s="79"/>
      <c r="AQ363" s="79"/>
      <c r="AR363" s="80"/>
      <c r="AS363" s="80"/>
      <c r="AT363" s="79"/>
      <c r="AU363" s="79"/>
      <c r="AV363" s="79"/>
      <c r="AW363" s="79"/>
      <c r="AX363" s="79"/>
      <c r="AY363" s="79"/>
      <c r="AZ363" s="79"/>
      <c r="BA363" s="79"/>
      <c r="BB363" s="79"/>
      <c r="BC363" s="79"/>
      <c r="BD363" s="79"/>
      <c r="BE363" s="79"/>
      <c r="BF363" s="79"/>
      <c r="BG363" s="79"/>
      <c r="BH363" s="79"/>
      <c r="BI363" s="79"/>
      <c r="BJ363" s="79"/>
      <c r="BK363" s="79"/>
      <c r="BL363" s="79"/>
      <c r="BM363" s="79"/>
      <c r="BN363" s="79"/>
      <c r="CK363" s="81"/>
      <c r="DE363">
        <v>1894</v>
      </c>
      <c r="DF363" t="s">
        <v>244</v>
      </c>
      <c r="DG363">
        <v>9457</v>
      </c>
      <c r="DH363">
        <v>9298</v>
      </c>
      <c r="DI363">
        <v>9213</v>
      </c>
      <c r="DJ363">
        <v>8949</v>
      </c>
      <c r="DK363">
        <v>8764</v>
      </c>
      <c r="DO363">
        <v>946</v>
      </c>
      <c r="DP363" t="s">
        <v>211</v>
      </c>
      <c r="DQ363">
        <v>7356</v>
      </c>
      <c r="DR363">
        <v>1</v>
      </c>
      <c r="DS363">
        <v>632</v>
      </c>
      <c r="DV363">
        <v>294</v>
      </c>
      <c r="DW363" t="s">
        <v>347</v>
      </c>
      <c r="DX363">
        <v>4424.4415522953204</v>
      </c>
      <c r="DY363">
        <v>717</v>
      </c>
      <c r="DZ363">
        <v>628</v>
      </c>
      <c r="EA363">
        <v>379</v>
      </c>
      <c r="EB363">
        <v>2236</v>
      </c>
      <c r="EC363">
        <v>1364</v>
      </c>
      <c r="ED363">
        <v>528</v>
      </c>
      <c r="EE363" s="82">
        <v>0.222951938123746</v>
      </c>
      <c r="EF363" s="82">
        <v>0.53000245735465801</v>
      </c>
    </row>
    <row r="364" spans="1:136" x14ac:dyDescent="0.35">
      <c r="A364" s="72"/>
      <c r="B364" s="72"/>
      <c r="D364" s="72"/>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c r="AJ364" s="79"/>
      <c r="AK364" s="79"/>
      <c r="AL364" s="79"/>
      <c r="AM364" s="79"/>
      <c r="AN364" s="79"/>
      <c r="AO364" s="79"/>
      <c r="AP364" s="79"/>
      <c r="AQ364" s="79"/>
      <c r="AR364" s="80"/>
      <c r="AS364" s="80"/>
      <c r="AT364" s="79"/>
      <c r="AU364" s="79"/>
      <c r="AV364" s="79"/>
      <c r="AW364" s="79"/>
      <c r="AX364" s="79"/>
      <c r="AY364" s="79"/>
      <c r="AZ364" s="79"/>
      <c r="BA364" s="79"/>
      <c r="BB364" s="79"/>
      <c r="BC364" s="79"/>
      <c r="BD364" s="79"/>
      <c r="BE364" s="79"/>
      <c r="BF364" s="79"/>
      <c r="BG364" s="79"/>
      <c r="BH364" s="79"/>
      <c r="BI364" s="79"/>
      <c r="BJ364" s="79"/>
      <c r="BK364" s="79"/>
      <c r="BL364" s="79"/>
      <c r="BM364" s="79"/>
      <c r="BN364" s="79"/>
      <c r="CK364" s="81"/>
      <c r="DE364">
        <v>1895</v>
      </c>
      <c r="DF364" t="s">
        <v>227</v>
      </c>
      <c r="DG364">
        <v>7614</v>
      </c>
      <c r="DH364">
        <v>7499</v>
      </c>
      <c r="DI364">
        <v>7466</v>
      </c>
      <c r="DJ364">
        <v>7357</v>
      </c>
      <c r="DK364">
        <v>7155</v>
      </c>
      <c r="DO364">
        <v>951</v>
      </c>
      <c r="DP364" t="s">
        <v>825</v>
      </c>
      <c r="DQ364">
        <v>7024</v>
      </c>
      <c r="DR364">
        <v>1</v>
      </c>
      <c r="DS364">
        <v>522</v>
      </c>
      <c r="DV364">
        <v>873</v>
      </c>
      <c r="DW364" t="s">
        <v>348</v>
      </c>
      <c r="DX364">
        <v>2652.75142435113</v>
      </c>
      <c r="DY364">
        <v>531</v>
      </c>
      <c r="DZ364">
        <v>517</v>
      </c>
      <c r="EA364">
        <v>202</v>
      </c>
      <c r="EB364">
        <v>1810</v>
      </c>
      <c r="EC364">
        <v>1164</v>
      </c>
      <c r="ED364">
        <v>302</v>
      </c>
      <c r="EE364" s="82">
        <v>0.153900404321509</v>
      </c>
      <c r="EF364" s="82">
        <v>0.44529638226801799</v>
      </c>
    </row>
    <row r="365" spans="1:136" x14ac:dyDescent="0.35">
      <c r="A365" s="72"/>
      <c r="B365" s="72"/>
      <c r="D365" s="72"/>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c r="AE365" s="79"/>
      <c r="AF365" s="79"/>
      <c r="AG365" s="79"/>
      <c r="AH365" s="79"/>
      <c r="AI365" s="79"/>
      <c r="AJ365" s="79"/>
      <c r="AK365" s="79"/>
      <c r="AL365" s="79"/>
      <c r="AM365" s="79"/>
      <c r="AN365" s="79"/>
      <c r="AO365" s="79"/>
      <c r="AP365" s="79"/>
      <c r="AQ365" s="79"/>
      <c r="AR365" s="80"/>
      <c r="AS365" s="80"/>
      <c r="AT365" s="79"/>
      <c r="AU365" s="79"/>
      <c r="AV365" s="79"/>
      <c r="AW365" s="79"/>
      <c r="AX365" s="79"/>
      <c r="AY365" s="79"/>
      <c r="AZ365" s="79"/>
      <c r="BA365" s="79"/>
      <c r="BB365" s="79"/>
      <c r="BC365" s="79"/>
      <c r="BD365" s="79"/>
      <c r="BE365" s="79"/>
      <c r="BF365" s="79"/>
      <c r="BG365" s="79"/>
      <c r="BH365" s="79"/>
      <c r="BI365" s="79"/>
      <c r="BJ365" s="79"/>
      <c r="BK365" s="79"/>
      <c r="BL365" s="79"/>
      <c r="BM365" s="79"/>
      <c r="BN365" s="79"/>
      <c r="CK365" s="81"/>
      <c r="DE365">
        <v>1896</v>
      </c>
      <c r="DF365" t="s">
        <v>363</v>
      </c>
      <c r="DG365">
        <v>6199</v>
      </c>
      <c r="DH365">
        <v>6165</v>
      </c>
      <c r="DI365">
        <v>6120</v>
      </c>
      <c r="DJ365">
        <v>6050</v>
      </c>
      <c r="DK365">
        <v>6056</v>
      </c>
      <c r="DO365">
        <v>881</v>
      </c>
      <c r="DP365" t="s">
        <v>826</v>
      </c>
      <c r="DQ365">
        <v>3711</v>
      </c>
      <c r="DR365">
        <v>1</v>
      </c>
      <c r="DS365">
        <v>476</v>
      </c>
      <c r="DV365">
        <v>632</v>
      </c>
      <c r="DW365" t="s">
        <v>349</v>
      </c>
      <c r="DX365">
        <v>5265.6413368185204</v>
      </c>
      <c r="DY365">
        <v>1067</v>
      </c>
      <c r="DZ365">
        <v>970</v>
      </c>
      <c r="EA365">
        <v>498</v>
      </c>
      <c r="EB365">
        <v>3438</v>
      </c>
      <c r="EC365">
        <v>1983</v>
      </c>
      <c r="ED365">
        <v>693</v>
      </c>
      <c r="EE365" s="82">
        <v>0.141023542674899</v>
      </c>
      <c r="EF365" s="82">
        <v>0.34366400520543899</v>
      </c>
    </row>
    <row r="366" spans="1:136" x14ac:dyDescent="0.35">
      <c r="A366" s="72"/>
      <c r="B366" s="72"/>
      <c r="D366" s="72"/>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c r="AJ366" s="79"/>
      <c r="AK366" s="79"/>
      <c r="AL366" s="79"/>
      <c r="AM366" s="79"/>
      <c r="AN366" s="79"/>
      <c r="AO366" s="79"/>
      <c r="AP366" s="79"/>
      <c r="AQ366" s="79"/>
      <c r="AR366" s="80"/>
      <c r="AS366" s="80"/>
      <c r="AT366" s="79"/>
      <c r="AU366" s="79"/>
      <c r="AV366" s="79"/>
      <c r="AW366" s="79"/>
      <c r="AX366" s="79"/>
      <c r="AY366" s="79"/>
      <c r="AZ366" s="79"/>
      <c r="BA366" s="79"/>
      <c r="BB366" s="79"/>
      <c r="BC366" s="79"/>
      <c r="BD366" s="79"/>
      <c r="BE366" s="79"/>
      <c r="BF366" s="79"/>
      <c r="BG366" s="79"/>
      <c r="BH366" s="79"/>
      <c r="BI366" s="79"/>
      <c r="BJ366" s="79"/>
      <c r="BK366" s="79"/>
      <c r="BL366" s="79"/>
      <c r="BM366" s="79"/>
      <c r="BN366" s="79"/>
      <c r="CK366" s="81"/>
      <c r="DE366">
        <v>1900</v>
      </c>
      <c r="DF366" t="s">
        <v>289</v>
      </c>
      <c r="DG366">
        <v>20876.29</v>
      </c>
      <c r="DH366">
        <v>20778.349999999999</v>
      </c>
      <c r="DI366">
        <v>20629.599999999999</v>
      </c>
      <c r="DJ366">
        <v>20473.080000000002</v>
      </c>
      <c r="DK366">
        <v>20240.66</v>
      </c>
      <c r="DO366">
        <v>1894</v>
      </c>
      <c r="DP366" t="s">
        <v>244</v>
      </c>
      <c r="DQ366">
        <v>18731</v>
      </c>
      <c r="DR366">
        <v>1</v>
      </c>
      <c r="DS366">
        <v>572</v>
      </c>
      <c r="DV366">
        <v>880</v>
      </c>
      <c r="DW366" t="s">
        <v>350</v>
      </c>
      <c r="DX366">
        <v>1944.3614040156001</v>
      </c>
      <c r="DY366">
        <v>410</v>
      </c>
      <c r="DZ366">
        <v>415</v>
      </c>
      <c r="EA366">
        <v>185</v>
      </c>
      <c r="EB366">
        <v>1230</v>
      </c>
      <c r="EC366">
        <v>895</v>
      </c>
      <c r="ED366">
        <v>267</v>
      </c>
      <c r="EE366" s="82">
        <v>0.18036934448674799</v>
      </c>
      <c r="EF366" s="82">
        <v>0.40056396059305099</v>
      </c>
    </row>
    <row r="367" spans="1:136" x14ac:dyDescent="0.35">
      <c r="A367" s="72"/>
      <c r="B367" s="72"/>
      <c r="D367" s="72"/>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c r="AE367" s="79"/>
      <c r="AF367" s="79"/>
      <c r="AG367" s="79"/>
      <c r="AH367" s="79"/>
      <c r="AI367" s="79"/>
      <c r="AJ367" s="79"/>
      <c r="AK367" s="79"/>
      <c r="AL367" s="79"/>
      <c r="AM367" s="79"/>
      <c r="AN367" s="79"/>
      <c r="AO367" s="79"/>
      <c r="AP367" s="79"/>
      <c r="AQ367" s="79"/>
      <c r="AR367" s="80"/>
      <c r="AS367" s="80"/>
      <c r="AT367" s="79"/>
      <c r="AU367" s="79"/>
      <c r="AV367" s="79"/>
      <c r="AW367" s="79"/>
      <c r="AX367" s="79"/>
      <c r="AY367" s="79"/>
      <c r="AZ367" s="79"/>
      <c r="BA367" s="79"/>
      <c r="BB367" s="79"/>
      <c r="BC367" s="79"/>
      <c r="BD367" s="79"/>
      <c r="BE367" s="79"/>
      <c r="BF367" s="79"/>
      <c r="BG367" s="79"/>
      <c r="BH367" s="79"/>
      <c r="BI367" s="79"/>
      <c r="BJ367" s="79"/>
      <c r="BK367" s="79"/>
      <c r="BL367" s="79"/>
      <c r="BM367" s="79"/>
      <c r="BN367" s="79"/>
      <c r="CK367" s="81"/>
      <c r="DE367">
        <v>1901</v>
      </c>
      <c r="DF367" t="s">
        <v>53</v>
      </c>
      <c r="DG367">
        <v>7913</v>
      </c>
      <c r="DH367">
        <v>7805</v>
      </c>
      <c r="DI367">
        <v>7780</v>
      </c>
      <c r="DJ367">
        <v>7716</v>
      </c>
      <c r="DK367">
        <v>7575</v>
      </c>
      <c r="DO367">
        <v>1669</v>
      </c>
      <c r="DP367" t="s">
        <v>259</v>
      </c>
      <c r="DQ367">
        <v>9807</v>
      </c>
      <c r="DR367">
        <v>1</v>
      </c>
      <c r="DS367">
        <v>383</v>
      </c>
      <c r="DV367">
        <v>351</v>
      </c>
      <c r="DW367" t="s">
        <v>351</v>
      </c>
      <c r="DX367">
        <v>1147.8380094204399</v>
      </c>
      <c r="DY367">
        <v>234</v>
      </c>
      <c r="DZ367">
        <v>250</v>
      </c>
      <c r="EA367">
        <v>133</v>
      </c>
      <c r="EB367">
        <v>806</v>
      </c>
      <c r="EC367">
        <v>539</v>
      </c>
      <c r="ED367">
        <v>198</v>
      </c>
      <c r="EE367" s="82">
        <v>0.12141936910116501</v>
      </c>
      <c r="EF367" s="82">
        <v>0.38309035837626698</v>
      </c>
    </row>
    <row r="368" spans="1:136" x14ac:dyDescent="0.35">
      <c r="A368" s="72"/>
      <c r="B368" s="72"/>
      <c r="D368" s="72"/>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c r="AE368" s="79"/>
      <c r="AF368" s="79"/>
      <c r="AG368" s="79"/>
      <c r="AH368" s="79"/>
      <c r="AI368" s="79"/>
      <c r="AJ368" s="79"/>
      <c r="AK368" s="79"/>
      <c r="AL368" s="79"/>
      <c r="AM368" s="79"/>
      <c r="AN368" s="79"/>
      <c r="AO368" s="79"/>
      <c r="AP368" s="79"/>
      <c r="AQ368" s="79"/>
      <c r="AR368" s="80"/>
      <c r="AS368" s="80"/>
      <c r="AT368" s="79"/>
      <c r="AU368" s="79"/>
      <c r="AV368" s="79"/>
      <c r="AW368" s="79"/>
      <c r="AX368" s="79"/>
      <c r="AY368" s="79"/>
      <c r="AZ368" s="79"/>
      <c r="BA368" s="79"/>
      <c r="BB368" s="79"/>
      <c r="BC368" s="79"/>
      <c r="BD368" s="79"/>
      <c r="BE368" s="79"/>
      <c r="BF368" s="79"/>
      <c r="BG368" s="79"/>
      <c r="BH368" s="79"/>
      <c r="BI368" s="79"/>
      <c r="BJ368" s="79"/>
      <c r="BK368" s="79"/>
      <c r="BL368" s="79"/>
      <c r="BM368" s="79"/>
      <c r="BN368" s="79"/>
      <c r="CK368" s="81"/>
      <c r="DE368">
        <v>1903</v>
      </c>
      <c r="DF368" t="s">
        <v>101</v>
      </c>
      <c r="DG368">
        <v>5245</v>
      </c>
      <c r="DH368">
        <v>5122</v>
      </c>
      <c r="DI368">
        <v>5027</v>
      </c>
      <c r="DJ368">
        <v>4871</v>
      </c>
      <c r="DK368">
        <v>4756</v>
      </c>
      <c r="DO368">
        <v>957</v>
      </c>
      <c r="DP368" t="s">
        <v>260</v>
      </c>
      <c r="DQ368">
        <v>27499</v>
      </c>
      <c r="DR368">
        <v>1</v>
      </c>
      <c r="DS368">
        <v>1499</v>
      </c>
      <c r="DV368">
        <v>874</v>
      </c>
      <c r="DW368" t="s">
        <v>824</v>
      </c>
      <c r="DX368">
        <v>1562.4151200408701</v>
      </c>
      <c r="DY368">
        <v>281</v>
      </c>
      <c r="DZ368">
        <v>264</v>
      </c>
      <c r="EA368">
        <v>130</v>
      </c>
      <c r="EB368">
        <v>1063</v>
      </c>
      <c r="EC368">
        <v>597</v>
      </c>
      <c r="ED368">
        <v>190</v>
      </c>
      <c r="EE368" s="82">
        <v>0.15621763201719699</v>
      </c>
      <c r="EF368" s="82">
        <v>0.39701708014307702</v>
      </c>
    </row>
    <row r="369" spans="1:136" x14ac:dyDescent="0.35">
      <c r="A369" s="72"/>
      <c r="B369" s="72"/>
      <c r="D369" s="72"/>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c r="AE369" s="79"/>
      <c r="AF369" s="79"/>
      <c r="AG369" s="79"/>
      <c r="AH369" s="79"/>
      <c r="AI369" s="79"/>
      <c r="AJ369" s="79"/>
      <c r="AK369" s="79"/>
      <c r="AL369" s="79"/>
      <c r="AM369" s="79"/>
      <c r="AN369" s="79"/>
      <c r="AO369" s="79"/>
      <c r="AP369" s="79"/>
      <c r="AQ369" s="79"/>
      <c r="AR369" s="80"/>
      <c r="AS369" s="80"/>
      <c r="AT369" s="79"/>
      <c r="AU369" s="79"/>
      <c r="AV369" s="79"/>
      <c r="AW369" s="79"/>
      <c r="AX369" s="79"/>
      <c r="AY369" s="79"/>
      <c r="AZ369" s="79"/>
      <c r="BA369" s="79"/>
      <c r="BB369" s="79"/>
      <c r="BC369" s="79"/>
      <c r="BD369" s="79"/>
      <c r="BE369" s="79"/>
      <c r="BF369" s="79"/>
      <c r="BG369" s="79"/>
      <c r="BH369" s="79"/>
      <c r="BI369" s="79"/>
      <c r="BJ369" s="79"/>
      <c r="BK369" s="79"/>
      <c r="BL369" s="79"/>
      <c r="BM369" s="79"/>
      <c r="BN369" s="79"/>
      <c r="CK369" s="81"/>
      <c r="DE369">
        <v>1904</v>
      </c>
      <c r="DF369" t="s">
        <v>288</v>
      </c>
      <c r="DG369">
        <v>13854</v>
      </c>
      <c r="DH369">
        <v>13785</v>
      </c>
      <c r="DI369">
        <v>13753</v>
      </c>
      <c r="DJ369">
        <v>13676</v>
      </c>
      <c r="DK369">
        <v>13636</v>
      </c>
      <c r="DO369">
        <v>962</v>
      </c>
      <c r="DP369" t="s">
        <v>827</v>
      </c>
      <c r="DQ369">
        <v>5979</v>
      </c>
      <c r="DR369">
        <v>1</v>
      </c>
      <c r="DS369">
        <v>473</v>
      </c>
      <c r="DV369">
        <v>479</v>
      </c>
      <c r="DW369" t="s">
        <v>352</v>
      </c>
      <c r="DX369">
        <v>22225.7184889159</v>
      </c>
      <c r="DY369">
        <v>3928</v>
      </c>
      <c r="DZ369">
        <v>3122</v>
      </c>
      <c r="EA369">
        <v>1601</v>
      </c>
      <c r="EB369">
        <v>10400</v>
      </c>
      <c r="EC369">
        <v>6237</v>
      </c>
      <c r="ED369">
        <v>2160</v>
      </c>
      <c r="EE369" s="82">
        <v>0.225227446830008</v>
      </c>
      <c r="EF369" s="82">
        <v>0.49444682089853698</v>
      </c>
    </row>
    <row r="370" spans="1:136" x14ac:dyDescent="0.35">
      <c r="A370" s="72"/>
      <c r="B370" s="72"/>
      <c r="D370" s="72"/>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c r="AE370" s="79"/>
      <c r="AF370" s="79"/>
      <c r="AG370" s="79"/>
      <c r="AH370" s="79"/>
      <c r="AI370" s="79"/>
      <c r="AJ370" s="79"/>
      <c r="AK370" s="79"/>
      <c r="AL370" s="79"/>
      <c r="AM370" s="79"/>
      <c r="AN370" s="79"/>
      <c r="AO370" s="79"/>
      <c r="AP370" s="79"/>
      <c r="AQ370" s="79"/>
      <c r="AR370" s="80"/>
      <c r="AS370" s="80"/>
      <c r="AT370" s="79"/>
      <c r="AU370" s="79"/>
      <c r="AV370" s="79"/>
      <c r="AW370" s="79"/>
      <c r="AX370" s="79"/>
      <c r="AY370" s="79"/>
      <c r="AZ370" s="79"/>
      <c r="BA370" s="79"/>
      <c r="BB370" s="79"/>
      <c r="BC370" s="79"/>
      <c r="BD370" s="79"/>
      <c r="BE370" s="79"/>
      <c r="BF370" s="79"/>
      <c r="BG370" s="79"/>
      <c r="BH370" s="79"/>
      <c r="BI370" s="79"/>
      <c r="BJ370" s="79"/>
      <c r="BK370" s="79"/>
      <c r="BL370" s="79"/>
      <c r="BM370" s="79"/>
      <c r="BN370" s="79"/>
      <c r="CK370" s="81"/>
      <c r="DE370">
        <v>1911</v>
      </c>
      <c r="DF370" t="s">
        <v>155</v>
      </c>
      <c r="DG370">
        <v>10978</v>
      </c>
      <c r="DH370">
        <v>10908</v>
      </c>
      <c r="DI370">
        <v>10775</v>
      </c>
      <c r="DJ370">
        <v>10632</v>
      </c>
      <c r="DK370">
        <v>10449</v>
      </c>
      <c r="DO370">
        <v>965</v>
      </c>
      <c r="DP370" t="s">
        <v>272</v>
      </c>
      <c r="DQ370">
        <v>5292</v>
      </c>
      <c r="DR370">
        <v>1</v>
      </c>
      <c r="DS370">
        <v>667</v>
      </c>
      <c r="DV370">
        <v>297</v>
      </c>
      <c r="DW370" t="s">
        <v>353</v>
      </c>
      <c r="DX370">
        <v>2935.2450801749301</v>
      </c>
      <c r="DY370">
        <v>552</v>
      </c>
      <c r="DZ370">
        <v>485</v>
      </c>
      <c r="EA370">
        <v>233</v>
      </c>
      <c r="EB370">
        <v>1785</v>
      </c>
      <c r="EC370">
        <v>1079</v>
      </c>
      <c r="ED370">
        <v>338</v>
      </c>
      <c r="EE370" s="82">
        <v>0.160887483794767</v>
      </c>
      <c r="EF370" s="82">
        <v>0.40773802822016803</v>
      </c>
    </row>
    <row r="371" spans="1:136" x14ac:dyDescent="0.35">
      <c r="A371" s="72"/>
      <c r="B371" s="72"/>
      <c r="D371" s="72"/>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c r="AM371" s="79"/>
      <c r="AN371" s="79"/>
      <c r="AO371" s="79"/>
      <c r="AP371" s="79"/>
      <c r="AQ371" s="79"/>
      <c r="AR371" s="80"/>
      <c r="AS371" s="80"/>
      <c r="AT371" s="79"/>
      <c r="AU371" s="79"/>
      <c r="AV371" s="79"/>
      <c r="AW371" s="79"/>
      <c r="AX371" s="79"/>
      <c r="AY371" s="79"/>
      <c r="AZ371" s="79"/>
      <c r="BA371" s="79"/>
      <c r="BB371" s="79"/>
      <c r="BC371" s="79"/>
      <c r="BD371" s="79"/>
      <c r="BE371" s="79"/>
      <c r="BF371" s="79"/>
      <c r="BG371" s="79"/>
      <c r="BH371" s="79"/>
      <c r="BI371" s="79"/>
      <c r="BJ371" s="79"/>
      <c r="BK371" s="79"/>
      <c r="BL371" s="79"/>
      <c r="BM371" s="79"/>
      <c r="BN371" s="79"/>
      <c r="CK371" s="81"/>
      <c r="DE371">
        <v>1916</v>
      </c>
      <c r="DF371" t="s">
        <v>181</v>
      </c>
      <c r="DG371">
        <v>13904</v>
      </c>
      <c r="DH371">
        <v>13701</v>
      </c>
      <c r="DI371">
        <v>13589</v>
      </c>
      <c r="DJ371">
        <v>13640</v>
      </c>
      <c r="DK371">
        <v>13616</v>
      </c>
      <c r="DO371">
        <v>1883</v>
      </c>
      <c r="DP371" t="s">
        <v>275</v>
      </c>
      <c r="DQ371">
        <v>46876</v>
      </c>
      <c r="DR371">
        <v>1</v>
      </c>
      <c r="DS371">
        <v>1490</v>
      </c>
      <c r="DV371">
        <v>473</v>
      </c>
      <c r="DW371" t="s">
        <v>354</v>
      </c>
      <c r="DX371">
        <v>2937.7006891635001</v>
      </c>
      <c r="DY371">
        <v>756</v>
      </c>
      <c r="DZ371">
        <v>546</v>
      </c>
      <c r="EA371">
        <v>295</v>
      </c>
      <c r="EB371">
        <v>1689</v>
      </c>
      <c r="EC371">
        <v>973</v>
      </c>
      <c r="ED371">
        <v>403</v>
      </c>
      <c r="EE371" s="82">
        <v>0.19794124636546601</v>
      </c>
      <c r="EF371" s="82">
        <v>0.41502120714199497</v>
      </c>
    </row>
    <row r="372" spans="1:136" x14ac:dyDescent="0.35">
      <c r="A372" s="72"/>
      <c r="B372" s="72"/>
      <c r="D372" s="72"/>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80"/>
      <c r="AS372" s="80"/>
      <c r="AT372" s="79"/>
      <c r="AU372" s="79"/>
      <c r="AV372" s="79"/>
      <c r="AW372" s="79"/>
      <c r="AX372" s="79"/>
      <c r="AY372" s="79"/>
      <c r="AZ372" s="79"/>
      <c r="BA372" s="79"/>
      <c r="BB372" s="79"/>
      <c r="BC372" s="79"/>
      <c r="BD372" s="79"/>
      <c r="BE372" s="79"/>
      <c r="BF372" s="79"/>
      <c r="BG372" s="79"/>
      <c r="BH372" s="79"/>
      <c r="BI372" s="79"/>
      <c r="BJ372" s="79"/>
      <c r="BK372" s="79"/>
      <c r="BL372" s="79"/>
      <c r="BM372" s="79"/>
      <c r="BN372" s="79"/>
      <c r="CK372" s="81"/>
      <c r="DE372">
        <v>1924</v>
      </c>
      <c r="DF372" t="s">
        <v>115</v>
      </c>
      <c r="DG372">
        <v>10737</v>
      </c>
      <c r="DH372">
        <v>10656</v>
      </c>
      <c r="DI372">
        <v>10574</v>
      </c>
      <c r="DJ372">
        <v>10564</v>
      </c>
      <c r="DK372">
        <v>10409</v>
      </c>
      <c r="DO372">
        <v>971</v>
      </c>
      <c r="DP372" t="s">
        <v>287</v>
      </c>
      <c r="DQ372">
        <v>11715</v>
      </c>
      <c r="DR372">
        <v>1</v>
      </c>
      <c r="DS372">
        <v>895</v>
      </c>
      <c r="DV372">
        <v>707</v>
      </c>
      <c r="DW372" t="s">
        <v>821</v>
      </c>
      <c r="DX372">
        <v>1337.7644866778501</v>
      </c>
      <c r="DY372">
        <v>250</v>
      </c>
      <c r="DZ372">
        <v>278</v>
      </c>
      <c r="EA372">
        <v>132</v>
      </c>
      <c r="EB372">
        <v>936</v>
      </c>
      <c r="EC372">
        <v>546</v>
      </c>
      <c r="ED372">
        <v>190</v>
      </c>
      <c r="EE372" s="82">
        <v>0.13589569505869301</v>
      </c>
      <c r="EF372" s="82">
        <v>0.38653349623005401</v>
      </c>
    </row>
    <row r="373" spans="1:136" x14ac:dyDescent="0.35">
      <c r="A373" s="72"/>
      <c r="B373" s="72"/>
      <c r="D373" s="72"/>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c r="AE373" s="79"/>
      <c r="AF373" s="79"/>
      <c r="AG373" s="79"/>
      <c r="AH373" s="79"/>
      <c r="AI373" s="79"/>
      <c r="AJ373" s="79"/>
      <c r="AK373" s="79"/>
      <c r="AL373" s="79"/>
      <c r="AM373" s="79"/>
      <c r="AN373" s="79"/>
      <c r="AO373" s="79"/>
      <c r="AP373" s="79"/>
      <c r="AQ373" s="79"/>
      <c r="AR373" s="80"/>
      <c r="AS373" s="80"/>
      <c r="AT373" s="79"/>
      <c r="AU373" s="79"/>
      <c r="AV373" s="79"/>
      <c r="AW373" s="79"/>
      <c r="AX373" s="79"/>
      <c r="AY373" s="79"/>
      <c r="AZ373" s="79"/>
      <c r="BA373" s="79"/>
      <c r="BB373" s="79"/>
      <c r="BC373" s="79"/>
      <c r="BD373" s="79"/>
      <c r="BE373" s="79"/>
      <c r="BF373" s="79"/>
      <c r="BG373" s="79"/>
      <c r="BH373" s="79"/>
      <c r="BI373" s="79"/>
      <c r="BJ373" s="79"/>
      <c r="BK373" s="79"/>
      <c r="BL373" s="79"/>
      <c r="BM373" s="79"/>
      <c r="BN373" s="79"/>
      <c r="CK373" s="81"/>
      <c r="DE373">
        <v>1926</v>
      </c>
      <c r="DF373" t="s">
        <v>246</v>
      </c>
      <c r="DG373">
        <v>12811</v>
      </c>
      <c r="DH373">
        <v>13387</v>
      </c>
      <c r="DI373">
        <v>13515</v>
      </c>
      <c r="DJ373">
        <v>13496</v>
      </c>
      <c r="DK373">
        <v>13507</v>
      </c>
      <c r="DO373">
        <v>981</v>
      </c>
      <c r="DP373" t="s">
        <v>307</v>
      </c>
      <c r="DQ373">
        <v>6008</v>
      </c>
      <c r="DR373">
        <v>1</v>
      </c>
      <c r="DS373">
        <v>1000</v>
      </c>
      <c r="DV373">
        <v>50</v>
      </c>
      <c r="DW373" t="s">
        <v>355</v>
      </c>
      <c r="DX373">
        <v>2132.0060383868899</v>
      </c>
      <c r="DY373">
        <v>302</v>
      </c>
      <c r="DZ373">
        <v>276</v>
      </c>
      <c r="EA373">
        <v>137</v>
      </c>
      <c r="EB373">
        <v>1049</v>
      </c>
      <c r="EC373">
        <v>593</v>
      </c>
      <c r="ED373">
        <v>200</v>
      </c>
      <c r="EE373" s="82">
        <v>0.119364753409496</v>
      </c>
      <c r="EF373" s="82">
        <v>0.44140850577478302</v>
      </c>
    </row>
    <row r="374" spans="1:136" x14ac:dyDescent="0.35">
      <c r="A374" s="72"/>
      <c r="B374" s="72"/>
      <c r="D374" s="72"/>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80"/>
      <c r="AS374" s="80"/>
      <c r="AT374" s="79"/>
      <c r="AU374" s="79"/>
      <c r="AV374" s="79"/>
      <c r="AW374" s="79"/>
      <c r="AX374" s="79"/>
      <c r="AY374" s="79"/>
      <c r="AZ374" s="79"/>
      <c r="BA374" s="79"/>
      <c r="BB374" s="79"/>
      <c r="BC374" s="79"/>
      <c r="BD374" s="79"/>
      <c r="BE374" s="79"/>
      <c r="BF374" s="79"/>
      <c r="BG374" s="79"/>
      <c r="BH374" s="79"/>
      <c r="BI374" s="79"/>
      <c r="BJ374" s="79"/>
      <c r="BK374" s="79"/>
      <c r="BL374" s="79"/>
      <c r="BM374" s="79"/>
      <c r="BN374" s="79"/>
      <c r="CK374" s="81"/>
      <c r="DE374">
        <v>1927</v>
      </c>
      <c r="DF374" t="s">
        <v>817</v>
      </c>
      <c r="DG374">
        <v>8112</v>
      </c>
      <c r="DH374">
        <v>8082</v>
      </c>
      <c r="DI374">
        <v>8000</v>
      </c>
      <c r="DJ374">
        <v>7940</v>
      </c>
      <c r="DK374">
        <v>7833</v>
      </c>
      <c r="DO374">
        <v>994</v>
      </c>
      <c r="DP374" t="s">
        <v>308</v>
      </c>
      <c r="DQ374">
        <v>8955</v>
      </c>
      <c r="DR374">
        <v>1</v>
      </c>
      <c r="DS374">
        <v>657</v>
      </c>
      <c r="DV374">
        <v>355</v>
      </c>
      <c r="DW374" t="s">
        <v>356</v>
      </c>
      <c r="DX374">
        <v>8653.4629890233591</v>
      </c>
      <c r="DY374">
        <v>1932</v>
      </c>
      <c r="DZ374">
        <v>1502</v>
      </c>
      <c r="EA374">
        <v>924</v>
      </c>
      <c r="EB374">
        <v>4538</v>
      </c>
      <c r="EC374">
        <v>2848</v>
      </c>
      <c r="ED374">
        <v>1224</v>
      </c>
      <c r="EE374" s="82">
        <v>0.18666190707998001</v>
      </c>
      <c r="EF374" s="82">
        <v>0.31034094060455802</v>
      </c>
    </row>
    <row r="375" spans="1:136" x14ac:dyDescent="0.35">
      <c r="A375" s="72"/>
      <c r="B375" s="72"/>
      <c r="D375" s="72"/>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c r="AE375" s="79"/>
      <c r="AF375" s="79"/>
      <c r="AG375" s="79"/>
      <c r="AH375" s="79"/>
      <c r="AI375" s="79"/>
      <c r="AJ375" s="79"/>
      <c r="AK375" s="79"/>
      <c r="AL375" s="79"/>
      <c r="AM375" s="79"/>
      <c r="AN375" s="79"/>
      <c r="AO375" s="79"/>
      <c r="AP375" s="79"/>
      <c r="AQ375" s="79"/>
      <c r="AR375" s="80"/>
      <c r="AS375" s="80"/>
      <c r="AT375" s="79"/>
      <c r="AU375" s="79"/>
      <c r="AV375" s="79"/>
      <c r="AW375" s="79"/>
      <c r="AX375" s="79"/>
      <c r="AY375" s="79"/>
      <c r="AZ375" s="79"/>
      <c r="BA375" s="79"/>
      <c r="BB375" s="79"/>
      <c r="BC375" s="79"/>
      <c r="BD375" s="79"/>
      <c r="BE375" s="79"/>
      <c r="BF375" s="79"/>
      <c r="BG375" s="79"/>
      <c r="BH375" s="79"/>
      <c r="BI375" s="79"/>
      <c r="BJ375" s="79"/>
      <c r="BK375" s="79"/>
      <c r="BL375" s="79"/>
      <c r="BM375" s="79"/>
      <c r="BN375" s="79"/>
      <c r="CK375" s="81"/>
      <c r="DE375">
        <v>1930</v>
      </c>
      <c r="DF375" t="s">
        <v>216</v>
      </c>
      <c r="DG375">
        <v>17402</v>
      </c>
      <c r="DH375">
        <v>17084</v>
      </c>
      <c r="DI375">
        <v>16807</v>
      </c>
      <c r="DJ375">
        <v>16586</v>
      </c>
      <c r="DK375">
        <v>16424</v>
      </c>
      <c r="DO375">
        <v>983</v>
      </c>
      <c r="DP375" t="s">
        <v>315</v>
      </c>
      <c r="DQ375">
        <v>47693</v>
      </c>
      <c r="DR375">
        <v>1</v>
      </c>
      <c r="DS375">
        <v>1625</v>
      </c>
      <c r="DV375">
        <v>299</v>
      </c>
      <c r="DW375" t="s">
        <v>357</v>
      </c>
      <c r="DX375">
        <v>6200.4978363898599</v>
      </c>
      <c r="DY375">
        <v>1246</v>
      </c>
      <c r="DZ375">
        <v>1093</v>
      </c>
      <c r="EA375">
        <v>475</v>
      </c>
      <c r="EB375">
        <v>3794</v>
      </c>
      <c r="EC375">
        <v>2203</v>
      </c>
      <c r="ED375">
        <v>681</v>
      </c>
      <c r="EE375" s="82">
        <v>0.212383386386713</v>
      </c>
      <c r="EF375" s="82">
        <v>0.51150633355827801</v>
      </c>
    </row>
    <row r="376" spans="1:136" x14ac:dyDescent="0.35">
      <c r="A376" s="72"/>
      <c r="B376" s="72"/>
      <c r="D376" s="72"/>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c r="AE376" s="79"/>
      <c r="AF376" s="79"/>
      <c r="AG376" s="79"/>
      <c r="AH376" s="79"/>
      <c r="AI376" s="79"/>
      <c r="AJ376" s="79"/>
      <c r="AK376" s="79"/>
      <c r="AL376" s="79"/>
      <c r="AM376" s="79"/>
      <c r="AN376" s="79"/>
      <c r="AO376" s="79"/>
      <c r="AP376" s="79"/>
      <c r="AQ376" s="79"/>
      <c r="AR376" s="80"/>
      <c r="AS376" s="80"/>
      <c r="AT376" s="79"/>
      <c r="AU376" s="79"/>
      <c r="AV376" s="79"/>
      <c r="AW376" s="79"/>
      <c r="AX376" s="79"/>
      <c r="AY376" s="79"/>
      <c r="AZ376" s="79"/>
      <c r="BA376" s="79"/>
      <c r="BB376" s="79"/>
      <c r="BC376" s="79"/>
      <c r="BD376" s="79"/>
      <c r="BE376" s="79"/>
      <c r="BF376" s="79"/>
      <c r="BG376" s="79"/>
      <c r="BH376" s="79"/>
      <c r="BI376" s="79"/>
      <c r="BJ376" s="79"/>
      <c r="BK376" s="79"/>
      <c r="BL376" s="79"/>
      <c r="BM376" s="79"/>
      <c r="BN376" s="79"/>
      <c r="CK376" s="81"/>
      <c r="DE376">
        <v>1931</v>
      </c>
      <c r="DF376" t="s">
        <v>170</v>
      </c>
      <c r="DG376">
        <v>12321</v>
      </c>
      <c r="DH376">
        <v>12173</v>
      </c>
      <c r="DI376">
        <v>12046</v>
      </c>
      <c r="DJ376">
        <v>11901</v>
      </c>
      <c r="DK376">
        <v>11839</v>
      </c>
      <c r="DO376">
        <v>984</v>
      </c>
      <c r="DP376" t="s">
        <v>316</v>
      </c>
      <c r="DQ376">
        <v>19195</v>
      </c>
      <c r="DR376">
        <v>1</v>
      </c>
      <c r="DS376">
        <v>995</v>
      </c>
      <c r="DV376">
        <v>637</v>
      </c>
      <c r="DW376" t="s">
        <v>358</v>
      </c>
      <c r="DX376">
        <v>15522.2362207556</v>
      </c>
      <c r="DY376">
        <v>3287</v>
      </c>
      <c r="DZ376">
        <v>2330</v>
      </c>
      <c r="EA376">
        <v>1201</v>
      </c>
      <c r="EB376">
        <v>9210</v>
      </c>
      <c r="EC376">
        <v>4504</v>
      </c>
      <c r="ED376">
        <v>1635</v>
      </c>
      <c r="EE376" s="82">
        <v>0.17602447267281299</v>
      </c>
      <c r="EF376" s="82">
        <v>0.42615606722440202</v>
      </c>
    </row>
    <row r="377" spans="1:136" x14ac:dyDescent="0.35">
      <c r="A377" s="72"/>
      <c r="B377" s="72"/>
      <c r="D377" s="72"/>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c r="AP377" s="79"/>
      <c r="AQ377" s="79"/>
      <c r="AR377" s="80"/>
      <c r="AS377" s="80"/>
      <c r="AT377" s="79"/>
      <c r="AU377" s="79"/>
      <c r="AV377" s="79"/>
      <c r="AW377" s="79"/>
      <c r="AX377" s="79"/>
      <c r="AY377" s="79"/>
      <c r="AZ377" s="79"/>
      <c r="BA377" s="79"/>
      <c r="BB377" s="79"/>
      <c r="BC377" s="79"/>
      <c r="BD377" s="79"/>
      <c r="BE377" s="79"/>
      <c r="BF377" s="79"/>
      <c r="BG377" s="79"/>
      <c r="BH377" s="79"/>
      <c r="BI377" s="79"/>
      <c r="BJ377" s="79"/>
      <c r="BK377" s="79"/>
      <c r="BL377" s="79"/>
      <c r="BM377" s="79"/>
      <c r="BN377" s="79"/>
      <c r="CK377" s="81"/>
      <c r="DE377">
        <v>1940</v>
      </c>
      <c r="DF377" t="s">
        <v>77</v>
      </c>
      <c r="DG377">
        <v>12077.6</v>
      </c>
      <c r="DH377">
        <v>12011.35</v>
      </c>
      <c r="DI377">
        <v>11869.1</v>
      </c>
      <c r="DJ377">
        <v>11797.7</v>
      </c>
      <c r="DK377">
        <v>11642.25</v>
      </c>
      <c r="DO377">
        <v>986</v>
      </c>
      <c r="DP377" t="s">
        <v>321</v>
      </c>
      <c r="DQ377">
        <v>5852</v>
      </c>
      <c r="DR377">
        <v>1</v>
      </c>
      <c r="DS377">
        <v>542</v>
      </c>
      <c r="DV377">
        <v>638</v>
      </c>
      <c r="DW377" t="s">
        <v>359</v>
      </c>
      <c r="DX377">
        <v>839.85163204747801</v>
      </c>
      <c r="DY377">
        <v>187</v>
      </c>
      <c r="DZ377">
        <v>170</v>
      </c>
      <c r="EA377">
        <v>84</v>
      </c>
      <c r="EB377">
        <v>598</v>
      </c>
      <c r="EC377">
        <v>358</v>
      </c>
      <c r="ED377">
        <v>120</v>
      </c>
      <c r="EE377" s="82">
        <v>0.120955441212175</v>
      </c>
      <c r="EF377" s="82">
        <v>0.33125200513314101</v>
      </c>
    </row>
    <row r="378" spans="1:136" x14ac:dyDescent="0.35">
      <c r="A378" s="72"/>
      <c r="B378" s="72"/>
      <c r="D378" s="72"/>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c r="AE378" s="79"/>
      <c r="AF378" s="79"/>
      <c r="AG378" s="79"/>
      <c r="AH378" s="79"/>
      <c r="AI378" s="79"/>
      <c r="AJ378" s="79"/>
      <c r="AK378" s="79"/>
      <c r="AL378" s="79"/>
      <c r="AM378" s="79"/>
      <c r="AN378" s="79"/>
      <c r="AO378" s="79"/>
      <c r="AP378" s="79"/>
      <c r="AQ378" s="79"/>
      <c r="AR378" s="80"/>
      <c r="AS378" s="80"/>
      <c r="AT378" s="79"/>
      <c r="AU378" s="79"/>
      <c r="AV378" s="79"/>
      <c r="AW378" s="79"/>
      <c r="AX378" s="79"/>
      <c r="AY378" s="79"/>
      <c r="AZ378" s="79"/>
      <c r="BA378" s="79"/>
      <c r="BB378" s="79"/>
      <c r="BC378" s="79"/>
      <c r="BD378" s="79"/>
      <c r="BE378" s="79"/>
      <c r="BF378" s="79"/>
      <c r="BG378" s="79"/>
      <c r="BH378" s="79"/>
      <c r="BI378" s="79"/>
      <c r="BJ378" s="79"/>
      <c r="BK378" s="79"/>
      <c r="BL378" s="79"/>
      <c r="BM378" s="79"/>
      <c r="BN378" s="79"/>
      <c r="CK378" s="81"/>
      <c r="DE378">
        <v>1942</v>
      </c>
      <c r="DF378" t="s">
        <v>118</v>
      </c>
      <c r="DG378">
        <v>13142</v>
      </c>
      <c r="DH378">
        <v>13204</v>
      </c>
      <c r="DI378">
        <v>13304</v>
      </c>
      <c r="DJ378">
        <v>13346</v>
      </c>
      <c r="DK378">
        <v>13271</v>
      </c>
      <c r="DO378">
        <v>988</v>
      </c>
      <c r="DP378" t="s">
        <v>332</v>
      </c>
      <c r="DQ378">
        <v>23347</v>
      </c>
      <c r="DR378">
        <v>1</v>
      </c>
      <c r="DS378">
        <v>1313</v>
      </c>
      <c r="DV378">
        <v>56</v>
      </c>
      <c r="DW378" t="s">
        <v>803</v>
      </c>
      <c r="DX378">
        <v>2058.69300552196</v>
      </c>
      <c r="DY378">
        <v>440</v>
      </c>
      <c r="DZ378">
        <v>338</v>
      </c>
      <c r="EA378">
        <v>169</v>
      </c>
      <c r="EB378">
        <v>1363</v>
      </c>
      <c r="EC378">
        <v>766</v>
      </c>
      <c r="ED378">
        <v>232</v>
      </c>
      <c r="EE378" s="82">
        <v>0.15762645545262899</v>
      </c>
      <c r="EF378" s="82">
        <v>0.45316433785906901</v>
      </c>
    </row>
    <row r="379" spans="1:136" x14ac:dyDescent="0.35">
      <c r="A379" s="72"/>
      <c r="B379" s="72"/>
      <c r="D379" s="72"/>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c r="AL379" s="79"/>
      <c r="AM379" s="79"/>
      <c r="AN379" s="79"/>
      <c r="AO379" s="79"/>
      <c r="AP379" s="79"/>
      <c r="AQ379" s="79"/>
      <c r="AR379" s="80"/>
      <c r="AS379" s="80"/>
      <c r="AT379" s="79"/>
      <c r="AU379" s="79"/>
      <c r="AV379" s="79"/>
      <c r="AW379" s="79"/>
      <c r="AX379" s="79"/>
      <c r="AY379" s="79"/>
      <c r="AZ379" s="79"/>
      <c r="BA379" s="79"/>
      <c r="BB379" s="79"/>
      <c r="BC379" s="79"/>
      <c r="BD379" s="79"/>
      <c r="BE379" s="79"/>
      <c r="BF379" s="79"/>
      <c r="BG379" s="79"/>
      <c r="BH379" s="79"/>
      <c r="BI379" s="79"/>
      <c r="BJ379" s="79"/>
      <c r="BK379" s="79"/>
      <c r="BL379" s="79"/>
      <c r="BM379" s="79"/>
      <c r="BN379" s="79"/>
      <c r="CK379" s="81"/>
      <c r="DE379">
        <v>1945</v>
      </c>
      <c r="DF379" t="s">
        <v>40</v>
      </c>
      <c r="DG379">
        <v>6952</v>
      </c>
      <c r="DH379">
        <v>6878</v>
      </c>
      <c r="DI379">
        <v>6746</v>
      </c>
      <c r="DJ379">
        <v>6569</v>
      </c>
      <c r="DK379">
        <v>6472</v>
      </c>
      <c r="DO379">
        <v>34</v>
      </c>
      <c r="DP379" t="s">
        <v>19</v>
      </c>
      <c r="DQ379">
        <v>82846</v>
      </c>
      <c r="DR379">
        <v>1.28</v>
      </c>
      <c r="DS379">
        <v>1584</v>
      </c>
      <c r="DV379">
        <v>1892</v>
      </c>
      <c r="DW379" t="s">
        <v>360</v>
      </c>
      <c r="DX379">
        <v>4113.7265347238699</v>
      </c>
      <c r="DY379">
        <v>841</v>
      </c>
      <c r="DZ379">
        <v>769</v>
      </c>
      <c r="EA379">
        <v>361</v>
      </c>
      <c r="EB379">
        <v>2792</v>
      </c>
      <c r="EC379">
        <v>1653</v>
      </c>
      <c r="ED379">
        <v>512</v>
      </c>
      <c r="EE379" s="82">
        <v>0.13174618526977999</v>
      </c>
      <c r="EF379" s="82">
        <v>0.34052834202927901</v>
      </c>
    </row>
    <row r="380" spans="1:136" x14ac:dyDescent="0.35">
      <c r="A380" s="72"/>
      <c r="B380" s="72"/>
      <c r="D380" s="72"/>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c r="AE380" s="79"/>
      <c r="AF380" s="79"/>
      <c r="AG380" s="79"/>
      <c r="AH380" s="79"/>
      <c r="AI380" s="79"/>
      <c r="AJ380" s="79"/>
      <c r="AK380" s="79"/>
      <c r="AL380" s="79"/>
      <c r="AM380" s="79"/>
      <c r="AN380" s="79"/>
      <c r="AO380" s="79"/>
      <c r="AP380" s="79"/>
      <c r="AQ380" s="79"/>
      <c r="AR380" s="80"/>
      <c r="AS380" s="80"/>
      <c r="AT380" s="79"/>
      <c r="AU380" s="79"/>
      <c r="AV380" s="79"/>
      <c r="AW380" s="79"/>
      <c r="AX380" s="79"/>
      <c r="AY380" s="79"/>
      <c r="AZ380" s="79"/>
      <c r="BA380" s="79"/>
      <c r="BB380" s="79"/>
      <c r="BC380" s="79"/>
      <c r="BD380" s="79"/>
      <c r="BE380" s="79"/>
      <c r="BF380" s="79"/>
      <c r="BG380" s="79"/>
      <c r="BH380" s="79"/>
      <c r="BI380" s="79"/>
      <c r="BJ380" s="79"/>
      <c r="BK380" s="79"/>
      <c r="BL380" s="79"/>
      <c r="BM380" s="79"/>
      <c r="BN380" s="79"/>
      <c r="CK380" s="81"/>
      <c r="DE380">
        <v>1948</v>
      </c>
      <c r="DF380" t="s">
        <v>198</v>
      </c>
      <c r="DG380">
        <v>17426</v>
      </c>
      <c r="DH380">
        <v>17317</v>
      </c>
      <c r="DI380">
        <v>17173</v>
      </c>
      <c r="DJ380">
        <v>17024</v>
      </c>
      <c r="DK380">
        <v>16797</v>
      </c>
      <c r="DO380">
        <v>303</v>
      </c>
      <c r="DP380" t="s">
        <v>93</v>
      </c>
      <c r="DQ380">
        <v>18114</v>
      </c>
      <c r="DR380">
        <v>1</v>
      </c>
      <c r="DS380">
        <v>756</v>
      </c>
      <c r="DV380">
        <v>879</v>
      </c>
      <c r="DW380" t="s">
        <v>361</v>
      </c>
      <c r="DX380">
        <v>2653.2658014139502</v>
      </c>
      <c r="DY380">
        <v>472</v>
      </c>
      <c r="DZ380">
        <v>445</v>
      </c>
      <c r="EA380">
        <v>277</v>
      </c>
      <c r="EB380">
        <v>1601</v>
      </c>
      <c r="EC380">
        <v>941</v>
      </c>
      <c r="ED380">
        <v>402</v>
      </c>
      <c r="EE380" s="82">
        <v>0.17768349570004699</v>
      </c>
      <c r="EF380" s="82">
        <v>0.44140850577478302</v>
      </c>
    </row>
    <row r="381" spans="1:136" x14ac:dyDescent="0.35">
      <c r="A381" s="72"/>
      <c r="B381" s="72"/>
      <c r="D381" s="72"/>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c r="AE381" s="79"/>
      <c r="AF381" s="79"/>
      <c r="AG381" s="79"/>
      <c r="AH381" s="79"/>
      <c r="AI381" s="79"/>
      <c r="AJ381" s="79"/>
      <c r="AK381" s="79"/>
      <c r="AL381" s="79"/>
      <c r="AM381" s="79"/>
      <c r="AN381" s="79"/>
      <c r="AO381" s="79"/>
      <c r="AP381" s="79"/>
      <c r="AQ381" s="79"/>
      <c r="AR381" s="80"/>
      <c r="AS381" s="80"/>
      <c r="AT381" s="79"/>
      <c r="AU381" s="79"/>
      <c r="AV381" s="79"/>
      <c r="AW381" s="79"/>
      <c r="AX381" s="79"/>
      <c r="AY381" s="79"/>
      <c r="AZ381" s="79"/>
      <c r="BA381" s="79"/>
      <c r="BB381" s="79"/>
      <c r="BC381" s="79"/>
      <c r="BD381" s="79"/>
      <c r="BE381" s="79"/>
      <c r="BF381" s="79"/>
      <c r="BG381" s="79"/>
      <c r="BH381" s="79"/>
      <c r="BI381" s="79"/>
      <c r="BJ381" s="79"/>
      <c r="BK381" s="79"/>
      <c r="BL381" s="79"/>
      <c r="BM381" s="79"/>
      <c r="BN381" s="79"/>
      <c r="CK381" s="81"/>
      <c r="DE381">
        <v>1949</v>
      </c>
      <c r="DF381" t="s">
        <v>325</v>
      </c>
      <c r="DG381">
        <v>10881.79</v>
      </c>
      <c r="DH381">
        <v>10788.86</v>
      </c>
      <c r="DI381">
        <v>10698.86</v>
      </c>
      <c r="DJ381">
        <v>10507.58</v>
      </c>
      <c r="DK381">
        <v>10370.57</v>
      </c>
      <c r="DO381">
        <v>995</v>
      </c>
      <c r="DP381" t="s">
        <v>182</v>
      </c>
      <c r="DQ381">
        <v>33257</v>
      </c>
      <c r="DR381">
        <v>1.19</v>
      </c>
      <c r="DS381">
        <v>1364</v>
      </c>
      <c r="DV381">
        <v>301</v>
      </c>
      <c r="DW381" t="s">
        <v>362</v>
      </c>
      <c r="DX381">
        <v>7574.9666835629696</v>
      </c>
      <c r="DY381">
        <v>1556</v>
      </c>
      <c r="DZ381">
        <v>1002</v>
      </c>
      <c r="EA381">
        <v>605</v>
      </c>
      <c r="EB381">
        <v>3952</v>
      </c>
      <c r="EC381">
        <v>1921</v>
      </c>
      <c r="ED381">
        <v>825</v>
      </c>
      <c r="EE381" s="82">
        <v>0.237821285446326</v>
      </c>
      <c r="EF381" s="82">
        <v>0.52542617575569694</v>
      </c>
    </row>
    <row r="382" spans="1:136" x14ac:dyDescent="0.35">
      <c r="A382" s="72"/>
      <c r="B382" s="72"/>
      <c r="D382" s="72"/>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79"/>
      <c r="AR382" s="80"/>
      <c r="AS382" s="80"/>
      <c r="AT382" s="79"/>
      <c r="AU382" s="79"/>
      <c r="AV382" s="79"/>
      <c r="AW382" s="79"/>
      <c r="AX382" s="79"/>
      <c r="AY382" s="79"/>
      <c r="AZ382" s="79"/>
      <c r="BA382" s="79"/>
      <c r="BB382" s="79"/>
      <c r="BC382" s="79"/>
      <c r="BD382" s="79"/>
      <c r="BE382" s="79"/>
      <c r="BF382" s="79"/>
      <c r="BG382" s="79"/>
      <c r="BH382" s="79"/>
      <c r="BI382" s="79"/>
      <c r="BJ382" s="79"/>
      <c r="BK382" s="79"/>
      <c r="BL382" s="79"/>
      <c r="BM382" s="79"/>
      <c r="BN382" s="79"/>
      <c r="CK382" s="81"/>
      <c r="DE382">
        <v>1950</v>
      </c>
      <c r="DF382" t="s">
        <v>339</v>
      </c>
      <c r="DG382">
        <v>4846</v>
      </c>
      <c r="DH382">
        <v>4801</v>
      </c>
      <c r="DI382">
        <v>4795</v>
      </c>
      <c r="DJ382">
        <v>4753</v>
      </c>
      <c r="DK382">
        <v>4534</v>
      </c>
      <c r="DO382">
        <v>171</v>
      </c>
      <c r="DP382" t="s">
        <v>220</v>
      </c>
      <c r="DQ382">
        <v>19959</v>
      </c>
      <c r="DR382">
        <v>1.01</v>
      </c>
      <c r="DS382">
        <v>742</v>
      </c>
      <c r="DV382">
        <v>1896</v>
      </c>
      <c r="DW382" t="s">
        <v>363</v>
      </c>
      <c r="DX382">
        <v>2261.1326079158198</v>
      </c>
      <c r="DY382">
        <v>369</v>
      </c>
      <c r="DZ382">
        <v>329</v>
      </c>
      <c r="EA382">
        <v>205</v>
      </c>
      <c r="EB382">
        <v>1383</v>
      </c>
      <c r="EC382">
        <v>739</v>
      </c>
      <c r="ED382">
        <v>276</v>
      </c>
      <c r="EE382" s="82">
        <v>0.155697456509761</v>
      </c>
      <c r="EF382" s="82">
        <v>0.46927942762387398</v>
      </c>
    </row>
    <row r="383" spans="1:136" x14ac:dyDescent="0.35">
      <c r="A383" s="72"/>
      <c r="B383" s="72"/>
      <c r="D383" s="72"/>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79"/>
      <c r="AR383" s="80"/>
      <c r="AS383" s="80"/>
      <c r="AT383" s="79"/>
      <c r="AU383" s="79"/>
      <c r="AV383" s="79"/>
      <c r="AW383" s="79"/>
      <c r="AX383" s="79"/>
      <c r="AY383" s="79"/>
      <c r="AZ383" s="79"/>
      <c r="BA383" s="79"/>
      <c r="BB383" s="79"/>
      <c r="BC383" s="79"/>
      <c r="BD383" s="79"/>
      <c r="BE383" s="79"/>
      <c r="BF383" s="79"/>
      <c r="BG383" s="79"/>
      <c r="BH383" s="79"/>
      <c r="BI383" s="79"/>
      <c r="BJ383" s="79"/>
      <c r="BK383" s="79"/>
      <c r="BL383" s="79"/>
      <c r="BM383" s="79"/>
      <c r="BN383" s="79"/>
      <c r="CK383" s="81"/>
      <c r="DE383">
        <v>1952</v>
      </c>
      <c r="DF383" t="s">
        <v>203</v>
      </c>
      <c r="DG383">
        <v>13417</v>
      </c>
      <c r="DH383">
        <v>13278</v>
      </c>
      <c r="DI383">
        <v>13110</v>
      </c>
      <c r="DJ383">
        <v>13021</v>
      </c>
      <c r="DK383">
        <v>12836</v>
      </c>
      <c r="DO383">
        <v>184</v>
      </c>
      <c r="DP383" t="s">
        <v>304</v>
      </c>
      <c r="DQ383">
        <v>6413</v>
      </c>
      <c r="DR383">
        <v>1.25</v>
      </c>
      <c r="DS383">
        <v>1059</v>
      </c>
      <c r="DV383">
        <v>642</v>
      </c>
      <c r="DW383" t="s">
        <v>364</v>
      </c>
      <c r="DX383">
        <v>6437.6523792774196</v>
      </c>
      <c r="DY383">
        <v>1154</v>
      </c>
      <c r="DZ383">
        <v>1195</v>
      </c>
      <c r="EA383">
        <v>686</v>
      </c>
      <c r="EB383">
        <v>3357</v>
      </c>
      <c r="EC383">
        <v>2362</v>
      </c>
      <c r="ED383">
        <v>960</v>
      </c>
      <c r="EE383" s="82">
        <v>0.21459963735901</v>
      </c>
      <c r="EF383" s="82">
        <v>0.45714514872359002</v>
      </c>
    </row>
    <row r="384" spans="1:136" x14ac:dyDescent="0.35">
      <c r="A384" s="72"/>
      <c r="B384" s="72"/>
      <c r="D384" s="72"/>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79"/>
      <c r="AR384" s="80"/>
      <c r="AS384" s="80"/>
      <c r="AT384" s="79"/>
      <c r="AU384" s="79"/>
      <c r="AV384" s="79"/>
      <c r="AW384" s="79"/>
      <c r="AX384" s="79"/>
      <c r="AY384" s="79"/>
      <c r="AZ384" s="79"/>
      <c r="BA384" s="79"/>
      <c r="BB384" s="79"/>
      <c r="BC384" s="79"/>
      <c r="BD384" s="79"/>
      <c r="BE384" s="79"/>
      <c r="BF384" s="79"/>
      <c r="BG384" s="79"/>
      <c r="BH384" s="79"/>
      <c r="BI384" s="79"/>
      <c r="BJ384" s="79"/>
      <c r="BK384" s="79"/>
      <c r="BL384" s="79"/>
      <c r="BM384" s="79"/>
      <c r="BN384" s="79"/>
      <c r="CK384" s="81"/>
      <c r="DE384">
        <v>1955</v>
      </c>
      <c r="DF384" t="s">
        <v>207</v>
      </c>
      <c r="DG384">
        <v>7516</v>
      </c>
      <c r="DH384">
        <v>7422</v>
      </c>
      <c r="DI384">
        <v>7201</v>
      </c>
      <c r="DJ384">
        <v>7106</v>
      </c>
      <c r="DK384">
        <v>6888</v>
      </c>
      <c r="DO384">
        <v>50</v>
      </c>
      <c r="DP384" t="s">
        <v>355</v>
      </c>
      <c r="DQ384">
        <v>9719</v>
      </c>
      <c r="DR384">
        <v>1</v>
      </c>
      <c r="DS384">
        <v>799</v>
      </c>
      <c r="DV384">
        <v>193</v>
      </c>
      <c r="DW384" t="s">
        <v>365</v>
      </c>
      <c r="DX384">
        <v>17788.899275862099</v>
      </c>
      <c r="DY384">
        <v>2800</v>
      </c>
      <c r="DZ384">
        <v>2168</v>
      </c>
      <c r="EA384">
        <v>1211</v>
      </c>
      <c r="EB384">
        <v>7120</v>
      </c>
      <c r="EC384">
        <v>4161</v>
      </c>
      <c r="ED384">
        <v>1643</v>
      </c>
      <c r="EE384" s="82">
        <v>0.20829981413972401</v>
      </c>
      <c r="EF384" s="82">
        <v>0.46927942762387398</v>
      </c>
    </row>
    <row r="385" spans="1:105" x14ac:dyDescent="0.35">
      <c r="A385" s="72"/>
      <c r="B385" s="72"/>
      <c r="D385" s="72"/>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80"/>
      <c r="AS385" s="80"/>
      <c r="AT385" s="79"/>
      <c r="AU385" s="79"/>
      <c r="AV385" s="79"/>
      <c r="AW385" s="79"/>
      <c r="AX385" s="79"/>
      <c r="AY385" s="79"/>
      <c r="AZ385" s="79"/>
      <c r="BA385" s="79"/>
      <c r="BB385" s="79"/>
      <c r="BC385" s="79"/>
      <c r="BD385" s="79"/>
      <c r="BE385" s="79"/>
      <c r="BF385" s="79"/>
      <c r="BG385" s="79"/>
      <c r="BH385" s="79"/>
      <c r="BI385" s="79"/>
      <c r="BJ385" s="79"/>
      <c r="BK385" s="79"/>
      <c r="BL385" s="79"/>
      <c r="BM385" s="79"/>
      <c r="BN385" s="79"/>
    </row>
    <row r="386" spans="1:105" x14ac:dyDescent="0.35">
      <c r="A386" s="72"/>
      <c r="B386" s="72"/>
      <c r="D386" s="72"/>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79"/>
      <c r="BA386" s="79"/>
      <c r="BB386" s="79"/>
      <c r="BC386" s="79"/>
      <c r="BD386" s="79"/>
      <c r="BE386" s="79"/>
      <c r="BF386" s="79"/>
      <c r="BG386" s="79"/>
      <c r="BH386" s="79"/>
      <c r="BI386" s="79"/>
      <c r="BJ386" s="79"/>
      <c r="BK386" s="79"/>
      <c r="BL386" s="79"/>
      <c r="BM386" s="79"/>
      <c r="BN386" s="79"/>
      <c r="BO386" s="79"/>
      <c r="BP386" s="79"/>
      <c r="BQ386" s="79"/>
      <c r="BR386" s="79"/>
      <c r="BS386" s="79"/>
      <c r="BT386" s="79"/>
      <c r="BU386" s="79"/>
      <c r="BV386" s="79"/>
      <c r="BW386" s="79"/>
      <c r="BX386" s="79"/>
      <c r="BY386" s="79"/>
      <c r="BZ386" s="79"/>
      <c r="CA386" s="79"/>
      <c r="CB386" s="79"/>
      <c r="CC386" s="79"/>
      <c r="CD386" s="79"/>
      <c r="CE386" s="79"/>
      <c r="CF386" s="79"/>
      <c r="CG386" s="79"/>
      <c r="CH386" s="79"/>
      <c r="CI386" s="79"/>
      <c r="CJ386" s="79"/>
      <c r="CK386" s="79"/>
      <c r="CL386" s="79"/>
      <c r="CM386" s="79"/>
      <c r="CN386" s="79"/>
      <c r="CO386" s="79"/>
      <c r="CP386" s="79"/>
      <c r="CQ386" s="79"/>
      <c r="CR386" s="79"/>
      <c r="CS386" s="79"/>
      <c r="CT386" s="79"/>
      <c r="CU386" s="79"/>
      <c r="CV386" s="79"/>
      <c r="CW386" s="79"/>
      <c r="CX386" s="79"/>
      <c r="CY386" s="79"/>
      <c r="CZ386" s="79"/>
      <c r="DA386" s="79"/>
    </row>
    <row r="387" spans="1:105" x14ac:dyDescent="0.35">
      <c r="A387" s="72"/>
      <c r="B387" s="72"/>
      <c r="D387" s="72"/>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80"/>
      <c r="AS387" s="80"/>
      <c r="AT387" s="79"/>
      <c r="AU387" s="79"/>
      <c r="AV387" s="79"/>
      <c r="AW387" s="79"/>
      <c r="AX387" s="79"/>
      <c r="AY387" s="79"/>
      <c r="AZ387" s="79"/>
      <c r="BA387" s="79"/>
      <c r="BB387" s="79"/>
      <c r="BC387" s="79"/>
      <c r="BD387" s="79"/>
      <c r="BE387" s="79"/>
      <c r="BF387" s="79"/>
      <c r="BG387" s="79"/>
      <c r="BH387" s="79"/>
      <c r="BI387" s="79"/>
      <c r="BJ387" s="79"/>
      <c r="BK387" s="79"/>
      <c r="BL387" s="79"/>
      <c r="BM387" s="79"/>
      <c r="BN387" s="79"/>
    </row>
    <row r="388" spans="1:105" x14ac:dyDescent="0.35">
      <c r="A388" s="72"/>
      <c r="B388" s="72"/>
      <c r="D388" s="72"/>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80"/>
      <c r="AS388" s="80"/>
      <c r="AT388" s="79"/>
      <c r="AU388" s="79"/>
      <c r="AV388" s="79"/>
      <c r="AW388" s="79"/>
      <c r="AX388" s="79"/>
      <c r="AY388" s="79"/>
      <c r="AZ388" s="79"/>
      <c r="BA388" s="79"/>
      <c r="BB388" s="79"/>
      <c r="BC388" s="79"/>
      <c r="BD388" s="79"/>
      <c r="BE388" s="79"/>
      <c r="BF388" s="79"/>
      <c r="BG388" s="79"/>
      <c r="BH388" s="79"/>
      <c r="BI388" s="79"/>
      <c r="BJ388" s="79"/>
      <c r="BK388" s="79"/>
      <c r="BL388" s="79"/>
      <c r="BM388" s="79"/>
      <c r="BN388" s="79"/>
    </row>
    <row r="389" spans="1:105" x14ac:dyDescent="0.35">
      <c r="A389" s="72"/>
      <c r="B389" s="72"/>
      <c r="D389" s="72"/>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80"/>
      <c r="AS389" s="80"/>
      <c r="AT389" s="79"/>
      <c r="AU389" s="79"/>
      <c r="AV389" s="79"/>
      <c r="AW389" s="79"/>
      <c r="AX389" s="79"/>
      <c r="AY389" s="79"/>
      <c r="AZ389" s="79"/>
      <c r="BA389" s="79"/>
      <c r="BB389" s="79"/>
      <c r="BC389" s="79"/>
      <c r="BD389" s="79"/>
      <c r="BE389" s="79"/>
      <c r="BF389" s="79"/>
      <c r="BG389" s="79"/>
      <c r="BH389" s="79"/>
      <c r="BI389" s="79"/>
      <c r="BJ389" s="79"/>
      <c r="BK389" s="79"/>
      <c r="BL389" s="79"/>
      <c r="BM389" s="79"/>
      <c r="BN389" s="79"/>
    </row>
    <row r="390" spans="1:105" x14ac:dyDescent="0.35">
      <c r="A390" s="72"/>
      <c r="B390" s="72"/>
      <c r="D390" s="72"/>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80"/>
      <c r="AS390" s="80"/>
      <c r="AT390" s="79"/>
      <c r="AU390" s="79"/>
      <c r="AV390" s="79"/>
      <c r="AW390" s="79"/>
      <c r="AX390" s="79"/>
      <c r="AY390" s="79"/>
      <c r="AZ390" s="79"/>
      <c r="BA390" s="79"/>
      <c r="BB390" s="79"/>
      <c r="BC390" s="79"/>
      <c r="BD390" s="79"/>
      <c r="BE390" s="79"/>
      <c r="BF390" s="79"/>
      <c r="BG390" s="79"/>
      <c r="BH390" s="79"/>
      <c r="BI390" s="79"/>
      <c r="BJ390" s="79"/>
      <c r="BK390" s="79"/>
      <c r="BL390" s="79"/>
      <c r="BM390" s="79"/>
      <c r="BN390" s="79"/>
    </row>
    <row r="391" spans="1:105" x14ac:dyDescent="0.35">
      <c r="A391" s="72"/>
      <c r="B391" s="72"/>
      <c r="D391" s="72"/>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80"/>
      <c r="AS391" s="80"/>
      <c r="AT391" s="79"/>
      <c r="AU391" s="79"/>
      <c r="AV391" s="79"/>
      <c r="AW391" s="79"/>
      <c r="AX391" s="79"/>
      <c r="AY391" s="79"/>
      <c r="AZ391" s="79"/>
      <c r="BA391" s="79"/>
      <c r="BB391" s="79"/>
      <c r="BC391" s="79"/>
      <c r="BD391" s="79"/>
      <c r="BE391" s="79"/>
      <c r="BF391" s="79"/>
      <c r="BG391" s="79"/>
      <c r="BH391" s="79"/>
      <c r="BI391" s="79"/>
      <c r="BJ391" s="79"/>
      <c r="BK391" s="79"/>
      <c r="BL391" s="79"/>
      <c r="BM391" s="79"/>
      <c r="BN391" s="79"/>
    </row>
    <row r="392" spans="1:105" x14ac:dyDescent="0.35">
      <c r="A392" s="72"/>
      <c r="B392" s="72"/>
      <c r="D392" s="72"/>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80"/>
      <c r="AS392" s="80"/>
      <c r="AT392" s="79"/>
      <c r="AU392" s="79"/>
      <c r="AV392" s="79"/>
      <c r="AW392" s="79"/>
      <c r="AX392" s="79"/>
      <c r="AY392" s="79"/>
      <c r="AZ392" s="79"/>
      <c r="BA392" s="79"/>
      <c r="BB392" s="79"/>
      <c r="BC392" s="79"/>
      <c r="BD392" s="79"/>
      <c r="BE392" s="79"/>
      <c r="BF392" s="79"/>
      <c r="BG392" s="79"/>
      <c r="BH392" s="79"/>
      <c r="BI392" s="79"/>
      <c r="BJ392" s="79"/>
      <c r="BK392" s="79"/>
      <c r="BL392" s="79"/>
      <c r="BM392" s="79"/>
      <c r="BN392" s="79"/>
    </row>
    <row r="393" spans="1:105" x14ac:dyDescent="0.35">
      <c r="A393" s="72"/>
      <c r="B393" s="72"/>
      <c r="D393" s="72"/>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row>
    <row r="394" spans="1:105" x14ac:dyDescent="0.35">
      <c r="A394" s="72"/>
      <c r="B394" s="72"/>
      <c r="D394" s="72"/>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row>
    <row r="395" spans="1:105" x14ac:dyDescent="0.35">
      <c r="A395" s="72"/>
      <c r="B395" s="72"/>
      <c r="D395" s="72"/>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row>
    <row r="396" spans="1:105" x14ac:dyDescent="0.35">
      <c r="A396" s="72"/>
      <c r="B396" s="72"/>
      <c r="D396" s="72"/>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7942-3F61-4D34-B789-14A122BA6284}">
  <sheetPr codeName="Blad22">
    <tabColor rgb="FF002060"/>
  </sheetPr>
  <dimension ref="A1:AMJ362"/>
  <sheetViews>
    <sheetView workbookViewId="0">
      <selection activeCell="BY1" sqref="BY1:BY1048576"/>
    </sheetView>
  </sheetViews>
  <sheetFormatPr defaultRowHeight="14.5" x14ac:dyDescent="0.35"/>
  <cols>
    <col min="1" max="3" width="9.36328125" style="72" customWidth="1"/>
    <col min="4" max="4" width="51.54296875" style="72" customWidth="1"/>
    <col min="5" max="5" width="56.453125" style="72" customWidth="1"/>
    <col min="6" max="6" width="56" style="72" customWidth="1"/>
    <col min="7" max="7" width="13.26953125" style="72" customWidth="1"/>
    <col min="8" max="8" width="9.54296875" style="72" customWidth="1"/>
    <col min="9" max="9" width="10.26953125" style="72" customWidth="1"/>
    <col min="10" max="10" width="32.1796875" style="72" customWidth="1"/>
    <col min="11" max="11" width="30.26953125" style="72" customWidth="1"/>
    <col min="12" max="12" width="28.26953125" style="72" customWidth="1"/>
    <col min="13" max="13" width="27.54296875" style="72" customWidth="1"/>
    <col min="14" max="14" width="24.54296875" style="72" customWidth="1"/>
    <col min="15" max="15" width="10.26953125" style="72" customWidth="1"/>
    <col min="16" max="16" width="9.54296875" style="72" customWidth="1"/>
    <col min="17" max="17" width="18.36328125" style="72" customWidth="1"/>
    <col min="18" max="18" width="22.6328125" style="72" customWidth="1"/>
    <col min="19" max="19" width="11.81640625" style="72" customWidth="1"/>
    <col min="20" max="21" width="10.26953125" style="72" customWidth="1"/>
    <col min="22" max="24" width="13.26953125" style="72" customWidth="1"/>
    <col min="25" max="26" width="10.26953125" style="72" customWidth="1"/>
    <col min="27" max="29" width="9.54296875" style="72" customWidth="1"/>
    <col min="30" max="31" width="13.26953125" style="72" customWidth="1"/>
    <col min="32" max="32" width="10.26953125" style="72" customWidth="1"/>
    <col min="33" max="33" width="11.36328125" style="72" customWidth="1"/>
    <col min="34" max="34" width="10.26953125" style="72" customWidth="1"/>
    <col min="35" max="35" width="9.54296875" style="72" customWidth="1"/>
    <col min="36" max="36" width="10.26953125" style="72" customWidth="1"/>
    <col min="37" max="37" width="9.54296875" style="72" customWidth="1"/>
    <col min="38" max="38" width="10.26953125" style="72" customWidth="1"/>
    <col min="39" max="40" width="13.26953125" style="72" customWidth="1"/>
    <col min="41" max="43" width="9.54296875" style="72" customWidth="1"/>
    <col min="44" max="44" width="10.26953125" style="72" customWidth="1"/>
    <col min="45" max="45" width="15.7265625" style="72" customWidth="1"/>
    <col min="46" max="46" width="11.36328125" style="72" customWidth="1"/>
    <col min="47" max="48" width="9.6328125" style="72" customWidth="1"/>
    <col min="49" max="50" width="13.26953125" style="72" customWidth="1"/>
    <col min="51" max="51" width="32" style="72" customWidth="1"/>
    <col min="52" max="52" width="13.26953125" style="72" customWidth="1"/>
    <col min="53" max="54" width="9.54296875" style="72" customWidth="1"/>
    <col min="55" max="55" width="11.81640625" style="72" customWidth="1"/>
    <col min="56" max="64" width="9.54296875" style="72" customWidth="1"/>
    <col min="65" max="65" width="10.26953125" style="72" customWidth="1"/>
    <col min="66" max="67" width="9.54296875" style="72" customWidth="1"/>
    <col min="68" max="68" width="47.7265625" style="72" customWidth="1"/>
    <col min="69" max="69" width="49.453125" style="72" customWidth="1"/>
    <col min="70" max="73" width="10.26953125" style="72" customWidth="1"/>
    <col min="74" max="74" width="45.6328125" style="72" customWidth="1"/>
    <col min="75" max="75" width="10.26953125" style="72" customWidth="1"/>
    <col min="76" max="76" width="25.36328125" style="72" customWidth="1"/>
    <col min="77" max="77" width="9.54296875" style="401" customWidth="1"/>
    <col min="78" max="78" width="13.26953125" style="72" customWidth="1"/>
    <col min="79" max="79" width="28.26953125" style="72" customWidth="1"/>
    <col min="80" max="85" width="10.26953125" style="72" customWidth="1"/>
    <col min="86" max="86" width="9.54296875" style="72" customWidth="1"/>
    <col min="87" max="89" width="10.26953125" style="72" customWidth="1"/>
    <col min="90" max="90" width="13.26953125" style="72" customWidth="1"/>
    <col min="91" max="1024" width="9.26953125" style="72" customWidth="1"/>
  </cols>
  <sheetData>
    <row r="1" spans="1:90" customFormat="1" x14ac:dyDescent="0.35">
      <c r="A1" s="72">
        <v>1</v>
      </c>
      <c r="B1" s="72">
        <f t="shared" ref="B1:BM1" si="0">A1+1</f>
        <v>2</v>
      </c>
      <c r="C1" s="72">
        <f t="shared" si="0"/>
        <v>3</v>
      </c>
      <c r="D1" s="72">
        <f t="shared" si="0"/>
        <v>4</v>
      </c>
      <c r="E1" s="72">
        <f t="shared" si="0"/>
        <v>5</v>
      </c>
      <c r="F1" s="72">
        <f t="shared" si="0"/>
        <v>6</v>
      </c>
      <c r="G1" s="72">
        <f t="shared" si="0"/>
        <v>7</v>
      </c>
      <c r="H1" s="72">
        <f t="shared" si="0"/>
        <v>8</v>
      </c>
      <c r="I1" s="72">
        <f t="shared" si="0"/>
        <v>9</v>
      </c>
      <c r="J1" s="72">
        <f t="shared" si="0"/>
        <v>10</v>
      </c>
      <c r="K1" s="72">
        <f t="shared" si="0"/>
        <v>11</v>
      </c>
      <c r="L1" s="72">
        <f t="shared" si="0"/>
        <v>12</v>
      </c>
      <c r="M1" s="72">
        <f t="shared" si="0"/>
        <v>13</v>
      </c>
      <c r="N1" s="72">
        <f t="shared" si="0"/>
        <v>14</v>
      </c>
      <c r="O1" s="72">
        <f t="shared" si="0"/>
        <v>15</v>
      </c>
      <c r="P1" s="72">
        <f t="shared" si="0"/>
        <v>16</v>
      </c>
      <c r="Q1" s="72">
        <f t="shared" si="0"/>
        <v>17</v>
      </c>
      <c r="R1" s="72">
        <f t="shared" si="0"/>
        <v>18</v>
      </c>
      <c r="S1" s="72">
        <f t="shared" si="0"/>
        <v>19</v>
      </c>
      <c r="T1" s="72">
        <f t="shared" si="0"/>
        <v>20</v>
      </c>
      <c r="U1" s="72">
        <f t="shared" si="0"/>
        <v>21</v>
      </c>
      <c r="V1" s="72">
        <f t="shared" si="0"/>
        <v>22</v>
      </c>
      <c r="W1" s="72">
        <f t="shared" si="0"/>
        <v>23</v>
      </c>
      <c r="X1" s="72">
        <f t="shared" si="0"/>
        <v>24</v>
      </c>
      <c r="Y1" s="72">
        <f t="shared" si="0"/>
        <v>25</v>
      </c>
      <c r="Z1" s="72">
        <f t="shared" si="0"/>
        <v>26</v>
      </c>
      <c r="AA1" s="72">
        <f t="shared" si="0"/>
        <v>27</v>
      </c>
      <c r="AB1" s="72">
        <f t="shared" si="0"/>
        <v>28</v>
      </c>
      <c r="AC1" s="72">
        <f t="shared" si="0"/>
        <v>29</v>
      </c>
      <c r="AD1" s="72">
        <f t="shared" si="0"/>
        <v>30</v>
      </c>
      <c r="AE1" s="72">
        <f t="shared" si="0"/>
        <v>31</v>
      </c>
      <c r="AF1" s="72">
        <f t="shared" si="0"/>
        <v>32</v>
      </c>
      <c r="AG1" s="72">
        <f t="shared" si="0"/>
        <v>33</v>
      </c>
      <c r="AH1" s="72">
        <f t="shared" si="0"/>
        <v>34</v>
      </c>
      <c r="AI1" s="72">
        <f t="shared" si="0"/>
        <v>35</v>
      </c>
      <c r="AJ1" s="72">
        <f t="shared" si="0"/>
        <v>36</v>
      </c>
      <c r="AK1" s="72">
        <f t="shared" si="0"/>
        <v>37</v>
      </c>
      <c r="AL1" s="72">
        <f t="shared" si="0"/>
        <v>38</v>
      </c>
      <c r="AM1" s="72">
        <f t="shared" si="0"/>
        <v>39</v>
      </c>
      <c r="AN1" s="72">
        <f t="shared" si="0"/>
        <v>40</v>
      </c>
      <c r="AO1" s="72">
        <f t="shared" si="0"/>
        <v>41</v>
      </c>
      <c r="AP1" s="72">
        <f t="shared" si="0"/>
        <v>42</v>
      </c>
      <c r="AQ1" s="72">
        <f t="shared" si="0"/>
        <v>43</v>
      </c>
      <c r="AR1" s="72">
        <f t="shared" si="0"/>
        <v>44</v>
      </c>
      <c r="AS1" s="72">
        <f t="shared" si="0"/>
        <v>45</v>
      </c>
      <c r="AT1" s="72">
        <f t="shared" si="0"/>
        <v>46</v>
      </c>
      <c r="AU1" s="72">
        <f t="shared" si="0"/>
        <v>47</v>
      </c>
      <c r="AV1" s="72">
        <f t="shared" si="0"/>
        <v>48</v>
      </c>
      <c r="AW1" s="72">
        <f t="shared" si="0"/>
        <v>49</v>
      </c>
      <c r="AX1" s="72">
        <f t="shared" si="0"/>
        <v>50</v>
      </c>
      <c r="AY1" s="72">
        <f t="shared" si="0"/>
        <v>51</v>
      </c>
      <c r="AZ1" s="72">
        <f t="shared" si="0"/>
        <v>52</v>
      </c>
      <c r="BA1" s="72">
        <f t="shared" si="0"/>
        <v>53</v>
      </c>
      <c r="BB1" s="72">
        <f t="shared" si="0"/>
        <v>54</v>
      </c>
      <c r="BC1" s="72">
        <f t="shared" si="0"/>
        <v>55</v>
      </c>
      <c r="BD1" s="72">
        <f t="shared" si="0"/>
        <v>56</v>
      </c>
      <c r="BE1" s="72">
        <f t="shared" si="0"/>
        <v>57</v>
      </c>
      <c r="BF1" s="72">
        <f t="shared" si="0"/>
        <v>58</v>
      </c>
      <c r="BG1" s="72">
        <f t="shared" si="0"/>
        <v>59</v>
      </c>
      <c r="BH1" s="72">
        <f t="shared" si="0"/>
        <v>60</v>
      </c>
      <c r="BI1" s="72">
        <f t="shared" si="0"/>
        <v>61</v>
      </c>
      <c r="BJ1" s="72">
        <f t="shared" si="0"/>
        <v>62</v>
      </c>
      <c r="BK1" s="72">
        <f t="shared" si="0"/>
        <v>63</v>
      </c>
      <c r="BL1" s="72">
        <f t="shared" si="0"/>
        <v>64</v>
      </c>
      <c r="BM1" s="72">
        <f t="shared" si="0"/>
        <v>65</v>
      </c>
      <c r="BN1" s="72">
        <f t="shared" ref="BN1:CL1" si="1">BM1+1</f>
        <v>66</v>
      </c>
      <c r="BO1" s="72">
        <f t="shared" si="1"/>
        <v>67</v>
      </c>
      <c r="BP1" s="72">
        <f t="shared" si="1"/>
        <v>68</v>
      </c>
      <c r="BQ1" s="72">
        <f t="shared" si="1"/>
        <v>69</v>
      </c>
      <c r="BR1" s="72">
        <f t="shared" si="1"/>
        <v>70</v>
      </c>
      <c r="BS1" s="72">
        <f t="shared" si="1"/>
        <v>71</v>
      </c>
      <c r="BT1" s="72">
        <f t="shared" si="1"/>
        <v>72</v>
      </c>
      <c r="BU1" s="72">
        <f t="shared" si="1"/>
        <v>73</v>
      </c>
      <c r="BV1" s="72">
        <f t="shared" si="1"/>
        <v>74</v>
      </c>
      <c r="BW1" s="72">
        <f t="shared" si="1"/>
        <v>75</v>
      </c>
      <c r="BX1" s="72">
        <f t="shared" si="1"/>
        <v>76</v>
      </c>
      <c r="BY1" s="401">
        <f t="shared" si="1"/>
        <v>77</v>
      </c>
      <c r="BZ1" s="72">
        <f t="shared" si="1"/>
        <v>78</v>
      </c>
      <c r="CA1" s="72">
        <f t="shared" si="1"/>
        <v>79</v>
      </c>
      <c r="CB1" s="72">
        <f t="shared" si="1"/>
        <v>80</v>
      </c>
      <c r="CC1" s="72">
        <f t="shared" si="1"/>
        <v>81</v>
      </c>
      <c r="CD1" s="72">
        <f t="shared" si="1"/>
        <v>82</v>
      </c>
      <c r="CE1" s="72">
        <f t="shared" si="1"/>
        <v>83</v>
      </c>
      <c r="CF1" s="72">
        <f t="shared" si="1"/>
        <v>84</v>
      </c>
      <c r="CG1" s="72">
        <f t="shared" si="1"/>
        <v>85</v>
      </c>
      <c r="CH1" s="72">
        <f t="shared" si="1"/>
        <v>86</v>
      </c>
      <c r="CI1" s="72">
        <f t="shared" si="1"/>
        <v>87</v>
      </c>
      <c r="CJ1" s="72">
        <f t="shared" si="1"/>
        <v>88</v>
      </c>
      <c r="CK1" s="72">
        <f t="shared" si="1"/>
        <v>89</v>
      </c>
      <c r="CL1" s="72">
        <f t="shared" si="1"/>
        <v>90</v>
      </c>
    </row>
    <row r="2" spans="1:90" customFormat="1" x14ac:dyDescent="0.35">
      <c r="A2" s="72"/>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401"/>
      <c r="BZ2" s="72"/>
      <c r="CA2" s="72"/>
      <c r="CB2" s="72"/>
      <c r="CC2" s="72"/>
      <c r="CD2" s="72"/>
      <c r="CE2" s="72"/>
      <c r="CF2" s="72"/>
      <c r="CG2" s="72"/>
      <c r="CH2" s="72"/>
      <c r="CI2" s="72"/>
      <c r="CJ2" s="72"/>
      <c r="CK2" s="72"/>
      <c r="CL2" s="72"/>
    </row>
    <row r="3" spans="1:90" customFormat="1" x14ac:dyDescent="0.35">
      <c r="A3" s="72"/>
      <c r="B3" s="72"/>
      <c r="C3" s="72"/>
      <c r="D3" s="72" t="s">
        <v>1273</v>
      </c>
      <c r="E3" s="72"/>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c r="AH3" s="72"/>
      <c r="AI3" s="72"/>
      <c r="AJ3" s="72"/>
      <c r="AK3" s="72"/>
      <c r="AL3" s="72"/>
      <c r="AM3" s="72"/>
      <c r="AN3" s="72"/>
      <c r="AO3" s="72"/>
      <c r="AP3" s="72"/>
      <c r="AQ3" s="72"/>
      <c r="AR3" s="72"/>
      <c r="AS3" s="72"/>
      <c r="AT3" s="72"/>
      <c r="AU3" s="72"/>
      <c r="AV3" s="72"/>
      <c r="AW3" s="72"/>
      <c r="AX3" s="72"/>
      <c r="AY3" s="72"/>
      <c r="AZ3" s="72"/>
      <c r="BA3" s="72"/>
      <c r="BB3" s="72"/>
      <c r="BC3" s="72"/>
      <c r="BD3" s="72"/>
      <c r="BE3" s="72"/>
      <c r="BF3" s="72"/>
      <c r="BG3" s="72"/>
      <c r="BH3" s="72"/>
      <c r="BI3" s="72"/>
      <c r="BJ3" s="72"/>
      <c r="BK3" s="72"/>
      <c r="BL3" s="72"/>
      <c r="BM3" s="72"/>
      <c r="BN3" s="72"/>
      <c r="BO3" s="72"/>
      <c r="BP3" s="72"/>
      <c r="BQ3" s="72"/>
      <c r="BR3" s="72"/>
      <c r="BS3" s="72"/>
      <c r="BT3" s="72"/>
      <c r="BU3" s="72"/>
      <c r="BV3" s="72"/>
      <c r="BW3" s="72"/>
      <c r="BX3" s="72"/>
      <c r="BY3" s="401"/>
      <c r="BZ3" s="72"/>
      <c r="CA3" s="72"/>
      <c r="CB3" s="72"/>
      <c r="CC3" s="72"/>
      <c r="CD3" s="72"/>
      <c r="CE3" s="72"/>
      <c r="CF3" s="72"/>
      <c r="CG3" s="72"/>
      <c r="CH3" s="72"/>
      <c r="CI3" s="72"/>
      <c r="CJ3" s="72"/>
      <c r="CK3" s="72"/>
      <c r="CL3" s="72"/>
    </row>
    <row r="4" spans="1:90" customFormat="1" x14ac:dyDescent="0.35">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401"/>
      <c r="BZ4" s="72"/>
      <c r="CA4" s="72"/>
      <c r="CB4" s="72"/>
      <c r="CC4" s="72"/>
      <c r="CD4" s="72"/>
      <c r="CE4" s="72"/>
      <c r="CF4" s="72"/>
      <c r="CG4" s="72"/>
      <c r="CH4" s="72"/>
      <c r="CI4" s="72"/>
      <c r="CJ4" s="72"/>
      <c r="CK4" s="72"/>
      <c r="CL4" s="72"/>
    </row>
    <row r="5" spans="1:90" customFormat="1" x14ac:dyDescent="0.35">
      <c r="A5" s="398" t="s">
        <v>828</v>
      </c>
      <c r="B5" s="398" t="s">
        <v>831</v>
      </c>
      <c r="C5" s="398" t="s">
        <v>829</v>
      </c>
      <c r="D5" s="72" t="s">
        <v>1211</v>
      </c>
      <c r="E5" s="72" t="s">
        <v>1212</v>
      </c>
      <c r="F5" s="72" t="s">
        <v>1213</v>
      </c>
      <c r="G5" s="72" t="s">
        <v>837</v>
      </c>
      <c r="H5" s="72" t="s">
        <v>1214</v>
      </c>
      <c r="I5" s="72" t="s">
        <v>1215</v>
      </c>
      <c r="J5" s="72" t="s">
        <v>1216</v>
      </c>
      <c r="K5" s="72" t="s">
        <v>1217</v>
      </c>
      <c r="L5" s="72" t="s">
        <v>1218</v>
      </c>
      <c r="M5" s="72" t="s">
        <v>843</v>
      </c>
      <c r="N5" s="72" t="s">
        <v>1219</v>
      </c>
      <c r="O5" s="72" t="s">
        <v>845</v>
      </c>
      <c r="P5" s="72" t="s">
        <v>892</v>
      </c>
      <c r="Q5" s="72" t="s">
        <v>846</v>
      </c>
      <c r="R5" s="72" t="s">
        <v>893</v>
      </c>
      <c r="S5" s="72" t="s">
        <v>847</v>
      </c>
      <c r="T5" s="72" t="s">
        <v>1220</v>
      </c>
      <c r="U5" s="72" t="s">
        <v>849</v>
      </c>
      <c r="V5" s="72" t="s">
        <v>850</v>
      </c>
      <c r="W5" s="72" t="s">
        <v>851</v>
      </c>
      <c r="X5" s="72" t="s">
        <v>852</v>
      </c>
      <c r="Y5" s="72" t="s">
        <v>853</v>
      </c>
      <c r="Z5" s="72" t="s">
        <v>854</v>
      </c>
      <c r="AA5" s="72" t="s">
        <v>1221</v>
      </c>
      <c r="AB5" s="72" t="s">
        <v>856</v>
      </c>
      <c r="AC5" s="72" t="s">
        <v>857</v>
      </c>
      <c r="AD5" s="72" t="s">
        <v>858</v>
      </c>
      <c r="AE5" s="72" t="s">
        <v>859</v>
      </c>
      <c r="AF5" s="72" t="s">
        <v>860</v>
      </c>
      <c r="AG5" s="72" t="s">
        <v>861</v>
      </c>
      <c r="AH5" s="72" t="s">
        <v>1237</v>
      </c>
      <c r="AI5" s="72" t="s">
        <v>1238</v>
      </c>
      <c r="AJ5" s="72" t="s">
        <v>1223</v>
      </c>
      <c r="AK5" s="72" t="s">
        <v>1224</v>
      </c>
      <c r="AL5" s="72" t="s">
        <v>1222</v>
      </c>
      <c r="AM5" s="72" t="s">
        <v>865</v>
      </c>
      <c r="AN5" s="72" t="s">
        <v>1225</v>
      </c>
      <c r="AO5" s="72" t="s">
        <v>867</v>
      </c>
      <c r="AP5" s="72" t="s">
        <v>868</v>
      </c>
      <c r="AQ5" s="72" t="s">
        <v>869</v>
      </c>
      <c r="AR5" s="72" t="s">
        <v>1226</v>
      </c>
      <c r="AS5" s="72" t="s">
        <v>1227</v>
      </c>
      <c r="AT5" s="72" t="s">
        <v>1228</v>
      </c>
      <c r="AU5" s="72" t="s">
        <v>1229</v>
      </c>
      <c r="AV5" s="72" t="s">
        <v>1230</v>
      </c>
      <c r="AW5" s="72" t="s">
        <v>1231</v>
      </c>
      <c r="AX5" s="72" t="s">
        <v>1232</v>
      </c>
      <c r="AY5" s="72" t="s">
        <v>1233</v>
      </c>
      <c r="AZ5" s="72" t="s">
        <v>1274</v>
      </c>
      <c r="BA5" s="72" t="s">
        <v>1234</v>
      </c>
      <c r="BB5" s="72" t="s">
        <v>1235</v>
      </c>
      <c r="BC5" s="72" t="s">
        <v>1236</v>
      </c>
      <c r="BD5" s="72" t="s">
        <v>882</v>
      </c>
      <c r="BE5" s="72" t="s">
        <v>886</v>
      </c>
      <c r="BF5" s="72" t="s">
        <v>885</v>
      </c>
      <c r="BG5" s="72" t="s">
        <v>884</v>
      </c>
      <c r="BH5" s="72" t="s">
        <v>883</v>
      </c>
      <c r="BI5" s="72" t="s">
        <v>888</v>
      </c>
      <c r="BJ5" s="72" t="s">
        <v>889</v>
      </c>
      <c r="BK5" s="72" t="s">
        <v>890</v>
      </c>
      <c r="BL5" s="72" t="s">
        <v>891</v>
      </c>
      <c r="BM5" s="72" t="s">
        <v>1239</v>
      </c>
      <c r="BN5" s="72" t="s">
        <v>1240</v>
      </c>
      <c r="BO5" s="72" t="s">
        <v>1241</v>
      </c>
      <c r="BP5" s="72" t="s">
        <v>1242</v>
      </c>
      <c r="BQ5" s="72" t="s">
        <v>1243</v>
      </c>
      <c r="BR5" s="72" t="s">
        <v>913</v>
      </c>
      <c r="BS5" s="72" t="s">
        <v>914</v>
      </c>
      <c r="BT5" s="72" t="s">
        <v>915</v>
      </c>
      <c r="BU5" s="72" t="s">
        <v>1244</v>
      </c>
      <c r="BV5" s="72" t="s">
        <v>917</v>
      </c>
      <c r="BW5" s="72" t="s">
        <v>1245</v>
      </c>
      <c r="BX5" s="72" t="s">
        <v>919</v>
      </c>
      <c r="BY5" s="401" t="s">
        <v>1246</v>
      </c>
      <c r="BZ5" s="72" t="s">
        <v>1247</v>
      </c>
      <c r="CA5" s="72" t="s">
        <v>1248</v>
      </c>
      <c r="CB5" s="72" t="s">
        <v>1249</v>
      </c>
      <c r="CC5" s="72" t="s">
        <v>924</v>
      </c>
      <c r="CD5" s="72" t="s">
        <v>925</v>
      </c>
      <c r="CE5" s="72" t="s">
        <v>926</v>
      </c>
      <c r="CF5" s="72" t="s">
        <v>927</v>
      </c>
      <c r="CG5" s="72" t="s">
        <v>928</v>
      </c>
      <c r="CH5" s="72" t="s">
        <v>929</v>
      </c>
      <c r="CI5" s="72" t="s">
        <v>930</v>
      </c>
      <c r="CJ5" s="72" t="s">
        <v>931</v>
      </c>
      <c r="CK5" s="72" t="s">
        <v>932</v>
      </c>
      <c r="CL5" s="72" t="s">
        <v>933</v>
      </c>
    </row>
    <row r="6" spans="1:90" customFormat="1" x14ac:dyDescent="0.35">
      <c r="A6" s="72">
        <v>3</v>
      </c>
      <c r="B6" s="72" t="s">
        <v>28</v>
      </c>
      <c r="C6" s="72">
        <v>1</v>
      </c>
      <c r="D6" s="78">
        <v>725200000</v>
      </c>
      <c r="E6" s="78">
        <v>112350000</v>
      </c>
      <c r="F6" s="78">
        <v>120750000</v>
      </c>
      <c r="G6" s="78">
        <v>11642</v>
      </c>
      <c r="H6" s="78">
        <v>1</v>
      </c>
      <c r="I6" s="78">
        <f t="shared" ref="I6:I69" si="2">F6/1000000</f>
        <v>120.75</v>
      </c>
      <c r="J6" s="78">
        <v>2076</v>
      </c>
      <c r="K6" s="78">
        <v>2951</v>
      </c>
      <c r="L6" s="78">
        <v>976</v>
      </c>
      <c r="M6" s="78">
        <v>2179</v>
      </c>
      <c r="N6" s="78">
        <f t="shared" ref="N6:N69" si="3">IF(M6-0.1*AM6&lt;=0,0,M6-0.1*AM6)</f>
        <v>1562.5</v>
      </c>
      <c r="O6" s="78">
        <v>430.66666666666703</v>
      </c>
      <c r="P6" s="78">
        <v>26</v>
      </c>
      <c r="Q6" s="78">
        <v>1387.6666666666699</v>
      </c>
      <c r="R6" s="78">
        <v>2094</v>
      </c>
      <c r="S6" s="78">
        <v>600</v>
      </c>
      <c r="T6" s="78">
        <v>0</v>
      </c>
      <c r="U6" s="78">
        <v>470</v>
      </c>
      <c r="V6" s="78">
        <v>5786</v>
      </c>
      <c r="W6" s="78">
        <v>12660</v>
      </c>
      <c r="X6" s="78">
        <v>7090</v>
      </c>
      <c r="Y6" s="78">
        <v>532.36</v>
      </c>
      <c r="Z6" s="78">
        <v>700</v>
      </c>
      <c r="AA6" s="78">
        <v>0</v>
      </c>
      <c r="AB6" s="399">
        <v>0</v>
      </c>
      <c r="AC6" s="399">
        <v>0</v>
      </c>
      <c r="AD6" s="78">
        <v>2376</v>
      </c>
      <c r="AE6" s="78">
        <v>3136.32</v>
      </c>
      <c r="AF6" s="78">
        <v>82</v>
      </c>
      <c r="AG6" s="78">
        <v>0</v>
      </c>
      <c r="AH6" s="78">
        <v>68</v>
      </c>
      <c r="AI6" s="78">
        <v>15</v>
      </c>
      <c r="AJ6" s="78">
        <v>89.08</v>
      </c>
      <c r="AK6" s="78">
        <v>19.8</v>
      </c>
      <c r="AL6" s="78">
        <v>82</v>
      </c>
      <c r="AM6" s="78">
        <v>6165</v>
      </c>
      <c r="AN6" s="78">
        <v>8076.15</v>
      </c>
      <c r="AO6" s="78">
        <v>9</v>
      </c>
      <c r="AP6" s="78">
        <v>0</v>
      </c>
      <c r="AQ6" s="78">
        <v>0</v>
      </c>
      <c r="AR6" s="78">
        <v>0</v>
      </c>
      <c r="AS6" s="78">
        <v>1268</v>
      </c>
      <c r="AT6" s="78">
        <v>1268</v>
      </c>
      <c r="AU6" s="400">
        <v>9.0121699999999995E-4</v>
      </c>
      <c r="AV6" s="400">
        <v>1.0897529999999999E-3</v>
      </c>
      <c r="AW6" s="78">
        <v>6571.89</v>
      </c>
      <c r="AX6" s="78">
        <v>0</v>
      </c>
      <c r="AY6" s="78">
        <v>1081.08</v>
      </c>
      <c r="AZ6" s="78">
        <v>11122.3253702197</v>
      </c>
      <c r="BA6" s="78">
        <v>1</v>
      </c>
      <c r="BB6" s="78">
        <v>1.32</v>
      </c>
      <c r="BC6" s="78">
        <v>768</v>
      </c>
      <c r="BD6" s="78">
        <v>1</v>
      </c>
      <c r="BE6" s="78">
        <v>0</v>
      </c>
      <c r="BF6" s="78">
        <v>0</v>
      </c>
      <c r="BG6" s="78">
        <v>0</v>
      </c>
      <c r="BH6" s="78">
        <v>0</v>
      </c>
      <c r="BI6" s="78">
        <v>0</v>
      </c>
      <c r="BJ6" s="78">
        <v>0</v>
      </c>
      <c r="BK6" s="78">
        <v>0</v>
      </c>
      <c r="BL6" s="78">
        <v>0</v>
      </c>
      <c r="BM6" s="78">
        <v>381.98399999999998</v>
      </c>
      <c r="BN6" s="78">
        <v>63</v>
      </c>
      <c r="BO6" s="78">
        <v>51</v>
      </c>
      <c r="BP6" s="78">
        <v>2985.12</v>
      </c>
      <c r="BQ6" s="78">
        <v>589.47</v>
      </c>
      <c r="BR6" s="78">
        <v>70.361040572792405</v>
      </c>
      <c r="BS6" s="78">
        <v>197</v>
      </c>
      <c r="BT6" s="78">
        <v>128.666666666667</v>
      </c>
      <c r="BU6" s="78">
        <v>115.333333333333</v>
      </c>
      <c r="BV6" s="78">
        <f t="shared" ref="BV6:BV69" si="4">Q6-O6</f>
        <v>957.00000000000296</v>
      </c>
      <c r="BW6" s="78">
        <v>320</v>
      </c>
      <c r="BX6" s="78">
        <v>3202.7468782527098</v>
      </c>
      <c r="BY6" s="402">
        <v>1.387</v>
      </c>
      <c r="BZ6" s="78">
        <v>8691</v>
      </c>
      <c r="CA6" s="78">
        <v>1644</v>
      </c>
      <c r="CB6" s="78">
        <v>331</v>
      </c>
      <c r="CC6" s="78">
        <v>374</v>
      </c>
      <c r="CD6" s="78">
        <v>336</v>
      </c>
      <c r="CE6" s="78">
        <v>166</v>
      </c>
      <c r="CF6" s="78">
        <v>260.03649635036498</v>
      </c>
      <c r="CG6" s="78">
        <v>168.79562043795599</v>
      </c>
      <c r="CH6" s="78">
        <v>58.292781832927801</v>
      </c>
      <c r="CI6" s="78">
        <v>603.39059999999995</v>
      </c>
      <c r="CJ6" s="78">
        <v>391.6746</v>
      </c>
      <c r="CK6" s="78">
        <v>135.26300000000001</v>
      </c>
      <c r="CL6" s="78">
        <v>27118</v>
      </c>
    </row>
    <row r="7" spans="1:90" customFormat="1" x14ac:dyDescent="0.35">
      <c r="A7" s="72">
        <v>10</v>
      </c>
      <c r="B7" s="72" t="s">
        <v>81</v>
      </c>
      <c r="C7" s="72">
        <v>1</v>
      </c>
      <c r="D7" s="78">
        <v>1257200000</v>
      </c>
      <c r="E7" s="78">
        <v>621600000</v>
      </c>
      <c r="F7" s="78">
        <v>653800000</v>
      </c>
      <c r="G7" s="78">
        <v>24678</v>
      </c>
      <c r="H7" s="78">
        <v>3</v>
      </c>
      <c r="I7" s="78">
        <f t="shared" si="2"/>
        <v>653.79999999999995</v>
      </c>
      <c r="J7" s="78">
        <v>4249</v>
      </c>
      <c r="K7" s="78">
        <v>6239</v>
      </c>
      <c r="L7" s="78">
        <v>2181</v>
      </c>
      <c r="M7" s="78">
        <v>4297</v>
      </c>
      <c r="N7" s="78">
        <f t="shared" si="3"/>
        <v>3065.5</v>
      </c>
      <c r="O7" s="78">
        <v>921.66666666666697</v>
      </c>
      <c r="P7" s="78">
        <v>44</v>
      </c>
      <c r="Q7" s="78">
        <v>2507.6666666666702</v>
      </c>
      <c r="R7" s="78">
        <v>4364</v>
      </c>
      <c r="S7" s="78">
        <v>1815</v>
      </c>
      <c r="T7" s="78">
        <v>0</v>
      </c>
      <c r="U7" s="78">
        <v>951</v>
      </c>
      <c r="V7" s="78">
        <v>12242</v>
      </c>
      <c r="W7" s="78">
        <v>24710</v>
      </c>
      <c r="X7" s="78">
        <v>16860</v>
      </c>
      <c r="Y7" s="78">
        <v>0</v>
      </c>
      <c r="Z7" s="78">
        <v>738.4</v>
      </c>
      <c r="AA7" s="78">
        <v>0</v>
      </c>
      <c r="AB7" s="399">
        <v>0</v>
      </c>
      <c r="AC7" s="399">
        <v>0</v>
      </c>
      <c r="AD7" s="78">
        <v>13304</v>
      </c>
      <c r="AE7" s="78">
        <v>16496.96</v>
      </c>
      <c r="AF7" s="78">
        <v>542</v>
      </c>
      <c r="AG7" s="78">
        <v>8904</v>
      </c>
      <c r="AH7" s="78">
        <v>154</v>
      </c>
      <c r="AI7" s="78">
        <v>117</v>
      </c>
      <c r="AJ7" s="78">
        <v>200.2</v>
      </c>
      <c r="AK7" s="78">
        <v>143.91</v>
      </c>
      <c r="AL7" s="78">
        <v>271</v>
      </c>
      <c r="AM7" s="78">
        <v>12315</v>
      </c>
      <c r="AN7" s="78">
        <v>16009.5</v>
      </c>
      <c r="AO7" s="78">
        <v>6</v>
      </c>
      <c r="AP7" s="78">
        <v>0</v>
      </c>
      <c r="AQ7" s="78">
        <v>0</v>
      </c>
      <c r="AR7" s="78">
        <v>0</v>
      </c>
      <c r="AS7" s="78">
        <v>1579</v>
      </c>
      <c r="AT7" s="78">
        <v>948</v>
      </c>
      <c r="AU7" s="400">
        <v>1.5469520000000001E-3</v>
      </c>
      <c r="AV7" s="400">
        <v>1.9630590000000001E-3</v>
      </c>
      <c r="AW7" s="78">
        <v>8349.57</v>
      </c>
      <c r="AX7" s="78">
        <v>0</v>
      </c>
      <c r="AY7" s="78">
        <v>3870.04</v>
      </c>
      <c r="AZ7" s="78">
        <v>12153.2109836776</v>
      </c>
      <c r="BA7" s="78">
        <v>11</v>
      </c>
      <c r="BB7" s="78">
        <v>13.53</v>
      </c>
      <c r="BC7" s="78">
        <v>1883</v>
      </c>
      <c r="BD7" s="78">
        <v>1</v>
      </c>
      <c r="BE7" s="78">
        <v>0</v>
      </c>
      <c r="BF7" s="78">
        <v>0</v>
      </c>
      <c r="BG7" s="78">
        <v>0</v>
      </c>
      <c r="BH7" s="78">
        <v>0</v>
      </c>
      <c r="BI7" s="78">
        <v>0</v>
      </c>
      <c r="BJ7" s="78">
        <v>0</v>
      </c>
      <c r="BK7" s="78">
        <v>0</v>
      </c>
      <c r="BL7" s="78">
        <v>0</v>
      </c>
      <c r="BM7" s="78">
        <v>815.80799999999999</v>
      </c>
      <c r="BN7" s="78">
        <v>147</v>
      </c>
      <c r="BO7" s="78">
        <v>94</v>
      </c>
      <c r="BP7" s="78">
        <v>6375.05</v>
      </c>
      <c r="BQ7" s="78">
        <v>1201.05</v>
      </c>
      <c r="BR7" s="78">
        <v>161.35617034068099</v>
      </c>
      <c r="BS7" s="78">
        <v>350</v>
      </c>
      <c r="BT7" s="78">
        <v>280.33333333333297</v>
      </c>
      <c r="BU7" s="78">
        <v>267.33333333333297</v>
      </c>
      <c r="BV7" s="78">
        <f t="shared" si="4"/>
        <v>1586.0000000000032</v>
      </c>
      <c r="BW7" s="78">
        <v>479</v>
      </c>
      <c r="BX7" s="78">
        <v>6301.3769315423197</v>
      </c>
      <c r="BY7" s="402">
        <v>3.0310000000000001</v>
      </c>
      <c r="BZ7" s="78">
        <v>18439</v>
      </c>
      <c r="CA7" s="78">
        <v>3319</v>
      </c>
      <c r="CB7" s="78">
        <v>739</v>
      </c>
      <c r="CC7" s="78">
        <v>799</v>
      </c>
      <c r="CD7" s="78">
        <v>741</v>
      </c>
      <c r="CE7" s="78">
        <v>380</v>
      </c>
      <c r="CF7" s="78">
        <v>534.93784003248095</v>
      </c>
      <c r="CG7" s="78">
        <v>367.66086073893598</v>
      </c>
      <c r="CH7" s="78">
        <v>125.208810393829</v>
      </c>
      <c r="CI7" s="78">
        <v>1252.867</v>
      </c>
      <c r="CJ7" s="78">
        <v>861.09100000000001</v>
      </c>
      <c r="CK7" s="78">
        <v>293.24900000000002</v>
      </c>
      <c r="CL7" s="78">
        <v>30029</v>
      </c>
    </row>
    <row r="8" spans="1:90" customFormat="1" x14ac:dyDescent="0.35">
      <c r="A8" s="72">
        <v>14</v>
      </c>
      <c r="B8" s="72" t="s">
        <v>122</v>
      </c>
      <c r="C8" s="72">
        <v>1</v>
      </c>
      <c r="D8" s="78">
        <v>19092000000</v>
      </c>
      <c r="E8" s="78">
        <v>3891650000</v>
      </c>
      <c r="F8" s="78">
        <v>3975650000</v>
      </c>
      <c r="G8" s="78">
        <v>232874</v>
      </c>
      <c r="H8" s="78">
        <v>4</v>
      </c>
      <c r="I8" s="78">
        <f t="shared" si="2"/>
        <v>3975.65</v>
      </c>
      <c r="J8" s="78">
        <v>34451</v>
      </c>
      <c r="K8" s="78">
        <v>34201</v>
      </c>
      <c r="L8" s="78">
        <v>9973</v>
      </c>
      <c r="M8" s="78">
        <v>40523</v>
      </c>
      <c r="N8" s="78">
        <f t="shared" si="3"/>
        <v>27986.3</v>
      </c>
      <c r="O8" s="78">
        <v>10850.666666666701</v>
      </c>
      <c r="P8" s="78">
        <v>283</v>
      </c>
      <c r="Q8" s="78">
        <v>21519.666666666701</v>
      </c>
      <c r="R8" s="78">
        <v>80637</v>
      </c>
      <c r="S8" s="78">
        <v>12455</v>
      </c>
      <c r="T8" s="78">
        <v>0</v>
      </c>
      <c r="U8" s="78">
        <v>7645</v>
      </c>
      <c r="V8" s="78">
        <v>139031</v>
      </c>
      <c r="W8" s="78">
        <v>257990</v>
      </c>
      <c r="X8" s="78">
        <v>532180</v>
      </c>
      <c r="Y8" s="78">
        <v>8632.1254000000008</v>
      </c>
      <c r="Z8" s="78">
        <v>12672.8</v>
      </c>
      <c r="AA8" s="78">
        <v>0</v>
      </c>
      <c r="AB8" s="399">
        <v>0</v>
      </c>
      <c r="AC8" s="399">
        <v>0</v>
      </c>
      <c r="AD8" s="78">
        <v>18529</v>
      </c>
      <c r="AE8" s="78">
        <v>20567.189999999999</v>
      </c>
      <c r="AF8" s="78">
        <v>1267</v>
      </c>
      <c r="AG8" s="78">
        <v>0</v>
      </c>
      <c r="AH8" s="78">
        <v>936</v>
      </c>
      <c r="AI8" s="78">
        <v>117</v>
      </c>
      <c r="AJ8" s="78">
        <v>1048.32</v>
      </c>
      <c r="AK8" s="78">
        <v>129.87</v>
      </c>
      <c r="AL8" s="78">
        <v>1053</v>
      </c>
      <c r="AM8" s="78">
        <v>125367</v>
      </c>
      <c r="AN8" s="78">
        <v>140411.04</v>
      </c>
      <c r="AO8" s="78">
        <v>0</v>
      </c>
      <c r="AP8" s="78">
        <v>0</v>
      </c>
      <c r="AQ8" s="78">
        <v>112</v>
      </c>
      <c r="AR8" s="78">
        <v>6100</v>
      </c>
      <c r="AS8" s="78">
        <v>25791</v>
      </c>
      <c r="AT8" s="78">
        <v>23468</v>
      </c>
      <c r="AU8" s="400">
        <v>4.3219117000000001E-2</v>
      </c>
      <c r="AV8" s="400">
        <v>5.1323359999999998E-2</v>
      </c>
      <c r="AW8" s="78">
        <v>409573.989</v>
      </c>
      <c r="AX8" s="78">
        <v>0</v>
      </c>
      <c r="AY8" s="78">
        <v>9246.2999999999993</v>
      </c>
      <c r="AZ8" s="78">
        <v>116396.297633865</v>
      </c>
      <c r="BA8" s="78">
        <v>18</v>
      </c>
      <c r="BB8" s="78">
        <v>19.98</v>
      </c>
      <c r="BC8" s="78">
        <v>25192</v>
      </c>
      <c r="BD8" s="78">
        <v>1</v>
      </c>
      <c r="BE8" s="78">
        <v>0</v>
      </c>
      <c r="BF8" s="78">
        <v>0</v>
      </c>
      <c r="BG8" s="78">
        <v>0</v>
      </c>
      <c r="BH8" s="78">
        <v>0</v>
      </c>
      <c r="BI8" s="78">
        <v>0</v>
      </c>
      <c r="BJ8" s="78">
        <v>0</v>
      </c>
      <c r="BK8" s="78">
        <v>0</v>
      </c>
      <c r="BL8" s="78">
        <v>0</v>
      </c>
      <c r="BM8" s="78">
        <v>6235.6310000000003</v>
      </c>
      <c r="BN8" s="78">
        <v>464</v>
      </c>
      <c r="BO8" s="78">
        <v>415</v>
      </c>
      <c r="BP8" s="78">
        <v>60008.52</v>
      </c>
      <c r="BQ8" s="78">
        <v>11687.31</v>
      </c>
      <c r="BR8" s="78">
        <v>1447.0701500309999</v>
      </c>
      <c r="BS8" s="78">
        <v>2802</v>
      </c>
      <c r="BT8" s="78">
        <v>2256</v>
      </c>
      <c r="BU8" s="78">
        <v>2148.3333333333298</v>
      </c>
      <c r="BV8" s="78">
        <f t="shared" si="4"/>
        <v>10669</v>
      </c>
      <c r="BW8" s="78">
        <v>4350</v>
      </c>
      <c r="BX8" s="78">
        <v>23436.6292845192</v>
      </c>
      <c r="BY8" s="402">
        <v>31.748999999999999</v>
      </c>
      <c r="BZ8" s="78">
        <v>198673</v>
      </c>
      <c r="CA8" s="78">
        <v>20036</v>
      </c>
      <c r="CB8" s="78">
        <v>4192</v>
      </c>
      <c r="CC8" s="78">
        <v>6929</v>
      </c>
      <c r="CD8" s="78">
        <v>4177</v>
      </c>
      <c r="CE8" s="78">
        <v>2284</v>
      </c>
      <c r="CF8" s="78">
        <v>3015.0116681423301</v>
      </c>
      <c r="CG8" s="78">
        <v>1582.0663180900899</v>
      </c>
      <c r="CH8" s="78">
        <v>657.42702226263702</v>
      </c>
      <c r="CI8" s="78">
        <v>7282.4351999999999</v>
      </c>
      <c r="CJ8" s="78">
        <v>3821.3103999999998</v>
      </c>
      <c r="CK8" s="78">
        <v>1587.944</v>
      </c>
      <c r="CL8" s="78">
        <v>190351</v>
      </c>
    </row>
    <row r="9" spans="1:90" customFormat="1" x14ac:dyDescent="0.35">
      <c r="A9" s="72">
        <v>1966</v>
      </c>
      <c r="B9" s="72" t="s">
        <v>147</v>
      </c>
      <c r="C9" s="72">
        <v>1</v>
      </c>
      <c r="D9" s="78">
        <v>2994800000</v>
      </c>
      <c r="E9" s="78">
        <v>1258950000</v>
      </c>
      <c r="F9" s="78">
        <v>1341550000</v>
      </c>
      <c r="G9" s="78">
        <v>47801</v>
      </c>
      <c r="H9" s="78">
        <v>12</v>
      </c>
      <c r="I9" s="78">
        <f t="shared" si="2"/>
        <v>1341.55</v>
      </c>
      <c r="J9" s="78">
        <v>9239</v>
      </c>
      <c r="K9" s="78">
        <v>11269</v>
      </c>
      <c r="L9" s="78">
        <v>3369</v>
      </c>
      <c r="M9" s="78">
        <v>7247</v>
      </c>
      <c r="N9" s="78">
        <f t="shared" si="3"/>
        <v>4949.8999999999996</v>
      </c>
      <c r="O9" s="78">
        <v>1117</v>
      </c>
      <c r="P9" s="78">
        <v>62</v>
      </c>
      <c r="Q9" s="78">
        <v>4044</v>
      </c>
      <c r="R9" s="78">
        <v>7402</v>
      </c>
      <c r="S9" s="78">
        <v>770</v>
      </c>
      <c r="T9" s="78">
        <v>0</v>
      </c>
      <c r="U9" s="78">
        <v>1478</v>
      </c>
      <c r="V9" s="78">
        <v>22196</v>
      </c>
      <c r="W9" s="78">
        <v>40900</v>
      </c>
      <c r="X9" s="78">
        <v>5970</v>
      </c>
      <c r="Y9" s="78">
        <v>0</v>
      </c>
      <c r="Z9" s="78">
        <v>1065.5999999999999</v>
      </c>
      <c r="AA9" s="78">
        <v>0</v>
      </c>
      <c r="AB9" s="399">
        <v>0</v>
      </c>
      <c r="AC9" s="399">
        <v>0</v>
      </c>
      <c r="AD9" s="78">
        <v>47838</v>
      </c>
      <c r="AE9" s="78">
        <v>52621.8</v>
      </c>
      <c r="AF9" s="78">
        <v>2033</v>
      </c>
      <c r="AG9" s="78">
        <v>10000</v>
      </c>
      <c r="AH9" s="78">
        <v>309</v>
      </c>
      <c r="AI9" s="78">
        <v>270</v>
      </c>
      <c r="AJ9" s="78">
        <v>352.26</v>
      </c>
      <c r="AK9" s="78">
        <v>297</v>
      </c>
      <c r="AL9" s="78">
        <v>579</v>
      </c>
      <c r="AM9" s="78">
        <v>22971</v>
      </c>
      <c r="AN9" s="78">
        <v>26186.94</v>
      </c>
      <c r="AO9" s="78">
        <v>0</v>
      </c>
      <c r="AP9" s="78">
        <v>0</v>
      </c>
      <c r="AQ9" s="78">
        <v>0</v>
      </c>
      <c r="AR9" s="78">
        <v>0</v>
      </c>
      <c r="AS9" s="78">
        <v>1523</v>
      </c>
      <c r="AT9" s="78">
        <v>0</v>
      </c>
      <c r="AU9" s="400">
        <v>3.790589E-3</v>
      </c>
      <c r="AV9" s="400">
        <v>8.1829699999999995E-4</v>
      </c>
      <c r="AW9" s="78">
        <v>9418.11</v>
      </c>
      <c r="AX9" s="78">
        <v>0</v>
      </c>
      <c r="AY9" s="78">
        <v>10728.3</v>
      </c>
      <c r="AZ9" s="78">
        <v>10287.2168735337</v>
      </c>
      <c r="BA9" s="78">
        <v>41</v>
      </c>
      <c r="BB9" s="78">
        <v>45.1</v>
      </c>
      <c r="BC9" s="78">
        <v>4755</v>
      </c>
      <c r="BD9" s="78">
        <v>1</v>
      </c>
      <c r="BE9" s="78">
        <v>0</v>
      </c>
      <c r="BF9" s="78">
        <v>0</v>
      </c>
      <c r="BG9" s="78">
        <v>0</v>
      </c>
      <c r="BH9" s="78">
        <v>0</v>
      </c>
      <c r="BI9" s="78">
        <v>0</v>
      </c>
      <c r="BJ9" s="78">
        <v>0</v>
      </c>
      <c r="BK9" s="78">
        <v>0</v>
      </c>
      <c r="BL9" s="78">
        <v>0</v>
      </c>
      <c r="BM9" s="78">
        <v>1099.441</v>
      </c>
      <c r="BN9" s="78">
        <v>146</v>
      </c>
      <c r="BO9" s="78">
        <v>84</v>
      </c>
      <c r="BP9" s="78">
        <v>12431.72</v>
      </c>
      <c r="BQ9" s="78">
        <v>2746.7</v>
      </c>
      <c r="BR9" s="78">
        <v>426.05698740698301</v>
      </c>
      <c r="BS9" s="78">
        <v>574</v>
      </c>
      <c r="BT9" s="78">
        <v>282</v>
      </c>
      <c r="BU9" s="78">
        <v>251.666666666667</v>
      </c>
      <c r="BV9" s="78">
        <f t="shared" si="4"/>
        <v>2927</v>
      </c>
      <c r="BW9" s="78">
        <v>994</v>
      </c>
      <c r="BX9" s="78">
        <v>9378.3709371867699</v>
      </c>
      <c r="BY9" s="402">
        <v>2.948</v>
      </c>
      <c r="BZ9" s="78">
        <v>36532</v>
      </c>
      <c r="CA9" s="78">
        <v>6773</v>
      </c>
      <c r="CB9" s="78">
        <v>1127</v>
      </c>
      <c r="CC9" s="78">
        <v>1509</v>
      </c>
      <c r="CD9" s="78">
        <v>1170</v>
      </c>
      <c r="CE9" s="78">
        <v>588</v>
      </c>
      <c r="CF9" s="78">
        <v>917.96499934700296</v>
      </c>
      <c r="CG9" s="78">
        <v>494.10651255931401</v>
      </c>
      <c r="CH9" s="78">
        <v>169.586491663402</v>
      </c>
      <c r="CI9" s="78">
        <v>2317.0140000000001</v>
      </c>
      <c r="CJ9" s="78">
        <v>1247.1627000000001</v>
      </c>
      <c r="CK9" s="78">
        <v>428.04930000000002</v>
      </c>
      <c r="CL9" s="78">
        <v>85796</v>
      </c>
    </row>
    <row r="10" spans="1:90" customFormat="1" x14ac:dyDescent="0.35">
      <c r="A10" s="72">
        <v>24</v>
      </c>
      <c r="B10" s="72" t="s">
        <v>190</v>
      </c>
      <c r="C10" s="72">
        <v>1</v>
      </c>
      <c r="D10" s="78">
        <v>560800000</v>
      </c>
      <c r="E10" s="78">
        <v>133000000</v>
      </c>
      <c r="F10" s="78">
        <v>157500000</v>
      </c>
      <c r="G10" s="78">
        <v>9537</v>
      </c>
      <c r="H10" s="78">
        <v>2</v>
      </c>
      <c r="I10" s="78">
        <f t="shared" si="2"/>
        <v>157.5</v>
      </c>
      <c r="J10" s="78">
        <v>1784</v>
      </c>
      <c r="K10" s="78">
        <v>2157</v>
      </c>
      <c r="L10" s="78">
        <v>584</v>
      </c>
      <c r="M10" s="78">
        <v>1361</v>
      </c>
      <c r="N10" s="78">
        <f t="shared" si="3"/>
        <v>891</v>
      </c>
      <c r="O10" s="78">
        <v>214</v>
      </c>
      <c r="P10" s="78">
        <v>16</v>
      </c>
      <c r="Q10" s="78">
        <v>745</v>
      </c>
      <c r="R10" s="78">
        <v>1410</v>
      </c>
      <c r="S10" s="78">
        <v>130</v>
      </c>
      <c r="T10" s="78">
        <v>0</v>
      </c>
      <c r="U10" s="78">
        <v>249</v>
      </c>
      <c r="V10" s="78">
        <v>4397</v>
      </c>
      <c r="W10" s="78">
        <v>6700</v>
      </c>
      <c r="X10" s="78">
        <v>330</v>
      </c>
      <c r="Y10" s="78">
        <v>0</v>
      </c>
      <c r="Z10" s="78">
        <v>0</v>
      </c>
      <c r="AA10" s="78">
        <v>0</v>
      </c>
      <c r="AB10" s="399">
        <v>0</v>
      </c>
      <c r="AC10" s="399">
        <v>0</v>
      </c>
      <c r="AD10" s="78">
        <v>11103</v>
      </c>
      <c r="AE10" s="78">
        <v>13212.57</v>
      </c>
      <c r="AF10" s="78">
        <v>96</v>
      </c>
      <c r="AG10" s="78">
        <v>0</v>
      </c>
      <c r="AH10" s="78">
        <v>61</v>
      </c>
      <c r="AI10" s="78">
        <v>70</v>
      </c>
      <c r="AJ10" s="78">
        <v>74.42</v>
      </c>
      <c r="AK10" s="78">
        <v>82.6</v>
      </c>
      <c r="AL10" s="78">
        <v>132</v>
      </c>
      <c r="AM10" s="78">
        <v>4700</v>
      </c>
      <c r="AN10" s="78">
        <v>5734</v>
      </c>
      <c r="AO10" s="78">
        <v>0</v>
      </c>
      <c r="AP10" s="78">
        <v>0</v>
      </c>
      <c r="AQ10" s="78">
        <v>0</v>
      </c>
      <c r="AR10" s="78">
        <v>0</v>
      </c>
      <c r="AS10" s="78">
        <v>0</v>
      </c>
      <c r="AT10" s="78">
        <v>0</v>
      </c>
      <c r="AU10" s="400">
        <v>9.7293300000000004E-4</v>
      </c>
      <c r="AV10" s="400">
        <v>1.24117E-4</v>
      </c>
      <c r="AW10" s="78">
        <v>1005.8</v>
      </c>
      <c r="AX10" s="78">
        <v>0</v>
      </c>
      <c r="AY10" s="78">
        <v>2840.53</v>
      </c>
      <c r="AZ10" s="78">
        <v>2542.6124002143101</v>
      </c>
      <c r="BA10" s="78">
        <v>15</v>
      </c>
      <c r="BB10" s="78">
        <v>17.7</v>
      </c>
      <c r="BC10" s="78">
        <v>1042</v>
      </c>
      <c r="BD10" s="78">
        <v>1</v>
      </c>
      <c r="BE10" s="78">
        <v>0</v>
      </c>
      <c r="BF10" s="78">
        <v>0</v>
      </c>
      <c r="BG10" s="78">
        <v>0</v>
      </c>
      <c r="BH10" s="78">
        <v>0</v>
      </c>
      <c r="BI10" s="78">
        <v>0</v>
      </c>
      <c r="BJ10" s="78">
        <v>0</v>
      </c>
      <c r="BK10" s="78">
        <v>0</v>
      </c>
      <c r="BL10" s="78">
        <v>0</v>
      </c>
      <c r="BM10" s="78">
        <v>214.08</v>
      </c>
      <c r="BN10" s="78">
        <v>29</v>
      </c>
      <c r="BO10" s="78">
        <v>13</v>
      </c>
      <c r="BP10" s="78">
        <v>2578.1999999999998</v>
      </c>
      <c r="BQ10" s="78">
        <v>552.33000000000004</v>
      </c>
      <c r="BR10" s="78">
        <v>88.650874815905695</v>
      </c>
      <c r="BS10" s="78">
        <v>85</v>
      </c>
      <c r="BT10" s="78">
        <v>55</v>
      </c>
      <c r="BU10" s="78">
        <v>46.6666666666667</v>
      </c>
      <c r="BV10" s="78">
        <f t="shared" si="4"/>
        <v>531</v>
      </c>
      <c r="BW10" s="78">
        <v>170</v>
      </c>
      <c r="BX10" s="78">
        <v>2190.6332265446199</v>
      </c>
      <c r="BY10" s="402">
        <v>0.60399999999999998</v>
      </c>
      <c r="BZ10" s="78">
        <v>7380</v>
      </c>
      <c r="CA10" s="78">
        <v>1365</v>
      </c>
      <c r="CB10" s="78">
        <v>208</v>
      </c>
      <c r="CC10" s="78">
        <v>281</v>
      </c>
      <c r="CD10" s="78">
        <v>206</v>
      </c>
      <c r="CE10" s="78">
        <v>105</v>
      </c>
      <c r="CF10" s="78">
        <v>161.51744680851101</v>
      </c>
      <c r="CG10" s="78">
        <v>76.398510638297907</v>
      </c>
      <c r="CH10" s="78">
        <v>28.057021276595702</v>
      </c>
      <c r="CI10" s="78">
        <v>447.64080000000001</v>
      </c>
      <c r="CJ10" s="78">
        <v>211.7362</v>
      </c>
      <c r="CK10" s="78">
        <v>77.759200000000007</v>
      </c>
      <c r="CL10" s="78">
        <v>0</v>
      </c>
    </row>
    <row r="11" spans="1:90" customFormat="1" x14ac:dyDescent="0.35">
      <c r="A11" s="72">
        <v>1952</v>
      </c>
      <c r="B11" s="72" t="s">
        <v>203</v>
      </c>
      <c r="C11" s="72">
        <v>1</v>
      </c>
      <c r="D11" s="78">
        <v>3799600000</v>
      </c>
      <c r="E11" s="78">
        <v>670950000</v>
      </c>
      <c r="F11" s="78">
        <v>719250000</v>
      </c>
      <c r="G11" s="78">
        <v>60797</v>
      </c>
      <c r="H11" s="78">
        <v>9</v>
      </c>
      <c r="I11" s="78">
        <f t="shared" si="2"/>
        <v>719.25</v>
      </c>
      <c r="J11" s="78">
        <v>11084</v>
      </c>
      <c r="K11" s="78">
        <v>13556</v>
      </c>
      <c r="L11" s="78">
        <v>4242</v>
      </c>
      <c r="M11" s="78">
        <v>10036</v>
      </c>
      <c r="N11" s="78">
        <f t="shared" si="3"/>
        <v>7157.6</v>
      </c>
      <c r="O11" s="78">
        <v>1822</v>
      </c>
      <c r="P11" s="78">
        <v>91</v>
      </c>
      <c r="Q11" s="78">
        <v>6364</v>
      </c>
      <c r="R11" s="78">
        <v>9620</v>
      </c>
      <c r="S11" s="78">
        <v>3880</v>
      </c>
      <c r="T11" s="78">
        <v>0</v>
      </c>
      <c r="U11" s="78">
        <v>2157</v>
      </c>
      <c r="V11" s="78">
        <v>28847</v>
      </c>
      <c r="W11" s="78">
        <v>57380</v>
      </c>
      <c r="X11" s="78">
        <v>42400</v>
      </c>
      <c r="Y11" s="78">
        <v>392.04</v>
      </c>
      <c r="Z11" s="78">
        <v>1248.8</v>
      </c>
      <c r="AA11" s="78">
        <v>0</v>
      </c>
      <c r="AB11" s="399">
        <v>0</v>
      </c>
      <c r="AC11" s="399">
        <v>0</v>
      </c>
      <c r="AD11" s="78">
        <v>27788</v>
      </c>
      <c r="AE11" s="78">
        <v>27788</v>
      </c>
      <c r="AF11" s="78">
        <v>1789</v>
      </c>
      <c r="AG11" s="78">
        <v>0</v>
      </c>
      <c r="AH11" s="78">
        <v>387</v>
      </c>
      <c r="AI11" s="78">
        <v>172</v>
      </c>
      <c r="AJ11" s="78">
        <v>387</v>
      </c>
      <c r="AK11" s="78">
        <v>173.72</v>
      </c>
      <c r="AL11" s="78">
        <v>559</v>
      </c>
      <c r="AM11" s="78">
        <v>28784</v>
      </c>
      <c r="AN11" s="78">
        <v>28784</v>
      </c>
      <c r="AO11" s="78">
        <v>0</v>
      </c>
      <c r="AP11" s="78">
        <v>0</v>
      </c>
      <c r="AQ11" s="78">
        <v>0</v>
      </c>
      <c r="AR11" s="78">
        <v>0</v>
      </c>
      <c r="AS11" s="78">
        <v>3173</v>
      </c>
      <c r="AT11" s="78">
        <v>0</v>
      </c>
      <c r="AU11" s="400">
        <v>3.4819299999999998E-3</v>
      </c>
      <c r="AV11" s="400">
        <v>3.2047080000000001E-3</v>
      </c>
      <c r="AW11" s="78">
        <v>24552.752</v>
      </c>
      <c r="AX11" s="78">
        <v>0</v>
      </c>
      <c r="AY11" s="78">
        <v>8403</v>
      </c>
      <c r="AZ11" s="78">
        <v>17593.451769956398</v>
      </c>
      <c r="BA11" s="78">
        <v>23</v>
      </c>
      <c r="BB11" s="78">
        <v>23.23</v>
      </c>
      <c r="BC11" s="78">
        <v>5251</v>
      </c>
      <c r="BD11" s="78">
        <v>1</v>
      </c>
      <c r="BE11" s="78">
        <v>0</v>
      </c>
      <c r="BF11" s="78">
        <v>0</v>
      </c>
      <c r="BG11" s="78">
        <v>0</v>
      </c>
      <c r="BH11" s="78">
        <v>0</v>
      </c>
      <c r="BI11" s="78">
        <v>0</v>
      </c>
      <c r="BJ11" s="78">
        <v>0</v>
      </c>
      <c r="BK11" s="78">
        <v>0</v>
      </c>
      <c r="BL11" s="78">
        <v>0</v>
      </c>
      <c r="BM11" s="78">
        <v>1729.104</v>
      </c>
      <c r="BN11" s="78">
        <v>245</v>
      </c>
      <c r="BO11" s="78">
        <v>193</v>
      </c>
      <c r="BP11" s="78">
        <v>15542.24</v>
      </c>
      <c r="BQ11" s="78">
        <v>3432.24</v>
      </c>
      <c r="BR11" s="78">
        <v>482.88619347705901</v>
      </c>
      <c r="BS11" s="78">
        <v>850</v>
      </c>
      <c r="BT11" s="78">
        <v>482.33333333333297</v>
      </c>
      <c r="BU11" s="78">
        <v>441.66666666666703</v>
      </c>
      <c r="BV11" s="78">
        <f t="shared" si="4"/>
        <v>4542</v>
      </c>
      <c r="BW11" s="78">
        <v>1602</v>
      </c>
      <c r="BX11" s="78">
        <v>13264.865344915401</v>
      </c>
      <c r="BY11" s="402">
        <v>5.556</v>
      </c>
      <c r="BZ11" s="78">
        <v>47241</v>
      </c>
      <c r="CA11" s="78">
        <v>7974</v>
      </c>
      <c r="CB11" s="78">
        <v>1340</v>
      </c>
      <c r="CC11" s="78">
        <v>1733</v>
      </c>
      <c r="CD11" s="78">
        <v>1458</v>
      </c>
      <c r="CE11" s="78">
        <v>678</v>
      </c>
      <c r="CF11" s="78">
        <v>1244.57295719844</v>
      </c>
      <c r="CG11" s="78">
        <v>712.17921067259601</v>
      </c>
      <c r="CH11" s="78">
        <v>231.507976653697</v>
      </c>
      <c r="CI11" s="78">
        <v>2842.84</v>
      </c>
      <c r="CJ11" s="78">
        <v>1626.752</v>
      </c>
      <c r="CK11" s="78">
        <v>528.80799999999999</v>
      </c>
      <c r="CL11" s="78">
        <v>153208</v>
      </c>
    </row>
    <row r="12" spans="1:90" customFormat="1" x14ac:dyDescent="0.35">
      <c r="A12" s="72">
        <v>1895</v>
      </c>
      <c r="B12" s="72" t="s">
        <v>227</v>
      </c>
      <c r="C12" s="72">
        <v>1</v>
      </c>
      <c r="D12" s="78">
        <v>2248400000</v>
      </c>
      <c r="E12" s="78">
        <v>576450000</v>
      </c>
      <c r="F12" s="78">
        <v>612850000</v>
      </c>
      <c r="G12" s="78">
        <v>38209</v>
      </c>
      <c r="H12" s="78">
        <v>6</v>
      </c>
      <c r="I12" s="78">
        <f t="shared" si="2"/>
        <v>612.85</v>
      </c>
      <c r="J12" s="78">
        <v>6546</v>
      </c>
      <c r="K12" s="78">
        <v>9507</v>
      </c>
      <c r="L12" s="78">
        <v>2963</v>
      </c>
      <c r="M12" s="78">
        <v>7264</v>
      </c>
      <c r="N12" s="78">
        <f t="shared" si="3"/>
        <v>5388</v>
      </c>
      <c r="O12" s="78">
        <v>1403</v>
      </c>
      <c r="P12" s="78">
        <v>79</v>
      </c>
      <c r="Q12" s="78">
        <v>4600</v>
      </c>
      <c r="R12" s="78">
        <v>6737</v>
      </c>
      <c r="S12" s="78">
        <v>790</v>
      </c>
      <c r="T12" s="78">
        <v>0</v>
      </c>
      <c r="U12" s="78">
        <v>1369</v>
      </c>
      <c r="V12" s="78">
        <v>18777</v>
      </c>
      <c r="W12" s="78">
        <v>39120</v>
      </c>
      <c r="X12" s="78">
        <v>27960</v>
      </c>
      <c r="Y12" s="78">
        <v>1120.8399999999999</v>
      </c>
      <c r="Z12" s="78">
        <v>1595.2</v>
      </c>
      <c r="AA12" s="78">
        <v>0</v>
      </c>
      <c r="AB12" s="399">
        <v>0</v>
      </c>
      <c r="AC12" s="399">
        <v>0</v>
      </c>
      <c r="AD12" s="78">
        <v>22651</v>
      </c>
      <c r="AE12" s="78">
        <v>24689.59</v>
      </c>
      <c r="AF12" s="78">
        <v>1399</v>
      </c>
      <c r="AG12" s="78">
        <v>5546</v>
      </c>
      <c r="AH12" s="78">
        <v>259</v>
      </c>
      <c r="AI12" s="78">
        <v>130</v>
      </c>
      <c r="AJ12" s="78">
        <v>269.36</v>
      </c>
      <c r="AK12" s="78">
        <v>141.69999999999999</v>
      </c>
      <c r="AL12" s="78">
        <v>390</v>
      </c>
      <c r="AM12" s="78">
        <v>18760</v>
      </c>
      <c r="AN12" s="78">
        <v>19510.400000000001</v>
      </c>
      <c r="AO12" s="78">
        <v>10</v>
      </c>
      <c r="AP12" s="78">
        <v>0</v>
      </c>
      <c r="AQ12" s="78">
        <v>0</v>
      </c>
      <c r="AR12" s="78">
        <v>0</v>
      </c>
      <c r="AS12" s="78">
        <v>3452</v>
      </c>
      <c r="AT12" s="78">
        <v>2903</v>
      </c>
      <c r="AU12" s="400">
        <v>3.3216859999999999E-3</v>
      </c>
      <c r="AV12" s="400">
        <v>1.6622340000000001E-3</v>
      </c>
      <c r="AW12" s="78">
        <v>15570.8</v>
      </c>
      <c r="AX12" s="78">
        <v>0</v>
      </c>
      <c r="AY12" s="78">
        <v>6129.07</v>
      </c>
      <c r="AZ12" s="78">
        <v>11784.338754677799</v>
      </c>
      <c r="BA12" s="78">
        <v>23</v>
      </c>
      <c r="BB12" s="78">
        <v>25.07</v>
      </c>
      <c r="BC12" s="78">
        <v>3294</v>
      </c>
      <c r="BD12" s="78">
        <v>1</v>
      </c>
      <c r="BE12" s="78">
        <v>0</v>
      </c>
      <c r="BF12" s="78">
        <v>0</v>
      </c>
      <c r="BG12" s="78">
        <v>0</v>
      </c>
      <c r="BH12" s="78">
        <v>0</v>
      </c>
      <c r="BI12" s="78">
        <v>0</v>
      </c>
      <c r="BJ12" s="78">
        <v>0</v>
      </c>
      <c r="BK12" s="78">
        <v>0</v>
      </c>
      <c r="BL12" s="78">
        <v>0</v>
      </c>
      <c r="BM12" s="78">
        <v>1060.452</v>
      </c>
      <c r="BN12" s="78">
        <v>199</v>
      </c>
      <c r="BO12" s="78">
        <v>75</v>
      </c>
      <c r="BP12" s="78">
        <v>9417.7199999999993</v>
      </c>
      <c r="BQ12" s="78">
        <v>1931.88</v>
      </c>
      <c r="BR12" s="78">
        <v>264.121693441415</v>
      </c>
      <c r="BS12" s="78">
        <v>504</v>
      </c>
      <c r="BT12" s="78">
        <v>352.66666666666703</v>
      </c>
      <c r="BU12" s="78">
        <v>302.66666666666703</v>
      </c>
      <c r="BV12" s="78">
        <f t="shared" si="4"/>
        <v>3197</v>
      </c>
      <c r="BW12" s="78">
        <v>981</v>
      </c>
      <c r="BX12" s="78">
        <v>9518.4492297201596</v>
      </c>
      <c r="BY12" s="402">
        <v>4.6740000000000004</v>
      </c>
      <c r="BZ12" s="78">
        <v>28702</v>
      </c>
      <c r="CA12" s="78">
        <v>5471</v>
      </c>
      <c r="CB12" s="78">
        <v>1073</v>
      </c>
      <c r="CC12" s="78">
        <v>1206</v>
      </c>
      <c r="CD12" s="78">
        <v>1066</v>
      </c>
      <c r="CE12" s="78">
        <v>534</v>
      </c>
      <c r="CF12" s="78">
        <v>976.50319829424302</v>
      </c>
      <c r="CG12" s="78">
        <v>576.13688699360296</v>
      </c>
      <c r="CH12" s="78">
        <v>207.93773987206799</v>
      </c>
      <c r="CI12" s="78">
        <v>2125</v>
      </c>
      <c r="CJ12" s="78">
        <v>1253.75</v>
      </c>
      <c r="CK12" s="78">
        <v>452.5</v>
      </c>
      <c r="CL12" s="78">
        <v>43580</v>
      </c>
    </row>
    <row r="13" spans="1:90" customFormat="1" x14ac:dyDescent="0.35">
      <c r="A13" s="72">
        <v>765</v>
      </c>
      <c r="B13" s="72" t="s">
        <v>245</v>
      </c>
      <c r="C13" s="72">
        <v>1</v>
      </c>
      <c r="D13" s="78">
        <v>595200000</v>
      </c>
      <c r="E13" s="78">
        <v>79450000</v>
      </c>
      <c r="F13" s="78">
        <v>89600000</v>
      </c>
      <c r="G13" s="78">
        <v>12196</v>
      </c>
      <c r="H13" s="78">
        <v>1</v>
      </c>
      <c r="I13" s="78">
        <f t="shared" si="2"/>
        <v>89.6</v>
      </c>
      <c r="J13" s="78">
        <v>2208</v>
      </c>
      <c r="K13" s="78">
        <v>2788</v>
      </c>
      <c r="L13" s="78">
        <v>872</v>
      </c>
      <c r="M13" s="78">
        <v>2277</v>
      </c>
      <c r="N13" s="78">
        <f t="shared" si="3"/>
        <v>1698.6</v>
      </c>
      <c r="O13" s="78">
        <v>457.33333333333297</v>
      </c>
      <c r="P13" s="78">
        <v>12</v>
      </c>
      <c r="Q13" s="78">
        <v>1703.3333333333301</v>
      </c>
      <c r="R13" s="78">
        <v>1831</v>
      </c>
      <c r="S13" s="78">
        <v>210</v>
      </c>
      <c r="T13" s="78">
        <v>0</v>
      </c>
      <c r="U13" s="78">
        <v>469</v>
      </c>
      <c r="V13" s="78">
        <v>5672</v>
      </c>
      <c r="W13" s="78">
        <v>12480</v>
      </c>
      <c r="X13" s="78">
        <v>7840</v>
      </c>
      <c r="Y13" s="78">
        <v>0</v>
      </c>
      <c r="Z13" s="78">
        <v>192</v>
      </c>
      <c r="AA13" s="78">
        <v>0</v>
      </c>
      <c r="AB13" s="399">
        <v>0</v>
      </c>
      <c r="AC13" s="399">
        <v>0</v>
      </c>
      <c r="AD13" s="78">
        <v>4906</v>
      </c>
      <c r="AE13" s="78">
        <v>4906</v>
      </c>
      <c r="AF13" s="78">
        <v>115</v>
      </c>
      <c r="AG13" s="78">
        <v>0</v>
      </c>
      <c r="AH13" s="78">
        <v>98</v>
      </c>
      <c r="AI13" s="78">
        <v>22</v>
      </c>
      <c r="AJ13" s="78">
        <v>98</v>
      </c>
      <c r="AK13" s="78">
        <v>22</v>
      </c>
      <c r="AL13" s="78">
        <v>120</v>
      </c>
      <c r="AM13" s="78">
        <v>5784</v>
      </c>
      <c r="AN13" s="78">
        <v>5784</v>
      </c>
      <c r="AO13" s="78">
        <v>0</v>
      </c>
      <c r="AP13" s="78">
        <v>0</v>
      </c>
      <c r="AQ13" s="78">
        <v>0</v>
      </c>
      <c r="AR13" s="78">
        <v>0</v>
      </c>
      <c r="AS13" s="78">
        <v>2102</v>
      </c>
      <c r="AT13" s="78">
        <v>0</v>
      </c>
      <c r="AU13" s="400">
        <v>9.2181800000000003E-4</v>
      </c>
      <c r="AV13" s="400">
        <v>3.5157999999999999E-4</v>
      </c>
      <c r="AW13" s="78">
        <v>3071.3040000000001</v>
      </c>
      <c r="AX13" s="78">
        <v>0</v>
      </c>
      <c r="AY13" s="78">
        <v>1495</v>
      </c>
      <c r="AZ13" s="78">
        <v>3631.35232025493</v>
      </c>
      <c r="BA13" s="78">
        <v>4</v>
      </c>
      <c r="BB13" s="78">
        <v>4</v>
      </c>
      <c r="BC13" s="78">
        <v>854</v>
      </c>
      <c r="BD13" s="78">
        <v>1</v>
      </c>
      <c r="BE13" s="78">
        <v>0</v>
      </c>
      <c r="BF13" s="78">
        <v>0</v>
      </c>
      <c r="BG13" s="78">
        <v>0</v>
      </c>
      <c r="BH13" s="78">
        <v>0</v>
      </c>
      <c r="BI13" s="78">
        <v>0</v>
      </c>
      <c r="BJ13" s="78">
        <v>0</v>
      </c>
      <c r="BK13" s="78">
        <v>0</v>
      </c>
      <c r="BL13" s="78">
        <v>0</v>
      </c>
      <c r="BM13" s="78">
        <v>476.928</v>
      </c>
      <c r="BN13" s="78">
        <v>84</v>
      </c>
      <c r="BO13" s="78">
        <v>49</v>
      </c>
      <c r="BP13" s="78">
        <v>2773.5</v>
      </c>
      <c r="BQ13" s="78">
        <v>569.25</v>
      </c>
      <c r="BR13" s="78">
        <v>85.826174757281507</v>
      </c>
      <c r="BS13" s="78">
        <v>165</v>
      </c>
      <c r="BT13" s="78">
        <v>150.333333333333</v>
      </c>
      <c r="BU13" s="78">
        <v>123.666666666667</v>
      </c>
      <c r="BV13" s="78">
        <f t="shared" si="4"/>
        <v>1245.999999999997</v>
      </c>
      <c r="BW13" s="78">
        <v>314</v>
      </c>
      <c r="BX13" s="78">
        <v>3082.7701588341201</v>
      </c>
      <c r="BY13" s="402">
        <v>1.6539999999999999</v>
      </c>
      <c r="BZ13" s="78">
        <v>9408</v>
      </c>
      <c r="CA13" s="78">
        <v>1625</v>
      </c>
      <c r="CB13" s="78">
        <v>291</v>
      </c>
      <c r="CC13" s="78">
        <v>358</v>
      </c>
      <c r="CD13" s="78">
        <v>293</v>
      </c>
      <c r="CE13" s="78">
        <v>150</v>
      </c>
      <c r="CF13" s="78">
        <v>302.77603734439799</v>
      </c>
      <c r="CG13" s="78">
        <v>175.909647302905</v>
      </c>
      <c r="CH13" s="78">
        <v>59.6154564315353</v>
      </c>
      <c r="CI13" s="78">
        <v>690.87310000000002</v>
      </c>
      <c r="CJ13" s="78">
        <v>401.38990000000001</v>
      </c>
      <c r="CK13" s="78">
        <v>136.03030000000001</v>
      </c>
      <c r="CL13" s="78">
        <v>0</v>
      </c>
    </row>
    <row r="14" spans="1:90" customFormat="1" x14ac:dyDescent="0.35">
      <c r="A14" s="72">
        <v>37</v>
      </c>
      <c r="B14" s="72" t="s">
        <v>282</v>
      </c>
      <c r="C14" s="72">
        <v>1</v>
      </c>
      <c r="D14" s="78">
        <v>1984400000</v>
      </c>
      <c r="E14" s="78">
        <v>289800000</v>
      </c>
      <c r="F14" s="78">
        <v>327250000</v>
      </c>
      <c r="G14" s="78">
        <v>31686</v>
      </c>
      <c r="H14" s="78">
        <v>3</v>
      </c>
      <c r="I14" s="78">
        <f t="shared" si="2"/>
        <v>327.25</v>
      </c>
      <c r="J14" s="78">
        <v>5571</v>
      </c>
      <c r="K14" s="78">
        <v>7999</v>
      </c>
      <c r="L14" s="78">
        <v>2733</v>
      </c>
      <c r="M14" s="78">
        <v>5890</v>
      </c>
      <c r="N14" s="78">
        <f t="shared" si="3"/>
        <v>4336.8999999999996</v>
      </c>
      <c r="O14" s="78">
        <v>935.66666666666697</v>
      </c>
      <c r="P14" s="78">
        <v>119</v>
      </c>
      <c r="Q14" s="78">
        <v>3963.6666666666702</v>
      </c>
      <c r="R14" s="78">
        <v>5180</v>
      </c>
      <c r="S14" s="78">
        <v>440</v>
      </c>
      <c r="T14" s="78">
        <v>0</v>
      </c>
      <c r="U14" s="78">
        <v>1000</v>
      </c>
      <c r="V14" s="78">
        <v>15051</v>
      </c>
      <c r="W14" s="78">
        <v>34920</v>
      </c>
      <c r="X14" s="78">
        <v>29080</v>
      </c>
      <c r="Y14" s="78">
        <v>1202.7</v>
      </c>
      <c r="Z14" s="78">
        <v>1614.4</v>
      </c>
      <c r="AA14" s="78">
        <v>0</v>
      </c>
      <c r="AB14" s="399">
        <v>0</v>
      </c>
      <c r="AC14" s="399">
        <v>132.59999999999991</v>
      </c>
      <c r="AD14" s="78">
        <v>11770</v>
      </c>
      <c r="AE14" s="78">
        <v>11770</v>
      </c>
      <c r="AF14" s="78">
        <v>224</v>
      </c>
      <c r="AG14" s="78">
        <v>0</v>
      </c>
      <c r="AH14" s="78">
        <v>212</v>
      </c>
      <c r="AI14" s="78">
        <v>64</v>
      </c>
      <c r="AJ14" s="78">
        <v>212</v>
      </c>
      <c r="AK14" s="78">
        <v>64</v>
      </c>
      <c r="AL14" s="78">
        <v>275</v>
      </c>
      <c r="AM14" s="78">
        <v>15531</v>
      </c>
      <c r="AN14" s="78">
        <v>15531</v>
      </c>
      <c r="AO14" s="78">
        <v>0</v>
      </c>
      <c r="AP14" s="78">
        <v>0</v>
      </c>
      <c r="AQ14" s="78">
        <v>0</v>
      </c>
      <c r="AR14" s="78">
        <v>0</v>
      </c>
      <c r="AS14" s="78">
        <v>3442</v>
      </c>
      <c r="AT14" s="78">
        <v>0</v>
      </c>
      <c r="AU14" s="400">
        <v>2.1908919999999998E-3</v>
      </c>
      <c r="AV14" s="400">
        <v>1.600237E-3</v>
      </c>
      <c r="AW14" s="78">
        <v>12983.915999999999</v>
      </c>
      <c r="AX14" s="78">
        <v>0</v>
      </c>
      <c r="AY14" s="78">
        <v>3264</v>
      </c>
      <c r="AZ14" s="78">
        <v>8622.9034517258606</v>
      </c>
      <c r="BA14" s="78">
        <v>13</v>
      </c>
      <c r="BB14" s="78">
        <v>13</v>
      </c>
      <c r="BC14" s="78">
        <v>2833</v>
      </c>
      <c r="BD14" s="78">
        <v>1</v>
      </c>
      <c r="BE14" s="78">
        <v>0</v>
      </c>
      <c r="BF14" s="78">
        <v>0</v>
      </c>
      <c r="BG14" s="78">
        <v>0</v>
      </c>
      <c r="BH14" s="78">
        <v>0</v>
      </c>
      <c r="BI14" s="78">
        <v>0</v>
      </c>
      <c r="BJ14" s="78">
        <v>0</v>
      </c>
      <c r="BK14" s="78">
        <v>0</v>
      </c>
      <c r="BL14" s="78">
        <v>0</v>
      </c>
      <c r="BM14" s="78">
        <v>924.78599999999994</v>
      </c>
      <c r="BN14" s="78">
        <v>150</v>
      </c>
      <c r="BO14" s="78">
        <v>79</v>
      </c>
      <c r="BP14" s="78">
        <v>7588.88</v>
      </c>
      <c r="BQ14" s="78">
        <v>1549</v>
      </c>
      <c r="BR14" s="78">
        <v>222.584088339223</v>
      </c>
      <c r="BS14" s="78">
        <v>369</v>
      </c>
      <c r="BT14" s="78">
        <v>237.666666666667</v>
      </c>
      <c r="BU14" s="78">
        <v>208</v>
      </c>
      <c r="BV14" s="78">
        <f t="shared" si="4"/>
        <v>3028.0000000000032</v>
      </c>
      <c r="BW14" s="78">
        <v>854</v>
      </c>
      <c r="BX14" s="78">
        <v>8670.1364471987199</v>
      </c>
      <c r="BY14" s="402">
        <v>3.0379999999999998</v>
      </c>
      <c r="BZ14" s="78">
        <v>23687</v>
      </c>
      <c r="CA14" s="78">
        <v>4243</v>
      </c>
      <c r="CB14" s="78">
        <v>1023</v>
      </c>
      <c r="CC14" s="78">
        <v>918</v>
      </c>
      <c r="CD14" s="78">
        <v>961</v>
      </c>
      <c r="CE14" s="78">
        <v>556</v>
      </c>
      <c r="CF14" s="78">
        <v>735.522155688623</v>
      </c>
      <c r="CG14" s="78">
        <v>525.53253493013995</v>
      </c>
      <c r="CH14" s="78">
        <v>207.476447105788</v>
      </c>
      <c r="CI14" s="78">
        <v>1660.4736</v>
      </c>
      <c r="CJ14" s="78">
        <v>1186.4128000000001</v>
      </c>
      <c r="CK14" s="78">
        <v>468.38720000000001</v>
      </c>
      <c r="CL14" s="78">
        <v>0</v>
      </c>
    </row>
    <row r="15" spans="1:90" customFormat="1" x14ac:dyDescent="0.35">
      <c r="A15" s="72">
        <v>47</v>
      </c>
      <c r="B15" s="72" t="s">
        <v>310</v>
      </c>
      <c r="C15" s="72">
        <v>1</v>
      </c>
      <c r="D15" s="78">
        <v>1522000000</v>
      </c>
      <c r="E15" s="78">
        <v>315350000</v>
      </c>
      <c r="F15" s="78">
        <v>336700000</v>
      </c>
      <c r="G15" s="78">
        <v>27384</v>
      </c>
      <c r="H15" s="78">
        <v>1</v>
      </c>
      <c r="I15" s="78">
        <f t="shared" si="2"/>
        <v>336.7</v>
      </c>
      <c r="J15" s="78">
        <v>5032</v>
      </c>
      <c r="K15" s="78">
        <v>6253</v>
      </c>
      <c r="L15" s="78">
        <v>1979</v>
      </c>
      <c r="M15" s="78">
        <v>4795</v>
      </c>
      <c r="N15" s="78">
        <f t="shared" si="3"/>
        <v>3506.6</v>
      </c>
      <c r="O15" s="78">
        <v>914.66666666666697</v>
      </c>
      <c r="P15" s="78">
        <v>61</v>
      </c>
      <c r="Q15" s="78">
        <v>3160.6666666666702</v>
      </c>
      <c r="R15" s="78">
        <v>4415</v>
      </c>
      <c r="S15" s="78">
        <v>1525</v>
      </c>
      <c r="T15" s="78">
        <v>0</v>
      </c>
      <c r="U15" s="78">
        <v>993</v>
      </c>
      <c r="V15" s="78">
        <v>12956</v>
      </c>
      <c r="W15" s="78">
        <v>30870</v>
      </c>
      <c r="X15" s="78">
        <v>29260</v>
      </c>
      <c r="Y15" s="78">
        <v>915.12</v>
      </c>
      <c r="Z15" s="78">
        <v>1554.4</v>
      </c>
      <c r="AA15" s="78">
        <v>0</v>
      </c>
      <c r="AB15" s="399">
        <v>0</v>
      </c>
      <c r="AC15" s="399">
        <v>0</v>
      </c>
      <c r="AD15" s="78">
        <v>7596</v>
      </c>
      <c r="AE15" s="78">
        <v>7596</v>
      </c>
      <c r="AF15" s="78">
        <v>272</v>
      </c>
      <c r="AG15" s="78">
        <v>0</v>
      </c>
      <c r="AH15" s="78">
        <v>187</v>
      </c>
      <c r="AI15" s="78">
        <v>58</v>
      </c>
      <c r="AJ15" s="78">
        <v>187</v>
      </c>
      <c r="AK15" s="78">
        <v>58</v>
      </c>
      <c r="AL15" s="78">
        <v>245</v>
      </c>
      <c r="AM15" s="78">
        <v>12884</v>
      </c>
      <c r="AN15" s="78">
        <v>12884</v>
      </c>
      <c r="AO15" s="78">
        <v>0</v>
      </c>
      <c r="AP15" s="78">
        <v>0</v>
      </c>
      <c r="AQ15" s="78">
        <v>0</v>
      </c>
      <c r="AR15" s="78">
        <v>0</v>
      </c>
      <c r="AS15" s="78">
        <v>3654</v>
      </c>
      <c r="AT15" s="78">
        <v>0</v>
      </c>
      <c r="AU15" s="400">
        <v>1.8379760000000001E-3</v>
      </c>
      <c r="AV15" s="400">
        <v>1.366882E-3</v>
      </c>
      <c r="AW15" s="78">
        <v>12909.768</v>
      </c>
      <c r="AX15" s="78">
        <v>0</v>
      </c>
      <c r="AY15" s="78">
        <v>3355</v>
      </c>
      <c r="AZ15" s="78">
        <v>11676.8327402135</v>
      </c>
      <c r="BA15" s="78">
        <v>6</v>
      </c>
      <c r="BB15" s="78">
        <v>6</v>
      </c>
      <c r="BC15" s="78">
        <v>2180</v>
      </c>
      <c r="BD15" s="78">
        <v>1</v>
      </c>
      <c r="BE15" s="78">
        <v>0</v>
      </c>
      <c r="BF15" s="78">
        <v>0</v>
      </c>
      <c r="BG15" s="78">
        <v>0</v>
      </c>
      <c r="BH15" s="78">
        <v>0</v>
      </c>
      <c r="BI15" s="78">
        <v>0</v>
      </c>
      <c r="BJ15" s="78">
        <v>0</v>
      </c>
      <c r="BK15" s="78">
        <v>0</v>
      </c>
      <c r="BL15" s="78">
        <v>0</v>
      </c>
      <c r="BM15" s="78">
        <v>820.21600000000001</v>
      </c>
      <c r="BN15" s="78">
        <v>161</v>
      </c>
      <c r="BO15" s="78">
        <v>74</v>
      </c>
      <c r="BP15" s="78">
        <v>6959.7</v>
      </c>
      <c r="BQ15" s="78">
        <v>1479</v>
      </c>
      <c r="BR15" s="78">
        <v>267.87728898529798</v>
      </c>
      <c r="BS15" s="78">
        <v>382</v>
      </c>
      <c r="BT15" s="78">
        <v>256.66666666666703</v>
      </c>
      <c r="BU15" s="78">
        <v>233.666666666667</v>
      </c>
      <c r="BV15" s="78">
        <f t="shared" si="4"/>
        <v>2246.0000000000032</v>
      </c>
      <c r="BW15" s="78">
        <v>643</v>
      </c>
      <c r="BX15" s="78">
        <v>6288.5083380015303</v>
      </c>
      <c r="BY15" s="402">
        <v>3.02</v>
      </c>
      <c r="BZ15" s="78">
        <v>21131</v>
      </c>
      <c r="CA15" s="78">
        <v>3618</v>
      </c>
      <c r="CB15" s="78">
        <v>656</v>
      </c>
      <c r="CC15" s="78">
        <v>803</v>
      </c>
      <c r="CD15" s="78">
        <v>688</v>
      </c>
      <c r="CE15" s="78">
        <v>339</v>
      </c>
      <c r="CF15" s="78">
        <v>619.17999068612198</v>
      </c>
      <c r="CG15" s="78">
        <v>367.153321949705</v>
      </c>
      <c r="CH15" s="78">
        <v>122.747330021732</v>
      </c>
      <c r="CI15" s="78">
        <v>1349.53</v>
      </c>
      <c r="CJ15" s="78">
        <v>800.22680000000003</v>
      </c>
      <c r="CK15" s="78">
        <v>267.53320000000002</v>
      </c>
      <c r="CL15" s="78">
        <v>23814</v>
      </c>
    </row>
    <row r="16" spans="1:90" customFormat="1" x14ac:dyDescent="0.35">
      <c r="A16" s="72">
        <v>1969</v>
      </c>
      <c r="B16" s="72" t="s">
        <v>336</v>
      </c>
      <c r="C16" s="72">
        <v>1</v>
      </c>
      <c r="D16" s="78">
        <v>4629600000</v>
      </c>
      <c r="E16" s="78">
        <v>798700000</v>
      </c>
      <c r="F16" s="78">
        <v>893550000</v>
      </c>
      <c r="G16" s="78">
        <v>63329</v>
      </c>
      <c r="H16" s="78">
        <v>11</v>
      </c>
      <c r="I16" s="78">
        <f t="shared" si="2"/>
        <v>893.55</v>
      </c>
      <c r="J16" s="78">
        <v>13395</v>
      </c>
      <c r="K16" s="78">
        <v>13061</v>
      </c>
      <c r="L16" s="78">
        <v>4182</v>
      </c>
      <c r="M16" s="78">
        <v>7850</v>
      </c>
      <c r="N16" s="78">
        <f t="shared" si="3"/>
        <v>5091.3999999999996</v>
      </c>
      <c r="O16" s="78">
        <v>963.33333333333303</v>
      </c>
      <c r="P16" s="78">
        <v>62</v>
      </c>
      <c r="Q16" s="78">
        <v>4078.3333333333298</v>
      </c>
      <c r="R16" s="78">
        <v>7648</v>
      </c>
      <c r="S16" s="78">
        <v>905</v>
      </c>
      <c r="T16" s="78">
        <v>0</v>
      </c>
      <c r="U16" s="78">
        <v>1670</v>
      </c>
      <c r="V16" s="78">
        <v>27392</v>
      </c>
      <c r="W16" s="78">
        <v>55660</v>
      </c>
      <c r="X16" s="78">
        <v>20060</v>
      </c>
      <c r="Y16" s="78">
        <v>0</v>
      </c>
      <c r="Z16" s="78">
        <v>1844</v>
      </c>
      <c r="AA16" s="78">
        <v>0</v>
      </c>
      <c r="AB16" s="399">
        <v>0</v>
      </c>
      <c r="AC16" s="399">
        <v>0</v>
      </c>
      <c r="AD16" s="78">
        <v>36258</v>
      </c>
      <c r="AE16" s="78">
        <v>38796.06</v>
      </c>
      <c r="AF16" s="78">
        <v>629</v>
      </c>
      <c r="AG16" s="78">
        <v>0</v>
      </c>
      <c r="AH16" s="78">
        <v>381</v>
      </c>
      <c r="AI16" s="78">
        <v>273</v>
      </c>
      <c r="AJ16" s="78">
        <v>396.24</v>
      </c>
      <c r="AK16" s="78">
        <v>294.83999999999997</v>
      </c>
      <c r="AL16" s="78">
        <v>654</v>
      </c>
      <c r="AM16" s="78">
        <v>27586</v>
      </c>
      <c r="AN16" s="78">
        <v>28689.439999999999</v>
      </c>
      <c r="AO16" s="78">
        <v>0</v>
      </c>
      <c r="AP16" s="78">
        <v>0</v>
      </c>
      <c r="AQ16" s="78">
        <v>0</v>
      </c>
      <c r="AR16" s="78">
        <v>0</v>
      </c>
      <c r="AS16" s="78">
        <v>0</v>
      </c>
      <c r="AT16" s="78">
        <v>0</v>
      </c>
      <c r="AU16" s="400">
        <v>2.0676449999999999E-3</v>
      </c>
      <c r="AV16" s="400">
        <v>5.6926500000000001E-4</v>
      </c>
      <c r="AW16" s="78">
        <v>13103.35</v>
      </c>
      <c r="AX16" s="78">
        <v>0</v>
      </c>
      <c r="AY16" s="78">
        <v>8200.48</v>
      </c>
      <c r="AZ16" s="78">
        <v>14343.425332502</v>
      </c>
      <c r="BA16" s="78">
        <v>37</v>
      </c>
      <c r="BB16" s="78">
        <v>39.96</v>
      </c>
      <c r="BC16" s="78">
        <v>6867</v>
      </c>
      <c r="BD16" s="78">
        <v>1</v>
      </c>
      <c r="BE16" s="78">
        <v>0</v>
      </c>
      <c r="BF16" s="78">
        <v>0</v>
      </c>
      <c r="BG16" s="78">
        <v>0</v>
      </c>
      <c r="BH16" s="78">
        <v>0</v>
      </c>
      <c r="BI16" s="78">
        <v>0</v>
      </c>
      <c r="BJ16" s="78">
        <v>0</v>
      </c>
      <c r="BK16" s="78">
        <v>0</v>
      </c>
      <c r="BL16" s="78">
        <v>0</v>
      </c>
      <c r="BM16" s="78">
        <v>1138.575</v>
      </c>
      <c r="BN16" s="78">
        <v>124</v>
      </c>
      <c r="BO16" s="78">
        <v>98</v>
      </c>
      <c r="BP16" s="78">
        <v>16350.02</v>
      </c>
      <c r="BQ16" s="78">
        <v>4277.5</v>
      </c>
      <c r="BR16" s="78">
        <v>579.49756750024903</v>
      </c>
      <c r="BS16" s="78">
        <v>635</v>
      </c>
      <c r="BT16" s="78">
        <v>267.66666666666703</v>
      </c>
      <c r="BU16" s="78">
        <v>219.666666666667</v>
      </c>
      <c r="BV16" s="78">
        <f t="shared" si="4"/>
        <v>3114.9999999999968</v>
      </c>
      <c r="BW16" s="78">
        <v>1076</v>
      </c>
      <c r="BX16" s="78">
        <v>10339.935446367699</v>
      </c>
      <c r="BY16" s="402">
        <v>2.2559999999999998</v>
      </c>
      <c r="BZ16" s="78">
        <v>50268</v>
      </c>
      <c r="CA16" s="78">
        <v>7478</v>
      </c>
      <c r="CB16" s="78">
        <v>1401</v>
      </c>
      <c r="CC16" s="78">
        <v>1471</v>
      </c>
      <c r="CD16" s="78">
        <v>1317</v>
      </c>
      <c r="CE16" s="78">
        <v>658</v>
      </c>
      <c r="CF16" s="78">
        <v>853.42686870151499</v>
      </c>
      <c r="CG16" s="78">
        <v>509.95208439063299</v>
      </c>
      <c r="CH16" s="78">
        <v>163.70883056622901</v>
      </c>
      <c r="CI16" s="78">
        <v>2305.9888000000001</v>
      </c>
      <c r="CJ16" s="78">
        <v>1377.9081000000001</v>
      </c>
      <c r="CK16" s="78">
        <v>442.34690000000001</v>
      </c>
      <c r="CL16" s="78">
        <v>140841</v>
      </c>
    </row>
    <row r="17" spans="1:90" customFormat="1" x14ac:dyDescent="0.35">
      <c r="A17" s="72">
        <v>1950</v>
      </c>
      <c r="B17" s="72" t="s">
        <v>339</v>
      </c>
      <c r="C17" s="72">
        <v>1</v>
      </c>
      <c r="D17" s="78">
        <v>1625200000</v>
      </c>
      <c r="E17" s="78">
        <v>311150000</v>
      </c>
      <c r="F17" s="78">
        <v>362950000</v>
      </c>
      <c r="G17" s="78">
        <v>25733</v>
      </c>
      <c r="H17" s="78">
        <v>6</v>
      </c>
      <c r="I17" s="78">
        <f t="shared" si="2"/>
        <v>362.95</v>
      </c>
      <c r="J17" s="78">
        <v>4599</v>
      </c>
      <c r="K17" s="78">
        <v>6754</v>
      </c>
      <c r="L17" s="78">
        <v>2019</v>
      </c>
      <c r="M17" s="78">
        <v>4134</v>
      </c>
      <c r="N17" s="78">
        <f t="shared" si="3"/>
        <v>2890.7</v>
      </c>
      <c r="O17" s="78">
        <v>522</v>
      </c>
      <c r="P17" s="78">
        <v>31</v>
      </c>
      <c r="Q17" s="78">
        <v>2623</v>
      </c>
      <c r="R17" s="78">
        <v>3648</v>
      </c>
      <c r="S17" s="78">
        <v>1025</v>
      </c>
      <c r="T17" s="78">
        <v>0</v>
      </c>
      <c r="U17" s="78">
        <v>677</v>
      </c>
      <c r="V17" s="78">
        <v>12801</v>
      </c>
      <c r="W17" s="78">
        <v>23480</v>
      </c>
      <c r="X17" s="78">
        <v>9740</v>
      </c>
      <c r="Y17" s="78">
        <v>0</v>
      </c>
      <c r="Z17" s="78">
        <v>975.2</v>
      </c>
      <c r="AA17" s="78">
        <v>0</v>
      </c>
      <c r="AB17" s="399">
        <v>0</v>
      </c>
      <c r="AC17" s="399">
        <v>0</v>
      </c>
      <c r="AD17" s="78">
        <v>27575</v>
      </c>
      <c r="AE17" s="78">
        <v>27575</v>
      </c>
      <c r="AF17" s="78">
        <v>489</v>
      </c>
      <c r="AG17" s="78">
        <v>0</v>
      </c>
      <c r="AH17" s="78">
        <v>172</v>
      </c>
      <c r="AI17" s="78">
        <v>151</v>
      </c>
      <c r="AJ17" s="78">
        <v>172</v>
      </c>
      <c r="AK17" s="78">
        <v>151</v>
      </c>
      <c r="AL17" s="78">
        <v>323</v>
      </c>
      <c r="AM17" s="78">
        <v>12433</v>
      </c>
      <c r="AN17" s="78">
        <v>12433</v>
      </c>
      <c r="AO17" s="78">
        <v>0</v>
      </c>
      <c r="AP17" s="78">
        <v>0</v>
      </c>
      <c r="AQ17" s="78">
        <v>0</v>
      </c>
      <c r="AR17" s="78">
        <v>5300</v>
      </c>
      <c r="AS17" s="78">
        <v>0</v>
      </c>
      <c r="AT17" s="78">
        <v>0</v>
      </c>
      <c r="AU17" s="400">
        <v>2.134805E-3</v>
      </c>
      <c r="AV17" s="400">
        <v>4.9666000000000001E-4</v>
      </c>
      <c r="AW17" s="78">
        <v>3568.2710000000002</v>
      </c>
      <c r="AX17" s="78">
        <v>0</v>
      </c>
      <c r="AY17" s="78">
        <v>5996</v>
      </c>
      <c r="AZ17" s="78">
        <v>5567.6587799315903</v>
      </c>
      <c r="BA17" s="78">
        <v>29</v>
      </c>
      <c r="BB17" s="78">
        <v>29</v>
      </c>
      <c r="BC17" s="78">
        <v>2569</v>
      </c>
      <c r="BD17" s="78">
        <v>1</v>
      </c>
      <c r="BE17" s="78">
        <v>0</v>
      </c>
      <c r="BF17" s="78">
        <v>0</v>
      </c>
      <c r="BG17" s="78">
        <v>0</v>
      </c>
      <c r="BH17" s="78">
        <v>0</v>
      </c>
      <c r="BI17" s="78">
        <v>0</v>
      </c>
      <c r="BJ17" s="78">
        <v>0</v>
      </c>
      <c r="BK17" s="78">
        <v>0</v>
      </c>
      <c r="BL17" s="78">
        <v>0</v>
      </c>
      <c r="BM17" s="78">
        <v>671.45399999999995</v>
      </c>
      <c r="BN17" s="78">
        <v>164</v>
      </c>
      <c r="BO17" s="78">
        <v>136</v>
      </c>
      <c r="BP17" s="78">
        <v>6162.75</v>
      </c>
      <c r="BQ17" s="78">
        <v>1151.8</v>
      </c>
      <c r="BR17" s="78">
        <v>111.718973778308</v>
      </c>
      <c r="BS17" s="78">
        <v>261</v>
      </c>
      <c r="BT17" s="78">
        <v>146</v>
      </c>
      <c r="BU17" s="78">
        <v>120.666666666667</v>
      </c>
      <c r="BV17" s="78">
        <f t="shared" si="4"/>
        <v>2101</v>
      </c>
      <c r="BW17" s="78">
        <v>519</v>
      </c>
      <c r="BX17" s="78">
        <v>5798.4468415413303</v>
      </c>
      <c r="BY17" s="402">
        <v>1.524</v>
      </c>
      <c r="BZ17" s="78">
        <v>18979</v>
      </c>
      <c r="CA17" s="78">
        <v>3928</v>
      </c>
      <c r="CB17" s="78">
        <v>807</v>
      </c>
      <c r="CC17" s="78">
        <v>754</v>
      </c>
      <c r="CD17" s="78">
        <v>655</v>
      </c>
      <c r="CE17" s="78">
        <v>415</v>
      </c>
      <c r="CF17" s="78">
        <v>550.56523767393196</v>
      </c>
      <c r="CG17" s="78">
        <v>333.17566958899698</v>
      </c>
      <c r="CH17" s="78">
        <v>130.898745274672</v>
      </c>
      <c r="CI17" s="78">
        <v>1404.6976</v>
      </c>
      <c r="CJ17" s="78">
        <v>850.05560000000003</v>
      </c>
      <c r="CK17" s="78">
        <v>333.97160000000002</v>
      </c>
      <c r="CL17" s="78">
        <v>32059</v>
      </c>
    </row>
    <row r="18" spans="1:90" customFormat="1" x14ac:dyDescent="0.35">
      <c r="A18" s="72">
        <v>59</v>
      </c>
      <c r="B18" s="72" t="s">
        <v>14</v>
      </c>
      <c r="C18" s="72">
        <v>2</v>
      </c>
      <c r="D18" s="78">
        <v>1794400000</v>
      </c>
      <c r="E18" s="78">
        <v>257950000</v>
      </c>
      <c r="F18" s="78">
        <v>290150000</v>
      </c>
      <c r="G18" s="78">
        <v>27843</v>
      </c>
      <c r="H18" s="78">
        <v>5</v>
      </c>
      <c r="I18" s="78">
        <f t="shared" si="2"/>
        <v>290.14999999999998</v>
      </c>
      <c r="J18" s="78">
        <v>6009</v>
      </c>
      <c r="K18" s="78">
        <v>5567</v>
      </c>
      <c r="L18" s="78">
        <v>1735</v>
      </c>
      <c r="M18" s="78">
        <v>4179</v>
      </c>
      <c r="N18" s="78">
        <f t="shared" si="3"/>
        <v>2960.2</v>
      </c>
      <c r="O18" s="78">
        <v>629</v>
      </c>
      <c r="P18" s="78">
        <v>37</v>
      </c>
      <c r="Q18" s="78">
        <v>2124</v>
      </c>
      <c r="R18" s="78">
        <v>3573</v>
      </c>
      <c r="S18" s="78">
        <v>280</v>
      </c>
      <c r="T18" s="78">
        <v>0</v>
      </c>
      <c r="U18" s="78">
        <v>838</v>
      </c>
      <c r="V18" s="78">
        <v>11988</v>
      </c>
      <c r="W18" s="78">
        <v>27460</v>
      </c>
      <c r="X18" s="78">
        <v>10120</v>
      </c>
      <c r="Y18" s="78">
        <v>0</v>
      </c>
      <c r="Z18" s="78">
        <v>1120</v>
      </c>
      <c r="AA18" s="78">
        <v>0</v>
      </c>
      <c r="AB18" s="399">
        <v>0</v>
      </c>
      <c r="AC18" s="399">
        <v>0</v>
      </c>
      <c r="AD18" s="78">
        <v>10221</v>
      </c>
      <c r="AE18" s="78">
        <v>10221</v>
      </c>
      <c r="AF18" s="78">
        <v>177</v>
      </c>
      <c r="AG18" s="78">
        <v>0</v>
      </c>
      <c r="AH18" s="78">
        <v>190</v>
      </c>
      <c r="AI18" s="78">
        <v>75</v>
      </c>
      <c r="AJ18" s="78">
        <v>190</v>
      </c>
      <c r="AK18" s="78">
        <v>75</v>
      </c>
      <c r="AL18" s="78">
        <v>266</v>
      </c>
      <c r="AM18" s="78">
        <v>12188</v>
      </c>
      <c r="AN18" s="78">
        <v>12188</v>
      </c>
      <c r="AO18" s="78">
        <v>0</v>
      </c>
      <c r="AP18" s="78">
        <v>0</v>
      </c>
      <c r="AQ18" s="78">
        <v>0</v>
      </c>
      <c r="AR18" s="78">
        <v>0</v>
      </c>
      <c r="AS18" s="78">
        <v>0</v>
      </c>
      <c r="AT18" s="78">
        <v>0</v>
      </c>
      <c r="AU18" s="400">
        <v>7.2742499999999997E-4</v>
      </c>
      <c r="AV18" s="400">
        <v>3.2451499999999999E-4</v>
      </c>
      <c r="AW18" s="78">
        <v>5204.2759999999998</v>
      </c>
      <c r="AX18" s="78">
        <v>0</v>
      </c>
      <c r="AY18" s="78">
        <v>2389</v>
      </c>
      <c r="AZ18" s="78">
        <v>6397.0885747259099</v>
      </c>
      <c r="BA18" s="78">
        <v>13</v>
      </c>
      <c r="BB18" s="78">
        <v>13</v>
      </c>
      <c r="BC18" s="78">
        <v>2835</v>
      </c>
      <c r="BD18" s="78">
        <v>1</v>
      </c>
      <c r="BE18" s="78">
        <v>0</v>
      </c>
      <c r="BF18" s="78">
        <v>0</v>
      </c>
      <c r="BG18" s="78">
        <v>0</v>
      </c>
      <c r="BH18" s="78">
        <v>0</v>
      </c>
      <c r="BI18" s="78">
        <v>0</v>
      </c>
      <c r="BJ18" s="78">
        <v>0</v>
      </c>
      <c r="BK18" s="78">
        <v>0</v>
      </c>
      <c r="BL18" s="78">
        <v>0</v>
      </c>
      <c r="BM18" s="78">
        <v>721.08</v>
      </c>
      <c r="BN18" s="78">
        <v>110</v>
      </c>
      <c r="BO18" s="78">
        <v>46</v>
      </c>
      <c r="BP18" s="78">
        <v>6113.64</v>
      </c>
      <c r="BQ18" s="78">
        <v>1619.5</v>
      </c>
      <c r="BR18" s="78">
        <v>448.20070588235302</v>
      </c>
      <c r="BS18" s="78">
        <v>329</v>
      </c>
      <c r="BT18" s="78">
        <v>160.666666666667</v>
      </c>
      <c r="BU18" s="78">
        <v>144</v>
      </c>
      <c r="BV18" s="78">
        <f t="shared" si="4"/>
        <v>1495</v>
      </c>
      <c r="BW18" s="78">
        <v>467</v>
      </c>
      <c r="BX18" s="78">
        <v>5175.0871994829804</v>
      </c>
      <c r="BY18" s="402">
        <v>1.921</v>
      </c>
      <c r="BZ18" s="78">
        <v>22276</v>
      </c>
      <c r="CA18" s="78">
        <v>3293</v>
      </c>
      <c r="CB18" s="78">
        <v>539</v>
      </c>
      <c r="CC18" s="78">
        <v>670</v>
      </c>
      <c r="CD18" s="78">
        <v>605</v>
      </c>
      <c r="CE18" s="78">
        <v>295</v>
      </c>
      <c r="CF18" s="78">
        <v>504.94386281588402</v>
      </c>
      <c r="CG18" s="78">
        <v>285.13905480800798</v>
      </c>
      <c r="CH18" s="78">
        <v>90.836462093862806</v>
      </c>
      <c r="CI18" s="78">
        <v>1310.6016</v>
      </c>
      <c r="CJ18" s="78">
        <v>740.08960000000002</v>
      </c>
      <c r="CK18" s="78">
        <v>235.7696</v>
      </c>
      <c r="CL18" s="78">
        <v>0</v>
      </c>
    </row>
    <row r="19" spans="1:90" customFormat="1" x14ac:dyDescent="0.35">
      <c r="A19" s="72">
        <v>60</v>
      </c>
      <c r="B19" s="72" t="s">
        <v>23</v>
      </c>
      <c r="C19" s="72">
        <v>2</v>
      </c>
      <c r="D19" s="78">
        <v>783600000</v>
      </c>
      <c r="E19" s="78">
        <v>107450000</v>
      </c>
      <c r="F19" s="78">
        <v>117600000</v>
      </c>
      <c r="G19" s="78">
        <v>3716</v>
      </c>
      <c r="H19" s="78">
        <v>3</v>
      </c>
      <c r="I19" s="78">
        <f t="shared" si="2"/>
        <v>117.6</v>
      </c>
      <c r="J19" s="78">
        <v>696</v>
      </c>
      <c r="K19" s="78">
        <v>861</v>
      </c>
      <c r="L19" s="78">
        <v>276</v>
      </c>
      <c r="M19" s="78">
        <v>540</v>
      </c>
      <c r="N19" s="78">
        <f t="shared" si="3"/>
        <v>176.89999999999998</v>
      </c>
      <c r="O19" s="78">
        <v>9</v>
      </c>
      <c r="P19" s="78">
        <v>10</v>
      </c>
      <c r="Q19" s="78">
        <v>119</v>
      </c>
      <c r="R19" s="78">
        <v>674</v>
      </c>
      <c r="S19" s="78">
        <v>0</v>
      </c>
      <c r="T19" s="78">
        <v>0</v>
      </c>
      <c r="U19" s="78">
        <v>78</v>
      </c>
      <c r="V19" s="78">
        <v>1765</v>
      </c>
      <c r="W19" s="78">
        <v>3570</v>
      </c>
      <c r="X19" s="78">
        <v>240</v>
      </c>
      <c r="Y19" s="78">
        <v>0</v>
      </c>
      <c r="Z19" s="78">
        <v>136</v>
      </c>
      <c r="AA19" s="78">
        <v>0</v>
      </c>
      <c r="AB19" s="399">
        <v>0</v>
      </c>
      <c r="AC19" s="399">
        <v>0</v>
      </c>
      <c r="AD19" s="78">
        <v>5908</v>
      </c>
      <c r="AE19" s="78">
        <v>5908</v>
      </c>
      <c r="AF19" s="78">
        <v>78</v>
      </c>
      <c r="AG19" s="78">
        <v>10000</v>
      </c>
      <c r="AH19" s="78">
        <v>46</v>
      </c>
      <c r="AI19" s="78">
        <v>10</v>
      </c>
      <c r="AJ19" s="78">
        <v>46</v>
      </c>
      <c r="AK19" s="78">
        <v>10</v>
      </c>
      <c r="AL19" s="78">
        <v>56</v>
      </c>
      <c r="AM19" s="78">
        <v>3631</v>
      </c>
      <c r="AN19" s="78">
        <v>3631</v>
      </c>
      <c r="AO19" s="78">
        <v>0</v>
      </c>
      <c r="AP19" s="78">
        <v>0</v>
      </c>
      <c r="AQ19" s="78">
        <v>0</v>
      </c>
      <c r="AR19" s="78">
        <v>0</v>
      </c>
      <c r="AS19" s="78">
        <v>0</v>
      </c>
      <c r="AT19" s="78">
        <v>0</v>
      </c>
      <c r="AU19" s="400">
        <v>2.41883E-4</v>
      </c>
      <c r="AV19" s="400">
        <v>2.4516999999999999E-5</v>
      </c>
      <c r="AW19" s="78">
        <v>922.274</v>
      </c>
      <c r="AX19" s="78">
        <v>0</v>
      </c>
      <c r="AY19" s="78">
        <v>1002</v>
      </c>
      <c r="AZ19" s="78">
        <v>622.02338790511203</v>
      </c>
      <c r="BA19" s="78">
        <v>4</v>
      </c>
      <c r="BB19" s="78">
        <v>4</v>
      </c>
      <c r="BC19" s="78">
        <v>604</v>
      </c>
      <c r="BD19" s="78">
        <v>1</v>
      </c>
      <c r="BE19" s="78">
        <v>0</v>
      </c>
      <c r="BF19" s="78">
        <v>0</v>
      </c>
      <c r="BG19" s="78">
        <v>0</v>
      </c>
      <c r="BH19" s="78">
        <v>0</v>
      </c>
      <c r="BI19" s="78">
        <v>1</v>
      </c>
      <c r="BJ19" s="78">
        <v>2500</v>
      </c>
      <c r="BK19" s="78">
        <v>1216</v>
      </c>
      <c r="BL19" s="78">
        <v>0</v>
      </c>
      <c r="BM19" s="78">
        <v>53.591999999999999</v>
      </c>
      <c r="BN19" s="78">
        <v>0</v>
      </c>
      <c r="BO19" s="78">
        <v>3</v>
      </c>
      <c r="BP19" s="78">
        <v>987.24</v>
      </c>
      <c r="BQ19" s="78">
        <v>195.44</v>
      </c>
      <c r="BR19" s="78">
        <v>34.5134117647059</v>
      </c>
      <c r="BS19" s="78">
        <v>27</v>
      </c>
      <c r="BT19" s="78">
        <v>3</v>
      </c>
      <c r="BU19" s="78">
        <v>1.6666666666666701</v>
      </c>
      <c r="BV19" s="78">
        <f t="shared" si="4"/>
        <v>110</v>
      </c>
      <c r="BW19" s="78">
        <v>28</v>
      </c>
      <c r="BX19" s="78">
        <v>545.55291042744398</v>
      </c>
      <c r="BY19" s="402">
        <v>1.7999999999999999E-2</v>
      </c>
      <c r="BZ19" s="78">
        <v>2855</v>
      </c>
      <c r="CA19" s="78">
        <v>506</v>
      </c>
      <c r="CB19" s="78">
        <v>79</v>
      </c>
      <c r="CC19" s="78">
        <v>108</v>
      </c>
      <c r="CD19" s="78">
        <v>93</v>
      </c>
      <c r="CE19" s="78">
        <v>40</v>
      </c>
      <c r="CF19" s="78">
        <v>15.5414761773616</v>
      </c>
      <c r="CG19" s="78">
        <v>9.0130817956485796</v>
      </c>
      <c r="CH19" s="78">
        <v>2.4359680528779899</v>
      </c>
      <c r="CI19" s="78">
        <v>181.19200000000001</v>
      </c>
      <c r="CJ19" s="78">
        <v>105.08</v>
      </c>
      <c r="CK19" s="78">
        <v>28.4</v>
      </c>
      <c r="CL19" s="78">
        <v>1985</v>
      </c>
    </row>
    <row r="20" spans="1:90" customFormat="1" x14ac:dyDescent="0.35">
      <c r="A20" s="72">
        <v>1891</v>
      </c>
      <c r="B20" s="72" t="s">
        <v>75</v>
      </c>
      <c r="C20" s="72">
        <v>2</v>
      </c>
      <c r="D20" s="78">
        <v>1194800000</v>
      </c>
      <c r="E20" s="78">
        <v>145600000</v>
      </c>
      <c r="F20" s="78">
        <v>175350000</v>
      </c>
      <c r="G20" s="78">
        <v>18922</v>
      </c>
      <c r="H20" s="78">
        <v>3</v>
      </c>
      <c r="I20" s="78">
        <f t="shared" si="2"/>
        <v>175.35</v>
      </c>
      <c r="J20" s="78">
        <v>3826</v>
      </c>
      <c r="K20" s="78">
        <v>4228</v>
      </c>
      <c r="L20" s="78">
        <v>1363</v>
      </c>
      <c r="M20" s="78">
        <v>2819</v>
      </c>
      <c r="N20" s="78">
        <f t="shared" si="3"/>
        <v>1984.1</v>
      </c>
      <c r="O20" s="78">
        <v>478.66666666666703</v>
      </c>
      <c r="P20" s="78">
        <v>57</v>
      </c>
      <c r="Q20" s="78">
        <v>1534.6666666666699</v>
      </c>
      <c r="R20" s="78">
        <v>2292</v>
      </c>
      <c r="S20" s="78">
        <v>190</v>
      </c>
      <c r="T20" s="78">
        <v>0</v>
      </c>
      <c r="U20" s="78">
        <v>417</v>
      </c>
      <c r="V20" s="78">
        <v>8181</v>
      </c>
      <c r="W20" s="78">
        <v>18350</v>
      </c>
      <c r="X20" s="78">
        <v>5770</v>
      </c>
      <c r="Y20" s="78">
        <v>775.04</v>
      </c>
      <c r="Z20" s="78">
        <v>195.2</v>
      </c>
      <c r="AA20" s="78">
        <v>0</v>
      </c>
      <c r="AB20" s="399">
        <v>0</v>
      </c>
      <c r="AC20" s="399">
        <v>0</v>
      </c>
      <c r="AD20" s="78">
        <v>8456</v>
      </c>
      <c r="AE20" s="78">
        <v>8456</v>
      </c>
      <c r="AF20" s="78">
        <v>297</v>
      </c>
      <c r="AG20" s="78">
        <v>0</v>
      </c>
      <c r="AH20" s="78">
        <v>112</v>
      </c>
      <c r="AI20" s="78">
        <v>47</v>
      </c>
      <c r="AJ20" s="78">
        <v>112</v>
      </c>
      <c r="AK20" s="78">
        <v>47</v>
      </c>
      <c r="AL20" s="78">
        <v>159</v>
      </c>
      <c r="AM20" s="78">
        <v>8349</v>
      </c>
      <c r="AN20" s="78">
        <v>8349</v>
      </c>
      <c r="AO20" s="78">
        <v>0</v>
      </c>
      <c r="AP20" s="78">
        <v>0</v>
      </c>
      <c r="AQ20" s="78">
        <v>0</v>
      </c>
      <c r="AR20" s="78">
        <v>0</v>
      </c>
      <c r="AS20" s="78">
        <v>573</v>
      </c>
      <c r="AT20" s="78">
        <v>0</v>
      </c>
      <c r="AU20" s="400">
        <v>6.2478900000000005E-4</v>
      </c>
      <c r="AV20" s="400">
        <v>1.8494799999999999E-4</v>
      </c>
      <c r="AW20" s="78">
        <v>3773.748</v>
      </c>
      <c r="AX20" s="78">
        <v>0</v>
      </c>
      <c r="AY20" s="78">
        <v>2549</v>
      </c>
      <c r="AZ20" s="78">
        <v>5510.3596481206396</v>
      </c>
      <c r="BA20" s="78">
        <v>9</v>
      </c>
      <c r="BB20" s="78">
        <v>9</v>
      </c>
      <c r="BC20" s="78">
        <v>1677</v>
      </c>
      <c r="BD20" s="78">
        <v>1</v>
      </c>
      <c r="BE20" s="78">
        <v>0</v>
      </c>
      <c r="BF20" s="78">
        <v>0</v>
      </c>
      <c r="BG20" s="78">
        <v>0</v>
      </c>
      <c r="BH20" s="78">
        <v>0</v>
      </c>
      <c r="BI20" s="78">
        <v>0</v>
      </c>
      <c r="BJ20" s="78">
        <v>0</v>
      </c>
      <c r="BK20" s="78">
        <v>0</v>
      </c>
      <c r="BL20" s="78">
        <v>0</v>
      </c>
      <c r="BM20" s="78">
        <v>436.16399999999999</v>
      </c>
      <c r="BN20" s="78">
        <v>58</v>
      </c>
      <c r="BO20" s="78">
        <v>51</v>
      </c>
      <c r="BP20" s="78">
        <v>4202.28</v>
      </c>
      <c r="BQ20" s="78">
        <v>1037.92</v>
      </c>
      <c r="BR20" s="78">
        <v>193.03225939722299</v>
      </c>
      <c r="BS20" s="78">
        <v>170</v>
      </c>
      <c r="BT20" s="78">
        <v>103.333333333333</v>
      </c>
      <c r="BU20" s="78">
        <v>98</v>
      </c>
      <c r="BV20" s="78">
        <f t="shared" si="4"/>
        <v>1056.000000000003</v>
      </c>
      <c r="BW20" s="78">
        <v>378</v>
      </c>
      <c r="BX20" s="78">
        <v>3751.041762934</v>
      </c>
      <c r="BY20" s="402">
        <v>1.4159999999999999</v>
      </c>
      <c r="BZ20" s="78">
        <v>14694</v>
      </c>
      <c r="CA20" s="78">
        <v>2398</v>
      </c>
      <c r="CB20" s="78">
        <v>467</v>
      </c>
      <c r="CC20" s="78">
        <v>461</v>
      </c>
      <c r="CD20" s="78">
        <v>449</v>
      </c>
      <c r="CE20" s="78">
        <v>206</v>
      </c>
      <c r="CF20" s="78">
        <v>347.19967660797698</v>
      </c>
      <c r="CG20" s="78">
        <v>220.29712540424001</v>
      </c>
      <c r="CH20" s="78">
        <v>61.787759013055499</v>
      </c>
      <c r="CI20" s="78">
        <v>889.60289999999998</v>
      </c>
      <c r="CJ20" s="78">
        <v>564.45029999999997</v>
      </c>
      <c r="CK20" s="78">
        <v>158.31399999999999</v>
      </c>
      <c r="CL20" s="78">
        <v>25575</v>
      </c>
    </row>
    <row r="21" spans="1:90" customFormat="1" x14ac:dyDescent="0.35">
      <c r="A21" s="72">
        <v>1940</v>
      </c>
      <c r="B21" s="72" t="s">
        <v>77</v>
      </c>
      <c r="C21" s="72">
        <v>2</v>
      </c>
      <c r="D21" s="78">
        <v>4523600000</v>
      </c>
      <c r="E21" s="78">
        <v>632800000</v>
      </c>
      <c r="F21" s="78">
        <v>719600000</v>
      </c>
      <c r="G21" s="78">
        <v>51564</v>
      </c>
      <c r="H21" s="78">
        <v>11</v>
      </c>
      <c r="I21" s="78">
        <f t="shared" si="2"/>
        <v>719.6</v>
      </c>
      <c r="J21" s="78">
        <v>10201</v>
      </c>
      <c r="K21" s="78">
        <v>12034</v>
      </c>
      <c r="L21" s="78">
        <v>3864</v>
      </c>
      <c r="M21" s="78">
        <v>6732</v>
      </c>
      <c r="N21" s="78">
        <f t="shared" si="3"/>
        <v>4222.1000000000004</v>
      </c>
      <c r="O21" s="78">
        <v>861.66666666666697</v>
      </c>
      <c r="P21" s="78">
        <v>40</v>
      </c>
      <c r="Q21" s="78">
        <v>2627.6666666666702</v>
      </c>
      <c r="R21" s="78">
        <v>6979</v>
      </c>
      <c r="S21" s="78">
        <v>920</v>
      </c>
      <c r="T21" s="78">
        <v>0</v>
      </c>
      <c r="U21" s="78">
        <v>1257</v>
      </c>
      <c r="V21" s="78">
        <v>22998</v>
      </c>
      <c r="W21" s="78">
        <v>48500</v>
      </c>
      <c r="X21" s="78">
        <v>27580</v>
      </c>
      <c r="Y21" s="78">
        <v>0</v>
      </c>
      <c r="Z21" s="78">
        <v>1075.2</v>
      </c>
      <c r="AA21" s="78">
        <v>0</v>
      </c>
      <c r="AB21" s="399">
        <v>0</v>
      </c>
      <c r="AC21" s="399">
        <v>0</v>
      </c>
      <c r="AD21" s="78">
        <v>35110</v>
      </c>
      <c r="AE21" s="78">
        <v>35110</v>
      </c>
      <c r="AF21" s="78">
        <v>6706</v>
      </c>
      <c r="AG21" s="78">
        <v>10000</v>
      </c>
      <c r="AH21" s="78">
        <v>340</v>
      </c>
      <c r="AI21" s="78">
        <v>210</v>
      </c>
      <c r="AJ21" s="78">
        <v>340</v>
      </c>
      <c r="AK21" s="78">
        <v>210</v>
      </c>
      <c r="AL21" s="78">
        <v>549</v>
      </c>
      <c r="AM21" s="78">
        <v>25099</v>
      </c>
      <c r="AN21" s="78">
        <v>25099</v>
      </c>
      <c r="AO21" s="78">
        <v>5</v>
      </c>
      <c r="AP21" s="78">
        <v>0</v>
      </c>
      <c r="AQ21" s="78">
        <v>0</v>
      </c>
      <c r="AR21" s="78">
        <v>1450</v>
      </c>
      <c r="AS21" s="78">
        <v>1818</v>
      </c>
      <c r="AT21" s="78">
        <v>0</v>
      </c>
      <c r="AU21" s="400">
        <v>1.7896570000000001E-3</v>
      </c>
      <c r="AV21" s="400">
        <v>5.3733600000000002E-4</v>
      </c>
      <c r="AW21" s="78">
        <v>13879.746999999999</v>
      </c>
      <c r="AX21" s="78">
        <v>0</v>
      </c>
      <c r="AY21" s="78">
        <v>14076</v>
      </c>
      <c r="AZ21" s="78">
        <v>17357.348000765302</v>
      </c>
      <c r="BA21" s="78">
        <v>43</v>
      </c>
      <c r="BB21" s="78">
        <v>43</v>
      </c>
      <c r="BC21" s="78">
        <v>6710</v>
      </c>
      <c r="BD21" s="78">
        <v>1</v>
      </c>
      <c r="BE21" s="78">
        <v>0</v>
      </c>
      <c r="BF21" s="78">
        <v>0</v>
      </c>
      <c r="BG21" s="78">
        <v>0</v>
      </c>
      <c r="BH21" s="78">
        <v>0</v>
      </c>
      <c r="BI21" s="78">
        <v>0</v>
      </c>
      <c r="BJ21" s="78">
        <v>0</v>
      </c>
      <c r="BK21" s="78">
        <v>0</v>
      </c>
      <c r="BL21" s="78">
        <v>0</v>
      </c>
      <c r="BM21" s="78">
        <v>897.68799999999999</v>
      </c>
      <c r="BN21" s="78">
        <v>125</v>
      </c>
      <c r="BO21" s="78">
        <v>106</v>
      </c>
      <c r="BP21" s="78">
        <v>14227.2</v>
      </c>
      <c r="BQ21" s="78">
        <v>3299.49</v>
      </c>
      <c r="BR21" s="78">
        <v>344.20844865429802</v>
      </c>
      <c r="BS21" s="78">
        <v>504</v>
      </c>
      <c r="BT21" s="78">
        <v>235</v>
      </c>
      <c r="BU21" s="78">
        <v>192.333333333333</v>
      </c>
      <c r="BV21" s="78">
        <f t="shared" si="4"/>
        <v>1766.0000000000032</v>
      </c>
      <c r="BW21" s="78">
        <v>583</v>
      </c>
      <c r="BX21" s="78">
        <v>7769.59093136302</v>
      </c>
      <c r="BY21" s="402">
        <v>1.7649999999999999</v>
      </c>
      <c r="BZ21" s="78">
        <v>39530</v>
      </c>
      <c r="CA21" s="78">
        <v>6860</v>
      </c>
      <c r="CB21" s="78">
        <v>1310</v>
      </c>
      <c r="CC21" s="78">
        <v>1249</v>
      </c>
      <c r="CD21" s="78">
        <v>1194</v>
      </c>
      <c r="CE21" s="78">
        <v>671</v>
      </c>
      <c r="CF21" s="78">
        <v>705.50569345392296</v>
      </c>
      <c r="CG21" s="78">
        <v>420.376425355592</v>
      </c>
      <c r="CH21" s="78">
        <v>151.732507271206</v>
      </c>
      <c r="CI21" s="78">
        <v>2020.2498000000001</v>
      </c>
      <c r="CJ21" s="78">
        <v>1203.7683</v>
      </c>
      <c r="CK21" s="78">
        <v>434.49340000000001</v>
      </c>
      <c r="CL21" s="78">
        <v>38648</v>
      </c>
    </row>
    <row r="22" spans="1:90" customFormat="1" x14ac:dyDescent="0.35">
      <c r="A22" s="72">
        <v>72</v>
      </c>
      <c r="B22" s="72" t="s">
        <v>132</v>
      </c>
      <c r="C22" s="72">
        <v>2</v>
      </c>
      <c r="D22" s="78">
        <v>1056400000</v>
      </c>
      <c r="E22" s="78">
        <v>266700000</v>
      </c>
      <c r="F22" s="78">
        <v>279300000</v>
      </c>
      <c r="G22" s="78">
        <v>15722</v>
      </c>
      <c r="H22" s="78">
        <v>1</v>
      </c>
      <c r="I22" s="78">
        <f t="shared" si="2"/>
        <v>279.3</v>
      </c>
      <c r="J22" s="78">
        <v>3000</v>
      </c>
      <c r="K22" s="78">
        <v>3997</v>
      </c>
      <c r="L22" s="78">
        <v>1309</v>
      </c>
      <c r="M22" s="78">
        <v>2850</v>
      </c>
      <c r="N22" s="78">
        <f t="shared" si="3"/>
        <v>2062.6999999999998</v>
      </c>
      <c r="O22" s="78">
        <v>526.66666666666697</v>
      </c>
      <c r="P22" s="78">
        <v>21</v>
      </c>
      <c r="Q22" s="78">
        <v>1214.6666666666699</v>
      </c>
      <c r="R22" s="78">
        <v>2960</v>
      </c>
      <c r="S22" s="78">
        <v>385</v>
      </c>
      <c r="T22" s="78">
        <v>0</v>
      </c>
      <c r="U22" s="78">
        <v>575</v>
      </c>
      <c r="V22" s="78">
        <v>7729</v>
      </c>
      <c r="W22" s="78">
        <v>17180</v>
      </c>
      <c r="X22" s="78">
        <v>16600</v>
      </c>
      <c r="Y22" s="78">
        <v>0</v>
      </c>
      <c r="Z22" s="78">
        <v>1015.2</v>
      </c>
      <c r="AA22" s="78">
        <v>0</v>
      </c>
      <c r="AB22" s="399">
        <v>0</v>
      </c>
      <c r="AC22" s="399">
        <v>0</v>
      </c>
      <c r="AD22" s="78">
        <v>2495</v>
      </c>
      <c r="AE22" s="78">
        <v>2519.9499999999998</v>
      </c>
      <c r="AF22" s="78">
        <v>168</v>
      </c>
      <c r="AG22" s="78">
        <v>10000</v>
      </c>
      <c r="AH22" s="78">
        <v>94</v>
      </c>
      <c r="AI22" s="78">
        <v>28</v>
      </c>
      <c r="AJ22" s="78">
        <v>94.94</v>
      </c>
      <c r="AK22" s="78">
        <v>28.28</v>
      </c>
      <c r="AL22" s="78">
        <v>122</v>
      </c>
      <c r="AM22" s="78">
        <v>7873</v>
      </c>
      <c r="AN22" s="78">
        <v>7951.73</v>
      </c>
      <c r="AO22" s="78">
        <v>0</v>
      </c>
      <c r="AP22" s="78">
        <v>45</v>
      </c>
      <c r="AQ22" s="78">
        <v>0</v>
      </c>
      <c r="AR22" s="78">
        <v>6000</v>
      </c>
      <c r="AS22" s="78">
        <v>2541</v>
      </c>
      <c r="AT22" s="78">
        <v>2541</v>
      </c>
      <c r="AU22" s="400">
        <v>1.659235E-3</v>
      </c>
      <c r="AV22" s="400">
        <v>7.3000799999999998E-4</v>
      </c>
      <c r="AW22" s="78">
        <v>8392.6180000000004</v>
      </c>
      <c r="AX22" s="78">
        <v>0</v>
      </c>
      <c r="AY22" s="78">
        <v>1298.8599999999999</v>
      </c>
      <c r="AZ22" s="78">
        <v>7882.9623882838896</v>
      </c>
      <c r="BA22" s="78">
        <v>2</v>
      </c>
      <c r="BB22" s="78">
        <v>2.02</v>
      </c>
      <c r="BC22" s="78">
        <v>1716</v>
      </c>
      <c r="BD22" s="78">
        <v>1</v>
      </c>
      <c r="BE22" s="78">
        <v>0</v>
      </c>
      <c r="BF22" s="78">
        <v>0</v>
      </c>
      <c r="BG22" s="78">
        <v>0</v>
      </c>
      <c r="BH22" s="78">
        <v>0</v>
      </c>
      <c r="BI22" s="78">
        <v>0</v>
      </c>
      <c r="BJ22" s="78">
        <v>0</v>
      </c>
      <c r="BK22" s="78">
        <v>0</v>
      </c>
      <c r="BL22" s="78">
        <v>0</v>
      </c>
      <c r="BM22" s="78">
        <v>459</v>
      </c>
      <c r="BN22" s="78">
        <v>46</v>
      </c>
      <c r="BO22" s="78">
        <v>25</v>
      </c>
      <c r="BP22" s="78">
        <v>4041.36</v>
      </c>
      <c r="BQ22" s="78">
        <v>807</v>
      </c>
      <c r="BR22" s="78">
        <v>174.30337078651701</v>
      </c>
      <c r="BS22" s="78">
        <v>211</v>
      </c>
      <c r="BT22" s="78">
        <v>127.666666666667</v>
      </c>
      <c r="BU22" s="78">
        <v>123.666666666667</v>
      </c>
      <c r="BV22" s="78">
        <f t="shared" si="4"/>
        <v>688.00000000000296</v>
      </c>
      <c r="BW22" s="78">
        <v>187</v>
      </c>
      <c r="BX22" s="78">
        <v>3195.72248254855</v>
      </c>
      <c r="BY22" s="402">
        <v>1.6</v>
      </c>
      <c r="BZ22" s="78">
        <v>11725</v>
      </c>
      <c r="CA22" s="78">
        <v>2299</v>
      </c>
      <c r="CB22" s="78">
        <v>389</v>
      </c>
      <c r="CC22" s="78">
        <v>567</v>
      </c>
      <c r="CD22" s="78">
        <v>435</v>
      </c>
      <c r="CE22" s="78">
        <v>187</v>
      </c>
      <c r="CF22" s="78">
        <v>372.82130064778403</v>
      </c>
      <c r="CG22" s="78">
        <v>233.96305093357</v>
      </c>
      <c r="CH22" s="78">
        <v>64.975180998348804</v>
      </c>
      <c r="CI22" s="78">
        <v>844.12360000000001</v>
      </c>
      <c r="CJ22" s="78">
        <v>529.72760000000005</v>
      </c>
      <c r="CK22" s="78">
        <v>147.11359999999999</v>
      </c>
      <c r="CL22" s="78">
        <v>13230</v>
      </c>
    </row>
    <row r="23" spans="1:90" customFormat="1" x14ac:dyDescent="0.35">
      <c r="A23" s="72">
        <v>74</v>
      </c>
      <c r="B23" s="72" t="s">
        <v>137</v>
      </c>
      <c r="C23" s="72">
        <v>2</v>
      </c>
      <c r="D23" s="78">
        <v>4158400000</v>
      </c>
      <c r="E23" s="78">
        <v>809550000</v>
      </c>
      <c r="F23" s="78">
        <v>844550000</v>
      </c>
      <c r="G23" s="78">
        <v>50493</v>
      </c>
      <c r="H23" s="78">
        <v>5</v>
      </c>
      <c r="I23" s="78">
        <f t="shared" si="2"/>
        <v>844.55</v>
      </c>
      <c r="J23" s="78">
        <v>9958</v>
      </c>
      <c r="K23" s="78">
        <v>11010</v>
      </c>
      <c r="L23" s="78">
        <v>3655</v>
      </c>
      <c r="M23" s="78">
        <v>7767</v>
      </c>
      <c r="N23" s="78">
        <f t="shared" si="3"/>
        <v>5387.2999999999993</v>
      </c>
      <c r="O23" s="78">
        <v>1318.3333333333301</v>
      </c>
      <c r="P23" s="78">
        <v>76</v>
      </c>
      <c r="Q23" s="78">
        <v>3666.3333333333298</v>
      </c>
      <c r="R23" s="78">
        <v>8261</v>
      </c>
      <c r="S23" s="78">
        <v>1850</v>
      </c>
      <c r="T23" s="78">
        <v>0</v>
      </c>
      <c r="U23" s="78">
        <v>1638</v>
      </c>
      <c r="V23" s="78">
        <v>23544</v>
      </c>
      <c r="W23" s="78">
        <v>53020</v>
      </c>
      <c r="X23" s="78">
        <v>53480</v>
      </c>
      <c r="Y23" s="78">
        <v>882.1</v>
      </c>
      <c r="Z23" s="78">
        <v>3094.4</v>
      </c>
      <c r="AA23" s="78">
        <v>0</v>
      </c>
      <c r="AB23" s="399">
        <v>0</v>
      </c>
      <c r="AC23" s="399">
        <v>0</v>
      </c>
      <c r="AD23" s="78">
        <v>18986</v>
      </c>
      <c r="AE23" s="78">
        <v>18986</v>
      </c>
      <c r="AF23" s="78">
        <v>831</v>
      </c>
      <c r="AG23" s="78">
        <v>0</v>
      </c>
      <c r="AH23" s="78">
        <v>304</v>
      </c>
      <c r="AI23" s="78">
        <v>155</v>
      </c>
      <c r="AJ23" s="78">
        <v>304</v>
      </c>
      <c r="AK23" s="78">
        <v>155</v>
      </c>
      <c r="AL23" s="78">
        <v>458</v>
      </c>
      <c r="AM23" s="78">
        <v>23797</v>
      </c>
      <c r="AN23" s="78">
        <v>23797</v>
      </c>
      <c r="AO23" s="78">
        <v>9</v>
      </c>
      <c r="AP23" s="78">
        <v>0</v>
      </c>
      <c r="AQ23" s="78">
        <v>0</v>
      </c>
      <c r="AR23" s="78">
        <v>2300</v>
      </c>
      <c r="AS23" s="78">
        <v>2234</v>
      </c>
      <c r="AT23" s="78">
        <v>1600</v>
      </c>
      <c r="AU23" s="400">
        <v>2.0498500000000002E-3</v>
      </c>
      <c r="AV23" s="400">
        <v>1.6584799999999999E-3</v>
      </c>
      <c r="AW23" s="78">
        <v>25795.948</v>
      </c>
      <c r="AX23" s="78">
        <v>0</v>
      </c>
      <c r="AY23" s="78">
        <v>9447</v>
      </c>
      <c r="AZ23" s="78">
        <v>24325.411061210099</v>
      </c>
      <c r="BA23" s="78">
        <v>23</v>
      </c>
      <c r="BB23" s="78">
        <v>23</v>
      </c>
      <c r="BC23" s="78">
        <v>5881</v>
      </c>
      <c r="BD23" s="78">
        <v>1</v>
      </c>
      <c r="BE23" s="78">
        <v>0</v>
      </c>
      <c r="BF23" s="78">
        <v>0</v>
      </c>
      <c r="BG23" s="78">
        <v>0</v>
      </c>
      <c r="BH23" s="78">
        <v>0</v>
      </c>
      <c r="BI23" s="78">
        <v>0</v>
      </c>
      <c r="BJ23" s="78">
        <v>0</v>
      </c>
      <c r="BK23" s="78">
        <v>0</v>
      </c>
      <c r="BL23" s="78">
        <v>0</v>
      </c>
      <c r="BM23" s="78">
        <v>1065.5060000000001</v>
      </c>
      <c r="BN23" s="78">
        <v>119</v>
      </c>
      <c r="BO23" s="78">
        <v>109</v>
      </c>
      <c r="BP23" s="78">
        <v>14194.9</v>
      </c>
      <c r="BQ23" s="78">
        <v>3310.8</v>
      </c>
      <c r="BR23" s="78">
        <v>384.64769477278702</v>
      </c>
      <c r="BS23" s="78">
        <v>645</v>
      </c>
      <c r="BT23" s="78">
        <v>312</v>
      </c>
      <c r="BU23" s="78">
        <v>291</v>
      </c>
      <c r="BV23" s="78">
        <f t="shared" si="4"/>
        <v>2348</v>
      </c>
      <c r="BW23" s="78">
        <v>874</v>
      </c>
      <c r="BX23" s="78">
        <v>8187.4273410669202</v>
      </c>
      <c r="BY23" s="402">
        <v>3.7210000000000001</v>
      </c>
      <c r="BZ23" s="78">
        <v>39483</v>
      </c>
      <c r="CA23" s="78">
        <v>5991</v>
      </c>
      <c r="CB23" s="78">
        <v>1364</v>
      </c>
      <c r="CC23" s="78">
        <v>1294</v>
      </c>
      <c r="CD23" s="78">
        <v>1238</v>
      </c>
      <c r="CE23" s="78">
        <v>723</v>
      </c>
      <c r="CF23" s="78">
        <v>852.79485229230602</v>
      </c>
      <c r="CG23" s="78">
        <v>548.98527125267901</v>
      </c>
      <c r="CH23" s="78">
        <v>215.29278060259699</v>
      </c>
      <c r="CI23" s="78">
        <v>1895.1777</v>
      </c>
      <c r="CJ23" s="78">
        <v>1220.0174999999999</v>
      </c>
      <c r="CK23" s="78">
        <v>478.44810000000001</v>
      </c>
      <c r="CL23" s="78">
        <v>22867</v>
      </c>
    </row>
    <row r="24" spans="1:90" customFormat="1" x14ac:dyDescent="0.35">
      <c r="A24" s="72">
        <v>80</v>
      </c>
      <c r="B24" s="72" t="s">
        <v>178</v>
      </c>
      <c r="C24" s="72">
        <v>2</v>
      </c>
      <c r="D24" s="78">
        <v>8282000000</v>
      </c>
      <c r="E24" s="78">
        <v>1831900000</v>
      </c>
      <c r="F24" s="78">
        <v>1885450000</v>
      </c>
      <c r="G24" s="78">
        <v>124084</v>
      </c>
      <c r="H24" s="78">
        <v>5</v>
      </c>
      <c r="I24" s="78">
        <f t="shared" si="2"/>
        <v>1885.45</v>
      </c>
      <c r="J24" s="78">
        <v>22588</v>
      </c>
      <c r="K24" s="78">
        <v>23117</v>
      </c>
      <c r="L24" s="78">
        <v>7163</v>
      </c>
      <c r="M24" s="78">
        <v>21771</v>
      </c>
      <c r="N24" s="78">
        <f t="shared" si="3"/>
        <v>15286.3</v>
      </c>
      <c r="O24" s="78">
        <v>6014.3333333333303</v>
      </c>
      <c r="P24" s="78">
        <v>131</v>
      </c>
      <c r="Q24" s="78">
        <v>11760.333333333299</v>
      </c>
      <c r="R24" s="78">
        <v>29791</v>
      </c>
      <c r="S24" s="78">
        <v>5635</v>
      </c>
      <c r="T24" s="78">
        <v>0</v>
      </c>
      <c r="U24" s="78">
        <v>4648</v>
      </c>
      <c r="V24" s="78">
        <v>65235</v>
      </c>
      <c r="W24" s="78">
        <v>136540</v>
      </c>
      <c r="X24" s="78">
        <v>212910</v>
      </c>
      <c r="Y24" s="78">
        <v>3558.56</v>
      </c>
      <c r="Z24" s="78">
        <v>5895.2</v>
      </c>
      <c r="AA24" s="78">
        <v>0</v>
      </c>
      <c r="AB24" s="399">
        <v>0</v>
      </c>
      <c r="AC24" s="399">
        <v>0</v>
      </c>
      <c r="AD24" s="78">
        <v>23814</v>
      </c>
      <c r="AE24" s="78">
        <v>25957.26</v>
      </c>
      <c r="AF24" s="78">
        <v>1748</v>
      </c>
      <c r="AG24" s="78">
        <v>0</v>
      </c>
      <c r="AH24" s="78">
        <v>676</v>
      </c>
      <c r="AI24" s="78">
        <v>118</v>
      </c>
      <c r="AJ24" s="78">
        <v>763.88</v>
      </c>
      <c r="AK24" s="78">
        <v>127.44</v>
      </c>
      <c r="AL24" s="78">
        <v>794</v>
      </c>
      <c r="AM24" s="78">
        <v>64847</v>
      </c>
      <c r="AN24" s="78">
        <v>73277.11</v>
      </c>
      <c r="AO24" s="78">
        <v>0</v>
      </c>
      <c r="AP24" s="78">
        <v>44</v>
      </c>
      <c r="AQ24" s="78">
        <v>0</v>
      </c>
      <c r="AR24" s="78">
        <v>7250</v>
      </c>
      <c r="AS24" s="78">
        <v>15191</v>
      </c>
      <c r="AT24" s="78">
        <v>12319</v>
      </c>
      <c r="AU24" s="400">
        <v>1.8086992E-2</v>
      </c>
      <c r="AV24" s="400">
        <v>2.1799709E-2</v>
      </c>
      <c r="AW24" s="78">
        <v>138383.49799999999</v>
      </c>
      <c r="AX24" s="78">
        <v>0</v>
      </c>
      <c r="AY24" s="78">
        <v>12594.95</v>
      </c>
      <c r="AZ24" s="78">
        <v>73699.983539629204</v>
      </c>
      <c r="BA24" s="78">
        <v>23</v>
      </c>
      <c r="BB24" s="78">
        <v>24.84</v>
      </c>
      <c r="BC24" s="78">
        <v>12701</v>
      </c>
      <c r="BD24" s="78">
        <v>1</v>
      </c>
      <c r="BE24" s="78">
        <v>0</v>
      </c>
      <c r="BF24" s="78">
        <v>0</v>
      </c>
      <c r="BG24" s="78">
        <v>0</v>
      </c>
      <c r="BH24" s="78">
        <v>0</v>
      </c>
      <c r="BI24" s="78">
        <v>0</v>
      </c>
      <c r="BJ24" s="78">
        <v>0</v>
      </c>
      <c r="BK24" s="78">
        <v>0</v>
      </c>
      <c r="BL24" s="78">
        <v>0</v>
      </c>
      <c r="BM24" s="78">
        <v>3727.02</v>
      </c>
      <c r="BN24" s="78">
        <v>189</v>
      </c>
      <c r="BO24" s="78">
        <v>182</v>
      </c>
      <c r="BP24" s="78">
        <v>32935.760000000002</v>
      </c>
      <c r="BQ24" s="78">
        <v>7029</v>
      </c>
      <c r="BR24" s="78">
        <v>1374.5869420392701</v>
      </c>
      <c r="BS24" s="78">
        <v>1759</v>
      </c>
      <c r="BT24" s="78">
        <v>1330.3333333333301</v>
      </c>
      <c r="BU24" s="78">
        <v>1198.3333333333301</v>
      </c>
      <c r="BV24" s="78">
        <f t="shared" si="4"/>
        <v>5745.9999999999691</v>
      </c>
      <c r="BW24" s="78">
        <v>2368</v>
      </c>
      <c r="BX24" s="78">
        <v>19695.234336309099</v>
      </c>
      <c r="BY24" s="402">
        <v>18.018999999999998</v>
      </c>
      <c r="BZ24" s="78">
        <v>100967</v>
      </c>
      <c r="CA24" s="78">
        <v>13283</v>
      </c>
      <c r="CB24" s="78">
        <v>2671</v>
      </c>
      <c r="CC24" s="78">
        <v>3643</v>
      </c>
      <c r="CD24" s="78">
        <v>2620</v>
      </c>
      <c r="CE24" s="78">
        <v>1461</v>
      </c>
      <c r="CF24" s="78">
        <v>2022.3166484185799</v>
      </c>
      <c r="CG24" s="78">
        <v>1158.84236433451</v>
      </c>
      <c r="CH24" s="78">
        <v>466.97858497694602</v>
      </c>
      <c r="CI24" s="78">
        <v>4830.8348999999998</v>
      </c>
      <c r="CJ24" s="78">
        <v>2768.1995999999999</v>
      </c>
      <c r="CK24" s="78">
        <v>1115.5011</v>
      </c>
      <c r="CL24" s="78">
        <v>116004</v>
      </c>
    </row>
    <row r="25" spans="1:90" customFormat="1" x14ac:dyDescent="0.35">
      <c r="A25" s="72">
        <v>1970</v>
      </c>
      <c r="B25" s="72" t="s">
        <v>217</v>
      </c>
      <c r="C25" s="72">
        <v>2</v>
      </c>
      <c r="D25" s="78">
        <v>2744000000</v>
      </c>
      <c r="E25" s="78">
        <v>567000000</v>
      </c>
      <c r="F25" s="78">
        <v>644000000</v>
      </c>
      <c r="G25" s="78">
        <v>45228</v>
      </c>
      <c r="H25" s="78">
        <v>9</v>
      </c>
      <c r="I25" s="78">
        <f t="shared" si="2"/>
        <v>644</v>
      </c>
      <c r="J25" s="78">
        <v>9448</v>
      </c>
      <c r="K25" s="78">
        <v>9572</v>
      </c>
      <c r="L25" s="78">
        <v>3210</v>
      </c>
      <c r="M25" s="78">
        <v>7022</v>
      </c>
      <c r="N25" s="78">
        <f t="shared" si="3"/>
        <v>4896.7</v>
      </c>
      <c r="O25" s="78">
        <v>1047.3333333333301</v>
      </c>
      <c r="P25" s="78">
        <v>88</v>
      </c>
      <c r="Q25" s="78">
        <v>3558.3333333333298</v>
      </c>
      <c r="R25" s="78">
        <v>6449</v>
      </c>
      <c r="S25" s="78">
        <v>490</v>
      </c>
      <c r="T25" s="78">
        <v>0</v>
      </c>
      <c r="U25" s="78">
        <v>1216</v>
      </c>
      <c r="V25" s="78">
        <v>20067</v>
      </c>
      <c r="W25" s="78">
        <v>42170</v>
      </c>
      <c r="X25" s="78">
        <v>17530</v>
      </c>
      <c r="Y25" s="78">
        <v>805.86</v>
      </c>
      <c r="Z25" s="78">
        <v>1908.8</v>
      </c>
      <c r="AA25" s="78">
        <v>0</v>
      </c>
      <c r="AB25" s="399">
        <v>0</v>
      </c>
      <c r="AC25" s="399">
        <v>0</v>
      </c>
      <c r="AD25" s="78">
        <v>37881</v>
      </c>
      <c r="AE25" s="78">
        <v>40911.480000000003</v>
      </c>
      <c r="AF25" s="78">
        <v>1780</v>
      </c>
      <c r="AG25" s="78">
        <v>10000</v>
      </c>
      <c r="AH25" s="78">
        <v>281</v>
      </c>
      <c r="AI25" s="78">
        <v>197</v>
      </c>
      <c r="AJ25" s="78">
        <v>300.67</v>
      </c>
      <c r="AK25" s="78">
        <v>212.76</v>
      </c>
      <c r="AL25" s="78">
        <v>478</v>
      </c>
      <c r="AM25" s="78">
        <v>21253</v>
      </c>
      <c r="AN25" s="78">
        <v>22740.71</v>
      </c>
      <c r="AO25" s="78">
        <v>22</v>
      </c>
      <c r="AP25" s="78">
        <v>0</v>
      </c>
      <c r="AQ25" s="78">
        <v>0</v>
      </c>
      <c r="AR25" s="78">
        <v>5350</v>
      </c>
      <c r="AS25" s="78">
        <v>1908</v>
      </c>
      <c r="AT25" s="78">
        <v>1331</v>
      </c>
      <c r="AU25" s="400">
        <v>2.6534929999999998E-3</v>
      </c>
      <c r="AV25" s="400">
        <v>6.45726E-4</v>
      </c>
      <c r="AW25" s="78">
        <v>9840.1389999999992</v>
      </c>
      <c r="AX25" s="78">
        <v>0</v>
      </c>
      <c r="AY25" s="78">
        <v>10368</v>
      </c>
      <c r="AZ25" s="78">
        <v>13520.436265348801</v>
      </c>
      <c r="BA25" s="78">
        <v>38</v>
      </c>
      <c r="BB25" s="78">
        <v>41.04</v>
      </c>
      <c r="BC25" s="78">
        <v>4633</v>
      </c>
      <c r="BD25" s="78">
        <v>1</v>
      </c>
      <c r="BE25" s="78">
        <v>0</v>
      </c>
      <c r="BF25" s="78">
        <v>0</v>
      </c>
      <c r="BG25" s="78">
        <v>0</v>
      </c>
      <c r="BH25" s="78">
        <v>0</v>
      </c>
      <c r="BI25" s="78">
        <v>0</v>
      </c>
      <c r="BJ25" s="78">
        <v>0</v>
      </c>
      <c r="BK25" s="78">
        <v>0</v>
      </c>
      <c r="BL25" s="78">
        <v>0</v>
      </c>
      <c r="BM25" s="78">
        <v>1114.864</v>
      </c>
      <c r="BN25" s="78">
        <v>130</v>
      </c>
      <c r="BO25" s="78">
        <v>72</v>
      </c>
      <c r="BP25" s="78">
        <v>10692</v>
      </c>
      <c r="BQ25" s="78">
        <v>2514.81</v>
      </c>
      <c r="BR25" s="78">
        <v>524.464627155485</v>
      </c>
      <c r="BS25" s="78">
        <v>482</v>
      </c>
      <c r="BT25" s="78">
        <v>245.666666666667</v>
      </c>
      <c r="BU25" s="78">
        <v>212</v>
      </c>
      <c r="BV25" s="78">
        <f t="shared" si="4"/>
        <v>2511</v>
      </c>
      <c r="BW25" s="78">
        <v>944</v>
      </c>
      <c r="BX25" s="78">
        <v>8398.0070348155205</v>
      </c>
      <c r="BY25" s="402">
        <v>2.8039999999999998</v>
      </c>
      <c r="BZ25" s="78">
        <v>35656</v>
      </c>
      <c r="CA25" s="78">
        <v>5330</v>
      </c>
      <c r="CB25" s="78">
        <v>1032</v>
      </c>
      <c r="CC25" s="78">
        <v>1130</v>
      </c>
      <c r="CD25" s="78">
        <v>1074</v>
      </c>
      <c r="CE25" s="78">
        <v>492</v>
      </c>
      <c r="CF25" s="78">
        <v>774.83659248106096</v>
      </c>
      <c r="CG25" s="78">
        <v>500.66009975062298</v>
      </c>
      <c r="CH25" s="78">
        <v>150.45147038065201</v>
      </c>
      <c r="CI25" s="78">
        <v>1994.9315999999999</v>
      </c>
      <c r="CJ25" s="78">
        <v>1289.0236</v>
      </c>
      <c r="CK25" s="78">
        <v>387.3596</v>
      </c>
      <c r="CL25" s="78">
        <v>12281</v>
      </c>
    </row>
    <row r="26" spans="1:90" customFormat="1" x14ac:dyDescent="0.35">
      <c r="A26" s="72">
        <v>85</v>
      </c>
      <c r="B26" s="72" t="s">
        <v>234</v>
      </c>
      <c r="C26" s="72">
        <v>2</v>
      </c>
      <c r="D26" s="78">
        <v>1905200000</v>
      </c>
      <c r="E26" s="78">
        <v>289100000</v>
      </c>
      <c r="F26" s="78">
        <v>333200000</v>
      </c>
      <c r="G26" s="78">
        <v>25469</v>
      </c>
      <c r="H26" s="78">
        <v>5</v>
      </c>
      <c r="I26" s="78">
        <f t="shared" si="2"/>
        <v>333.2</v>
      </c>
      <c r="J26" s="78">
        <v>4629</v>
      </c>
      <c r="K26" s="78">
        <v>6133</v>
      </c>
      <c r="L26" s="78">
        <v>1948</v>
      </c>
      <c r="M26" s="78">
        <v>3986</v>
      </c>
      <c r="N26" s="78">
        <f t="shared" si="3"/>
        <v>2771.3999999999996</v>
      </c>
      <c r="O26" s="78">
        <v>549.66666666666697</v>
      </c>
      <c r="P26" s="78">
        <v>40</v>
      </c>
      <c r="Q26" s="78">
        <v>2004.6666666666699</v>
      </c>
      <c r="R26" s="78">
        <v>3700</v>
      </c>
      <c r="S26" s="78">
        <v>325</v>
      </c>
      <c r="T26" s="78">
        <v>0</v>
      </c>
      <c r="U26" s="78">
        <v>818</v>
      </c>
      <c r="V26" s="78">
        <v>11890</v>
      </c>
      <c r="W26" s="78">
        <v>23940</v>
      </c>
      <c r="X26" s="78">
        <v>9290</v>
      </c>
      <c r="Y26" s="78">
        <v>204.26</v>
      </c>
      <c r="Z26" s="78">
        <v>1128</v>
      </c>
      <c r="AA26" s="78">
        <v>0</v>
      </c>
      <c r="AB26" s="399">
        <v>0</v>
      </c>
      <c r="AC26" s="399">
        <v>0</v>
      </c>
      <c r="AD26" s="78">
        <v>22335</v>
      </c>
      <c r="AE26" s="78">
        <v>22335</v>
      </c>
      <c r="AF26" s="78">
        <v>276</v>
      </c>
      <c r="AG26" s="78">
        <v>0</v>
      </c>
      <c r="AH26" s="78">
        <v>163</v>
      </c>
      <c r="AI26" s="78">
        <v>142</v>
      </c>
      <c r="AJ26" s="78">
        <v>163</v>
      </c>
      <c r="AK26" s="78">
        <v>142</v>
      </c>
      <c r="AL26" s="78">
        <v>304</v>
      </c>
      <c r="AM26" s="78">
        <v>12146</v>
      </c>
      <c r="AN26" s="78">
        <v>12146</v>
      </c>
      <c r="AO26" s="78">
        <v>0</v>
      </c>
      <c r="AP26" s="78">
        <v>0</v>
      </c>
      <c r="AQ26" s="78">
        <v>0</v>
      </c>
      <c r="AR26" s="78">
        <v>0</v>
      </c>
      <c r="AS26" s="78">
        <v>0</v>
      </c>
      <c r="AT26" s="78">
        <v>0</v>
      </c>
      <c r="AU26" s="400">
        <v>8.7427000000000002E-4</v>
      </c>
      <c r="AV26" s="400">
        <v>3.0192000000000001E-4</v>
      </c>
      <c r="AW26" s="78">
        <v>5732.9120000000003</v>
      </c>
      <c r="AX26" s="78">
        <v>0</v>
      </c>
      <c r="AY26" s="78">
        <v>4810</v>
      </c>
      <c r="AZ26" s="78">
        <v>5417.9775330591301</v>
      </c>
      <c r="BA26" s="78">
        <v>18</v>
      </c>
      <c r="BB26" s="78">
        <v>18</v>
      </c>
      <c r="BC26" s="78">
        <v>2739</v>
      </c>
      <c r="BD26" s="78">
        <v>1</v>
      </c>
      <c r="BE26" s="78">
        <v>0</v>
      </c>
      <c r="BF26" s="78">
        <v>0</v>
      </c>
      <c r="BG26" s="78">
        <v>0</v>
      </c>
      <c r="BH26" s="78">
        <v>0</v>
      </c>
      <c r="BI26" s="78">
        <v>0</v>
      </c>
      <c r="BJ26" s="78">
        <v>0</v>
      </c>
      <c r="BK26" s="78">
        <v>0</v>
      </c>
      <c r="BL26" s="78">
        <v>0</v>
      </c>
      <c r="BM26" s="78">
        <v>550.851</v>
      </c>
      <c r="BN26" s="78">
        <v>94</v>
      </c>
      <c r="BO26" s="78">
        <v>51</v>
      </c>
      <c r="BP26" s="78">
        <v>6415.35</v>
      </c>
      <c r="BQ26" s="78">
        <v>1379.95</v>
      </c>
      <c r="BR26" s="78">
        <v>168.56487755102</v>
      </c>
      <c r="BS26" s="78">
        <v>324</v>
      </c>
      <c r="BT26" s="78">
        <v>137.333333333333</v>
      </c>
      <c r="BU26" s="78">
        <v>125.333333333333</v>
      </c>
      <c r="BV26" s="78">
        <f t="shared" si="4"/>
        <v>1455.000000000003</v>
      </c>
      <c r="BW26" s="78">
        <v>603</v>
      </c>
      <c r="BX26" s="78">
        <v>4707.1850351021703</v>
      </c>
      <c r="BY26" s="402">
        <v>1.494</v>
      </c>
      <c r="BZ26" s="78">
        <v>19336</v>
      </c>
      <c r="CA26" s="78">
        <v>3482</v>
      </c>
      <c r="CB26" s="78">
        <v>703</v>
      </c>
      <c r="CC26" s="78">
        <v>747</v>
      </c>
      <c r="CD26" s="78">
        <v>595</v>
      </c>
      <c r="CE26" s="78">
        <v>382</v>
      </c>
      <c r="CF26" s="78">
        <v>494.90915527745801</v>
      </c>
      <c r="CG26" s="78">
        <v>293.65978923102301</v>
      </c>
      <c r="CH26" s="78">
        <v>114.99963774082001</v>
      </c>
      <c r="CI26" s="78">
        <v>1210.9527</v>
      </c>
      <c r="CJ26" s="78">
        <v>718.53210000000001</v>
      </c>
      <c r="CK26" s="78">
        <v>281.38319999999999</v>
      </c>
      <c r="CL26" s="78">
        <v>42827</v>
      </c>
    </row>
    <row r="27" spans="1:90" customFormat="1" x14ac:dyDescent="0.35">
      <c r="A27" s="72">
        <v>86</v>
      </c>
      <c r="B27" s="72" t="s">
        <v>237</v>
      </c>
      <c r="C27" s="72">
        <v>2</v>
      </c>
      <c r="D27" s="78">
        <v>2282000000</v>
      </c>
      <c r="E27" s="78">
        <v>327950000</v>
      </c>
      <c r="F27" s="78">
        <v>389900000</v>
      </c>
      <c r="G27" s="78">
        <v>29733</v>
      </c>
      <c r="H27" s="78">
        <v>5</v>
      </c>
      <c r="I27" s="78">
        <f t="shared" si="2"/>
        <v>389.9</v>
      </c>
      <c r="J27" s="78">
        <v>5956</v>
      </c>
      <c r="K27" s="78">
        <v>6458</v>
      </c>
      <c r="L27" s="78">
        <v>2002</v>
      </c>
      <c r="M27" s="78">
        <v>3977</v>
      </c>
      <c r="N27" s="78">
        <f t="shared" si="3"/>
        <v>2638.7</v>
      </c>
      <c r="O27" s="78">
        <v>579.66666666666697</v>
      </c>
      <c r="P27" s="78">
        <v>34</v>
      </c>
      <c r="Q27" s="78">
        <v>1985.6666666666699</v>
      </c>
      <c r="R27" s="78">
        <v>3863</v>
      </c>
      <c r="S27" s="78">
        <v>385</v>
      </c>
      <c r="T27" s="78">
        <v>0</v>
      </c>
      <c r="U27" s="78">
        <v>772</v>
      </c>
      <c r="V27" s="78">
        <v>13193</v>
      </c>
      <c r="W27" s="78">
        <v>25400</v>
      </c>
      <c r="X27" s="78">
        <v>8180</v>
      </c>
      <c r="Y27" s="78">
        <v>730.06</v>
      </c>
      <c r="Z27" s="78">
        <v>448.8</v>
      </c>
      <c r="AA27" s="78">
        <v>0</v>
      </c>
      <c r="AB27" s="399">
        <v>0</v>
      </c>
      <c r="AC27" s="399">
        <v>0</v>
      </c>
      <c r="AD27" s="78">
        <v>22447</v>
      </c>
      <c r="AE27" s="78">
        <v>22447</v>
      </c>
      <c r="AF27" s="78">
        <v>317</v>
      </c>
      <c r="AG27" s="78">
        <v>0</v>
      </c>
      <c r="AH27" s="78">
        <v>167</v>
      </c>
      <c r="AI27" s="78">
        <v>150</v>
      </c>
      <c r="AJ27" s="78">
        <v>167</v>
      </c>
      <c r="AK27" s="78">
        <v>150</v>
      </c>
      <c r="AL27" s="78">
        <v>316</v>
      </c>
      <c r="AM27" s="78">
        <v>13383</v>
      </c>
      <c r="AN27" s="78">
        <v>13383</v>
      </c>
      <c r="AO27" s="78">
        <v>0</v>
      </c>
      <c r="AP27" s="78">
        <v>0</v>
      </c>
      <c r="AQ27" s="78">
        <v>0</v>
      </c>
      <c r="AR27" s="78">
        <v>0</v>
      </c>
      <c r="AS27" s="78">
        <v>652</v>
      </c>
      <c r="AT27" s="78">
        <v>0</v>
      </c>
      <c r="AU27" s="400">
        <v>9.7859300000000004E-4</v>
      </c>
      <c r="AV27" s="400">
        <v>3.2858300000000002E-4</v>
      </c>
      <c r="AW27" s="78">
        <v>5433.4979999999996</v>
      </c>
      <c r="AX27" s="78">
        <v>0</v>
      </c>
      <c r="AY27" s="78">
        <v>5956</v>
      </c>
      <c r="AZ27" s="78">
        <v>7779.3774380600898</v>
      </c>
      <c r="BA27" s="78">
        <v>22</v>
      </c>
      <c r="BB27" s="78">
        <v>22</v>
      </c>
      <c r="BC27" s="78">
        <v>3346</v>
      </c>
      <c r="BD27" s="78">
        <v>1</v>
      </c>
      <c r="BE27" s="78">
        <v>0</v>
      </c>
      <c r="BF27" s="78">
        <v>0</v>
      </c>
      <c r="BG27" s="78">
        <v>0</v>
      </c>
      <c r="BH27" s="78">
        <v>0</v>
      </c>
      <c r="BI27" s="78">
        <v>0</v>
      </c>
      <c r="BJ27" s="78">
        <v>0</v>
      </c>
      <c r="BK27" s="78">
        <v>0</v>
      </c>
      <c r="BL27" s="78">
        <v>0</v>
      </c>
      <c r="BM27" s="78">
        <v>583.68799999999999</v>
      </c>
      <c r="BN27" s="78">
        <v>112</v>
      </c>
      <c r="BO27" s="78">
        <v>48</v>
      </c>
      <c r="BP27" s="78">
        <v>7800.84</v>
      </c>
      <c r="BQ27" s="78">
        <v>1862.04</v>
      </c>
      <c r="BR27" s="78">
        <v>260.03294596988502</v>
      </c>
      <c r="BS27" s="78">
        <v>308</v>
      </c>
      <c r="BT27" s="78">
        <v>153</v>
      </c>
      <c r="BU27" s="78">
        <v>127</v>
      </c>
      <c r="BV27" s="78">
        <f t="shared" si="4"/>
        <v>1406.000000000003</v>
      </c>
      <c r="BW27" s="78">
        <v>609</v>
      </c>
      <c r="BX27" s="78">
        <v>4205.6544736399401</v>
      </c>
      <c r="BY27" s="402">
        <v>1.4490000000000001</v>
      </c>
      <c r="BZ27" s="78">
        <v>23275</v>
      </c>
      <c r="CA27" s="78">
        <v>3711</v>
      </c>
      <c r="CB27" s="78">
        <v>745</v>
      </c>
      <c r="CC27" s="78">
        <v>743</v>
      </c>
      <c r="CD27" s="78">
        <v>635</v>
      </c>
      <c r="CE27" s="78">
        <v>373</v>
      </c>
      <c r="CF27" s="78">
        <v>443.23377419113802</v>
      </c>
      <c r="CG27" s="78">
        <v>263.81084958529499</v>
      </c>
      <c r="CH27" s="78">
        <v>101.935881342001</v>
      </c>
      <c r="CI27" s="78">
        <v>1121.0776000000001</v>
      </c>
      <c r="CJ27" s="78">
        <v>667.26059999999995</v>
      </c>
      <c r="CK27" s="78">
        <v>257.8279</v>
      </c>
      <c r="CL27" s="78">
        <v>121910</v>
      </c>
    </row>
    <row r="28" spans="1:90" customFormat="1" x14ac:dyDescent="0.35">
      <c r="A28" s="72">
        <v>88</v>
      </c>
      <c r="B28" s="72" t="s">
        <v>268</v>
      </c>
      <c r="C28" s="72">
        <v>2</v>
      </c>
      <c r="D28" s="78">
        <v>276000000</v>
      </c>
      <c r="E28" s="78">
        <v>34300000</v>
      </c>
      <c r="F28" s="78">
        <v>37800000</v>
      </c>
      <c r="G28" s="78">
        <v>947</v>
      </c>
      <c r="H28" s="78">
        <v>1</v>
      </c>
      <c r="I28" s="78">
        <f t="shared" si="2"/>
        <v>37.799999999999997</v>
      </c>
      <c r="J28" s="78">
        <v>122</v>
      </c>
      <c r="K28" s="78">
        <v>272</v>
      </c>
      <c r="L28" s="78">
        <v>95</v>
      </c>
      <c r="M28" s="78">
        <v>216</v>
      </c>
      <c r="N28" s="78">
        <f t="shared" si="3"/>
        <v>80.099999999999994</v>
      </c>
      <c r="O28" s="78">
        <v>9.3333333333333304</v>
      </c>
      <c r="P28" s="78">
        <v>1</v>
      </c>
      <c r="Q28" s="78">
        <v>35.3333333333333</v>
      </c>
      <c r="R28" s="78">
        <v>278</v>
      </c>
      <c r="S28" s="78">
        <v>0</v>
      </c>
      <c r="T28" s="78">
        <v>0</v>
      </c>
      <c r="U28" s="78">
        <v>20</v>
      </c>
      <c r="V28" s="78">
        <v>540</v>
      </c>
      <c r="W28" s="78">
        <v>920</v>
      </c>
      <c r="X28" s="78">
        <v>20</v>
      </c>
      <c r="Y28" s="78">
        <v>0</v>
      </c>
      <c r="Z28" s="78">
        <v>23.2</v>
      </c>
      <c r="AA28" s="78">
        <v>0</v>
      </c>
      <c r="AB28" s="399">
        <v>0</v>
      </c>
      <c r="AC28" s="399">
        <v>0</v>
      </c>
      <c r="AD28" s="78">
        <v>4048</v>
      </c>
      <c r="AE28" s="78">
        <v>4048</v>
      </c>
      <c r="AF28" s="78">
        <v>43</v>
      </c>
      <c r="AG28" s="78">
        <v>10000</v>
      </c>
      <c r="AH28" s="78">
        <v>12</v>
      </c>
      <c r="AI28" s="78">
        <v>3</v>
      </c>
      <c r="AJ28" s="78">
        <v>12</v>
      </c>
      <c r="AK28" s="78">
        <v>3</v>
      </c>
      <c r="AL28" s="78">
        <v>15</v>
      </c>
      <c r="AM28" s="78">
        <v>1359</v>
      </c>
      <c r="AN28" s="78">
        <v>1359</v>
      </c>
      <c r="AO28" s="78">
        <v>0</v>
      </c>
      <c r="AP28" s="78">
        <v>0</v>
      </c>
      <c r="AQ28" s="78">
        <v>0</v>
      </c>
      <c r="AR28" s="78">
        <v>0</v>
      </c>
      <c r="AS28" s="78">
        <v>0</v>
      </c>
      <c r="AT28" s="78">
        <v>0</v>
      </c>
      <c r="AU28" s="400">
        <v>1.3294199999999999E-4</v>
      </c>
      <c r="AV28" s="400">
        <v>1.8851E-5</v>
      </c>
      <c r="AW28" s="78">
        <v>430.803</v>
      </c>
      <c r="AX28" s="78">
        <v>0</v>
      </c>
      <c r="AY28" s="78">
        <v>352</v>
      </c>
      <c r="AZ28" s="78">
        <v>81.482278171596207</v>
      </c>
      <c r="BA28" s="78">
        <v>1</v>
      </c>
      <c r="BB28" s="78">
        <v>1</v>
      </c>
      <c r="BC28" s="78">
        <v>161</v>
      </c>
      <c r="BD28" s="78">
        <v>1</v>
      </c>
      <c r="BE28" s="78">
        <v>0</v>
      </c>
      <c r="BF28" s="78">
        <v>0</v>
      </c>
      <c r="BG28" s="78">
        <v>0</v>
      </c>
      <c r="BH28" s="78">
        <v>0</v>
      </c>
      <c r="BI28" s="78">
        <v>1</v>
      </c>
      <c r="BJ28" s="78">
        <v>947</v>
      </c>
      <c r="BK28" s="78">
        <v>0</v>
      </c>
      <c r="BL28" s="78">
        <v>0</v>
      </c>
      <c r="BM28" s="78">
        <v>5.49</v>
      </c>
      <c r="BN28" s="78">
        <v>6</v>
      </c>
      <c r="BO28" s="78">
        <v>0</v>
      </c>
      <c r="BP28" s="78">
        <v>333.56</v>
      </c>
      <c r="BQ28" s="78">
        <v>-25.55</v>
      </c>
      <c r="BR28" s="78">
        <v>4.4094285714285704</v>
      </c>
      <c r="BS28" s="78">
        <v>6</v>
      </c>
      <c r="BT28" s="78">
        <v>1</v>
      </c>
      <c r="BU28" s="78">
        <v>1</v>
      </c>
      <c r="BV28" s="78">
        <f t="shared" si="4"/>
        <v>25.999999999999972</v>
      </c>
      <c r="BW28" s="78">
        <v>5</v>
      </c>
      <c r="BX28" s="78">
        <v>160.544829059829</v>
      </c>
      <c r="BY28" s="402">
        <v>1.4E-2</v>
      </c>
      <c r="BZ28" s="78">
        <v>675</v>
      </c>
      <c r="CA28" s="78">
        <v>150</v>
      </c>
      <c r="CB28" s="78">
        <v>27</v>
      </c>
      <c r="CC28" s="78">
        <v>55</v>
      </c>
      <c r="CD28" s="78">
        <v>31</v>
      </c>
      <c r="CE28" s="78">
        <v>14</v>
      </c>
      <c r="CF28" s="78">
        <v>5.95298013245033</v>
      </c>
      <c r="CG28" s="78">
        <v>3.8311258278145699</v>
      </c>
      <c r="CH28" s="78">
        <v>1.3556291390728501</v>
      </c>
      <c r="CI28" s="78">
        <v>51.701900000000002</v>
      </c>
      <c r="CJ28" s="78">
        <v>33.273499999999999</v>
      </c>
      <c r="CK28" s="78">
        <v>11.7737</v>
      </c>
      <c r="CL28" s="78">
        <v>0</v>
      </c>
    </row>
    <row r="29" spans="1:90" customFormat="1" x14ac:dyDescent="0.35">
      <c r="A29" s="72">
        <v>90</v>
      </c>
      <c r="B29" s="72" t="s">
        <v>278</v>
      </c>
      <c r="C29" s="72">
        <v>2</v>
      </c>
      <c r="D29" s="78">
        <v>3939200000</v>
      </c>
      <c r="E29" s="78">
        <v>840350000</v>
      </c>
      <c r="F29" s="78">
        <v>871850000</v>
      </c>
      <c r="G29" s="78">
        <v>56150</v>
      </c>
      <c r="H29" s="78">
        <v>4</v>
      </c>
      <c r="I29" s="78">
        <f t="shared" si="2"/>
        <v>871.85</v>
      </c>
      <c r="J29" s="78">
        <v>11250</v>
      </c>
      <c r="K29" s="78">
        <v>11967</v>
      </c>
      <c r="L29" s="78">
        <v>4051</v>
      </c>
      <c r="M29" s="78">
        <v>8900</v>
      </c>
      <c r="N29" s="78">
        <f t="shared" si="3"/>
        <v>6279</v>
      </c>
      <c r="O29" s="78">
        <v>1782.3333333333301</v>
      </c>
      <c r="P29" s="78">
        <v>83</v>
      </c>
      <c r="Q29" s="78">
        <v>5024.3333333333303</v>
      </c>
      <c r="R29" s="78">
        <v>9065</v>
      </c>
      <c r="S29" s="78">
        <v>1495</v>
      </c>
      <c r="T29" s="78">
        <v>0</v>
      </c>
      <c r="U29" s="78">
        <v>1889</v>
      </c>
      <c r="V29" s="78">
        <v>26526</v>
      </c>
      <c r="W29" s="78">
        <v>63630</v>
      </c>
      <c r="X29" s="78">
        <v>80050</v>
      </c>
      <c r="Y29" s="78">
        <v>4063.42</v>
      </c>
      <c r="Z29" s="78">
        <v>3827.2</v>
      </c>
      <c r="AA29" s="78">
        <v>0</v>
      </c>
      <c r="AB29" s="399">
        <v>0</v>
      </c>
      <c r="AC29" s="399">
        <v>0</v>
      </c>
      <c r="AD29" s="78">
        <v>11682</v>
      </c>
      <c r="AE29" s="78">
        <v>11682</v>
      </c>
      <c r="AF29" s="78">
        <v>936</v>
      </c>
      <c r="AG29" s="78">
        <v>0</v>
      </c>
      <c r="AH29" s="78">
        <v>335</v>
      </c>
      <c r="AI29" s="78">
        <v>83</v>
      </c>
      <c r="AJ29" s="78">
        <v>335</v>
      </c>
      <c r="AK29" s="78">
        <v>83</v>
      </c>
      <c r="AL29" s="78">
        <v>418</v>
      </c>
      <c r="AM29" s="78">
        <v>26210</v>
      </c>
      <c r="AN29" s="78">
        <v>26210</v>
      </c>
      <c r="AO29" s="78">
        <v>0</v>
      </c>
      <c r="AP29" s="78">
        <v>0</v>
      </c>
      <c r="AQ29" s="78">
        <v>0</v>
      </c>
      <c r="AR29" s="78">
        <v>0</v>
      </c>
      <c r="AS29" s="78">
        <v>1709</v>
      </c>
      <c r="AT29" s="78">
        <v>0</v>
      </c>
      <c r="AU29" s="400">
        <v>1.34285E-3</v>
      </c>
      <c r="AV29" s="400">
        <v>2.3469250000000001E-3</v>
      </c>
      <c r="AW29" s="78">
        <v>35121.4</v>
      </c>
      <c r="AX29" s="78">
        <v>0</v>
      </c>
      <c r="AY29" s="78">
        <v>5593</v>
      </c>
      <c r="AZ29" s="78">
        <v>24888.805674433301</v>
      </c>
      <c r="BA29" s="78">
        <v>9</v>
      </c>
      <c r="BB29" s="78">
        <v>9</v>
      </c>
      <c r="BC29" s="78">
        <v>5288</v>
      </c>
      <c r="BD29" s="78">
        <v>1</v>
      </c>
      <c r="BE29" s="78">
        <v>0</v>
      </c>
      <c r="BF29" s="78">
        <v>0</v>
      </c>
      <c r="BG29" s="78">
        <v>0</v>
      </c>
      <c r="BH29" s="78">
        <v>0</v>
      </c>
      <c r="BI29" s="78">
        <v>0</v>
      </c>
      <c r="BJ29" s="78">
        <v>0</v>
      </c>
      <c r="BK29" s="78">
        <v>0</v>
      </c>
      <c r="BL29" s="78">
        <v>0</v>
      </c>
      <c r="BM29" s="78">
        <v>1462.5</v>
      </c>
      <c r="BN29" s="78">
        <v>155</v>
      </c>
      <c r="BO29" s="78">
        <v>152</v>
      </c>
      <c r="BP29" s="78">
        <v>14264.25</v>
      </c>
      <c r="BQ29" s="78">
        <v>3272.4</v>
      </c>
      <c r="BR29" s="78">
        <v>733.66946944576</v>
      </c>
      <c r="BS29" s="78">
        <v>764</v>
      </c>
      <c r="BT29" s="78">
        <v>454.66666666666703</v>
      </c>
      <c r="BU29" s="78">
        <v>412.66666666666703</v>
      </c>
      <c r="BV29" s="78">
        <f t="shared" si="4"/>
        <v>3242</v>
      </c>
      <c r="BW29" s="78">
        <v>1403</v>
      </c>
      <c r="BX29" s="78">
        <v>9617.7527977403606</v>
      </c>
      <c r="BY29" s="402">
        <v>5.4260000000000002</v>
      </c>
      <c r="BZ29" s="78">
        <v>44183</v>
      </c>
      <c r="CA29" s="78">
        <v>6539</v>
      </c>
      <c r="CB29" s="78">
        <v>1377</v>
      </c>
      <c r="CC29" s="78">
        <v>1514</v>
      </c>
      <c r="CD29" s="78">
        <v>1340</v>
      </c>
      <c r="CE29" s="78">
        <v>686</v>
      </c>
      <c r="CF29" s="78">
        <v>970.95715375810801</v>
      </c>
      <c r="CG29" s="78">
        <v>656.16867607783297</v>
      </c>
      <c r="CH29" s="78">
        <v>221.59767264402899</v>
      </c>
      <c r="CI29" s="78">
        <v>2242.9301999999998</v>
      </c>
      <c r="CJ29" s="78">
        <v>1515.7626</v>
      </c>
      <c r="CK29" s="78">
        <v>511.89499999999998</v>
      </c>
      <c r="CL29" s="78">
        <v>181197</v>
      </c>
    </row>
    <row r="30" spans="1:90" customFormat="1" x14ac:dyDescent="0.35">
      <c r="A30" s="72">
        <v>1900</v>
      </c>
      <c r="B30" s="72" t="s">
        <v>289</v>
      </c>
      <c r="C30" s="72">
        <v>2</v>
      </c>
      <c r="D30" s="78">
        <v>6976800000</v>
      </c>
      <c r="E30" s="78">
        <v>1250200000</v>
      </c>
      <c r="F30" s="78">
        <v>1388800000</v>
      </c>
      <c r="G30" s="78">
        <v>89987</v>
      </c>
      <c r="H30" s="78">
        <v>12</v>
      </c>
      <c r="I30" s="78">
        <f t="shared" si="2"/>
        <v>1388.8</v>
      </c>
      <c r="J30" s="78">
        <v>18102</v>
      </c>
      <c r="K30" s="78">
        <v>20278</v>
      </c>
      <c r="L30" s="78">
        <v>6707</v>
      </c>
      <c r="M30" s="78">
        <v>13493</v>
      </c>
      <c r="N30" s="78">
        <f t="shared" si="3"/>
        <v>9129.0999999999985</v>
      </c>
      <c r="O30" s="78">
        <v>2311.3333333333298</v>
      </c>
      <c r="P30" s="78">
        <v>75</v>
      </c>
      <c r="Q30" s="78">
        <v>6130.3333333333303</v>
      </c>
      <c r="R30" s="78">
        <v>13982</v>
      </c>
      <c r="S30" s="78">
        <v>1650</v>
      </c>
      <c r="T30" s="78">
        <v>0</v>
      </c>
      <c r="U30" s="78">
        <v>2578</v>
      </c>
      <c r="V30" s="78">
        <v>41544</v>
      </c>
      <c r="W30" s="78">
        <v>89850</v>
      </c>
      <c r="X30" s="78">
        <v>76740</v>
      </c>
      <c r="Y30" s="78">
        <v>2327.58</v>
      </c>
      <c r="Z30" s="78">
        <v>4284</v>
      </c>
      <c r="AA30" s="78">
        <v>0</v>
      </c>
      <c r="AB30" s="399">
        <v>0</v>
      </c>
      <c r="AC30" s="399">
        <v>0</v>
      </c>
      <c r="AD30" s="78">
        <v>52262</v>
      </c>
      <c r="AE30" s="78">
        <v>55920.34</v>
      </c>
      <c r="AF30" s="78">
        <v>5305</v>
      </c>
      <c r="AG30" s="78">
        <v>10000</v>
      </c>
      <c r="AH30" s="78">
        <v>582</v>
      </c>
      <c r="AI30" s="78">
        <v>305</v>
      </c>
      <c r="AJ30" s="78">
        <v>611.1</v>
      </c>
      <c r="AK30" s="78">
        <v>326.35000000000002</v>
      </c>
      <c r="AL30" s="78">
        <v>887</v>
      </c>
      <c r="AM30" s="78">
        <v>43639</v>
      </c>
      <c r="AN30" s="78">
        <v>45820.95</v>
      </c>
      <c r="AO30" s="78">
        <v>80</v>
      </c>
      <c r="AP30" s="78">
        <v>0</v>
      </c>
      <c r="AQ30" s="78">
        <v>0</v>
      </c>
      <c r="AR30" s="78">
        <v>24250</v>
      </c>
      <c r="AS30" s="78">
        <v>6774</v>
      </c>
      <c r="AT30" s="78">
        <v>6250</v>
      </c>
      <c r="AU30" s="400">
        <v>5.2280449999999997E-3</v>
      </c>
      <c r="AV30" s="400">
        <v>3.1836270000000001E-3</v>
      </c>
      <c r="AW30" s="78">
        <v>36482.203999999998</v>
      </c>
      <c r="AX30" s="78">
        <v>0</v>
      </c>
      <c r="AY30" s="78">
        <v>21505.93</v>
      </c>
      <c r="AZ30" s="78">
        <v>34396.849598728397</v>
      </c>
      <c r="BA30" s="78">
        <v>65</v>
      </c>
      <c r="BB30" s="78">
        <v>69.55</v>
      </c>
      <c r="BC30" s="78">
        <v>10903</v>
      </c>
      <c r="BD30" s="78">
        <v>1</v>
      </c>
      <c r="BE30" s="78">
        <v>0</v>
      </c>
      <c r="BF30" s="78">
        <v>0</v>
      </c>
      <c r="BG30" s="78">
        <v>0</v>
      </c>
      <c r="BH30" s="78">
        <v>0</v>
      </c>
      <c r="BI30" s="78">
        <v>0</v>
      </c>
      <c r="BJ30" s="78">
        <v>0</v>
      </c>
      <c r="BK30" s="78">
        <v>0</v>
      </c>
      <c r="BL30" s="78">
        <v>0</v>
      </c>
      <c r="BM30" s="78">
        <v>2009.3219999999999</v>
      </c>
      <c r="BN30" s="78">
        <v>265</v>
      </c>
      <c r="BO30" s="78">
        <v>200</v>
      </c>
      <c r="BP30" s="78">
        <v>24356.69</v>
      </c>
      <c r="BQ30" s="78">
        <v>5672.26</v>
      </c>
      <c r="BR30" s="78">
        <v>680.82609232858101</v>
      </c>
      <c r="BS30" s="78">
        <v>1026</v>
      </c>
      <c r="BT30" s="78">
        <v>606.66666666666697</v>
      </c>
      <c r="BU30" s="78">
        <v>512.66666666666697</v>
      </c>
      <c r="BV30" s="78">
        <f t="shared" si="4"/>
        <v>3819.0000000000005</v>
      </c>
      <c r="BW30" s="78">
        <v>1441</v>
      </c>
      <c r="BX30" s="78">
        <v>14001.900965332699</v>
      </c>
      <c r="BY30" s="402">
        <v>6.4119999999999999</v>
      </c>
      <c r="BZ30" s="78">
        <v>69709</v>
      </c>
      <c r="CA30" s="78">
        <v>11448</v>
      </c>
      <c r="CB30" s="78">
        <v>2123</v>
      </c>
      <c r="CC30" s="78">
        <v>2536</v>
      </c>
      <c r="CD30" s="78">
        <v>2144</v>
      </c>
      <c r="CE30" s="78">
        <v>1097</v>
      </c>
      <c r="CF30" s="78">
        <v>1496.7966841586699</v>
      </c>
      <c r="CG30" s="78">
        <v>921.92634340841903</v>
      </c>
      <c r="CH30" s="78">
        <v>313.58465821856601</v>
      </c>
      <c r="CI30" s="78">
        <v>3694.1264999999999</v>
      </c>
      <c r="CJ30" s="78">
        <v>2275.3341</v>
      </c>
      <c r="CK30" s="78">
        <v>773.93370000000004</v>
      </c>
      <c r="CL30" s="78">
        <v>93663</v>
      </c>
    </row>
    <row r="31" spans="1:90" customFormat="1" x14ac:dyDescent="0.35">
      <c r="A31" s="72">
        <v>93</v>
      </c>
      <c r="B31" s="72" t="s">
        <v>291</v>
      </c>
      <c r="C31" s="72">
        <v>2</v>
      </c>
      <c r="D31" s="78">
        <v>850000000</v>
      </c>
      <c r="E31" s="78">
        <v>147700000</v>
      </c>
      <c r="F31" s="78">
        <v>168000000</v>
      </c>
      <c r="G31" s="78">
        <v>4888</v>
      </c>
      <c r="H31" s="78">
        <v>2</v>
      </c>
      <c r="I31" s="78">
        <f t="shared" si="2"/>
        <v>168</v>
      </c>
      <c r="J31" s="78">
        <v>708</v>
      </c>
      <c r="K31" s="78">
        <v>1154</v>
      </c>
      <c r="L31" s="78">
        <v>374</v>
      </c>
      <c r="M31" s="78">
        <v>611</v>
      </c>
      <c r="N31" s="78">
        <f t="shared" si="3"/>
        <v>219.39999999999998</v>
      </c>
      <c r="O31" s="78">
        <v>26.6666666666667</v>
      </c>
      <c r="P31" s="78">
        <v>2</v>
      </c>
      <c r="Q31" s="78">
        <v>120.666666666667</v>
      </c>
      <c r="R31" s="78">
        <v>1220</v>
      </c>
      <c r="S31" s="78">
        <v>35</v>
      </c>
      <c r="T31" s="78">
        <v>0</v>
      </c>
      <c r="U31" s="78">
        <v>119</v>
      </c>
      <c r="V31" s="78">
        <v>2656</v>
      </c>
      <c r="W31" s="78">
        <v>4900</v>
      </c>
      <c r="X31" s="78">
        <v>1550</v>
      </c>
      <c r="Y31" s="78">
        <v>0</v>
      </c>
      <c r="Z31" s="78">
        <v>90.4</v>
      </c>
      <c r="AA31" s="78">
        <v>0</v>
      </c>
      <c r="AB31" s="399">
        <v>0</v>
      </c>
      <c r="AC31" s="399">
        <v>0</v>
      </c>
      <c r="AD31" s="78">
        <v>8523</v>
      </c>
      <c r="AE31" s="78">
        <v>8523</v>
      </c>
      <c r="AF31" s="78">
        <v>187</v>
      </c>
      <c r="AG31" s="78">
        <v>10000</v>
      </c>
      <c r="AH31" s="78">
        <v>43</v>
      </c>
      <c r="AI31" s="78">
        <v>6</v>
      </c>
      <c r="AJ31" s="78">
        <v>43</v>
      </c>
      <c r="AK31" s="78">
        <v>6</v>
      </c>
      <c r="AL31" s="78">
        <v>50</v>
      </c>
      <c r="AM31" s="78">
        <v>3916</v>
      </c>
      <c r="AN31" s="78">
        <v>3916</v>
      </c>
      <c r="AO31" s="78">
        <v>0</v>
      </c>
      <c r="AP31" s="78">
        <v>0</v>
      </c>
      <c r="AQ31" s="78">
        <v>0</v>
      </c>
      <c r="AR31" s="78">
        <v>0</v>
      </c>
      <c r="AS31" s="78">
        <v>513</v>
      </c>
      <c r="AT31" s="78">
        <v>0</v>
      </c>
      <c r="AU31" s="400">
        <v>2.8645599999999998E-4</v>
      </c>
      <c r="AV31" s="400">
        <v>5.3303000000000001E-5</v>
      </c>
      <c r="AW31" s="78">
        <v>979</v>
      </c>
      <c r="AX31" s="78">
        <v>0</v>
      </c>
      <c r="AY31" s="78">
        <v>815</v>
      </c>
      <c r="AZ31" s="78">
        <v>457.37313432835799</v>
      </c>
      <c r="BA31" s="78">
        <v>9</v>
      </c>
      <c r="BB31" s="78">
        <v>9</v>
      </c>
      <c r="BC31" s="78">
        <v>858</v>
      </c>
      <c r="BD31" s="78">
        <v>1</v>
      </c>
      <c r="BE31" s="78">
        <v>0</v>
      </c>
      <c r="BF31" s="78">
        <v>0</v>
      </c>
      <c r="BG31" s="78">
        <v>0</v>
      </c>
      <c r="BH31" s="78">
        <v>0</v>
      </c>
      <c r="BI31" s="78">
        <v>1</v>
      </c>
      <c r="BJ31" s="78">
        <v>2500</v>
      </c>
      <c r="BK31" s="78">
        <v>2388</v>
      </c>
      <c r="BL31" s="78">
        <v>0</v>
      </c>
      <c r="BM31" s="78">
        <v>54.515999999999998</v>
      </c>
      <c r="BN31" s="78">
        <v>5</v>
      </c>
      <c r="BO31" s="78">
        <v>0</v>
      </c>
      <c r="BP31" s="78">
        <v>1453.5</v>
      </c>
      <c r="BQ31" s="78">
        <v>287.86</v>
      </c>
      <c r="BR31" s="78">
        <v>6.7686723259762296</v>
      </c>
      <c r="BS31" s="78">
        <v>39</v>
      </c>
      <c r="BT31" s="78">
        <v>1.6666666666666701</v>
      </c>
      <c r="BU31" s="78">
        <v>1.6666666666666701</v>
      </c>
      <c r="BV31" s="78">
        <f t="shared" si="4"/>
        <v>94.000000000000298</v>
      </c>
      <c r="BW31" s="78">
        <v>22</v>
      </c>
      <c r="BX31" s="78">
        <v>674.92384458077697</v>
      </c>
      <c r="BY31" s="402">
        <v>2.5000000000000001E-2</v>
      </c>
      <c r="BZ31" s="78">
        <v>3734</v>
      </c>
      <c r="CA31" s="78">
        <v>662</v>
      </c>
      <c r="CB31" s="78">
        <v>118</v>
      </c>
      <c r="CC31" s="78">
        <v>166</v>
      </c>
      <c r="CD31" s="78">
        <v>127</v>
      </c>
      <c r="CE31" s="78">
        <v>58</v>
      </c>
      <c r="CF31" s="78">
        <v>24.595658835546502</v>
      </c>
      <c r="CG31" s="78">
        <v>13.334320735444299</v>
      </c>
      <c r="CH31" s="78">
        <v>4.4821246169560798</v>
      </c>
      <c r="CI31" s="78">
        <v>188.7261</v>
      </c>
      <c r="CJ31" s="78">
        <v>102.31619999999999</v>
      </c>
      <c r="CK31" s="78">
        <v>34.392000000000003</v>
      </c>
      <c r="CL31" s="78">
        <v>2381</v>
      </c>
    </row>
    <row r="32" spans="1:90" customFormat="1" x14ac:dyDescent="0.35">
      <c r="A32" s="72">
        <v>737</v>
      </c>
      <c r="B32" s="72" t="s">
        <v>300</v>
      </c>
      <c r="C32" s="72">
        <v>2</v>
      </c>
      <c r="D32" s="78">
        <v>2355200000</v>
      </c>
      <c r="E32" s="78">
        <v>279300000</v>
      </c>
      <c r="F32" s="78">
        <v>319550000</v>
      </c>
      <c r="G32" s="78">
        <v>32052</v>
      </c>
      <c r="H32" s="78">
        <v>7</v>
      </c>
      <c r="I32" s="78">
        <f t="shared" si="2"/>
        <v>319.55</v>
      </c>
      <c r="J32" s="78">
        <v>6435</v>
      </c>
      <c r="K32" s="78">
        <v>7522</v>
      </c>
      <c r="L32" s="78">
        <v>2532</v>
      </c>
      <c r="M32" s="78">
        <v>4242</v>
      </c>
      <c r="N32" s="78">
        <f t="shared" si="3"/>
        <v>2770</v>
      </c>
      <c r="O32" s="78">
        <v>525</v>
      </c>
      <c r="P32" s="78">
        <v>41</v>
      </c>
      <c r="Q32" s="78">
        <v>1884</v>
      </c>
      <c r="R32" s="78">
        <v>4227</v>
      </c>
      <c r="S32" s="78">
        <v>430</v>
      </c>
      <c r="T32" s="78">
        <v>0</v>
      </c>
      <c r="U32" s="78">
        <v>798</v>
      </c>
      <c r="V32" s="78">
        <v>14468</v>
      </c>
      <c r="W32" s="78">
        <v>28930</v>
      </c>
      <c r="X32" s="78">
        <v>10880</v>
      </c>
      <c r="Y32" s="78">
        <v>0</v>
      </c>
      <c r="Z32" s="78">
        <v>1079.2</v>
      </c>
      <c r="AA32" s="78">
        <v>0</v>
      </c>
      <c r="AB32" s="399">
        <v>0</v>
      </c>
      <c r="AC32" s="399">
        <v>510.79999999999995</v>
      </c>
      <c r="AD32" s="78">
        <v>14860</v>
      </c>
      <c r="AE32" s="78">
        <v>14860</v>
      </c>
      <c r="AF32" s="78">
        <v>1280</v>
      </c>
      <c r="AG32" s="78">
        <v>0</v>
      </c>
      <c r="AH32" s="78">
        <v>191</v>
      </c>
      <c r="AI32" s="78">
        <v>96</v>
      </c>
      <c r="AJ32" s="78">
        <v>191</v>
      </c>
      <c r="AK32" s="78">
        <v>96</v>
      </c>
      <c r="AL32" s="78">
        <v>287</v>
      </c>
      <c r="AM32" s="78">
        <v>14720</v>
      </c>
      <c r="AN32" s="78">
        <v>14720</v>
      </c>
      <c r="AO32" s="78">
        <v>0</v>
      </c>
      <c r="AP32" s="78">
        <v>0</v>
      </c>
      <c r="AQ32" s="78">
        <v>0</v>
      </c>
      <c r="AR32" s="78">
        <v>0</v>
      </c>
      <c r="AS32" s="78">
        <v>846</v>
      </c>
      <c r="AT32" s="78">
        <v>0</v>
      </c>
      <c r="AU32" s="400">
        <v>9.1896899999999995E-4</v>
      </c>
      <c r="AV32" s="400">
        <v>3.2087899999999999E-4</v>
      </c>
      <c r="AW32" s="78">
        <v>7006.72</v>
      </c>
      <c r="AX32" s="78">
        <v>0</v>
      </c>
      <c r="AY32" s="78">
        <v>5971</v>
      </c>
      <c r="AZ32" s="78">
        <v>11857.6513011152</v>
      </c>
      <c r="BA32" s="78">
        <v>24</v>
      </c>
      <c r="BB32" s="78">
        <v>24</v>
      </c>
      <c r="BC32" s="78">
        <v>3069</v>
      </c>
      <c r="BD32" s="78">
        <v>1</v>
      </c>
      <c r="BE32" s="78">
        <v>0</v>
      </c>
      <c r="BF32" s="78">
        <v>0</v>
      </c>
      <c r="BG32" s="78">
        <v>0</v>
      </c>
      <c r="BH32" s="78">
        <v>0</v>
      </c>
      <c r="BI32" s="78">
        <v>0</v>
      </c>
      <c r="BJ32" s="78">
        <v>0</v>
      </c>
      <c r="BK32" s="78">
        <v>0</v>
      </c>
      <c r="BL32" s="78">
        <v>0</v>
      </c>
      <c r="BM32" s="78">
        <v>566.28</v>
      </c>
      <c r="BN32" s="78">
        <v>53</v>
      </c>
      <c r="BO32" s="78">
        <v>112</v>
      </c>
      <c r="BP32" s="78">
        <v>8319.7900000000009</v>
      </c>
      <c r="BQ32" s="78">
        <v>1975.48</v>
      </c>
      <c r="BR32" s="78">
        <v>350.83101636249199</v>
      </c>
      <c r="BS32" s="78">
        <v>313</v>
      </c>
      <c r="BT32" s="78">
        <v>137.333333333333</v>
      </c>
      <c r="BU32" s="78">
        <v>111</v>
      </c>
      <c r="BV32" s="78">
        <f t="shared" si="4"/>
        <v>1359</v>
      </c>
      <c r="BW32" s="78">
        <v>487</v>
      </c>
      <c r="BX32" s="78">
        <v>5403.2531403398398</v>
      </c>
      <c r="BY32" s="402">
        <v>1.573</v>
      </c>
      <c r="BZ32" s="78">
        <v>24530</v>
      </c>
      <c r="CA32" s="78">
        <v>4204</v>
      </c>
      <c r="CB32" s="78">
        <v>786</v>
      </c>
      <c r="CC32" s="78">
        <v>766</v>
      </c>
      <c r="CD32" s="78">
        <v>769</v>
      </c>
      <c r="CE32" s="78">
        <v>422</v>
      </c>
      <c r="CF32" s="78">
        <v>474.77649456521698</v>
      </c>
      <c r="CG32" s="78">
        <v>305.41508152173901</v>
      </c>
      <c r="CH32" s="78">
        <v>111.778532608696</v>
      </c>
      <c r="CI32" s="78">
        <v>1291.5237</v>
      </c>
      <c r="CJ32" s="78">
        <v>830.81370000000004</v>
      </c>
      <c r="CK32" s="78">
        <v>304.0686</v>
      </c>
      <c r="CL32" s="78">
        <v>45240</v>
      </c>
    </row>
    <row r="33" spans="1:90" customFormat="1" x14ac:dyDescent="0.35">
      <c r="A33" s="72">
        <v>96</v>
      </c>
      <c r="B33" s="72" t="s">
        <v>319</v>
      </c>
      <c r="C33" s="72">
        <v>2</v>
      </c>
      <c r="D33" s="78">
        <v>305600000</v>
      </c>
      <c r="E33" s="78">
        <v>57400000</v>
      </c>
      <c r="F33" s="78">
        <v>60200000</v>
      </c>
      <c r="G33" s="78">
        <v>1155</v>
      </c>
      <c r="H33" s="78">
        <v>1</v>
      </c>
      <c r="I33" s="78">
        <f t="shared" si="2"/>
        <v>60.2</v>
      </c>
      <c r="J33" s="78">
        <v>154</v>
      </c>
      <c r="K33" s="78">
        <v>217</v>
      </c>
      <c r="L33" s="78">
        <v>67</v>
      </c>
      <c r="M33" s="78">
        <v>216</v>
      </c>
      <c r="N33" s="78">
        <f t="shared" si="3"/>
        <v>104.6</v>
      </c>
      <c r="O33" s="78">
        <v>9.6666666666666696</v>
      </c>
      <c r="P33" s="78">
        <v>0</v>
      </c>
      <c r="Q33" s="78">
        <v>43.6666666666667</v>
      </c>
      <c r="R33" s="78">
        <v>337</v>
      </c>
      <c r="S33" s="78">
        <v>0</v>
      </c>
      <c r="T33" s="78">
        <v>0</v>
      </c>
      <c r="U33" s="78">
        <v>25</v>
      </c>
      <c r="V33" s="78">
        <v>662</v>
      </c>
      <c r="W33" s="78">
        <v>1140</v>
      </c>
      <c r="X33" s="78">
        <v>200</v>
      </c>
      <c r="Y33" s="78">
        <v>0</v>
      </c>
      <c r="Z33" s="78">
        <v>29.6</v>
      </c>
      <c r="AA33" s="78">
        <v>0</v>
      </c>
      <c r="AB33" s="399">
        <v>0</v>
      </c>
      <c r="AC33" s="399">
        <v>0</v>
      </c>
      <c r="AD33" s="78">
        <v>3917</v>
      </c>
      <c r="AE33" s="78">
        <v>3917</v>
      </c>
      <c r="AF33" s="78">
        <v>69</v>
      </c>
      <c r="AG33" s="78">
        <v>10000</v>
      </c>
      <c r="AH33" s="78">
        <v>11</v>
      </c>
      <c r="AI33" s="78">
        <v>1</v>
      </c>
      <c r="AJ33" s="78">
        <v>11</v>
      </c>
      <c r="AK33" s="78">
        <v>1</v>
      </c>
      <c r="AL33" s="78">
        <v>12</v>
      </c>
      <c r="AM33" s="78">
        <v>1114</v>
      </c>
      <c r="AN33" s="78">
        <v>1114</v>
      </c>
      <c r="AO33" s="78">
        <v>0</v>
      </c>
      <c r="AP33" s="78">
        <v>0</v>
      </c>
      <c r="AQ33" s="78">
        <v>0</v>
      </c>
      <c r="AR33" s="78">
        <v>0</v>
      </c>
      <c r="AS33" s="78">
        <v>0</v>
      </c>
      <c r="AT33" s="78">
        <v>0</v>
      </c>
      <c r="AU33" s="400">
        <v>1.06192E-4</v>
      </c>
      <c r="AV33" s="400">
        <v>1.7237000000000001E-5</v>
      </c>
      <c r="AW33" s="78">
        <v>231.71199999999999</v>
      </c>
      <c r="AX33" s="78">
        <v>0</v>
      </c>
      <c r="AY33" s="78">
        <v>378</v>
      </c>
      <c r="AZ33" s="78">
        <v>109.53085800301101</v>
      </c>
      <c r="BA33" s="78">
        <v>2</v>
      </c>
      <c r="BB33" s="78">
        <v>2</v>
      </c>
      <c r="BC33" s="78">
        <v>227</v>
      </c>
      <c r="BD33" s="78">
        <v>1</v>
      </c>
      <c r="BE33" s="78">
        <v>0</v>
      </c>
      <c r="BF33" s="78">
        <v>0</v>
      </c>
      <c r="BG33" s="78">
        <v>0</v>
      </c>
      <c r="BH33" s="78">
        <v>0</v>
      </c>
      <c r="BI33" s="78">
        <v>1</v>
      </c>
      <c r="BJ33" s="78">
        <v>1155</v>
      </c>
      <c r="BK33" s="78">
        <v>0</v>
      </c>
      <c r="BL33" s="78">
        <v>0</v>
      </c>
      <c r="BM33" s="78">
        <v>12.474</v>
      </c>
      <c r="BN33" s="78">
        <v>0</v>
      </c>
      <c r="BO33" s="78">
        <v>0</v>
      </c>
      <c r="BP33" s="78">
        <v>411.52</v>
      </c>
      <c r="BQ33" s="78">
        <v>-29.75</v>
      </c>
      <c r="BR33" s="78">
        <v>3.0774754098360702</v>
      </c>
      <c r="BS33" s="78">
        <v>9</v>
      </c>
      <c r="BT33" s="78">
        <v>1.6666666666666701</v>
      </c>
      <c r="BU33" s="78">
        <v>2</v>
      </c>
      <c r="BV33" s="78">
        <f t="shared" si="4"/>
        <v>34.000000000000028</v>
      </c>
      <c r="BW33" s="78">
        <v>5</v>
      </c>
      <c r="BX33" s="78">
        <v>153.70228471001801</v>
      </c>
      <c r="BY33" s="402">
        <v>7.0000000000000001E-3</v>
      </c>
      <c r="BZ33" s="78">
        <v>938</v>
      </c>
      <c r="CA33" s="78">
        <v>135</v>
      </c>
      <c r="CB33" s="78">
        <v>15</v>
      </c>
      <c r="CC33" s="78">
        <v>32</v>
      </c>
      <c r="CD33" s="78">
        <v>31</v>
      </c>
      <c r="CE33" s="78">
        <v>9</v>
      </c>
      <c r="CF33" s="78">
        <v>7.6055655296229796</v>
      </c>
      <c r="CG33" s="78">
        <v>5.1642728904847397</v>
      </c>
      <c r="CH33" s="78">
        <v>1.12675044883303</v>
      </c>
      <c r="CI33" s="78">
        <v>38.337299999999999</v>
      </c>
      <c r="CJ33" s="78">
        <v>26.031500000000001</v>
      </c>
      <c r="CK33" s="78">
        <v>5.6795999999999998</v>
      </c>
      <c r="CL33" s="78">
        <v>0</v>
      </c>
    </row>
    <row r="34" spans="1:90" customFormat="1" x14ac:dyDescent="0.35">
      <c r="A34" s="72">
        <v>1949</v>
      </c>
      <c r="B34" s="72" t="s">
        <v>325</v>
      </c>
      <c r="C34" s="72">
        <v>2</v>
      </c>
      <c r="D34" s="78">
        <v>2818800000</v>
      </c>
      <c r="E34" s="78">
        <v>439600000</v>
      </c>
      <c r="F34" s="78">
        <v>513450000</v>
      </c>
      <c r="G34" s="78">
        <v>46090</v>
      </c>
      <c r="H34" s="78">
        <v>11</v>
      </c>
      <c r="I34" s="78">
        <f t="shared" si="2"/>
        <v>513.45000000000005</v>
      </c>
      <c r="J34" s="78">
        <v>9067</v>
      </c>
      <c r="K34" s="78">
        <v>10175</v>
      </c>
      <c r="L34" s="78">
        <v>3140</v>
      </c>
      <c r="M34" s="78">
        <v>6806</v>
      </c>
      <c r="N34" s="78">
        <f t="shared" si="3"/>
        <v>4671.7</v>
      </c>
      <c r="O34" s="78">
        <v>1079</v>
      </c>
      <c r="P34" s="78">
        <v>33</v>
      </c>
      <c r="Q34" s="78">
        <v>3157</v>
      </c>
      <c r="R34" s="78">
        <v>6793</v>
      </c>
      <c r="S34" s="78">
        <v>730</v>
      </c>
      <c r="T34" s="78">
        <v>0</v>
      </c>
      <c r="U34" s="78">
        <v>1321</v>
      </c>
      <c r="V34" s="78">
        <v>21179</v>
      </c>
      <c r="W34" s="78">
        <v>39700</v>
      </c>
      <c r="X34" s="78">
        <v>18190</v>
      </c>
      <c r="Y34" s="78">
        <v>263.77999999999997</v>
      </c>
      <c r="Z34" s="78">
        <v>1375.2</v>
      </c>
      <c r="AA34" s="78">
        <v>0</v>
      </c>
      <c r="AB34" s="399">
        <v>0</v>
      </c>
      <c r="AC34" s="399">
        <v>0</v>
      </c>
      <c r="AD34" s="78">
        <v>28485</v>
      </c>
      <c r="AE34" s="78">
        <v>28769.85</v>
      </c>
      <c r="AF34" s="78">
        <v>398</v>
      </c>
      <c r="AG34" s="78">
        <v>2643</v>
      </c>
      <c r="AH34" s="78">
        <v>298</v>
      </c>
      <c r="AI34" s="78">
        <v>175</v>
      </c>
      <c r="AJ34" s="78">
        <v>300.98</v>
      </c>
      <c r="AK34" s="78">
        <v>176.75</v>
      </c>
      <c r="AL34" s="78">
        <v>473</v>
      </c>
      <c r="AM34" s="78">
        <v>21343</v>
      </c>
      <c r="AN34" s="78">
        <v>21556.43</v>
      </c>
      <c r="AO34" s="78">
        <v>22</v>
      </c>
      <c r="AP34" s="78">
        <v>0</v>
      </c>
      <c r="AQ34" s="78">
        <v>0</v>
      </c>
      <c r="AR34" s="78">
        <v>5850</v>
      </c>
      <c r="AS34" s="78">
        <v>2975</v>
      </c>
      <c r="AT34" s="78">
        <v>1787</v>
      </c>
      <c r="AU34" s="400">
        <v>2.8373890000000001E-3</v>
      </c>
      <c r="AV34" s="400">
        <v>5.9854500000000002E-4</v>
      </c>
      <c r="AW34" s="78">
        <v>10116.582</v>
      </c>
      <c r="AX34" s="78">
        <v>0</v>
      </c>
      <c r="AY34" s="78">
        <v>7156.86</v>
      </c>
      <c r="AZ34" s="78">
        <v>11494.6861060139</v>
      </c>
      <c r="BA34" s="78">
        <v>34</v>
      </c>
      <c r="BB34" s="78">
        <v>34.340000000000003</v>
      </c>
      <c r="BC34" s="78">
        <v>4787</v>
      </c>
      <c r="BD34" s="78">
        <v>1</v>
      </c>
      <c r="BE34" s="78">
        <v>0</v>
      </c>
      <c r="BF34" s="78">
        <v>0</v>
      </c>
      <c r="BG34" s="78">
        <v>0</v>
      </c>
      <c r="BH34" s="78">
        <v>0</v>
      </c>
      <c r="BI34" s="78">
        <v>0</v>
      </c>
      <c r="BJ34" s="78">
        <v>0</v>
      </c>
      <c r="BK34" s="78">
        <v>0</v>
      </c>
      <c r="BL34" s="78">
        <v>0</v>
      </c>
      <c r="BM34" s="78">
        <v>915.76700000000005</v>
      </c>
      <c r="BN34" s="78">
        <v>82</v>
      </c>
      <c r="BO34" s="78">
        <v>92</v>
      </c>
      <c r="BP34" s="78">
        <v>11570.43</v>
      </c>
      <c r="BQ34" s="78">
        <v>2682.35</v>
      </c>
      <c r="BR34" s="78">
        <v>434.71988866070097</v>
      </c>
      <c r="BS34" s="78">
        <v>495</v>
      </c>
      <c r="BT34" s="78">
        <v>280.66666666666703</v>
      </c>
      <c r="BU34" s="78">
        <v>241.333333333333</v>
      </c>
      <c r="BV34" s="78">
        <f t="shared" si="4"/>
        <v>2078</v>
      </c>
      <c r="BW34" s="78">
        <v>632</v>
      </c>
      <c r="BX34" s="78">
        <v>8376.5889528443295</v>
      </c>
      <c r="BY34" s="402">
        <v>2.8969999999999998</v>
      </c>
      <c r="BZ34" s="78">
        <v>35915</v>
      </c>
      <c r="CA34" s="78">
        <v>6022</v>
      </c>
      <c r="CB34" s="78">
        <v>1013</v>
      </c>
      <c r="CC34" s="78">
        <v>1242</v>
      </c>
      <c r="CD34" s="78">
        <v>979</v>
      </c>
      <c r="CE34" s="78">
        <v>502</v>
      </c>
      <c r="CF34" s="78">
        <v>806.59769010916898</v>
      </c>
      <c r="CG34" s="78">
        <v>460.31884458604702</v>
      </c>
      <c r="CH34" s="78">
        <v>143.151937403364</v>
      </c>
      <c r="CI34" s="78">
        <v>2075.0234999999998</v>
      </c>
      <c r="CJ34" s="78">
        <v>1184.1993</v>
      </c>
      <c r="CK34" s="78">
        <v>368.26740000000001</v>
      </c>
      <c r="CL34" s="78">
        <v>29526</v>
      </c>
    </row>
    <row r="35" spans="1:90" customFormat="1" x14ac:dyDescent="0.35">
      <c r="A35" s="72">
        <v>98</v>
      </c>
      <c r="B35" s="72" t="s">
        <v>341</v>
      </c>
      <c r="C35" s="72">
        <v>2</v>
      </c>
      <c r="D35" s="78">
        <v>1881600000</v>
      </c>
      <c r="E35" s="78">
        <v>310800000</v>
      </c>
      <c r="F35" s="78">
        <v>360500000</v>
      </c>
      <c r="G35" s="78">
        <v>25914</v>
      </c>
      <c r="H35" s="78">
        <v>2</v>
      </c>
      <c r="I35" s="78">
        <f t="shared" si="2"/>
        <v>360.5</v>
      </c>
      <c r="J35" s="78">
        <v>4825</v>
      </c>
      <c r="K35" s="78">
        <v>6211</v>
      </c>
      <c r="L35" s="78">
        <v>2052</v>
      </c>
      <c r="M35" s="78">
        <v>4004</v>
      </c>
      <c r="N35" s="78">
        <f t="shared" si="3"/>
        <v>2802.1</v>
      </c>
      <c r="O35" s="78">
        <v>479</v>
      </c>
      <c r="P35" s="78">
        <v>36</v>
      </c>
      <c r="Q35" s="78">
        <v>1858</v>
      </c>
      <c r="R35" s="78">
        <v>3638</v>
      </c>
      <c r="S35" s="78">
        <v>520</v>
      </c>
      <c r="T35" s="78">
        <v>0</v>
      </c>
      <c r="U35" s="78">
        <v>687</v>
      </c>
      <c r="V35" s="78">
        <v>11854</v>
      </c>
      <c r="W35" s="78">
        <v>25740</v>
      </c>
      <c r="X35" s="78">
        <v>17190</v>
      </c>
      <c r="Y35" s="78">
        <v>112.86</v>
      </c>
      <c r="Z35" s="78">
        <v>1001.6</v>
      </c>
      <c r="AA35" s="78">
        <v>0</v>
      </c>
      <c r="AB35" s="399">
        <v>0</v>
      </c>
      <c r="AC35" s="399">
        <v>0</v>
      </c>
      <c r="AD35" s="78">
        <v>22014</v>
      </c>
      <c r="AE35" s="78">
        <v>22014</v>
      </c>
      <c r="AF35" s="78">
        <v>831</v>
      </c>
      <c r="AG35" s="78">
        <v>0</v>
      </c>
      <c r="AH35" s="78">
        <v>156</v>
      </c>
      <c r="AI35" s="78">
        <v>153</v>
      </c>
      <c r="AJ35" s="78">
        <v>156</v>
      </c>
      <c r="AK35" s="78">
        <v>153</v>
      </c>
      <c r="AL35" s="78">
        <v>309</v>
      </c>
      <c r="AM35" s="78">
        <v>12019</v>
      </c>
      <c r="AN35" s="78">
        <v>12019</v>
      </c>
      <c r="AO35" s="78">
        <v>0</v>
      </c>
      <c r="AP35" s="78">
        <v>0</v>
      </c>
      <c r="AQ35" s="78">
        <v>0</v>
      </c>
      <c r="AR35" s="78">
        <v>0</v>
      </c>
      <c r="AS35" s="78">
        <v>1042</v>
      </c>
      <c r="AT35" s="78">
        <v>0</v>
      </c>
      <c r="AU35" s="400">
        <v>1.20327E-3</v>
      </c>
      <c r="AV35" s="400">
        <v>4.1712299999999998E-4</v>
      </c>
      <c r="AW35" s="78">
        <v>8184.9390000000003</v>
      </c>
      <c r="AX35" s="78">
        <v>0</v>
      </c>
      <c r="AY35" s="78">
        <v>7561</v>
      </c>
      <c r="AZ35" s="78">
        <v>8576.7456336178602</v>
      </c>
      <c r="BA35" s="78">
        <v>19</v>
      </c>
      <c r="BB35" s="78">
        <v>19</v>
      </c>
      <c r="BC35" s="78">
        <v>2933</v>
      </c>
      <c r="BD35" s="78">
        <v>1</v>
      </c>
      <c r="BE35" s="78">
        <v>0</v>
      </c>
      <c r="BF35" s="78">
        <v>0</v>
      </c>
      <c r="BG35" s="78">
        <v>0</v>
      </c>
      <c r="BH35" s="78">
        <v>0</v>
      </c>
      <c r="BI35" s="78">
        <v>0</v>
      </c>
      <c r="BJ35" s="78">
        <v>0</v>
      </c>
      <c r="BK35" s="78">
        <v>0</v>
      </c>
      <c r="BL35" s="78">
        <v>0</v>
      </c>
      <c r="BM35" s="78">
        <v>579</v>
      </c>
      <c r="BN35" s="78">
        <v>75</v>
      </c>
      <c r="BO35" s="78">
        <v>46</v>
      </c>
      <c r="BP35" s="78">
        <v>6586.48</v>
      </c>
      <c r="BQ35" s="78">
        <v>1504.23</v>
      </c>
      <c r="BR35" s="78">
        <v>176.795042305658</v>
      </c>
      <c r="BS35" s="78">
        <v>303</v>
      </c>
      <c r="BT35" s="78">
        <v>121.666666666667</v>
      </c>
      <c r="BU35" s="78">
        <v>117</v>
      </c>
      <c r="BV35" s="78">
        <f t="shared" si="4"/>
        <v>1379</v>
      </c>
      <c r="BW35" s="78">
        <v>440</v>
      </c>
      <c r="BX35" s="78">
        <v>5100.7657430340596</v>
      </c>
      <c r="BY35" s="402">
        <v>1.2190000000000001</v>
      </c>
      <c r="BZ35" s="78">
        <v>19703</v>
      </c>
      <c r="CA35" s="78">
        <v>3400</v>
      </c>
      <c r="CB35" s="78">
        <v>759</v>
      </c>
      <c r="CC35" s="78">
        <v>700</v>
      </c>
      <c r="CD35" s="78">
        <v>647</v>
      </c>
      <c r="CE35" s="78">
        <v>346</v>
      </c>
      <c r="CF35" s="78">
        <v>483.76383226557903</v>
      </c>
      <c r="CG35" s="78">
        <v>312.87280139778699</v>
      </c>
      <c r="CH35" s="78">
        <v>109.109143855562</v>
      </c>
      <c r="CI35" s="78">
        <v>1148.3050000000001</v>
      </c>
      <c r="CJ35" s="78">
        <v>742.66279999999995</v>
      </c>
      <c r="CK35" s="78">
        <v>258.99119999999999</v>
      </c>
      <c r="CL35" s="78">
        <v>22756</v>
      </c>
    </row>
    <row r="36" spans="1:90" customFormat="1" x14ac:dyDescent="0.35">
      <c r="A36" s="72">
        <v>1680</v>
      </c>
      <c r="B36" s="72" t="s">
        <v>0</v>
      </c>
      <c r="C36" s="72">
        <v>3</v>
      </c>
      <c r="D36" s="78">
        <v>2285600000</v>
      </c>
      <c r="E36" s="78">
        <v>216300000</v>
      </c>
      <c r="F36" s="78">
        <v>268450000</v>
      </c>
      <c r="G36" s="78">
        <v>25445</v>
      </c>
      <c r="H36" s="78">
        <v>6</v>
      </c>
      <c r="I36" s="78">
        <f t="shared" si="2"/>
        <v>268.45</v>
      </c>
      <c r="J36" s="78">
        <v>4400</v>
      </c>
      <c r="K36" s="78">
        <v>6737</v>
      </c>
      <c r="L36" s="78">
        <v>2055</v>
      </c>
      <c r="M36" s="78">
        <v>3191</v>
      </c>
      <c r="N36" s="78">
        <f t="shared" si="3"/>
        <v>1875.5</v>
      </c>
      <c r="O36" s="78">
        <v>369.33333333333297</v>
      </c>
      <c r="P36" s="78">
        <v>26</v>
      </c>
      <c r="Q36" s="78">
        <v>1671.3333333333301</v>
      </c>
      <c r="R36" s="78">
        <v>3236</v>
      </c>
      <c r="S36" s="78">
        <v>290</v>
      </c>
      <c r="T36" s="78">
        <v>0</v>
      </c>
      <c r="U36" s="78">
        <v>590</v>
      </c>
      <c r="V36" s="78">
        <v>11682</v>
      </c>
      <c r="W36" s="78">
        <v>19540</v>
      </c>
      <c r="X36" s="78">
        <v>3040</v>
      </c>
      <c r="Y36" s="78">
        <v>0</v>
      </c>
      <c r="Z36" s="78">
        <v>235.2</v>
      </c>
      <c r="AA36" s="78">
        <v>0</v>
      </c>
      <c r="AB36" s="399">
        <v>0</v>
      </c>
      <c r="AC36" s="399">
        <v>190.6</v>
      </c>
      <c r="AD36" s="78">
        <v>27601</v>
      </c>
      <c r="AE36" s="78">
        <v>27601</v>
      </c>
      <c r="AF36" s="78">
        <v>286</v>
      </c>
      <c r="AG36" s="78">
        <v>0</v>
      </c>
      <c r="AH36" s="78">
        <v>172</v>
      </c>
      <c r="AI36" s="78">
        <v>98</v>
      </c>
      <c r="AJ36" s="78">
        <v>172</v>
      </c>
      <c r="AK36" s="78">
        <v>98</v>
      </c>
      <c r="AL36" s="78">
        <v>270</v>
      </c>
      <c r="AM36" s="78">
        <v>13155</v>
      </c>
      <c r="AN36" s="78">
        <v>13155</v>
      </c>
      <c r="AO36" s="78">
        <v>0</v>
      </c>
      <c r="AP36" s="78">
        <v>0</v>
      </c>
      <c r="AQ36" s="78">
        <v>0</v>
      </c>
      <c r="AR36" s="78">
        <v>0</v>
      </c>
      <c r="AS36" s="78">
        <v>0</v>
      </c>
      <c r="AT36" s="78">
        <v>0</v>
      </c>
      <c r="AU36" s="400">
        <v>7.2006299999999995E-4</v>
      </c>
      <c r="AV36" s="400">
        <v>1.80125E-4</v>
      </c>
      <c r="AW36" s="78">
        <v>3696.5549999999998</v>
      </c>
      <c r="AX36" s="78">
        <v>0</v>
      </c>
      <c r="AY36" s="78">
        <v>3346</v>
      </c>
      <c r="AZ36" s="78">
        <v>3052.9985297808998</v>
      </c>
      <c r="BA36" s="78">
        <v>33</v>
      </c>
      <c r="BB36" s="78">
        <v>33</v>
      </c>
      <c r="BC36" s="78">
        <v>2909</v>
      </c>
      <c r="BD36" s="78">
        <v>1</v>
      </c>
      <c r="BE36" s="78">
        <v>0</v>
      </c>
      <c r="BF36" s="78">
        <v>0</v>
      </c>
      <c r="BG36" s="78">
        <v>0</v>
      </c>
      <c r="BH36" s="78">
        <v>0</v>
      </c>
      <c r="BI36" s="78">
        <v>0</v>
      </c>
      <c r="BJ36" s="78">
        <v>0</v>
      </c>
      <c r="BK36" s="78">
        <v>0</v>
      </c>
      <c r="BL36" s="78">
        <v>0</v>
      </c>
      <c r="BM36" s="78">
        <v>343.2</v>
      </c>
      <c r="BN36" s="78">
        <v>36</v>
      </c>
      <c r="BO36" s="78">
        <v>42</v>
      </c>
      <c r="BP36" s="78">
        <v>7812</v>
      </c>
      <c r="BQ36" s="78">
        <v>1656.24</v>
      </c>
      <c r="BR36" s="78">
        <v>91.602245298905402</v>
      </c>
      <c r="BS36" s="78">
        <v>204</v>
      </c>
      <c r="BT36" s="78">
        <v>92.3333333333333</v>
      </c>
      <c r="BU36" s="78">
        <v>70</v>
      </c>
      <c r="BV36" s="78">
        <f t="shared" si="4"/>
        <v>1301.999999999997</v>
      </c>
      <c r="BW36" s="78">
        <v>467</v>
      </c>
      <c r="BX36" s="78">
        <v>4308.67062948082</v>
      </c>
      <c r="BY36" s="402">
        <v>0.87</v>
      </c>
      <c r="BZ36" s="78">
        <v>18708</v>
      </c>
      <c r="CA36" s="78">
        <v>3972</v>
      </c>
      <c r="CB36" s="78">
        <v>710</v>
      </c>
      <c r="CC36" s="78">
        <v>696</v>
      </c>
      <c r="CD36" s="78">
        <v>571</v>
      </c>
      <c r="CE36" s="78">
        <v>356</v>
      </c>
      <c r="CF36" s="78">
        <v>333.61231470923599</v>
      </c>
      <c r="CG36" s="78">
        <v>195.17746104142901</v>
      </c>
      <c r="CH36" s="78">
        <v>70.429266438616494</v>
      </c>
      <c r="CI36" s="78">
        <v>979.75800000000004</v>
      </c>
      <c r="CJ36" s="78">
        <v>573.20029999999997</v>
      </c>
      <c r="CK36" s="78">
        <v>206.83779999999999</v>
      </c>
      <c r="CL36" s="78">
        <v>101570</v>
      </c>
    </row>
    <row r="37" spans="1:90" customFormat="1" x14ac:dyDescent="0.35">
      <c r="A37" s="72">
        <v>106</v>
      </c>
      <c r="B37" s="72" t="s">
        <v>30</v>
      </c>
      <c r="C37" s="72">
        <v>3</v>
      </c>
      <c r="D37" s="78">
        <v>4948800000</v>
      </c>
      <c r="E37" s="78">
        <v>806400000</v>
      </c>
      <c r="F37" s="78">
        <v>845950000</v>
      </c>
      <c r="G37" s="78">
        <v>68599</v>
      </c>
      <c r="H37" s="78">
        <v>1</v>
      </c>
      <c r="I37" s="78">
        <f t="shared" si="2"/>
        <v>845.95</v>
      </c>
      <c r="J37" s="78">
        <v>13698</v>
      </c>
      <c r="K37" s="78">
        <v>13922</v>
      </c>
      <c r="L37" s="78">
        <v>4326</v>
      </c>
      <c r="M37" s="78">
        <v>10654</v>
      </c>
      <c r="N37" s="78">
        <f t="shared" si="3"/>
        <v>7337.6</v>
      </c>
      <c r="O37" s="78">
        <v>2036.6666666666699</v>
      </c>
      <c r="P37" s="78">
        <v>98</v>
      </c>
      <c r="Q37" s="78">
        <v>6581.6666666666697</v>
      </c>
      <c r="R37" s="78">
        <v>12100</v>
      </c>
      <c r="S37" s="78">
        <v>2300</v>
      </c>
      <c r="T37" s="78">
        <v>0</v>
      </c>
      <c r="U37" s="78">
        <v>2564</v>
      </c>
      <c r="V37" s="78">
        <v>33537</v>
      </c>
      <c r="W37" s="78">
        <v>77560</v>
      </c>
      <c r="X37" s="78">
        <v>107310</v>
      </c>
      <c r="Y37" s="78">
        <v>2398.44</v>
      </c>
      <c r="Z37" s="78">
        <v>4084.8</v>
      </c>
      <c r="AA37" s="78">
        <v>0</v>
      </c>
      <c r="AB37" s="399">
        <v>0</v>
      </c>
      <c r="AC37" s="399">
        <v>6.3999999999996362</v>
      </c>
      <c r="AD37" s="78">
        <v>8186</v>
      </c>
      <c r="AE37" s="78">
        <v>8186</v>
      </c>
      <c r="AF37" s="78">
        <v>160</v>
      </c>
      <c r="AG37" s="78">
        <v>0</v>
      </c>
      <c r="AH37" s="78">
        <v>362</v>
      </c>
      <c r="AI37" s="78">
        <v>42</v>
      </c>
      <c r="AJ37" s="78">
        <v>362</v>
      </c>
      <c r="AK37" s="78">
        <v>42</v>
      </c>
      <c r="AL37" s="78">
        <v>404</v>
      </c>
      <c r="AM37" s="78">
        <v>33164</v>
      </c>
      <c r="AN37" s="78">
        <v>33164</v>
      </c>
      <c r="AO37" s="78">
        <v>11</v>
      </c>
      <c r="AP37" s="78">
        <v>0</v>
      </c>
      <c r="AQ37" s="78">
        <v>0</v>
      </c>
      <c r="AR37" s="78">
        <v>0</v>
      </c>
      <c r="AS37" s="78">
        <v>3666</v>
      </c>
      <c r="AT37" s="78">
        <v>3666</v>
      </c>
      <c r="AU37" s="400">
        <v>1.1645659999999999E-3</v>
      </c>
      <c r="AV37" s="400">
        <v>3.1044890000000002E-3</v>
      </c>
      <c r="AW37" s="78">
        <v>51802.167999999998</v>
      </c>
      <c r="AX37" s="78">
        <v>0</v>
      </c>
      <c r="AY37" s="78">
        <v>1890</v>
      </c>
      <c r="AZ37" s="78">
        <v>15534.640546369499</v>
      </c>
      <c r="BA37" s="78">
        <v>3</v>
      </c>
      <c r="BB37" s="78">
        <v>3</v>
      </c>
      <c r="BC37" s="78">
        <v>5905</v>
      </c>
      <c r="BD37" s="78">
        <v>1</v>
      </c>
      <c r="BE37" s="78">
        <v>0</v>
      </c>
      <c r="BF37" s="78">
        <v>0</v>
      </c>
      <c r="BG37" s="78">
        <v>0</v>
      </c>
      <c r="BH37" s="78">
        <v>0</v>
      </c>
      <c r="BI37" s="78">
        <v>0</v>
      </c>
      <c r="BJ37" s="78">
        <v>0</v>
      </c>
      <c r="BK37" s="78">
        <v>0</v>
      </c>
      <c r="BL37" s="78">
        <v>0</v>
      </c>
      <c r="BM37" s="78">
        <v>1876.626</v>
      </c>
      <c r="BN37" s="78">
        <v>164</v>
      </c>
      <c r="BO37" s="78">
        <v>210</v>
      </c>
      <c r="BP37" s="78">
        <v>18508.89</v>
      </c>
      <c r="BQ37" s="78">
        <v>4169.55</v>
      </c>
      <c r="BR37" s="78">
        <v>772.45042663523895</v>
      </c>
      <c r="BS37" s="78">
        <v>963</v>
      </c>
      <c r="BT37" s="78">
        <v>521</v>
      </c>
      <c r="BU37" s="78">
        <v>453</v>
      </c>
      <c r="BV37" s="78">
        <f t="shared" si="4"/>
        <v>4545</v>
      </c>
      <c r="BW37" s="78">
        <v>1623</v>
      </c>
      <c r="BX37" s="78">
        <v>11676.6978438268</v>
      </c>
      <c r="BY37" s="402">
        <v>6.016</v>
      </c>
      <c r="BZ37" s="78">
        <v>54677</v>
      </c>
      <c r="CA37" s="78">
        <v>7974</v>
      </c>
      <c r="CB37" s="78">
        <v>1622</v>
      </c>
      <c r="CC37" s="78">
        <v>2003</v>
      </c>
      <c r="CD37" s="78">
        <v>1516</v>
      </c>
      <c r="CE37" s="78">
        <v>800</v>
      </c>
      <c r="CF37" s="78">
        <v>1098.0734772645001</v>
      </c>
      <c r="CG37" s="78">
        <v>639.19691231455795</v>
      </c>
      <c r="CH37" s="78">
        <v>243.59840791219401</v>
      </c>
      <c r="CI37" s="78">
        <v>2584.7303999999999</v>
      </c>
      <c r="CJ37" s="78">
        <v>1504.5912000000001</v>
      </c>
      <c r="CK37" s="78">
        <v>573.4008</v>
      </c>
      <c r="CL37" s="78">
        <v>257748</v>
      </c>
    </row>
    <row r="38" spans="1:90" customFormat="1" x14ac:dyDescent="0.35">
      <c r="A38" s="72">
        <v>1681</v>
      </c>
      <c r="B38" s="72" t="s">
        <v>55</v>
      </c>
      <c r="C38" s="72">
        <v>3</v>
      </c>
      <c r="D38" s="78">
        <v>1856000000</v>
      </c>
      <c r="E38" s="78">
        <v>251300000</v>
      </c>
      <c r="F38" s="78">
        <v>300650000</v>
      </c>
      <c r="G38" s="78">
        <v>25559</v>
      </c>
      <c r="H38" s="78">
        <v>5</v>
      </c>
      <c r="I38" s="78">
        <f t="shared" si="2"/>
        <v>300.64999999999998</v>
      </c>
      <c r="J38" s="78">
        <v>4406</v>
      </c>
      <c r="K38" s="78">
        <v>6354</v>
      </c>
      <c r="L38" s="78">
        <v>1970</v>
      </c>
      <c r="M38" s="78">
        <v>3471</v>
      </c>
      <c r="N38" s="78">
        <f t="shared" si="3"/>
        <v>2268.8999999999996</v>
      </c>
      <c r="O38" s="78">
        <v>479.66666666666703</v>
      </c>
      <c r="P38" s="78">
        <v>26</v>
      </c>
      <c r="Q38" s="78">
        <v>2051.6666666666702</v>
      </c>
      <c r="R38" s="78">
        <v>3140</v>
      </c>
      <c r="S38" s="78">
        <v>280</v>
      </c>
      <c r="T38" s="78">
        <v>0</v>
      </c>
      <c r="U38" s="78">
        <v>623</v>
      </c>
      <c r="V38" s="78">
        <v>11469</v>
      </c>
      <c r="W38" s="78">
        <v>20760</v>
      </c>
      <c r="X38" s="78">
        <v>3670</v>
      </c>
      <c r="Y38" s="78">
        <v>0</v>
      </c>
      <c r="Z38" s="78">
        <v>152</v>
      </c>
      <c r="AA38" s="78">
        <v>0</v>
      </c>
      <c r="AB38" s="399">
        <v>0</v>
      </c>
      <c r="AC38" s="399">
        <v>0</v>
      </c>
      <c r="AD38" s="78">
        <v>27483</v>
      </c>
      <c r="AE38" s="78">
        <v>27483</v>
      </c>
      <c r="AF38" s="78">
        <v>306</v>
      </c>
      <c r="AG38" s="78">
        <v>0</v>
      </c>
      <c r="AH38" s="78">
        <v>170</v>
      </c>
      <c r="AI38" s="78">
        <v>114</v>
      </c>
      <c r="AJ38" s="78">
        <v>170</v>
      </c>
      <c r="AK38" s="78">
        <v>114</v>
      </c>
      <c r="AL38" s="78">
        <v>284</v>
      </c>
      <c r="AM38" s="78">
        <v>12021</v>
      </c>
      <c r="AN38" s="78">
        <v>12021</v>
      </c>
      <c r="AO38" s="78">
        <v>0</v>
      </c>
      <c r="AP38" s="78">
        <v>0</v>
      </c>
      <c r="AQ38" s="78">
        <v>0</v>
      </c>
      <c r="AR38" s="78">
        <v>0</v>
      </c>
      <c r="AS38" s="78">
        <v>2246</v>
      </c>
      <c r="AT38" s="78">
        <v>0</v>
      </c>
      <c r="AU38" s="400">
        <v>8.34062E-4</v>
      </c>
      <c r="AV38" s="400">
        <v>2.5033100000000001E-4</v>
      </c>
      <c r="AW38" s="78">
        <v>3113.4389999999999</v>
      </c>
      <c r="AX38" s="78">
        <v>0</v>
      </c>
      <c r="AY38" s="78">
        <v>5602</v>
      </c>
      <c r="AZ38" s="78">
        <v>5152.4530569649896</v>
      </c>
      <c r="BA38" s="78">
        <v>37</v>
      </c>
      <c r="BB38" s="78">
        <v>37</v>
      </c>
      <c r="BC38" s="78">
        <v>2817</v>
      </c>
      <c r="BD38" s="78">
        <v>1</v>
      </c>
      <c r="BE38" s="78">
        <v>0</v>
      </c>
      <c r="BF38" s="78">
        <v>0</v>
      </c>
      <c r="BG38" s="78">
        <v>0</v>
      </c>
      <c r="BH38" s="78">
        <v>0</v>
      </c>
      <c r="BI38" s="78">
        <v>0</v>
      </c>
      <c r="BJ38" s="78">
        <v>0</v>
      </c>
      <c r="BK38" s="78">
        <v>0</v>
      </c>
      <c r="BL38" s="78">
        <v>0</v>
      </c>
      <c r="BM38" s="78">
        <v>475.84800000000001</v>
      </c>
      <c r="BN38" s="78">
        <v>96</v>
      </c>
      <c r="BO38" s="78">
        <v>31</v>
      </c>
      <c r="BP38" s="78">
        <v>6963.84</v>
      </c>
      <c r="BQ38" s="78">
        <v>1447.27</v>
      </c>
      <c r="BR38" s="78">
        <v>117.57267695700099</v>
      </c>
      <c r="BS38" s="78">
        <v>202</v>
      </c>
      <c r="BT38" s="78">
        <v>128</v>
      </c>
      <c r="BU38" s="78">
        <v>101.666666666667</v>
      </c>
      <c r="BV38" s="78">
        <f t="shared" si="4"/>
        <v>1572.0000000000032</v>
      </c>
      <c r="BW38" s="78">
        <v>424</v>
      </c>
      <c r="BX38" s="78">
        <v>5030.1627084975598</v>
      </c>
      <c r="BY38" s="402">
        <v>1.429</v>
      </c>
      <c r="BZ38" s="78">
        <v>19205</v>
      </c>
      <c r="CA38" s="78">
        <v>3768</v>
      </c>
      <c r="CB38" s="78">
        <v>616</v>
      </c>
      <c r="CC38" s="78">
        <v>574</v>
      </c>
      <c r="CD38" s="78">
        <v>551</v>
      </c>
      <c r="CE38" s="78">
        <v>320</v>
      </c>
      <c r="CF38" s="78">
        <v>418.63573745944598</v>
      </c>
      <c r="CG38" s="78">
        <v>244.23563763414001</v>
      </c>
      <c r="CH38" s="78">
        <v>82.103943099575702</v>
      </c>
      <c r="CI38" s="78">
        <v>1135.3942</v>
      </c>
      <c r="CJ38" s="78">
        <v>662.39859999999999</v>
      </c>
      <c r="CK38" s="78">
        <v>222.6765</v>
      </c>
      <c r="CL38" s="78">
        <v>0</v>
      </c>
    </row>
    <row r="39" spans="1:90" customFormat="1" x14ac:dyDescent="0.35">
      <c r="A39" s="72">
        <v>109</v>
      </c>
      <c r="B39" s="72" t="s">
        <v>70</v>
      </c>
      <c r="C39" s="72">
        <v>3</v>
      </c>
      <c r="D39" s="78">
        <v>2554400000</v>
      </c>
      <c r="E39" s="78">
        <v>560700000</v>
      </c>
      <c r="F39" s="78">
        <v>613550000</v>
      </c>
      <c r="G39" s="78">
        <v>35297</v>
      </c>
      <c r="H39" s="78">
        <v>8</v>
      </c>
      <c r="I39" s="78">
        <f t="shared" si="2"/>
        <v>613.54999999999995</v>
      </c>
      <c r="J39" s="78">
        <v>6485</v>
      </c>
      <c r="K39" s="78">
        <v>8621</v>
      </c>
      <c r="L39" s="78">
        <v>2731</v>
      </c>
      <c r="M39" s="78">
        <v>5139</v>
      </c>
      <c r="N39" s="78">
        <f t="shared" si="3"/>
        <v>3404.7</v>
      </c>
      <c r="O39" s="78">
        <v>780.66666666666697</v>
      </c>
      <c r="P39" s="78">
        <v>38</v>
      </c>
      <c r="Q39" s="78">
        <v>2734.6666666666702</v>
      </c>
      <c r="R39" s="78">
        <v>4904</v>
      </c>
      <c r="S39" s="78">
        <v>640</v>
      </c>
      <c r="T39" s="78">
        <v>0</v>
      </c>
      <c r="U39" s="78">
        <v>1000</v>
      </c>
      <c r="V39" s="78">
        <v>16189</v>
      </c>
      <c r="W39" s="78">
        <v>32290</v>
      </c>
      <c r="X39" s="78">
        <v>18100</v>
      </c>
      <c r="Y39" s="78">
        <v>120.78</v>
      </c>
      <c r="Z39" s="78">
        <v>1134.4000000000001</v>
      </c>
      <c r="AA39" s="78">
        <v>0</v>
      </c>
      <c r="AB39" s="399">
        <v>0</v>
      </c>
      <c r="AC39" s="399">
        <v>0</v>
      </c>
      <c r="AD39" s="78">
        <v>29614</v>
      </c>
      <c r="AE39" s="78">
        <v>29614</v>
      </c>
      <c r="AF39" s="78">
        <v>355</v>
      </c>
      <c r="AG39" s="78">
        <v>0</v>
      </c>
      <c r="AH39" s="78">
        <v>237</v>
      </c>
      <c r="AI39" s="78">
        <v>178</v>
      </c>
      <c r="AJ39" s="78">
        <v>237</v>
      </c>
      <c r="AK39" s="78">
        <v>178</v>
      </c>
      <c r="AL39" s="78">
        <v>415</v>
      </c>
      <c r="AM39" s="78">
        <v>17343</v>
      </c>
      <c r="AN39" s="78">
        <v>17343</v>
      </c>
      <c r="AO39" s="78">
        <v>9</v>
      </c>
      <c r="AP39" s="78">
        <v>0</v>
      </c>
      <c r="AQ39" s="78">
        <v>0</v>
      </c>
      <c r="AR39" s="78">
        <v>3250</v>
      </c>
      <c r="AS39" s="78">
        <v>917</v>
      </c>
      <c r="AT39" s="78">
        <v>917</v>
      </c>
      <c r="AU39" s="400">
        <v>1.014834E-3</v>
      </c>
      <c r="AV39" s="400">
        <v>5.4257000000000003E-4</v>
      </c>
      <c r="AW39" s="78">
        <v>8619.4709999999995</v>
      </c>
      <c r="AX39" s="78">
        <v>0</v>
      </c>
      <c r="AY39" s="78">
        <v>4567</v>
      </c>
      <c r="AZ39" s="78">
        <v>5378.9382028095697</v>
      </c>
      <c r="BA39" s="78">
        <v>27</v>
      </c>
      <c r="BB39" s="78">
        <v>27</v>
      </c>
      <c r="BC39" s="78">
        <v>3693</v>
      </c>
      <c r="BD39" s="78">
        <v>1</v>
      </c>
      <c r="BE39" s="78">
        <v>0</v>
      </c>
      <c r="BF39" s="78">
        <v>0</v>
      </c>
      <c r="BG39" s="78">
        <v>0</v>
      </c>
      <c r="BH39" s="78">
        <v>0</v>
      </c>
      <c r="BI39" s="78">
        <v>0</v>
      </c>
      <c r="BJ39" s="78">
        <v>0</v>
      </c>
      <c r="BK39" s="78">
        <v>0</v>
      </c>
      <c r="BL39" s="78">
        <v>0</v>
      </c>
      <c r="BM39" s="78">
        <v>856.02</v>
      </c>
      <c r="BN39" s="78">
        <v>140</v>
      </c>
      <c r="BO39" s="78">
        <v>127</v>
      </c>
      <c r="BP39" s="78">
        <v>9610.6200000000008</v>
      </c>
      <c r="BQ39" s="78">
        <v>2033.76</v>
      </c>
      <c r="BR39" s="78">
        <v>223.04970372515001</v>
      </c>
      <c r="BS39" s="78">
        <v>387</v>
      </c>
      <c r="BT39" s="78">
        <v>233</v>
      </c>
      <c r="BU39" s="78">
        <v>179.333333333333</v>
      </c>
      <c r="BV39" s="78">
        <f t="shared" si="4"/>
        <v>1954.0000000000032</v>
      </c>
      <c r="BW39" s="78">
        <v>479</v>
      </c>
      <c r="BX39" s="78">
        <v>6878.7917278696796</v>
      </c>
      <c r="BY39" s="402">
        <v>2.2210000000000001</v>
      </c>
      <c r="BZ39" s="78">
        <v>26676</v>
      </c>
      <c r="CA39" s="78">
        <v>4887</v>
      </c>
      <c r="CB39" s="78">
        <v>1003</v>
      </c>
      <c r="CC39" s="78">
        <v>920</v>
      </c>
      <c r="CD39" s="78">
        <v>934</v>
      </c>
      <c r="CE39" s="78">
        <v>513</v>
      </c>
      <c r="CF39" s="78">
        <v>582.66445251686605</v>
      </c>
      <c r="CG39" s="78">
        <v>355.92003113648201</v>
      </c>
      <c r="CH39" s="78">
        <v>135.45770627919001</v>
      </c>
      <c r="CI39" s="78">
        <v>1506.26</v>
      </c>
      <c r="CJ39" s="78">
        <v>920.09749999999997</v>
      </c>
      <c r="CK39" s="78">
        <v>350.17500000000001</v>
      </c>
      <c r="CL39" s="78">
        <v>7938</v>
      </c>
    </row>
    <row r="40" spans="1:90" customFormat="1" x14ac:dyDescent="0.35">
      <c r="A40" s="72">
        <v>1690</v>
      </c>
      <c r="B40" s="72" t="s">
        <v>79</v>
      </c>
      <c r="C40" s="72">
        <v>3</v>
      </c>
      <c r="D40" s="78">
        <v>2201600000</v>
      </c>
      <c r="E40" s="78">
        <v>260400000</v>
      </c>
      <c r="F40" s="78">
        <v>327250000</v>
      </c>
      <c r="G40" s="78">
        <v>24330</v>
      </c>
      <c r="H40" s="78">
        <v>5</v>
      </c>
      <c r="I40" s="78">
        <f t="shared" si="2"/>
        <v>327.25</v>
      </c>
      <c r="J40" s="78">
        <v>4572</v>
      </c>
      <c r="K40" s="78">
        <v>5847</v>
      </c>
      <c r="L40" s="78">
        <v>1886</v>
      </c>
      <c r="M40" s="78">
        <v>2818</v>
      </c>
      <c r="N40" s="78">
        <f t="shared" si="3"/>
        <v>1710.7</v>
      </c>
      <c r="O40" s="78">
        <v>228.333333333333</v>
      </c>
      <c r="P40" s="78">
        <v>20</v>
      </c>
      <c r="Q40" s="78">
        <v>1200.3333333333301</v>
      </c>
      <c r="R40" s="78">
        <v>2861</v>
      </c>
      <c r="S40" s="78">
        <v>250</v>
      </c>
      <c r="T40" s="78">
        <v>0</v>
      </c>
      <c r="U40" s="78">
        <v>552</v>
      </c>
      <c r="V40" s="78">
        <v>10581</v>
      </c>
      <c r="W40" s="78">
        <v>19920</v>
      </c>
      <c r="X40" s="78">
        <v>4970</v>
      </c>
      <c r="Y40" s="78">
        <v>0</v>
      </c>
      <c r="Z40" s="78">
        <v>0</v>
      </c>
      <c r="AA40" s="78">
        <v>0</v>
      </c>
      <c r="AB40" s="399">
        <v>0</v>
      </c>
      <c r="AC40" s="399">
        <v>0</v>
      </c>
      <c r="AD40" s="78">
        <v>22440</v>
      </c>
      <c r="AE40" s="78">
        <v>22440</v>
      </c>
      <c r="AF40" s="78">
        <v>195</v>
      </c>
      <c r="AG40" s="78">
        <v>0</v>
      </c>
      <c r="AH40" s="78">
        <v>129</v>
      </c>
      <c r="AI40" s="78">
        <v>161</v>
      </c>
      <c r="AJ40" s="78">
        <v>129</v>
      </c>
      <c r="AK40" s="78">
        <v>161</v>
      </c>
      <c r="AL40" s="78">
        <v>290</v>
      </c>
      <c r="AM40" s="78">
        <v>11073</v>
      </c>
      <c r="AN40" s="78">
        <v>11073</v>
      </c>
      <c r="AO40" s="78">
        <v>0</v>
      </c>
      <c r="AP40" s="78">
        <v>0</v>
      </c>
      <c r="AQ40" s="78">
        <v>0</v>
      </c>
      <c r="AR40" s="78">
        <v>0</v>
      </c>
      <c r="AS40" s="78">
        <v>0</v>
      </c>
      <c r="AT40" s="78">
        <v>0</v>
      </c>
      <c r="AU40" s="400">
        <v>6.6255100000000005E-4</v>
      </c>
      <c r="AV40" s="400">
        <v>1.5210399999999999E-4</v>
      </c>
      <c r="AW40" s="78">
        <v>3410.4839999999999</v>
      </c>
      <c r="AX40" s="78">
        <v>0</v>
      </c>
      <c r="AY40" s="78">
        <v>2727</v>
      </c>
      <c r="AZ40" s="78">
        <v>2931.2087475149101</v>
      </c>
      <c r="BA40" s="78">
        <v>22</v>
      </c>
      <c r="BB40" s="78">
        <v>22</v>
      </c>
      <c r="BC40" s="78">
        <v>3263</v>
      </c>
      <c r="BD40" s="78">
        <v>1</v>
      </c>
      <c r="BE40" s="78">
        <v>0</v>
      </c>
      <c r="BF40" s="78">
        <v>0</v>
      </c>
      <c r="BG40" s="78">
        <v>0</v>
      </c>
      <c r="BH40" s="78">
        <v>0</v>
      </c>
      <c r="BI40" s="78">
        <v>0</v>
      </c>
      <c r="BJ40" s="78">
        <v>0</v>
      </c>
      <c r="BK40" s="78">
        <v>0</v>
      </c>
      <c r="BL40" s="78">
        <v>0</v>
      </c>
      <c r="BM40" s="78">
        <v>352.04399999999998</v>
      </c>
      <c r="BN40" s="78">
        <v>52</v>
      </c>
      <c r="BO40" s="78">
        <v>31</v>
      </c>
      <c r="BP40" s="78">
        <v>6936.68</v>
      </c>
      <c r="BQ40" s="78">
        <v>1638.15</v>
      </c>
      <c r="BR40" s="78">
        <v>96.399371237458197</v>
      </c>
      <c r="BS40" s="78">
        <v>223</v>
      </c>
      <c r="BT40" s="78">
        <v>69</v>
      </c>
      <c r="BU40" s="78">
        <v>42.6666666666667</v>
      </c>
      <c r="BV40" s="78">
        <f t="shared" si="4"/>
        <v>971.99999999999704</v>
      </c>
      <c r="BW40" s="78">
        <v>296</v>
      </c>
      <c r="BX40" s="78">
        <v>3917.2208212360001</v>
      </c>
      <c r="BY40" s="402">
        <v>0.33200000000000002</v>
      </c>
      <c r="BZ40" s="78">
        <v>18483</v>
      </c>
      <c r="CA40" s="78">
        <v>3221</v>
      </c>
      <c r="CB40" s="78">
        <v>740</v>
      </c>
      <c r="CC40" s="78">
        <v>562</v>
      </c>
      <c r="CD40" s="78">
        <v>546</v>
      </c>
      <c r="CE40" s="78">
        <v>365</v>
      </c>
      <c r="CF40" s="78">
        <v>295.23595231644498</v>
      </c>
      <c r="CG40" s="78">
        <v>192.34367380113801</v>
      </c>
      <c r="CH40" s="78">
        <v>76.937469520455195</v>
      </c>
      <c r="CI40" s="78">
        <v>843.5154</v>
      </c>
      <c r="CJ40" s="78">
        <v>549.54300000000001</v>
      </c>
      <c r="CK40" s="78">
        <v>219.81720000000001</v>
      </c>
      <c r="CL40" s="78">
        <v>7665</v>
      </c>
    </row>
    <row r="41" spans="1:90" customFormat="1" x14ac:dyDescent="0.35">
      <c r="A41" s="72">
        <v>114</v>
      </c>
      <c r="B41" s="72" t="s">
        <v>104</v>
      </c>
      <c r="C41" s="72">
        <v>3</v>
      </c>
      <c r="D41" s="78">
        <v>6803600000</v>
      </c>
      <c r="E41" s="78">
        <v>1286950000</v>
      </c>
      <c r="F41" s="78">
        <v>1345050000</v>
      </c>
      <c r="G41" s="78">
        <v>107048</v>
      </c>
      <c r="H41" s="78">
        <v>11</v>
      </c>
      <c r="I41" s="78">
        <f t="shared" si="2"/>
        <v>1345.05</v>
      </c>
      <c r="J41" s="78">
        <v>19289</v>
      </c>
      <c r="K41" s="78">
        <v>24706</v>
      </c>
      <c r="L41" s="78">
        <v>7887</v>
      </c>
      <c r="M41" s="78">
        <v>17745</v>
      </c>
      <c r="N41" s="78">
        <f t="shared" si="3"/>
        <v>12759.3</v>
      </c>
      <c r="O41" s="78">
        <v>3494.3333333333298</v>
      </c>
      <c r="P41" s="78">
        <v>186</v>
      </c>
      <c r="Q41" s="78">
        <v>11809.333333333299</v>
      </c>
      <c r="R41" s="78">
        <v>16900</v>
      </c>
      <c r="S41" s="78">
        <v>2885</v>
      </c>
      <c r="T41" s="78">
        <v>0</v>
      </c>
      <c r="U41" s="78">
        <v>3663</v>
      </c>
      <c r="V41" s="78">
        <v>50396</v>
      </c>
      <c r="W41" s="78">
        <v>111860</v>
      </c>
      <c r="X41" s="78">
        <v>116170</v>
      </c>
      <c r="Y41" s="78">
        <v>2809.94</v>
      </c>
      <c r="Z41" s="78">
        <v>4889.6000000000004</v>
      </c>
      <c r="AA41" s="78">
        <v>0</v>
      </c>
      <c r="AB41" s="399">
        <v>0</v>
      </c>
      <c r="AC41" s="399">
        <v>0</v>
      </c>
      <c r="AD41" s="78">
        <v>33579</v>
      </c>
      <c r="AE41" s="78">
        <v>33579</v>
      </c>
      <c r="AF41" s="78">
        <v>1047</v>
      </c>
      <c r="AG41" s="78">
        <v>0</v>
      </c>
      <c r="AH41" s="78">
        <v>674</v>
      </c>
      <c r="AI41" s="78">
        <v>223</v>
      </c>
      <c r="AJ41" s="78">
        <v>674</v>
      </c>
      <c r="AK41" s="78">
        <v>223</v>
      </c>
      <c r="AL41" s="78">
        <v>896</v>
      </c>
      <c r="AM41" s="78">
        <v>49857</v>
      </c>
      <c r="AN41" s="78">
        <v>49857</v>
      </c>
      <c r="AO41" s="78">
        <v>0</v>
      </c>
      <c r="AP41" s="78">
        <v>0</v>
      </c>
      <c r="AQ41" s="78">
        <v>0</v>
      </c>
      <c r="AR41" s="78">
        <v>0</v>
      </c>
      <c r="AS41" s="78">
        <v>4532</v>
      </c>
      <c r="AT41" s="78">
        <v>0</v>
      </c>
      <c r="AU41" s="400">
        <v>3.3168020000000002E-3</v>
      </c>
      <c r="AV41" s="400">
        <v>3.4152969999999999E-3</v>
      </c>
      <c r="AW41" s="78">
        <v>42478.163999999997</v>
      </c>
      <c r="AX41" s="78">
        <v>0</v>
      </c>
      <c r="AY41" s="78">
        <v>13175</v>
      </c>
      <c r="AZ41" s="78">
        <v>40731.167330907403</v>
      </c>
      <c r="BA41" s="78">
        <v>29</v>
      </c>
      <c r="BB41" s="78">
        <v>29</v>
      </c>
      <c r="BC41" s="78">
        <v>9540</v>
      </c>
      <c r="BD41" s="78">
        <v>1</v>
      </c>
      <c r="BE41" s="78">
        <v>0</v>
      </c>
      <c r="BF41" s="78">
        <v>0</v>
      </c>
      <c r="BG41" s="78">
        <v>0</v>
      </c>
      <c r="BH41" s="78">
        <v>0</v>
      </c>
      <c r="BI41" s="78">
        <v>0</v>
      </c>
      <c r="BJ41" s="78">
        <v>0</v>
      </c>
      <c r="BK41" s="78">
        <v>0</v>
      </c>
      <c r="BL41" s="78">
        <v>0</v>
      </c>
      <c r="BM41" s="78">
        <v>3182.6849999999999</v>
      </c>
      <c r="BN41" s="78">
        <v>587</v>
      </c>
      <c r="BO41" s="78">
        <v>335</v>
      </c>
      <c r="BP41" s="78">
        <v>26747.05</v>
      </c>
      <c r="BQ41" s="78">
        <v>5669.04</v>
      </c>
      <c r="BR41" s="78">
        <v>785.92159190031202</v>
      </c>
      <c r="BS41" s="78">
        <v>1427</v>
      </c>
      <c r="BT41" s="78">
        <v>931.66666666666697</v>
      </c>
      <c r="BU41" s="78">
        <v>892.33333333333303</v>
      </c>
      <c r="BV41" s="78">
        <f t="shared" si="4"/>
        <v>8314.9999999999691</v>
      </c>
      <c r="BW41" s="78">
        <v>2070</v>
      </c>
      <c r="BX41" s="78">
        <v>22833.5753561192</v>
      </c>
      <c r="BY41" s="402">
        <v>11.266</v>
      </c>
      <c r="BZ41" s="78">
        <v>82342</v>
      </c>
      <c r="CA41" s="78">
        <v>14140</v>
      </c>
      <c r="CB41" s="78">
        <v>2679</v>
      </c>
      <c r="CC41" s="78">
        <v>2999</v>
      </c>
      <c r="CD41" s="78">
        <v>2711</v>
      </c>
      <c r="CE41" s="78">
        <v>1382</v>
      </c>
      <c r="CF41" s="78">
        <v>2220.3439196100799</v>
      </c>
      <c r="CG41" s="78">
        <v>1370.4404898008299</v>
      </c>
      <c r="CH41" s="78">
        <v>474.98366929418103</v>
      </c>
      <c r="CI41" s="78">
        <v>5102.3555999999999</v>
      </c>
      <c r="CJ41" s="78">
        <v>3149.2755000000002</v>
      </c>
      <c r="CK41" s="78">
        <v>1091.5136</v>
      </c>
      <c r="CL41" s="78">
        <v>93536</v>
      </c>
    </row>
    <row r="42" spans="1:90" customFormat="1" x14ac:dyDescent="0.35">
      <c r="A42" s="72">
        <v>118</v>
      </c>
      <c r="B42" s="72" t="s">
        <v>156</v>
      </c>
      <c r="C42" s="72">
        <v>3</v>
      </c>
      <c r="D42" s="78">
        <v>3685600000</v>
      </c>
      <c r="E42" s="78">
        <v>700350000</v>
      </c>
      <c r="F42" s="78">
        <v>766150000</v>
      </c>
      <c r="G42" s="78">
        <v>55699</v>
      </c>
      <c r="H42" s="78">
        <v>4</v>
      </c>
      <c r="I42" s="78">
        <f t="shared" si="2"/>
        <v>766.15</v>
      </c>
      <c r="J42" s="78">
        <v>11258</v>
      </c>
      <c r="K42" s="78">
        <v>12097</v>
      </c>
      <c r="L42" s="78">
        <v>3908</v>
      </c>
      <c r="M42" s="78">
        <v>8819</v>
      </c>
      <c r="N42" s="78">
        <f t="shared" si="3"/>
        <v>6260.7</v>
      </c>
      <c r="O42" s="78">
        <v>1283</v>
      </c>
      <c r="P42" s="78">
        <v>83</v>
      </c>
      <c r="Q42" s="78">
        <v>4966</v>
      </c>
      <c r="R42" s="78">
        <v>8409</v>
      </c>
      <c r="S42" s="78">
        <v>1330</v>
      </c>
      <c r="T42" s="78">
        <v>0</v>
      </c>
      <c r="U42" s="78">
        <v>1769</v>
      </c>
      <c r="V42" s="78">
        <v>25728</v>
      </c>
      <c r="W42" s="78">
        <v>60500</v>
      </c>
      <c r="X42" s="78">
        <v>68360</v>
      </c>
      <c r="Y42" s="78">
        <v>1607.88</v>
      </c>
      <c r="Z42" s="78">
        <v>2641.6</v>
      </c>
      <c r="AA42" s="78">
        <v>0</v>
      </c>
      <c r="AB42" s="399">
        <v>0</v>
      </c>
      <c r="AC42" s="399">
        <v>0</v>
      </c>
      <c r="AD42" s="78">
        <v>12760</v>
      </c>
      <c r="AE42" s="78">
        <v>12760</v>
      </c>
      <c r="AF42" s="78">
        <v>165</v>
      </c>
      <c r="AG42" s="78">
        <v>0</v>
      </c>
      <c r="AH42" s="78">
        <v>344</v>
      </c>
      <c r="AI42" s="78">
        <v>102</v>
      </c>
      <c r="AJ42" s="78">
        <v>344</v>
      </c>
      <c r="AK42" s="78">
        <v>102</v>
      </c>
      <c r="AL42" s="78">
        <v>445</v>
      </c>
      <c r="AM42" s="78">
        <v>25583</v>
      </c>
      <c r="AN42" s="78">
        <v>25583</v>
      </c>
      <c r="AO42" s="78">
        <v>0</v>
      </c>
      <c r="AP42" s="78">
        <v>0</v>
      </c>
      <c r="AQ42" s="78">
        <v>0</v>
      </c>
      <c r="AR42" s="78">
        <v>0</v>
      </c>
      <c r="AS42" s="78">
        <v>1516</v>
      </c>
      <c r="AT42" s="78">
        <v>0</v>
      </c>
      <c r="AU42" s="400">
        <v>9.8067399999999996E-4</v>
      </c>
      <c r="AV42" s="400">
        <v>1.7514430000000001E-3</v>
      </c>
      <c r="AW42" s="78">
        <v>30674.017</v>
      </c>
      <c r="AX42" s="78">
        <v>0</v>
      </c>
      <c r="AY42" s="78">
        <v>3459</v>
      </c>
      <c r="AZ42" s="78">
        <v>14906.2159381045</v>
      </c>
      <c r="BA42" s="78">
        <v>17</v>
      </c>
      <c r="BB42" s="78">
        <v>17</v>
      </c>
      <c r="BC42" s="78">
        <v>5131</v>
      </c>
      <c r="BD42" s="78">
        <v>1</v>
      </c>
      <c r="BE42" s="78">
        <v>0</v>
      </c>
      <c r="BF42" s="78">
        <v>0</v>
      </c>
      <c r="BG42" s="78">
        <v>0</v>
      </c>
      <c r="BH42" s="78">
        <v>0</v>
      </c>
      <c r="BI42" s="78">
        <v>0</v>
      </c>
      <c r="BJ42" s="78">
        <v>0</v>
      </c>
      <c r="BK42" s="78">
        <v>0</v>
      </c>
      <c r="BL42" s="78">
        <v>0</v>
      </c>
      <c r="BM42" s="78">
        <v>1474.798</v>
      </c>
      <c r="BN42" s="78">
        <v>361</v>
      </c>
      <c r="BO42" s="78">
        <v>183</v>
      </c>
      <c r="BP42" s="78">
        <v>13636.56</v>
      </c>
      <c r="BQ42" s="78">
        <v>3071.22</v>
      </c>
      <c r="BR42" s="78">
        <v>447.95482893171499</v>
      </c>
      <c r="BS42" s="78">
        <v>721</v>
      </c>
      <c r="BT42" s="78">
        <v>352</v>
      </c>
      <c r="BU42" s="78">
        <v>323.33333333333297</v>
      </c>
      <c r="BV42" s="78">
        <f t="shared" si="4"/>
        <v>3683</v>
      </c>
      <c r="BW42" s="78">
        <v>1127</v>
      </c>
      <c r="BX42" s="78">
        <v>11107.9388351119</v>
      </c>
      <c r="BY42" s="402">
        <v>3.54</v>
      </c>
      <c r="BZ42" s="78">
        <v>43602</v>
      </c>
      <c r="CA42" s="78">
        <v>6688</v>
      </c>
      <c r="CB42" s="78">
        <v>1501</v>
      </c>
      <c r="CC42" s="78">
        <v>1415</v>
      </c>
      <c r="CD42" s="78">
        <v>1275</v>
      </c>
      <c r="CE42" s="78">
        <v>738</v>
      </c>
      <c r="CF42" s="78">
        <v>986.960211859438</v>
      </c>
      <c r="CG42" s="78">
        <v>642.39289762733097</v>
      </c>
      <c r="CH42" s="78">
        <v>240.560845092444</v>
      </c>
      <c r="CI42" s="78">
        <v>2331.0740000000001</v>
      </c>
      <c r="CJ42" s="78">
        <v>1517.25</v>
      </c>
      <c r="CK42" s="78">
        <v>568.17399999999998</v>
      </c>
      <c r="CL42" s="78">
        <v>50145</v>
      </c>
    </row>
    <row r="43" spans="1:90" customFormat="1" x14ac:dyDescent="0.35">
      <c r="A43" s="72">
        <v>119</v>
      </c>
      <c r="B43" s="72" t="s">
        <v>199</v>
      </c>
      <c r="C43" s="72">
        <v>3</v>
      </c>
      <c r="D43" s="78">
        <v>2625200000</v>
      </c>
      <c r="E43" s="78">
        <v>494200000</v>
      </c>
      <c r="F43" s="78">
        <v>537600000</v>
      </c>
      <c r="G43" s="78">
        <v>33920</v>
      </c>
      <c r="H43" s="78">
        <v>2</v>
      </c>
      <c r="I43" s="78">
        <f t="shared" si="2"/>
        <v>537.6</v>
      </c>
      <c r="J43" s="78">
        <v>6872</v>
      </c>
      <c r="K43" s="78">
        <v>6777</v>
      </c>
      <c r="L43" s="78">
        <v>2108</v>
      </c>
      <c r="M43" s="78">
        <v>4900</v>
      </c>
      <c r="N43" s="78">
        <f t="shared" si="3"/>
        <v>3290.1</v>
      </c>
      <c r="O43" s="78">
        <v>725</v>
      </c>
      <c r="P43" s="78">
        <v>33</v>
      </c>
      <c r="Q43" s="78">
        <v>2704</v>
      </c>
      <c r="R43" s="78">
        <v>5657</v>
      </c>
      <c r="S43" s="78">
        <v>1215</v>
      </c>
      <c r="T43" s="78">
        <v>0</v>
      </c>
      <c r="U43" s="78">
        <v>1175</v>
      </c>
      <c r="V43" s="78">
        <v>15998</v>
      </c>
      <c r="W43" s="78">
        <v>38150</v>
      </c>
      <c r="X43" s="78">
        <v>39740</v>
      </c>
      <c r="Y43" s="78">
        <v>845.38</v>
      </c>
      <c r="Z43" s="78">
        <v>2807.2</v>
      </c>
      <c r="AA43" s="78">
        <v>0</v>
      </c>
      <c r="AB43" s="399">
        <v>0</v>
      </c>
      <c r="AC43" s="399">
        <v>0</v>
      </c>
      <c r="AD43" s="78">
        <v>5546</v>
      </c>
      <c r="AE43" s="78">
        <v>5546</v>
      </c>
      <c r="AF43" s="78">
        <v>156</v>
      </c>
      <c r="AG43" s="78">
        <v>0</v>
      </c>
      <c r="AH43" s="78">
        <v>190</v>
      </c>
      <c r="AI43" s="78">
        <v>49</v>
      </c>
      <c r="AJ43" s="78">
        <v>190</v>
      </c>
      <c r="AK43" s="78">
        <v>49</v>
      </c>
      <c r="AL43" s="78">
        <v>239</v>
      </c>
      <c r="AM43" s="78">
        <v>16099</v>
      </c>
      <c r="AN43" s="78">
        <v>16099</v>
      </c>
      <c r="AO43" s="78">
        <v>17</v>
      </c>
      <c r="AP43" s="78">
        <v>0</v>
      </c>
      <c r="AQ43" s="78">
        <v>0</v>
      </c>
      <c r="AR43" s="78">
        <v>2550</v>
      </c>
      <c r="AS43" s="78">
        <v>2928</v>
      </c>
      <c r="AT43" s="78">
        <v>2928</v>
      </c>
      <c r="AU43" s="400">
        <v>1.105413E-3</v>
      </c>
      <c r="AV43" s="400">
        <v>1.3186529999999999E-3</v>
      </c>
      <c r="AW43" s="78">
        <v>20526.224999999999</v>
      </c>
      <c r="AX43" s="78">
        <v>0</v>
      </c>
      <c r="AY43" s="78">
        <v>1783</v>
      </c>
      <c r="AZ43" s="78">
        <v>10606.6923886356</v>
      </c>
      <c r="BA43" s="78">
        <v>5</v>
      </c>
      <c r="BB43" s="78">
        <v>5</v>
      </c>
      <c r="BC43" s="78">
        <v>3527</v>
      </c>
      <c r="BD43" s="78">
        <v>1</v>
      </c>
      <c r="BE43" s="78">
        <v>0</v>
      </c>
      <c r="BF43" s="78">
        <v>0</v>
      </c>
      <c r="BG43" s="78">
        <v>0</v>
      </c>
      <c r="BH43" s="78">
        <v>0</v>
      </c>
      <c r="BI43" s="78">
        <v>0</v>
      </c>
      <c r="BJ43" s="78">
        <v>0</v>
      </c>
      <c r="BK43" s="78">
        <v>0</v>
      </c>
      <c r="BL43" s="78">
        <v>0</v>
      </c>
      <c r="BM43" s="78">
        <v>749.048</v>
      </c>
      <c r="BN43" s="78">
        <v>131</v>
      </c>
      <c r="BO43" s="78">
        <v>69</v>
      </c>
      <c r="BP43" s="78">
        <v>9408.64</v>
      </c>
      <c r="BQ43" s="78">
        <v>2267.96</v>
      </c>
      <c r="BR43" s="78">
        <v>392.12405217052799</v>
      </c>
      <c r="BS43" s="78">
        <v>452</v>
      </c>
      <c r="BT43" s="78">
        <v>197</v>
      </c>
      <c r="BU43" s="78">
        <v>179</v>
      </c>
      <c r="BV43" s="78">
        <f t="shared" si="4"/>
        <v>1979</v>
      </c>
      <c r="BW43" s="78">
        <v>626</v>
      </c>
      <c r="BX43" s="78">
        <v>5415.1535693004398</v>
      </c>
      <c r="BY43" s="402">
        <v>1.7230000000000001</v>
      </c>
      <c r="BZ43" s="78">
        <v>27143</v>
      </c>
      <c r="CA43" s="78">
        <v>3895</v>
      </c>
      <c r="CB43" s="78">
        <v>774</v>
      </c>
      <c r="CC43" s="78">
        <v>882</v>
      </c>
      <c r="CD43" s="78">
        <v>709</v>
      </c>
      <c r="CE43" s="78">
        <v>382</v>
      </c>
      <c r="CF43" s="78">
        <v>495.18058885645098</v>
      </c>
      <c r="CG43" s="78">
        <v>286.93089011739897</v>
      </c>
      <c r="CH43" s="78">
        <v>108.314367352009</v>
      </c>
      <c r="CI43" s="78">
        <v>1240.3336999999999</v>
      </c>
      <c r="CJ43" s="78">
        <v>718.70759999999996</v>
      </c>
      <c r="CK43" s="78">
        <v>271.30700000000002</v>
      </c>
      <c r="CL43" s="78">
        <v>89751</v>
      </c>
    </row>
    <row r="44" spans="1:90" customFormat="1" x14ac:dyDescent="0.35">
      <c r="A44" s="72">
        <v>1731</v>
      </c>
      <c r="B44" s="72" t="s">
        <v>201</v>
      </c>
      <c r="C44" s="72">
        <v>3</v>
      </c>
      <c r="D44" s="78">
        <v>2618000000</v>
      </c>
      <c r="E44" s="78">
        <v>479500000</v>
      </c>
      <c r="F44" s="78">
        <v>571200000</v>
      </c>
      <c r="G44" s="78">
        <v>33185</v>
      </c>
      <c r="H44" s="78">
        <v>6</v>
      </c>
      <c r="I44" s="78">
        <f t="shared" si="2"/>
        <v>571.20000000000005</v>
      </c>
      <c r="J44" s="78">
        <v>6057</v>
      </c>
      <c r="K44" s="78">
        <v>7902</v>
      </c>
      <c r="L44" s="78">
        <v>2453</v>
      </c>
      <c r="M44" s="78">
        <v>4208</v>
      </c>
      <c r="N44" s="78">
        <f t="shared" si="3"/>
        <v>2598.1</v>
      </c>
      <c r="O44" s="78">
        <v>452.66666666666703</v>
      </c>
      <c r="P44" s="78">
        <v>29</v>
      </c>
      <c r="Q44" s="78">
        <v>2108.6666666666702</v>
      </c>
      <c r="R44" s="78">
        <v>4384</v>
      </c>
      <c r="S44" s="78">
        <v>410</v>
      </c>
      <c r="T44" s="78">
        <v>0</v>
      </c>
      <c r="U44" s="78">
        <v>806</v>
      </c>
      <c r="V44" s="78">
        <v>14985</v>
      </c>
      <c r="W44" s="78">
        <v>29730</v>
      </c>
      <c r="X44" s="78">
        <v>12050</v>
      </c>
      <c r="Y44" s="78">
        <v>0</v>
      </c>
      <c r="Z44" s="78">
        <v>536.79999999999995</v>
      </c>
      <c r="AA44" s="78">
        <v>0</v>
      </c>
      <c r="AB44" s="399">
        <v>0</v>
      </c>
      <c r="AC44" s="399">
        <v>0</v>
      </c>
      <c r="AD44" s="78">
        <v>34066</v>
      </c>
      <c r="AE44" s="78">
        <v>34066</v>
      </c>
      <c r="AF44" s="78">
        <v>522</v>
      </c>
      <c r="AG44" s="78">
        <v>0</v>
      </c>
      <c r="AH44" s="78">
        <v>218</v>
      </c>
      <c r="AI44" s="78">
        <v>191</v>
      </c>
      <c r="AJ44" s="78">
        <v>218</v>
      </c>
      <c r="AK44" s="78">
        <v>191</v>
      </c>
      <c r="AL44" s="78">
        <v>409</v>
      </c>
      <c r="AM44" s="78">
        <v>16099</v>
      </c>
      <c r="AN44" s="78">
        <v>16099</v>
      </c>
      <c r="AO44" s="78">
        <v>0</v>
      </c>
      <c r="AP44" s="78">
        <v>0</v>
      </c>
      <c r="AQ44" s="78">
        <v>0</v>
      </c>
      <c r="AR44" s="78">
        <v>0</v>
      </c>
      <c r="AS44" s="78">
        <v>1001</v>
      </c>
      <c r="AT44" s="78">
        <v>0</v>
      </c>
      <c r="AU44" s="400">
        <v>7.2021599999999998E-4</v>
      </c>
      <c r="AV44" s="400">
        <v>2.6642899999999999E-4</v>
      </c>
      <c r="AW44" s="78">
        <v>6455.6989999999996</v>
      </c>
      <c r="AX44" s="78">
        <v>0</v>
      </c>
      <c r="AY44" s="78">
        <v>5107</v>
      </c>
      <c r="AZ44" s="78">
        <v>4899.8437319301502</v>
      </c>
      <c r="BA44" s="78">
        <v>29</v>
      </c>
      <c r="BB44" s="78">
        <v>29</v>
      </c>
      <c r="BC44" s="78">
        <v>3648</v>
      </c>
      <c r="BD44" s="78">
        <v>1</v>
      </c>
      <c r="BE44" s="78">
        <v>0</v>
      </c>
      <c r="BF44" s="78">
        <v>0</v>
      </c>
      <c r="BG44" s="78">
        <v>0</v>
      </c>
      <c r="BH44" s="78">
        <v>0</v>
      </c>
      <c r="BI44" s="78">
        <v>0</v>
      </c>
      <c r="BJ44" s="78">
        <v>0</v>
      </c>
      <c r="BK44" s="78">
        <v>0</v>
      </c>
      <c r="BL44" s="78">
        <v>0</v>
      </c>
      <c r="BM44" s="78">
        <v>563.30100000000004</v>
      </c>
      <c r="BN44" s="78">
        <v>43</v>
      </c>
      <c r="BO44" s="78">
        <v>44</v>
      </c>
      <c r="BP44" s="78">
        <v>9270.4</v>
      </c>
      <c r="BQ44" s="78">
        <v>2045.94</v>
      </c>
      <c r="BR44" s="78">
        <v>181.336512064343</v>
      </c>
      <c r="BS44" s="78">
        <v>330</v>
      </c>
      <c r="BT44" s="78">
        <v>124</v>
      </c>
      <c r="BU44" s="78">
        <v>90.3333333333333</v>
      </c>
      <c r="BV44" s="78">
        <f t="shared" si="4"/>
        <v>1656.0000000000032</v>
      </c>
      <c r="BW44" s="78">
        <v>469</v>
      </c>
      <c r="BX44" s="78">
        <v>5683.8389414672401</v>
      </c>
      <c r="BY44" s="402">
        <v>1.046</v>
      </c>
      <c r="BZ44" s="78">
        <v>25283</v>
      </c>
      <c r="CA44" s="78">
        <v>4605</v>
      </c>
      <c r="CB44" s="78">
        <v>844</v>
      </c>
      <c r="CC44" s="78">
        <v>815</v>
      </c>
      <c r="CD44" s="78">
        <v>745</v>
      </c>
      <c r="CE44" s="78">
        <v>427</v>
      </c>
      <c r="CF44" s="78">
        <v>444.93208894962402</v>
      </c>
      <c r="CG44" s="78">
        <v>260.63305174234398</v>
      </c>
      <c r="CH44" s="78">
        <v>96.022703273495196</v>
      </c>
      <c r="CI44" s="78">
        <v>1316.4675</v>
      </c>
      <c r="CJ44" s="78">
        <v>771.16250000000002</v>
      </c>
      <c r="CK44" s="78">
        <v>284.11250000000001</v>
      </c>
      <c r="CL44" s="78">
        <v>26385</v>
      </c>
    </row>
    <row r="45" spans="1:90" customFormat="1" x14ac:dyDescent="0.35">
      <c r="A45" s="72">
        <v>1699</v>
      </c>
      <c r="B45" s="72" t="s">
        <v>219</v>
      </c>
      <c r="C45" s="72">
        <v>3</v>
      </c>
      <c r="D45" s="78">
        <v>2846400000</v>
      </c>
      <c r="E45" s="78">
        <v>524650000</v>
      </c>
      <c r="F45" s="78">
        <v>546700000</v>
      </c>
      <c r="G45" s="78">
        <v>31253</v>
      </c>
      <c r="H45" s="78">
        <v>3</v>
      </c>
      <c r="I45" s="78">
        <f t="shared" si="2"/>
        <v>546.70000000000005</v>
      </c>
      <c r="J45" s="78">
        <v>5689</v>
      </c>
      <c r="K45" s="78">
        <v>8477</v>
      </c>
      <c r="L45" s="78">
        <v>2980</v>
      </c>
      <c r="M45" s="78">
        <v>4571</v>
      </c>
      <c r="N45" s="78">
        <f t="shared" si="3"/>
        <v>3063.1</v>
      </c>
      <c r="O45" s="78">
        <v>546</v>
      </c>
      <c r="P45" s="78">
        <v>20</v>
      </c>
      <c r="Q45" s="78">
        <v>1852</v>
      </c>
      <c r="R45" s="78">
        <v>4272</v>
      </c>
      <c r="S45" s="78">
        <v>495</v>
      </c>
      <c r="T45" s="78">
        <v>0</v>
      </c>
      <c r="U45" s="78">
        <v>872</v>
      </c>
      <c r="V45" s="78">
        <v>14456</v>
      </c>
      <c r="W45" s="78">
        <v>27720</v>
      </c>
      <c r="X45" s="78">
        <v>13220</v>
      </c>
      <c r="Y45" s="78">
        <v>698.72</v>
      </c>
      <c r="Z45" s="78">
        <v>461.6</v>
      </c>
      <c r="AA45" s="78">
        <v>0</v>
      </c>
      <c r="AB45" s="399">
        <v>0</v>
      </c>
      <c r="AC45" s="399">
        <v>122.69999999999999</v>
      </c>
      <c r="AD45" s="78">
        <v>19905</v>
      </c>
      <c r="AE45" s="78">
        <v>19905</v>
      </c>
      <c r="AF45" s="78">
        <v>625</v>
      </c>
      <c r="AG45" s="78">
        <v>0</v>
      </c>
      <c r="AH45" s="78">
        <v>196</v>
      </c>
      <c r="AI45" s="78">
        <v>100</v>
      </c>
      <c r="AJ45" s="78">
        <v>196</v>
      </c>
      <c r="AK45" s="78">
        <v>100</v>
      </c>
      <c r="AL45" s="78">
        <v>296</v>
      </c>
      <c r="AM45" s="78">
        <v>15079</v>
      </c>
      <c r="AN45" s="78">
        <v>15079</v>
      </c>
      <c r="AO45" s="78">
        <v>0</v>
      </c>
      <c r="AP45" s="78">
        <v>0</v>
      </c>
      <c r="AQ45" s="78">
        <v>0</v>
      </c>
      <c r="AR45" s="78">
        <v>0</v>
      </c>
      <c r="AS45" s="78">
        <v>0</v>
      </c>
      <c r="AT45" s="78">
        <v>0</v>
      </c>
      <c r="AU45" s="400">
        <v>6.55228E-4</v>
      </c>
      <c r="AV45" s="400">
        <v>3.3366E-4</v>
      </c>
      <c r="AW45" s="78">
        <v>10283.878000000001</v>
      </c>
      <c r="AX45" s="78">
        <v>0</v>
      </c>
      <c r="AY45" s="78">
        <v>4676</v>
      </c>
      <c r="AZ45" s="78">
        <v>7371.0192888455904</v>
      </c>
      <c r="BA45" s="78">
        <v>19</v>
      </c>
      <c r="BB45" s="78">
        <v>19</v>
      </c>
      <c r="BC45" s="78">
        <v>3360</v>
      </c>
      <c r="BD45" s="78">
        <v>1</v>
      </c>
      <c r="BE45" s="78">
        <v>0</v>
      </c>
      <c r="BF45" s="78">
        <v>0</v>
      </c>
      <c r="BG45" s="78">
        <v>0</v>
      </c>
      <c r="BH45" s="78">
        <v>0</v>
      </c>
      <c r="BI45" s="78">
        <v>0</v>
      </c>
      <c r="BJ45" s="78">
        <v>0</v>
      </c>
      <c r="BK45" s="78">
        <v>0</v>
      </c>
      <c r="BL45" s="78">
        <v>0</v>
      </c>
      <c r="BM45" s="78">
        <v>625.79</v>
      </c>
      <c r="BN45" s="78">
        <v>61</v>
      </c>
      <c r="BO45" s="78">
        <v>95</v>
      </c>
      <c r="BP45" s="78">
        <v>9459.48</v>
      </c>
      <c r="BQ45" s="78">
        <v>1966.64</v>
      </c>
      <c r="BR45" s="78">
        <v>214.285666666667</v>
      </c>
      <c r="BS45" s="78">
        <v>324</v>
      </c>
      <c r="BT45" s="78">
        <v>154.666666666667</v>
      </c>
      <c r="BU45" s="78">
        <v>117</v>
      </c>
      <c r="BV45" s="78">
        <f t="shared" si="4"/>
        <v>1306</v>
      </c>
      <c r="BW45" s="78">
        <v>412</v>
      </c>
      <c r="BX45" s="78">
        <v>5431.7694023649701</v>
      </c>
      <c r="BY45" s="402">
        <v>1.3120000000000001</v>
      </c>
      <c r="BZ45" s="78">
        <v>22776</v>
      </c>
      <c r="CA45" s="78">
        <v>4515</v>
      </c>
      <c r="CB45" s="78">
        <v>982</v>
      </c>
      <c r="CC45" s="78">
        <v>869</v>
      </c>
      <c r="CD45" s="78">
        <v>872</v>
      </c>
      <c r="CE45" s="78">
        <v>445</v>
      </c>
      <c r="CF45" s="78">
        <v>555.37604615690702</v>
      </c>
      <c r="CG45" s="78">
        <v>397.741879434976</v>
      </c>
      <c r="CH45" s="78">
        <v>138.94557994562001</v>
      </c>
      <c r="CI45" s="78">
        <v>1217.4502</v>
      </c>
      <c r="CJ45" s="78">
        <v>871.89739999999995</v>
      </c>
      <c r="CK45" s="78">
        <v>304.58519999999999</v>
      </c>
      <c r="CL45" s="78">
        <v>3969</v>
      </c>
    </row>
    <row r="46" spans="1:90" customFormat="1" x14ac:dyDescent="0.35">
      <c r="A46" s="72">
        <v>1730</v>
      </c>
      <c r="B46" s="72" t="s">
        <v>299</v>
      </c>
      <c r="C46" s="72">
        <v>3</v>
      </c>
      <c r="D46" s="78">
        <v>3296000000</v>
      </c>
      <c r="E46" s="78">
        <v>364000000</v>
      </c>
      <c r="F46" s="78">
        <v>404950000</v>
      </c>
      <c r="G46" s="78">
        <v>33887</v>
      </c>
      <c r="H46" s="78">
        <v>4</v>
      </c>
      <c r="I46" s="78">
        <f t="shared" si="2"/>
        <v>404.95</v>
      </c>
      <c r="J46" s="78">
        <v>7022</v>
      </c>
      <c r="K46" s="78">
        <v>8260</v>
      </c>
      <c r="L46" s="78">
        <v>2712</v>
      </c>
      <c r="M46" s="78">
        <v>3761</v>
      </c>
      <c r="N46" s="78">
        <f t="shared" si="3"/>
        <v>2182.8000000000002</v>
      </c>
      <c r="O46" s="78">
        <v>448</v>
      </c>
      <c r="P46" s="78">
        <v>18</v>
      </c>
      <c r="Q46" s="78">
        <v>1904</v>
      </c>
      <c r="R46" s="78">
        <v>4209</v>
      </c>
      <c r="S46" s="78">
        <v>535</v>
      </c>
      <c r="T46" s="78">
        <v>0</v>
      </c>
      <c r="U46" s="78">
        <v>886</v>
      </c>
      <c r="V46" s="78">
        <v>15333</v>
      </c>
      <c r="W46" s="78">
        <v>28600</v>
      </c>
      <c r="X46" s="78">
        <v>9180</v>
      </c>
      <c r="Y46" s="78">
        <v>176.25239999999999</v>
      </c>
      <c r="Z46" s="78">
        <v>65.599999999999994</v>
      </c>
      <c r="AA46" s="78">
        <v>0</v>
      </c>
      <c r="AB46" s="399">
        <v>0</v>
      </c>
      <c r="AC46" s="399">
        <v>0</v>
      </c>
      <c r="AD46" s="78">
        <v>14286</v>
      </c>
      <c r="AE46" s="78">
        <v>14286</v>
      </c>
      <c r="AF46" s="78">
        <v>484</v>
      </c>
      <c r="AG46" s="78">
        <v>0</v>
      </c>
      <c r="AH46" s="78">
        <v>206</v>
      </c>
      <c r="AI46" s="78">
        <v>77</v>
      </c>
      <c r="AJ46" s="78">
        <v>206</v>
      </c>
      <c r="AK46" s="78">
        <v>77</v>
      </c>
      <c r="AL46" s="78">
        <v>282</v>
      </c>
      <c r="AM46" s="78">
        <v>15782</v>
      </c>
      <c r="AN46" s="78">
        <v>15782</v>
      </c>
      <c r="AO46" s="78">
        <v>0</v>
      </c>
      <c r="AP46" s="78">
        <v>0</v>
      </c>
      <c r="AQ46" s="78">
        <v>0</v>
      </c>
      <c r="AR46" s="78">
        <v>0</v>
      </c>
      <c r="AS46" s="78">
        <v>0</v>
      </c>
      <c r="AT46" s="78">
        <v>0</v>
      </c>
      <c r="AU46" s="400">
        <v>6.9887200000000001E-4</v>
      </c>
      <c r="AV46" s="400">
        <v>3.02849E-4</v>
      </c>
      <c r="AW46" s="78">
        <v>8048.82</v>
      </c>
      <c r="AX46" s="78">
        <v>0</v>
      </c>
      <c r="AY46" s="78">
        <v>3232</v>
      </c>
      <c r="AZ46" s="78">
        <v>7497.8142180094801</v>
      </c>
      <c r="BA46" s="78">
        <v>18</v>
      </c>
      <c r="BB46" s="78">
        <v>18</v>
      </c>
      <c r="BC46" s="78">
        <v>3793</v>
      </c>
      <c r="BD46" s="78">
        <v>1</v>
      </c>
      <c r="BE46" s="78">
        <v>0</v>
      </c>
      <c r="BF46" s="78">
        <v>0</v>
      </c>
      <c r="BG46" s="78">
        <v>0</v>
      </c>
      <c r="BH46" s="78">
        <v>0</v>
      </c>
      <c r="BI46" s="78">
        <v>0</v>
      </c>
      <c r="BJ46" s="78">
        <v>0</v>
      </c>
      <c r="BK46" s="78">
        <v>0</v>
      </c>
      <c r="BL46" s="78">
        <v>0</v>
      </c>
      <c r="BM46" s="78">
        <v>505.584</v>
      </c>
      <c r="BN46" s="78">
        <v>28</v>
      </c>
      <c r="BO46" s="78">
        <v>29</v>
      </c>
      <c r="BP46" s="78">
        <v>10586.44</v>
      </c>
      <c r="BQ46" s="78">
        <v>2796.63</v>
      </c>
      <c r="BR46" s="78">
        <v>218.380923794712</v>
      </c>
      <c r="BS46" s="78">
        <v>321</v>
      </c>
      <c r="BT46" s="78">
        <v>127</v>
      </c>
      <c r="BU46" s="78">
        <v>93.6666666666667</v>
      </c>
      <c r="BV46" s="78">
        <f t="shared" si="4"/>
        <v>1456</v>
      </c>
      <c r="BW46" s="78">
        <v>555</v>
      </c>
      <c r="BX46" s="78">
        <v>5284.7147569588697</v>
      </c>
      <c r="BY46" s="402">
        <v>1.0640000000000001</v>
      </c>
      <c r="BZ46" s="78">
        <v>25627</v>
      </c>
      <c r="CA46" s="78">
        <v>4433</v>
      </c>
      <c r="CB46" s="78">
        <v>1115</v>
      </c>
      <c r="CC46" s="78">
        <v>809</v>
      </c>
      <c r="CD46" s="78">
        <v>842</v>
      </c>
      <c r="CE46" s="78">
        <v>545</v>
      </c>
      <c r="CF46" s="78">
        <v>358.91306551767798</v>
      </c>
      <c r="CG46" s="78">
        <v>247.98887340007599</v>
      </c>
      <c r="CH46" s="78">
        <v>101.51914839690799</v>
      </c>
      <c r="CI46" s="78">
        <v>950.28899999999999</v>
      </c>
      <c r="CJ46" s="78">
        <v>656.59659999999997</v>
      </c>
      <c r="CK46" s="78">
        <v>268.79079999999999</v>
      </c>
      <c r="CL46" s="78">
        <v>92998</v>
      </c>
    </row>
    <row r="47" spans="1:90" customFormat="1" x14ac:dyDescent="0.35">
      <c r="A47" s="72">
        <v>1701</v>
      </c>
      <c r="B47" s="72" t="s">
        <v>337</v>
      </c>
      <c r="C47" s="72">
        <v>3</v>
      </c>
      <c r="D47" s="78">
        <v>1966000000</v>
      </c>
      <c r="E47" s="78">
        <v>236600000</v>
      </c>
      <c r="F47" s="78">
        <v>291200000</v>
      </c>
      <c r="G47" s="78">
        <v>19460</v>
      </c>
      <c r="H47" s="78">
        <v>4</v>
      </c>
      <c r="I47" s="78">
        <f t="shared" si="2"/>
        <v>291.2</v>
      </c>
      <c r="J47" s="78">
        <v>3142</v>
      </c>
      <c r="K47" s="78">
        <v>5585</v>
      </c>
      <c r="L47" s="78">
        <v>1822</v>
      </c>
      <c r="M47" s="78">
        <v>2635</v>
      </c>
      <c r="N47" s="78">
        <f t="shared" si="3"/>
        <v>1632.9</v>
      </c>
      <c r="O47" s="78">
        <v>231.666666666667</v>
      </c>
      <c r="P47" s="78">
        <v>13</v>
      </c>
      <c r="Q47" s="78">
        <v>1262.6666666666699</v>
      </c>
      <c r="R47" s="78">
        <v>2832</v>
      </c>
      <c r="S47" s="78">
        <v>205</v>
      </c>
      <c r="T47" s="78">
        <v>0</v>
      </c>
      <c r="U47" s="78">
        <v>395</v>
      </c>
      <c r="V47" s="78">
        <v>9224</v>
      </c>
      <c r="W47" s="78">
        <v>16390</v>
      </c>
      <c r="X47" s="78">
        <v>2340</v>
      </c>
      <c r="Y47" s="78">
        <v>0</v>
      </c>
      <c r="Z47" s="78">
        <v>164.8</v>
      </c>
      <c r="AA47" s="78">
        <v>0</v>
      </c>
      <c r="AB47" s="399">
        <v>0</v>
      </c>
      <c r="AC47" s="399">
        <v>0</v>
      </c>
      <c r="AD47" s="78">
        <v>27841</v>
      </c>
      <c r="AE47" s="78">
        <v>27841</v>
      </c>
      <c r="AF47" s="78">
        <v>433</v>
      </c>
      <c r="AG47" s="78">
        <v>0</v>
      </c>
      <c r="AH47" s="78">
        <v>114</v>
      </c>
      <c r="AI47" s="78">
        <v>116</v>
      </c>
      <c r="AJ47" s="78">
        <v>114</v>
      </c>
      <c r="AK47" s="78">
        <v>116</v>
      </c>
      <c r="AL47" s="78">
        <v>230</v>
      </c>
      <c r="AM47" s="78">
        <v>10021</v>
      </c>
      <c r="AN47" s="78">
        <v>10021</v>
      </c>
      <c r="AO47" s="78">
        <v>0</v>
      </c>
      <c r="AP47" s="78">
        <v>0</v>
      </c>
      <c r="AQ47" s="78">
        <v>0</v>
      </c>
      <c r="AR47" s="78">
        <v>0</v>
      </c>
      <c r="AS47" s="78">
        <v>0</v>
      </c>
      <c r="AT47" s="78">
        <v>0</v>
      </c>
      <c r="AU47" s="400">
        <v>5.2342199999999995E-4</v>
      </c>
      <c r="AV47" s="400">
        <v>1.2335100000000001E-4</v>
      </c>
      <c r="AW47" s="78">
        <v>2124.4520000000002</v>
      </c>
      <c r="AX47" s="78">
        <v>0</v>
      </c>
      <c r="AY47" s="78">
        <v>3897</v>
      </c>
      <c r="AZ47" s="78">
        <v>2682.1680696045801</v>
      </c>
      <c r="BA47" s="78">
        <v>29</v>
      </c>
      <c r="BB47" s="78">
        <v>29</v>
      </c>
      <c r="BC47" s="78">
        <v>2575</v>
      </c>
      <c r="BD47" s="78">
        <v>1</v>
      </c>
      <c r="BE47" s="78">
        <v>0</v>
      </c>
      <c r="BF47" s="78">
        <v>0</v>
      </c>
      <c r="BG47" s="78">
        <v>0</v>
      </c>
      <c r="BH47" s="78">
        <v>0</v>
      </c>
      <c r="BI47" s="78">
        <v>0</v>
      </c>
      <c r="BJ47" s="78">
        <v>0</v>
      </c>
      <c r="BK47" s="78">
        <v>0</v>
      </c>
      <c r="BL47" s="78">
        <v>0</v>
      </c>
      <c r="BM47" s="78">
        <v>298.49</v>
      </c>
      <c r="BN47" s="78">
        <v>40</v>
      </c>
      <c r="BO47" s="78">
        <v>9</v>
      </c>
      <c r="BP47" s="78">
        <v>5847.76</v>
      </c>
      <c r="BQ47" s="78">
        <v>1124.5</v>
      </c>
      <c r="BR47" s="78">
        <v>58.719945525291799</v>
      </c>
      <c r="BS47" s="78">
        <v>166</v>
      </c>
      <c r="BT47" s="78">
        <v>52</v>
      </c>
      <c r="BU47" s="78">
        <v>43.3333333333333</v>
      </c>
      <c r="BV47" s="78">
        <f t="shared" si="4"/>
        <v>1031.000000000003</v>
      </c>
      <c r="BW47" s="78">
        <v>318</v>
      </c>
      <c r="BX47" s="78">
        <v>3449.0908827785802</v>
      </c>
      <c r="BY47" s="402">
        <v>0.46899999999999997</v>
      </c>
      <c r="BZ47" s="78">
        <v>13875</v>
      </c>
      <c r="CA47" s="78">
        <v>3106</v>
      </c>
      <c r="CB47" s="78">
        <v>657</v>
      </c>
      <c r="CC47" s="78">
        <v>624</v>
      </c>
      <c r="CD47" s="78">
        <v>544</v>
      </c>
      <c r="CE47" s="78">
        <v>316</v>
      </c>
      <c r="CF47" s="78">
        <v>303.89766490370198</v>
      </c>
      <c r="CG47" s="78">
        <v>190.48598942221301</v>
      </c>
      <c r="CH47" s="78">
        <v>73.489462129527993</v>
      </c>
      <c r="CI47" s="78">
        <v>823.21100000000001</v>
      </c>
      <c r="CJ47" s="78">
        <v>515.99659999999994</v>
      </c>
      <c r="CK47" s="78">
        <v>199.07140000000001</v>
      </c>
      <c r="CL47" s="78">
        <v>41975</v>
      </c>
    </row>
    <row r="48" spans="1:90" customFormat="1" x14ac:dyDescent="0.35">
      <c r="A48" s="72">
        <v>141</v>
      </c>
      <c r="B48" s="72" t="s">
        <v>18</v>
      </c>
      <c r="C48" s="72">
        <v>4</v>
      </c>
      <c r="D48" s="78">
        <v>4856400000</v>
      </c>
      <c r="E48" s="78">
        <v>1245300000</v>
      </c>
      <c r="F48" s="78">
        <v>1311100000</v>
      </c>
      <c r="G48" s="78">
        <v>73107</v>
      </c>
      <c r="H48" s="78">
        <v>1</v>
      </c>
      <c r="I48" s="78">
        <f t="shared" si="2"/>
        <v>1311.1</v>
      </c>
      <c r="J48" s="78">
        <v>14439</v>
      </c>
      <c r="K48" s="78">
        <v>14498</v>
      </c>
      <c r="L48" s="78">
        <v>4618</v>
      </c>
      <c r="M48" s="78">
        <v>12194</v>
      </c>
      <c r="N48" s="78">
        <f t="shared" si="3"/>
        <v>8824.9</v>
      </c>
      <c r="O48" s="78">
        <v>2683.3333333333298</v>
      </c>
      <c r="P48" s="78">
        <v>105</v>
      </c>
      <c r="Q48" s="78">
        <v>8317.3333333333303</v>
      </c>
      <c r="R48" s="78">
        <v>11963</v>
      </c>
      <c r="S48" s="78">
        <v>7860</v>
      </c>
      <c r="T48" s="78">
        <v>0</v>
      </c>
      <c r="U48" s="78">
        <v>2669</v>
      </c>
      <c r="V48" s="78">
        <v>34023</v>
      </c>
      <c r="W48" s="78">
        <v>83570</v>
      </c>
      <c r="X48" s="78">
        <v>115910</v>
      </c>
      <c r="Y48" s="78">
        <v>3523.9</v>
      </c>
      <c r="Z48" s="78">
        <v>4708.8</v>
      </c>
      <c r="AA48" s="78">
        <v>0</v>
      </c>
      <c r="AB48" s="399">
        <v>0</v>
      </c>
      <c r="AC48" s="399">
        <v>0</v>
      </c>
      <c r="AD48" s="78">
        <v>6715</v>
      </c>
      <c r="AE48" s="78">
        <v>6715</v>
      </c>
      <c r="AF48" s="78">
        <v>225</v>
      </c>
      <c r="AG48" s="78">
        <v>0</v>
      </c>
      <c r="AH48" s="78">
        <v>409</v>
      </c>
      <c r="AI48" s="78">
        <v>145</v>
      </c>
      <c r="AJ48" s="78">
        <v>409</v>
      </c>
      <c r="AK48" s="78">
        <v>145</v>
      </c>
      <c r="AL48" s="78">
        <v>554</v>
      </c>
      <c r="AM48" s="78">
        <v>33691</v>
      </c>
      <c r="AN48" s="78">
        <v>33691</v>
      </c>
      <c r="AO48" s="78">
        <v>10</v>
      </c>
      <c r="AP48" s="78">
        <v>0</v>
      </c>
      <c r="AQ48" s="78">
        <v>0</v>
      </c>
      <c r="AR48" s="78">
        <v>0</v>
      </c>
      <c r="AS48" s="78">
        <v>7097</v>
      </c>
      <c r="AT48" s="78">
        <v>7097</v>
      </c>
      <c r="AU48" s="400">
        <v>4.3936779999999998E-3</v>
      </c>
      <c r="AV48" s="400">
        <v>6.5105689999999999E-3</v>
      </c>
      <c r="AW48" s="78">
        <v>53568.69</v>
      </c>
      <c r="AX48" s="78">
        <v>0</v>
      </c>
      <c r="AY48" s="78">
        <v>1998</v>
      </c>
      <c r="AZ48" s="78">
        <v>21047.231412103702</v>
      </c>
      <c r="BA48" s="78">
        <v>3</v>
      </c>
      <c r="BB48" s="78">
        <v>3</v>
      </c>
      <c r="BC48" s="78">
        <v>6615</v>
      </c>
      <c r="BD48" s="78">
        <v>1</v>
      </c>
      <c r="BE48" s="78">
        <v>0</v>
      </c>
      <c r="BF48" s="78">
        <v>0</v>
      </c>
      <c r="BG48" s="78">
        <v>0</v>
      </c>
      <c r="BH48" s="78">
        <v>0</v>
      </c>
      <c r="BI48" s="78">
        <v>0</v>
      </c>
      <c r="BJ48" s="78">
        <v>0</v>
      </c>
      <c r="BK48" s="78">
        <v>0</v>
      </c>
      <c r="BL48" s="78">
        <v>0</v>
      </c>
      <c r="BM48" s="78">
        <v>2526.8249999999998</v>
      </c>
      <c r="BN48" s="78">
        <v>421</v>
      </c>
      <c r="BO48" s="78">
        <v>332</v>
      </c>
      <c r="BP48" s="78">
        <v>17992.7</v>
      </c>
      <c r="BQ48" s="78">
        <v>4149.3599999999997</v>
      </c>
      <c r="BR48" s="78">
        <v>759.28290905935398</v>
      </c>
      <c r="BS48" s="78">
        <v>1050</v>
      </c>
      <c r="BT48" s="78">
        <v>735.33333333333303</v>
      </c>
      <c r="BU48" s="78">
        <v>659.33333333333303</v>
      </c>
      <c r="BV48" s="78">
        <f t="shared" si="4"/>
        <v>5634</v>
      </c>
      <c r="BW48" s="78">
        <v>1702</v>
      </c>
      <c r="BX48" s="78">
        <v>14287.541789729399</v>
      </c>
      <c r="BY48" s="402">
        <v>8.5169999999999995</v>
      </c>
      <c r="BZ48" s="78">
        <v>58609</v>
      </c>
      <c r="CA48" s="78">
        <v>8244</v>
      </c>
      <c r="CB48" s="78">
        <v>1636</v>
      </c>
      <c r="CC48" s="78">
        <v>2019</v>
      </c>
      <c r="CD48" s="78">
        <v>1669</v>
      </c>
      <c r="CE48" s="78">
        <v>898</v>
      </c>
      <c r="CF48" s="78">
        <v>1364.1648867650099</v>
      </c>
      <c r="CG48" s="78">
        <v>833.48169540826905</v>
      </c>
      <c r="CH48" s="78">
        <v>322.44373571577</v>
      </c>
      <c r="CI48" s="78">
        <v>3010.2240000000002</v>
      </c>
      <c r="CJ48" s="78">
        <v>1839.1959999999999</v>
      </c>
      <c r="CK48" s="78">
        <v>711.51800000000003</v>
      </c>
      <c r="CL48" s="78">
        <v>125655</v>
      </c>
    </row>
    <row r="49" spans="1:90" customFormat="1" x14ac:dyDescent="0.35">
      <c r="A49" s="72">
        <v>147</v>
      </c>
      <c r="B49" s="72" t="s">
        <v>56</v>
      </c>
      <c r="C49" s="72">
        <v>4</v>
      </c>
      <c r="D49" s="78">
        <v>2050400000</v>
      </c>
      <c r="E49" s="78">
        <v>231000000</v>
      </c>
      <c r="F49" s="78">
        <v>243950000</v>
      </c>
      <c r="G49" s="78">
        <v>23312</v>
      </c>
      <c r="H49" s="78">
        <v>1</v>
      </c>
      <c r="I49" s="78">
        <f t="shared" si="2"/>
        <v>243.95</v>
      </c>
      <c r="J49" s="78">
        <v>4942</v>
      </c>
      <c r="K49" s="78">
        <v>5139</v>
      </c>
      <c r="L49" s="78">
        <v>1732</v>
      </c>
      <c r="M49" s="78">
        <v>2660</v>
      </c>
      <c r="N49" s="78">
        <f t="shared" si="3"/>
        <v>1661.1</v>
      </c>
      <c r="O49" s="78">
        <v>314.66666666666703</v>
      </c>
      <c r="P49" s="78">
        <v>41</v>
      </c>
      <c r="Q49" s="78">
        <v>1463.6666666666699</v>
      </c>
      <c r="R49" s="78">
        <v>2724</v>
      </c>
      <c r="S49" s="78">
        <v>615</v>
      </c>
      <c r="T49" s="78">
        <v>0</v>
      </c>
      <c r="U49" s="78">
        <v>593</v>
      </c>
      <c r="V49" s="78">
        <v>10045</v>
      </c>
      <c r="W49" s="78">
        <v>21610</v>
      </c>
      <c r="X49" s="78">
        <v>13890</v>
      </c>
      <c r="Y49" s="78">
        <v>0</v>
      </c>
      <c r="Z49" s="78">
        <v>260</v>
      </c>
      <c r="AA49" s="78">
        <v>0</v>
      </c>
      <c r="AB49" s="399">
        <v>0</v>
      </c>
      <c r="AC49" s="399">
        <v>0</v>
      </c>
      <c r="AD49" s="78">
        <v>2597</v>
      </c>
      <c r="AE49" s="78">
        <v>2597</v>
      </c>
      <c r="AF49" s="78">
        <v>19</v>
      </c>
      <c r="AG49" s="78">
        <v>0</v>
      </c>
      <c r="AH49" s="78">
        <v>123</v>
      </c>
      <c r="AI49" s="78">
        <v>20</v>
      </c>
      <c r="AJ49" s="78">
        <v>123</v>
      </c>
      <c r="AK49" s="78">
        <v>20</v>
      </c>
      <c r="AL49" s="78">
        <v>144</v>
      </c>
      <c r="AM49" s="78">
        <v>9989</v>
      </c>
      <c r="AN49" s="78">
        <v>9989</v>
      </c>
      <c r="AO49" s="78">
        <v>0</v>
      </c>
      <c r="AP49" s="78">
        <v>0</v>
      </c>
      <c r="AQ49" s="78">
        <v>0</v>
      </c>
      <c r="AR49" s="78">
        <v>0</v>
      </c>
      <c r="AS49" s="78">
        <v>1224</v>
      </c>
      <c r="AT49" s="78">
        <v>0</v>
      </c>
      <c r="AU49" s="400">
        <v>3.2157099999999999E-4</v>
      </c>
      <c r="AV49" s="400">
        <v>1.6967100000000001E-4</v>
      </c>
      <c r="AW49" s="78">
        <v>12266.492</v>
      </c>
      <c r="AX49" s="78">
        <v>0</v>
      </c>
      <c r="AY49" s="78">
        <v>406</v>
      </c>
      <c r="AZ49" s="78">
        <v>3617.9938837920499</v>
      </c>
      <c r="BA49" s="78">
        <v>3</v>
      </c>
      <c r="BB49" s="78">
        <v>3</v>
      </c>
      <c r="BC49" s="78">
        <v>2181</v>
      </c>
      <c r="BD49" s="78">
        <v>1</v>
      </c>
      <c r="BE49" s="78">
        <v>0</v>
      </c>
      <c r="BF49" s="78">
        <v>0</v>
      </c>
      <c r="BG49" s="78">
        <v>0</v>
      </c>
      <c r="BH49" s="78">
        <v>0</v>
      </c>
      <c r="BI49" s="78">
        <v>0</v>
      </c>
      <c r="BJ49" s="78">
        <v>0</v>
      </c>
      <c r="BK49" s="78">
        <v>0</v>
      </c>
      <c r="BL49" s="78">
        <v>0</v>
      </c>
      <c r="BM49" s="78">
        <v>420.07</v>
      </c>
      <c r="BN49" s="78">
        <v>60</v>
      </c>
      <c r="BO49" s="78">
        <v>26</v>
      </c>
      <c r="BP49" s="78">
        <v>6913.98</v>
      </c>
      <c r="BQ49" s="78">
        <v>1821.06</v>
      </c>
      <c r="BR49" s="78">
        <v>138.525112068966</v>
      </c>
      <c r="BS49" s="78">
        <v>237</v>
      </c>
      <c r="BT49" s="78">
        <v>92.3333333333333</v>
      </c>
      <c r="BU49" s="78">
        <v>64.3333333333333</v>
      </c>
      <c r="BV49" s="78">
        <f t="shared" si="4"/>
        <v>1149.000000000003</v>
      </c>
      <c r="BW49" s="78">
        <v>361</v>
      </c>
      <c r="BX49" s="78">
        <v>3772.3054545454502</v>
      </c>
      <c r="BY49" s="402">
        <v>0.57099999999999995</v>
      </c>
      <c r="BZ49" s="78">
        <v>18173</v>
      </c>
      <c r="CA49" s="78">
        <v>2860</v>
      </c>
      <c r="CB49" s="78">
        <v>547</v>
      </c>
      <c r="CC49" s="78">
        <v>502</v>
      </c>
      <c r="CD49" s="78">
        <v>532</v>
      </c>
      <c r="CE49" s="78">
        <v>282</v>
      </c>
      <c r="CF49" s="78">
        <v>284.36089698668502</v>
      </c>
      <c r="CG49" s="78">
        <v>186.248072880168</v>
      </c>
      <c r="CH49" s="78">
        <v>68.678976874561997</v>
      </c>
      <c r="CI49" s="78">
        <v>728.63099999999997</v>
      </c>
      <c r="CJ49" s="78">
        <v>477.23200000000003</v>
      </c>
      <c r="CK49" s="78">
        <v>175.97929999999999</v>
      </c>
      <c r="CL49" s="78">
        <v>0</v>
      </c>
    </row>
    <row r="50" spans="1:90" customFormat="1" x14ac:dyDescent="0.35">
      <c r="A50" s="72">
        <v>148</v>
      </c>
      <c r="B50" s="72" t="s">
        <v>74</v>
      </c>
      <c r="C50" s="72">
        <v>4</v>
      </c>
      <c r="D50" s="78">
        <v>2839600000</v>
      </c>
      <c r="E50" s="78">
        <v>403200000</v>
      </c>
      <c r="F50" s="78">
        <v>458150000</v>
      </c>
      <c r="G50" s="78">
        <v>28587</v>
      </c>
      <c r="H50" s="78">
        <v>3</v>
      </c>
      <c r="I50" s="78">
        <f t="shared" si="2"/>
        <v>458.15</v>
      </c>
      <c r="J50" s="78">
        <v>6028</v>
      </c>
      <c r="K50" s="78">
        <v>6066</v>
      </c>
      <c r="L50" s="78">
        <v>2052</v>
      </c>
      <c r="M50" s="78">
        <v>2959</v>
      </c>
      <c r="N50" s="78">
        <f t="shared" si="3"/>
        <v>1734.3</v>
      </c>
      <c r="O50" s="78">
        <v>241.666666666667</v>
      </c>
      <c r="P50" s="78">
        <v>27</v>
      </c>
      <c r="Q50" s="78">
        <v>1327.6666666666699</v>
      </c>
      <c r="R50" s="78">
        <v>3134</v>
      </c>
      <c r="S50" s="78">
        <v>335</v>
      </c>
      <c r="T50" s="78">
        <v>0</v>
      </c>
      <c r="U50" s="78">
        <v>517</v>
      </c>
      <c r="V50" s="78">
        <v>11847</v>
      </c>
      <c r="W50" s="78">
        <v>26410</v>
      </c>
      <c r="X50" s="78">
        <v>11470</v>
      </c>
      <c r="Y50" s="78">
        <v>0</v>
      </c>
      <c r="Z50" s="78">
        <v>204</v>
      </c>
      <c r="AA50" s="78">
        <v>0</v>
      </c>
      <c r="AB50" s="399">
        <v>0</v>
      </c>
      <c r="AC50" s="399">
        <v>30.599999999999994</v>
      </c>
      <c r="AD50" s="78">
        <v>16500</v>
      </c>
      <c r="AE50" s="78">
        <v>16500</v>
      </c>
      <c r="AF50" s="78">
        <v>151</v>
      </c>
      <c r="AG50" s="78">
        <v>0</v>
      </c>
      <c r="AH50" s="78">
        <v>166</v>
      </c>
      <c r="AI50" s="78">
        <v>174</v>
      </c>
      <c r="AJ50" s="78">
        <v>166</v>
      </c>
      <c r="AK50" s="78">
        <v>174</v>
      </c>
      <c r="AL50" s="78">
        <v>340</v>
      </c>
      <c r="AM50" s="78">
        <v>12247</v>
      </c>
      <c r="AN50" s="78">
        <v>12247</v>
      </c>
      <c r="AO50" s="78">
        <v>0</v>
      </c>
      <c r="AP50" s="78">
        <v>0</v>
      </c>
      <c r="AQ50" s="78">
        <v>0</v>
      </c>
      <c r="AR50" s="78">
        <v>0</v>
      </c>
      <c r="AS50" s="78">
        <v>0</v>
      </c>
      <c r="AT50" s="78">
        <v>0</v>
      </c>
      <c r="AU50" s="400">
        <v>3.6166699999999998E-4</v>
      </c>
      <c r="AV50" s="400">
        <v>1.35525E-4</v>
      </c>
      <c r="AW50" s="78">
        <v>6172.4880000000003</v>
      </c>
      <c r="AX50" s="78">
        <v>0</v>
      </c>
      <c r="AY50" s="78">
        <v>2258</v>
      </c>
      <c r="AZ50" s="78">
        <v>3876.6107741276801</v>
      </c>
      <c r="BA50" s="78">
        <v>10</v>
      </c>
      <c r="BB50" s="78">
        <v>10</v>
      </c>
      <c r="BC50" s="78">
        <v>3191</v>
      </c>
      <c r="BD50" s="78">
        <v>1</v>
      </c>
      <c r="BE50" s="78">
        <v>0</v>
      </c>
      <c r="BF50" s="78">
        <v>0</v>
      </c>
      <c r="BG50" s="78">
        <v>0</v>
      </c>
      <c r="BH50" s="78">
        <v>0</v>
      </c>
      <c r="BI50" s="78">
        <v>0</v>
      </c>
      <c r="BJ50" s="78">
        <v>0</v>
      </c>
      <c r="BK50" s="78">
        <v>0</v>
      </c>
      <c r="BL50" s="78">
        <v>0</v>
      </c>
      <c r="BM50" s="78">
        <v>355.65199999999999</v>
      </c>
      <c r="BN50" s="78">
        <v>102</v>
      </c>
      <c r="BO50" s="78">
        <v>39</v>
      </c>
      <c r="BP50" s="78">
        <v>7894.12</v>
      </c>
      <c r="BQ50" s="78">
        <v>2049.4499999999998</v>
      </c>
      <c r="BR50" s="78">
        <v>164.93774102964099</v>
      </c>
      <c r="BS50" s="78">
        <v>220</v>
      </c>
      <c r="BT50" s="78">
        <v>77.6666666666667</v>
      </c>
      <c r="BU50" s="78">
        <v>41.6666666666667</v>
      </c>
      <c r="BV50" s="78">
        <f t="shared" si="4"/>
        <v>1086.000000000003</v>
      </c>
      <c r="BW50" s="78">
        <v>309</v>
      </c>
      <c r="BX50" s="78">
        <v>4057.6106333555599</v>
      </c>
      <c r="BY50" s="402">
        <v>0.27200000000000002</v>
      </c>
      <c r="BZ50" s="78">
        <v>22521</v>
      </c>
      <c r="CA50" s="78">
        <v>3318</v>
      </c>
      <c r="CB50" s="78">
        <v>696</v>
      </c>
      <c r="CC50" s="78">
        <v>522</v>
      </c>
      <c r="CD50" s="78">
        <v>588</v>
      </c>
      <c r="CE50" s="78">
        <v>360</v>
      </c>
      <c r="CF50" s="78">
        <v>278.26402384257398</v>
      </c>
      <c r="CG50" s="78">
        <v>188.05833265289499</v>
      </c>
      <c r="CH50" s="78">
        <v>69.530603413080698</v>
      </c>
      <c r="CI50" s="78">
        <v>875.0145</v>
      </c>
      <c r="CJ50" s="78">
        <v>591.35839999999996</v>
      </c>
      <c r="CK50" s="78">
        <v>218.64230000000001</v>
      </c>
      <c r="CL50" s="78">
        <v>0</v>
      </c>
    </row>
    <row r="51" spans="1:90" customFormat="1" x14ac:dyDescent="0.35">
      <c r="A51" s="72">
        <v>150</v>
      </c>
      <c r="B51" s="72" t="s">
        <v>84</v>
      </c>
      <c r="C51" s="72">
        <v>4</v>
      </c>
      <c r="D51" s="78">
        <v>8232800000</v>
      </c>
      <c r="E51" s="78">
        <v>1331400000</v>
      </c>
      <c r="F51" s="78">
        <v>1401750000</v>
      </c>
      <c r="G51" s="78">
        <v>100719</v>
      </c>
      <c r="H51" s="78">
        <v>2</v>
      </c>
      <c r="I51" s="78">
        <f t="shared" si="2"/>
        <v>1401.75</v>
      </c>
      <c r="J51" s="78">
        <v>19944</v>
      </c>
      <c r="K51" s="78">
        <v>18338</v>
      </c>
      <c r="L51" s="78">
        <v>5674</v>
      </c>
      <c r="M51" s="78">
        <v>14910</v>
      </c>
      <c r="N51" s="78">
        <f t="shared" si="3"/>
        <v>10256.4</v>
      </c>
      <c r="O51" s="78">
        <v>2820.6666666666702</v>
      </c>
      <c r="P51" s="78">
        <v>146</v>
      </c>
      <c r="Q51" s="78">
        <v>9284.6666666666697</v>
      </c>
      <c r="R51" s="78">
        <v>18296</v>
      </c>
      <c r="S51" s="78">
        <v>9335</v>
      </c>
      <c r="T51" s="78">
        <v>0</v>
      </c>
      <c r="U51" s="78">
        <v>3517</v>
      </c>
      <c r="V51" s="78">
        <v>48379</v>
      </c>
      <c r="W51" s="78">
        <v>111570</v>
      </c>
      <c r="X51" s="78">
        <v>149210</v>
      </c>
      <c r="Y51" s="78">
        <v>1740.32</v>
      </c>
      <c r="Z51" s="78">
        <v>3872.8</v>
      </c>
      <c r="AA51" s="78">
        <v>0</v>
      </c>
      <c r="AB51" s="399">
        <v>0</v>
      </c>
      <c r="AC51" s="399">
        <v>0</v>
      </c>
      <c r="AD51" s="78">
        <v>13049</v>
      </c>
      <c r="AE51" s="78">
        <v>13049</v>
      </c>
      <c r="AF51" s="78">
        <v>385</v>
      </c>
      <c r="AG51" s="78">
        <v>0</v>
      </c>
      <c r="AH51" s="78">
        <v>463</v>
      </c>
      <c r="AI51" s="78">
        <v>123</v>
      </c>
      <c r="AJ51" s="78">
        <v>463</v>
      </c>
      <c r="AK51" s="78">
        <v>123</v>
      </c>
      <c r="AL51" s="78">
        <v>586</v>
      </c>
      <c r="AM51" s="78">
        <v>46536</v>
      </c>
      <c r="AN51" s="78">
        <v>46536</v>
      </c>
      <c r="AO51" s="78">
        <v>35</v>
      </c>
      <c r="AP51" s="78">
        <v>0</v>
      </c>
      <c r="AQ51" s="78">
        <v>0</v>
      </c>
      <c r="AR51" s="78">
        <v>3700</v>
      </c>
      <c r="AS51" s="78">
        <v>8739</v>
      </c>
      <c r="AT51" s="78">
        <v>8234</v>
      </c>
      <c r="AU51" s="400">
        <v>5.5691309999999997E-3</v>
      </c>
      <c r="AV51" s="400">
        <v>6.7474800000000001E-3</v>
      </c>
      <c r="AW51" s="78">
        <v>84835.127999999997</v>
      </c>
      <c r="AX51" s="78">
        <v>0</v>
      </c>
      <c r="AY51" s="78">
        <v>2868</v>
      </c>
      <c r="AZ51" s="78">
        <v>21502.3144260831</v>
      </c>
      <c r="BA51" s="78">
        <v>8</v>
      </c>
      <c r="BB51" s="78">
        <v>8</v>
      </c>
      <c r="BC51" s="78">
        <v>10286</v>
      </c>
      <c r="BD51" s="78">
        <v>1</v>
      </c>
      <c r="BE51" s="78">
        <v>0</v>
      </c>
      <c r="BF51" s="78">
        <v>0</v>
      </c>
      <c r="BG51" s="78">
        <v>0</v>
      </c>
      <c r="BH51" s="78">
        <v>0</v>
      </c>
      <c r="BI51" s="78">
        <v>0</v>
      </c>
      <c r="BJ51" s="78">
        <v>0</v>
      </c>
      <c r="BK51" s="78">
        <v>0</v>
      </c>
      <c r="BL51" s="78">
        <v>0</v>
      </c>
      <c r="BM51" s="78">
        <v>2672.4960000000001</v>
      </c>
      <c r="BN51" s="78">
        <v>358</v>
      </c>
      <c r="BO51" s="78">
        <v>406</v>
      </c>
      <c r="BP51" s="78">
        <v>27988.799999999999</v>
      </c>
      <c r="BQ51" s="78">
        <v>6682.93</v>
      </c>
      <c r="BR51" s="78">
        <v>1130.7949042351199</v>
      </c>
      <c r="BS51" s="78">
        <v>1315</v>
      </c>
      <c r="BT51" s="78">
        <v>756</v>
      </c>
      <c r="BU51" s="78">
        <v>708.33333333333303</v>
      </c>
      <c r="BV51" s="78">
        <f t="shared" si="4"/>
        <v>6464</v>
      </c>
      <c r="BW51" s="78">
        <v>1991</v>
      </c>
      <c r="BX51" s="78">
        <v>16671.2883543924</v>
      </c>
      <c r="BY51" s="402">
        <v>7.3579999999999997</v>
      </c>
      <c r="BZ51" s="78">
        <v>82381</v>
      </c>
      <c r="CA51" s="78">
        <v>10354</v>
      </c>
      <c r="CB51" s="78">
        <v>2310</v>
      </c>
      <c r="CC51" s="78">
        <v>2608</v>
      </c>
      <c r="CD51" s="78">
        <v>1946</v>
      </c>
      <c r="CE51" s="78">
        <v>1179</v>
      </c>
      <c r="CF51" s="78">
        <v>1423.9857400722001</v>
      </c>
      <c r="CG51" s="78">
        <v>848.08808664259902</v>
      </c>
      <c r="CH51" s="78">
        <v>346.023465703971</v>
      </c>
      <c r="CI51" s="78">
        <v>3250.5291000000002</v>
      </c>
      <c r="CJ51" s="78">
        <v>1935.9287999999999</v>
      </c>
      <c r="CK51" s="78">
        <v>789.86699999999996</v>
      </c>
      <c r="CL51" s="78">
        <v>68583</v>
      </c>
    </row>
    <row r="52" spans="1:90" customFormat="1" x14ac:dyDescent="0.35">
      <c r="A52" s="72">
        <v>1774</v>
      </c>
      <c r="B52" s="72" t="s">
        <v>86</v>
      </c>
      <c r="C52" s="72">
        <v>4</v>
      </c>
      <c r="D52" s="78">
        <v>2339600000</v>
      </c>
      <c r="E52" s="78">
        <v>416850000</v>
      </c>
      <c r="F52" s="78">
        <v>516250000</v>
      </c>
      <c r="G52" s="78">
        <v>26461</v>
      </c>
      <c r="H52" s="78">
        <v>5</v>
      </c>
      <c r="I52" s="78">
        <f t="shared" si="2"/>
        <v>516.25</v>
      </c>
      <c r="J52" s="78">
        <v>5093</v>
      </c>
      <c r="K52" s="78">
        <v>5854</v>
      </c>
      <c r="L52" s="78">
        <v>1910</v>
      </c>
      <c r="M52" s="78">
        <v>2858</v>
      </c>
      <c r="N52" s="78">
        <f t="shared" si="3"/>
        <v>1746.7</v>
      </c>
      <c r="O52" s="78">
        <v>210.666666666667</v>
      </c>
      <c r="P52" s="78">
        <v>38</v>
      </c>
      <c r="Q52" s="78">
        <v>1262.6666666666699</v>
      </c>
      <c r="R52" s="78">
        <v>2704</v>
      </c>
      <c r="S52" s="78">
        <v>290</v>
      </c>
      <c r="T52" s="78">
        <v>0</v>
      </c>
      <c r="U52" s="78">
        <v>502</v>
      </c>
      <c r="V52" s="78">
        <v>10821</v>
      </c>
      <c r="W52" s="78">
        <v>21320</v>
      </c>
      <c r="X52" s="78">
        <v>8370</v>
      </c>
      <c r="Y52" s="78">
        <v>0</v>
      </c>
      <c r="Z52" s="78">
        <v>240</v>
      </c>
      <c r="AA52" s="78">
        <v>0</v>
      </c>
      <c r="AB52" s="399">
        <v>0</v>
      </c>
      <c r="AC52" s="399">
        <v>0</v>
      </c>
      <c r="AD52" s="78">
        <v>17571</v>
      </c>
      <c r="AE52" s="78">
        <v>17571</v>
      </c>
      <c r="AF52" s="78">
        <v>111</v>
      </c>
      <c r="AG52" s="78">
        <v>0</v>
      </c>
      <c r="AH52" s="78">
        <v>157</v>
      </c>
      <c r="AI52" s="78">
        <v>162</v>
      </c>
      <c r="AJ52" s="78">
        <v>157</v>
      </c>
      <c r="AK52" s="78">
        <v>162</v>
      </c>
      <c r="AL52" s="78">
        <v>320</v>
      </c>
      <c r="AM52" s="78">
        <v>11113</v>
      </c>
      <c r="AN52" s="78">
        <v>11113</v>
      </c>
      <c r="AO52" s="78">
        <v>6</v>
      </c>
      <c r="AP52" s="78">
        <v>0</v>
      </c>
      <c r="AQ52" s="78">
        <v>0</v>
      </c>
      <c r="AR52" s="78">
        <v>0</v>
      </c>
      <c r="AS52" s="78">
        <v>0</v>
      </c>
      <c r="AT52" s="78">
        <v>0</v>
      </c>
      <c r="AU52" s="400">
        <v>2.8437999999999998E-4</v>
      </c>
      <c r="AV52" s="400">
        <v>1.4677399999999999E-4</v>
      </c>
      <c r="AW52" s="78">
        <v>5200.884</v>
      </c>
      <c r="AX52" s="78">
        <v>0</v>
      </c>
      <c r="AY52" s="78">
        <v>1973</v>
      </c>
      <c r="AZ52" s="78">
        <v>2952.58189118878</v>
      </c>
      <c r="BA52" s="78">
        <v>11</v>
      </c>
      <c r="BB52" s="78">
        <v>11</v>
      </c>
      <c r="BC52" s="78">
        <v>3155</v>
      </c>
      <c r="BD52" s="78">
        <v>1</v>
      </c>
      <c r="BE52" s="78">
        <v>0</v>
      </c>
      <c r="BF52" s="78">
        <v>0</v>
      </c>
      <c r="BG52" s="78">
        <v>0</v>
      </c>
      <c r="BH52" s="78">
        <v>0</v>
      </c>
      <c r="BI52" s="78">
        <v>0</v>
      </c>
      <c r="BJ52" s="78">
        <v>0</v>
      </c>
      <c r="BK52" s="78">
        <v>0</v>
      </c>
      <c r="BL52" s="78">
        <v>0</v>
      </c>
      <c r="BM52" s="78">
        <v>300.48700000000002</v>
      </c>
      <c r="BN52" s="78">
        <v>46</v>
      </c>
      <c r="BO52" s="78">
        <v>36</v>
      </c>
      <c r="BP52" s="78">
        <v>7252.7</v>
      </c>
      <c r="BQ52" s="78">
        <v>1905.64</v>
      </c>
      <c r="BR52" s="78">
        <v>51.864859673990097</v>
      </c>
      <c r="BS52" s="78">
        <v>222</v>
      </c>
      <c r="BT52" s="78">
        <v>60</v>
      </c>
      <c r="BU52" s="78">
        <v>35.6666666666667</v>
      </c>
      <c r="BV52" s="78">
        <f t="shared" si="4"/>
        <v>1052.000000000003</v>
      </c>
      <c r="BW52" s="78">
        <v>300</v>
      </c>
      <c r="BX52" s="78">
        <v>4172.50303605313</v>
      </c>
      <c r="BY52" s="402">
        <v>0.13400000000000001</v>
      </c>
      <c r="BZ52" s="78">
        <v>20607</v>
      </c>
      <c r="CA52" s="78">
        <v>3184</v>
      </c>
      <c r="CB52" s="78">
        <v>760</v>
      </c>
      <c r="CC52" s="78">
        <v>529</v>
      </c>
      <c r="CD52" s="78">
        <v>557</v>
      </c>
      <c r="CE52" s="78">
        <v>250</v>
      </c>
      <c r="CF52" s="78">
        <v>294.54834878070699</v>
      </c>
      <c r="CG52" s="78">
        <v>186.56824439845201</v>
      </c>
      <c r="CH52" s="78">
        <v>62.241806892828201</v>
      </c>
      <c r="CI52" s="78">
        <v>798.51139999999998</v>
      </c>
      <c r="CJ52" s="78">
        <v>505.78070000000002</v>
      </c>
      <c r="CK52" s="78">
        <v>168.73560000000001</v>
      </c>
      <c r="CL52" s="78">
        <v>10662</v>
      </c>
    </row>
    <row r="53" spans="1:90" customFormat="1" x14ac:dyDescent="0.35">
      <c r="A53" s="72">
        <v>153</v>
      </c>
      <c r="B53" s="72" t="s">
        <v>106</v>
      </c>
      <c r="C53" s="72">
        <v>4</v>
      </c>
      <c r="D53" s="78">
        <v>11489600000</v>
      </c>
      <c r="E53" s="78">
        <v>2378950000</v>
      </c>
      <c r="F53" s="78">
        <v>2477300000</v>
      </c>
      <c r="G53" s="78">
        <v>159640</v>
      </c>
      <c r="H53" s="78">
        <v>2</v>
      </c>
      <c r="I53" s="78">
        <f t="shared" si="2"/>
        <v>2477.3000000000002</v>
      </c>
      <c r="J53" s="78">
        <v>28673</v>
      </c>
      <c r="K53" s="78">
        <v>28420</v>
      </c>
      <c r="L53" s="78">
        <v>9170</v>
      </c>
      <c r="M53" s="78">
        <v>27623</v>
      </c>
      <c r="N53" s="78">
        <f t="shared" si="3"/>
        <v>19760.2</v>
      </c>
      <c r="O53" s="78">
        <v>6437.6666666666697</v>
      </c>
      <c r="P53" s="78">
        <v>278</v>
      </c>
      <c r="Q53" s="78">
        <v>17803.666666666701</v>
      </c>
      <c r="R53" s="78">
        <v>36748</v>
      </c>
      <c r="S53" s="78">
        <v>16270</v>
      </c>
      <c r="T53" s="78">
        <v>0</v>
      </c>
      <c r="U53" s="78">
        <v>5760</v>
      </c>
      <c r="V53" s="78">
        <v>82270</v>
      </c>
      <c r="W53" s="78">
        <v>167870</v>
      </c>
      <c r="X53" s="78">
        <v>249750</v>
      </c>
      <c r="Y53" s="78">
        <v>5351.5906000000004</v>
      </c>
      <c r="Z53" s="78">
        <v>5962.4</v>
      </c>
      <c r="AA53" s="78">
        <v>0</v>
      </c>
      <c r="AB53" s="399">
        <v>0</v>
      </c>
      <c r="AC53" s="399">
        <v>0</v>
      </c>
      <c r="AD53" s="78">
        <v>14068</v>
      </c>
      <c r="AE53" s="78">
        <v>14068</v>
      </c>
      <c r="AF53" s="78">
        <v>205</v>
      </c>
      <c r="AG53" s="78">
        <v>0</v>
      </c>
      <c r="AH53" s="78">
        <v>775</v>
      </c>
      <c r="AI53" s="78">
        <v>136</v>
      </c>
      <c r="AJ53" s="78">
        <v>775</v>
      </c>
      <c r="AK53" s="78">
        <v>136</v>
      </c>
      <c r="AL53" s="78">
        <v>911</v>
      </c>
      <c r="AM53" s="78">
        <v>78628</v>
      </c>
      <c r="AN53" s="78">
        <v>78628</v>
      </c>
      <c r="AO53" s="78">
        <v>9</v>
      </c>
      <c r="AP53" s="78">
        <v>0</v>
      </c>
      <c r="AQ53" s="78">
        <v>0</v>
      </c>
      <c r="AR53" s="78">
        <v>0</v>
      </c>
      <c r="AS53" s="78">
        <v>15963</v>
      </c>
      <c r="AT53" s="78">
        <v>11523</v>
      </c>
      <c r="AU53" s="400">
        <v>1.0740938E-2</v>
      </c>
      <c r="AV53" s="400">
        <v>1.8027844000000001E-2</v>
      </c>
      <c r="AW53" s="78">
        <v>169600.59599999999</v>
      </c>
      <c r="AX53" s="78">
        <v>0</v>
      </c>
      <c r="AY53" s="78">
        <v>2030</v>
      </c>
      <c r="AZ53" s="78">
        <v>22705.0514958313</v>
      </c>
      <c r="BA53" s="78">
        <v>9</v>
      </c>
      <c r="BB53" s="78">
        <v>9</v>
      </c>
      <c r="BC53" s="78">
        <v>14600</v>
      </c>
      <c r="BD53" s="78">
        <v>1</v>
      </c>
      <c r="BE53" s="78">
        <v>0</v>
      </c>
      <c r="BF53" s="78">
        <v>0</v>
      </c>
      <c r="BG53" s="78">
        <v>0</v>
      </c>
      <c r="BH53" s="78">
        <v>0</v>
      </c>
      <c r="BI53" s="78">
        <v>0</v>
      </c>
      <c r="BJ53" s="78">
        <v>0</v>
      </c>
      <c r="BK53" s="78">
        <v>0</v>
      </c>
      <c r="BL53" s="78">
        <v>0</v>
      </c>
      <c r="BM53" s="78">
        <v>5849.2920000000004</v>
      </c>
      <c r="BN53" s="78">
        <v>600</v>
      </c>
      <c r="BO53" s="78">
        <v>590</v>
      </c>
      <c r="BP53" s="78">
        <v>38140.32</v>
      </c>
      <c r="BQ53" s="78">
        <v>8319.1200000000008</v>
      </c>
      <c r="BR53" s="78">
        <v>1143.3462268384801</v>
      </c>
      <c r="BS53" s="78">
        <v>2323</v>
      </c>
      <c r="BT53" s="78">
        <v>1773</v>
      </c>
      <c r="BU53" s="78">
        <v>1562.6666666666699</v>
      </c>
      <c r="BV53" s="78">
        <f t="shared" si="4"/>
        <v>11366.000000000031</v>
      </c>
      <c r="BW53" s="78">
        <v>3817</v>
      </c>
      <c r="BX53" s="78">
        <v>25152.723605852101</v>
      </c>
      <c r="BY53" s="402">
        <v>20.106999999999999</v>
      </c>
      <c r="BZ53" s="78">
        <v>131220</v>
      </c>
      <c r="CA53" s="78">
        <v>16118</v>
      </c>
      <c r="CB53" s="78">
        <v>3132</v>
      </c>
      <c r="CC53" s="78">
        <v>4127</v>
      </c>
      <c r="CD53" s="78">
        <v>3411</v>
      </c>
      <c r="CE53" s="78">
        <v>1569</v>
      </c>
      <c r="CF53" s="78">
        <v>2580.97947296129</v>
      </c>
      <c r="CG53" s="78">
        <v>1605.63562344203</v>
      </c>
      <c r="CH53" s="78">
        <v>527.25364501195497</v>
      </c>
      <c r="CI53" s="78">
        <v>6092.1639999999998</v>
      </c>
      <c r="CJ53" s="78">
        <v>3789.9548</v>
      </c>
      <c r="CK53" s="78">
        <v>1244.5336</v>
      </c>
      <c r="CL53" s="78">
        <v>219182</v>
      </c>
    </row>
    <row r="54" spans="1:90" customFormat="1" x14ac:dyDescent="0.35">
      <c r="A54" s="72">
        <v>158</v>
      </c>
      <c r="B54" s="72" t="s">
        <v>124</v>
      </c>
      <c r="C54" s="72">
        <v>4</v>
      </c>
      <c r="D54" s="78">
        <v>2020800000</v>
      </c>
      <c r="E54" s="78">
        <v>322000000</v>
      </c>
      <c r="F54" s="78">
        <v>373800000</v>
      </c>
      <c r="G54" s="78">
        <v>24311</v>
      </c>
      <c r="H54" s="78">
        <v>1</v>
      </c>
      <c r="I54" s="78">
        <f t="shared" si="2"/>
        <v>373.8</v>
      </c>
      <c r="J54" s="78">
        <v>4551</v>
      </c>
      <c r="K54" s="78">
        <v>5895</v>
      </c>
      <c r="L54" s="78">
        <v>2061</v>
      </c>
      <c r="M54" s="78">
        <v>2985</v>
      </c>
      <c r="N54" s="78">
        <f t="shared" si="3"/>
        <v>1899.1</v>
      </c>
      <c r="O54" s="78">
        <v>335.33333333333297</v>
      </c>
      <c r="P54" s="78">
        <v>31</v>
      </c>
      <c r="Q54" s="78">
        <v>1492.3333333333301</v>
      </c>
      <c r="R54" s="78">
        <v>2978</v>
      </c>
      <c r="S54" s="78">
        <v>940</v>
      </c>
      <c r="T54" s="78">
        <v>0</v>
      </c>
      <c r="U54" s="78">
        <v>575</v>
      </c>
      <c r="V54" s="78">
        <v>10585</v>
      </c>
      <c r="W54" s="78">
        <v>23720</v>
      </c>
      <c r="X54" s="78">
        <v>18200</v>
      </c>
      <c r="Y54" s="78">
        <v>0</v>
      </c>
      <c r="Z54" s="78">
        <v>1169.5999999999999</v>
      </c>
      <c r="AA54" s="78">
        <v>0</v>
      </c>
      <c r="AB54" s="399">
        <v>0</v>
      </c>
      <c r="AC54" s="399">
        <v>0</v>
      </c>
      <c r="AD54" s="78">
        <v>10473</v>
      </c>
      <c r="AE54" s="78">
        <v>10473</v>
      </c>
      <c r="AF54" s="78">
        <v>77</v>
      </c>
      <c r="AG54" s="78">
        <v>0</v>
      </c>
      <c r="AH54" s="78">
        <v>159</v>
      </c>
      <c r="AI54" s="78">
        <v>98</v>
      </c>
      <c r="AJ54" s="78">
        <v>159</v>
      </c>
      <c r="AK54" s="78">
        <v>98</v>
      </c>
      <c r="AL54" s="78">
        <v>257</v>
      </c>
      <c r="AM54" s="78">
        <v>10859</v>
      </c>
      <c r="AN54" s="78">
        <v>10859</v>
      </c>
      <c r="AO54" s="78">
        <v>0</v>
      </c>
      <c r="AP54" s="78">
        <v>0</v>
      </c>
      <c r="AQ54" s="78">
        <v>0</v>
      </c>
      <c r="AR54" s="78">
        <v>0</v>
      </c>
      <c r="AS54" s="78">
        <v>0</v>
      </c>
      <c r="AT54" s="78">
        <v>0</v>
      </c>
      <c r="AU54" s="400">
        <v>3.3804199999999999E-4</v>
      </c>
      <c r="AV54" s="400">
        <v>2.4523999999999998E-4</v>
      </c>
      <c r="AW54" s="78">
        <v>11249.924000000001</v>
      </c>
      <c r="AX54" s="78">
        <v>0</v>
      </c>
      <c r="AY54" s="78">
        <v>1816</v>
      </c>
      <c r="AZ54" s="78">
        <v>4184.7181042654001</v>
      </c>
      <c r="BA54" s="78">
        <v>6</v>
      </c>
      <c r="BB54" s="78">
        <v>6</v>
      </c>
      <c r="BC54" s="78">
        <v>2600</v>
      </c>
      <c r="BD54" s="78">
        <v>1</v>
      </c>
      <c r="BE54" s="78">
        <v>0</v>
      </c>
      <c r="BF54" s="78">
        <v>0</v>
      </c>
      <c r="BG54" s="78">
        <v>0</v>
      </c>
      <c r="BH54" s="78">
        <v>0</v>
      </c>
      <c r="BI54" s="78">
        <v>0</v>
      </c>
      <c r="BJ54" s="78">
        <v>0</v>
      </c>
      <c r="BK54" s="78">
        <v>0</v>
      </c>
      <c r="BL54" s="78">
        <v>0</v>
      </c>
      <c r="BM54" s="78">
        <v>409.59</v>
      </c>
      <c r="BN54" s="78">
        <v>29</v>
      </c>
      <c r="BO54" s="78">
        <v>22</v>
      </c>
      <c r="BP54" s="78">
        <v>6641.05</v>
      </c>
      <c r="BQ54" s="78">
        <v>1666.5</v>
      </c>
      <c r="BR54" s="78">
        <v>62.034100671140898</v>
      </c>
      <c r="BS54" s="78">
        <v>227</v>
      </c>
      <c r="BT54" s="78">
        <v>95</v>
      </c>
      <c r="BU54" s="78">
        <v>68.3333333333333</v>
      </c>
      <c r="BV54" s="78">
        <f t="shared" si="4"/>
        <v>1156.999999999997</v>
      </c>
      <c r="BW54" s="78">
        <v>313</v>
      </c>
      <c r="BX54" s="78">
        <v>4000.3546714997701</v>
      </c>
      <c r="BY54" s="402">
        <v>0.629</v>
      </c>
      <c r="BZ54" s="78">
        <v>18416</v>
      </c>
      <c r="CA54" s="78">
        <v>3198</v>
      </c>
      <c r="CB54" s="78">
        <v>636</v>
      </c>
      <c r="CC54" s="78">
        <v>603</v>
      </c>
      <c r="CD54" s="78">
        <v>617</v>
      </c>
      <c r="CE54" s="78">
        <v>272</v>
      </c>
      <c r="CF54" s="78">
        <v>335.78340547011697</v>
      </c>
      <c r="CG54" s="78">
        <v>227.52823464407399</v>
      </c>
      <c r="CH54" s="78">
        <v>69.605101758909697</v>
      </c>
      <c r="CI54" s="78">
        <v>908.73599999999999</v>
      </c>
      <c r="CJ54" s="78">
        <v>615.76329999999996</v>
      </c>
      <c r="CK54" s="78">
        <v>188.3734</v>
      </c>
      <c r="CL54" s="78">
        <v>26592</v>
      </c>
    </row>
    <row r="55" spans="1:90" customFormat="1" x14ac:dyDescent="0.35">
      <c r="A55" s="72">
        <v>160</v>
      </c>
      <c r="B55" s="72" t="s">
        <v>129</v>
      </c>
      <c r="C55" s="72">
        <v>4</v>
      </c>
      <c r="D55" s="78">
        <v>4362000000</v>
      </c>
      <c r="E55" s="78">
        <v>901600000</v>
      </c>
      <c r="F55" s="78">
        <v>989450000</v>
      </c>
      <c r="G55" s="78">
        <v>60948</v>
      </c>
      <c r="H55" s="78">
        <v>8</v>
      </c>
      <c r="I55" s="78">
        <f t="shared" si="2"/>
        <v>989.45</v>
      </c>
      <c r="J55" s="78">
        <v>13150</v>
      </c>
      <c r="K55" s="78">
        <v>11416</v>
      </c>
      <c r="L55" s="78">
        <v>3651</v>
      </c>
      <c r="M55" s="78">
        <v>7153</v>
      </c>
      <c r="N55" s="78">
        <f t="shared" si="3"/>
        <v>4515.2</v>
      </c>
      <c r="O55" s="78">
        <v>846.33333333333303</v>
      </c>
      <c r="P55" s="78">
        <v>89</v>
      </c>
      <c r="Q55" s="78">
        <v>4092.3333333333298</v>
      </c>
      <c r="R55" s="78">
        <v>6889</v>
      </c>
      <c r="S55" s="78">
        <v>840</v>
      </c>
      <c r="T55" s="78">
        <v>0</v>
      </c>
      <c r="U55" s="78">
        <v>1323</v>
      </c>
      <c r="V55" s="78">
        <v>25534</v>
      </c>
      <c r="W55" s="78">
        <v>59530</v>
      </c>
      <c r="X55" s="78">
        <v>41380</v>
      </c>
      <c r="Y55" s="78">
        <v>1019.76</v>
      </c>
      <c r="Z55" s="78">
        <v>3168.8</v>
      </c>
      <c r="AA55" s="78">
        <v>0</v>
      </c>
      <c r="AB55" s="399">
        <v>0</v>
      </c>
      <c r="AC55" s="399">
        <v>0</v>
      </c>
      <c r="AD55" s="78">
        <v>31218</v>
      </c>
      <c r="AE55" s="78">
        <v>31218</v>
      </c>
      <c r="AF55" s="78">
        <v>497</v>
      </c>
      <c r="AG55" s="78">
        <v>0</v>
      </c>
      <c r="AH55" s="78">
        <v>355</v>
      </c>
      <c r="AI55" s="78">
        <v>305</v>
      </c>
      <c r="AJ55" s="78">
        <v>355</v>
      </c>
      <c r="AK55" s="78">
        <v>305</v>
      </c>
      <c r="AL55" s="78">
        <v>660</v>
      </c>
      <c r="AM55" s="78">
        <v>26378</v>
      </c>
      <c r="AN55" s="78">
        <v>26378</v>
      </c>
      <c r="AO55" s="78">
        <v>0</v>
      </c>
      <c r="AP55" s="78">
        <v>0</v>
      </c>
      <c r="AQ55" s="78">
        <v>0</v>
      </c>
      <c r="AR55" s="78">
        <v>0</v>
      </c>
      <c r="AS55" s="78">
        <v>1013</v>
      </c>
      <c r="AT55" s="78">
        <v>0</v>
      </c>
      <c r="AU55" s="400">
        <v>1.019977E-3</v>
      </c>
      <c r="AV55" s="400">
        <v>5.1633199999999999E-4</v>
      </c>
      <c r="AW55" s="78">
        <v>14666.168</v>
      </c>
      <c r="AX55" s="78">
        <v>0</v>
      </c>
      <c r="AY55" s="78">
        <v>5118</v>
      </c>
      <c r="AZ55" s="78">
        <v>9835.4678858584302</v>
      </c>
      <c r="BA55" s="78">
        <v>24</v>
      </c>
      <c r="BB55" s="78">
        <v>24</v>
      </c>
      <c r="BC55" s="78">
        <v>6112</v>
      </c>
      <c r="BD55" s="78">
        <v>1</v>
      </c>
      <c r="BE55" s="78">
        <v>0</v>
      </c>
      <c r="BF55" s="78">
        <v>0</v>
      </c>
      <c r="BG55" s="78">
        <v>0</v>
      </c>
      <c r="BH55" s="78">
        <v>0</v>
      </c>
      <c r="BI55" s="78">
        <v>0</v>
      </c>
      <c r="BJ55" s="78">
        <v>0</v>
      </c>
      <c r="BK55" s="78">
        <v>0</v>
      </c>
      <c r="BL55" s="78">
        <v>0</v>
      </c>
      <c r="BM55" s="78">
        <v>1078.3</v>
      </c>
      <c r="BN55" s="78">
        <v>312</v>
      </c>
      <c r="BO55" s="78">
        <v>206</v>
      </c>
      <c r="BP55" s="78">
        <v>14614.8</v>
      </c>
      <c r="BQ55" s="78">
        <v>3829.83</v>
      </c>
      <c r="BR55" s="78">
        <v>476.84323269130698</v>
      </c>
      <c r="BS55" s="78">
        <v>568</v>
      </c>
      <c r="BT55" s="78">
        <v>225.333333333333</v>
      </c>
      <c r="BU55" s="78">
        <v>168</v>
      </c>
      <c r="BV55" s="78">
        <f t="shared" si="4"/>
        <v>3245.9999999999968</v>
      </c>
      <c r="BW55" s="78">
        <v>1208</v>
      </c>
      <c r="BX55" s="78">
        <v>9481.3008511902808</v>
      </c>
      <c r="BY55" s="402">
        <v>1.9019999999999999</v>
      </c>
      <c r="BZ55" s="78">
        <v>49532</v>
      </c>
      <c r="CA55" s="78">
        <v>6513</v>
      </c>
      <c r="CB55" s="78">
        <v>1252</v>
      </c>
      <c r="CC55" s="78">
        <v>1118</v>
      </c>
      <c r="CD55" s="78">
        <v>1182</v>
      </c>
      <c r="CE55" s="78">
        <v>589</v>
      </c>
      <c r="CF55" s="78">
        <v>662.95282432329998</v>
      </c>
      <c r="CG55" s="78">
        <v>414.23853211009202</v>
      </c>
      <c r="CH55" s="78">
        <v>139.505951929638</v>
      </c>
      <c r="CI55" s="78">
        <v>2034.8742</v>
      </c>
      <c r="CJ55" s="78">
        <v>1271.4680000000001</v>
      </c>
      <c r="CK55" s="78">
        <v>428.20100000000002</v>
      </c>
      <c r="CL55" s="78">
        <v>103844</v>
      </c>
    </row>
    <row r="56" spans="1:90" customFormat="1" x14ac:dyDescent="0.35">
      <c r="A56" s="72">
        <v>163</v>
      </c>
      <c r="B56" s="72" t="s">
        <v>142</v>
      </c>
      <c r="C56" s="72">
        <v>4</v>
      </c>
      <c r="D56" s="78">
        <v>3085600000</v>
      </c>
      <c r="E56" s="78">
        <v>433300000</v>
      </c>
      <c r="F56" s="78">
        <v>478100000</v>
      </c>
      <c r="G56" s="78">
        <v>35916</v>
      </c>
      <c r="H56" s="78">
        <v>2</v>
      </c>
      <c r="I56" s="78">
        <f t="shared" si="2"/>
        <v>478.1</v>
      </c>
      <c r="J56" s="78">
        <v>7234</v>
      </c>
      <c r="K56" s="78">
        <v>8005</v>
      </c>
      <c r="L56" s="78">
        <v>2546</v>
      </c>
      <c r="M56" s="78">
        <v>4417</v>
      </c>
      <c r="N56" s="78">
        <f t="shared" si="3"/>
        <v>2858.3999999999996</v>
      </c>
      <c r="O56" s="78">
        <v>427.33333333333297</v>
      </c>
      <c r="P56" s="78">
        <v>43</v>
      </c>
      <c r="Q56" s="78">
        <v>2195.3333333333298</v>
      </c>
      <c r="R56" s="78">
        <v>4132</v>
      </c>
      <c r="S56" s="78">
        <v>455</v>
      </c>
      <c r="T56" s="78">
        <v>0</v>
      </c>
      <c r="U56" s="78">
        <v>822</v>
      </c>
      <c r="V56" s="78">
        <v>15322</v>
      </c>
      <c r="W56" s="78">
        <v>36780</v>
      </c>
      <c r="X56" s="78">
        <v>35800</v>
      </c>
      <c r="Y56" s="78">
        <v>1023.86</v>
      </c>
      <c r="Z56" s="78">
        <v>1212</v>
      </c>
      <c r="AA56" s="78">
        <v>0</v>
      </c>
      <c r="AB56" s="399">
        <v>0</v>
      </c>
      <c r="AC56" s="399">
        <v>0</v>
      </c>
      <c r="AD56" s="78">
        <v>13791</v>
      </c>
      <c r="AE56" s="78">
        <v>13791</v>
      </c>
      <c r="AF56" s="78">
        <v>108</v>
      </c>
      <c r="AG56" s="78">
        <v>0</v>
      </c>
      <c r="AH56" s="78">
        <v>211</v>
      </c>
      <c r="AI56" s="78">
        <v>117</v>
      </c>
      <c r="AJ56" s="78">
        <v>211</v>
      </c>
      <c r="AK56" s="78">
        <v>117</v>
      </c>
      <c r="AL56" s="78">
        <v>328</v>
      </c>
      <c r="AM56" s="78">
        <v>15586</v>
      </c>
      <c r="AN56" s="78">
        <v>15586</v>
      </c>
      <c r="AO56" s="78">
        <v>0</v>
      </c>
      <c r="AP56" s="78">
        <v>0</v>
      </c>
      <c r="AQ56" s="78">
        <v>0</v>
      </c>
      <c r="AR56" s="78">
        <v>0</v>
      </c>
      <c r="AS56" s="78">
        <v>1341</v>
      </c>
      <c r="AT56" s="78">
        <v>0</v>
      </c>
      <c r="AU56" s="400">
        <v>6.3890099999999999E-4</v>
      </c>
      <c r="AV56" s="400">
        <v>2.7189E-4</v>
      </c>
      <c r="AW56" s="78">
        <v>12640.245999999999</v>
      </c>
      <c r="AX56" s="78">
        <v>0</v>
      </c>
      <c r="AY56" s="78">
        <v>1645</v>
      </c>
      <c r="AZ56" s="78">
        <v>4250.79646017699</v>
      </c>
      <c r="BA56" s="78">
        <v>9</v>
      </c>
      <c r="BB56" s="78">
        <v>9</v>
      </c>
      <c r="BC56" s="78">
        <v>3318</v>
      </c>
      <c r="BD56" s="78">
        <v>1</v>
      </c>
      <c r="BE56" s="78">
        <v>0</v>
      </c>
      <c r="BF56" s="78">
        <v>0</v>
      </c>
      <c r="BG56" s="78">
        <v>0</v>
      </c>
      <c r="BH56" s="78">
        <v>0</v>
      </c>
      <c r="BI56" s="78">
        <v>0</v>
      </c>
      <c r="BJ56" s="78">
        <v>0</v>
      </c>
      <c r="BK56" s="78">
        <v>0</v>
      </c>
      <c r="BL56" s="78">
        <v>0</v>
      </c>
      <c r="BM56" s="78">
        <v>607.65599999999995</v>
      </c>
      <c r="BN56" s="78">
        <v>117</v>
      </c>
      <c r="BO56" s="78">
        <v>33</v>
      </c>
      <c r="BP56" s="78">
        <v>9127.02</v>
      </c>
      <c r="BQ56" s="78">
        <v>2389.37</v>
      </c>
      <c r="BR56" s="78">
        <v>272.40523213650903</v>
      </c>
      <c r="BS56" s="78">
        <v>339</v>
      </c>
      <c r="BT56" s="78">
        <v>120.333333333333</v>
      </c>
      <c r="BU56" s="78">
        <v>94.3333333333333</v>
      </c>
      <c r="BV56" s="78">
        <f t="shared" si="4"/>
        <v>1767.9999999999968</v>
      </c>
      <c r="BW56" s="78">
        <v>505</v>
      </c>
      <c r="BX56" s="78">
        <v>6342.1108310992004</v>
      </c>
      <c r="BY56" s="402">
        <v>0.70899999999999996</v>
      </c>
      <c r="BZ56" s="78">
        <v>27911</v>
      </c>
      <c r="CA56" s="78">
        <v>4588</v>
      </c>
      <c r="CB56" s="78">
        <v>871</v>
      </c>
      <c r="CC56" s="78">
        <v>799</v>
      </c>
      <c r="CD56" s="78">
        <v>776</v>
      </c>
      <c r="CE56" s="78">
        <v>421</v>
      </c>
      <c r="CF56" s="78">
        <v>489.665597330938</v>
      </c>
      <c r="CG56" s="78">
        <v>297.83405620428601</v>
      </c>
      <c r="CH56" s="78">
        <v>104.535352239189</v>
      </c>
      <c r="CI56" s="78">
        <v>1331.529</v>
      </c>
      <c r="CJ56" s="78">
        <v>809.88879999999995</v>
      </c>
      <c r="CK56" s="78">
        <v>284.25900000000001</v>
      </c>
      <c r="CL56" s="78">
        <v>37469</v>
      </c>
    </row>
    <row r="57" spans="1:90" customFormat="1" x14ac:dyDescent="0.35">
      <c r="A57" s="72">
        <v>164</v>
      </c>
      <c r="B57" s="72" t="s">
        <v>146</v>
      </c>
      <c r="C57" s="72">
        <v>4</v>
      </c>
      <c r="D57" s="78">
        <v>6159600000</v>
      </c>
      <c r="E57" s="78">
        <v>1343650000</v>
      </c>
      <c r="F57" s="78">
        <v>1400000000</v>
      </c>
      <c r="G57" s="78">
        <v>81140</v>
      </c>
      <c r="H57" s="78">
        <v>1</v>
      </c>
      <c r="I57" s="78">
        <f t="shared" si="2"/>
        <v>1400</v>
      </c>
      <c r="J57" s="78">
        <v>15189</v>
      </c>
      <c r="K57" s="78">
        <v>16367</v>
      </c>
      <c r="L57" s="78">
        <v>5238</v>
      </c>
      <c r="M57" s="78">
        <v>12922</v>
      </c>
      <c r="N57" s="78">
        <f t="shared" si="3"/>
        <v>9013.7000000000007</v>
      </c>
      <c r="O57" s="78">
        <v>2244.3333333333298</v>
      </c>
      <c r="P57" s="78">
        <v>149</v>
      </c>
      <c r="Q57" s="78">
        <v>7118.3333333333303</v>
      </c>
      <c r="R57" s="78">
        <v>14982</v>
      </c>
      <c r="S57" s="78">
        <v>7005</v>
      </c>
      <c r="T57" s="78">
        <v>0</v>
      </c>
      <c r="U57" s="78">
        <v>2750</v>
      </c>
      <c r="V57" s="78">
        <v>39033</v>
      </c>
      <c r="W57" s="78">
        <v>89030</v>
      </c>
      <c r="X57" s="78">
        <v>115240</v>
      </c>
      <c r="Y57" s="78">
        <v>3668.78</v>
      </c>
      <c r="Z57" s="78">
        <v>4908</v>
      </c>
      <c r="AA57" s="78">
        <v>0</v>
      </c>
      <c r="AB57" s="399">
        <v>0</v>
      </c>
      <c r="AC57" s="399">
        <v>0</v>
      </c>
      <c r="AD57" s="78">
        <v>6082</v>
      </c>
      <c r="AE57" s="78">
        <v>6082</v>
      </c>
      <c r="AF57" s="78">
        <v>101</v>
      </c>
      <c r="AG57" s="78">
        <v>0</v>
      </c>
      <c r="AH57" s="78">
        <v>458</v>
      </c>
      <c r="AI57" s="78">
        <v>66</v>
      </c>
      <c r="AJ57" s="78">
        <v>458</v>
      </c>
      <c r="AK57" s="78">
        <v>66</v>
      </c>
      <c r="AL57" s="78">
        <v>524</v>
      </c>
      <c r="AM57" s="78">
        <v>39083</v>
      </c>
      <c r="AN57" s="78">
        <v>39083</v>
      </c>
      <c r="AO57" s="78">
        <v>0</v>
      </c>
      <c r="AP57" s="78">
        <v>0</v>
      </c>
      <c r="AQ57" s="78">
        <v>0</v>
      </c>
      <c r="AR57" s="78">
        <v>0</v>
      </c>
      <c r="AS57" s="78">
        <v>6759</v>
      </c>
      <c r="AT57" s="78">
        <v>0</v>
      </c>
      <c r="AU57" s="400">
        <v>4.4883340000000001E-3</v>
      </c>
      <c r="AV57" s="400">
        <v>7.1095209999999997E-3</v>
      </c>
      <c r="AW57" s="78">
        <v>71834.554000000004</v>
      </c>
      <c r="AX57" s="78">
        <v>0</v>
      </c>
      <c r="AY57" s="78">
        <v>1003</v>
      </c>
      <c r="AZ57" s="78">
        <v>13162.448649522899</v>
      </c>
      <c r="BA57" s="78">
        <v>3</v>
      </c>
      <c r="BB57" s="78">
        <v>3</v>
      </c>
      <c r="BC57" s="78">
        <v>8356</v>
      </c>
      <c r="BD57" s="78">
        <v>1</v>
      </c>
      <c r="BE57" s="78">
        <v>0</v>
      </c>
      <c r="BF57" s="78">
        <v>0</v>
      </c>
      <c r="BG57" s="78">
        <v>0</v>
      </c>
      <c r="BH57" s="78">
        <v>0</v>
      </c>
      <c r="BI57" s="78">
        <v>0</v>
      </c>
      <c r="BJ57" s="78">
        <v>0</v>
      </c>
      <c r="BK57" s="78">
        <v>0</v>
      </c>
      <c r="BL57" s="78">
        <v>0</v>
      </c>
      <c r="BM57" s="78">
        <v>2126.46</v>
      </c>
      <c r="BN57" s="78">
        <v>225</v>
      </c>
      <c r="BO57" s="78">
        <v>208</v>
      </c>
      <c r="BP57" s="78">
        <v>22809.599999999999</v>
      </c>
      <c r="BQ57" s="78">
        <v>4926.51</v>
      </c>
      <c r="BR57" s="78">
        <v>524.65603085657904</v>
      </c>
      <c r="BS57" s="78">
        <v>1012</v>
      </c>
      <c r="BT57" s="78">
        <v>566.33333333333303</v>
      </c>
      <c r="BU57" s="78">
        <v>468.33333333333297</v>
      </c>
      <c r="BV57" s="78">
        <f t="shared" si="4"/>
        <v>4874</v>
      </c>
      <c r="BW57" s="78">
        <v>1675</v>
      </c>
      <c r="BX57" s="78">
        <v>12516.5361426819</v>
      </c>
      <c r="BY57" s="402">
        <v>6.375</v>
      </c>
      <c r="BZ57" s="78">
        <v>64773</v>
      </c>
      <c r="CA57" s="78">
        <v>9101</v>
      </c>
      <c r="CB57" s="78">
        <v>2028</v>
      </c>
      <c r="CC57" s="78">
        <v>2146</v>
      </c>
      <c r="CD57" s="78">
        <v>1881</v>
      </c>
      <c r="CE57" s="78">
        <v>1056</v>
      </c>
      <c r="CF57" s="78">
        <v>1318.7405419235999</v>
      </c>
      <c r="CG57" s="78">
        <v>826.11553360796302</v>
      </c>
      <c r="CH57" s="78">
        <v>359.782309444004</v>
      </c>
      <c r="CI57" s="78">
        <v>2977.9344000000001</v>
      </c>
      <c r="CJ57" s="78">
        <v>1865.5056</v>
      </c>
      <c r="CK57" s="78">
        <v>812.44799999999998</v>
      </c>
      <c r="CL57" s="78">
        <v>41789</v>
      </c>
    </row>
    <row r="58" spans="1:90" customFormat="1" x14ac:dyDescent="0.35">
      <c r="A58" s="72">
        <v>1735</v>
      </c>
      <c r="B58" s="72" t="s">
        <v>154</v>
      </c>
      <c r="C58" s="72">
        <v>4</v>
      </c>
      <c r="D58" s="78">
        <v>2963600000</v>
      </c>
      <c r="E58" s="78">
        <v>507150000</v>
      </c>
      <c r="F58" s="78">
        <v>605150000</v>
      </c>
      <c r="G58" s="78">
        <v>35017</v>
      </c>
      <c r="H58" s="78">
        <v>5</v>
      </c>
      <c r="I58" s="78">
        <f t="shared" si="2"/>
        <v>605.15</v>
      </c>
      <c r="J58" s="78">
        <v>6432</v>
      </c>
      <c r="K58" s="78">
        <v>8826</v>
      </c>
      <c r="L58" s="78">
        <v>3063</v>
      </c>
      <c r="M58" s="78">
        <v>4135</v>
      </c>
      <c r="N58" s="78">
        <f t="shared" si="3"/>
        <v>2556.6999999999998</v>
      </c>
      <c r="O58" s="78">
        <v>424.33333333333297</v>
      </c>
      <c r="P58" s="78">
        <v>45</v>
      </c>
      <c r="Q58" s="78">
        <v>1914.3333333333301</v>
      </c>
      <c r="R58" s="78">
        <v>4537</v>
      </c>
      <c r="S58" s="78">
        <v>735</v>
      </c>
      <c r="T58" s="78">
        <v>0</v>
      </c>
      <c r="U58" s="78">
        <v>797</v>
      </c>
      <c r="V58" s="78">
        <v>15381</v>
      </c>
      <c r="W58" s="78">
        <v>30230</v>
      </c>
      <c r="X58" s="78">
        <v>13220</v>
      </c>
      <c r="Y58" s="78">
        <v>0</v>
      </c>
      <c r="Z58" s="78">
        <v>451.2</v>
      </c>
      <c r="AA58" s="78">
        <v>0</v>
      </c>
      <c r="AB58" s="399">
        <v>0</v>
      </c>
      <c r="AC58" s="399">
        <v>0</v>
      </c>
      <c r="AD58" s="78">
        <v>21236</v>
      </c>
      <c r="AE58" s="78">
        <v>21236</v>
      </c>
      <c r="AF58" s="78">
        <v>305</v>
      </c>
      <c r="AG58" s="78">
        <v>0</v>
      </c>
      <c r="AH58" s="78">
        <v>208</v>
      </c>
      <c r="AI58" s="78">
        <v>235</v>
      </c>
      <c r="AJ58" s="78">
        <v>208</v>
      </c>
      <c r="AK58" s="78">
        <v>235</v>
      </c>
      <c r="AL58" s="78">
        <v>442</v>
      </c>
      <c r="AM58" s="78">
        <v>15783</v>
      </c>
      <c r="AN58" s="78">
        <v>15783</v>
      </c>
      <c r="AO58" s="78">
        <v>17</v>
      </c>
      <c r="AP58" s="78">
        <v>0</v>
      </c>
      <c r="AQ58" s="78">
        <v>0</v>
      </c>
      <c r="AR58" s="78">
        <v>0</v>
      </c>
      <c r="AS58" s="78">
        <v>1469</v>
      </c>
      <c r="AT58" s="78">
        <v>1469</v>
      </c>
      <c r="AU58" s="400">
        <v>7.7573300000000002E-4</v>
      </c>
      <c r="AV58" s="400">
        <v>3.3383000000000002E-4</v>
      </c>
      <c r="AW58" s="78">
        <v>9580.2810000000009</v>
      </c>
      <c r="AX58" s="78">
        <v>0</v>
      </c>
      <c r="AY58" s="78">
        <v>2655</v>
      </c>
      <c r="AZ58" s="78">
        <v>4315.9618866347901</v>
      </c>
      <c r="BA58" s="78">
        <v>9</v>
      </c>
      <c r="BB58" s="78">
        <v>9</v>
      </c>
      <c r="BC58" s="78">
        <v>4363</v>
      </c>
      <c r="BD58" s="78">
        <v>1</v>
      </c>
      <c r="BE58" s="78">
        <v>0</v>
      </c>
      <c r="BF58" s="78">
        <v>0</v>
      </c>
      <c r="BG58" s="78">
        <v>0</v>
      </c>
      <c r="BH58" s="78">
        <v>0</v>
      </c>
      <c r="BI58" s="78">
        <v>0</v>
      </c>
      <c r="BJ58" s="78">
        <v>0</v>
      </c>
      <c r="BK58" s="78">
        <v>0</v>
      </c>
      <c r="BL58" s="78">
        <v>0</v>
      </c>
      <c r="BM58" s="78">
        <v>450.24</v>
      </c>
      <c r="BN58" s="78">
        <v>86</v>
      </c>
      <c r="BO58" s="78">
        <v>59</v>
      </c>
      <c r="BP58" s="78">
        <v>10455.9</v>
      </c>
      <c r="BQ58" s="78">
        <v>2377.2800000000002</v>
      </c>
      <c r="BR58" s="78">
        <v>174.948194322728</v>
      </c>
      <c r="BS58" s="78">
        <v>283</v>
      </c>
      <c r="BT58" s="78">
        <v>121</v>
      </c>
      <c r="BU58" s="78">
        <v>84.3333333333333</v>
      </c>
      <c r="BV58" s="78">
        <f t="shared" si="4"/>
        <v>1489.999999999997</v>
      </c>
      <c r="BW58" s="78">
        <v>399</v>
      </c>
      <c r="BX58" s="78">
        <v>6371.2098568975398</v>
      </c>
      <c r="BY58" s="402">
        <v>0.72199999999999998</v>
      </c>
      <c r="BZ58" s="78">
        <v>26191</v>
      </c>
      <c r="CA58" s="78">
        <v>4649</v>
      </c>
      <c r="CB58" s="78">
        <v>1114</v>
      </c>
      <c r="CC58" s="78">
        <v>810</v>
      </c>
      <c r="CD58" s="78">
        <v>970</v>
      </c>
      <c r="CE58" s="78">
        <v>533</v>
      </c>
      <c r="CF58" s="78">
        <v>453.41210796426498</v>
      </c>
      <c r="CG58" s="78">
        <v>324.14348983083102</v>
      </c>
      <c r="CH58" s="78">
        <v>119.063200912374</v>
      </c>
      <c r="CI58" s="78">
        <v>1192.6539</v>
      </c>
      <c r="CJ58" s="78">
        <v>852.62609999999995</v>
      </c>
      <c r="CK58" s="78">
        <v>313.18349999999998</v>
      </c>
      <c r="CL58" s="78">
        <v>31752</v>
      </c>
    </row>
    <row r="59" spans="1:90" customFormat="1" x14ac:dyDescent="0.35">
      <c r="A59" s="72">
        <v>166</v>
      </c>
      <c r="B59" s="72" t="s">
        <v>164</v>
      </c>
      <c r="C59" s="72">
        <v>4</v>
      </c>
      <c r="D59" s="78">
        <v>4087600000</v>
      </c>
      <c r="E59" s="78">
        <v>712250000</v>
      </c>
      <c r="F59" s="78">
        <v>787150000</v>
      </c>
      <c r="G59" s="78">
        <v>54319</v>
      </c>
      <c r="H59" s="78">
        <v>1</v>
      </c>
      <c r="I59" s="78">
        <f t="shared" si="2"/>
        <v>787.15</v>
      </c>
      <c r="J59" s="78">
        <v>12726</v>
      </c>
      <c r="K59" s="78">
        <v>9259</v>
      </c>
      <c r="L59" s="78">
        <v>2995</v>
      </c>
      <c r="M59" s="78">
        <v>6830</v>
      </c>
      <c r="N59" s="78">
        <f t="shared" si="3"/>
        <v>4561</v>
      </c>
      <c r="O59" s="78">
        <v>843.66666666666697</v>
      </c>
      <c r="P59" s="78">
        <v>87</v>
      </c>
      <c r="Q59" s="78">
        <v>3570.6666666666702</v>
      </c>
      <c r="R59" s="78">
        <v>7001</v>
      </c>
      <c r="S59" s="78">
        <v>1815</v>
      </c>
      <c r="T59" s="78">
        <v>0</v>
      </c>
      <c r="U59" s="78">
        <v>1312</v>
      </c>
      <c r="V59" s="78">
        <v>22996</v>
      </c>
      <c r="W59" s="78">
        <v>56560</v>
      </c>
      <c r="X59" s="78">
        <v>64670</v>
      </c>
      <c r="Y59" s="78">
        <v>1383.26</v>
      </c>
      <c r="Z59" s="78">
        <v>3301.6</v>
      </c>
      <c r="AA59" s="78">
        <v>0</v>
      </c>
      <c r="AB59" s="399">
        <v>0</v>
      </c>
      <c r="AC59" s="399">
        <v>0</v>
      </c>
      <c r="AD59" s="78">
        <v>14133</v>
      </c>
      <c r="AE59" s="78">
        <v>14133</v>
      </c>
      <c r="AF59" s="78">
        <v>2046</v>
      </c>
      <c r="AG59" s="78">
        <v>0</v>
      </c>
      <c r="AH59" s="78">
        <v>268</v>
      </c>
      <c r="AI59" s="78">
        <v>110</v>
      </c>
      <c r="AJ59" s="78">
        <v>273.36</v>
      </c>
      <c r="AK59" s="78">
        <v>110</v>
      </c>
      <c r="AL59" s="78">
        <v>378</v>
      </c>
      <c r="AM59" s="78">
        <v>22690</v>
      </c>
      <c r="AN59" s="78">
        <v>23143.8</v>
      </c>
      <c r="AO59" s="78">
        <v>36</v>
      </c>
      <c r="AP59" s="78">
        <v>0</v>
      </c>
      <c r="AQ59" s="78">
        <v>0</v>
      </c>
      <c r="AR59" s="78">
        <v>5700</v>
      </c>
      <c r="AS59" s="78">
        <v>4545</v>
      </c>
      <c r="AT59" s="78">
        <v>3052</v>
      </c>
      <c r="AU59" s="400">
        <v>2.5566830000000001E-3</v>
      </c>
      <c r="AV59" s="400">
        <v>2.1632019999999999E-3</v>
      </c>
      <c r="AW59" s="78">
        <v>33286.230000000003</v>
      </c>
      <c r="AX59" s="78">
        <v>0</v>
      </c>
      <c r="AY59" s="78">
        <v>5457</v>
      </c>
      <c r="AZ59" s="78">
        <v>18650.228382471101</v>
      </c>
      <c r="BA59" s="78">
        <v>10</v>
      </c>
      <c r="BB59" s="78">
        <v>10</v>
      </c>
      <c r="BC59" s="78">
        <v>5333</v>
      </c>
      <c r="BD59" s="78">
        <v>1</v>
      </c>
      <c r="BE59" s="78">
        <v>0</v>
      </c>
      <c r="BF59" s="78">
        <v>0</v>
      </c>
      <c r="BG59" s="78">
        <v>0</v>
      </c>
      <c r="BH59" s="78">
        <v>0</v>
      </c>
      <c r="BI59" s="78">
        <v>0</v>
      </c>
      <c r="BJ59" s="78">
        <v>0</v>
      </c>
      <c r="BK59" s="78">
        <v>0</v>
      </c>
      <c r="BL59" s="78">
        <v>0</v>
      </c>
      <c r="BM59" s="78">
        <v>1094.4359999999999</v>
      </c>
      <c r="BN59" s="78">
        <v>222</v>
      </c>
      <c r="BO59" s="78">
        <v>92</v>
      </c>
      <c r="BP59" s="78">
        <v>12885.86</v>
      </c>
      <c r="BQ59" s="78">
        <v>3632.16</v>
      </c>
      <c r="BR59" s="78">
        <v>527.85138219895305</v>
      </c>
      <c r="BS59" s="78">
        <v>543</v>
      </c>
      <c r="BT59" s="78">
        <v>227.666666666667</v>
      </c>
      <c r="BU59" s="78">
        <v>186</v>
      </c>
      <c r="BV59" s="78">
        <f t="shared" si="4"/>
        <v>2727.0000000000032</v>
      </c>
      <c r="BW59" s="78">
        <v>1028</v>
      </c>
      <c r="BX59" s="78">
        <v>7079.9032499674604</v>
      </c>
      <c r="BY59" s="402">
        <v>1.7529999999999999</v>
      </c>
      <c r="BZ59" s="78">
        <v>45060</v>
      </c>
      <c r="CA59" s="78">
        <v>5223</v>
      </c>
      <c r="CB59" s="78">
        <v>1041</v>
      </c>
      <c r="CC59" s="78">
        <v>1033</v>
      </c>
      <c r="CD59" s="78">
        <v>965</v>
      </c>
      <c r="CE59" s="78">
        <v>507</v>
      </c>
      <c r="CF59" s="78">
        <v>630.78087263111502</v>
      </c>
      <c r="CG59" s="78">
        <v>400.21820185103599</v>
      </c>
      <c r="CH59" s="78">
        <v>138.90044072278499</v>
      </c>
      <c r="CI59" s="78">
        <v>1692.0096000000001</v>
      </c>
      <c r="CJ59" s="78">
        <v>1073.5472</v>
      </c>
      <c r="CK59" s="78">
        <v>372.5872</v>
      </c>
      <c r="CL59" s="78">
        <v>67719</v>
      </c>
    </row>
    <row r="60" spans="1:90" customFormat="1" x14ac:dyDescent="0.35">
      <c r="A60" s="72">
        <v>168</v>
      </c>
      <c r="B60" s="72" t="s">
        <v>191</v>
      </c>
      <c r="C60" s="72">
        <v>4</v>
      </c>
      <c r="D60" s="78">
        <v>1836400000</v>
      </c>
      <c r="E60" s="78">
        <v>219100000</v>
      </c>
      <c r="F60" s="78">
        <v>269850000</v>
      </c>
      <c r="G60" s="78">
        <v>22683</v>
      </c>
      <c r="H60" s="78">
        <v>3</v>
      </c>
      <c r="I60" s="78">
        <f t="shared" si="2"/>
        <v>269.85000000000002</v>
      </c>
      <c r="J60" s="78">
        <v>4264</v>
      </c>
      <c r="K60" s="78">
        <v>5383</v>
      </c>
      <c r="L60" s="78">
        <v>1730</v>
      </c>
      <c r="M60" s="78">
        <v>2876</v>
      </c>
      <c r="N60" s="78">
        <f t="shared" si="3"/>
        <v>1861.8</v>
      </c>
      <c r="O60" s="78">
        <v>332</v>
      </c>
      <c r="P60" s="78">
        <v>33</v>
      </c>
      <c r="Q60" s="78">
        <v>1862</v>
      </c>
      <c r="R60" s="78">
        <v>2598</v>
      </c>
      <c r="S60" s="78">
        <v>470</v>
      </c>
      <c r="T60" s="78">
        <v>0</v>
      </c>
      <c r="U60" s="78">
        <v>633</v>
      </c>
      <c r="V60" s="78">
        <v>9938</v>
      </c>
      <c r="W60" s="78">
        <v>18330</v>
      </c>
      <c r="X60" s="78">
        <v>6810</v>
      </c>
      <c r="Y60" s="78">
        <v>62.28</v>
      </c>
      <c r="Z60" s="78">
        <v>404</v>
      </c>
      <c r="AA60" s="78">
        <v>0</v>
      </c>
      <c r="AB60" s="399">
        <v>0</v>
      </c>
      <c r="AC60" s="399">
        <v>0</v>
      </c>
      <c r="AD60" s="78">
        <v>9876</v>
      </c>
      <c r="AE60" s="78">
        <v>9876</v>
      </c>
      <c r="AF60" s="78">
        <v>86</v>
      </c>
      <c r="AG60" s="78">
        <v>0</v>
      </c>
      <c r="AH60" s="78">
        <v>121</v>
      </c>
      <c r="AI60" s="78">
        <v>71</v>
      </c>
      <c r="AJ60" s="78">
        <v>121</v>
      </c>
      <c r="AK60" s="78">
        <v>71</v>
      </c>
      <c r="AL60" s="78">
        <v>191</v>
      </c>
      <c r="AM60" s="78">
        <v>10142</v>
      </c>
      <c r="AN60" s="78">
        <v>10142</v>
      </c>
      <c r="AO60" s="78">
        <v>0</v>
      </c>
      <c r="AP60" s="78">
        <v>0</v>
      </c>
      <c r="AQ60" s="78">
        <v>0</v>
      </c>
      <c r="AR60" s="78">
        <v>0</v>
      </c>
      <c r="AS60" s="78">
        <v>0</v>
      </c>
      <c r="AT60" s="78">
        <v>0</v>
      </c>
      <c r="AU60" s="400">
        <v>3.5065999999999998E-4</v>
      </c>
      <c r="AV60" s="400">
        <v>2.22866E-4</v>
      </c>
      <c r="AW60" s="78">
        <v>7525.3639999999996</v>
      </c>
      <c r="AX60" s="78">
        <v>0</v>
      </c>
      <c r="AY60" s="78">
        <v>1448</v>
      </c>
      <c r="AZ60" s="78">
        <v>3297.0271029913702</v>
      </c>
      <c r="BA60" s="78">
        <v>7</v>
      </c>
      <c r="BB60" s="78">
        <v>7</v>
      </c>
      <c r="BC60" s="78">
        <v>2107</v>
      </c>
      <c r="BD60" s="78">
        <v>1</v>
      </c>
      <c r="BE60" s="78">
        <v>0</v>
      </c>
      <c r="BF60" s="78">
        <v>0</v>
      </c>
      <c r="BG60" s="78">
        <v>0</v>
      </c>
      <c r="BH60" s="78">
        <v>0</v>
      </c>
      <c r="BI60" s="78">
        <v>0</v>
      </c>
      <c r="BJ60" s="78">
        <v>0</v>
      </c>
      <c r="BK60" s="78">
        <v>0</v>
      </c>
      <c r="BL60" s="78">
        <v>0</v>
      </c>
      <c r="BM60" s="78">
        <v>434.928</v>
      </c>
      <c r="BN60" s="78">
        <v>86</v>
      </c>
      <c r="BO60" s="78">
        <v>19</v>
      </c>
      <c r="BP60" s="78">
        <v>5729.12</v>
      </c>
      <c r="BQ60" s="78">
        <v>1416.6</v>
      </c>
      <c r="BR60" s="78">
        <v>70.142678101772404</v>
      </c>
      <c r="BS60" s="78">
        <v>260</v>
      </c>
      <c r="BT60" s="78">
        <v>110.333333333333</v>
      </c>
      <c r="BU60" s="78">
        <v>93.3333333333333</v>
      </c>
      <c r="BV60" s="78">
        <f t="shared" si="4"/>
        <v>1530</v>
      </c>
      <c r="BW60" s="78">
        <v>560</v>
      </c>
      <c r="BX60" s="78">
        <v>4181.6053346300096</v>
      </c>
      <c r="BY60" s="402">
        <v>0.58199999999999996</v>
      </c>
      <c r="BZ60" s="78">
        <v>17300</v>
      </c>
      <c r="CA60" s="78">
        <v>3154</v>
      </c>
      <c r="CB60" s="78">
        <v>499</v>
      </c>
      <c r="CC60" s="78">
        <v>529</v>
      </c>
      <c r="CD60" s="78">
        <v>505</v>
      </c>
      <c r="CE60" s="78">
        <v>262</v>
      </c>
      <c r="CF60" s="78">
        <v>342.180556103333</v>
      </c>
      <c r="CG60" s="78">
        <v>204.68418457897801</v>
      </c>
      <c r="CH60" s="78">
        <v>67.1878130546243</v>
      </c>
      <c r="CI60" s="78">
        <v>945.98</v>
      </c>
      <c r="CJ60" s="78">
        <v>565.86249999999995</v>
      </c>
      <c r="CK60" s="78">
        <v>185.745</v>
      </c>
      <c r="CL60" s="78">
        <v>111519</v>
      </c>
    </row>
    <row r="61" spans="1:90" customFormat="1" x14ac:dyDescent="0.35">
      <c r="A61" s="72">
        <v>173</v>
      </c>
      <c r="B61" s="72" t="s">
        <v>229</v>
      </c>
      <c r="C61" s="72">
        <v>4</v>
      </c>
      <c r="D61" s="78">
        <v>2785200000</v>
      </c>
      <c r="E61" s="78">
        <v>513100000</v>
      </c>
      <c r="F61" s="78">
        <v>530950000</v>
      </c>
      <c r="G61" s="78">
        <v>31836</v>
      </c>
      <c r="H61" s="78">
        <v>1</v>
      </c>
      <c r="I61" s="78">
        <f t="shared" si="2"/>
        <v>530.95000000000005</v>
      </c>
      <c r="J61" s="78">
        <v>6351</v>
      </c>
      <c r="K61" s="78">
        <v>7416</v>
      </c>
      <c r="L61" s="78">
        <v>2465</v>
      </c>
      <c r="M61" s="78">
        <v>4477</v>
      </c>
      <c r="N61" s="78">
        <f t="shared" si="3"/>
        <v>3008.3</v>
      </c>
      <c r="O61" s="78">
        <v>539</v>
      </c>
      <c r="P61" s="78">
        <v>48</v>
      </c>
      <c r="Q61" s="78">
        <v>2362</v>
      </c>
      <c r="R61" s="78">
        <v>4756</v>
      </c>
      <c r="S61" s="78">
        <v>1670</v>
      </c>
      <c r="T61" s="78">
        <v>0</v>
      </c>
      <c r="U61" s="78">
        <v>942</v>
      </c>
      <c r="V61" s="78">
        <v>14478</v>
      </c>
      <c r="W61" s="78">
        <v>33270</v>
      </c>
      <c r="X61" s="78">
        <v>30070</v>
      </c>
      <c r="Y61" s="78">
        <v>853.38</v>
      </c>
      <c r="Z61" s="78">
        <v>3153.6</v>
      </c>
      <c r="AA61" s="78">
        <v>0</v>
      </c>
      <c r="AB61" s="399">
        <v>0</v>
      </c>
      <c r="AC61" s="399">
        <v>0</v>
      </c>
      <c r="AD61" s="78">
        <v>2155</v>
      </c>
      <c r="AE61" s="78">
        <v>2155</v>
      </c>
      <c r="AF61" s="78">
        <v>40</v>
      </c>
      <c r="AG61" s="78">
        <v>0</v>
      </c>
      <c r="AH61" s="78">
        <v>214</v>
      </c>
      <c r="AI61" s="78">
        <v>20</v>
      </c>
      <c r="AJ61" s="78">
        <v>214</v>
      </c>
      <c r="AK61" s="78">
        <v>20</v>
      </c>
      <c r="AL61" s="78">
        <v>234</v>
      </c>
      <c r="AM61" s="78">
        <v>14687</v>
      </c>
      <c r="AN61" s="78">
        <v>14687</v>
      </c>
      <c r="AO61" s="78">
        <v>8</v>
      </c>
      <c r="AP61" s="78">
        <v>0</v>
      </c>
      <c r="AQ61" s="78">
        <v>0</v>
      </c>
      <c r="AR61" s="78">
        <v>0</v>
      </c>
      <c r="AS61" s="78">
        <v>2091</v>
      </c>
      <c r="AT61" s="78">
        <v>2091</v>
      </c>
      <c r="AU61" s="400">
        <v>6.3914199999999999E-4</v>
      </c>
      <c r="AV61" s="400">
        <v>7.6082799999999996E-4</v>
      </c>
      <c r="AW61" s="78">
        <v>21604.577000000001</v>
      </c>
      <c r="AX61" s="78">
        <v>0</v>
      </c>
      <c r="AY61" s="78">
        <v>320</v>
      </c>
      <c r="AZ61" s="78">
        <v>4641.2391799544403</v>
      </c>
      <c r="BA61" s="78">
        <v>3</v>
      </c>
      <c r="BB61" s="78">
        <v>3</v>
      </c>
      <c r="BC61" s="78">
        <v>3259</v>
      </c>
      <c r="BD61" s="78">
        <v>1</v>
      </c>
      <c r="BE61" s="78">
        <v>0</v>
      </c>
      <c r="BF61" s="78">
        <v>0</v>
      </c>
      <c r="BG61" s="78">
        <v>0</v>
      </c>
      <c r="BH61" s="78">
        <v>0</v>
      </c>
      <c r="BI61" s="78">
        <v>0</v>
      </c>
      <c r="BJ61" s="78">
        <v>0</v>
      </c>
      <c r="BK61" s="78">
        <v>0</v>
      </c>
      <c r="BL61" s="78">
        <v>0</v>
      </c>
      <c r="BM61" s="78">
        <v>666.85500000000002</v>
      </c>
      <c r="BN61" s="78">
        <v>102</v>
      </c>
      <c r="BO61" s="78">
        <v>79</v>
      </c>
      <c r="BP61" s="78">
        <v>8982.4</v>
      </c>
      <c r="BQ61" s="78">
        <v>2252.25</v>
      </c>
      <c r="BR61" s="78">
        <v>157.91155528255501</v>
      </c>
      <c r="BS61" s="78">
        <v>381</v>
      </c>
      <c r="BT61" s="78">
        <v>154</v>
      </c>
      <c r="BU61" s="78">
        <v>123.333333333333</v>
      </c>
      <c r="BV61" s="78">
        <f t="shared" si="4"/>
        <v>1823</v>
      </c>
      <c r="BW61" s="78">
        <v>531</v>
      </c>
      <c r="BX61" s="78">
        <v>5507.5080150753802</v>
      </c>
      <c r="BY61" s="402">
        <v>1.228</v>
      </c>
      <c r="BZ61" s="78">
        <v>24420</v>
      </c>
      <c r="CA61" s="78">
        <v>4140</v>
      </c>
      <c r="CB61" s="78">
        <v>811</v>
      </c>
      <c r="CC61" s="78">
        <v>870</v>
      </c>
      <c r="CD61" s="78">
        <v>793</v>
      </c>
      <c r="CE61" s="78">
        <v>417</v>
      </c>
      <c r="CF61" s="78">
        <v>521.285728875877</v>
      </c>
      <c r="CG61" s="78">
        <v>330.38659358616502</v>
      </c>
      <c r="CH61" s="78">
        <v>115.11299788929</v>
      </c>
      <c r="CI61" s="78">
        <v>1215.2375</v>
      </c>
      <c r="CJ61" s="78">
        <v>770.20749999999998</v>
      </c>
      <c r="CK61" s="78">
        <v>268.35500000000002</v>
      </c>
      <c r="CL61" s="78">
        <v>40377</v>
      </c>
    </row>
    <row r="62" spans="1:90" customFormat="1" x14ac:dyDescent="0.35">
      <c r="A62" s="72">
        <v>1773</v>
      </c>
      <c r="B62" s="72" t="s">
        <v>230</v>
      </c>
      <c r="C62" s="72">
        <v>4</v>
      </c>
      <c r="D62" s="78">
        <v>1584400000</v>
      </c>
      <c r="E62" s="78">
        <v>170800000</v>
      </c>
      <c r="F62" s="78">
        <v>213150000</v>
      </c>
      <c r="G62" s="78">
        <v>18252</v>
      </c>
      <c r="H62" s="78">
        <v>2</v>
      </c>
      <c r="I62" s="78">
        <f t="shared" si="2"/>
        <v>213.15</v>
      </c>
      <c r="J62" s="78">
        <v>3485</v>
      </c>
      <c r="K62" s="78">
        <v>3945</v>
      </c>
      <c r="L62" s="78">
        <v>1163</v>
      </c>
      <c r="M62" s="78">
        <v>2092</v>
      </c>
      <c r="N62" s="78">
        <f t="shared" si="3"/>
        <v>1299.4000000000001</v>
      </c>
      <c r="O62" s="78">
        <v>200</v>
      </c>
      <c r="P62" s="78">
        <v>13</v>
      </c>
      <c r="Q62" s="78">
        <v>1176</v>
      </c>
      <c r="R62" s="78">
        <v>2100</v>
      </c>
      <c r="S62" s="78">
        <v>405</v>
      </c>
      <c r="T62" s="78">
        <v>0</v>
      </c>
      <c r="U62" s="78">
        <v>413</v>
      </c>
      <c r="V62" s="78">
        <v>7945</v>
      </c>
      <c r="W62" s="78">
        <v>15310</v>
      </c>
      <c r="X62" s="78">
        <v>3970</v>
      </c>
      <c r="Y62" s="78">
        <v>0</v>
      </c>
      <c r="Z62" s="78">
        <v>268</v>
      </c>
      <c r="AA62" s="78">
        <v>0</v>
      </c>
      <c r="AB62" s="399">
        <v>0</v>
      </c>
      <c r="AC62" s="399">
        <v>0</v>
      </c>
      <c r="AD62" s="78">
        <v>11366</v>
      </c>
      <c r="AE62" s="78">
        <v>11366</v>
      </c>
      <c r="AF62" s="78">
        <v>471</v>
      </c>
      <c r="AG62" s="78">
        <v>0</v>
      </c>
      <c r="AH62" s="78">
        <v>82</v>
      </c>
      <c r="AI62" s="78">
        <v>97</v>
      </c>
      <c r="AJ62" s="78">
        <v>82</v>
      </c>
      <c r="AK62" s="78">
        <v>97</v>
      </c>
      <c r="AL62" s="78">
        <v>179</v>
      </c>
      <c r="AM62" s="78">
        <v>7926</v>
      </c>
      <c r="AN62" s="78">
        <v>7926</v>
      </c>
      <c r="AO62" s="78">
        <v>0</v>
      </c>
      <c r="AP62" s="78">
        <v>0</v>
      </c>
      <c r="AQ62" s="78">
        <v>0</v>
      </c>
      <c r="AR62" s="78">
        <v>0</v>
      </c>
      <c r="AS62" s="78">
        <v>526</v>
      </c>
      <c r="AT62" s="78">
        <v>0</v>
      </c>
      <c r="AU62" s="400">
        <v>3.7635300000000001E-4</v>
      </c>
      <c r="AV62" s="400">
        <v>1.6223E-4</v>
      </c>
      <c r="AW62" s="78">
        <v>3709.3679999999999</v>
      </c>
      <c r="AX62" s="78">
        <v>0</v>
      </c>
      <c r="AY62" s="78">
        <v>2922</v>
      </c>
      <c r="AZ62" s="78">
        <v>4505.5625580806</v>
      </c>
      <c r="BA62" s="78">
        <v>8</v>
      </c>
      <c r="BB62" s="78">
        <v>8</v>
      </c>
      <c r="BC62" s="78">
        <v>1895</v>
      </c>
      <c r="BD62" s="78">
        <v>1</v>
      </c>
      <c r="BE62" s="78">
        <v>0</v>
      </c>
      <c r="BF62" s="78">
        <v>0</v>
      </c>
      <c r="BG62" s="78">
        <v>0</v>
      </c>
      <c r="BH62" s="78">
        <v>0</v>
      </c>
      <c r="BI62" s="78">
        <v>0</v>
      </c>
      <c r="BJ62" s="78">
        <v>0</v>
      </c>
      <c r="BK62" s="78">
        <v>0</v>
      </c>
      <c r="BL62" s="78">
        <v>0</v>
      </c>
      <c r="BM62" s="78">
        <v>268.34500000000003</v>
      </c>
      <c r="BN62" s="78">
        <v>32</v>
      </c>
      <c r="BO62" s="78">
        <v>27</v>
      </c>
      <c r="BP62" s="78">
        <v>4994.22</v>
      </c>
      <c r="BQ62" s="78">
        <v>1263.9000000000001</v>
      </c>
      <c r="BR62" s="78">
        <v>129.89773381295001</v>
      </c>
      <c r="BS62" s="78">
        <v>166</v>
      </c>
      <c r="BT62" s="78">
        <v>61</v>
      </c>
      <c r="BU62" s="78">
        <v>42.6666666666667</v>
      </c>
      <c r="BV62" s="78">
        <f t="shared" si="4"/>
        <v>976</v>
      </c>
      <c r="BW62" s="78">
        <v>381</v>
      </c>
      <c r="BX62" s="78">
        <v>3249.70643351226</v>
      </c>
      <c r="BY62" s="402">
        <v>0.23</v>
      </c>
      <c r="BZ62" s="78">
        <v>14307</v>
      </c>
      <c r="CA62" s="78">
        <v>2309</v>
      </c>
      <c r="CB62" s="78">
        <v>473</v>
      </c>
      <c r="CC62" s="78">
        <v>377</v>
      </c>
      <c r="CD62" s="78">
        <v>361</v>
      </c>
      <c r="CE62" s="78">
        <v>212</v>
      </c>
      <c r="CF62" s="78">
        <v>221.64885187988901</v>
      </c>
      <c r="CG62" s="78">
        <v>129.02192783244999</v>
      </c>
      <c r="CH62" s="78">
        <v>48.690613171839502</v>
      </c>
      <c r="CI62" s="78">
        <v>612.59119999999996</v>
      </c>
      <c r="CJ62" s="78">
        <v>356.58969999999999</v>
      </c>
      <c r="CK62" s="78">
        <v>134.57069999999999</v>
      </c>
      <c r="CL62" s="78">
        <v>41245</v>
      </c>
    </row>
    <row r="63" spans="1:90" customFormat="1" x14ac:dyDescent="0.35">
      <c r="A63" s="72">
        <v>175</v>
      </c>
      <c r="B63" s="72" t="s">
        <v>231</v>
      </c>
      <c r="C63" s="72">
        <v>4</v>
      </c>
      <c r="D63" s="78">
        <v>1614400000</v>
      </c>
      <c r="E63" s="78">
        <v>331100000</v>
      </c>
      <c r="F63" s="78">
        <v>370300000</v>
      </c>
      <c r="G63" s="78">
        <v>18009</v>
      </c>
      <c r="H63" s="78">
        <v>1</v>
      </c>
      <c r="I63" s="78">
        <f t="shared" si="2"/>
        <v>370.3</v>
      </c>
      <c r="J63" s="78">
        <v>3648</v>
      </c>
      <c r="K63" s="78">
        <v>4070</v>
      </c>
      <c r="L63" s="78">
        <v>1248</v>
      </c>
      <c r="M63" s="78">
        <v>2111</v>
      </c>
      <c r="N63" s="78">
        <f t="shared" si="3"/>
        <v>1242.1999999999998</v>
      </c>
      <c r="O63" s="78">
        <v>211</v>
      </c>
      <c r="P63" s="78">
        <v>41</v>
      </c>
      <c r="Q63" s="78">
        <v>1105</v>
      </c>
      <c r="R63" s="78">
        <v>2250</v>
      </c>
      <c r="S63" s="78">
        <v>190</v>
      </c>
      <c r="T63" s="78">
        <v>0</v>
      </c>
      <c r="U63" s="78">
        <v>386</v>
      </c>
      <c r="V63" s="78">
        <v>7797</v>
      </c>
      <c r="W63" s="78">
        <v>17430</v>
      </c>
      <c r="X63" s="78">
        <v>12140</v>
      </c>
      <c r="Y63" s="78">
        <v>1297.44</v>
      </c>
      <c r="Z63" s="78">
        <v>1160</v>
      </c>
      <c r="AA63" s="78">
        <v>0</v>
      </c>
      <c r="AB63" s="399">
        <v>0</v>
      </c>
      <c r="AC63" s="399">
        <v>528.19999999999993</v>
      </c>
      <c r="AD63" s="78">
        <v>17981</v>
      </c>
      <c r="AE63" s="78">
        <v>17981</v>
      </c>
      <c r="AF63" s="78">
        <v>220</v>
      </c>
      <c r="AG63" s="78">
        <v>0</v>
      </c>
      <c r="AH63" s="78">
        <v>101</v>
      </c>
      <c r="AI63" s="78">
        <v>124</v>
      </c>
      <c r="AJ63" s="78">
        <v>101</v>
      </c>
      <c r="AK63" s="78">
        <v>124</v>
      </c>
      <c r="AL63" s="78">
        <v>225</v>
      </c>
      <c r="AM63" s="78">
        <v>8688</v>
      </c>
      <c r="AN63" s="78">
        <v>8688</v>
      </c>
      <c r="AO63" s="78">
        <v>5</v>
      </c>
      <c r="AP63" s="78">
        <v>0</v>
      </c>
      <c r="AQ63" s="78">
        <v>0</v>
      </c>
      <c r="AR63" s="78">
        <v>0</v>
      </c>
      <c r="AS63" s="78">
        <v>0</v>
      </c>
      <c r="AT63" s="78">
        <v>0</v>
      </c>
      <c r="AU63" s="400">
        <v>2.7506699999999999E-4</v>
      </c>
      <c r="AV63" s="400">
        <v>1.7006200000000001E-4</v>
      </c>
      <c r="AW63" s="78">
        <v>4361.3760000000002</v>
      </c>
      <c r="AX63" s="78">
        <v>0</v>
      </c>
      <c r="AY63" s="78">
        <v>2591</v>
      </c>
      <c r="AZ63" s="78">
        <v>2563.6678753914598</v>
      </c>
      <c r="BA63" s="78">
        <v>14</v>
      </c>
      <c r="BB63" s="78">
        <v>14</v>
      </c>
      <c r="BC63" s="78">
        <v>2112</v>
      </c>
      <c r="BD63" s="78">
        <v>1</v>
      </c>
      <c r="BE63" s="78">
        <v>0</v>
      </c>
      <c r="BF63" s="78">
        <v>0</v>
      </c>
      <c r="BG63" s="78">
        <v>0</v>
      </c>
      <c r="BH63" s="78">
        <v>0</v>
      </c>
      <c r="BI63" s="78">
        <v>0</v>
      </c>
      <c r="BJ63" s="78">
        <v>0</v>
      </c>
      <c r="BK63" s="78">
        <v>0</v>
      </c>
      <c r="BL63" s="78">
        <v>0</v>
      </c>
      <c r="BM63" s="78">
        <v>291.83999999999997</v>
      </c>
      <c r="BN63" s="78">
        <v>79</v>
      </c>
      <c r="BO63" s="78">
        <v>28</v>
      </c>
      <c r="BP63" s="78">
        <v>5002.8900000000003</v>
      </c>
      <c r="BQ63" s="78">
        <v>1119.96</v>
      </c>
      <c r="BR63" s="78">
        <v>105.930286580743</v>
      </c>
      <c r="BS63" s="78">
        <v>158</v>
      </c>
      <c r="BT63" s="78">
        <v>61.6666666666667</v>
      </c>
      <c r="BU63" s="78">
        <v>42.3333333333333</v>
      </c>
      <c r="BV63" s="78">
        <f t="shared" si="4"/>
        <v>894</v>
      </c>
      <c r="BW63" s="78">
        <v>334</v>
      </c>
      <c r="BX63" s="78">
        <v>2517.8428091843002</v>
      </c>
      <c r="BY63" s="402">
        <v>0.36799999999999999</v>
      </c>
      <c r="BZ63" s="78">
        <v>13939</v>
      </c>
      <c r="CA63" s="78">
        <v>2347</v>
      </c>
      <c r="CB63" s="78">
        <v>475</v>
      </c>
      <c r="CC63" s="78">
        <v>383</v>
      </c>
      <c r="CD63" s="78">
        <v>377</v>
      </c>
      <c r="CE63" s="78">
        <v>220</v>
      </c>
      <c r="CF63" s="78">
        <v>192.73545119705301</v>
      </c>
      <c r="CG63" s="78">
        <v>116.098802946593</v>
      </c>
      <c r="CH63" s="78">
        <v>46.611095764272598</v>
      </c>
      <c r="CI63" s="78">
        <v>616.17079999999999</v>
      </c>
      <c r="CJ63" s="78">
        <v>371.16520000000003</v>
      </c>
      <c r="CK63" s="78">
        <v>149.0146</v>
      </c>
      <c r="CL63" s="78">
        <v>0</v>
      </c>
    </row>
    <row r="64" spans="1:90" customFormat="1" x14ac:dyDescent="0.35">
      <c r="A64" s="72">
        <v>177</v>
      </c>
      <c r="B64" s="72" t="s">
        <v>249</v>
      </c>
      <c r="C64" s="72">
        <v>4</v>
      </c>
      <c r="D64" s="78">
        <v>3302400000</v>
      </c>
      <c r="E64" s="78">
        <v>537950000</v>
      </c>
      <c r="F64" s="78">
        <v>610750000</v>
      </c>
      <c r="G64" s="78">
        <v>37712</v>
      </c>
      <c r="H64" s="78">
        <v>4</v>
      </c>
      <c r="I64" s="78">
        <f t="shared" si="2"/>
        <v>610.75</v>
      </c>
      <c r="J64" s="78">
        <v>7322</v>
      </c>
      <c r="K64" s="78">
        <v>8358</v>
      </c>
      <c r="L64" s="78">
        <v>2641</v>
      </c>
      <c r="M64" s="78">
        <v>4501</v>
      </c>
      <c r="N64" s="78">
        <f t="shared" si="3"/>
        <v>2849.5</v>
      </c>
      <c r="O64" s="78">
        <v>392.66666666666703</v>
      </c>
      <c r="P64" s="78">
        <v>15</v>
      </c>
      <c r="Q64" s="78">
        <v>2158.6666666666702</v>
      </c>
      <c r="R64" s="78">
        <v>4442</v>
      </c>
      <c r="S64" s="78">
        <v>675</v>
      </c>
      <c r="T64" s="78">
        <v>0</v>
      </c>
      <c r="U64" s="78">
        <v>796</v>
      </c>
      <c r="V64" s="78">
        <v>16288</v>
      </c>
      <c r="W64" s="78">
        <v>34680</v>
      </c>
      <c r="X64" s="78">
        <v>21400</v>
      </c>
      <c r="Y64" s="78">
        <v>830.14</v>
      </c>
      <c r="Z64" s="78">
        <v>2021.6</v>
      </c>
      <c r="AA64" s="78">
        <v>0</v>
      </c>
      <c r="AB64" s="399">
        <v>0</v>
      </c>
      <c r="AC64" s="399">
        <v>0</v>
      </c>
      <c r="AD64" s="78">
        <v>17095</v>
      </c>
      <c r="AE64" s="78">
        <v>17095</v>
      </c>
      <c r="AF64" s="78">
        <v>134</v>
      </c>
      <c r="AG64" s="78">
        <v>0</v>
      </c>
      <c r="AH64" s="78">
        <v>209</v>
      </c>
      <c r="AI64" s="78">
        <v>189</v>
      </c>
      <c r="AJ64" s="78">
        <v>209</v>
      </c>
      <c r="AK64" s="78">
        <v>189</v>
      </c>
      <c r="AL64" s="78">
        <v>398</v>
      </c>
      <c r="AM64" s="78">
        <v>16515</v>
      </c>
      <c r="AN64" s="78">
        <v>16515</v>
      </c>
      <c r="AO64" s="78">
        <v>0</v>
      </c>
      <c r="AP64" s="78">
        <v>0</v>
      </c>
      <c r="AQ64" s="78">
        <v>0</v>
      </c>
      <c r="AR64" s="78">
        <v>0</v>
      </c>
      <c r="AS64" s="78">
        <v>532</v>
      </c>
      <c r="AT64" s="78">
        <v>0</v>
      </c>
      <c r="AU64" s="400">
        <v>4.2256800000000001E-4</v>
      </c>
      <c r="AV64" s="400">
        <v>2.2431099999999999E-4</v>
      </c>
      <c r="AW64" s="78">
        <v>10949.445</v>
      </c>
      <c r="AX64" s="78">
        <v>0</v>
      </c>
      <c r="AY64" s="78">
        <v>2228</v>
      </c>
      <c r="AZ64" s="78">
        <v>4876.7970282663</v>
      </c>
      <c r="BA64" s="78">
        <v>15</v>
      </c>
      <c r="BB64" s="78">
        <v>15</v>
      </c>
      <c r="BC64" s="78">
        <v>3838</v>
      </c>
      <c r="BD64" s="78">
        <v>1</v>
      </c>
      <c r="BE64" s="78">
        <v>0</v>
      </c>
      <c r="BF64" s="78">
        <v>0</v>
      </c>
      <c r="BG64" s="78">
        <v>0</v>
      </c>
      <c r="BH64" s="78">
        <v>0</v>
      </c>
      <c r="BI64" s="78">
        <v>0</v>
      </c>
      <c r="BJ64" s="78">
        <v>0</v>
      </c>
      <c r="BK64" s="78">
        <v>0</v>
      </c>
      <c r="BL64" s="78">
        <v>0</v>
      </c>
      <c r="BM64" s="78">
        <v>563.79399999999998</v>
      </c>
      <c r="BN64" s="78">
        <v>62</v>
      </c>
      <c r="BO64" s="78">
        <v>71</v>
      </c>
      <c r="BP64" s="78">
        <v>10342.200000000001</v>
      </c>
      <c r="BQ64" s="78">
        <v>2498.56</v>
      </c>
      <c r="BR64" s="78">
        <v>261.41615890794498</v>
      </c>
      <c r="BS64" s="78">
        <v>320</v>
      </c>
      <c r="BT64" s="78">
        <v>118.666666666667</v>
      </c>
      <c r="BU64" s="78">
        <v>88.3333333333333</v>
      </c>
      <c r="BV64" s="78">
        <f t="shared" si="4"/>
        <v>1766.0000000000032</v>
      </c>
      <c r="BW64" s="78">
        <v>583</v>
      </c>
      <c r="BX64" s="78">
        <v>6058.9735320305999</v>
      </c>
      <c r="BY64" s="402">
        <v>0.43</v>
      </c>
      <c r="BZ64" s="78">
        <v>29354</v>
      </c>
      <c r="CA64" s="78">
        <v>4717</v>
      </c>
      <c r="CB64" s="78">
        <v>1000</v>
      </c>
      <c r="CC64" s="78">
        <v>758</v>
      </c>
      <c r="CD64" s="78">
        <v>811</v>
      </c>
      <c r="CE64" s="78">
        <v>461</v>
      </c>
      <c r="CF64" s="78">
        <v>475.34801695428399</v>
      </c>
      <c r="CG64" s="78">
        <v>294.180896155011</v>
      </c>
      <c r="CH64" s="78">
        <v>115.601877081441</v>
      </c>
      <c r="CI64" s="78">
        <v>1270.3305</v>
      </c>
      <c r="CJ64" s="78">
        <v>786.17550000000006</v>
      </c>
      <c r="CK64" s="78">
        <v>308.93700000000001</v>
      </c>
      <c r="CL64" s="78">
        <v>55646</v>
      </c>
    </row>
    <row r="65" spans="1:90" customFormat="1" x14ac:dyDescent="0.35">
      <c r="A65" s="72">
        <v>1742</v>
      </c>
      <c r="B65" s="72" t="s">
        <v>257</v>
      </c>
      <c r="C65" s="72">
        <v>4</v>
      </c>
      <c r="D65" s="78">
        <v>3061200000</v>
      </c>
      <c r="E65" s="78">
        <v>548100000</v>
      </c>
      <c r="F65" s="78">
        <v>583100000</v>
      </c>
      <c r="G65" s="78">
        <v>38177</v>
      </c>
      <c r="H65" s="78">
        <v>2</v>
      </c>
      <c r="I65" s="78">
        <f t="shared" si="2"/>
        <v>583.1</v>
      </c>
      <c r="J65" s="78">
        <v>9194</v>
      </c>
      <c r="K65" s="78">
        <v>7214</v>
      </c>
      <c r="L65" s="78">
        <v>2372</v>
      </c>
      <c r="M65" s="78">
        <v>3846</v>
      </c>
      <c r="N65" s="78">
        <f t="shared" si="3"/>
        <v>2279.5</v>
      </c>
      <c r="O65" s="78">
        <v>377.66666666666703</v>
      </c>
      <c r="P65" s="78">
        <v>55</v>
      </c>
      <c r="Q65" s="78">
        <v>1996.6666666666699</v>
      </c>
      <c r="R65" s="78">
        <v>3656</v>
      </c>
      <c r="S65" s="78">
        <v>1360</v>
      </c>
      <c r="T65" s="78">
        <v>0</v>
      </c>
      <c r="U65" s="78">
        <v>716</v>
      </c>
      <c r="V65" s="78">
        <v>14775</v>
      </c>
      <c r="W65" s="78">
        <v>39610</v>
      </c>
      <c r="X65" s="78">
        <v>34600</v>
      </c>
      <c r="Y65" s="78">
        <v>487.08</v>
      </c>
      <c r="Z65" s="78">
        <v>3043.2</v>
      </c>
      <c r="AA65" s="78">
        <v>0</v>
      </c>
      <c r="AB65" s="399">
        <v>0</v>
      </c>
      <c r="AC65" s="399">
        <v>0</v>
      </c>
      <c r="AD65" s="78">
        <v>9411</v>
      </c>
      <c r="AE65" s="78">
        <v>9411</v>
      </c>
      <c r="AF65" s="78">
        <v>27</v>
      </c>
      <c r="AG65" s="78">
        <v>0</v>
      </c>
      <c r="AH65" s="78">
        <v>233</v>
      </c>
      <c r="AI65" s="78">
        <v>76</v>
      </c>
      <c r="AJ65" s="78">
        <v>233</v>
      </c>
      <c r="AK65" s="78">
        <v>76</v>
      </c>
      <c r="AL65" s="78">
        <v>309</v>
      </c>
      <c r="AM65" s="78">
        <v>15665</v>
      </c>
      <c r="AN65" s="78">
        <v>15665</v>
      </c>
      <c r="AO65" s="78">
        <v>8</v>
      </c>
      <c r="AP65" s="78">
        <v>0</v>
      </c>
      <c r="AQ65" s="78">
        <v>0</v>
      </c>
      <c r="AR65" s="78">
        <v>0</v>
      </c>
      <c r="AS65" s="78">
        <v>1782</v>
      </c>
      <c r="AT65" s="78">
        <v>1782</v>
      </c>
      <c r="AU65" s="400">
        <v>4.26606E-4</v>
      </c>
      <c r="AV65" s="400">
        <v>2.66956E-4</v>
      </c>
      <c r="AW65" s="78">
        <v>17106.18</v>
      </c>
      <c r="AX65" s="78">
        <v>0</v>
      </c>
      <c r="AY65" s="78">
        <v>917</v>
      </c>
      <c r="AZ65" s="78">
        <v>3709.2931765204498</v>
      </c>
      <c r="BA65" s="78">
        <v>9</v>
      </c>
      <c r="BB65" s="78">
        <v>9</v>
      </c>
      <c r="BC65" s="78">
        <v>3751</v>
      </c>
      <c r="BD65" s="78">
        <v>1</v>
      </c>
      <c r="BE65" s="78">
        <v>0</v>
      </c>
      <c r="BF65" s="78">
        <v>0</v>
      </c>
      <c r="BG65" s="78">
        <v>0</v>
      </c>
      <c r="BH65" s="78">
        <v>0</v>
      </c>
      <c r="BI65" s="78">
        <v>0</v>
      </c>
      <c r="BJ65" s="78">
        <v>0</v>
      </c>
      <c r="BK65" s="78">
        <v>0</v>
      </c>
      <c r="BL65" s="78">
        <v>0</v>
      </c>
      <c r="BM65" s="78">
        <v>551.64</v>
      </c>
      <c r="BN65" s="78">
        <v>138</v>
      </c>
      <c r="BO65" s="78">
        <v>40</v>
      </c>
      <c r="BP65" s="78">
        <v>9311.9</v>
      </c>
      <c r="BQ65" s="78">
        <v>2695.59</v>
      </c>
      <c r="BR65" s="78">
        <v>440.48689743589699</v>
      </c>
      <c r="BS65" s="78">
        <v>275</v>
      </c>
      <c r="BT65" s="78">
        <v>127</v>
      </c>
      <c r="BU65" s="78">
        <v>86.3333333333333</v>
      </c>
      <c r="BV65" s="78">
        <f t="shared" si="4"/>
        <v>1619.000000000003</v>
      </c>
      <c r="BW65" s="78">
        <v>512</v>
      </c>
      <c r="BX65" s="78">
        <v>5676.7105744125301</v>
      </c>
      <c r="BY65" s="402">
        <v>0.59</v>
      </c>
      <c r="BZ65" s="78">
        <v>30963</v>
      </c>
      <c r="CA65" s="78">
        <v>3898</v>
      </c>
      <c r="CB65" s="78">
        <v>944</v>
      </c>
      <c r="CC65" s="78">
        <v>649</v>
      </c>
      <c r="CD65" s="78">
        <v>716</v>
      </c>
      <c r="CE65" s="78">
        <v>449</v>
      </c>
      <c r="CF65" s="78">
        <v>334.83112033194999</v>
      </c>
      <c r="CG65" s="78">
        <v>225.40347909352101</v>
      </c>
      <c r="CH65" s="78">
        <v>94.294031279923402</v>
      </c>
      <c r="CI65" s="78">
        <v>1098.7275</v>
      </c>
      <c r="CJ65" s="78">
        <v>739.64750000000004</v>
      </c>
      <c r="CK65" s="78">
        <v>309.42</v>
      </c>
      <c r="CL65" s="78">
        <v>18888</v>
      </c>
    </row>
    <row r="66" spans="1:90" customFormat="1" x14ac:dyDescent="0.35">
      <c r="A66" s="72">
        <v>180</v>
      </c>
      <c r="B66" s="72" t="s">
        <v>283</v>
      </c>
      <c r="C66" s="72">
        <v>4</v>
      </c>
      <c r="D66" s="78">
        <v>1238800000</v>
      </c>
      <c r="E66" s="78">
        <v>308350000</v>
      </c>
      <c r="F66" s="78">
        <v>355600000</v>
      </c>
      <c r="G66" s="78">
        <v>17145</v>
      </c>
      <c r="H66" s="78">
        <v>2</v>
      </c>
      <c r="I66" s="78">
        <f t="shared" si="2"/>
        <v>355.6</v>
      </c>
      <c r="J66" s="78">
        <v>4682</v>
      </c>
      <c r="K66" s="78">
        <v>2660</v>
      </c>
      <c r="L66" s="78">
        <v>830</v>
      </c>
      <c r="M66" s="78">
        <v>1395</v>
      </c>
      <c r="N66" s="78">
        <f t="shared" si="3"/>
        <v>773.3</v>
      </c>
      <c r="O66" s="78">
        <v>127</v>
      </c>
      <c r="P66" s="78">
        <v>15</v>
      </c>
      <c r="Q66" s="78">
        <v>606</v>
      </c>
      <c r="R66" s="78">
        <v>1458</v>
      </c>
      <c r="S66" s="78">
        <v>185</v>
      </c>
      <c r="T66" s="78">
        <v>0</v>
      </c>
      <c r="U66" s="78">
        <v>256</v>
      </c>
      <c r="V66" s="78">
        <v>6041</v>
      </c>
      <c r="W66" s="78">
        <v>16120</v>
      </c>
      <c r="X66" s="78">
        <v>10280</v>
      </c>
      <c r="Y66" s="78">
        <v>0</v>
      </c>
      <c r="Z66" s="78">
        <v>301.60000000000002</v>
      </c>
      <c r="AA66" s="78">
        <v>0</v>
      </c>
      <c r="AB66" s="399">
        <v>0</v>
      </c>
      <c r="AC66" s="399">
        <v>0</v>
      </c>
      <c r="AD66" s="78">
        <v>13398</v>
      </c>
      <c r="AE66" s="78">
        <v>13398</v>
      </c>
      <c r="AF66" s="78">
        <v>171</v>
      </c>
      <c r="AG66" s="78">
        <v>0</v>
      </c>
      <c r="AH66" s="78">
        <v>123</v>
      </c>
      <c r="AI66" s="78">
        <v>87</v>
      </c>
      <c r="AJ66" s="78">
        <v>123</v>
      </c>
      <c r="AK66" s="78">
        <v>87</v>
      </c>
      <c r="AL66" s="78">
        <v>210</v>
      </c>
      <c r="AM66" s="78">
        <v>6217</v>
      </c>
      <c r="AN66" s="78">
        <v>6217</v>
      </c>
      <c r="AO66" s="78">
        <v>0</v>
      </c>
      <c r="AP66" s="78">
        <v>0</v>
      </c>
      <c r="AQ66" s="78">
        <v>0</v>
      </c>
      <c r="AR66" s="78">
        <v>0</v>
      </c>
      <c r="AS66" s="78">
        <v>660</v>
      </c>
      <c r="AT66" s="78">
        <v>0</v>
      </c>
      <c r="AU66" s="400">
        <v>3.6141800000000001E-4</v>
      </c>
      <c r="AV66" s="400">
        <v>4.5343000000000003E-5</v>
      </c>
      <c r="AW66" s="78">
        <v>2213.252</v>
      </c>
      <c r="AX66" s="78">
        <v>0</v>
      </c>
      <c r="AY66" s="78">
        <v>2580</v>
      </c>
      <c r="AZ66" s="78">
        <v>3259.9380941852801</v>
      </c>
      <c r="BA66" s="78">
        <v>6</v>
      </c>
      <c r="BB66" s="78">
        <v>6</v>
      </c>
      <c r="BC66" s="78">
        <v>2012</v>
      </c>
      <c r="BD66" s="78">
        <v>1</v>
      </c>
      <c r="BE66" s="78">
        <v>0</v>
      </c>
      <c r="BF66" s="78">
        <v>0</v>
      </c>
      <c r="BG66" s="78">
        <v>0</v>
      </c>
      <c r="BH66" s="78">
        <v>0</v>
      </c>
      <c r="BI66" s="78">
        <v>0</v>
      </c>
      <c r="BJ66" s="78">
        <v>0</v>
      </c>
      <c r="BK66" s="78">
        <v>0</v>
      </c>
      <c r="BL66" s="78">
        <v>0</v>
      </c>
      <c r="BM66" s="78">
        <v>309.012</v>
      </c>
      <c r="BN66" s="78">
        <v>229</v>
      </c>
      <c r="BO66" s="78">
        <v>32</v>
      </c>
      <c r="BP66" s="78">
        <v>3815.68</v>
      </c>
      <c r="BQ66" s="78">
        <v>1136.24</v>
      </c>
      <c r="BR66" s="78">
        <v>89.823803698435299</v>
      </c>
      <c r="BS66" s="78">
        <v>98</v>
      </c>
      <c r="BT66" s="78">
        <v>44.3333333333333</v>
      </c>
      <c r="BU66" s="78">
        <v>24</v>
      </c>
      <c r="BV66" s="78">
        <f t="shared" si="4"/>
        <v>479</v>
      </c>
      <c r="BW66" s="78">
        <v>165</v>
      </c>
      <c r="BX66" s="78">
        <v>1201.59194259837</v>
      </c>
      <c r="BY66" s="402">
        <v>8.5000000000000006E-2</v>
      </c>
      <c r="BZ66" s="78">
        <v>14485</v>
      </c>
      <c r="CA66" s="78">
        <v>1558</v>
      </c>
      <c r="CB66" s="78">
        <v>272</v>
      </c>
      <c r="CC66" s="78">
        <v>224</v>
      </c>
      <c r="CD66" s="78">
        <v>266</v>
      </c>
      <c r="CE66" s="78">
        <v>159</v>
      </c>
      <c r="CF66" s="78">
        <v>108.46350329741</v>
      </c>
      <c r="CG66" s="78">
        <v>71.645616857004995</v>
      </c>
      <c r="CH66" s="78">
        <v>28.359723339231099</v>
      </c>
      <c r="CI66" s="78">
        <v>423.70479999999998</v>
      </c>
      <c r="CJ66" s="78">
        <v>279.8784</v>
      </c>
      <c r="CK66" s="78">
        <v>110.7852</v>
      </c>
      <c r="CL66" s="78">
        <v>312</v>
      </c>
    </row>
    <row r="67" spans="1:90" customFormat="1" x14ac:dyDescent="0.35">
      <c r="A67" s="72">
        <v>1708</v>
      </c>
      <c r="B67" s="72" t="s">
        <v>286</v>
      </c>
      <c r="C67" s="72">
        <v>4</v>
      </c>
      <c r="D67" s="78">
        <v>3557200000</v>
      </c>
      <c r="E67" s="78">
        <v>572250000</v>
      </c>
      <c r="F67" s="78">
        <v>643300000</v>
      </c>
      <c r="G67" s="78">
        <v>44126</v>
      </c>
      <c r="H67" s="78">
        <v>8</v>
      </c>
      <c r="I67" s="78">
        <f t="shared" si="2"/>
        <v>643.29999999999995</v>
      </c>
      <c r="J67" s="78">
        <v>8552</v>
      </c>
      <c r="K67" s="78">
        <v>9877</v>
      </c>
      <c r="L67" s="78">
        <v>3173</v>
      </c>
      <c r="M67" s="78">
        <v>6344</v>
      </c>
      <c r="N67" s="78">
        <f t="shared" si="3"/>
        <v>4241.8999999999996</v>
      </c>
      <c r="O67" s="78">
        <v>761.33333333333303</v>
      </c>
      <c r="P67" s="78">
        <v>86</v>
      </c>
      <c r="Q67" s="78">
        <v>3003.3333333333298</v>
      </c>
      <c r="R67" s="78">
        <v>6368</v>
      </c>
      <c r="S67" s="78">
        <v>925</v>
      </c>
      <c r="T67" s="78">
        <v>0</v>
      </c>
      <c r="U67" s="78">
        <v>1155</v>
      </c>
      <c r="V67" s="78">
        <v>19915</v>
      </c>
      <c r="W67" s="78">
        <v>42350</v>
      </c>
      <c r="X67" s="78">
        <v>28470</v>
      </c>
      <c r="Y67" s="78">
        <v>514.79999999999995</v>
      </c>
      <c r="Z67" s="78">
        <v>1460</v>
      </c>
      <c r="AA67" s="78">
        <v>0</v>
      </c>
      <c r="AB67" s="399">
        <v>0</v>
      </c>
      <c r="AC67" s="399">
        <v>0</v>
      </c>
      <c r="AD67" s="78">
        <v>28825</v>
      </c>
      <c r="AE67" s="78">
        <v>28825</v>
      </c>
      <c r="AF67" s="78">
        <v>3334</v>
      </c>
      <c r="AG67" s="78">
        <v>0</v>
      </c>
      <c r="AH67" s="78">
        <v>264</v>
      </c>
      <c r="AI67" s="78">
        <v>164</v>
      </c>
      <c r="AJ67" s="78">
        <v>264</v>
      </c>
      <c r="AK67" s="78">
        <v>164</v>
      </c>
      <c r="AL67" s="78">
        <v>428</v>
      </c>
      <c r="AM67" s="78">
        <v>21021</v>
      </c>
      <c r="AN67" s="78">
        <v>21021</v>
      </c>
      <c r="AO67" s="78">
        <v>27</v>
      </c>
      <c r="AP67" s="78">
        <v>0</v>
      </c>
      <c r="AQ67" s="78">
        <v>0</v>
      </c>
      <c r="AR67" s="78">
        <v>5750</v>
      </c>
      <c r="AS67" s="78">
        <v>1650</v>
      </c>
      <c r="AT67" s="78">
        <v>1650</v>
      </c>
      <c r="AU67" s="400">
        <v>1.4218099999999999E-3</v>
      </c>
      <c r="AV67" s="400">
        <v>8.3077599999999998E-4</v>
      </c>
      <c r="AW67" s="78">
        <v>12486.474</v>
      </c>
      <c r="AX67" s="78">
        <v>0</v>
      </c>
      <c r="AY67" s="78">
        <v>15675</v>
      </c>
      <c r="AZ67" s="78">
        <v>21549.141142448501</v>
      </c>
      <c r="BA67" s="78">
        <v>34</v>
      </c>
      <c r="BB67" s="78">
        <v>34</v>
      </c>
      <c r="BC67" s="78">
        <v>5184</v>
      </c>
      <c r="BD67" s="78">
        <v>1</v>
      </c>
      <c r="BE67" s="78">
        <v>0</v>
      </c>
      <c r="BF67" s="78">
        <v>0</v>
      </c>
      <c r="BG67" s="78">
        <v>0</v>
      </c>
      <c r="BH67" s="78">
        <v>0</v>
      </c>
      <c r="BI67" s="78">
        <v>0</v>
      </c>
      <c r="BJ67" s="78">
        <v>0</v>
      </c>
      <c r="BK67" s="78">
        <v>0</v>
      </c>
      <c r="BL67" s="78">
        <v>0</v>
      </c>
      <c r="BM67" s="78">
        <v>974.928</v>
      </c>
      <c r="BN67" s="78">
        <v>137</v>
      </c>
      <c r="BO67" s="78">
        <v>57</v>
      </c>
      <c r="BP67" s="78">
        <v>11810.21</v>
      </c>
      <c r="BQ67" s="78">
        <v>2616.87</v>
      </c>
      <c r="BR67" s="78">
        <v>326.00947036299601</v>
      </c>
      <c r="BS67" s="78">
        <v>474</v>
      </c>
      <c r="BT67" s="78">
        <v>203.666666666667</v>
      </c>
      <c r="BU67" s="78">
        <v>173.333333333333</v>
      </c>
      <c r="BV67" s="78">
        <f t="shared" si="4"/>
        <v>2241.9999999999968</v>
      </c>
      <c r="BW67" s="78">
        <v>661</v>
      </c>
      <c r="BX67" s="78">
        <v>7717.73179790624</v>
      </c>
      <c r="BY67" s="402">
        <v>1.754</v>
      </c>
      <c r="BZ67" s="78">
        <v>34249</v>
      </c>
      <c r="CA67" s="78">
        <v>5557</v>
      </c>
      <c r="CB67" s="78">
        <v>1147</v>
      </c>
      <c r="CC67" s="78">
        <v>1117</v>
      </c>
      <c r="CD67" s="78">
        <v>1047</v>
      </c>
      <c r="CE67" s="78">
        <v>594</v>
      </c>
      <c r="CF67" s="78">
        <v>677.82418058132305</v>
      </c>
      <c r="CG67" s="78">
        <v>444.34916512059402</v>
      </c>
      <c r="CH67" s="78">
        <v>160.829375386518</v>
      </c>
      <c r="CI67" s="78">
        <v>1764.8186000000001</v>
      </c>
      <c r="CJ67" s="78">
        <v>1156.9308000000001</v>
      </c>
      <c r="CK67" s="78">
        <v>418.74380000000002</v>
      </c>
      <c r="CL67" s="78">
        <v>15876</v>
      </c>
    </row>
    <row r="68" spans="1:90" customFormat="1" x14ac:dyDescent="0.35">
      <c r="A68" s="72">
        <v>183</v>
      </c>
      <c r="B68" s="72" t="s">
        <v>297</v>
      </c>
      <c r="C68" s="72">
        <v>4</v>
      </c>
      <c r="D68" s="78">
        <v>1774800000</v>
      </c>
      <c r="E68" s="78">
        <v>357350000</v>
      </c>
      <c r="F68" s="78">
        <v>456050000</v>
      </c>
      <c r="G68" s="78">
        <v>21275</v>
      </c>
      <c r="H68" s="78">
        <v>4</v>
      </c>
      <c r="I68" s="78">
        <f t="shared" si="2"/>
        <v>456.05</v>
      </c>
      <c r="J68" s="78">
        <v>4399</v>
      </c>
      <c r="K68" s="78">
        <v>4126</v>
      </c>
      <c r="L68" s="78">
        <v>1323</v>
      </c>
      <c r="M68" s="78">
        <v>2090</v>
      </c>
      <c r="N68" s="78">
        <f t="shared" si="3"/>
        <v>1218.0999999999999</v>
      </c>
      <c r="O68" s="78">
        <v>142.333333333333</v>
      </c>
      <c r="P68" s="78">
        <v>24</v>
      </c>
      <c r="Q68" s="78">
        <v>1028.3333333333301</v>
      </c>
      <c r="R68" s="78">
        <v>2072</v>
      </c>
      <c r="S68" s="78">
        <v>130</v>
      </c>
      <c r="T68" s="78">
        <v>0</v>
      </c>
      <c r="U68" s="78">
        <v>387</v>
      </c>
      <c r="V68" s="78">
        <v>8377</v>
      </c>
      <c r="W68" s="78">
        <v>15440</v>
      </c>
      <c r="X68" s="78">
        <v>3010</v>
      </c>
      <c r="Y68" s="78">
        <v>0</v>
      </c>
      <c r="Z68" s="78">
        <v>536.79999999999995</v>
      </c>
      <c r="AA68" s="78">
        <v>0</v>
      </c>
      <c r="AB68" s="399">
        <v>0</v>
      </c>
      <c r="AC68" s="399">
        <v>0</v>
      </c>
      <c r="AD68" s="78">
        <v>14702</v>
      </c>
      <c r="AE68" s="78">
        <v>14702</v>
      </c>
      <c r="AF68" s="78">
        <v>42</v>
      </c>
      <c r="AG68" s="78">
        <v>0</v>
      </c>
      <c r="AH68" s="78">
        <v>120</v>
      </c>
      <c r="AI68" s="78">
        <v>175</v>
      </c>
      <c r="AJ68" s="78">
        <v>120</v>
      </c>
      <c r="AK68" s="78">
        <v>175</v>
      </c>
      <c r="AL68" s="78">
        <v>295</v>
      </c>
      <c r="AM68" s="78">
        <v>8719</v>
      </c>
      <c r="AN68" s="78">
        <v>8719</v>
      </c>
      <c r="AO68" s="78">
        <v>0</v>
      </c>
      <c r="AP68" s="78">
        <v>0</v>
      </c>
      <c r="AQ68" s="78">
        <v>0</v>
      </c>
      <c r="AR68" s="78">
        <v>0</v>
      </c>
      <c r="AS68" s="78">
        <v>0</v>
      </c>
      <c r="AT68" s="78">
        <v>0</v>
      </c>
      <c r="AU68" s="400">
        <v>1.32812E-4</v>
      </c>
      <c r="AV68" s="400">
        <v>6.4517999999999995E-5</v>
      </c>
      <c r="AW68" s="78">
        <v>2519.7910000000002</v>
      </c>
      <c r="AX68" s="78">
        <v>0</v>
      </c>
      <c r="AY68" s="78">
        <v>1093</v>
      </c>
      <c r="AZ68" s="78">
        <v>1577.1551139446599</v>
      </c>
      <c r="BA68" s="78">
        <v>11</v>
      </c>
      <c r="BB68" s="78">
        <v>11</v>
      </c>
      <c r="BC68" s="78">
        <v>2547</v>
      </c>
      <c r="BD68" s="78">
        <v>1</v>
      </c>
      <c r="BE68" s="78">
        <v>0</v>
      </c>
      <c r="BF68" s="78">
        <v>0</v>
      </c>
      <c r="BG68" s="78">
        <v>0</v>
      </c>
      <c r="BH68" s="78">
        <v>0</v>
      </c>
      <c r="BI68" s="78">
        <v>0</v>
      </c>
      <c r="BJ68" s="78">
        <v>0</v>
      </c>
      <c r="BK68" s="78">
        <v>0</v>
      </c>
      <c r="BL68" s="78">
        <v>0</v>
      </c>
      <c r="BM68" s="78">
        <v>237.54599999999999</v>
      </c>
      <c r="BN68" s="78">
        <v>36</v>
      </c>
      <c r="BO68" s="78">
        <v>21</v>
      </c>
      <c r="BP68" s="78">
        <v>5629.71</v>
      </c>
      <c r="BQ68" s="78">
        <v>1553.19</v>
      </c>
      <c r="BR68" s="78">
        <v>65.885305949008497</v>
      </c>
      <c r="BS68" s="78">
        <v>183</v>
      </c>
      <c r="BT68" s="78">
        <v>35.6666666666667</v>
      </c>
      <c r="BU68" s="78">
        <v>24.3333333333333</v>
      </c>
      <c r="BV68" s="78">
        <f t="shared" si="4"/>
        <v>885.99999999999704</v>
      </c>
      <c r="BW68" s="78">
        <v>219</v>
      </c>
      <c r="BX68" s="78">
        <v>3131.7327975183298</v>
      </c>
      <c r="BY68" s="402">
        <v>0.111</v>
      </c>
      <c r="BZ68" s="78">
        <v>17149</v>
      </c>
      <c r="CA68" s="78">
        <v>2322</v>
      </c>
      <c r="CB68" s="78">
        <v>481</v>
      </c>
      <c r="CC68" s="78">
        <v>351</v>
      </c>
      <c r="CD68" s="78">
        <v>443</v>
      </c>
      <c r="CE68" s="78">
        <v>254</v>
      </c>
      <c r="CF68" s="78">
        <v>193.21393508429901</v>
      </c>
      <c r="CG68" s="78">
        <v>123.221034522308</v>
      </c>
      <c r="CH68" s="78">
        <v>48.757529533203403</v>
      </c>
      <c r="CI68" s="78">
        <v>615.84990000000005</v>
      </c>
      <c r="CJ68" s="78">
        <v>392.75459999999998</v>
      </c>
      <c r="CK68" s="78">
        <v>155.40969999999999</v>
      </c>
      <c r="CL68" s="78">
        <v>7938</v>
      </c>
    </row>
    <row r="69" spans="1:90" customFormat="1" x14ac:dyDescent="0.35">
      <c r="A69" s="72">
        <v>1700</v>
      </c>
      <c r="B69" s="72" t="s">
        <v>298</v>
      </c>
      <c r="C69" s="72">
        <v>4</v>
      </c>
      <c r="D69" s="78">
        <v>2437600000</v>
      </c>
      <c r="E69" s="78">
        <v>358400000</v>
      </c>
      <c r="F69" s="78">
        <v>424900000</v>
      </c>
      <c r="G69" s="78">
        <v>33743</v>
      </c>
      <c r="H69" s="78">
        <v>4</v>
      </c>
      <c r="I69" s="78">
        <f t="shared" si="2"/>
        <v>424.9</v>
      </c>
      <c r="J69" s="78">
        <v>7566</v>
      </c>
      <c r="K69" s="78">
        <v>6419</v>
      </c>
      <c r="L69" s="78">
        <v>2035</v>
      </c>
      <c r="M69" s="78">
        <v>4068</v>
      </c>
      <c r="N69" s="78">
        <f t="shared" si="3"/>
        <v>2668.3999999999996</v>
      </c>
      <c r="O69" s="78">
        <v>506</v>
      </c>
      <c r="P69" s="78">
        <v>83</v>
      </c>
      <c r="Q69" s="78">
        <v>2686</v>
      </c>
      <c r="R69" s="78">
        <v>3426</v>
      </c>
      <c r="S69" s="78">
        <v>310</v>
      </c>
      <c r="T69" s="78">
        <v>0</v>
      </c>
      <c r="U69" s="78">
        <v>817</v>
      </c>
      <c r="V69" s="78">
        <v>13578</v>
      </c>
      <c r="W69" s="78">
        <v>32150</v>
      </c>
      <c r="X69" s="78">
        <v>14550</v>
      </c>
      <c r="Y69" s="78">
        <v>196.02</v>
      </c>
      <c r="Z69" s="78">
        <v>969.6</v>
      </c>
      <c r="AA69" s="78">
        <v>0</v>
      </c>
      <c r="AB69" s="399">
        <v>0</v>
      </c>
      <c r="AC69" s="399">
        <v>252.79999999999995</v>
      </c>
      <c r="AD69" s="78">
        <v>10613</v>
      </c>
      <c r="AE69" s="78">
        <v>10613</v>
      </c>
      <c r="AF69" s="78">
        <v>200</v>
      </c>
      <c r="AG69" s="78">
        <v>0</v>
      </c>
      <c r="AH69" s="78">
        <v>223</v>
      </c>
      <c r="AI69" s="78">
        <v>86</v>
      </c>
      <c r="AJ69" s="78">
        <v>223</v>
      </c>
      <c r="AK69" s="78">
        <v>86</v>
      </c>
      <c r="AL69" s="78">
        <v>309</v>
      </c>
      <c r="AM69" s="78">
        <v>13996</v>
      </c>
      <c r="AN69" s="78">
        <v>13996</v>
      </c>
      <c r="AO69" s="78">
        <v>0</v>
      </c>
      <c r="AP69" s="78">
        <v>0</v>
      </c>
      <c r="AQ69" s="78">
        <v>0</v>
      </c>
      <c r="AR69" s="78">
        <v>0</v>
      </c>
      <c r="AS69" s="78">
        <v>1038</v>
      </c>
      <c r="AT69" s="78">
        <v>0</v>
      </c>
      <c r="AU69" s="400">
        <v>5.0626600000000001E-4</v>
      </c>
      <c r="AV69" s="400">
        <v>2.1592700000000001E-4</v>
      </c>
      <c r="AW69" s="78">
        <v>8341.616</v>
      </c>
      <c r="AX69" s="78">
        <v>0</v>
      </c>
      <c r="AY69" s="78">
        <v>2726</v>
      </c>
      <c r="AZ69" s="78">
        <v>8506.7435494312394</v>
      </c>
      <c r="BA69" s="78">
        <v>9</v>
      </c>
      <c r="BB69" s="78">
        <v>9</v>
      </c>
      <c r="BC69" s="78">
        <v>3019</v>
      </c>
      <c r="BD69" s="78">
        <v>1</v>
      </c>
      <c r="BE69" s="78">
        <v>0</v>
      </c>
      <c r="BF69" s="78">
        <v>0</v>
      </c>
      <c r="BG69" s="78">
        <v>0</v>
      </c>
      <c r="BH69" s="78">
        <v>0</v>
      </c>
      <c r="BI69" s="78">
        <v>0</v>
      </c>
      <c r="BJ69" s="78">
        <v>0</v>
      </c>
      <c r="BK69" s="78">
        <v>0</v>
      </c>
      <c r="BL69" s="78">
        <v>0</v>
      </c>
      <c r="BM69" s="78">
        <v>711.20399999999995</v>
      </c>
      <c r="BN69" s="78">
        <v>313</v>
      </c>
      <c r="BO69" s="78">
        <v>67</v>
      </c>
      <c r="BP69" s="78">
        <v>7646.72</v>
      </c>
      <c r="BQ69" s="78">
        <v>2075.7600000000002</v>
      </c>
      <c r="BR69" s="78">
        <v>344.06405389867001</v>
      </c>
      <c r="BS69" s="78">
        <v>370</v>
      </c>
      <c r="BT69" s="78">
        <v>160</v>
      </c>
      <c r="BU69" s="78">
        <v>148</v>
      </c>
      <c r="BV69" s="78">
        <f t="shared" si="4"/>
        <v>2180</v>
      </c>
      <c r="BW69" s="78">
        <v>593</v>
      </c>
      <c r="BX69" s="78">
        <v>6429.6232031250001</v>
      </c>
      <c r="BY69" s="402">
        <v>1.1020000000000001</v>
      </c>
      <c r="BZ69" s="78">
        <v>27324</v>
      </c>
      <c r="CA69" s="78">
        <v>3744</v>
      </c>
      <c r="CB69" s="78">
        <v>640</v>
      </c>
      <c r="CC69" s="78">
        <v>668</v>
      </c>
      <c r="CD69" s="78">
        <v>639</v>
      </c>
      <c r="CE69" s="78">
        <v>325</v>
      </c>
      <c r="CF69" s="78">
        <v>436.98005144326902</v>
      </c>
      <c r="CG69" s="78">
        <v>251.28259502715099</v>
      </c>
      <c r="CH69" s="78">
        <v>81.409459845670199</v>
      </c>
      <c r="CI69" s="78">
        <v>1279.6235999999999</v>
      </c>
      <c r="CJ69" s="78">
        <v>735.83939999999996</v>
      </c>
      <c r="CK69" s="78">
        <v>238.39410000000001</v>
      </c>
      <c r="CL69" s="78">
        <v>3969</v>
      </c>
    </row>
    <row r="70" spans="1:90" customFormat="1" x14ac:dyDescent="0.35">
      <c r="A70" s="72">
        <v>189</v>
      </c>
      <c r="B70" s="72" t="s">
        <v>343</v>
      </c>
      <c r="C70" s="72">
        <v>4</v>
      </c>
      <c r="D70" s="78">
        <v>2153600000</v>
      </c>
      <c r="E70" s="78">
        <v>277550000</v>
      </c>
      <c r="F70" s="78">
        <v>309750000</v>
      </c>
      <c r="G70" s="78">
        <v>24446</v>
      </c>
      <c r="H70" s="78">
        <v>2</v>
      </c>
      <c r="I70" s="78">
        <f t="shared" ref="I70:I133" si="5">F70/1000000</f>
        <v>309.75</v>
      </c>
      <c r="J70" s="78">
        <v>5226</v>
      </c>
      <c r="K70" s="78">
        <v>5195</v>
      </c>
      <c r="L70" s="78">
        <v>1707</v>
      </c>
      <c r="M70" s="78">
        <v>2410</v>
      </c>
      <c r="N70" s="78">
        <f t="shared" ref="N70:N133" si="6">IF(M70-0.1*AM70&lt;=0,0,M70-0.1*AM70)</f>
        <v>1373.3</v>
      </c>
      <c r="O70" s="78">
        <v>200.333333333333</v>
      </c>
      <c r="P70" s="78">
        <v>32</v>
      </c>
      <c r="Q70" s="78">
        <v>1164.3333333333301</v>
      </c>
      <c r="R70" s="78">
        <v>2430</v>
      </c>
      <c r="S70" s="78">
        <v>345</v>
      </c>
      <c r="T70" s="78">
        <v>0</v>
      </c>
      <c r="U70" s="78">
        <v>509</v>
      </c>
      <c r="V70" s="78">
        <v>9781</v>
      </c>
      <c r="W70" s="78">
        <v>21510</v>
      </c>
      <c r="X70" s="78">
        <v>10590</v>
      </c>
      <c r="Y70" s="78">
        <v>0</v>
      </c>
      <c r="Z70" s="78">
        <v>561.6</v>
      </c>
      <c r="AA70" s="78">
        <v>0</v>
      </c>
      <c r="AB70" s="399">
        <v>0</v>
      </c>
      <c r="AC70" s="399">
        <v>600.79999999999995</v>
      </c>
      <c r="AD70" s="78">
        <v>9459</v>
      </c>
      <c r="AE70" s="78">
        <v>9459</v>
      </c>
      <c r="AF70" s="78">
        <v>79</v>
      </c>
      <c r="AG70" s="78">
        <v>0</v>
      </c>
      <c r="AH70" s="78">
        <v>135</v>
      </c>
      <c r="AI70" s="78">
        <v>93</v>
      </c>
      <c r="AJ70" s="78">
        <v>135</v>
      </c>
      <c r="AK70" s="78">
        <v>93</v>
      </c>
      <c r="AL70" s="78">
        <v>228</v>
      </c>
      <c r="AM70" s="78">
        <v>10367</v>
      </c>
      <c r="AN70" s="78">
        <v>10367</v>
      </c>
      <c r="AO70" s="78">
        <v>0</v>
      </c>
      <c r="AP70" s="78">
        <v>0</v>
      </c>
      <c r="AQ70" s="78">
        <v>0</v>
      </c>
      <c r="AR70" s="78">
        <v>0</v>
      </c>
      <c r="AS70" s="78">
        <v>0</v>
      </c>
      <c r="AT70" s="78">
        <v>0</v>
      </c>
      <c r="AU70" s="400">
        <v>2.53959E-4</v>
      </c>
      <c r="AV70" s="400">
        <v>1.17432E-4</v>
      </c>
      <c r="AW70" s="78">
        <v>7350.2030000000004</v>
      </c>
      <c r="AX70" s="78">
        <v>0</v>
      </c>
      <c r="AY70" s="78">
        <v>1523</v>
      </c>
      <c r="AZ70" s="78">
        <v>3903.4659257705998</v>
      </c>
      <c r="BA70" s="78">
        <v>9</v>
      </c>
      <c r="BB70" s="78">
        <v>9</v>
      </c>
      <c r="BC70" s="78">
        <v>2666</v>
      </c>
      <c r="BD70" s="78">
        <v>1</v>
      </c>
      <c r="BE70" s="78">
        <v>0</v>
      </c>
      <c r="BF70" s="78">
        <v>0</v>
      </c>
      <c r="BG70" s="78">
        <v>0</v>
      </c>
      <c r="BH70" s="78">
        <v>0</v>
      </c>
      <c r="BI70" s="78">
        <v>0</v>
      </c>
      <c r="BJ70" s="78">
        <v>0</v>
      </c>
      <c r="BK70" s="78">
        <v>0</v>
      </c>
      <c r="BL70" s="78">
        <v>0</v>
      </c>
      <c r="BM70" s="78">
        <v>360.59399999999999</v>
      </c>
      <c r="BN70" s="78">
        <v>52</v>
      </c>
      <c r="BO70" s="78">
        <v>13</v>
      </c>
      <c r="BP70" s="78">
        <v>6935.76</v>
      </c>
      <c r="BQ70" s="78">
        <v>1824.44</v>
      </c>
      <c r="BR70" s="78">
        <v>96.126727272727294</v>
      </c>
      <c r="BS70" s="78">
        <v>212</v>
      </c>
      <c r="BT70" s="78">
        <v>66.3333333333333</v>
      </c>
      <c r="BU70" s="78">
        <v>47.3333333333333</v>
      </c>
      <c r="BV70" s="78">
        <f t="shared" ref="BV70:BV133" si="7">Q70-O70</f>
        <v>963.99999999999704</v>
      </c>
      <c r="BW70" s="78">
        <v>217</v>
      </c>
      <c r="BX70" s="78">
        <v>3754.4703084062298</v>
      </c>
      <c r="BY70" s="402">
        <v>0.16900000000000001</v>
      </c>
      <c r="BZ70" s="78">
        <v>19251</v>
      </c>
      <c r="CA70" s="78">
        <v>2938</v>
      </c>
      <c r="CB70" s="78">
        <v>550</v>
      </c>
      <c r="CC70" s="78">
        <v>455</v>
      </c>
      <c r="CD70" s="78">
        <v>493</v>
      </c>
      <c r="CE70" s="78">
        <v>272</v>
      </c>
      <c r="CF70" s="78">
        <v>223.87161184527801</v>
      </c>
      <c r="CG70" s="78">
        <v>145.05290826661499</v>
      </c>
      <c r="CH70" s="78">
        <v>50.205527153467699</v>
      </c>
      <c r="CI70" s="78">
        <v>695.09699999999998</v>
      </c>
      <c r="CJ70" s="78">
        <v>450.37349999999998</v>
      </c>
      <c r="CK70" s="78">
        <v>155.8827</v>
      </c>
      <c r="CL70" s="78">
        <v>0</v>
      </c>
    </row>
    <row r="71" spans="1:90" customFormat="1" x14ac:dyDescent="0.35">
      <c r="A71" s="72">
        <v>1896</v>
      </c>
      <c r="B71" s="72" t="s">
        <v>363</v>
      </c>
      <c r="C71" s="72">
        <v>4</v>
      </c>
      <c r="D71" s="78">
        <v>1538000000</v>
      </c>
      <c r="E71" s="78">
        <v>464100000</v>
      </c>
      <c r="F71" s="78">
        <v>498400000</v>
      </c>
      <c r="G71" s="78">
        <v>22685</v>
      </c>
      <c r="H71" s="78">
        <v>3</v>
      </c>
      <c r="I71" s="78">
        <f t="shared" si="5"/>
        <v>498.4</v>
      </c>
      <c r="J71" s="78">
        <v>5645</v>
      </c>
      <c r="K71" s="78">
        <v>3885</v>
      </c>
      <c r="L71" s="78">
        <v>1166</v>
      </c>
      <c r="M71" s="78">
        <v>2289</v>
      </c>
      <c r="N71" s="78">
        <f t="shared" si="6"/>
        <v>1391.8</v>
      </c>
      <c r="O71" s="78">
        <v>209.333333333333</v>
      </c>
      <c r="P71" s="78">
        <v>29</v>
      </c>
      <c r="Q71" s="78">
        <v>1023.33333333333</v>
      </c>
      <c r="R71" s="78">
        <v>2174</v>
      </c>
      <c r="S71" s="78">
        <v>290</v>
      </c>
      <c r="T71" s="78">
        <v>0</v>
      </c>
      <c r="U71" s="78">
        <v>416</v>
      </c>
      <c r="V71" s="78">
        <v>8812</v>
      </c>
      <c r="W71" s="78">
        <v>20270</v>
      </c>
      <c r="X71" s="78">
        <v>7250</v>
      </c>
      <c r="Y71" s="78">
        <v>0</v>
      </c>
      <c r="Z71" s="78">
        <v>472</v>
      </c>
      <c r="AA71" s="78">
        <v>0</v>
      </c>
      <c r="AB71" s="399">
        <v>0</v>
      </c>
      <c r="AC71" s="399">
        <v>53.199999999999932</v>
      </c>
      <c r="AD71" s="78">
        <v>8237</v>
      </c>
      <c r="AE71" s="78">
        <v>8319.3700000000008</v>
      </c>
      <c r="AF71" s="78">
        <v>549</v>
      </c>
      <c r="AG71" s="78">
        <v>0</v>
      </c>
      <c r="AH71" s="78">
        <v>157</v>
      </c>
      <c r="AI71" s="78">
        <v>76</v>
      </c>
      <c r="AJ71" s="78">
        <v>160.13999999999999</v>
      </c>
      <c r="AK71" s="78">
        <v>76.760000000000005</v>
      </c>
      <c r="AL71" s="78">
        <v>233</v>
      </c>
      <c r="AM71" s="78">
        <v>8972</v>
      </c>
      <c r="AN71" s="78">
        <v>9151.44</v>
      </c>
      <c r="AO71" s="78">
        <v>23</v>
      </c>
      <c r="AP71" s="78">
        <v>0</v>
      </c>
      <c r="AQ71" s="78">
        <v>0</v>
      </c>
      <c r="AR71" s="78">
        <v>4550</v>
      </c>
      <c r="AS71" s="78">
        <v>1380</v>
      </c>
      <c r="AT71" s="78">
        <v>1380</v>
      </c>
      <c r="AU71" s="400">
        <v>4.0715899999999998E-4</v>
      </c>
      <c r="AV71" s="400">
        <v>1.6422E-4</v>
      </c>
      <c r="AW71" s="78">
        <v>6468.8119999999999</v>
      </c>
      <c r="AX71" s="78">
        <v>0</v>
      </c>
      <c r="AY71" s="78">
        <v>2896.68</v>
      </c>
      <c r="AZ71" s="78">
        <v>7640.76035738675</v>
      </c>
      <c r="BA71" s="78">
        <v>4</v>
      </c>
      <c r="BB71" s="78">
        <v>4.04</v>
      </c>
      <c r="BC71" s="78">
        <v>2301</v>
      </c>
      <c r="BD71" s="78">
        <v>1</v>
      </c>
      <c r="BE71" s="78">
        <v>0</v>
      </c>
      <c r="BF71" s="78">
        <v>0</v>
      </c>
      <c r="BG71" s="78">
        <v>0</v>
      </c>
      <c r="BH71" s="78">
        <v>0</v>
      </c>
      <c r="BI71" s="78">
        <v>0</v>
      </c>
      <c r="BJ71" s="78">
        <v>0</v>
      </c>
      <c r="BK71" s="78">
        <v>0</v>
      </c>
      <c r="BL71" s="78">
        <v>0</v>
      </c>
      <c r="BM71" s="78">
        <v>310.47500000000002</v>
      </c>
      <c r="BN71" s="78">
        <v>161</v>
      </c>
      <c r="BO71" s="78">
        <v>34</v>
      </c>
      <c r="BP71" s="78">
        <v>5652.9</v>
      </c>
      <c r="BQ71" s="78">
        <v>1662.86</v>
      </c>
      <c r="BR71" s="78">
        <v>200.63418601474999</v>
      </c>
      <c r="BS71" s="78">
        <v>191</v>
      </c>
      <c r="BT71" s="78">
        <v>83.6666666666667</v>
      </c>
      <c r="BU71" s="78">
        <v>59.6666666666667</v>
      </c>
      <c r="BV71" s="78">
        <f t="shared" si="7"/>
        <v>813.99999999999693</v>
      </c>
      <c r="BW71" s="78">
        <v>312</v>
      </c>
      <c r="BX71" s="78">
        <v>2853.5336799537799</v>
      </c>
      <c r="BY71" s="402">
        <v>0.30199999999999999</v>
      </c>
      <c r="BZ71" s="78">
        <v>18800</v>
      </c>
      <c r="CA71" s="78">
        <v>2336</v>
      </c>
      <c r="CB71" s="78">
        <v>383</v>
      </c>
      <c r="CC71" s="78">
        <v>387</v>
      </c>
      <c r="CD71" s="78">
        <v>335</v>
      </c>
      <c r="CE71" s="78">
        <v>221</v>
      </c>
      <c r="CF71" s="78">
        <v>219.194538564423</v>
      </c>
      <c r="CG71" s="78">
        <v>118.051694159608</v>
      </c>
      <c r="CH71" s="78">
        <v>45.297102095407901</v>
      </c>
      <c r="CI71" s="78">
        <v>662.9796</v>
      </c>
      <c r="CJ71" s="78">
        <v>357.06119999999999</v>
      </c>
      <c r="CK71" s="78">
        <v>137.00640000000001</v>
      </c>
      <c r="CL71" s="78">
        <v>0</v>
      </c>
    </row>
    <row r="72" spans="1:90" customFormat="1" x14ac:dyDescent="0.35">
      <c r="A72" s="72">
        <v>193</v>
      </c>
      <c r="B72" s="72" t="s">
        <v>365</v>
      </c>
      <c r="C72" s="72">
        <v>4</v>
      </c>
      <c r="D72" s="78">
        <v>11810400000</v>
      </c>
      <c r="E72" s="78">
        <v>2676450000</v>
      </c>
      <c r="F72" s="78">
        <v>2732100000</v>
      </c>
      <c r="G72" s="78">
        <v>128840</v>
      </c>
      <c r="H72" s="78">
        <v>1</v>
      </c>
      <c r="I72" s="78">
        <f t="shared" si="5"/>
        <v>2732.1</v>
      </c>
      <c r="J72" s="78">
        <v>27136</v>
      </c>
      <c r="K72" s="78">
        <v>20473</v>
      </c>
      <c r="L72" s="78">
        <v>6288</v>
      </c>
      <c r="M72" s="78">
        <v>18259</v>
      </c>
      <c r="N72" s="78">
        <f t="shared" si="6"/>
        <v>12297</v>
      </c>
      <c r="O72" s="78">
        <v>3558.6666666666702</v>
      </c>
      <c r="P72" s="78">
        <v>123</v>
      </c>
      <c r="Q72" s="78">
        <v>10449.666666666701</v>
      </c>
      <c r="R72" s="78">
        <v>24770</v>
      </c>
      <c r="S72" s="78">
        <v>7405</v>
      </c>
      <c r="T72" s="78">
        <v>0</v>
      </c>
      <c r="U72" s="78">
        <v>4108</v>
      </c>
      <c r="V72" s="78">
        <v>62159</v>
      </c>
      <c r="W72" s="78">
        <v>143650</v>
      </c>
      <c r="X72" s="78">
        <v>242220</v>
      </c>
      <c r="Y72" s="78">
        <v>7320.4970000000003</v>
      </c>
      <c r="Z72" s="78">
        <v>7965.6</v>
      </c>
      <c r="AA72" s="78">
        <v>0</v>
      </c>
      <c r="AB72" s="399">
        <v>0</v>
      </c>
      <c r="AC72" s="399">
        <v>143.89999999999964</v>
      </c>
      <c r="AD72" s="78">
        <v>11064</v>
      </c>
      <c r="AE72" s="78">
        <v>11064</v>
      </c>
      <c r="AF72" s="78">
        <v>872</v>
      </c>
      <c r="AG72" s="78">
        <v>0</v>
      </c>
      <c r="AH72" s="78">
        <v>566</v>
      </c>
      <c r="AI72" s="78">
        <v>119</v>
      </c>
      <c r="AJ72" s="78">
        <v>566</v>
      </c>
      <c r="AK72" s="78">
        <v>119</v>
      </c>
      <c r="AL72" s="78">
        <v>685</v>
      </c>
      <c r="AM72" s="78">
        <v>59620</v>
      </c>
      <c r="AN72" s="78">
        <v>59620</v>
      </c>
      <c r="AO72" s="78">
        <v>0</v>
      </c>
      <c r="AP72" s="78">
        <v>41</v>
      </c>
      <c r="AQ72" s="78">
        <v>0</v>
      </c>
      <c r="AR72" s="78">
        <v>4550</v>
      </c>
      <c r="AS72" s="78">
        <v>9313</v>
      </c>
      <c r="AT72" s="78">
        <v>9313</v>
      </c>
      <c r="AU72" s="400">
        <v>5.7861910000000004E-3</v>
      </c>
      <c r="AV72" s="400">
        <v>7.03815E-3</v>
      </c>
      <c r="AW72" s="78">
        <v>121744.04</v>
      </c>
      <c r="AX72" s="78">
        <v>0</v>
      </c>
      <c r="AY72" s="78">
        <v>5290</v>
      </c>
      <c r="AZ72" s="78">
        <v>57101.508042895402</v>
      </c>
      <c r="BA72" s="78">
        <v>4</v>
      </c>
      <c r="BB72" s="78">
        <v>4</v>
      </c>
      <c r="BC72" s="78">
        <v>13924</v>
      </c>
      <c r="BD72" s="78">
        <v>1</v>
      </c>
      <c r="BE72" s="78">
        <v>0</v>
      </c>
      <c r="BF72" s="78">
        <v>0</v>
      </c>
      <c r="BG72" s="78">
        <v>0</v>
      </c>
      <c r="BH72" s="78">
        <v>0</v>
      </c>
      <c r="BI72" s="78">
        <v>0</v>
      </c>
      <c r="BJ72" s="78">
        <v>0</v>
      </c>
      <c r="BK72" s="78">
        <v>0</v>
      </c>
      <c r="BL72" s="78">
        <v>0</v>
      </c>
      <c r="BM72" s="78">
        <v>3120.64</v>
      </c>
      <c r="BN72" s="78">
        <v>301</v>
      </c>
      <c r="BO72" s="78">
        <v>254</v>
      </c>
      <c r="BP72" s="78">
        <v>36656.730000000003</v>
      </c>
      <c r="BQ72" s="78">
        <v>9033.49</v>
      </c>
      <c r="BR72" s="78">
        <v>1541.6967276520299</v>
      </c>
      <c r="BS72" s="78">
        <v>1669</v>
      </c>
      <c r="BT72" s="78">
        <v>898</v>
      </c>
      <c r="BU72" s="78">
        <v>820.33333333333303</v>
      </c>
      <c r="BV72" s="78">
        <f t="shared" si="7"/>
        <v>6891.0000000000309</v>
      </c>
      <c r="BW72" s="78">
        <v>2832</v>
      </c>
      <c r="BX72" s="78">
        <v>15860.6883487455</v>
      </c>
      <c r="BY72" s="402">
        <v>9.1170000000000009</v>
      </c>
      <c r="BZ72" s="78">
        <v>108367</v>
      </c>
      <c r="CA72" s="78">
        <v>11730</v>
      </c>
      <c r="CB72" s="78">
        <v>2455</v>
      </c>
      <c r="CC72" s="78">
        <v>3063</v>
      </c>
      <c r="CD72" s="78">
        <v>2285</v>
      </c>
      <c r="CE72" s="78">
        <v>1269</v>
      </c>
      <c r="CF72" s="78">
        <v>1523.8214693056</v>
      </c>
      <c r="CG72" s="78">
        <v>884.01445823549204</v>
      </c>
      <c r="CH72" s="78">
        <v>339.70410935927498</v>
      </c>
      <c r="CI72" s="78">
        <v>3466.4495999999999</v>
      </c>
      <c r="CJ72" s="78">
        <v>2010.9911999999999</v>
      </c>
      <c r="CK72" s="78">
        <v>772.77239999999995</v>
      </c>
      <c r="CL72" s="78">
        <v>160063</v>
      </c>
    </row>
    <row r="73" spans="1:90" customFormat="1" x14ac:dyDescent="0.35">
      <c r="A73" s="72">
        <v>197</v>
      </c>
      <c r="B73" s="72" t="s">
        <v>13</v>
      </c>
      <c r="C73" s="72">
        <v>5</v>
      </c>
      <c r="D73" s="78">
        <v>2071600000</v>
      </c>
      <c r="E73" s="78">
        <v>330400000</v>
      </c>
      <c r="F73" s="78">
        <v>358050000</v>
      </c>
      <c r="G73" s="78">
        <v>27121</v>
      </c>
      <c r="H73" s="78">
        <v>3</v>
      </c>
      <c r="I73" s="78">
        <f t="shared" si="5"/>
        <v>358.05</v>
      </c>
      <c r="J73" s="78">
        <v>5253</v>
      </c>
      <c r="K73" s="78">
        <v>6112</v>
      </c>
      <c r="L73" s="78">
        <v>1987</v>
      </c>
      <c r="M73" s="78">
        <v>3751</v>
      </c>
      <c r="N73" s="78">
        <f t="shared" si="6"/>
        <v>2526.6</v>
      </c>
      <c r="O73" s="78">
        <v>315.33333333333297</v>
      </c>
      <c r="P73" s="78">
        <v>27</v>
      </c>
      <c r="Q73" s="78">
        <v>1836.3333333333301</v>
      </c>
      <c r="R73" s="78">
        <v>3465</v>
      </c>
      <c r="S73" s="78">
        <v>585</v>
      </c>
      <c r="T73" s="78">
        <v>0</v>
      </c>
      <c r="U73" s="78">
        <v>652</v>
      </c>
      <c r="V73" s="78">
        <v>11982</v>
      </c>
      <c r="W73" s="78">
        <v>26760</v>
      </c>
      <c r="X73" s="78">
        <v>17700</v>
      </c>
      <c r="Y73" s="78">
        <v>162.36000000000001</v>
      </c>
      <c r="Z73" s="78">
        <v>1200</v>
      </c>
      <c r="AA73" s="78">
        <v>0</v>
      </c>
      <c r="AB73" s="399">
        <v>0</v>
      </c>
      <c r="AC73" s="399">
        <v>0</v>
      </c>
      <c r="AD73" s="78">
        <v>9653</v>
      </c>
      <c r="AE73" s="78">
        <v>9653</v>
      </c>
      <c r="AF73" s="78">
        <v>52</v>
      </c>
      <c r="AG73" s="78">
        <v>0</v>
      </c>
      <c r="AH73" s="78">
        <v>162</v>
      </c>
      <c r="AI73" s="78">
        <v>113</v>
      </c>
      <c r="AJ73" s="78">
        <v>162</v>
      </c>
      <c r="AK73" s="78">
        <v>113</v>
      </c>
      <c r="AL73" s="78">
        <v>275</v>
      </c>
      <c r="AM73" s="78">
        <v>12244</v>
      </c>
      <c r="AN73" s="78">
        <v>12244</v>
      </c>
      <c r="AO73" s="78">
        <v>5</v>
      </c>
      <c r="AP73" s="78">
        <v>0</v>
      </c>
      <c r="AQ73" s="78">
        <v>0</v>
      </c>
      <c r="AR73" s="78">
        <v>0</v>
      </c>
      <c r="AS73" s="78">
        <v>996</v>
      </c>
      <c r="AT73" s="78">
        <v>0</v>
      </c>
      <c r="AU73" s="400">
        <v>6.4835299999999995E-4</v>
      </c>
      <c r="AV73" s="400">
        <v>1.9834099999999999E-4</v>
      </c>
      <c r="AW73" s="78">
        <v>9501.3439999999991</v>
      </c>
      <c r="AX73" s="78">
        <v>0</v>
      </c>
      <c r="AY73" s="78">
        <v>942</v>
      </c>
      <c r="AZ73" s="78">
        <v>2632.4556414219501</v>
      </c>
      <c r="BA73" s="78">
        <v>10</v>
      </c>
      <c r="BB73" s="78">
        <v>10</v>
      </c>
      <c r="BC73" s="78">
        <v>2631</v>
      </c>
      <c r="BD73" s="78">
        <v>1</v>
      </c>
      <c r="BE73" s="78">
        <v>0</v>
      </c>
      <c r="BF73" s="78">
        <v>0</v>
      </c>
      <c r="BG73" s="78">
        <v>0</v>
      </c>
      <c r="BH73" s="78">
        <v>0</v>
      </c>
      <c r="BI73" s="78">
        <v>0</v>
      </c>
      <c r="BJ73" s="78">
        <v>0</v>
      </c>
      <c r="BK73" s="78">
        <v>0</v>
      </c>
      <c r="BL73" s="78">
        <v>0</v>
      </c>
      <c r="BM73" s="78">
        <v>393.97500000000002</v>
      </c>
      <c r="BN73" s="78">
        <v>106</v>
      </c>
      <c r="BO73" s="78">
        <v>25</v>
      </c>
      <c r="BP73" s="78">
        <v>7022.93</v>
      </c>
      <c r="BQ73" s="78">
        <v>1629.8</v>
      </c>
      <c r="BR73" s="78">
        <v>156.395609271523</v>
      </c>
      <c r="BS73" s="78">
        <v>255</v>
      </c>
      <c r="BT73" s="78">
        <v>81.3333333333333</v>
      </c>
      <c r="BU73" s="78">
        <v>63</v>
      </c>
      <c r="BV73" s="78">
        <f t="shared" si="7"/>
        <v>1520.999999999997</v>
      </c>
      <c r="BW73" s="78">
        <v>396</v>
      </c>
      <c r="BX73" s="78">
        <v>4832.2792299433604</v>
      </c>
      <c r="BY73" s="402">
        <v>0.37</v>
      </c>
      <c r="BZ73" s="78">
        <v>21009</v>
      </c>
      <c r="CA73" s="78">
        <v>3454</v>
      </c>
      <c r="CB73" s="78">
        <v>671</v>
      </c>
      <c r="CC73" s="78">
        <v>626</v>
      </c>
      <c r="CD73" s="78">
        <v>657</v>
      </c>
      <c r="CE73" s="78">
        <v>343</v>
      </c>
      <c r="CF73" s="78">
        <v>421.16878471087898</v>
      </c>
      <c r="CG73" s="78">
        <v>276.514537732767</v>
      </c>
      <c r="CH73" s="78">
        <v>97.192796471741303</v>
      </c>
      <c r="CI73" s="78">
        <v>1053.7683</v>
      </c>
      <c r="CJ73" s="78">
        <v>691.84199999999998</v>
      </c>
      <c r="CK73" s="78">
        <v>243.1773</v>
      </c>
      <c r="CL73" s="78">
        <v>18250</v>
      </c>
    </row>
    <row r="74" spans="1:90" customFormat="1" x14ac:dyDescent="0.35">
      <c r="A74" s="72">
        <v>200</v>
      </c>
      <c r="B74" s="72" t="s">
        <v>27</v>
      </c>
      <c r="C74" s="72">
        <v>5</v>
      </c>
      <c r="D74" s="78">
        <v>15266800000</v>
      </c>
      <c r="E74" s="78">
        <v>2762550000</v>
      </c>
      <c r="F74" s="78">
        <v>2918300000</v>
      </c>
      <c r="G74" s="78">
        <v>163818</v>
      </c>
      <c r="H74" s="78">
        <v>5</v>
      </c>
      <c r="I74" s="78">
        <f t="shared" si="5"/>
        <v>2918.3</v>
      </c>
      <c r="J74" s="78">
        <v>31470</v>
      </c>
      <c r="K74" s="78">
        <v>34526</v>
      </c>
      <c r="L74" s="78">
        <v>10726</v>
      </c>
      <c r="M74" s="78">
        <v>23129</v>
      </c>
      <c r="N74" s="78">
        <f t="shared" si="6"/>
        <v>15381</v>
      </c>
      <c r="O74" s="78">
        <v>3525</v>
      </c>
      <c r="P74" s="78">
        <v>134</v>
      </c>
      <c r="Q74" s="78">
        <v>12973</v>
      </c>
      <c r="R74" s="78">
        <v>26565</v>
      </c>
      <c r="S74" s="78">
        <v>8940</v>
      </c>
      <c r="T74" s="78">
        <v>0</v>
      </c>
      <c r="U74" s="78">
        <v>5163</v>
      </c>
      <c r="V74" s="78">
        <v>77475</v>
      </c>
      <c r="W74" s="78">
        <v>171270</v>
      </c>
      <c r="X74" s="78">
        <v>259570</v>
      </c>
      <c r="Y74" s="78">
        <v>5363.22</v>
      </c>
      <c r="Z74" s="78">
        <v>8664</v>
      </c>
      <c r="AA74" s="78">
        <v>0</v>
      </c>
      <c r="AB74" s="399">
        <v>0</v>
      </c>
      <c r="AC74" s="399">
        <v>0</v>
      </c>
      <c r="AD74" s="78">
        <v>33983</v>
      </c>
      <c r="AE74" s="78">
        <v>33983</v>
      </c>
      <c r="AF74" s="78">
        <v>132</v>
      </c>
      <c r="AG74" s="78">
        <v>0</v>
      </c>
      <c r="AH74" s="78">
        <v>833</v>
      </c>
      <c r="AI74" s="78">
        <v>186</v>
      </c>
      <c r="AJ74" s="78">
        <v>833</v>
      </c>
      <c r="AK74" s="78">
        <v>186</v>
      </c>
      <c r="AL74" s="78">
        <v>1018</v>
      </c>
      <c r="AM74" s="78">
        <v>77480</v>
      </c>
      <c r="AN74" s="78">
        <v>77480</v>
      </c>
      <c r="AO74" s="78">
        <v>0</v>
      </c>
      <c r="AP74" s="78">
        <v>0</v>
      </c>
      <c r="AQ74" s="78">
        <v>0</v>
      </c>
      <c r="AR74" s="78">
        <v>0</v>
      </c>
      <c r="AS74" s="78">
        <v>11306</v>
      </c>
      <c r="AT74" s="78">
        <v>0</v>
      </c>
      <c r="AU74" s="400">
        <v>3.582399E-3</v>
      </c>
      <c r="AV74" s="400">
        <v>4.7824729999999998E-3</v>
      </c>
      <c r="AW74" s="78">
        <v>135202.6</v>
      </c>
      <c r="AX74" s="78">
        <v>0</v>
      </c>
      <c r="AY74" s="78">
        <v>2419</v>
      </c>
      <c r="AZ74" s="78">
        <v>11615.879876887</v>
      </c>
      <c r="BA74" s="78">
        <v>24</v>
      </c>
      <c r="BB74" s="78">
        <v>24</v>
      </c>
      <c r="BC74" s="78">
        <v>17375</v>
      </c>
      <c r="BD74" s="78">
        <v>1</v>
      </c>
      <c r="BE74" s="78">
        <v>0</v>
      </c>
      <c r="BF74" s="78">
        <v>0</v>
      </c>
      <c r="BG74" s="78">
        <v>0</v>
      </c>
      <c r="BH74" s="78">
        <v>0</v>
      </c>
      <c r="BI74" s="78">
        <v>0</v>
      </c>
      <c r="BJ74" s="78">
        <v>0</v>
      </c>
      <c r="BK74" s="78">
        <v>0</v>
      </c>
      <c r="BL74" s="78">
        <v>0</v>
      </c>
      <c r="BM74" s="78">
        <v>3556.11</v>
      </c>
      <c r="BN74" s="78">
        <v>491</v>
      </c>
      <c r="BO74" s="78">
        <v>335</v>
      </c>
      <c r="BP74" s="78">
        <v>48521.88</v>
      </c>
      <c r="BQ74" s="78">
        <v>11016.18</v>
      </c>
      <c r="BR74" s="78">
        <v>1254.8301931850899</v>
      </c>
      <c r="BS74" s="78">
        <v>1997</v>
      </c>
      <c r="BT74" s="78">
        <v>957.33333333333303</v>
      </c>
      <c r="BU74" s="78">
        <v>877</v>
      </c>
      <c r="BV74" s="78">
        <f t="shared" si="7"/>
        <v>9448</v>
      </c>
      <c r="BW74" s="78">
        <v>3152</v>
      </c>
      <c r="BX74" s="78">
        <v>30812.850274246699</v>
      </c>
      <c r="BY74" s="402">
        <v>8.3439999999999994</v>
      </c>
      <c r="BZ74" s="78">
        <v>129292</v>
      </c>
      <c r="CA74" s="78">
        <v>19794</v>
      </c>
      <c r="CB74" s="78">
        <v>4006</v>
      </c>
      <c r="CC74" s="78">
        <v>4353</v>
      </c>
      <c r="CD74" s="78">
        <v>3544</v>
      </c>
      <c r="CE74" s="78">
        <v>2003</v>
      </c>
      <c r="CF74" s="78">
        <v>2370.4765229736699</v>
      </c>
      <c r="CG74" s="78">
        <v>1407.87367062468</v>
      </c>
      <c r="CH74" s="78">
        <v>544.13165978316999</v>
      </c>
      <c r="CI74" s="78">
        <v>5363.8972000000003</v>
      </c>
      <c r="CJ74" s="78">
        <v>3185.7264</v>
      </c>
      <c r="CK74" s="78">
        <v>1231.2572</v>
      </c>
      <c r="CL74" s="78">
        <v>489092</v>
      </c>
    </row>
    <row r="75" spans="1:90" customFormat="1" x14ac:dyDescent="0.35">
      <c r="A75" s="72">
        <v>202</v>
      </c>
      <c r="B75" s="72" t="s">
        <v>29</v>
      </c>
      <c r="C75" s="72">
        <v>5</v>
      </c>
      <c r="D75" s="78">
        <v>13039200000</v>
      </c>
      <c r="E75" s="78">
        <v>2447900000</v>
      </c>
      <c r="F75" s="78">
        <v>2457700000</v>
      </c>
      <c r="G75" s="78">
        <v>161348</v>
      </c>
      <c r="H75" s="78">
        <v>1</v>
      </c>
      <c r="I75" s="78">
        <f t="shared" si="5"/>
        <v>2457.6999999999998</v>
      </c>
      <c r="J75" s="78">
        <v>30340</v>
      </c>
      <c r="K75" s="78">
        <v>24793</v>
      </c>
      <c r="L75" s="78">
        <v>7249</v>
      </c>
      <c r="M75" s="78">
        <v>29388</v>
      </c>
      <c r="N75" s="78">
        <f t="shared" si="6"/>
        <v>21490.400000000001</v>
      </c>
      <c r="O75" s="78">
        <v>7646</v>
      </c>
      <c r="P75" s="78">
        <v>158</v>
      </c>
      <c r="Q75" s="78">
        <v>18263</v>
      </c>
      <c r="R75" s="78">
        <v>39296</v>
      </c>
      <c r="S75" s="78">
        <v>20525</v>
      </c>
      <c r="T75" s="78">
        <v>0</v>
      </c>
      <c r="U75" s="78">
        <v>6569</v>
      </c>
      <c r="V75" s="78">
        <v>85102</v>
      </c>
      <c r="W75" s="78">
        <v>192070</v>
      </c>
      <c r="X75" s="78">
        <v>338830</v>
      </c>
      <c r="Y75" s="78">
        <v>7065.2013999999999</v>
      </c>
      <c r="Z75" s="78">
        <v>6956</v>
      </c>
      <c r="AA75" s="78">
        <v>0</v>
      </c>
      <c r="AB75" s="399">
        <v>0</v>
      </c>
      <c r="AC75" s="399">
        <v>0</v>
      </c>
      <c r="AD75" s="78">
        <v>9772</v>
      </c>
      <c r="AE75" s="78">
        <v>9772</v>
      </c>
      <c r="AF75" s="78">
        <v>382</v>
      </c>
      <c r="AG75" s="78">
        <v>0</v>
      </c>
      <c r="AH75" s="78">
        <v>617</v>
      </c>
      <c r="AI75" s="78">
        <v>51</v>
      </c>
      <c r="AJ75" s="78">
        <v>623.16999999999996</v>
      </c>
      <c r="AK75" s="78">
        <v>51</v>
      </c>
      <c r="AL75" s="78">
        <v>668</v>
      </c>
      <c r="AM75" s="78">
        <v>78976</v>
      </c>
      <c r="AN75" s="78">
        <v>79765.759999999995</v>
      </c>
      <c r="AO75" s="78">
        <v>18</v>
      </c>
      <c r="AP75" s="78">
        <v>0</v>
      </c>
      <c r="AQ75" s="78">
        <v>0</v>
      </c>
      <c r="AR75" s="78">
        <v>0</v>
      </c>
      <c r="AS75" s="78">
        <v>18048</v>
      </c>
      <c r="AT75" s="78">
        <v>18048</v>
      </c>
      <c r="AU75" s="400">
        <v>1.6613725999999999E-2</v>
      </c>
      <c r="AV75" s="400">
        <v>2.0141675000000001E-2</v>
      </c>
      <c r="AW75" s="78">
        <v>174142.07999999999</v>
      </c>
      <c r="AX75" s="78">
        <v>0</v>
      </c>
      <c r="AY75" s="78">
        <v>2316</v>
      </c>
      <c r="AZ75" s="78">
        <v>37023.915698247001</v>
      </c>
      <c r="BA75" s="78">
        <v>6</v>
      </c>
      <c r="BB75" s="78">
        <v>6</v>
      </c>
      <c r="BC75" s="78">
        <v>19226</v>
      </c>
      <c r="BD75" s="78">
        <v>1</v>
      </c>
      <c r="BE75" s="78">
        <v>0</v>
      </c>
      <c r="BF75" s="78">
        <v>0</v>
      </c>
      <c r="BG75" s="78">
        <v>0</v>
      </c>
      <c r="BH75" s="78">
        <v>0</v>
      </c>
      <c r="BI75" s="78">
        <v>0</v>
      </c>
      <c r="BJ75" s="78">
        <v>0</v>
      </c>
      <c r="BK75" s="78">
        <v>0</v>
      </c>
      <c r="BL75" s="78">
        <v>0</v>
      </c>
      <c r="BM75" s="78">
        <v>5855.62</v>
      </c>
      <c r="BN75" s="78">
        <v>569</v>
      </c>
      <c r="BO75" s="78">
        <v>642</v>
      </c>
      <c r="BP75" s="78">
        <v>43955.46</v>
      </c>
      <c r="BQ75" s="78">
        <v>9734.48</v>
      </c>
      <c r="BR75" s="78">
        <v>1598.88514844569</v>
      </c>
      <c r="BS75" s="78">
        <v>2416</v>
      </c>
      <c r="BT75" s="78">
        <v>1856.6666666666699</v>
      </c>
      <c r="BU75" s="78">
        <v>1723.3333333333301</v>
      </c>
      <c r="BV75" s="78">
        <f t="shared" si="7"/>
        <v>10617</v>
      </c>
      <c r="BW75" s="78">
        <v>4022</v>
      </c>
      <c r="BX75" s="78">
        <v>21572.703240511099</v>
      </c>
      <c r="BY75" s="402">
        <v>23.286000000000001</v>
      </c>
      <c r="BZ75" s="78">
        <v>136555</v>
      </c>
      <c r="CA75" s="78">
        <v>14814</v>
      </c>
      <c r="CB75" s="78">
        <v>2730</v>
      </c>
      <c r="CC75" s="78">
        <v>4786</v>
      </c>
      <c r="CD75" s="78">
        <v>2918</v>
      </c>
      <c r="CE75" s="78">
        <v>1270</v>
      </c>
      <c r="CF75" s="78">
        <v>2650.1089647487802</v>
      </c>
      <c r="CG75" s="78">
        <v>1373.0824351701799</v>
      </c>
      <c r="CH75" s="78">
        <v>474.293040923825</v>
      </c>
      <c r="CI75" s="78">
        <v>5297.0420999999997</v>
      </c>
      <c r="CJ75" s="78">
        <v>2744.5194000000001</v>
      </c>
      <c r="CK75" s="78">
        <v>948.01769999999999</v>
      </c>
      <c r="CL75" s="78">
        <v>392735</v>
      </c>
    </row>
    <row r="76" spans="1:90" customFormat="1" x14ac:dyDescent="0.35">
      <c r="A76" s="72">
        <v>203</v>
      </c>
      <c r="B76" s="72" t="s">
        <v>35</v>
      </c>
      <c r="C76" s="72">
        <v>5</v>
      </c>
      <c r="D76" s="78">
        <v>5688400000</v>
      </c>
      <c r="E76" s="78">
        <v>1391250000</v>
      </c>
      <c r="F76" s="78">
        <v>1474550000</v>
      </c>
      <c r="G76" s="78">
        <v>59082</v>
      </c>
      <c r="H76" s="78">
        <v>7</v>
      </c>
      <c r="I76" s="78">
        <f t="shared" si="5"/>
        <v>1474.55</v>
      </c>
      <c r="J76" s="78">
        <v>15151</v>
      </c>
      <c r="K76" s="78">
        <v>9770</v>
      </c>
      <c r="L76" s="78">
        <v>3165</v>
      </c>
      <c r="M76" s="78">
        <v>5634</v>
      </c>
      <c r="N76" s="78">
        <f t="shared" si="6"/>
        <v>2981.7</v>
      </c>
      <c r="O76" s="78">
        <v>534.33333333333303</v>
      </c>
      <c r="P76" s="78">
        <v>65</v>
      </c>
      <c r="Q76" s="78">
        <v>2544.3333333333298</v>
      </c>
      <c r="R76" s="78">
        <v>6318</v>
      </c>
      <c r="S76" s="78">
        <v>1690</v>
      </c>
      <c r="T76" s="78">
        <v>0</v>
      </c>
      <c r="U76" s="78">
        <v>1086</v>
      </c>
      <c r="V76" s="78">
        <v>23140</v>
      </c>
      <c r="W76" s="78">
        <v>55800</v>
      </c>
      <c r="X76" s="78">
        <v>33520</v>
      </c>
      <c r="Y76" s="78">
        <v>2275.48</v>
      </c>
      <c r="Z76" s="78">
        <v>3836</v>
      </c>
      <c r="AA76" s="78">
        <v>0</v>
      </c>
      <c r="AB76" s="399">
        <v>0</v>
      </c>
      <c r="AC76" s="399">
        <v>0</v>
      </c>
      <c r="AD76" s="78">
        <v>17586</v>
      </c>
      <c r="AE76" s="78">
        <v>17586</v>
      </c>
      <c r="AF76" s="78">
        <v>80</v>
      </c>
      <c r="AG76" s="78">
        <v>0</v>
      </c>
      <c r="AH76" s="78">
        <v>369</v>
      </c>
      <c r="AI76" s="78">
        <v>262</v>
      </c>
      <c r="AJ76" s="78">
        <v>369</v>
      </c>
      <c r="AK76" s="78">
        <v>262</v>
      </c>
      <c r="AL76" s="78">
        <v>631</v>
      </c>
      <c r="AM76" s="78">
        <v>26523</v>
      </c>
      <c r="AN76" s="78">
        <v>26523</v>
      </c>
      <c r="AO76" s="78">
        <v>0</v>
      </c>
      <c r="AP76" s="78">
        <v>0</v>
      </c>
      <c r="AQ76" s="78">
        <v>0</v>
      </c>
      <c r="AR76" s="78">
        <v>0</v>
      </c>
      <c r="AS76" s="78">
        <v>920</v>
      </c>
      <c r="AT76" s="78">
        <v>0</v>
      </c>
      <c r="AU76" s="400">
        <v>4.0559299999999999E-4</v>
      </c>
      <c r="AV76" s="400">
        <v>1.9817000000000001E-4</v>
      </c>
      <c r="AW76" s="78">
        <v>23234.148000000001</v>
      </c>
      <c r="AX76" s="78">
        <v>0</v>
      </c>
      <c r="AY76" s="78">
        <v>1229</v>
      </c>
      <c r="AZ76" s="78">
        <v>4110.2557454998296</v>
      </c>
      <c r="BA76" s="78">
        <v>19</v>
      </c>
      <c r="BB76" s="78">
        <v>19</v>
      </c>
      <c r="BC76" s="78">
        <v>7915</v>
      </c>
      <c r="BD76" s="78">
        <v>1</v>
      </c>
      <c r="BE76" s="78">
        <v>0</v>
      </c>
      <c r="BF76" s="78">
        <v>0</v>
      </c>
      <c r="BG76" s="78">
        <v>0</v>
      </c>
      <c r="BH76" s="78">
        <v>0</v>
      </c>
      <c r="BI76" s="78">
        <v>0</v>
      </c>
      <c r="BJ76" s="78">
        <v>0</v>
      </c>
      <c r="BK76" s="78">
        <v>0</v>
      </c>
      <c r="BL76" s="78">
        <v>0</v>
      </c>
      <c r="BM76" s="78">
        <v>954.51300000000003</v>
      </c>
      <c r="BN76" s="78">
        <v>799</v>
      </c>
      <c r="BO76" s="78">
        <v>107</v>
      </c>
      <c r="BP76" s="78">
        <v>15450.48</v>
      </c>
      <c r="BQ76" s="78">
        <v>4546.1000000000004</v>
      </c>
      <c r="BR76" s="78">
        <v>680.20733494053297</v>
      </c>
      <c r="BS76" s="78">
        <v>483</v>
      </c>
      <c r="BT76" s="78">
        <v>171</v>
      </c>
      <c r="BU76" s="78">
        <v>131</v>
      </c>
      <c r="BV76" s="78">
        <f t="shared" si="7"/>
        <v>2009.9999999999968</v>
      </c>
      <c r="BW76" s="78">
        <v>679</v>
      </c>
      <c r="BX76" s="78">
        <v>6996.0360759690202</v>
      </c>
      <c r="BY76" s="402">
        <v>0.34100000000000003</v>
      </c>
      <c r="BZ76" s="78">
        <v>49312</v>
      </c>
      <c r="CA76" s="78">
        <v>5366</v>
      </c>
      <c r="CB76" s="78">
        <v>1239</v>
      </c>
      <c r="CC76" s="78">
        <v>954</v>
      </c>
      <c r="CD76" s="78">
        <v>980</v>
      </c>
      <c r="CE76" s="78">
        <v>577</v>
      </c>
      <c r="CF76" s="78">
        <v>353.67146250424202</v>
      </c>
      <c r="CG76" s="78">
        <v>233.9447913132</v>
      </c>
      <c r="CH76" s="78">
        <v>90.947302341364093</v>
      </c>
      <c r="CI76" s="78">
        <v>1364.4202</v>
      </c>
      <c r="CJ76" s="78">
        <v>902.52970000000005</v>
      </c>
      <c r="CK76" s="78">
        <v>350.86329999999998</v>
      </c>
      <c r="CL76" s="78">
        <v>11907</v>
      </c>
    </row>
    <row r="77" spans="1:90" customFormat="1" x14ac:dyDescent="0.35">
      <c r="A77" s="72">
        <v>1945</v>
      </c>
      <c r="B77" s="72" t="s">
        <v>40</v>
      </c>
      <c r="C77" s="72">
        <v>5</v>
      </c>
      <c r="D77" s="78">
        <v>3224800000</v>
      </c>
      <c r="E77" s="78">
        <v>340200000</v>
      </c>
      <c r="F77" s="78">
        <v>385700000</v>
      </c>
      <c r="G77" s="78">
        <v>34992</v>
      </c>
      <c r="H77" s="78">
        <v>5</v>
      </c>
      <c r="I77" s="78">
        <f t="shared" si="5"/>
        <v>385.7</v>
      </c>
      <c r="J77" s="78">
        <v>5884</v>
      </c>
      <c r="K77" s="78">
        <v>8688</v>
      </c>
      <c r="L77" s="78">
        <v>2748</v>
      </c>
      <c r="M77" s="78">
        <v>5135</v>
      </c>
      <c r="N77" s="78">
        <f t="shared" si="6"/>
        <v>3478</v>
      </c>
      <c r="O77" s="78">
        <v>732.33333333333303</v>
      </c>
      <c r="P77" s="78">
        <v>31</v>
      </c>
      <c r="Q77" s="78">
        <v>2758.3333333333298</v>
      </c>
      <c r="R77" s="78">
        <v>5427</v>
      </c>
      <c r="S77" s="78">
        <v>750</v>
      </c>
      <c r="T77" s="78">
        <v>0</v>
      </c>
      <c r="U77" s="78">
        <v>1018</v>
      </c>
      <c r="V77" s="78">
        <v>16695</v>
      </c>
      <c r="W77" s="78">
        <v>27140</v>
      </c>
      <c r="X77" s="78">
        <v>7990</v>
      </c>
      <c r="Y77" s="78">
        <v>2127.1</v>
      </c>
      <c r="Z77" s="78">
        <v>675.2</v>
      </c>
      <c r="AA77" s="78">
        <v>0</v>
      </c>
      <c r="AB77" s="399">
        <v>0</v>
      </c>
      <c r="AC77" s="399">
        <v>0</v>
      </c>
      <c r="AD77" s="78">
        <v>8631</v>
      </c>
      <c r="AE77" s="78">
        <v>8631</v>
      </c>
      <c r="AF77" s="78">
        <v>697</v>
      </c>
      <c r="AG77" s="78">
        <v>0</v>
      </c>
      <c r="AH77" s="78">
        <v>185</v>
      </c>
      <c r="AI77" s="78">
        <v>49</v>
      </c>
      <c r="AJ77" s="78">
        <v>185</v>
      </c>
      <c r="AK77" s="78">
        <v>49</v>
      </c>
      <c r="AL77" s="78">
        <v>234</v>
      </c>
      <c r="AM77" s="78">
        <v>16570</v>
      </c>
      <c r="AN77" s="78">
        <v>16570</v>
      </c>
      <c r="AO77" s="78">
        <v>0</v>
      </c>
      <c r="AP77" s="78">
        <v>0</v>
      </c>
      <c r="AQ77" s="78">
        <v>0</v>
      </c>
      <c r="AR77" s="78">
        <v>0</v>
      </c>
      <c r="AS77" s="78">
        <v>1067</v>
      </c>
      <c r="AT77" s="78">
        <v>0</v>
      </c>
      <c r="AU77" s="400">
        <v>3.8512900000000001E-4</v>
      </c>
      <c r="AV77" s="400">
        <v>2.6932900000000001E-4</v>
      </c>
      <c r="AW77" s="78">
        <v>10820.21</v>
      </c>
      <c r="AX77" s="78">
        <v>0</v>
      </c>
      <c r="AY77" s="78">
        <v>1921</v>
      </c>
      <c r="AZ77" s="78">
        <v>7378.7804459691297</v>
      </c>
      <c r="BA77" s="78">
        <v>12</v>
      </c>
      <c r="BB77" s="78">
        <v>12</v>
      </c>
      <c r="BC77" s="78">
        <v>3745</v>
      </c>
      <c r="BD77" s="78">
        <v>1</v>
      </c>
      <c r="BE77" s="78">
        <v>0</v>
      </c>
      <c r="BF77" s="78">
        <v>0</v>
      </c>
      <c r="BG77" s="78">
        <v>0</v>
      </c>
      <c r="BH77" s="78">
        <v>0</v>
      </c>
      <c r="BI77" s="78">
        <v>0</v>
      </c>
      <c r="BJ77" s="78">
        <v>0</v>
      </c>
      <c r="BK77" s="78">
        <v>0</v>
      </c>
      <c r="BL77" s="78">
        <v>0</v>
      </c>
      <c r="BM77" s="78">
        <v>523.67600000000004</v>
      </c>
      <c r="BN77" s="78">
        <v>67</v>
      </c>
      <c r="BO77" s="78">
        <v>58</v>
      </c>
      <c r="BP77" s="78">
        <v>10102.4</v>
      </c>
      <c r="BQ77" s="78">
        <v>2230.15</v>
      </c>
      <c r="BR77" s="78">
        <v>193.310926829268</v>
      </c>
      <c r="BS77" s="78">
        <v>348</v>
      </c>
      <c r="BT77" s="78">
        <v>189.666666666667</v>
      </c>
      <c r="BU77" s="78">
        <v>160.333333333333</v>
      </c>
      <c r="BV77" s="78">
        <f t="shared" si="7"/>
        <v>2025.9999999999968</v>
      </c>
      <c r="BW77" s="78">
        <v>717</v>
      </c>
      <c r="BX77" s="78">
        <v>6739.6052094948</v>
      </c>
      <c r="BY77" s="402">
        <v>2.0129999999999999</v>
      </c>
      <c r="BZ77" s="78">
        <v>26304</v>
      </c>
      <c r="CA77" s="78">
        <v>4882</v>
      </c>
      <c r="CB77" s="78">
        <v>1058</v>
      </c>
      <c r="CC77" s="78">
        <v>1082</v>
      </c>
      <c r="CD77" s="78">
        <v>910</v>
      </c>
      <c r="CE77" s="78">
        <v>493</v>
      </c>
      <c r="CF77" s="78">
        <v>625.914061557031</v>
      </c>
      <c r="CG77" s="78">
        <v>381.80337960168998</v>
      </c>
      <c r="CH77" s="78">
        <v>141.470850935426</v>
      </c>
      <c r="CI77" s="78">
        <v>1387.2264</v>
      </c>
      <c r="CJ77" s="78">
        <v>846.19880000000001</v>
      </c>
      <c r="CK77" s="78">
        <v>313.54480000000001</v>
      </c>
      <c r="CL77" s="78">
        <v>160408</v>
      </c>
    </row>
    <row r="78" spans="1:90" customFormat="1" x14ac:dyDescent="0.35">
      <c r="A78" s="72">
        <v>1859</v>
      </c>
      <c r="B78" s="72" t="s">
        <v>45</v>
      </c>
      <c r="C78" s="72">
        <v>5</v>
      </c>
      <c r="D78" s="78">
        <v>3701200000</v>
      </c>
      <c r="E78" s="78">
        <v>628950000</v>
      </c>
      <c r="F78" s="78">
        <v>752150000</v>
      </c>
      <c r="G78" s="78">
        <v>43747</v>
      </c>
      <c r="H78" s="78">
        <v>5</v>
      </c>
      <c r="I78" s="78">
        <f t="shared" si="5"/>
        <v>752.15</v>
      </c>
      <c r="J78" s="78">
        <v>7902</v>
      </c>
      <c r="K78" s="78">
        <v>10958</v>
      </c>
      <c r="L78" s="78">
        <v>3578</v>
      </c>
      <c r="M78" s="78">
        <v>5678</v>
      </c>
      <c r="N78" s="78">
        <f t="shared" si="6"/>
        <v>3659.2</v>
      </c>
      <c r="O78" s="78">
        <v>577</v>
      </c>
      <c r="P78" s="78">
        <v>87</v>
      </c>
      <c r="Q78" s="78">
        <v>2812</v>
      </c>
      <c r="R78" s="78">
        <v>5652</v>
      </c>
      <c r="S78" s="78">
        <v>720</v>
      </c>
      <c r="T78" s="78">
        <v>0</v>
      </c>
      <c r="U78" s="78">
        <v>1011</v>
      </c>
      <c r="V78" s="78">
        <v>19468</v>
      </c>
      <c r="W78" s="78">
        <v>42110</v>
      </c>
      <c r="X78" s="78">
        <v>18780</v>
      </c>
      <c r="Y78" s="78">
        <v>2210.38</v>
      </c>
      <c r="Z78" s="78">
        <v>1089.5999999999999</v>
      </c>
      <c r="AA78" s="78">
        <v>0</v>
      </c>
      <c r="AB78" s="399">
        <v>0</v>
      </c>
      <c r="AC78" s="399">
        <v>0</v>
      </c>
      <c r="AD78" s="78">
        <v>25806</v>
      </c>
      <c r="AE78" s="78">
        <v>25806</v>
      </c>
      <c r="AF78" s="78">
        <v>215</v>
      </c>
      <c r="AG78" s="78">
        <v>0</v>
      </c>
      <c r="AH78" s="78">
        <v>263</v>
      </c>
      <c r="AI78" s="78">
        <v>277</v>
      </c>
      <c r="AJ78" s="78">
        <v>263</v>
      </c>
      <c r="AK78" s="78">
        <v>277</v>
      </c>
      <c r="AL78" s="78">
        <v>540</v>
      </c>
      <c r="AM78" s="78">
        <v>20188</v>
      </c>
      <c r="AN78" s="78">
        <v>20188</v>
      </c>
      <c r="AO78" s="78">
        <v>5</v>
      </c>
      <c r="AP78" s="78">
        <v>0</v>
      </c>
      <c r="AQ78" s="78">
        <v>0</v>
      </c>
      <c r="AR78" s="78">
        <v>1750</v>
      </c>
      <c r="AS78" s="78">
        <v>1204</v>
      </c>
      <c r="AT78" s="78">
        <v>524</v>
      </c>
      <c r="AU78" s="400">
        <v>7.9470400000000003E-4</v>
      </c>
      <c r="AV78" s="400">
        <v>2.69938E-4</v>
      </c>
      <c r="AW78" s="78">
        <v>13202.951999999999</v>
      </c>
      <c r="AX78" s="78">
        <v>0</v>
      </c>
      <c r="AY78" s="78">
        <v>3432</v>
      </c>
      <c r="AZ78" s="78">
        <v>5769.9436608892802</v>
      </c>
      <c r="BA78" s="78">
        <v>23</v>
      </c>
      <c r="BB78" s="78">
        <v>23</v>
      </c>
      <c r="BC78" s="78">
        <v>4813</v>
      </c>
      <c r="BD78" s="78">
        <v>1</v>
      </c>
      <c r="BE78" s="78">
        <v>0</v>
      </c>
      <c r="BF78" s="78">
        <v>0</v>
      </c>
      <c r="BG78" s="78">
        <v>0</v>
      </c>
      <c r="BH78" s="78">
        <v>0</v>
      </c>
      <c r="BI78" s="78">
        <v>0</v>
      </c>
      <c r="BJ78" s="78">
        <v>0</v>
      </c>
      <c r="BK78" s="78">
        <v>0</v>
      </c>
      <c r="BL78" s="78">
        <v>0</v>
      </c>
      <c r="BM78" s="78">
        <v>600.55200000000002</v>
      </c>
      <c r="BN78" s="78">
        <v>154</v>
      </c>
      <c r="BO78" s="78">
        <v>59</v>
      </c>
      <c r="BP78" s="78">
        <v>12051.2</v>
      </c>
      <c r="BQ78" s="78">
        <v>2693.9</v>
      </c>
      <c r="BR78" s="78">
        <v>178.84586941049</v>
      </c>
      <c r="BS78" s="78">
        <v>413</v>
      </c>
      <c r="BT78" s="78">
        <v>152</v>
      </c>
      <c r="BU78" s="78">
        <v>137.333333333333</v>
      </c>
      <c r="BV78" s="78">
        <f t="shared" si="7"/>
        <v>2235</v>
      </c>
      <c r="BW78" s="78">
        <v>626</v>
      </c>
      <c r="BX78" s="78">
        <v>8547.8433500364408</v>
      </c>
      <c r="BY78" s="402">
        <v>1.0669999999999999</v>
      </c>
      <c r="BZ78" s="78">
        <v>32789</v>
      </c>
      <c r="CA78" s="78">
        <v>6189</v>
      </c>
      <c r="CB78" s="78">
        <v>1191</v>
      </c>
      <c r="CC78" s="78">
        <v>1078</v>
      </c>
      <c r="CD78" s="78">
        <v>1089</v>
      </c>
      <c r="CE78" s="78">
        <v>612</v>
      </c>
      <c r="CF78" s="78">
        <v>670.4666534575</v>
      </c>
      <c r="CG78" s="78">
        <v>430.48345551812997</v>
      </c>
      <c r="CH78" s="78">
        <v>146.455002972063</v>
      </c>
      <c r="CI78" s="78">
        <v>1812.8798999999999</v>
      </c>
      <c r="CJ78" s="78">
        <v>1163.9875</v>
      </c>
      <c r="CK78" s="78">
        <v>396.00080000000003</v>
      </c>
      <c r="CL78" s="78">
        <v>3952</v>
      </c>
    </row>
    <row r="79" spans="1:90" customFormat="1" x14ac:dyDescent="0.35">
      <c r="A79" s="72">
        <v>209</v>
      </c>
      <c r="B79" s="72" t="s">
        <v>48</v>
      </c>
      <c r="C79" s="72">
        <v>5</v>
      </c>
      <c r="D79" s="78">
        <v>2420400000</v>
      </c>
      <c r="E79" s="78">
        <v>238000000</v>
      </c>
      <c r="F79" s="78">
        <v>250950000</v>
      </c>
      <c r="G79" s="78">
        <v>25890</v>
      </c>
      <c r="H79" s="78">
        <v>3</v>
      </c>
      <c r="I79" s="78">
        <f t="shared" si="5"/>
        <v>250.95</v>
      </c>
      <c r="J79" s="78">
        <v>4843</v>
      </c>
      <c r="K79" s="78">
        <v>5108</v>
      </c>
      <c r="L79" s="78">
        <v>1486</v>
      </c>
      <c r="M79" s="78">
        <v>2960</v>
      </c>
      <c r="N79" s="78">
        <f t="shared" si="6"/>
        <v>1818.5</v>
      </c>
      <c r="O79" s="78">
        <v>380</v>
      </c>
      <c r="P79" s="78">
        <v>26</v>
      </c>
      <c r="Q79" s="78">
        <v>1583</v>
      </c>
      <c r="R79" s="78">
        <v>3259</v>
      </c>
      <c r="S79" s="78">
        <v>720</v>
      </c>
      <c r="T79" s="78">
        <v>0</v>
      </c>
      <c r="U79" s="78">
        <v>761</v>
      </c>
      <c r="V79" s="78">
        <v>11374</v>
      </c>
      <c r="W79" s="78">
        <v>22250</v>
      </c>
      <c r="X79" s="78">
        <v>9640</v>
      </c>
      <c r="Y79" s="78">
        <v>148.5</v>
      </c>
      <c r="Z79" s="78">
        <v>0</v>
      </c>
      <c r="AA79" s="78">
        <v>0</v>
      </c>
      <c r="AB79" s="399">
        <v>0</v>
      </c>
      <c r="AC79" s="399">
        <v>0</v>
      </c>
      <c r="AD79" s="78">
        <v>4351</v>
      </c>
      <c r="AE79" s="78">
        <v>4394.51</v>
      </c>
      <c r="AF79" s="78">
        <v>358</v>
      </c>
      <c r="AG79" s="78">
        <v>0</v>
      </c>
      <c r="AH79" s="78">
        <v>130</v>
      </c>
      <c r="AI79" s="78">
        <v>39</v>
      </c>
      <c r="AJ79" s="78">
        <v>131.30000000000001</v>
      </c>
      <c r="AK79" s="78">
        <v>39</v>
      </c>
      <c r="AL79" s="78">
        <v>168</v>
      </c>
      <c r="AM79" s="78">
        <v>11415</v>
      </c>
      <c r="AN79" s="78">
        <v>11529.15</v>
      </c>
      <c r="AO79" s="78">
        <v>0</v>
      </c>
      <c r="AP79" s="78">
        <v>0</v>
      </c>
      <c r="AQ79" s="78">
        <v>0</v>
      </c>
      <c r="AR79" s="78">
        <v>0</v>
      </c>
      <c r="AS79" s="78">
        <v>0</v>
      </c>
      <c r="AT79" s="78">
        <v>0</v>
      </c>
      <c r="AU79" s="400">
        <v>1.41142E-4</v>
      </c>
      <c r="AV79" s="400">
        <v>8.6934000000000005E-5</v>
      </c>
      <c r="AW79" s="78">
        <v>11369.34</v>
      </c>
      <c r="AX79" s="78">
        <v>0</v>
      </c>
      <c r="AY79" s="78">
        <v>1347.34</v>
      </c>
      <c r="AZ79" s="78">
        <v>7474.2874070928001</v>
      </c>
      <c r="BA79" s="78">
        <v>7</v>
      </c>
      <c r="BB79" s="78">
        <v>7</v>
      </c>
      <c r="BC79" s="78">
        <v>2762</v>
      </c>
      <c r="BD79" s="78">
        <v>1</v>
      </c>
      <c r="BE79" s="78">
        <v>0</v>
      </c>
      <c r="BF79" s="78">
        <v>0</v>
      </c>
      <c r="BG79" s="78">
        <v>0</v>
      </c>
      <c r="BH79" s="78">
        <v>0</v>
      </c>
      <c r="BI79" s="78">
        <v>0</v>
      </c>
      <c r="BJ79" s="78">
        <v>0</v>
      </c>
      <c r="BK79" s="78">
        <v>0</v>
      </c>
      <c r="BL79" s="78">
        <v>0</v>
      </c>
      <c r="BM79" s="78">
        <v>445.55599999999998</v>
      </c>
      <c r="BN79" s="78">
        <v>42</v>
      </c>
      <c r="BO79" s="78">
        <v>39</v>
      </c>
      <c r="BP79" s="78">
        <v>7958.39</v>
      </c>
      <c r="BQ79" s="78">
        <v>1951.32</v>
      </c>
      <c r="BR79" s="78">
        <v>178.61414900741499</v>
      </c>
      <c r="BS79" s="78">
        <v>285</v>
      </c>
      <c r="BT79" s="78">
        <v>112.666666666667</v>
      </c>
      <c r="BU79" s="78">
        <v>97.6666666666667</v>
      </c>
      <c r="BV79" s="78">
        <f t="shared" si="7"/>
        <v>1203</v>
      </c>
      <c r="BW79" s="78">
        <v>260</v>
      </c>
      <c r="BX79" s="78">
        <v>4205.4594853566196</v>
      </c>
      <c r="BY79" s="402">
        <v>0.64400000000000002</v>
      </c>
      <c r="BZ79" s="78">
        <v>20782</v>
      </c>
      <c r="CA79" s="78">
        <v>3155</v>
      </c>
      <c r="CB79" s="78">
        <v>467</v>
      </c>
      <c r="CC79" s="78">
        <v>601</v>
      </c>
      <c r="CD79" s="78">
        <v>491</v>
      </c>
      <c r="CE79" s="78">
        <v>228</v>
      </c>
      <c r="CF79" s="78">
        <v>302.84437144108603</v>
      </c>
      <c r="CG79" s="78">
        <v>158.98931230836601</v>
      </c>
      <c r="CH79" s="78">
        <v>48.9075339465615</v>
      </c>
      <c r="CI79" s="78">
        <v>788.91499999999996</v>
      </c>
      <c r="CJ79" s="78">
        <v>414.17</v>
      </c>
      <c r="CK79" s="78">
        <v>127.405</v>
      </c>
      <c r="CL79" s="78">
        <v>15876</v>
      </c>
    </row>
    <row r="80" spans="1:90" customFormat="1" x14ac:dyDescent="0.35">
      <c r="A80" s="72">
        <v>1876</v>
      </c>
      <c r="B80" s="72" t="s">
        <v>62</v>
      </c>
      <c r="C80" s="72">
        <v>5</v>
      </c>
      <c r="D80" s="78">
        <v>3528400000</v>
      </c>
      <c r="E80" s="78">
        <v>453950000</v>
      </c>
      <c r="F80" s="78">
        <v>561050000</v>
      </c>
      <c r="G80" s="78">
        <v>36055</v>
      </c>
      <c r="H80" s="78">
        <v>6</v>
      </c>
      <c r="I80" s="78">
        <f t="shared" si="5"/>
        <v>561.04999999999995</v>
      </c>
      <c r="J80" s="78">
        <v>6259</v>
      </c>
      <c r="K80" s="78">
        <v>9436</v>
      </c>
      <c r="L80" s="78">
        <v>3040</v>
      </c>
      <c r="M80" s="78">
        <v>4316</v>
      </c>
      <c r="N80" s="78">
        <f t="shared" si="6"/>
        <v>2652.2</v>
      </c>
      <c r="O80" s="78">
        <v>341.66666666666703</v>
      </c>
      <c r="P80" s="78">
        <v>39</v>
      </c>
      <c r="Q80" s="78">
        <v>1913.6666666666699</v>
      </c>
      <c r="R80" s="78">
        <v>4369</v>
      </c>
      <c r="S80" s="78">
        <v>395</v>
      </c>
      <c r="T80" s="78">
        <v>0</v>
      </c>
      <c r="U80" s="78">
        <v>752</v>
      </c>
      <c r="V80" s="78">
        <v>15940</v>
      </c>
      <c r="W80" s="78">
        <v>28670</v>
      </c>
      <c r="X80" s="78">
        <v>6870</v>
      </c>
      <c r="Y80" s="78">
        <v>0</v>
      </c>
      <c r="Z80" s="78">
        <v>262.39999999999998</v>
      </c>
      <c r="AA80" s="78">
        <v>0</v>
      </c>
      <c r="AB80" s="399">
        <v>0</v>
      </c>
      <c r="AC80" s="399">
        <v>0</v>
      </c>
      <c r="AD80" s="78">
        <v>28347</v>
      </c>
      <c r="AE80" s="78">
        <v>28347</v>
      </c>
      <c r="AF80" s="78">
        <v>295</v>
      </c>
      <c r="AG80" s="78">
        <v>0</v>
      </c>
      <c r="AH80" s="78">
        <v>189</v>
      </c>
      <c r="AI80" s="78">
        <v>269</v>
      </c>
      <c r="AJ80" s="78">
        <v>189</v>
      </c>
      <c r="AK80" s="78">
        <v>269</v>
      </c>
      <c r="AL80" s="78">
        <v>458</v>
      </c>
      <c r="AM80" s="78">
        <v>16638</v>
      </c>
      <c r="AN80" s="78">
        <v>16638</v>
      </c>
      <c r="AO80" s="78">
        <v>0</v>
      </c>
      <c r="AP80" s="78">
        <v>0</v>
      </c>
      <c r="AQ80" s="78">
        <v>0</v>
      </c>
      <c r="AR80" s="78">
        <v>0</v>
      </c>
      <c r="AS80" s="78">
        <v>0</v>
      </c>
      <c r="AT80" s="78">
        <v>0</v>
      </c>
      <c r="AU80" s="400">
        <v>6.80644E-4</v>
      </c>
      <c r="AV80" s="400">
        <v>1.5694299999999999E-4</v>
      </c>
      <c r="AW80" s="78">
        <v>6322.44</v>
      </c>
      <c r="AX80" s="78">
        <v>0</v>
      </c>
      <c r="AY80" s="78">
        <v>3496</v>
      </c>
      <c r="AZ80" s="78">
        <v>4400.8197751553698</v>
      </c>
      <c r="BA80" s="78">
        <v>24</v>
      </c>
      <c r="BB80" s="78">
        <v>24</v>
      </c>
      <c r="BC80" s="78">
        <v>4822</v>
      </c>
      <c r="BD80" s="78">
        <v>1</v>
      </c>
      <c r="BE80" s="78">
        <v>0</v>
      </c>
      <c r="BF80" s="78">
        <v>0</v>
      </c>
      <c r="BG80" s="78">
        <v>0</v>
      </c>
      <c r="BH80" s="78">
        <v>0</v>
      </c>
      <c r="BI80" s="78">
        <v>0</v>
      </c>
      <c r="BJ80" s="78">
        <v>0</v>
      </c>
      <c r="BK80" s="78">
        <v>0</v>
      </c>
      <c r="BL80" s="78">
        <v>0</v>
      </c>
      <c r="BM80" s="78">
        <v>488.202</v>
      </c>
      <c r="BN80" s="78">
        <v>85</v>
      </c>
      <c r="BO80" s="78">
        <v>24</v>
      </c>
      <c r="BP80" s="78">
        <v>10680.51</v>
      </c>
      <c r="BQ80" s="78">
        <v>2269.7399999999998</v>
      </c>
      <c r="BR80" s="78">
        <v>133.360279074179</v>
      </c>
      <c r="BS80" s="78">
        <v>279</v>
      </c>
      <c r="BT80" s="78">
        <v>100</v>
      </c>
      <c r="BU80" s="78">
        <v>67.3333333333333</v>
      </c>
      <c r="BV80" s="78">
        <f t="shared" si="7"/>
        <v>1572.000000000003</v>
      </c>
      <c r="BW80" s="78">
        <v>415</v>
      </c>
      <c r="BX80" s="78">
        <v>7163.3674141168703</v>
      </c>
      <c r="BY80" s="402">
        <v>0.20399999999999999</v>
      </c>
      <c r="BZ80" s="78">
        <v>26619</v>
      </c>
      <c r="CA80" s="78">
        <v>5317</v>
      </c>
      <c r="CB80" s="78">
        <v>1079</v>
      </c>
      <c r="CC80" s="78">
        <v>884</v>
      </c>
      <c r="CD80" s="78">
        <v>982</v>
      </c>
      <c r="CE80" s="78">
        <v>564</v>
      </c>
      <c r="CF80" s="78">
        <v>506.27402332011098</v>
      </c>
      <c r="CG80" s="78">
        <v>326.14504147133101</v>
      </c>
      <c r="CH80" s="78">
        <v>123.53978843611</v>
      </c>
      <c r="CI80" s="78">
        <v>1365.3624</v>
      </c>
      <c r="CJ80" s="78">
        <v>879.57539999999995</v>
      </c>
      <c r="CK80" s="78">
        <v>333.17250000000001</v>
      </c>
      <c r="CL80" s="78">
        <v>12822</v>
      </c>
    </row>
    <row r="81" spans="1:90" customFormat="1" x14ac:dyDescent="0.35">
      <c r="A81" s="72">
        <v>213</v>
      </c>
      <c r="B81" s="72" t="s">
        <v>63</v>
      </c>
      <c r="C81" s="72">
        <v>5</v>
      </c>
      <c r="D81" s="78">
        <v>1975200000</v>
      </c>
      <c r="E81" s="78">
        <v>229600000</v>
      </c>
      <c r="F81" s="78">
        <v>255850000</v>
      </c>
      <c r="G81" s="78">
        <v>20726</v>
      </c>
      <c r="H81" s="78">
        <v>2</v>
      </c>
      <c r="I81" s="78">
        <f t="shared" si="5"/>
        <v>255.85</v>
      </c>
      <c r="J81" s="78">
        <v>3502</v>
      </c>
      <c r="K81" s="78">
        <v>5297</v>
      </c>
      <c r="L81" s="78">
        <v>1810</v>
      </c>
      <c r="M81" s="78">
        <v>2492</v>
      </c>
      <c r="N81" s="78">
        <f t="shared" si="6"/>
        <v>1506.5</v>
      </c>
      <c r="O81" s="78">
        <v>319</v>
      </c>
      <c r="P81" s="78">
        <v>29</v>
      </c>
      <c r="Q81" s="78">
        <v>1407</v>
      </c>
      <c r="R81" s="78">
        <v>2652</v>
      </c>
      <c r="S81" s="78">
        <v>910</v>
      </c>
      <c r="T81" s="78">
        <v>0</v>
      </c>
      <c r="U81" s="78">
        <v>562</v>
      </c>
      <c r="V81" s="78">
        <v>9414</v>
      </c>
      <c r="W81" s="78">
        <v>18220</v>
      </c>
      <c r="X81" s="78">
        <v>5320</v>
      </c>
      <c r="Y81" s="78">
        <v>259.5</v>
      </c>
      <c r="Z81" s="78">
        <v>0</v>
      </c>
      <c r="AA81" s="78">
        <v>0</v>
      </c>
      <c r="AB81" s="399">
        <v>0</v>
      </c>
      <c r="AC81" s="399">
        <v>0</v>
      </c>
      <c r="AD81" s="78">
        <v>8362</v>
      </c>
      <c r="AE81" s="78">
        <v>8362</v>
      </c>
      <c r="AF81" s="78">
        <v>140</v>
      </c>
      <c r="AG81" s="78">
        <v>0</v>
      </c>
      <c r="AH81" s="78">
        <v>120</v>
      </c>
      <c r="AI81" s="78">
        <v>61</v>
      </c>
      <c r="AJ81" s="78">
        <v>120</v>
      </c>
      <c r="AK81" s="78">
        <v>61</v>
      </c>
      <c r="AL81" s="78">
        <v>181</v>
      </c>
      <c r="AM81" s="78">
        <v>9855</v>
      </c>
      <c r="AN81" s="78">
        <v>9855</v>
      </c>
      <c r="AO81" s="78">
        <v>0</v>
      </c>
      <c r="AP81" s="78">
        <v>0</v>
      </c>
      <c r="AQ81" s="78">
        <v>0</v>
      </c>
      <c r="AR81" s="78">
        <v>0</v>
      </c>
      <c r="AS81" s="78">
        <v>509</v>
      </c>
      <c r="AT81" s="78">
        <v>0</v>
      </c>
      <c r="AU81" s="400">
        <v>3.5796299999999999E-4</v>
      </c>
      <c r="AV81" s="400">
        <v>1.11223E-4</v>
      </c>
      <c r="AW81" s="78">
        <v>7519.3649999999998</v>
      </c>
      <c r="AX81" s="78">
        <v>0</v>
      </c>
      <c r="AY81" s="78">
        <v>1323</v>
      </c>
      <c r="AZ81" s="78">
        <v>3225.1820748059299</v>
      </c>
      <c r="BA81" s="78">
        <v>7</v>
      </c>
      <c r="BB81" s="78">
        <v>7</v>
      </c>
      <c r="BC81" s="78">
        <v>2212</v>
      </c>
      <c r="BD81" s="78">
        <v>1</v>
      </c>
      <c r="BE81" s="78">
        <v>0</v>
      </c>
      <c r="BF81" s="78">
        <v>0</v>
      </c>
      <c r="BG81" s="78">
        <v>0</v>
      </c>
      <c r="BH81" s="78">
        <v>0</v>
      </c>
      <c r="BI81" s="78">
        <v>0</v>
      </c>
      <c r="BJ81" s="78">
        <v>0</v>
      </c>
      <c r="BK81" s="78">
        <v>0</v>
      </c>
      <c r="BL81" s="78">
        <v>0</v>
      </c>
      <c r="BM81" s="78">
        <v>315.18</v>
      </c>
      <c r="BN81" s="78">
        <v>67</v>
      </c>
      <c r="BO81" s="78">
        <v>34</v>
      </c>
      <c r="BP81" s="78">
        <v>6234.84</v>
      </c>
      <c r="BQ81" s="78">
        <v>1284.48</v>
      </c>
      <c r="BR81" s="78">
        <v>147.78255562870299</v>
      </c>
      <c r="BS81" s="78">
        <v>204</v>
      </c>
      <c r="BT81" s="78">
        <v>88</v>
      </c>
      <c r="BU81" s="78">
        <v>72</v>
      </c>
      <c r="BV81" s="78">
        <f t="shared" si="7"/>
        <v>1088</v>
      </c>
      <c r="BW81" s="78">
        <v>333</v>
      </c>
      <c r="BX81" s="78">
        <v>4639.5077901246495</v>
      </c>
      <c r="BY81" s="402">
        <v>0.625</v>
      </c>
      <c r="BZ81" s="78">
        <v>15429</v>
      </c>
      <c r="CA81" s="78">
        <v>2871</v>
      </c>
      <c r="CB81" s="78">
        <v>616</v>
      </c>
      <c r="CC81" s="78">
        <v>482</v>
      </c>
      <c r="CD81" s="78">
        <v>558</v>
      </c>
      <c r="CE81" s="78">
        <v>298</v>
      </c>
      <c r="CF81" s="78">
        <v>258.03876204972102</v>
      </c>
      <c r="CG81" s="78">
        <v>183.59274479959399</v>
      </c>
      <c r="CH81" s="78">
        <v>66.649822425164899</v>
      </c>
      <c r="CI81" s="78">
        <v>725.6712</v>
      </c>
      <c r="CJ81" s="78">
        <v>516.30989999999997</v>
      </c>
      <c r="CK81" s="78">
        <v>187.43639999999999</v>
      </c>
      <c r="CL81" s="78">
        <v>70080</v>
      </c>
    </row>
    <row r="82" spans="1:90" customFormat="1" x14ac:dyDescent="0.35">
      <c r="A82" s="72">
        <v>214</v>
      </c>
      <c r="B82" s="72" t="s">
        <v>67</v>
      </c>
      <c r="C82" s="72">
        <v>5</v>
      </c>
      <c r="D82" s="78">
        <v>2719200000</v>
      </c>
      <c r="E82" s="78">
        <v>305200000</v>
      </c>
      <c r="F82" s="78">
        <v>344400000</v>
      </c>
      <c r="G82" s="78">
        <v>26749</v>
      </c>
      <c r="H82" s="78">
        <v>8</v>
      </c>
      <c r="I82" s="78">
        <f t="shared" si="5"/>
        <v>344.4</v>
      </c>
      <c r="J82" s="78">
        <v>5171</v>
      </c>
      <c r="K82" s="78">
        <v>5503</v>
      </c>
      <c r="L82" s="78">
        <v>1617</v>
      </c>
      <c r="M82" s="78">
        <v>2739</v>
      </c>
      <c r="N82" s="78">
        <f t="shared" si="6"/>
        <v>1615</v>
      </c>
      <c r="O82" s="78">
        <v>226.333333333333</v>
      </c>
      <c r="P82" s="78">
        <v>8</v>
      </c>
      <c r="Q82" s="78">
        <v>1213.3333333333301</v>
      </c>
      <c r="R82" s="78">
        <v>2834</v>
      </c>
      <c r="S82" s="78">
        <v>405</v>
      </c>
      <c r="T82" s="78">
        <v>0</v>
      </c>
      <c r="U82" s="78">
        <v>666</v>
      </c>
      <c r="V82" s="78">
        <v>11217</v>
      </c>
      <c r="W82" s="78">
        <v>17680</v>
      </c>
      <c r="X82" s="78">
        <v>1020</v>
      </c>
      <c r="Y82" s="78">
        <v>0</v>
      </c>
      <c r="Z82" s="78">
        <v>0</v>
      </c>
      <c r="AA82" s="78">
        <v>0</v>
      </c>
      <c r="AB82" s="399">
        <v>0</v>
      </c>
      <c r="AC82" s="399">
        <v>0</v>
      </c>
      <c r="AD82" s="78">
        <v>13382</v>
      </c>
      <c r="AE82" s="78">
        <v>15255.48</v>
      </c>
      <c r="AF82" s="78">
        <v>910</v>
      </c>
      <c r="AG82" s="78">
        <v>0</v>
      </c>
      <c r="AH82" s="78">
        <v>157</v>
      </c>
      <c r="AI82" s="78">
        <v>119</v>
      </c>
      <c r="AJ82" s="78">
        <v>169.56</v>
      </c>
      <c r="AK82" s="78">
        <v>136.85</v>
      </c>
      <c r="AL82" s="78">
        <v>275</v>
      </c>
      <c r="AM82" s="78">
        <v>11240</v>
      </c>
      <c r="AN82" s="78">
        <v>12139.2</v>
      </c>
      <c r="AO82" s="78">
        <v>6</v>
      </c>
      <c r="AP82" s="78">
        <v>0</v>
      </c>
      <c r="AQ82" s="78">
        <v>0</v>
      </c>
      <c r="AR82" s="78">
        <v>1150</v>
      </c>
      <c r="AS82" s="78">
        <v>0</v>
      </c>
      <c r="AT82" s="78">
        <v>0</v>
      </c>
      <c r="AU82" s="400">
        <v>3.7707300000000001E-4</v>
      </c>
      <c r="AV82" s="400">
        <v>8.2724000000000003E-5</v>
      </c>
      <c r="AW82" s="78">
        <v>3237.12</v>
      </c>
      <c r="AX82" s="78">
        <v>0</v>
      </c>
      <c r="AY82" s="78">
        <v>3594.42</v>
      </c>
      <c r="AZ82" s="78">
        <v>9227.9558144416496</v>
      </c>
      <c r="BA82" s="78">
        <v>22</v>
      </c>
      <c r="BB82" s="78">
        <v>25.3</v>
      </c>
      <c r="BC82" s="78">
        <v>3871</v>
      </c>
      <c r="BD82" s="78">
        <v>1</v>
      </c>
      <c r="BE82" s="78">
        <v>0</v>
      </c>
      <c r="BF82" s="78">
        <v>0</v>
      </c>
      <c r="BG82" s="78">
        <v>0</v>
      </c>
      <c r="BH82" s="78">
        <v>0</v>
      </c>
      <c r="BI82" s="78">
        <v>0</v>
      </c>
      <c r="BJ82" s="78">
        <v>0</v>
      </c>
      <c r="BK82" s="78">
        <v>0</v>
      </c>
      <c r="BL82" s="78">
        <v>0</v>
      </c>
      <c r="BM82" s="78">
        <v>424.02199999999999</v>
      </c>
      <c r="BN82" s="78">
        <v>105</v>
      </c>
      <c r="BO82" s="78">
        <v>32</v>
      </c>
      <c r="BP82" s="78">
        <v>8400.2800000000007</v>
      </c>
      <c r="BQ82" s="78">
        <v>2064.96</v>
      </c>
      <c r="BR82" s="78">
        <v>149.40876353747899</v>
      </c>
      <c r="BS82" s="78">
        <v>275</v>
      </c>
      <c r="BT82" s="78">
        <v>72.6666666666667</v>
      </c>
      <c r="BU82" s="78">
        <v>49.6666666666667</v>
      </c>
      <c r="BV82" s="78">
        <f t="shared" si="7"/>
        <v>986.99999999999704</v>
      </c>
      <c r="BW82" s="78">
        <v>205</v>
      </c>
      <c r="BX82" s="78">
        <v>4345.2425534477597</v>
      </c>
      <c r="BY82" s="402">
        <v>0.13700000000000001</v>
      </c>
      <c r="BZ82" s="78">
        <v>21246</v>
      </c>
      <c r="CA82" s="78">
        <v>3429</v>
      </c>
      <c r="CB82" s="78">
        <v>457</v>
      </c>
      <c r="CC82" s="78">
        <v>572</v>
      </c>
      <c r="CD82" s="78">
        <v>477</v>
      </c>
      <c r="CE82" s="78">
        <v>200</v>
      </c>
      <c r="CF82" s="78">
        <v>287.65391459074698</v>
      </c>
      <c r="CG82" s="78">
        <v>146.84430604982199</v>
      </c>
      <c r="CH82" s="78">
        <v>42.530249110320298</v>
      </c>
      <c r="CI82" s="78">
        <v>753.15239999999994</v>
      </c>
      <c r="CJ82" s="78">
        <v>384.47640000000001</v>
      </c>
      <c r="CK82" s="78">
        <v>111.3552</v>
      </c>
      <c r="CL82" s="78">
        <v>0</v>
      </c>
    </row>
    <row r="83" spans="1:90" customFormat="1" x14ac:dyDescent="0.35">
      <c r="A83" s="72">
        <v>216</v>
      </c>
      <c r="B83" s="72" t="s">
        <v>73</v>
      </c>
      <c r="C83" s="72">
        <v>5</v>
      </c>
      <c r="D83" s="78">
        <v>2386400000</v>
      </c>
      <c r="E83" s="78">
        <v>360850000</v>
      </c>
      <c r="F83" s="78">
        <v>372400000</v>
      </c>
      <c r="G83" s="78">
        <v>28955</v>
      </c>
      <c r="H83" s="78">
        <v>1</v>
      </c>
      <c r="I83" s="78">
        <f t="shared" si="5"/>
        <v>372.4</v>
      </c>
      <c r="J83" s="78">
        <v>6001</v>
      </c>
      <c r="K83" s="78">
        <v>5273</v>
      </c>
      <c r="L83" s="78">
        <v>1616</v>
      </c>
      <c r="M83" s="78">
        <v>3466</v>
      </c>
      <c r="N83" s="78">
        <f t="shared" si="6"/>
        <v>2187.6</v>
      </c>
      <c r="O83" s="78">
        <v>505</v>
      </c>
      <c r="P83" s="78">
        <v>29</v>
      </c>
      <c r="Q83" s="78">
        <v>1749</v>
      </c>
      <c r="R83" s="78">
        <v>4226</v>
      </c>
      <c r="S83" s="78">
        <v>3275</v>
      </c>
      <c r="T83" s="78">
        <v>0</v>
      </c>
      <c r="U83" s="78">
        <v>937</v>
      </c>
      <c r="V83" s="78">
        <v>12893</v>
      </c>
      <c r="W83" s="78">
        <v>30380</v>
      </c>
      <c r="X83" s="78">
        <v>15600</v>
      </c>
      <c r="Y83" s="78">
        <v>522.72</v>
      </c>
      <c r="Z83" s="78">
        <v>3379.2</v>
      </c>
      <c r="AA83" s="78">
        <v>0</v>
      </c>
      <c r="AB83" s="399">
        <v>0</v>
      </c>
      <c r="AC83" s="399">
        <v>0</v>
      </c>
      <c r="AD83" s="78">
        <v>2931</v>
      </c>
      <c r="AE83" s="78">
        <v>3839.61</v>
      </c>
      <c r="AF83" s="78">
        <v>183</v>
      </c>
      <c r="AG83" s="78">
        <v>0</v>
      </c>
      <c r="AH83" s="78">
        <v>161</v>
      </c>
      <c r="AI83" s="78">
        <v>23</v>
      </c>
      <c r="AJ83" s="78">
        <v>207.69</v>
      </c>
      <c r="AK83" s="78">
        <v>30.36</v>
      </c>
      <c r="AL83" s="78">
        <v>185</v>
      </c>
      <c r="AM83" s="78">
        <v>12784</v>
      </c>
      <c r="AN83" s="78">
        <v>16491.36</v>
      </c>
      <c r="AO83" s="78">
        <v>17</v>
      </c>
      <c r="AP83" s="78">
        <v>0</v>
      </c>
      <c r="AQ83" s="78">
        <v>0</v>
      </c>
      <c r="AR83" s="78">
        <v>3100</v>
      </c>
      <c r="AS83" s="78">
        <v>1899</v>
      </c>
      <c r="AT83" s="78">
        <v>1899</v>
      </c>
      <c r="AU83" s="400">
        <v>4.32459E-4</v>
      </c>
      <c r="AV83" s="400">
        <v>3.9749700000000002E-4</v>
      </c>
      <c r="AW83" s="78">
        <v>18702.991999999998</v>
      </c>
      <c r="AX83" s="78">
        <v>0</v>
      </c>
      <c r="AY83" s="78">
        <v>1485.54</v>
      </c>
      <c r="AZ83" s="78">
        <v>27820.9756583173</v>
      </c>
      <c r="BA83" s="78">
        <v>1</v>
      </c>
      <c r="BB83" s="78">
        <v>1.32</v>
      </c>
      <c r="BC83" s="78">
        <v>3398</v>
      </c>
      <c r="BD83" s="78">
        <v>1</v>
      </c>
      <c r="BE83" s="78">
        <v>0</v>
      </c>
      <c r="BF83" s="78">
        <v>0</v>
      </c>
      <c r="BG83" s="78">
        <v>0</v>
      </c>
      <c r="BH83" s="78">
        <v>0</v>
      </c>
      <c r="BI83" s="78">
        <v>0</v>
      </c>
      <c r="BJ83" s="78">
        <v>0</v>
      </c>
      <c r="BK83" s="78">
        <v>0</v>
      </c>
      <c r="BL83" s="78">
        <v>0</v>
      </c>
      <c r="BM83" s="78">
        <v>636.10599999999999</v>
      </c>
      <c r="BN83" s="78">
        <v>50</v>
      </c>
      <c r="BO83" s="78">
        <v>137</v>
      </c>
      <c r="BP83" s="78">
        <v>8703.66</v>
      </c>
      <c r="BQ83" s="78">
        <v>2207.04</v>
      </c>
      <c r="BR83" s="78">
        <v>269.57852759287101</v>
      </c>
      <c r="BS83" s="78">
        <v>329</v>
      </c>
      <c r="BT83" s="78">
        <v>154.666666666667</v>
      </c>
      <c r="BU83" s="78">
        <v>110</v>
      </c>
      <c r="BV83" s="78">
        <f t="shared" si="7"/>
        <v>1244</v>
      </c>
      <c r="BW83" s="78">
        <v>319</v>
      </c>
      <c r="BX83" s="78">
        <v>4512.74144633164</v>
      </c>
      <c r="BY83" s="402">
        <v>1.165</v>
      </c>
      <c r="BZ83" s="78">
        <v>23682</v>
      </c>
      <c r="CA83" s="78">
        <v>3129</v>
      </c>
      <c r="CB83" s="78">
        <v>528</v>
      </c>
      <c r="CC83" s="78">
        <v>744</v>
      </c>
      <c r="CD83" s="78">
        <v>587</v>
      </c>
      <c r="CE83" s="78">
        <v>280</v>
      </c>
      <c r="CF83" s="78">
        <v>336.93557571964999</v>
      </c>
      <c r="CG83" s="78">
        <v>185.83648310388</v>
      </c>
      <c r="CH83" s="78">
        <v>63.485575719649603</v>
      </c>
      <c r="CI83" s="78">
        <v>853.95529999999997</v>
      </c>
      <c r="CJ83" s="78">
        <v>470.9982</v>
      </c>
      <c r="CK83" s="78">
        <v>160.90270000000001</v>
      </c>
      <c r="CL83" s="78">
        <v>19845</v>
      </c>
    </row>
    <row r="84" spans="1:90" customFormat="1" x14ac:dyDescent="0.35">
      <c r="A84" s="72">
        <v>221</v>
      </c>
      <c r="B84" s="72" t="s">
        <v>87</v>
      </c>
      <c r="C84" s="72">
        <v>5</v>
      </c>
      <c r="D84" s="78">
        <v>888800000</v>
      </c>
      <c r="E84" s="78">
        <v>88200000</v>
      </c>
      <c r="F84" s="78">
        <v>96950000</v>
      </c>
      <c r="G84" s="78">
        <v>11077</v>
      </c>
      <c r="H84" s="78">
        <v>1</v>
      </c>
      <c r="I84" s="78">
        <f t="shared" si="5"/>
        <v>96.95</v>
      </c>
      <c r="J84" s="78">
        <v>1774</v>
      </c>
      <c r="K84" s="78">
        <v>2896</v>
      </c>
      <c r="L84" s="78">
        <v>885</v>
      </c>
      <c r="M84" s="78">
        <v>1926</v>
      </c>
      <c r="N84" s="78">
        <f t="shared" si="6"/>
        <v>1395.3</v>
      </c>
      <c r="O84" s="78">
        <v>285.33333333333297</v>
      </c>
      <c r="P84" s="78">
        <v>14</v>
      </c>
      <c r="Q84" s="78">
        <v>1117.3333333333301</v>
      </c>
      <c r="R84" s="78">
        <v>1878</v>
      </c>
      <c r="S84" s="78">
        <v>940</v>
      </c>
      <c r="T84" s="78">
        <v>0</v>
      </c>
      <c r="U84" s="78">
        <v>423</v>
      </c>
      <c r="V84" s="78">
        <v>5325</v>
      </c>
      <c r="W84" s="78">
        <v>10900</v>
      </c>
      <c r="X84" s="78">
        <v>4550</v>
      </c>
      <c r="Y84" s="78">
        <v>0</v>
      </c>
      <c r="Z84" s="78">
        <v>0</v>
      </c>
      <c r="AA84" s="78">
        <v>0</v>
      </c>
      <c r="AB84" s="399">
        <v>0</v>
      </c>
      <c r="AC84" s="399">
        <v>0</v>
      </c>
      <c r="AD84" s="78">
        <v>1158</v>
      </c>
      <c r="AE84" s="78">
        <v>1158</v>
      </c>
      <c r="AF84" s="78">
        <v>138</v>
      </c>
      <c r="AG84" s="78">
        <v>0</v>
      </c>
      <c r="AH84" s="78">
        <v>51</v>
      </c>
      <c r="AI84" s="78">
        <v>11</v>
      </c>
      <c r="AJ84" s="78">
        <v>51</v>
      </c>
      <c r="AK84" s="78">
        <v>11</v>
      </c>
      <c r="AL84" s="78">
        <v>62</v>
      </c>
      <c r="AM84" s="78">
        <v>5307</v>
      </c>
      <c r="AN84" s="78">
        <v>5307</v>
      </c>
      <c r="AO84" s="78">
        <v>18</v>
      </c>
      <c r="AP84" s="78">
        <v>0</v>
      </c>
      <c r="AQ84" s="78">
        <v>0</v>
      </c>
      <c r="AR84" s="78">
        <v>7400</v>
      </c>
      <c r="AS84" s="78">
        <v>1178</v>
      </c>
      <c r="AT84" s="78">
        <v>1178</v>
      </c>
      <c r="AU84" s="400">
        <v>3.1146199999999998E-4</v>
      </c>
      <c r="AV84" s="400">
        <v>1.8726699999999999E-4</v>
      </c>
      <c r="AW84" s="78">
        <v>4564.0200000000004</v>
      </c>
      <c r="AX84" s="78">
        <v>0</v>
      </c>
      <c r="AY84" s="78">
        <v>606</v>
      </c>
      <c r="AZ84" s="78">
        <v>5179.5231481481496</v>
      </c>
      <c r="BA84" s="78">
        <v>1</v>
      </c>
      <c r="BB84" s="78">
        <v>1</v>
      </c>
      <c r="BC84" s="78">
        <v>1051</v>
      </c>
      <c r="BD84" s="78">
        <v>1</v>
      </c>
      <c r="BE84" s="78">
        <v>0</v>
      </c>
      <c r="BF84" s="78">
        <v>0</v>
      </c>
      <c r="BG84" s="78">
        <v>0</v>
      </c>
      <c r="BH84" s="78">
        <v>0</v>
      </c>
      <c r="BI84" s="78">
        <v>0</v>
      </c>
      <c r="BJ84" s="78">
        <v>0</v>
      </c>
      <c r="BK84" s="78">
        <v>0</v>
      </c>
      <c r="BL84" s="78">
        <v>0</v>
      </c>
      <c r="BM84" s="78">
        <v>313.99799999999999</v>
      </c>
      <c r="BN84" s="78">
        <v>59</v>
      </c>
      <c r="BO84" s="78">
        <v>33</v>
      </c>
      <c r="BP84" s="78">
        <v>3133.8</v>
      </c>
      <c r="BQ84" s="78">
        <v>578.88</v>
      </c>
      <c r="BR84" s="78">
        <v>99.207538461538505</v>
      </c>
      <c r="BS84" s="78">
        <v>147</v>
      </c>
      <c r="BT84" s="78">
        <v>71.6666666666667</v>
      </c>
      <c r="BU84" s="78">
        <v>69.6666666666667</v>
      </c>
      <c r="BV84" s="78">
        <f t="shared" si="7"/>
        <v>831.99999999999704</v>
      </c>
      <c r="BW84" s="78">
        <v>227</v>
      </c>
      <c r="BX84" s="78">
        <v>2425.6920954431298</v>
      </c>
      <c r="BY84" s="402">
        <v>0.76400000000000001</v>
      </c>
      <c r="BZ84" s="78">
        <v>8181</v>
      </c>
      <c r="CA84" s="78">
        <v>1754</v>
      </c>
      <c r="CB84" s="78">
        <v>257</v>
      </c>
      <c r="CC84" s="78">
        <v>428</v>
      </c>
      <c r="CD84" s="78">
        <v>328</v>
      </c>
      <c r="CE84" s="78">
        <v>144</v>
      </c>
      <c r="CF84" s="78">
        <v>289.20859242509903</v>
      </c>
      <c r="CG84" s="78">
        <v>157.224307518372</v>
      </c>
      <c r="CH84" s="78">
        <v>48.376710005652903</v>
      </c>
      <c r="CI84" s="78">
        <v>593.12</v>
      </c>
      <c r="CJ84" s="78">
        <v>322.44159999999999</v>
      </c>
      <c r="CK84" s="78">
        <v>99.212800000000001</v>
      </c>
      <c r="CL84" s="78">
        <v>6205</v>
      </c>
    </row>
    <row r="85" spans="1:90" customFormat="1" x14ac:dyDescent="0.35">
      <c r="A85" s="72">
        <v>222</v>
      </c>
      <c r="B85" s="72" t="s">
        <v>88</v>
      </c>
      <c r="C85" s="72">
        <v>5</v>
      </c>
      <c r="D85" s="78">
        <v>4637600000</v>
      </c>
      <c r="E85" s="78">
        <v>823200000</v>
      </c>
      <c r="F85" s="78">
        <v>850150000</v>
      </c>
      <c r="G85" s="78">
        <v>58001</v>
      </c>
      <c r="H85" s="78">
        <v>3</v>
      </c>
      <c r="I85" s="78">
        <f t="shared" si="5"/>
        <v>850.15</v>
      </c>
      <c r="J85" s="78">
        <v>11096</v>
      </c>
      <c r="K85" s="78">
        <v>12181</v>
      </c>
      <c r="L85" s="78">
        <v>3757</v>
      </c>
      <c r="M85" s="78">
        <v>8498</v>
      </c>
      <c r="N85" s="78">
        <f t="shared" si="6"/>
        <v>5827.2</v>
      </c>
      <c r="O85" s="78">
        <v>1195.3333333333301</v>
      </c>
      <c r="P85" s="78">
        <v>108</v>
      </c>
      <c r="Q85" s="78">
        <v>5283.3333333333303</v>
      </c>
      <c r="R85" s="78">
        <v>9077</v>
      </c>
      <c r="S85" s="78">
        <v>2700</v>
      </c>
      <c r="T85" s="78">
        <v>0</v>
      </c>
      <c r="U85" s="78">
        <v>1758</v>
      </c>
      <c r="V85" s="78">
        <v>27123</v>
      </c>
      <c r="W85" s="78">
        <v>63290</v>
      </c>
      <c r="X85" s="78">
        <v>65400</v>
      </c>
      <c r="Y85" s="78">
        <v>3666.22</v>
      </c>
      <c r="Z85" s="78">
        <v>4085.6</v>
      </c>
      <c r="AA85" s="78">
        <v>0</v>
      </c>
      <c r="AB85" s="399">
        <v>0</v>
      </c>
      <c r="AC85" s="399">
        <v>0</v>
      </c>
      <c r="AD85" s="78">
        <v>7899</v>
      </c>
      <c r="AE85" s="78">
        <v>7899</v>
      </c>
      <c r="AF85" s="78">
        <v>66</v>
      </c>
      <c r="AG85" s="78">
        <v>0</v>
      </c>
      <c r="AH85" s="78">
        <v>360</v>
      </c>
      <c r="AI85" s="78">
        <v>76</v>
      </c>
      <c r="AJ85" s="78">
        <v>360</v>
      </c>
      <c r="AK85" s="78">
        <v>76</v>
      </c>
      <c r="AL85" s="78">
        <v>435</v>
      </c>
      <c r="AM85" s="78">
        <v>26708</v>
      </c>
      <c r="AN85" s="78">
        <v>26708</v>
      </c>
      <c r="AO85" s="78">
        <v>10</v>
      </c>
      <c r="AP85" s="78">
        <v>0</v>
      </c>
      <c r="AQ85" s="78">
        <v>0</v>
      </c>
      <c r="AR85" s="78">
        <v>0</v>
      </c>
      <c r="AS85" s="78">
        <v>1667</v>
      </c>
      <c r="AT85" s="78">
        <v>1667</v>
      </c>
      <c r="AU85" s="400">
        <v>7.53153E-4</v>
      </c>
      <c r="AV85" s="400">
        <v>1.0983119999999999E-3</v>
      </c>
      <c r="AW85" s="78">
        <v>30366.995999999999</v>
      </c>
      <c r="AX85" s="78">
        <v>0</v>
      </c>
      <c r="AY85" s="78">
        <v>1115</v>
      </c>
      <c r="AZ85" s="78">
        <v>8119.4118016321399</v>
      </c>
      <c r="BA85" s="78">
        <v>7</v>
      </c>
      <c r="BB85" s="78">
        <v>7</v>
      </c>
      <c r="BC85" s="78">
        <v>6253</v>
      </c>
      <c r="BD85" s="78">
        <v>1</v>
      </c>
      <c r="BE85" s="78">
        <v>0</v>
      </c>
      <c r="BF85" s="78">
        <v>0</v>
      </c>
      <c r="BG85" s="78">
        <v>0</v>
      </c>
      <c r="BH85" s="78">
        <v>0</v>
      </c>
      <c r="BI85" s="78">
        <v>0</v>
      </c>
      <c r="BJ85" s="78">
        <v>0</v>
      </c>
      <c r="BK85" s="78">
        <v>0</v>
      </c>
      <c r="BL85" s="78">
        <v>0</v>
      </c>
      <c r="BM85" s="78">
        <v>1253.848</v>
      </c>
      <c r="BN85" s="78">
        <v>194</v>
      </c>
      <c r="BO85" s="78">
        <v>142</v>
      </c>
      <c r="BP85" s="78">
        <v>16052.42</v>
      </c>
      <c r="BQ85" s="78">
        <v>3680.42</v>
      </c>
      <c r="BR85" s="78">
        <v>523.24058648339098</v>
      </c>
      <c r="BS85" s="78">
        <v>716</v>
      </c>
      <c r="BT85" s="78">
        <v>330.66666666666703</v>
      </c>
      <c r="BU85" s="78">
        <v>281</v>
      </c>
      <c r="BV85" s="78">
        <f t="shared" si="7"/>
        <v>4088</v>
      </c>
      <c r="BW85" s="78">
        <v>1484</v>
      </c>
      <c r="BX85" s="78">
        <v>11013.0853687777</v>
      </c>
      <c r="BY85" s="402">
        <v>3.1419999999999999</v>
      </c>
      <c r="BZ85" s="78">
        <v>45820</v>
      </c>
      <c r="CA85" s="78">
        <v>7061</v>
      </c>
      <c r="CB85" s="78">
        <v>1363</v>
      </c>
      <c r="CC85" s="78">
        <v>1550</v>
      </c>
      <c r="CD85" s="78">
        <v>1305</v>
      </c>
      <c r="CE85" s="78">
        <v>673</v>
      </c>
      <c r="CF85" s="78">
        <v>937.96363636363606</v>
      </c>
      <c r="CG85" s="78">
        <v>559.41818181818201</v>
      </c>
      <c r="CH85" s="78">
        <v>208.58181818181799</v>
      </c>
      <c r="CI85" s="78">
        <v>2125.4256</v>
      </c>
      <c r="CJ85" s="78">
        <v>1267.6415999999999</v>
      </c>
      <c r="CK85" s="78">
        <v>472.64640000000003</v>
      </c>
      <c r="CL85" s="78">
        <v>135697</v>
      </c>
    </row>
    <row r="86" spans="1:90" customFormat="1" x14ac:dyDescent="0.35">
      <c r="A86" s="72">
        <v>225</v>
      </c>
      <c r="B86" s="72" t="s">
        <v>94</v>
      </c>
      <c r="C86" s="72">
        <v>5</v>
      </c>
      <c r="D86" s="78">
        <v>1604400000</v>
      </c>
      <c r="E86" s="78">
        <v>219100000</v>
      </c>
      <c r="F86" s="78">
        <v>254450000</v>
      </c>
      <c r="G86" s="78">
        <v>18926</v>
      </c>
      <c r="H86" s="78">
        <v>4</v>
      </c>
      <c r="I86" s="78">
        <f t="shared" si="5"/>
        <v>254.45</v>
      </c>
      <c r="J86" s="78">
        <v>3636</v>
      </c>
      <c r="K86" s="78">
        <v>3721</v>
      </c>
      <c r="L86" s="78">
        <v>1153</v>
      </c>
      <c r="M86" s="78">
        <v>2337</v>
      </c>
      <c r="N86" s="78">
        <f t="shared" si="6"/>
        <v>1498.8</v>
      </c>
      <c r="O86" s="78">
        <v>285.33333333333297</v>
      </c>
      <c r="P86" s="78">
        <v>16</v>
      </c>
      <c r="Q86" s="78">
        <v>1386.3333333333301</v>
      </c>
      <c r="R86" s="78">
        <v>2214</v>
      </c>
      <c r="S86" s="78">
        <v>875</v>
      </c>
      <c r="T86" s="78">
        <v>0</v>
      </c>
      <c r="U86" s="78">
        <v>567</v>
      </c>
      <c r="V86" s="78">
        <v>8364</v>
      </c>
      <c r="W86" s="78">
        <v>17290</v>
      </c>
      <c r="X86" s="78">
        <v>5920</v>
      </c>
      <c r="Y86" s="78">
        <v>791.1</v>
      </c>
      <c r="Z86" s="78">
        <v>1312</v>
      </c>
      <c r="AA86" s="78">
        <v>0</v>
      </c>
      <c r="AB86" s="399">
        <v>0</v>
      </c>
      <c r="AC86" s="399">
        <v>0</v>
      </c>
      <c r="AD86" s="78">
        <v>3757</v>
      </c>
      <c r="AE86" s="78">
        <v>3794.57</v>
      </c>
      <c r="AF86" s="78">
        <v>489</v>
      </c>
      <c r="AG86" s="78">
        <v>0</v>
      </c>
      <c r="AH86" s="78">
        <v>110</v>
      </c>
      <c r="AI86" s="78">
        <v>36</v>
      </c>
      <c r="AJ86" s="78">
        <v>112.2</v>
      </c>
      <c r="AK86" s="78">
        <v>36.36</v>
      </c>
      <c r="AL86" s="78">
        <v>146</v>
      </c>
      <c r="AM86" s="78">
        <v>8382</v>
      </c>
      <c r="AN86" s="78">
        <v>8549.64</v>
      </c>
      <c r="AO86" s="78">
        <v>0</v>
      </c>
      <c r="AP86" s="78">
        <v>0</v>
      </c>
      <c r="AQ86" s="78">
        <v>0</v>
      </c>
      <c r="AR86" s="78">
        <v>0</v>
      </c>
      <c r="AS86" s="78">
        <v>0</v>
      </c>
      <c r="AT86" s="78">
        <v>0</v>
      </c>
      <c r="AU86" s="400">
        <v>1.5596300000000001E-4</v>
      </c>
      <c r="AV86" s="400">
        <v>8.2058999999999995E-5</v>
      </c>
      <c r="AW86" s="78">
        <v>6747.51</v>
      </c>
      <c r="AX86" s="78">
        <v>0</v>
      </c>
      <c r="AY86" s="78">
        <v>1320.07</v>
      </c>
      <c r="AZ86" s="78">
        <v>5938.06593028733</v>
      </c>
      <c r="BA86" s="78">
        <v>5</v>
      </c>
      <c r="BB86" s="78">
        <v>5.05</v>
      </c>
      <c r="BC86" s="78">
        <v>2082</v>
      </c>
      <c r="BD86" s="78">
        <v>1</v>
      </c>
      <c r="BE86" s="78">
        <v>0</v>
      </c>
      <c r="BF86" s="78">
        <v>0</v>
      </c>
      <c r="BG86" s="78">
        <v>0</v>
      </c>
      <c r="BH86" s="78">
        <v>0</v>
      </c>
      <c r="BI86" s="78">
        <v>0</v>
      </c>
      <c r="BJ86" s="78">
        <v>0</v>
      </c>
      <c r="BK86" s="78">
        <v>0</v>
      </c>
      <c r="BL86" s="78">
        <v>0</v>
      </c>
      <c r="BM86" s="78">
        <v>352.69200000000001</v>
      </c>
      <c r="BN86" s="78">
        <v>69</v>
      </c>
      <c r="BO86" s="78">
        <v>46</v>
      </c>
      <c r="BP86" s="78">
        <v>5043.2</v>
      </c>
      <c r="BQ86" s="78">
        <v>1350.05</v>
      </c>
      <c r="BR86" s="78">
        <v>149.16956911910299</v>
      </c>
      <c r="BS86" s="78">
        <v>213</v>
      </c>
      <c r="BT86" s="78">
        <v>84.3333333333333</v>
      </c>
      <c r="BU86" s="78">
        <v>73</v>
      </c>
      <c r="BV86" s="78">
        <f t="shared" si="7"/>
        <v>1100.999999999997</v>
      </c>
      <c r="BW86" s="78">
        <v>446</v>
      </c>
      <c r="BX86" s="78">
        <v>3277.70087567165</v>
      </c>
      <c r="BY86" s="402">
        <v>0.48899999999999999</v>
      </c>
      <c r="BZ86" s="78">
        <v>15205</v>
      </c>
      <c r="CA86" s="78">
        <v>2210</v>
      </c>
      <c r="CB86" s="78">
        <v>358</v>
      </c>
      <c r="CC86" s="78">
        <v>409</v>
      </c>
      <c r="CD86" s="78">
        <v>329</v>
      </c>
      <c r="CE86" s="78">
        <v>181</v>
      </c>
      <c r="CF86" s="78">
        <v>229.95189692197599</v>
      </c>
      <c r="CG86" s="78">
        <v>127.67158196134601</v>
      </c>
      <c r="CH86" s="78">
        <v>43.2724409448819</v>
      </c>
      <c r="CI86" s="78">
        <v>592.97460000000001</v>
      </c>
      <c r="CJ86" s="78">
        <v>329.22539999999998</v>
      </c>
      <c r="CK86" s="78">
        <v>111.58620000000001</v>
      </c>
      <c r="CL86" s="78">
        <v>124465</v>
      </c>
    </row>
    <row r="87" spans="1:90" customFormat="1" x14ac:dyDescent="0.35">
      <c r="A87" s="72">
        <v>226</v>
      </c>
      <c r="B87" s="72" t="s">
        <v>95</v>
      </c>
      <c r="C87" s="72">
        <v>5</v>
      </c>
      <c r="D87" s="78">
        <v>2056000000</v>
      </c>
      <c r="E87" s="78">
        <v>527800000</v>
      </c>
      <c r="F87" s="78">
        <v>535850000</v>
      </c>
      <c r="G87" s="78">
        <v>25126</v>
      </c>
      <c r="H87" s="78">
        <v>1</v>
      </c>
      <c r="I87" s="78">
        <f t="shared" si="5"/>
        <v>535.85</v>
      </c>
      <c r="J87" s="78">
        <v>4696</v>
      </c>
      <c r="K87" s="78">
        <v>4813</v>
      </c>
      <c r="L87" s="78">
        <v>1444</v>
      </c>
      <c r="M87" s="78">
        <v>2837</v>
      </c>
      <c r="N87" s="78">
        <f t="shared" si="6"/>
        <v>1759.2</v>
      </c>
      <c r="O87" s="78">
        <v>441</v>
      </c>
      <c r="P87" s="78">
        <v>26</v>
      </c>
      <c r="Q87" s="78">
        <v>1685</v>
      </c>
      <c r="R87" s="78">
        <v>2969</v>
      </c>
      <c r="S87" s="78">
        <v>785</v>
      </c>
      <c r="T87" s="78">
        <v>0</v>
      </c>
      <c r="U87" s="78">
        <v>780</v>
      </c>
      <c r="V87" s="78">
        <v>10842</v>
      </c>
      <c r="W87" s="78">
        <v>25010</v>
      </c>
      <c r="X87" s="78">
        <v>15890</v>
      </c>
      <c r="Y87" s="78">
        <v>0</v>
      </c>
      <c r="Z87" s="78">
        <v>1564</v>
      </c>
      <c r="AA87" s="78">
        <v>0</v>
      </c>
      <c r="AB87" s="399">
        <v>0</v>
      </c>
      <c r="AC87" s="399">
        <v>0</v>
      </c>
      <c r="AD87" s="78">
        <v>3392</v>
      </c>
      <c r="AE87" s="78">
        <v>3392</v>
      </c>
      <c r="AF87" s="78">
        <v>127</v>
      </c>
      <c r="AG87" s="78">
        <v>0</v>
      </c>
      <c r="AH87" s="78">
        <v>135</v>
      </c>
      <c r="AI87" s="78">
        <v>52</v>
      </c>
      <c r="AJ87" s="78">
        <v>135</v>
      </c>
      <c r="AK87" s="78">
        <v>52</v>
      </c>
      <c r="AL87" s="78">
        <v>187</v>
      </c>
      <c r="AM87" s="78">
        <v>10778</v>
      </c>
      <c r="AN87" s="78">
        <v>10778</v>
      </c>
      <c r="AO87" s="78">
        <v>0</v>
      </c>
      <c r="AP87" s="78">
        <v>0</v>
      </c>
      <c r="AQ87" s="78">
        <v>0</v>
      </c>
      <c r="AR87" s="78">
        <v>0</v>
      </c>
      <c r="AS87" s="78">
        <v>0</v>
      </c>
      <c r="AT87" s="78">
        <v>0</v>
      </c>
      <c r="AU87" s="400">
        <v>6.6382000000000002E-5</v>
      </c>
      <c r="AV87" s="400">
        <v>4.9979999999999999E-5</v>
      </c>
      <c r="AW87" s="78">
        <v>12470.146000000001</v>
      </c>
      <c r="AX87" s="78">
        <v>0</v>
      </c>
      <c r="AY87" s="78">
        <v>830</v>
      </c>
      <c r="AZ87" s="78">
        <v>5926.2801932367202</v>
      </c>
      <c r="BA87" s="78">
        <v>6</v>
      </c>
      <c r="BB87" s="78">
        <v>6</v>
      </c>
      <c r="BC87" s="78">
        <v>2499</v>
      </c>
      <c r="BD87" s="78">
        <v>1</v>
      </c>
      <c r="BE87" s="78">
        <v>0</v>
      </c>
      <c r="BF87" s="78">
        <v>0</v>
      </c>
      <c r="BG87" s="78">
        <v>0</v>
      </c>
      <c r="BH87" s="78">
        <v>0</v>
      </c>
      <c r="BI87" s="78">
        <v>0</v>
      </c>
      <c r="BJ87" s="78">
        <v>0</v>
      </c>
      <c r="BK87" s="78">
        <v>0</v>
      </c>
      <c r="BL87" s="78">
        <v>0</v>
      </c>
      <c r="BM87" s="78">
        <v>422.64</v>
      </c>
      <c r="BN87" s="78">
        <v>51</v>
      </c>
      <c r="BO87" s="78">
        <v>23</v>
      </c>
      <c r="BP87" s="78">
        <v>7358.16</v>
      </c>
      <c r="BQ87" s="78">
        <v>1797.25</v>
      </c>
      <c r="BR87" s="78">
        <v>169.694781735596</v>
      </c>
      <c r="BS87" s="78">
        <v>270</v>
      </c>
      <c r="BT87" s="78">
        <v>115.333333333333</v>
      </c>
      <c r="BU87" s="78">
        <v>100.333333333333</v>
      </c>
      <c r="BV87" s="78">
        <f t="shared" si="7"/>
        <v>1244</v>
      </c>
      <c r="BW87" s="78">
        <v>323</v>
      </c>
      <c r="BX87" s="78">
        <v>4449.67851571135</v>
      </c>
      <c r="BY87" s="402">
        <v>0.86799999999999999</v>
      </c>
      <c r="BZ87" s="78">
        <v>20313</v>
      </c>
      <c r="CA87" s="78">
        <v>2873</v>
      </c>
      <c r="CB87" s="78">
        <v>496</v>
      </c>
      <c r="CC87" s="78">
        <v>563</v>
      </c>
      <c r="CD87" s="78">
        <v>490</v>
      </c>
      <c r="CE87" s="78">
        <v>263</v>
      </c>
      <c r="CF87" s="78">
        <v>280.74076823158299</v>
      </c>
      <c r="CG87" s="78">
        <v>160.77305622564501</v>
      </c>
      <c r="CH87" s="78">
        <v>59.086138430135499</v>
      </c>
      <c r="CI87" s="78">
        <v>765.91600000000005</v>
      </c>
      <c r="CJ87" s="78">
        <v>438.62049999999999</v>
      </c>
      <c r="CK87" s="78">
        <v>161.1986</v>
      </c>
      <c r="CL87" s="78">
        <v>0</v>
      </c>
    </row>
    <row r="88" spans="1:90" customFormat="1" x14ac:dyDescent="0.35">
      <c r="A88" s="72">
        <v>228</v>
      </c>
      <c r="B88" s="72" t="s">
        <v>98</v>
      </c>
      <c r="C88" s="72">
        <v>5</v>
      </c>
      <c r="D88" s="78">
        <v>10912000000</v>
      </c>
      <c r="E88" s="78">
        <v>2107000000</v>
      </c>
      <c r="F88" s="78">
        <v>2255750000</v>
      </c>
      <c r="G88" s="78">
        <v>117165</v>
      </c>
      <c r="H88" s="78">
        <v>6</v>
      </c>
      <c r="I88" s="78">
        <f t="shared" si="5"/>
        <v>2255.75</v>
      </c>
      <c r="J88" s="78">
        <v>25500</v>
      </c>
      <c r="K88" s="78">
        <v>21668</v>
      </c>
      <c r="L88" s="78">
        <v>6771</v>
      </c>
      <c r="M88" s="78">
        <v>13248</v>
      </c>
      <c r="N88" s="78">
        <f t="shared" si="6"/>
        <v>8165.0999999999995</v>
      </c>
      <c r="O88" s="78">
        <v>1749</v>
      </c>
      <c r="P88" s="78">
        <v>123</v>
      </c>
      <c r="Q88" s="78">
        <v>7081</v>
      </c>
      <c r="R88" s="78">
        <v>16993</v>
      </c>
      <c r="S88" s="78">
        <v>6700</v>
      </c>
      <c r="T88" s="78">
        <v>0</v>
      </c>
      <c r="U88" s="78">
        <v>2686</v>
      </c>
      <c r="V88" s="78">
        <v>51054</v>
      </c>
      <c r="W88" s="78">
        <v>121430</v>
      </c>
      <c r="X88" s="78">
        <v>138510</v>
      </c>
      <c r="Y88" s="78">
        <v>2873.52</v>
      </c>
      <c r="Z88" s="78">
        <v>3662.4</v>
      </c>
      <c r="AA88" s="78">
        <v>0</v>
      </c>
      <c r="AB88" s="399">
        <v>0</v>
      </c>
      <c r="AC88" s="399">
        <v>0</v>
      </c>
      <c r="AD88" s="78">
        <v>31816</v>
      </c>
      <c r="AE88" s="78">
        <v>31816</v>
      </c>
      <c r="AF88" s="78">
        <v>46</v>
      </c>
      <c r="AG88" s="78">
        <v>0</v>
      </c>
      <c r="AH88" s="78">
        <v>580</v>
      </c>
      <c r="AI88" s="78">
        <v>307</v>
      </c>
      <c r="AJ88" s="78">
        <v>580</v>
      </c>
      <c r="AK88" s="78">
        <v>307</v>
      </c>
      <c r="AL88" s="78">
        <v>888</v>
      </c>
      <c r="AM88" s="78">
        <v>50829</v>
      </c>
      <c r="AN88" s="78">
        <v>50829</v>
      </c>
      <c r="AO88" s="78">
        <v>0</v>
      </c>
      <c r="AP88" s="78">
        <v>0</v>
      </c>
      <c r="AQ88" s="78">
        <v>0</v>
      </c>
      <c r="AR88" s="78">
        <v>0</v>
      </c>
      <c r="AS88" s="78">
        <v>3234</v>
      </c>
      <c r="AT88" s="78">
        <v>0</v>
      </c>
      <c r="AU88" s="400">
        <v>1.106171E-3</v>
      </c>
      <c r="AV88" s="400">
        <v>1.8963160000000001E-3</v>
      </c>
      <c r="AW88" s="78">
        <v>78937.437000000005</v>
      </c>
      <c r="AX88" s="78">
        <v>0</v>
      </c>
      <c r="AY88" s="78">
        <v>1664</v>
      </c>
      <c r="AZ88" s="78">
        <v>6118.96804971439</v>
      </c>
      <c r="BA88" s="78">
        <v>24</v>
      </c>
      <c r="BB88" s="78">
        <v>24</v>
      </c>
      <c r="BC88" s="78">
        <v>13803</v>
      </c>
      <c r="BD88" s="78">
        <v>1</v>
      </c>
      <c r="BE88" s="78">
        <v>0</v>
      </c>
      <c r="BF88" s="78">
        <v>0</v>
      </c>
      <c r="BG88" s="78">
        <v>0</v>
      </c>
      <c r="BH88" s="78">
        <v>0</v>
      </c>
      <c r="BI88" s="78">
        <v>0</v>
      </c>
      <c r="BJ88" s="78">
        <v>0</v>
      </c>
      <c r="BK88" s="78">
        <v>0</v>
      </c>
      <c r="BL88" s="78">
        <v>0</v>
      </c>
      <c r="BM88" s="78">
        <v>2524.5</v>
      </c>
      <c r="BN88" s="78">
        <v>584</v>
      </c>
      <c r="BO88" s="78">
        <v>438</v>
      </c>
      <c r="BP88" s="78">
        <v>32138.6</v>
      </c>
      <c r="BQ88" s="78">
        <v>8222.08</v>
      </c>
      <c r="BR88" s="78">
        <v>1263.02537722908</v>
      </c>
      <c r="BS88" s="78">
        <v>1094</v>
      </c>
      <c r="BT88" s="78">
        <v>517.66666666666697</v>
      </c>
      <c r="BU88" s="78">
        <v>378.33333333333297</v>
      </c>
      <c r="BV88" s="78">
        <f t="shared" si="7"/>
        <v>5332</v>
      </c>
      <c r="BW88" s="78">
        <v>1889</v>
      </c>
      <c r="BX88" s="78">
        <v>15548.8921182266</v>
      </c>
      <c r="BY88" s="402">
        <v>3.0830000000000002</v>
      </c>
      <c r="BZ88" s="78">
        <v>95497</v>
      </c>
      <c r="CA88" s="78">
        <v>12147</v>
      </c>
      <c r="CB88" s="78">
        <v>2750</v>
      </c>
      <c r="CC88" s="78">
        <v>2450</v>
      </c>
      <c r="CD88" s="78">
        <v>2231</v>
      </c>
      <c r="CE88" s="78">
        <v>1408</v>
      </c>
      <c r="CF88" s="78">
        <v>1156.9192822994701</v>
      </c>
      <c r="CG88" s="78">
        <v>732.51206988136698</v>
      </c>
      <c r="CH88" s="78">
        <v>313.08465442955799</v>
      </c>
      <c r="CI88" s="78">
        <v>3150.875</v>
      </c>
      <c r="CJ88" s="78">
        <v>1995</v>
      </c>
      <c r="CK88" s="78">
        <v>852.6875</v>
      </c>
      <c r="CL88" s="78">
        <v>187158</v>
      </c>
    </row>
    <row r="89" spans="1:90" customFormat="1" x14ac:dyDescent="0.35">
      <c r="A89" s="72">
        <v>230</v>
      </c>
      <c r="B89" s="72" t="s">
        <v>103</v>
      </c>
      <c r="C89" s="72">
        <v>5</v>
      </c>
      <c r="D89" s="78">
        <v>1977600000</v>
      </c>
      <c r="E89" s="78">
        <v>301700000</v>
      </c>
      <c r="F89" s="78">
        <v>339150000</v>
      </c>
      <c r="G89" s="78">
        <v>23161</v>
      </c>
      <c r="H89" s="78">
        <v>3</v>
      </c>
      <c r="I89" s="78">
        <f t="shared" si="5"/>
        <v>339.15</v>
      </c>
      <c r="J89" s="78">
        <v>5187</v>
      </c>
      <c r="K89" s="78">
        <v>4567</v>
      </c>
      <c r="L89" s="78">
        <v>1452</v>
      </c>
      <c r="M89" s="78">
        <v>2461</v>
      </c>
      <c r="N89" s="78">
        <f t="shared" si="6"/>
        <v>1474.9</v>
      </c>
      <c r="O89" s="78">
        <v>238.666666666667</v>
      </c>
      <c r="P89" s="78">
        <v>20</v>
      </c>
      <c r="Q89" s="78">
        <v>1346.6666666666699</v>
      </c>
      <c r="R89" s="78">
        <v>2471</v>
      </c>
      <c r="S89" s="78">
        <v>265</v>
      </c>
      <c r="T89" s="78">
        <v>0</v>
      </c>
      <c r="U89" s="78">
        <v>501</v>
      </c>
      <c r="V89" s="78">
        <v>9523</v>
      </c>
      <c r="W89" s="78">
        <v>21740</v>
      </c>
      <c r="X89" s="78">
        <v>8610</v>
      </c>
      <c r="Y89" s="78">
        <v>0</v>
      </c>
      <c r="Z89" s="78">
        <v>1628.8</v>
      </c>
      <c r="AA89" s="78">
        <v>0</v>
      </c>
      <c r="AB89" s="399">
        <v>0</v>
      </c>
      <c r="AC89" s="399">
        <v>0</v>
      </c>
      <c r="AD89" s="78">
        <v>6382</v>
      </c>
      <c r="AE89" s="78">
        <v>6382</v>
      </c>
      <c r="AF89" s="78">
        <v>209</v>
      </c>
      <c r="AG89" s="78">
        <v>0</v>
      </c>
      <c r="AH89" s="78">
        <v>129</v>
      </c>
      <c r="AI89" s="78">
        <v>35</v>
      </c>
      <c r="AJ89" s="78">
        <v>129</v>
      </c>
      <c r="AK89" s="78">
        <v>35</v>
      </c>
      <c r="AL89" s="78">
        <v>164</v>
      </c>
      <c r="AM89" s="78">
        <v>9861</v>
      </c>
      <c r="AN89" s="78">
        <v>9861</v>
      </c>
      <c r="AO89" s="78">
        <v>9</v>
      </c>
      <c r="AP89" s="78">
        <v>0</v>
      </c>
      <c r="AQ89" s="78">
        <v>0</v>
      </c>
      <c r="AR89" s="78">
        <v>2500</v>
      </c>
      <c r="AS89" s="78">
        <v>579</v>
      </c>
      <c r="AT89" s="78">
        <v>579</v>
      </c>
      <c r="AU89" s="400">
        <v>3.3823700000000002E-4</v>
      </c>
      <c r="AV89" s="400">
        <v>1.12794E-4</v>
      </c>
      <c r="AW89" s="78">
        <v>6616.7309999999998</v>
      </c>
      <c r="AX89" s="78">
        <v>0</v>
      </c>
      <c r="AY89" s="78">
        <v>616</v>
      </c>
      <c r="AZ89" s="78">
        <v>2164.6451221362499</v>
      </c>
      <c r="BA89" s="78">
        <v>7</v>
      </c>
      <c r="BB89" s="78">
        <v>7</v>
      </c>
      <c r="BC89" s="78">
        <v>2257</v>
      </c>
      <c r="BD89" s="78">
        <v>1</v>
      </c>
      <c r="BE89" s="78">
        <v>0</v>
      </c>
      <c r="BF89" s="78">
        <v>0</v>
      </c>
      <c r="BG89" s="78">
        <v>0</v>
      </c>
      <c r="BH89" s="78">
        <v>0</v>
      </c>
      <c r="BI89" s="78">
        <v>0</v>
      </c>
      <c r="BJ89" s="78">
        <v>0</v>
      </c>
      <c r="BK89" s="78">
        <v>0</v>
      </c>
      <c r="BL89" s="78">
        <v>0</v>
      </c>
      <c r="BM89" s="78">
        <v>394.21199999999999</v>
      </c>
      <c r="BN89" s="78">
        <v>130</v>
      </c>
      <c r="BO89" s="78">
        <v>43</v>
      </c>
      <c r="BP89" s="78">
        <v>5750.64</v>
      </c>
      <c r="BQ89" s="78">
        <v>1519.6</v>
      </c>
      <c r="BR89" s="78">
        <v>325.67474102285098</v>
      </c>
      <c r="BS89" s="78">
        <v>203</v>
      </c>
      <c r="BT89" s="78">
        <v>82.6666666666667</v>
      </c>
      <c r="BU89" s="78">
        <v>64</v>
      </c>
      <c r="BV89" s="78">
        <f t="shared" si="7"/>
        <v>1108.000000000003</v>
      </c>
      <c r="BW89" s="78">
        <v>350</v>
      </c>
      <c r="BX89" s="78">
        <v>3638.46207571688</v>
      </c>
      <c r="BY89" s="402">
        <v>0.245</v>
      </c>
      <c r="BZ89" s="78">
        <v>18594</v>
      </c>
      <c r="CA89" s="78">
        <v>2617</v>
      </c>
      <c r="CB89" s="78">
        <v>498</v>
      </c>
      <c r="CC89" s="78">
        <v>476</v>
      </c>
      <c r="CD89" s="78">
        <v>445</v>
      </c>
      <c r="CE89" s="78">
        <v>216</v>
      </c>
      <c r="CF89" s="78">
        <v>237.96429368218199</v>
      </c>
      <c r="CG89" s="78">
        <v>137.75305749923899</v>
      </c>
      <c r="CH89" s="78">
        <v>47.413375925362502</v>
      </c>
      <c r="CI89" s="78">
        <v>779.7491</v>
      </c>
      <c r="CJ89" s="78">
        <v>451.38209999999998</v>
      </c>
      <c r="CK89" s="78">
        <v>155.36170000000001</v>
      </c>
      <c r="CL89" s="78">
        <v>11907</v>
      </c>
    </row>
    <row r="90" spans="1:90" customFormat="1" x14ac:dyDescent="0.35">
      <c r="A90" s="72">
        <v>232</v>
      </c>
      <c r="B90" s="72" t="s">
        <v>107</v>
      </c>
      <c r="C90" s="72">
        <v>5</v>
      </c>
      <c r="D90" s="78">
        <v>3612400000</v>
      </c>
      <c r="E90" s="78">
        <v>437500000</v>
      </c>
      <c r="F90" s="78">
        <v>481600000</v>
      </c>
      <c r="G90" s="78">
        <v>33178</v>
      </c>
      <c r="H90" s="78">
        <v>4</v>
      </c>
      <c r="I90" s="78">
        <f t="shared" si="5"/>
        <v>481.6</v>
      </c>
      <c r="J90" s="78">
        <v>6036</v>
      </c>
      <c r="K90" s="78">
        <v>8454</v>
      </c>
      <c r="L90" s="78">
        <v>2770</v>
      </c>
      <c r="M90" s="78">
        <v>4133</v>
      </c>
      <c r="N90" s="78">
        <f t="shared" si="6"/>
        <v>2584.6999999999998</v>
      </c>
      <c r="O90" s="78">
        <v>417</v>
      </c>
      <c r="P90" s="78">
        <v>37</v>
      </c>
      <c r="Q90" s="78">
        <v>2111</v>
      </c>
      <c r="R90" s="78">
        <v>4334</v>
      </c>
      <c r="S90" s="78">
        <v>1345</v>
      </c>
      <c r="T90" s="78">
        <v>0</v>
      </c>
      <c r="U90" s="78">
        <v>791</v>
      </c>
      <c r="V90" s="78">
        <v>14761</v>
      </c>
      <c r="W90" s="78">
        <v>30260</v>
      </c>
      <c r="X90" s="78">
        <v>13630</v>
      </c>
      <c r="Y90" s="78">
        <v>172.64</v>
      </c>
      <c r="Z90" s="78">
        <v>848.8</v>
      </c>
      <c r="AA90" s="78">
        <v>0</v>
      </c>
      <c r="AB90" s="399">
        <v>0</v>
      </c>
      <c r="AC90" s="399">
        <v>52.299999999999955</v>
      </c>
      <c r="AD90" s="78">
        <v>15610</v>
      </c>
      <c r="AE90" s="78">
        <v>15610</v>
      </c>
      <c r="AF90" s="78">
        <v>127</v>
      </c>
      <c r="AG90" s="78">
        <v>0</v>
      </c>
      <c r="AH90" s="78">
        <v>179</v>
      </c>
      <c r="AI90" s="78">
        <v>113</v>
      </c>
      <c r="AJ90" s="78">
        <v>179</v>
      </c>
      <c r="AK90" s="78">
        <v>113</v>
      </c>
      <c r="AL90" s="78">
        <v>292</v>
      </c>
      <c r="AM90" s="78">
        <v>15483</v>
      </c>
      <c r="AN90" s="78">
        <v>15483</v>
      </c>
      <c r="AO90" s="78">
        <v>0</v>
      </c>
      <c r="AP90" s="78">
        <v>0</v>
      </c>
      <c r="AQ90" s="78">
        <v>0</v>
      </c>
      <c r="AR90" s="78">
        <v>0</v>
      </c>
      <c r="AS90" s="78">
        <v>604</v>
      </c>
      <c r="AT90" s="78">
        <v>0</v>
      </c>
      <c r="AU90" s="400">
        <v>5.4474500000000002E-4</v>
      </c>
      <c r="AV90" s="400">
        <v>3.8825200000000001E-4</v>
      </c>
      <c r="AW90" s="78">
        <v>11565.800999999999</v>
      </c>
      <c r="AX90" s="78">
        <v>0</v>
      </c>
      <c r="AY90" s="78">
        <v>1639</v>
      </c>
      <c r="AZ90" s="78">
        <v>3455.4706742072799</v>
      </c>
      <c r="BA90" s="78">
        <v>12</v>
      </c>
      <c r="BB90" s="78">
        <v>12</v>
      </c>
      <c r="BC90" s="78">
        <v>3632</v>
      </c>
      <c r="BD90" s="78">
        <v>1</v>
      </c>
      <c r="BE90" s="78">
        <v>0</v>
      </c>
      <c r="BF90" s="78">
        <v>0</v>
      </c>
      <c r="BG90" s="78">
        <v>0</v>
      </c>
      <c r="BH90" s="78">
        <v>0</v>
      </c>
      <c r="BI90" s="78">
        <v>0</v>
      </c>
      <c r="BJ90" s="78">
        <v>0</v>
      </c>
      <c r="BK90" s="78">
        <v>0</v>
      </c>
      <c r="BL90" s="78">
        <v>0</v>
      </c>
      <c r="BM90" s="78">
        <v>573.41999999999996</v>
      </c>
      <c r="BN90" s="78">
        <v>88</v>
      </c>
      <c r="BO90" s="78">
        <v>75</v>
      </c>
      <c r="BP90" s="78">
        <v>9948.4</v>
      </c>
      <c r="BQ90" s="78">
        <v>2139.8000000000002</v>
      </c>
      <c r="BR90" s="78">
        <v>219.713864698647</v>
      </c>
      <c r="BS90" s="78">
        <v>287</v>
      </c>
      <c r="BT90" s="78">
        <v>132.666666666667</v>
      </c>
      <c r="BU90" s="78">
        <v>103.333333333333</v>
      </c>
      <c r="BV90" s="78">
        <f t="shared" si="7"/>
        <v>1694</v>
      </c>
      <c r="BW90" s="78">
        <v>477</v>
      </c>
      <c r="BX90" s="78">
        <v>7059.6217468698196</v>
      </c>
      <c r="BY90" s="402">
        <v>0.83899999999999997</v>
      </c>
      <c r="BZ90" s="78">
        <v>24724</v>
      </c>
      <c r="CA90" s="78">
        <v>4644</v>
      </c>
      <c r="CB90" s="78">
        <v>1040</v>
      </c>
      <c r="CC90" s="78">
        <v>839</v>
      </c>
      <c r="CD90" s="78">
        <v>796</v>
      </c>
      <c r="CE90" s="78">
        <v>506</v>
      </c>
      <c r="CF90" s="78">
        <v>450.89935413033697</v>
      </c>
      <c r="CG90" s="78">
        <v>303.82703610411397</v>
      </c>
      <c r="CH90" s="78">
        <v>118.192055803139</v>
      </c>
      <c r="CI90" s="78">
        <v>1150.8960999999999</v>
      </c>
      <c r="CJ90" s="78">
        <v>775.50199999999995</v>
      </c>
      <c r="CK90" s="78">
        <v>301.67880000000002</v>
      </c>
      <c r="CL90" s="78">
        <v>25550</v>
      </c>
    </row>
    <row r="91" spans="1:90" customFormat="1" x14ac:dyDescent="0.35">
      <c r="A91" s="72">
        <v>233</v>
      </c>
      <c r="B91" s="72" t="s">
        <v>108</v>
      </c>
      <c r="C91" s="72">
        <v>5</v>
      </c>
      <c r="D91" s="78">
        <v>2807200000</v>
      </c>
      <c r="E91" s="78">
        <v>474250000</v>
      </c>
      <c r="F91" s="78">
        <v>498050000</v>
      </c>
      <c r="G91" s="78">
        <v>27008</v>
      </c>
      <c r="H91" s="78">
        <v>1</v>
      </c>
      <c r="I91" s="78">
        <f t="shared" si="5"/>
        <v>498.05</v>
      </c>
      <c r="J91" s="78">
        <v>5182</v>
      </c>
      <c r="K91" s="78">
        <v>6314</v>
      </c>
      <c r="L91" s="78">
        <v>2124</v>
      </c>
      <c r="M91" s="78">
        <v>3378</v>
      </c>
      <c r="N91" s="78">
        <f t="shared" si="6"/>
        <v>1874.8</v>
      </c>
      <c r="O91" s="78">
        <v>334.33333333333297</v>
      </c>
      <c r="P91" s="78">
        <v>47</v>
      </c>
      <c r="Q91" s="78">
        <v>2130.3333333333298</v>
      </c>
      <c r="R91" s="78">
        <v>3840</v>
      </c>
      <c r="S91" s="78">
        <v>740</v>
      </c>
      <c r="T91" s="78">
        <v>0</v>
      </c>
      <c r="U91" s="78">
        <v>617</v>
      </c>
      <c r="V91" s="78">
        <v>12525</v>
      </c>
      <c r="W91" s="78">
        <v>26980</v>
      </c>
      <c r="X91" s="78">
        <v>16220</v>
      </c>
      <c r="Y91" s="78">
        <v>1231.76</v>
      </c>
      <c r="Z91" s="78">
        <v>2096.8000000000002</v>
      </c>
      <c r="AA91" s="78">
        <v>0</v>
      </c>
      <c r="AB91" s="399">
        <v>0</v>
      </c>
      <c r="AC91" s="399">
        <v>274.69999999999982</v>
      </c>
      <c r="AD91" s="78">
        <v>8562</v>
      </c>
      <c r="AE91" s="78">
        <v>8562</v>
      </c>
      <c r="AF91" s="78">
        <v>170</v>
      </c>
      <c r="AG91" s="78">
        <v>0</v>
      </c>
      <c r="AH91" s="78">
        <v>190</v>
      </c>
      <c r="AI91" s="78">
        <v>37</v>
      </c>
      <c r="AJ91" s="78">
        <v>190</v>
      </c>
      <c r="AK91" s="78">
        <v>37</v>
      </c>
      <c r="AL91" s="78">
        <v>227</v>
      </c>
      <c r="AM91" s="78">
        <v>15032</v>
      </c>
      <c r="AN91" s="78">
        <v>15032</v>
      </c>
      <c r="AO91" s="78">
        <v>0</v>
      </c>
      <c r="AP91" s="78">
        <v>0</v>
      </c>
      <c r="AQ91" s="78">
        <v>0</v>
      </c>
      <c r="AR91" s="78">
        <v>0</v>
      </c>
      <c r="AS91" s="78">
        <v>645</v>
      </c>
      <c r="AT91" s="78">
        <v>0</v>
      </c>
      <c r="AU91" s="400">
        <v>2.2730600000000001E-4</v>
      </c>
      <c r="AV91" s="400">
        <v>1.7026500000000001E-4</v>
      </c>
      <c r="AW91" s="78">
        <v>13468.672</v>
      </c>
      <c r="AX91" s="78">
        <v>0</v>
      </c>
      <c r="AY91" s="78">
        <v>282</v>
      </c>
      <c r="AZ91" s="78">
        <v>872.22354557947801</v>
      </c>
      <c r="BA91" s="78">
        <v>9</v>
      </c>
      <c r="BB91" s="78">
        <v>9</v>
      </c>
      <c r="BC91" s="78">
        <v>3200</v>
      </c>
      <c r="BD91" s="78">
        <v>1</v>
      </c>
      <c r="BE91" s="78">
        <v>0</v>
      </c>
      <c r="BF91" s="78">
        <v>0</v>
      </c>
      <c r="BG91" s="78">
        <v>0</v>
      </c>
      <c r="BH91" s="78">
        <v>0</v>
      </c>
      <c r="BI91" s="78">
        <v>0</v>
      </c>
      <c r="BJ91" s="78">
        <v>0</v>
      </c>
      <c r="BK91" s="78">
        <v>0</v>
      </c>
      <c r="BL91" s="78">
        <v>0</v>
      </c>
      <c r="BM91" s="78">
        <v>430.10599999999999</v>
      </c>
      <c r="BN91" s="78">
        <v>63</v>
      </c>
      <c r="BO91" s="78">
        <v>46</v>
      </c>
      <c r="BP91" s="78">
        <v>7790.79</v>
      </c>
      <c r="BQ91" s="78">
        <v>1832.51</v>
      </c>
      <c r="BR91" s="78">
        <v>232.84832967033</v>
      </c>
      <c r="BS91" s="78">
        <v>241</v>
      </c>
      <c r="BT91" s="78">
        <v>86</v>
      </c>
      <c r="BU91" s="78">
        <v>61.3333333333333</v>
      </c>
      <c r="BV91" s="78">
        <f t="shared" si="7"/>
        <v>1795.9999999999968</v>
      </c>
      <c r="BW91" s="78">
        <v>810</v>
      </c>
      <c r="BX91" s="78">
        <v>4776.5686320649302</v>
      </c>
      <c r="BY91" s="402">
        <v>0.62</v>
      </c>
      <c r="BZ91" s="78">
        <v>20694</v>
      </c>
      <c r="CA91" s="78">
        <v>3423</v>
      </c>
      <c r="CB91" s="78">
        <v>767</v>
      </c>
      <c r="CC91" s="78">
        <v>682</v>
      </c>
      <c r="CD91" s="78">
        <v>584</v>
      </c>
      <c r="CE91" s="78">
        <v>343</v>
      </c>
      <c r="CF91" s="78">
        <v>253.307530601384</v>
      </c>
      <c r="CG91" s="78">
        <v>157.27267163384801</v>
      </c>
      <c r="CH91" s="78">
        <v>60.738930282064899</v>
      </c>
      <c r="CI91" s="78">
        <v>799.19849999999997</v>
      </c>
      <c r="CJ91" s="78">
        <v>496.20350000000002</v>
      </c>
      <c r="CK91" s="78">
        <v>191.6345</v>
      </c>
      <c r="CL91" s="78">
        <v>450229</v>
      </c>
    </row>
    <row r="92" spans="1:90" customFormat="1" x14ac:dyDescent="0.35">
      <c r="A92" s="72">
        <v>243</v>
      </c>
      <c r="B92" s="72" t="s">
        <v>130</v>
      </c>
      <c r="C92" s="72">
        <v>5</v>
      </c>
      <c r="D92" s="78">
        <v>4352000000</v>
      </c>
      <c r="E92" s="78">
        <v>674100000</v>
      </c>
      <c r="F92" s="78">
        <v>691950000</v>
      </c>
      <c r="G92" s="78">
        <v>48414</v>
      </c>
      <c r="H92" s="78">
        <v>1</v>
      </c>
      <c r="I92" s="78">
        <f t="shared" si="5"/>
        <v>691.95</v>
      </c>
      <c r="J92" s="78">
        <v>10429</v>
      </c>
      <c r="K92" s="78">
        <v>8931</v>
      </c>
      <c r="L92" s="78">
        <v>2750</v>
      </c>
      <c r="M92" s="78">
        <v>5861</v>
      </c>
      <c r="N92" s="78">
        <f t="shared" si="6"/>
        <v>3781.6</v>
      </c>
      <c r="O92" s="78">
        <v>855</v>
      </c>
      <c r="P92" s="78">
        <v>62</v>
      </c>
      <c r="Q92" s="78">
        <v>3403</v>
      </c>
      <c r="R92" s="78">
        <v>6781</v>
      </c>
      <c r="S92" s="78">
        <v>4365</v>
      </c>
      <c r="T92" s="78">
        <v>0</v>
      </c>
      <c r="U92" s="78">
        <v>1469</v>
      </c>
      <c r="V92" s="78">
        <v>21404</v>
      </c>
      <c r="W92" s="78">
        <v>51810</v>
      </c>
      <c r="X92" s="78">
        <v>48220</v>
      </c>
      <c r="Y92" s="78">
        <v>1333.28</v>
      </c>
      <c r="Z92" s="78">
        <v>3116.8</v>
      </c>
      <c r="AA92" s="78">
        <v>0</v>
      </c>
      <c r="AB92" s="399">
        <v>0</v>
      </c>
      <c r="AC92" s="399">
        <v>0</v>
      </c>
      <c r="AD92" s="78">
        <v>3896</v>
      </c>
      <c r="AE92" s="78">
        <v>3896</v>
      </c>
      <c r="AF92" s="78">
        <v>931</v>
      </c>
      <c r="AG92" s="78">
        <v>0</v>
      </c>
      <c r="AH92" s="78">
        <v>251</v>
      </c>
      <c r="AI92" s="78">
        <v>29</v>
      </c>
      <c r="AJ92" s="78">
        <v>251</v>
      </c>
      <c r="AK92" s="78">
        <v>29</v>
      </c>
      <c r="AL92" s="78">
        <v>280</v>
      </c>
      <c r="AM92" s="78">
        <v>20794</v>
      </c>
      <c r="AN92" s="78">
        <v>20794</v>
      </c>
      <c r="AO92" s="78">
        <v>19</v>
      </c>
      <c r="AP92" s="78">
        <v>0</v>
      </c>
      <c r="AQ92" s="78">
        <v>0</v>
      </c>
      <c r="AR92" s="78">
        <v>1650</v>
      </c>
      <c r="AS92" s="78">
        <v>1443</v>
      </c>
      <c r="AT92" s="78">
        <v>1443</v>
      </c>
      <c r="AU92" s="400">
        <v>4.2419799999999998E-4</v>
      </c>
      <c r="AV92" s="400">
        <v>5.6964699999999995E-4</v>
      </c>
      <c r="AW92" s="78">
        <v>31814.82</v>
      </c>
      <c r="AX92" s="78">
        <v>0</v>
      </c>
      <c r="AY92" s="78">
        <v>700</v>
      </c>
      <c r="AZ92" s="78">
        <v>7020.8825357364803</v>
      </c>
      <c r="BA92" s="78">
        <v>2</v>
      </c>
      <c r="BB92" s="78">
        <v>2</v>
      </c>
      <c r="BC92" s="78">
        <v>5175</v>
      </c>
      <c r="BD92" s="78">
        <v>1</v>
      </c>
      <c r="BE92" s="78">
        <v>0</v>
      </c>
      <c r="BF92" s="78">
        <v>0</v>
      </c>
      <c r="BG92" s="78">
        <v>0</v>
      </c>
      <c r="BH92" s="78">
        <v>0</v>
      </c>
      <c r="BI92" s="78">
        <v>0</v>
      </c>
      <c r="BJ92" s="78">
        <v>0</v>
      </c>
      <c r="BK92" s="78">
        <v>0</v>
      </c>
      <c r="BL92" s="78">
        <v>0</v>
      </c>
      <c r="BM92" s="78">
        <v>1136.761</v>
      </c>
      <c r="BN92" s="78">
        <v>161</v>
      </c>
      <c r="BO92" s="78">
        <v>197</v>
      </c>
      <c r="BP92" s="78">
        <v>13550.46</v>
      </c>
      <c r="BQ92" s="78">
        <v>3458.7</v>
      </c>
      <c r="BR92" s="78">
        <v>574.17874293858495</v>
      </c>
      <c r="BS92" s="78">
        <v>589</v>
      </c>
      <c r="BT92" s="78">
        <v>258.66666666666703</v>
      </c>
      <c r="BU92" s="78">
        <v>207.333333333333</v>
      </c>
      <c r="BV92" s="78">
        <f t="shared" si="7"/>
        <v>2548</v>
      </c>
      <c r="BW92" s="78">
        <v>722</v>
      </c>
      <c r="BX92" s="78">
        <v>8465.94304281121</v>
      </c>
      <c r="BY92" s="402">
        <v>1.744</v>
      </c>
      <c r="BZ92" s="78">
        <v>39483</v>
      </c>
      <c r="CA92" s="78">
        <v>5184</v>
      </c>
      <c r="CB92" s="78">
        <v>997</v>
      </c>
      <c r="CC92" s="78">
        <v>1102</v>
      </c>
      <c r="CD92" s="78">
        <v>945</v>
      </c>
      <c r="CE92" s="78">
        <v>532</v>
      </c>
      <c r="CF92" s="78">
        <v>571.76831778397604</v>
      </c>
      <c r="CG92" s="78">
        <v>336.80500144272401</v>
      </c>
      <c r="CH92" s="78">
        <v>129.666288352409</v>
      </c>
      <c r="CI92" s="78">
        <v>1449.6984</v>
      </c>
      <c r="CJ92" s="78">
        <v>853.95719999999994</v>
      </c>
      <c r="CK92" s="78">
        <v>328.76429999999999</v>
      </c>
      <c r="CL92" s="78">
        <v>36543</v>
      </c>
    </row>
    <row r="93" spans="1:90" customFormat="1" x14ac:dyDescent="0.35">
      <c r="A93" s="72">
        <v>244</v>
      </c>
      <c r="B93" s="72" t="s">
        <v>133</v>
      </c>
      <c r="C93" s="72">
        <v>5</v>
      </c>
      <c r="D93" s="78">
        <v>1235200000</v>
      </c>
      <c r="E93" s="78">
        <v>91350000</v>
      </c>
      <c r="F93" s="78">
        <v>97300000</v>
      </c>
      <c r="G93" s="78">
        <v>12209</v>
      </c>
      <c r="H93" s="78">
        <v>1</v>
      </c>
      <c r="I93" s="78">
        <f t="shared" si="5"/>
        <v>97.3</v>
      </c>
      <c r="J93" s="78">
        <v>2631</v>
      </c>
      <c r="K93" s="78">
        <v>2717</v>
      </c>
      <c r="L93" s="78">
        <v>901</v>
      </c>
      <c r="M93" s="78">
        <v>1346</v>
      </c>
      <c r="N93" s="78">
        <f t="shared" si="6"/>
        <v>801.6</v>
      </c>
      <c r="O93" s="78">
        <v>118</v>
      </c>
      <c r="P93" s="78">
        <v>12</v>
      </c>
      <c r="Q93" s="78">
        <v>572</v>
      </c>
      <c r="R93" s="78">
        <v>1484</v>
      </c>
      <c r="S93" s="78">
        <v>175</v>
      </c>
      <c r="T93" s="78">
        <v>0</v>
      </c>
      <c r="U93" s="78">
        <v>261</v>
      </c>
      <c r="V93" s="78">
        <v>5213</v>
      </c>
      <c r="W93" s="78">
        <v>10020</v>
      </c>
      <c r="X93" s="78">
        <v>3080</v>
      </c>
      <c r="Y93" s="78">
        <v>0</v>
      </c>
      <c r="Z93" s="78">
        <v>0</v>
      </c>
      <c r="AA93" s="78">
        <v>0</v>
      </c>
      <c r="AB93" s="399">
        <v>0</v>
      </c>
      <c r="AC93" s="399">
        <v>0</v>
      </c>
      <c r="AD93" s="78">
        <v>2307</v>
      </c>
      <c r="AE93" s="78">
        <v>2307</v>
      </c>
      <c r="AF93" s="78">
        <v>108</v>
      </c>
      <c r="AG93" s="78">
        <v>0</v>
      </c>
      <c r="AH93" s="78">
        <v>65</v>
      </c>
      <c r="AI93" s="78">
        <v>11</v>
      </c>
      <c r="AJ93" s="78">
        <v>65</v>
      </c>
      <c r="AK93" s="78">
        <v>11</v>
      </c>
      <c r="AL93" s="78">
        <v>76</v>
      </c>
      <c r="AM93" s="78">
        <v>5444</v>
      </c>
      <c r="AN93" s="78">
        <v>5444</v>
      </c>
      <c r="AO93" s="78">
        <v>7</v>
      </c>
      <c r="AP93" s="78">
        <v>0</v>
      </c>
      <c r="AQ93" s="78">
        <v>0</v>
      </c>
      <c r="AR93" s="78">
        <v>1000</v>
      </c>
      <c r="AS93" s="78">
        <v>652</v>
      </c>
      <c r="AT93" s="78">
        <v>652</v>
      </c>
      <c r="AU93" s="400">
        <v>2.59323E-4</v>
      </c>
      <c r="AV93" s="400">
        <v>1.18373E-4</v>
      </c>
      <c r="AW93" s="78">
        <v>4523.9639999999999</v>
      </c>
      <c r="AX93" s="78">
        <v>0</v>
      </c>
      <c r="AY93" s="78">
        <v>619</v>
      </c>
      <c r="AZ93" s="78">
        <v>3129.3461697722601</v>
      </c>
      <c r="BA93" s="78">
        <v>2</v>
      </c>
      <c r="BB93" s="78">
        <v>2</v>
      </c>
      <c r="BC93" s="78">
        <v>1258</v>
      </c>
      <c r="BD93" s="78">
        <v>1</v>
      </c>
      <c r="BE93" s="78">
        <v>0</v>
      </c>
      <c r="BF93" s="78">
        <v>0</v>
      </c>
      <c r="BG93" s="78">
        <v>0</v>
      </c>
      <c r="BH93" s="78">
        <v>0</v>
      </c>
      <c r="BI93" s="78">
        <v>0</v>
      </c>
      <c r="BJ93" s="78">
        <v>0</v>
      </c>
      <c r="BK93" s="78">
        <v>0</v>
      </c>
      <c r="BL93" s="78">
        <v>0</v>
      </c>
      <c r="BM93" s="78">
        <v>207.84899999999999</v>
      </c>
      <c r="BN93" s="78">
        <v>28</v>
      </c>
      <c r="BO93" s="78">
        <v>21</v>
      </c>
      <c r="BP93" s="78">
        <v>3660.48</v>
      </c>
      <c r="BQ93" s="78">
        <v>934.32</v>
      </c>
      <c r="BR93" s="78">
        <v>111.463057507987</v>
      </c>
      <c r="BS93" s="78">
        <v>116</v>
      </c>
      <c r="BT93" s="78">
        <v>31.6666666666667</v>
      </c>
      <c r="BU93" s="78">
        <v>21.3333333333333</v>
      </c>
      <c r="BV93" s="78">
        <f t="shared" si="7"/>
        <v>454</v>
      </c>
      <c r="BW93" s="78">
        <v>124</v>
      </c>
      <c r="BX93" s="78">
        <v>1971.0519313234199</v>
      </c>
      <c r="BY93" s="402">
        <v>9.6000000000000002E-2</v>
      </c>
      <c r="BZ93" s="78">
        <v>9492</v>
      </c>
      <c r="CA93" s="78">
        <v>1498</v>
      </c>
      <c r="CB93" s="78">
        <v>318</v>
      </c>
      <c r="CC93" s="78">
        <v>262</v>
      </c>
      <c r="CD93" s="78">
        <v>286</v>
      </c>
      <c r="CE93" s="78">
        <v>171</v>
      </c>
      <c r="CF93" s="78">
        <v>136.34856722997799</v>
      </c>
      <c r="CG93" s="78">
        <v>87.905069801616506</v>
      </c>
      <c r="CH93" s="78">
        <v>33.424540778839102</v>
      </c>
      <c r="CI93" s="78">
        <v>374.19659999999999</v>
      </c>
      <c r="CJ93" s="78">
        <v>241.24770000000001</v>
      </c>
      <c r="CK93" s="78">
        <v>91.730699999999999</v>
      </c>
      <c r="CL93" s="78">
        <v>0</v>
      </c>
    </row>
    <row r="94" spans="1:90" customFormat="1" x14ac:dyDescent="0.35">
      <c r="A94" s="72">
        <v>246</v>
      </c>
      <c r="B94" s="72" t="s">
        <v>136</v>
      </c>
      <c r="C94" s="72">
        <v>5</v>
      </c>
      <c r="D94" s="78">
        <v>1794400000</v>
      </c>
      <c r="E94" s="78">
        <v>179900000</v>
      </c>
      <c r="F94" s="78">
        <v>197050000</v>
      </c>
      <c r="G94" s="78">
        <v>18589</v>
      </c>
      <c r="H94" s="78">
        <v>2</v>
      </c>
      <c r="I94" s="78">
        <f t="shared" si="5"/>
        <v>197.05</v>
      </c>
      <c r="J94" s="78">
        <v>3664</v>
      </c>
      <c r="K94" s="78">
        <v>4402</v>
      </c>
      <c r="L94" s="78">
        <v>1439</v>
      </c>
      <c r="M94" s="78">
        <v>2144</v>
      </c>
      <c r="N94" s="78">
        <f t="shared" si="6"/>
        <v>1343.1999999999998</v>
      </c>
      <c r="O94" s="78">
        <v>178</v>
      </c>
      <c r="P94" s="78">
        <v>30</v>
      </c>
      <c r="Q94" s="78">
        <v>1011</v>
      </c>
      <c r="R94" s="78">
        <v>2017</v>
      </c>
      <c r="S94" s="78">
        <v>225</v>
      </c>
      <c r="T94" s="78">
        <v>0</v>
      </c>
      <c r="U94" s="78">
        <v>363</v>
      </c>
      <c r="V94" s="78">
        <v>7964</v>
      </c>
      <c r="W94" s="78">
        <v>16440</v>
      </c>
      <c r="X94" s="78">
        <v>5510</v>
      </c>
      <c r="Y94" s="78">
        <v>283.72000000000003</v>
      </c>
      <c r="Z94" s="78">
        <v>744</v>
      </c>
      <c r="AA94" s="78">
        <v>0</v>
      </c>
      <c r="AB94" s="399">
        <v>0</v>
      </c>
      <c r="AC94" s="399">
        <v>0</v>
      </c>
      <c r="AD94" s="78">
        <v>7854</v>
      </c>
      <c r="AE94" s="78">
        <v>7854</v>
      </c>
      <c r="AF94" s="78">
        <v>188</v>
      </c>
      <c r="AG94" s="78">
        <v>0</v>
      </c>
      <c r="AH94" s="78">
        <v>106</v>
      </c>
      <c r="AI94" s="78">
        <v>48</v>
      </c>
      <c r="AJ94" s="78">
        <v>106</v>
      </c>
      <c r="AK94" s="78">
        <v>48</v>
      </c>
      <c r="AL94" s="78">
        <v>154</v>
      </c>
      <c r="AM94" s="78">
        <v>8008</v>
      </c>
      <c r="AN94" s="78">
        <v>8008</v>
      </c>
      <c r="AO94" s="78">
        <v>0</v>
      </c>
      <c r="AP94" s="78">
        <v>0</v>
      </c>
      <c r="AQ94" s="78">
        <v>0</v>
      </c>
      <c r="AR94" s="78">
        <v>0</v>
      </c>
      <c r="AS94" s="78">
        <v>0</v>
      </c>
      <c r="AT94" s="78">
        <v>0</v>
      </c>
      <c r="AU94" s="400">
        <v>3.13064E-4</v>
      </c>
      <c r="AV94" s="400">
        <v>1.0768999999999999E-4</v>
      </c>
      <c r="AW94" s="78">
        <v>4892.8879999999999</v>
      </c>
      <c r="AX94" s="78">
        <v>0</v>
      </c>
      <c r="AY94" s="78">
        <v>1504</v>
      </c>
      <c r="AZ94" s="78">
        <v>3476.4804774931599</v>
      </c>
      <c r="BA94" s="78">
        <v>8</v>
      </c>
      <c r="BB94" s="78">
        <v>8</v>
      </c>
      <c r="BC94" s="78">
        <v>1802</v>
      </c>
      <c r="BD94" s="78">
        <v>1</v>
      </c>
      <c r="BE94" s="78">
        <v>0</v>
      </c>
      <c r="BF94" s="78">
        <v>0</v>
      </c>
      <c r="BG94" s="78">
        <v>0</v>
      </c>
      <c r="BH94" s="78">
        <v>0</v>
      </c>
      <c r="BI94" s="78">
        <v>0</v>
      </c>
      <c r="BJ94" s="78">
        <v>0</v>
      </c>
      <c r="BK94" s="78">
        <v>0</v>
      </c>
      <c r="BL94" s="78">
        <v>0</v>
      </c>
      <c r="BM94" s="78">
        <v>274.8</v>
      </c>
      <c r="BN94" s="78">
        <v>74</v>
      </c>
      <c r="BO94" s="78">
        <v>26</v>
      </c>
      <c r="BP94" s="78">
        <v>5292.3</v>
      </c>
      <c r="BQ94" s="78">
        <v>1240.32</v>
      </c>
      <c r="BR94" s="78">
        <v>143.15959712230199</v>
      </c>
      <c r="BS94" s="78">
        <v>163</v>
      </c>
      <c r="BT94" s="78">
        <v>55.6666666666667</v>
      </c>
      <c r="BU94" s="78">
        <v>38</v>
      </c>
      <c r="BV94" s="78">
        <f t="shared" si="7"/>
        <v>833</v>
      </c>
      <c r="BW94" s="78">
        <v>194</v>
      </c>
      <c r="BX94" s="78">
        <v>3550.6934498004998</v>
      </c>
      <c r="BY94" s="402">
        <v>0.14099999999999999</v>
      </c>
      <c r="BZ94" s="78">
        <v>14187</v>
      </c>
      <c r="CA94" s="78">
        <v>2458</v>
      </c>
      <c r="CB94" s="78">
        <v>505</v>
      </c>
      <c r="CC94" s="78">
        <v>378</v>
      </c>
      <c r="CD94" s="78">
        <v>415</v>
      </c>
      <c r="CE94" s="78">
        <v>227</v>
      </c>
      <c r="CF94" s="78">
        <v>240.69580419580399</v>
      </c>
      <c r="CG94" s="78">
        <v>155.152347652348</v>
      </c>
      <c r="CH94" s="78">
        <v>55.183916083916102</v>
      </c>
      <c r="CI94" s="78">
        <v>627.8125</v>
      </c>
      <c r="CJ94" s="78">
        <v>404.6875</v>
      </c>
      <c r="CK94" s="78">
        <v>143.9375</v>
      </c>
      <c r="CL94" s="78">
        <v>32236</v>
      </c>
    </row>
    <row r="95" spans="1:90" customFormat="1" x14ac:dyDescent="0.35">
      <c r="A95" s="72">
        <v>252</v>
      </c>
      <c r="B95" s="72" t="s">
        <v>148</v>
      </c>
      <c r="C95" s="72">
        <v>5</v>
      </c>
      <c r="D95" s="78">
        <v>1722000000</v>
      </c>
      <c r="E95" s="78">
        <v>146650000</v>
      </c>
      <c r="F95" s="78">
        <v>159600000</v>
      </c>
      <c r="G95" s="78">
        <v>16454</v>
      </c>
      <c r="H95" s="78">
        <v>2</v>
      </c>
      <c r="I95" s="78">
        <f t="shared" si="5"/>
        <v>159.6</v>
      </c>
      <c r="J95" s="78">
        <v>3028</v>
      </c>
      <c r="K95" s="78">
        <v>3963</v>
      </c>
      <c r="L95" s="78">
        <v>1354</v>
      </c>
      <c r="M95" s="78">
        <v>1767</v>
      </c>
      <c r="N95" s="78">
        <f t="shared" si="6"/>
        <v>1031.5999999999999</v>
      </c>
      <c r="O95" s="78">
        <v>244</v>
      </c>
      <c r="P95" s="78">
        <v>7</v>
      </c>
      <c r="Q95" s="78">
        <v>943</v>
      </c>
      <c r="R95" s="78">
        <v>2212</v>
      </c>
      <c r="S95" s="78">
        <v>355</v>
      </c>
      <c r="T95" s="78">
        <v>0</v>
      </c>
      <c r="U95" s="78">
        <v>446</v>
      </c>
      <c r="V95" s="78">
        <v>7372</v>
      </c>
      <c r="W95" s="78">
        <v>13310</v>
      </c>
      <c r="X95" s="78">
        <v>3420</v>
      </c>
      <c r="Y95" s="78">
        <v>0</v>
      </c>
      <c r="Z95" s="78">
        <v>0</v>
      </c>
      <c r="AA95" s="78">
        <v>0</v>
      </c>
      <c r="AB95" s="399">
        <v>0</v>
      </c>
      <c r="AC95" s="399">
        <v>0</v>
      </c>
      <c r="AD95" s="78">
        <v>3970</v>
      </c>
      <c r="AE95" s="78">
        <v>3970</v>
      </c>
      <c r="AF95" s="78">
        <v>184</v>
      </c>
      <c r="AG95" s="78">
        <v>0</v>
      </c>
      <c r="AH95" s="78">
        <v>90</v>
      </c>
      <c r="AI95" s="78">
        <v>33</v>
      </c>
      <c r="AJ95" s="78">
        <v>90</v>
      </c>
      <c r="AK95" s="78">
        <v>33</v>
      </c>
      <c r="AL95" s="78">
        <v>123</v>
      </c>
      <c r="AM95" s="78">
        <v>7354</v>
      </c>
      <c r="AN95" s="78">
        <v>7354</v>
      </c>
      <c r="AO95" s="78">
        <v>0</v>
      </c>
      <c r="AP95" s="78">
        <v>0</v>
      </c>
      <c r="AQ95" s="78">
        <v>0</v>
      </c>
      <c r="AR95" s="78">
        <v>0</v>
      </c>
      <c r="AS95" s="78">
        <v>0</v>
      </c>
      <c r="AT95" s="78">
        <v>0</v>
      </c>
      <c r="AU95" s="400">
        <v>8.7250999999999995E-5</v>
      </c>
      <c r="AV95" s="400">
        <v>4.4721000000000001E-5</v>
      </c>
      <c r="AW95" s="78">
        <v>5868.4920000000002</v>
      </c>
      <c r="AX95" s="78">
        <v>0</v>
      </c>
      <c r="AY95" s="78">
        <v>666</v>
      </c>
      <c r="AZ95" s="78">
        <v>2638.02696196437</v>
      </c>
      <c r="BA95" s="78">
        <v>4</v>
      </c>
      <c r="BB95" s="78">
        <v>4</v>
      </c>
      <c r="BC95" s="78">
        <v>1899</v>
      </c>
      <c r="BD95" s="78">
        <v>1</v>
      </c>
      <c r="BE95" s="78">
        <v>0</v>
      </c>
      <c r="BF95" s="78">
        <v>0</v>
      </c>
      <c r="BG95" s="78">
        <v>0</v>
      </c>
      <c r="BH95" s="78">
        <v>0</v>
      </c>
      <c r="BI95" s="78">
        <v>0</v>
      </c>
      <c r="BJ95" s="78">
        <v>0</v>
      </c>
      <c r="BK95" s="78">
        <v>0</v>
      </c>
      <c r="BL95" s="78">
        <v>0</v>
      </c>
      <c r="BM95" s="78">
        <v>224.072</v>
      </c>
      <c r="BN95" s="78">
        <v>15</v>
      </c>
      <c r="BO95" s="78">
        <v>14</v>
      </c>
      <c r="BP95" s="78">
        <v>5644.55</v>
      </c>
      <c r="BQ95" s="78">
        <v>1313.62</v>
      </c>
      <c r="BR95" s="78">
        <v>91.510502758077195</v>
      </c>
      <c r="BS95" s="78">
        <v>165</v>
      </c>
      <c r="BT95" s="78">
        <v>59.6666666666667</v>
      </c>
      <c r="BU95" s="78">
        <v>52.3333333333333</v>
      </c>
      <c r="BV95" s="78">
        <f t="shared" si="7"/>
        <v>699</v>
      </c>
      <c r="BW95" s="78">
        <v>225</v>
      </c>
      <c r="BX95" s="78">
        <v>2716.3971078490799</v>
      </c>
      <c r="BY95" s="402">
        <v>0.42899999999999999</v>
      </c>
      <c r="BZ95" s="78">
        <v>12491</v>
      </c>
      <c r="CA95" s="78">
        <v>2167</v>
      </c>
      <c r="CB95" s="78">
        <v>442</v>
      </c>
      <c r="CC95" s="78">
        <v>409</v>
      </c>
      <c r="CD95" s="78">
        <v>433</v>
      </c>
      <c r="CE95" s="78">
        <v>203</v>
      </c>
      <c r="CF95" s="78">
        <v>183.623116671199</v>
      </c>
      <c r="CG95" s="78">
        <v>127.79271144955101</v>
      </c>
      <c r="CH95" s="78">
        <v>41.101278215936901</v>
      </c>
      <c r="CI95" s="78">
        <v>441.65660000000003</v>
      </c>
      <c r="CJ95" s="78">
        <v>307.37139999999999</v>
      </c>
      <c r="CK95" s="78">
        <v>98.858199999999997</v>
      </c>
      <c r="CL95" s="78">
        <v>14965</v>
      </c>
    </row>
    <row r="96" spans="1:90" customFormat="1" x14ac:dyDescent="0.35">
      <c r="A96" s="72">
        <v>1705</v>
      </c>
      <c r="B96" s="72" t="s">
        <v>185</v>
      </c>
      <c r="C96" s="72">
        <v>5</v>
      </c>
      <c r="D96" s="78">
        <v>4304400000</v>
      </c>
      <c r="E96" s="78">
        <v>405300000</v>
      </c>
      <c r="F96" s="78">
        <v>421400000</v>
      </c>
      <c r="G96" s="78">
        <v>46601</v>
      </c>
      <c r="H96" s="78">
        <v>4</v>
      </c>
      <c r="I96" s="78">
        <f t="shared" si="5"/>
        <v>421.4</v>
      </c>
      <c r="J96" s="78">
        <v>9380</v>
      </c>
      <c r="K96" s="78">
        <v>10137</v>
      </c>
      <c r="L96" s="78">
        <v>3012</v>
      </c>
      <c r="M96" s="78">
        <v>5368</v>
      </c>
      <c r="N96" s="78">
        <f t="shared" si="6"/>
        <v>3373.8</v>
      </c>
      <c r="O96" s="78">
        <v>501</v>
      </c>
      <c r="P96" s="78">
        <v>43</v>
      </c>
      <c r="Q96" s="78">
        <v>2586</v>
      </c>
      <c r="R96" s="78">
        <v>5367</v>
      </c>
      <c r="S96" s="78">
        <v>865</v>
      </c>
      <c r="T96" s="78">
        <v>0</v>
      </c>
      <c r="U96" s="78">
        <v>1306</v>
      </c>
      <c r="V96" s="78">
        <v>20204</v>
      </c>
      <c r="W96" s="78">
        <v>39260</v>
      </c>
      <c r="X96" s="78">
        <v>13220</v>
      </c>
      <c r="Y96" s="78">
        <v>653.4</v>
      </c>
      <c r="Z96" s="78">
        <v>1874.4</v>
      </c>
      <c r="AA96" s="78">
        <v>0</v>
      </c>
      <c r="AB96" s="399">
        <v>0</v>
      </c>
      <c r="AC96" s="399">
        <v>0</v>
      </c>
      <c r="AD96" s="78">
        <v>6193</v>
      </c>
      <c r="AE96" s="78">
        <v>6254.93</v>
      </c>
      <c r="AF96" s="78">
        <v>721</v>
      </c>
      <c r="AG96" s="78">
        <v>0</v>
      </c>
      <c r="AH96" s="78">
        <v>239</v>
      </c>
      <c r="AI96" s="78">
        <v>56</v>
      </c>
      <c r="AJ96" s="78">
        <v>239</v>
      </c>
      <c r="AK96" s="78">
        <v>56.56</v>
      </c>
      <c r="AL96" s="78">
        <v>295</v>
      </c>
      <c r="AM96" s="78">
        <v>19942</v>
      </c>
      <c r="AN96" s="78">
        <v>19942</v>
      </c>
      <c r="AO96" s="78">
        <v>5</v>
      </c>
      <c r="AP96" s="78">
        <v>0</v>
      </c>
      <c r="AQ96" s="78">
        <v>0</v>
      </c>
      <c r="AR96" s="78">
        <v>0</v>
      </c>
      <c r="AS96" s="78">
        <v>0</v>
      </c>
      <c r="AT96" s="78">
        <v>0</v>
      </c>
      <c r="AU96" s="400">
        <v>2.5615399999999997E-4</v>
      </c>
      <c r="AV96" s="400">
        <v>2.4022599999999999E-4</v>
      </c>
      <c r="AW96" s="78">
        <v>18984.784</v>
      </c>
      <c r="AX96" s="78">
        <v>0</v>
      </c>
      <c r="AY96" s="78">
        <v>2121</v>
      </c>
      <c r="AZ96" s="78">
        <v>14350.1962800116</v>
      </c>
      <c r="BA96" s="78">
        <v>5</v>
      </c>
      <c r="BB96" s="78">
        <v>5.05</v>
      </c>
      <c r="BC96" s="78">
        <v>4692</v>
      </c>
      <c r="BD96" s="78">
        <v>1</v>
      </c>
      <c r="BE96" s="78">
        <v>0</v>
      </c>
      <c r="BF96" s="78">
        <v>0</v>
      </c>
      <c r="BG96" s="78">
        <v>0</v>
      </c>
      <c r="BH96" s="78">
        <v>0</v>
      </c>
      <c r="BI96" s="78">
        <v>0</v>
      </c>
      <c r="BJ96" s="78">
        <v>0</v>
      </c>
      <c r="BK96" s="78">
        <v>0</v>
      </c>
      <c r="BL96" s="78">
        <v>0</v>
      </c>
      <c r="BM96" s="78">
        <v>694.12</v>
      </c>
      <c r="BN96" s="78">
        <v>94</v>
      </c>
      <c r="BO96" s="78">
        <v>69</v>
      </c>
      <c r="BP96" s="78">
        <v>13332.08</v>
      </c>
      <c r="BQ96" s="78">
        <v>3588.52</v>
      </c>
      <c r="BR96" s="78">
        <v>404.68533864541803</v>
      </c>
      <c r="BS96" s="78">
        <v>471</v>
      </c>
      <c r="BT96" s="78">
        <v>144.666666666667</v>
      </c>
      <c r="BU96" s="78">
        <v>101</v>
      </c>
      <c r="BV96" s="78">
        <f t="shared" si="7"/>
        <v>2085</v>
      </c>
      <c r="BW96" s="78">
        <v>552</v>
      </c>
      <c r="BX96" s="78">
        <v>8594.2371382463698</v>
      </c>
      <c r="BY96" s="402">
        <v>0.70399999999999996</v>
      </c>
      <c r="BZ96" s="78">
        <v>36464</v>
      </c>
      <c r="CA96" s="78">
        <v>6161</v>
      </c>
      <c r="CB96" s="78">
        <v>964</v>
      </c>
      <c r="CC96" s="78">
        <v>1094</v>
      </c>
      <c r="CD96" s="78">
        <v>935</v>
      </c>
      <c r="CE96" s="78">
        <v>483</v>
      </c>
      <c r="CF96" s="78">
        <v>614.12566442683794</v>
      </c>
      <c r="CG96" s="78">
        <v>337.68452512285597</v>
      </c>
      <c r="CH96" s="78">
        <v>111.659211713971</v>
      </c>
      <c r="CI96" s="78">
        <v>1602.2819999999999</v>
      </c>
      <c r="CJ96" s="78">
        <v>881.03440000000001</v>
      </c>
      <c r="CK96" s="78">
        <v>291.32400000000001</v>
      </c>
      <c r="CL96" s="78">
        <v>42932</v>
      </c>
    </row>
    <row r="97" spans="1:90" customFormat="1" x14ac:dyDescent="0.35">
      <c r="A97" s="72">
        <v>262</v>
      </c>
      <c r="B97" s="72" t="s">
        <v>187</v>
      </c>
      <c r="C97" s="72">
        <v>5</v>
      </c>
      <c r="D97" s="78">
        <v>3875600000</v>
      </c>
      <c r="E97" s="78">
        <v>454650000</v>
      </c>
      <c r="F97" s="78">
        <v>542500000</v>
      </c>
      <c r="G97" s="78">
        <v>33729</v>
      </c>
      <c r="H97" s="78">
        <v>6</v>
      </c>
      <c r="I97" s="78">
        <f t="shared" si="5"/>
        <v>542.5</v>
      </c>
      <c r="J97" s="78">
        <v>6037</v>
      </c>
      <c r="K97" s="78">
        <v>9494</v>
      </c>
      <c r="L97" s="78">
        <v>3226</v>
      </c>
      <c r="M97" s="78">
        <v>4017</v>
      </c>
      <c r="N97" s="78">
        <f t="shared" si="6"/>
        <v>2361.6999999999998</v>
      </c>
      <c r="O97" s="78">
        <v>432</v>
      </c>
      <c r="P97" s="78">
        <v>34</v>
      </c>
      <c r="Q97" s="78">
        <v>1805</v>
      </c>
      <c r="R97" s="78">
        <v>4536</v>
      </c>
      <c r="S97" s="78">
        <v>1050</v>
      </c>
      <c r="T97" s="78">
        <v>0</v>
      </c>
      <c r="U97" s="78">
        <v>739</v>
      </c>
      <c r="V97" s="78">
        <v>15495</v>
      </c>
      <c r="W97" s="78">
        <v>27770</v>
      </c>
      <c r="X97" s="78">
        <v>12200</v>
      </c>
      <c r="Y97" s="78">
        <v>450.80340000000001</v>
      </c>
      <c r="Z97" s="78">
        <v>1233.5999999999999</v>
      </c>
      <c r="AA97" s="78">
        <v>0</v>
      </c>
      <c r="AB97" s="399">
        <v>0</v>
      </c>
      <c r="AC97" s="399">
        <v>198.89999999999986</v>
      </c>
      <c r="AD97" s="78">
        <v>21303</v>
      </c>
      <c r="AE97" s="78">
        <v>21303</v>
      </c>
      <c r="AF97" s="78">
        <v>291</v>
      </c>
      <c r="AG97" s="78">
        <v>0</v>
      </c>
      <c r="AH97" s="78">
        <v>183</v>
      </c>
      <c r="AI97" s="78">
        <v>192</v>
      </c>
      <c r="AJ97" s="78">
        <v>183</v>
      </c>
      <c r="AK97" s="78">
        <v>192</v>
      </c>
      <c r="AL97" s="78">
        <v>375</v>
      </c>
      <c r="AM97" s="78">
        <v>16553</v>
      </c>
      <c r="AN97" s="78">
        <v>16553</v>
      </c>
      <c r="AO97" s="78">
        <v>7</v>
      </c>
      <c r="AP97" s="78">
        <v>0</v>
      </c>
      <c r="AQ97" s="78">
        <v>0</v>
      </c>
      <c r="AR97" s="78">
        <v>0</v>
      </c>
      <c r="AS97" s="78">
        <v>1361</v>
      </c>
      <c r="AT97" s="78">
        <v>1361</v>
      </c>
      <c r="AU97" s="400">
        <v>5.8622500000000001E-4</v>
      </c>
      <c r="AV97" s="400">
        <v>1.8063199999999999E-4</v>
      </c>
      <c r="AW97" s="78">
        <v>9733.1640000000007</v>
      </c>
      <c r="AX97" s="78">
        <v>0</v>
      </c>
      <c r="AY97" s="78">
        <v>2748</v>
      </c>
      <c r="AZ97" s="78">
        <v>4292.2706307307599</v>
      </c>
      <c r="BA97" s="78">
        <v>20</v>
      </c>
      <c r="BB97" s="78">
        <v>20</v>
      </c>
      <c r="BC97" s="78">
        <v>4469</v>
      </c>
      <c r="BD97" s="78">
        <v>1</v>
      </c>
      <c r="BE97" s="78">
        <v>0</v>
      </c>
      <c r="BF97" s="78">
        <v>0</v>
      </c>
      <c r="BG97" s="78">
        <v>0</v>
      </c>
      <c r="BH97" s="78">
        <v>0</v>
      </c>
      <c r="BI97" s="78">
        <v>0</v>
      </c>
      <c r="BJ97" s="78">
        <v>0</v>
      </c>
      <c r="BK97" s="78">
        <v>0</v>
      </c>
      <c r="BL97" s="78">
        <v>0</v>
      </c>
      <c r="BM97" s="78">
        <v>543.33000000000004</v>
      </c>
      <c r="BN97" s="78">
        <v>63</v>
      </c>
      <c r="BO97" s="78">
        <v>45</v>
      </c>
      <c r="BP97" s="78">
        <v>11385.99</v>
      </c>
      <c r="BQ97" s="78">
        <v>2371.77</v>
      </c>
      <c r="BR97" s="78">
        <v>150.50456376842601</v>
      </c>
      <c r="BS97" s="78">
        <v>285</v>
      </c>
      <c r="BT97" s="78">
        <v>121.333333333333</v>
      </c>
      <c r="BU97" s="78">
        <v>96</v>
      </c>
      <c r="BV97" s="78">
        <f t="shared" si="7"/>
        <v>1373</v>
      </c>
      <c r="BW97" s="78">
        <v>415</v>
      </c>
      <c r="BX97" s="78">
        <v>6119.4186305448002</v>
      </c>
      <c r="BY97" s="402">
        <v>0.82599999999999996</v>
      </c>
      <c r="BZ97" s="78">
        <v>24235</v>
      </c>
      <c r="CA97" s="78">
        <v>5066</v>
      </c>
      <c r="CB97" s="78">
        <v>1202</v>
      </c>
      <c r="CC97" s="78">
        <v>896</v>
      </c>
      <c r="CD97" s="78">
        <v>964</v>
      </c>
      <c r="CE97" s="78">
        <v>591</v>
      </c>
      <c r="CF97" s="78">
        <v>423.74488008216002</v>
      </c>
      <c r="CG97" s="78">
        <v>299.90294206488198</v>
      </c>
      <c r="CH97" s="78">
        <v>118.84831148432301</v>
      </c>
      <c r="CI97" s="78">
        <v>1068.0119999999999</v>
      </c>
      <c r="CJ97" s="78">
        <v>755.87919999999997</v>
      </c>
      <c r="CK97" s="78">
        <v>299.54680000000002</v>
      </c>
      <c r="CL97" s="78">
        <v>84565</v>
      </c>
    </row>
    <row r="98" spans="1:90" customFormat="1" x14ac:dyDescent="0.35">
      <c r="A98" s="72">
        <v>263</v>
      </c>
      <c r="B98" s="72" t="s">
        <v>192</v>
      </c>
      <c r="C98" s="72">
        <v>5</v>
      </c>
      <c r="D98" s="78">
        <v>2177600000</v>
      </c>
      <c r="E98" s="78">
        <v>290850000</v>
      </c>
      <c r="F98" s="78">
        <v>366800000</v>
      </c>
      <c r="G98" s="78">
        <v>25030</v>
      </c>
      <c r="H98" s="78">
        <v>5</v>
      </c>
      <c r="I98" s="78">
        <f t="shared" si="5"/>
        <v>366.8</v>
      </c>
      <c r="J98" s="78">
        <v>4796</v>
      </c>
      <c r="K98" s="78">
        <v>4747</v>
      </c>
      <c r="L98" s="78">
        <v>1376</v>
      </c>
      <c r="M98" s="78">
        <v>2799</v>
      </c>
      <c r="N98" s="78">
        <f t="shared" si="6"/>
        <v>1757.3999999999999</v>
      </c>
      <c r="O98" s="78">
        <v>240.333333333333</v>
      </c>
      <c r="P98" s="78">
        <v>21</v>
      </c>
      <c r="Q98" s="78">
        <v>1266.3333333333301</v>
      </c>
      <c r="R98" s="78">
        <v>3206</v>
      </c>
      <c r="S98" s="78">
        <v>500</v>
      </c>
      <c r="T98" s="78">
        <v>0</v>
      </c>
      <c r="U98" s="78">
        <v>642</v>
      </c>
      <c r="V98" s="78">
        <v>10800</v>
      </c>
      <c r="W98" s="78">
        <v>18120</v>
      </c>
      <c r="X98" s="78">
        <v>1680</v>
      </c>
      <c r="Y98" s="78">
        <v>0</v>
      </c>
      <c r="Z98" s="78">
        <v>0</v>
      </c>
      <c r="AA98" s="78">
        <v>0</v>
      </c>
      <c r="AB98" s="399">
        <v>0</v>
      </c>
      <c r="AC98" s="399">
        <v>0</v>
      </c>
      <c r="AD98" s="78">
        <v>6585</v>
      </c>
      <c r="AE98" s="78">
        <v>6980.1</v>
      </c>
      <c r="AF98" s="78">
        <v>961</v>
      </c>
      <c r="AG98" s="78">
        <v>0</v>
      </c>
      <c r="AH98" s="78">
        <v>177</v>
      </c>
      <c r="AI98" s="78">
        <v>101</v>
      </c>
      <c r="AJ98" s="78">
        <v>185.85</v>
      </c>
      <c r="AK98" s="78">
        <v>107.06</v>
      </c>
      <c r="AL98" s="78">
        <v>278</v>
      </c>
      <c r="AM98" s="78">
        <v>10416</v>
      </c>
      <c r="AN98" s="78">
        <v>10936.8</v>
      </c>
      <c r="AO98" s="78">
        <v>0</v>
      </c>
      <c r="AP98" s="78">
        <v>0</v>
      </c>
      <c r="AQ98" s="78">
        <v>0</v>
      </c>
      <c r="AR98" s="78">
        <v>0</v>
      </c>
      <c r="AS98" s="78">
        <v>0</v>
      </c>
      <c r="AT98" s="78">
        <v>0</v>
      </c>
      <c r="AU98" s="400">
        <v>2.398E-4</v>
      </c>
      <c r="AV98" s="400">
        <v>1.0381E-4</v>
      </c>
      <c r="AW98" s="78">
        <v>5072.5919999999996</v>
      </c>
      <c r="AX98" s="78">
        <v>0</v>
      </c>
      <c r="AY98" s="78">
        <v>2291.7199999999998</v>
      </c>
      <c r="AZ98" s="78">
        <v>7784.4427776305301</v>
      </c>
      <c r="BA98" s="78">
        <v>14</v>
      </c>
      <c r="BB98" s="78">
        <v>14.84</v>
      </c>
      <c r="BC98" s="78">
        <v>3698</v>
      </c>
      <c r="BD98" s="78">
        <v>1</v>
      </c>
      <c r="BE98" s="78">
        <v>0</v>
      </c>
      <c r="BF98" s="78">
        <v>0</v>
      </c>
      <c r="BG98" s="78">
        <v>0</v>
      </c>
      <c r="BH98" s="78">
        <v>0</v>
      </c>
      <c r="BI98" s="78">
        <v>0</v>
      </c>
      <c r="BJ98" s="78">
        <v>0</v>
      </c>
      <c r="BK98" s="78">
        <v>0</v>
      </c>
      <c r="BL98" s="78">
        <v>0</v>
      </c>
      <c r="BM98" s="78">
        <v>388.476</v>
      </c>
      <c r="BN98" s="78">
        <v>103</v>
      </c>
      <c r="BO98" s="78">
        <v>66</v>
      </c>
      <c r="BP98" s="78">
        <v>7519.61</v>
      </c>
      <c r="BQ98" s="78">
        <v>1877.4</v>
      </c>
      <c r="BR98" s="78">
        <v>168.681481108312</v>
      </c>
      <c r="BS98" s="78">
        <v>254</v>
      </c>
      <c r="BT98" s="78">
        <v>71.3333333333333</v>
      </c>
      <c r="BU98" s="78">
        <v>61</v>
      </c>
      <c r="BV98" s="78">
        <f t="shared" si="7"/>
        <v>1025.999999999997</v>
      </c>
      <c r="BW98" s="78">
        <v>186</v>
      </c>
      <c r="BX98" s="78">
        <v>3869.9443243024298</v>
      </c>
      <c r="BY98" s="402">
        <v>0.13200000000000001</v>
      </c>
      <c r="BZ98" s="78">
        <v>20283</v>
      </c>
      <c r="CA98" s="78">
        <v>2907</v>
      </c>
      <c r="CB98" s="78">
        <v>464</v>
      </c>
      <c r="CC98" s="78">
        <v>526</v>
      </c>
      <c r="CD98" s="78">
        <v>426</v>
      </c>
      <c r="CE98" s="78">
        <v>225</v>
      </c>
      <c r="CF98" s="78">
        <v>290.36918202765003</v>
      </c>
      <c r="CG98" s="78">
        <v>156.741993087558</v>
      </c>
      <c r="CH98" s="78">
        <v>52.472292626728098</v>
      </c>
      <c r="CI98" s="78">
        <v>720.58270000000005</v>
      </c>
      <c r="CJ98" s="78">
        <v>388.97230000000002</v>
      </c>
      <c r="CK98" s="78">
        <v>130.2157</v>
      </c>
      <c r="CL98" s="78">
        <v>17861</v>
      </c>
    </row>
    <row r="99" spans="1:90" customFormat="1" x14ac:dyDescent="0.35">
      <c r="A99" s="72">
        <v>1955</v>
      </c>
      <c r="B99" s="72" t="s">
        <v>207</v>
      </c>
      <c r="C99" s="72">
        <v>5</v>
      </c>
      <c r="D99" s="78">
        <v>2766000000</v>
      </c>
      <c r="E99" s="78">
        <v>392350000</v>
      </c>
      <c r="F99" s="78">
        <v>421050000</v>
      </c>
      <c r="G99" s="78">
        <v>36011</v>
      </c>
      <c r="H99" s="78">
        <v>5</v>
      </c>
      <c r="I99" s="78">
        <f t="shared" si="5"/>
        <v>421.05</v>
      </c>
      <c r="J99" s="78">
        <v>6141</v>
      </c>
      <c r="K99" s="78">
        <v>8514</v>
      </c>
      <c r="L99" s="78">
        <v>2829</v>
      </c>
      <c r="M99" s="78">
        <v>4945</v>
      </c>
      <c r="N99" s="78">
        <f t="shared" si="6"/>
        <v>3321.3999999999996</v>
      </c>
      <c r="O99" s="78">
        <v>374</v>
      </c>
      <c r="P99" s="78">
        <v>49</v>
      </c>
      <c r="Q99" s="78">
        <v>2670</v>
      </c>
      <c r="R99" s="78">
        <v>4582</v>
      </c>
      <c r="S99" s="78">
        <v>850</v>
      </c>
      <c r="T99" s="78">
        <v>0</v>
      </c>
      <c r="U99" s="78">
        <v>945</v>
      </c>
      <c r="V99" s="78">
        <v>16109</v>
      </c>
      <c r="W99" s="78">
        <v>33320</v>
      </c>
      <c r="X99" s="78">
        <v>16610</v>
      </c>
      <c r="Y99" s="78">
        <v>1228.3800000000001</v>
      </c>
      <c r="Z99" s="78">
        <v>375.2</v>
      </c>
      <c r="AA99" s="78">
        <v>0</v>
      </c>
      <c r="AB99" s="399">
        <v>0</v>
      </c>
      <c r="AC99" s="399">
        <v>0</v>
      </c>
      <c r="AD99" s="78">
        <v>10568</v>
      </c>
      <c r="AE99" s="78">
        <v>10568</v>
      </c>
      <c r="AF99" s="78">
        <v>96</v>
      </c>
      <c r="AG99" s="78">
        <v>0</v>
      </c>
      <c r="AH99" s="78">
        <v>240</v>
      </c>
      <c r="AI99" s="78">
        <v>112</v>
      </c>
      <c r="AJ99" s="78">
        <v>240</v>
      </c>
      <c r="AK99" s="78">
        <v>112</v>
      </c>
      <c r="AL99" s="78">
        <v>351</v>
      </c>
      <c r="AM99" s="78">
        <v>16236</v>
      </c>
      <c r="AN99" s="78">
        <v>16236</v>
      </c>
      <c r="AO99" s="78">
        <v>6</v>
      </c>
      <c r="AP99" s="78">
        <v>0</v>
      </c>
      <c r="AQ99" s="78">
        <v>0</v>
      </c>
      <c r="AR99" s="78">
        <v>0</v>
      </c>
      <c r="AS99" s="78">
        <v>620</v>
      </c>
      <c r="AT99" s="78">
        <v>620</v>
      </c>
      <c r="AU99" s="400">
        <v>4.4074799999999998E-4</v>
      </c>
      <c r="AV99" s="400">
        <v>2.3673499999999999E-4</v>
      </c>
      <c r="AW99" s="78">
        <v>12453.012000000001</v>
      </c>
      <c r="AX99" s="78">
        <v>0</v>
      </c>
      <c r="AY99" s="78">
        <v>570</v>
      </c>
      <c r="AZ99" s="78">
        <v>1924.81901725431</v>
      </c>
      <c r="BA99" s="78">
        <v>10</v>
      </c>
      <c r="BB99" s="78">
        <v>10</v>
      </c>
      <c r="BC99" s="78">
        <v>3609</v>
      </c>
      <c r="BD99" s="78">
        <v>1</v>
      </c>
      <c r="BE99" s="78">
        <v>0</v>
      </c>
      <c r="BF99" s="78">
        <v>0</v>
      </c>
      <c r="BG99" s="78">
        <v>0</v>
      </c>
      <c r="BH99" s="78">
        <v>0</v>
      </c>
      <c r="BI99" s="78">
        <v>0</v>
      </c>
      <c r="BJ99" s="78">
        <v>0</v>
      </c>
      <c r="BK99" s="78">
        <v>0</v>
      </c>
      <c r="BL99" s="78">
        <v>0</v>
      </c>
      <c r="BM99" s="78">
        <v>712.35599999999999</v>
      </c>
      <c r="BN99" s="78">
        <v>136</v>
      </c>
      <c r="BO99" s="78">
        <v>70</v>
      </c>
      <c r="BP99" s="78">
        <v>9719.74</v>
      </c>
      <c r="BQ99" s="78">
        <v>2172.21</v>
      </c>
      <c r="BR99" s="78">
        <v>188.90768870323299</v>
      </c>
      <c r="BS99" s="78">
        <v>355</v>
      </c>
      <c r="BT99" s="78">
        <v>103.666666666667</v>
      </c>
      <c r="BU99" s="78">
        <v>80.3333333333333</v>
      </c>
      <c r="BV99" s="78">
        <f t="shared" si="7"/>
        <v>2296</v>
      </c>
      <c r="BW99" s="78">
        <v>583</v>
      </c>
      <c r="BX99" s="78">
        <v>7232.8672258924098</v>
      </c>
      <c r="BY99" s="402">
        <v>0.48499999999999999</v>
      </c>
      <c r="BZ99" s="78">
        <v>27497</v>
      </c>
      <c r="CA99" s="78">
        <v>4768</v>
      </c>
      <c r="CB99" s="78">
        <v>917</v>
      </c>
      <c r="CC99" s="78">
        <v>866</v>
      </c>
      <c r="CD99" s="78">
        <v>897</v>
      </c>
      <c r="CE99" s="78">
        <v>439</v>
      </c>
      <c r="CF99" s="78">
        <v>587.72987188962804</v>
      </c>
      <c r="CG99" s="78">
        <v>390.728874106923</v>
      </c>
      <c r="CH99" s="78">
        <v>123.764905149051</v>
      </c>
      <c r="CI99" s="78">
        <v>1458.0474999999999</v>
      </c>
      <c r="CJ99" s="78">
        <v>969.32500000000005</v>
      </c>
      <c r="CK99" s="78">
        <v>307.03750000000002</v>
      </c>
      <c r="CL99" s="78">
        <v>0</v>
      </c>
    </row>
    <row r="100" spans="1:90" customFormat="1" x14ac:dyDescent="0.35">
      <c r="A100" s="72">
        <v>1740</v>
      </c>
      <c r="B100" s="72" t="s">
        <v>210</v>
      </c>
      <c r="C100" s="72">
        <v>5</v>
      </c>
      <c r="D100" s="78">
        <v>1833200000</v>
      </c>
      <c r="E100" s="78">
        <v>281050000</v>
      </c>
      <c r="F100" s="78">
        <v>298900000</v>
      </c>
      <c r="G100" s="78">
        <v>24339</v>
      </c>
      <c r="H100" s="78">
        <v>4</v>
      </c>
      <c r="I100" s="78">
        <f t="shared" si="5"/>
        <v>298.89999999999998</v>
      </c>
      <c r="J100" s="78">
        <v>6044</v>
      </c>
      <c r="K100" s="78">
        <v>4186</v>
      </c>
      <c r="L100" s="78">
        <v>1216</v>
      </c>
      <c r="M100" s="78">
        <v>2443</v>
      </c>
      <c r="N100" s="78">
        <f t="shared" si="6"/>
        <v>1534.4</v>
      </c>
      <c r="O100" s="78">
        <v>256.66666666666703</v>
      </c>
      <c r="P100" s="78">
        <v>24</v>
      </c>
      <c r="Q100" s="78">
        <v>1125.6666666666699</v>
      </c>
      <c r="R100" s="78">
        <v>2490</v>
      </c>
      <c r="S100" s="78">
        <v>395</v>
      </c>
      <c r="T100" s="78">
        <v>0</v>
      </c>
      <c r="U100" s="78">
        <v>529</v>
      </c>
      <c r="V100" s="78">
        <v>9407</v>
      </c>
      <c r="W100" s="78">
        <v>18820</v>
      </c>
      <c r="X100" s="78">
        <v>2500</v>
      </c>
      <c r="Y100" s="78">
        <v>211.82</v>
      </c>
      <c r="Z100" s="78">
        <v>1156</v>
      </c>
      <c r="AA100" s="78">
        <v>0</v>
      </c>
      <c r="AB100" s="399">
        <v>0</v>
      </c>
      <c r="AC100" s="399">
        <v>0</v>
      </c>
      <c r="AD100" s="78">
        <v>5992</v>
      </c>
      <c r="AE100" s="78">
        <v>6291.6</v>
      </c>
      <c r="AF100" s="78">
        <v>754</v>
      </c>
      <c r="AG100" s="78">
        <v>0</v>
      </c>
      <c r="AH100" s="78">
        <v>136</v>
      </c>
      <c r="AI100" s="78">
        <v>81</v>
      </c>
      <c r="AJ100" s="78">
        <v>142.80000000000001</v>
      </c>
      <c r="AK100" s="78">
        <v>85.05</v>
      </c>
      <c r="AL100" s="78">
        <v>217</v>
      </c>
      <c r="AM100" s="78">
        <v>9086</v>
      </c>
      <c r="AN100" s="78">
        <v>9540.2999999999993</v>
      </c>
      <c r="AO100" s="78">
        <v>0</v>
      </c>
      <c r="AP100" s="78">
        <v>0</v>
      </c>
      <c r="AQ100" s="78">
        <v>0</v>
      </c>
      <c r="AR100" s="78">
        <v>0</v>
      </c>
      <c r="AS100" s="78">
        <v>0</v>
      </c>
      <c r="AT100" s="78">
        <v>0</v>
      </c>
      <c r="AU100" s="400">
        <v>1.63664E-4</v>
      </c>
      <c r="AV100" s="400">
        <v>8.3809999999999999E-5</v>
      </c>
      <c r="AW100" s="78">
        <v>4006.9259999999999</v>
      </c>
      <c r="AX100" s="78">
        <v>0</v>
      </c>
      <c r="AY100" s="78">
        <v>1983.45</v>
      </c>
      <c r="AZ100" s="78">
        <v>7292.4998147050101</v>
      </c>
      <c r="BA100" s="78">
        <v>11</v>
      </c>
      <c r="BB100" s="78">
        <v>11.55</v>
      </c>
      <c r="BC100" s="78">
        <v>2891</v>
      </c>
      <c r="BD100" s="78">
        <v>1</v>
      </c>
      <c r="BE100" s="78">
        <v>0</v>
      </c>
      <c r="BF100" s="78">
        <v>0</v>
      </c>
      <c r="BG100" s="78">
        <v>0</v>
      </c>
      <c r="BH100" s="78">
        <v>0</v>
      </c>
      <c r="BI100" s="78">
        <v>0</v>
      </c>
      <c r="BJ100" s="78">
        <v>0</v>
      </c>
      <c r="BK100" s="78">
        <v>0</v>
      </c>
      <c r="BL100" s="78">
        <v>0</v>
      </c>
      <c r="BM100" s="78">
        <v>429.12400000000002</v>
      </c>
      <c r="BN100" s="78">
        <v>248</v>
      </c>
      <c r="BO100" s="78">
        <v>69</v>
      </c>
      <c r="BP100" s="78">
        <v>5853.44</v>
      </c>
      <c r="BQ100" s="78">
        <v>1740.34</v>
      </c>
      <c r="BR100" s="78">
        <v>328.530175152749</v>
      </c>
      <c r="BS100" s="78">
        <v>210</v>
      </c>
      <c r="BT100" s="78">
        <v>92.3333333333333</v>
      </c>
      <c r="BU100" s="78">
        <v>64</v>
      </c>
      <c r="BV100" s="78">
        <f t="shared" si="7"/>
        <v>869.00000000000296</v>
      </c>
      <c r="BW100" s="78">
        <v>240</v>
      </c>
      <c r="BX100" s="78">
        <v>3732.69563451777</v>
      </c>
      <c r="BY100" s="402">
        <v>0.372</v>
      </c>
      <c r="BZ100" s="78">
        <v>20153</v>
      </c>
      <c r="CA100" s="78">
        <v>2536</v>
      </c>
      <c r="CB100" s="78">
        <v>434</v>
      </c>
      <c r="CC100" s="78">
        <v>428</v>
      </c>
      <c r="CD100" s="78">
        <v>391</v>
      </c>
      <c r="CE100" s="78">
        <v>209</v>
      </c>
      <c r="CF100" s="78">
        <v>252.80616332819699</v>
      </c>
      <c r="CG100" s="78">
        <v>137.29553158705701</v>
      </c>
      <c r="CH100" s="78">
        <v>47.622804314329699</v>
      </c>
      <c r="CI100" s="78">
        <v>721.10490000000004</v>
      </c>
      <c r="CJ100" s="78">
        <v>391.62209999999999</v>
      </c>
      <c r="CK100" s="78">
        <v>135.83940000000001</v>
      </c>
      <c r="CL100" s="78">
        <v>23360</v>
      </c>
    </row>
    <row r="101" spans="1:90" customFormat="1" x14ac:dyDescent="0.35">
      <c r="A101" s="72">
        <v>267</v>
      </c>
      <c r="B101" s="72" t="s">
        <v>214</v>
      </c>
      <c r="C101" s="72">
        <v>5</v>
      </c>
      <c r="D101" s="78">
        <v>4558400000</v>
      </c>
      <c r="E101" s="78">
        <v>773850000</v>
      </c>
      <c r="F101" s="78">
        <v>797300000</v>
      </c>
      <c r="G101" s="78">
        <v>43171</v>
      </c>
      <c r="H101" s="78">
        <v>3</v>
      </c>
      <c r="I101" s="78">
        <f t="shared" si="5"/>
        <v>797.3</v>
      </c>
      <c r="J101" s="78">
        <v>9654</v>
      </c>
      <c r="K101" s="78">
        <v>8166</v>
      </c>
      <c r="L101" s="78">
        <v>2665</v>
      </c>
      <c r="M101" s="78">
        <v>4475</v>
      </c>
      <c r="N101" s="78">
        <f t="shared" si="6"/>
        <v>2711.8</v>
      </c>
      <c r="O101" s="78">
        <v>448.66666666666703</v>
      </c>
      <c r="P101" s="78">
        <v>34</v>
      </c>
      <c r="Q101" s="78">
        <v>2148.6666666666702</v>
      </c>
      <c r="R101" s="78">
        <v>4976</v>
      </c>
      <c r="S101" s="78">
        <v>1935</v>
      </c>
      <c r="T101" s="78">
        <v>0</v>
      </c>
      <c r="U101" s="78">
        <v>960</v>
      </c>
      <c r="V101" s="78">
        <v>17793</v>
      </c>
      <c r="W101" s="78">
        <v>38390</v>
      </c>
      <c r="X101" s="78">
        <v>16550</v>
      </c>
      <c r="Y101" s="78">
        <v>701.28</v>
      </c>
      <c r="Z101" s="78">
        <v>2140</v>
      </c>
      <c r="AA101" s="78">
        <v>0</v>
      </c>
      <c r="AB101" s="399">
        <v>0</v>
      </c>
      <c r="AC101" s="399">
        <v>202.19999999999982</v>
      </c>
      <c r="AD101" s="78">
        <v>6934</v>
      </c>
      <c r="AE101" s="78">
        <v>6934</v>
      </c>
      <c r="AF101" s="78">
        <v>270</v>
      </c>
      <c r="AG101" s="78">
        <v>0</v>
      </c>
      <c r="AH101" s="78">
        <v>259</v>
      </c>
      <c r="AI101" s="78">
        <v>74</v>
      </c>
      <c r="AJ101" s="78">
        <v>259</v>
      </c>
      <c r="AK101" s="78">
        <v>74</v>
      </c>
      <c r="AL101" s="78">
        <v>333</v>
      </c>
      <c r="AM101" s="78">
        <v>17632</v>
      </c>
      <c r="AN101" s="78">
        <v>17632</v>
      </c>
      <c r="AO101" s="78">
        <v>14</v>
      </c>
      <c r="AP101" s="78">
        <v>0</v>
      </c>
      <c r="AQ101" s="78">
        <v>0</v>
      </c>
      <c r="AR101" s="78">
        <v>0</v>
      </c>
      <c r="AS101" s="78">
        <v>1146</v>
      </c>
      <c r="AT101" s="78">
        <v>1146</v>
      </c>
      <c r="AU101" s="400">
        <v>3.65294E-4</v>
      </c>
      <c r="AV101" s="400">
        <v>2.9211599999999998E-4</v>
      </c>
      <c r="AW101" s="78">
        <v>19694.944</v>
      </c>
      <c r="AX101" s="78">
        <v>0</v>
      </c>
      <c r="AY101" s="78">
        <v>1420</v>
      </c>
      <c r="AZ101" s="78">
        <v>8509.5530260966098</v>
      </c>
      <c r="BA101" s="78">
        <v>10</v>
      </c>
      <c r="BB101" s="78">
        <v>10</v>
      </c>
      <c r="BC101" s="78">
        <v>5397</v>
      </c>
      <c r="BD101" s="78">
        <v>1</v>
      </c>
      <c r="BE101" s="78">
        <v>0</v>
      </c>
      <c r="BF101" s="78">
        <v>0</v>
      </c>
      <c r="BG101" s="78">
        <v>0</v>
      </c>
      <c r="BH101" s="78">
        <v>0</v>
      </c>
      <c r="BI101" s="78">
        <v>0</v>
      </c>
      <c r="BJ101" s="78">
        <v>0</v>
      </c>
      <c r="BK101" s="78">
        <v>0</v>
      </c>
      <c r="BL101" s="78">
        <v>0</v>
      </c>
      <c r="BM101" s="78">
        <v>656.47199999999998</v>
      </c>
      <c r="BN101" s="78">
        <v>166</v>
      </c>
      <c r="BO101" s="78">
        <v>112</v>
      </c>
      <c r="BP101" s="78">
        <v>12388.08</v>
      </c>
      <c r="BQ101" s="78">
        <v>3345.54</v>
      </c>
      <c r="BR101" s="78">
        <v>388.86069858914101</v>
      </c>
      <c r="BS101" s="78">
        <v>385</v>
      </c>
      <c r="BT101" s="78">
        <v>130.333333333333</v>
      </c>
      <c r="BU101" s="78">
        <v>97.6666666666667</v>
      </c>
      <c r="BV101" s="78">
        <f t="shared" si="7"/>
        <v>1700.0000000000032</v>
      </c>
      <c r="BW101" s="78">
        <v>467</v>
      </c>
      <c r="BX101" s="78">
        <v>6001.5360510444098</v>
      </c>
      <c r="BY101" s="402">
        <v>0.41899999999999998</v>
      </c>
      <c r="BZ101" s="78">
        <v>35005</v>
      </c>
      <c r="CA101" s="78">
        <v>4639</v>
      </c>
      <c r="CB101" s="78">
        <v>862</v>
      </c>
      <c r="CC101" s="78">
        <v>838</v>
      </c>
      <c r="CD101" s="78">
        <v>865</v>
      </c>
      <c r="CE101" s="78">
        <v>419</v>
      </c>
      <c r="CF101" s="78">
        <v>426.94854809437402</v>
      </c>
      <c r="CG101" s="78">
        <v>276.224637023593</v>
      </c>
      <c r="CH101" s="78">
        <v>91.6647459165154</v>
      </c>
      <c r="CI101" s="78">
        <v>1152.04</v>
      </c>
      <c r="CJ101" s="78">
        <v>745.34</v>
      </c>
      <c r="CK101" s="78">
        <v>247.34</v>
      </c>
      <c r="CL101" s="78">
        <v>44254</v>
      </c>
    </row>
    <row r="102" spans="1:90" customFormat="1" x14ac:dyDescent="0.35">
      <c r="A102" s="72">
        <v>268</v>
      </c>
      <c r="B102" s="72" t="s">
        <v>215</v>
      </c>
      <c r="C102" s="72">
        <v>5</v>
      </c>
      <c r="D102" s="78">
        <v>16357600000</v>
      </c>
      <c r="E102" s="78">
        <v>2946650000</v>
      </c>
      <c r="F102" s="78">
        <v>2963100000</v>
      </c>
      <c r="G102" s="78">
        <v>177659</v>
      </c>
      <c r="H102" s="78">
        <v>2</v>
      </c>
      <c r="I102" s="78">
        <f t="shared" si="5"/>
        <v>2963.1</v>
      </c>
      <c r="J102" s="78">
        <v>29228</v>
      </c>
      <c r="K102" s="78">
        <v>28575</v>
      </c>
      <c r="L102" s="78">
        <v>8558</v>
      </c>
      <c r="M102" s="78">
        <v>30021</v>
      </c>
      <c r="N102" s="78">
        <f t="shared" si="6"/>
        <v>21414.6</v>
      </c>
      <c r="O102" s="78">
        <v>7175</v>
      </c>
      <c r="P102" s="78">
        <v>162</v>
      </c>
      <c r="Q102" s="78">
        <v>16559</v>
      </c>
      <c r="R102" s="78">
        <v>52250</v>
      </c>
      <c r="S102" s="78">
        <v>15025</v>
      </c>
      <c r="T102" s="78">
        <v>0</v>
      </c>
      <c r="U102" s="78">
        <v>6235</v>
      </c>
      <c r="V102" s="78">
        <v>99342</v>
      </c>
      <c r="W102" s="78">
        <v>208210</v>
      </c>
      <c r="X102" s="78">
        <v>356860</v>
      </c>
      <c r="Y102" s="78">
        <v>5413</v>
      </c>
      <c r="Z102" s="78">
        <v>11194.4</v>
      </c>
      <c r="AA102" s="78">
        <v>0</v>
      </c>
      <c r="AB102" s="399">
        <v>0</v>
      </c>
      <c r="AC102" s="399">
        <v>0</v>
      </c>
      <c r="AD102" s="78">
        <v>5259</v>
      </c>
      <c r="AE102" s="78">
        <v>5259</v>
      </c>
      <c r="AF102" s="78">
        <v>503</v>
      </c>
      <c r="AG102" s="78">
        <v>0</v>
      </c>
      <c r="AH102" s="78">
        <v>714</v>
      </c>
      <c r="AI102" s="78">
        <v>43</v>
      </c>
      <c r="AJ102" s="78">
        <v>714</v>
      </c>
      <c r="AK102" s="78">
        <v>43</v>
      </c>
      <c r="AL102" s="78">
        <v>757</v>
      </c>
      <c r="AM102" s="78">
        <v>86064</v>
      </c>
      <c r="AN102" s="78">
        <v>86064</v>
      </c>
      <c r="AO102" s="78">
        <v>20</v>
      </c>
      <c r="AP102" s="78">
        <v>0</v>
      </c>
      <c r="AQ102" s="78">
        <v>0</v>
      </c>
      <c r="AR102" s="78">
        <v>0</v>
      </c>
      <c r="AS102" s="78">
        <v>16196</v>
      </c>
      <c r="AT102" s="78">
        <v>14335</v>
      </c>
      <c r="AU102" s="400">
        <v>1.1320648000000001E-2</v>
      </c>
      <c r="AV102" s="400">
        <v>1.4075005999999999E-2</v>
      </c>
      <c r="AW102" s="78">
        <v>206639.66399999999</v>
      </c>
      <c r="AX102" s="78">
        <v>0</v>
      </c>
      <c r="AY102" s="78">
        <v>1718</v>
      </c>
      <c r="AZ102" s="78">
        <v>52970.871572370699</v>
      </c>
      <c r="BA102" s="78">
        <v>4</v>
      </c>
      <c r="BB102" s="78">
        <v>4</v>
      </c>
      <c r="BC102" s="78">
        <v>19591</v>
      </c>
      <c r="BD102" s="78">
        <v>1</v>
      </c>
      <c r="BE102" s="78">
        <v>0</v>
      </c>
      <c r="BF102" s="78">
        <v>0</v>
      </c>
      <c r="BG102" s="78">
        <v>0</v>
      </c>
      <c r="BH102" s="78">
        <v>0</v>
      </c>
      <c r="BI102" s="78">
        <v>0</v>
      </c>
      <c r="BJ102" s="78">
        <v>0</v>
      </c>
      <c r="BK102" s="78">
        <v>0</v>
      </c>
      <c r="BL102" s="78">
        <v>0</v>
      </c>
      <c r="BM102" s="78">
        <v>4997.9880000000003</v>
      </c>
      <c r="BN102" s="78">
        <v>509</v>
      </c>
      <c r="BO102" s="78">
        <v>484</v>
      </c>
      <c r="BP102" s="78">
        <v>47355.56</v>
      </c>
      <c r="BQ102" s="78">
        <v>9984.6</v>
      </c>
      <c r="BR102" s="78">
        <v>1555.57911111111</v>
      </c>
      <c r="BS102" s="78">
        <v>2258</v>
      </c>
      <c r="BT102" s="78">
        <v>1669.3333333333301</v>
      </c>
      <c r="BU102" s="78">
        <v>1601.6666666666699</v>
      </c>
      <c r="BV102" s="78">
        <f t="shared" si="7"/>
        <v>9384</v>
      </c>
      <c r="BW102" s="78">
        <v>3425</v>
      </c>
      <c r="BX102" s="78">
        <v>22036.3868450923</v>
      </c>
      <c r="BY102" s="402">
        <v>20.817</v>
      </c>
      <c r="BZ102" s="78">
        <v>149084</v>
      </c>
      <c r="CA102" s="78">
        <v>16924</v>
      </c>
      <c r="CB102" s="78">
        <v>3093</v>
      </c>
      <c r="CC102" s="78">
        <v>5552</v>
      </c>
      <c r="CD102" s="78">
        <v>3600</v>
      </c>
      <c r="CE102" s="78">
        <v>1663</v>
      </c>
      <c r="CF102" s="78">
        <v>2811.43759760178</v>
      </c>
      <c r="CG102" s="78">
        <v>1527.2682515337401</v>
      </c>
      <c r="CH102" s="78">
        <v>539.44567763524799</v>
      </c>
      <c r="CI102" s="78">
        <v>5833.6737000000003</v>
      </c>
      <c r="CJ102" s="78">
        <v>3169.0493999999999</v>
      </c>
      <c r="CK102" s="78">
        <v>1119.3384000000001</v>
      </c>
      <c r="CL102" s="78">
        <v>148521</v>
      </c>
    </row>
    <row r="103" spans="1:90" customFormat="1" x14ac:dyDescent="0.35">
      <c r="A103" s="72">
        <v>302</v>
      </c>
      <c r="B103" s="72" t="s">
        <v>223</v>
      </c>
      <c r="C103" s="72">
        <v>5</v>
      </c>
      <c r="D103" s="78">
        <v>2756000000</v>
      </c>
      <c r="E103" s="78">
        <v>333900000</v>
      </c>
      <c r="F103" s="78">
        <v>362950000</v>
      </c>
      <c r="G103" s="78">
        <v>27851</v>
      </c>
      <c r="H103" s="78">
        <v>2</v>
      </c>
      <c r="I103" s="78">
        <f t="shared" si="5"/>
        <v>362.95</v>
      </c>
      <c r="J103" s="78">
        <v>6199</v>
      </c>
      <c r="K103" s="78">
        <v>5707</v>
      </c>
      <c r="L103" s="78">
        <v>1851</v>
      </c>
      <c r="M103" s="78">
        <v>3062</v>
      </c>
      <c r="N103" s="78">
        <f t="shared" si="6"/>
        <v>1817.6</v>
      </c>
      <c r="O103" s="78">
        <v>263.33333333333297</v>
      </c>
      <c r="P103" s="78">
        <v>43</v>
      </c>
      <c r="Q103" s="78">
        <v>1579.3333333333301</v>
      </c>
      <c r="R103" s="78">
        <v>3127</v>
      </c>
      <c r="S103" s="78">
        <v>425</v>
      </c>
      <c r="T103" s="78">
        <v>0</v>
      </c>
      <c r="U103" s="78">
        <v>588</v>
      </c>
      <c r="V103" s="78">
        <v>11545</v>
      </c>
      <c r="W103" s="78">
        <v>27100</v>
      </c>
      <c r="X103" s="78">
        <v>16650</v>
      </c>
      <c r="Y103" s="78">
        <v>1126.2</v>
      </c>
      <c r="Z103" s="78">
        <v>371.2</v>
      </c>
      <c r="AA103" s="78">
        <v>0</v>
      </c>
      <c r="AB103" s="399">
        <v>0</v>
      </c>
      <c r="AC103" s="399">
        <v>47.099999999999966</v>
      </c>
      <c r="AD103" s="78">
        <v>12873</v>
      </c>
      <c r="AE103" s="78">
        <v>12873</v>
      </c>
      <c r="AF103" s="78">
        <v>80</v>
      </c>
      <c r="AG103" s="78">
        <v>0</v>
      </c>
      <c r="AH103" s="78">
        <v>162</v>
      </c>
      <c r="AI103" s="78">
        <v>48</v>
      </c>
      <c r="AJ103" s="78">
        <v>162</v>
      </c>
      <c r="AK103" s="78">
        <v>48</v>
      </c>
      <c r="AL103" s="78">
        <v>209</v>
      </c>
      <c r="AM103" s="78">
        <v>12444</v>
      </c>
      <c r="AN103" s="78">
        <v>12444</v>
      </c>
      <c r="AO103" s="78">
        <v>0</v>
      </c>
      <c r="AP103" s="78">
        <v>0</v>
      </c>
      <c r="AQ103" s="78">
        <v>0</v>
      </c>
      <c r="AR103" s="78">
        <v>0</v>
      </c>
      <c r="AS103" s="78">
        <v>579</v>
      </c>
      <c r="AT103" s="78">
        <v>0</v>
      </c>
      <c r="AU103" s="400">
        <v>2.19574E-4</v>
      </c>
      <c r="AV103" s="400">
        <v>1.6286499999999999E-4</v>
      </c>
      <c r="AW103" s="78">
        <v>9830.76</v>
      </c>
      <c r="AX103" s="78">
        <v>0</v>
      </c>
      <c r="AY103" s="78">
        <v>386</v>
      </c>
      <c r="AZ103" s="78">
        <v>829.96109009495899</v>
      </c>
      <c r="BA103" s="78">
        <v>13</v>
      </c>
      <c r="BB103" s="78">
        <v>13</v>
      </c>
      <c r="BC103" s="78">
        <v>3180</v>
      </c>
      <c r="BD103" s="78">
        <v>1</v>
      </c>
      <c r="BE103" s="78">
        <v>0</v>
      </c>
      <c r="BF103" s="78">
        <v>0</v>
      </c>
      <c r="BG103" s="78">
        <v>0</v>
      </c>
      <c r="BH103" s="78">
        <v>0</v>
      </c>
      <c r="BI103" s="78">
        <v>0</v>
      </c>
      <c r="BJ103" s="78">
        <v>0</v>
      </c>
      <c r="BK103" s="78">
        <v>0</v>
      </c>
      <c r="BL103" s="78">
        <v>0</v>
      </c>
      <c r="BM103" s="78">
        <v>409.13400000000001</v>
      </c>
      <c r="BN103" s="78">
        <v>196</v>
      </c>
      <c r="BO103" s="78">
        <v>45</v>
      </c>
      <c r="BP103" s="78">
        <v>7216.44</v>
      </c>
      <c r="BQ103" s="78">
        <v>1847.6</v>
      </c>
      <c r="BR103" s="78">
        <v>317.87182769876398</v>
      </c>
      <c r="BS103" s="78">
        <v>215</v>
      </c>
      <c r="BT103" s="78">
        <v>78.6666666666667</v>
      </c>
      <c r="BU103" s="78">
        <v>62.6666666666667</v>
      </c>
      <c r="BV103" s="78">
        <f t="shared" si="7"/>
        <v>1315.999999999997</v>
      </c>
      <c r="BW103" s="78">
        <v>472</v>
      </c>
      <c r="BX103" s="78">
        <v>4758.4965350605898</v>
      </c>
      <c r="BY103" s="402">
        <v>0.31900000000000001</v>
      </c>
      <c r="BZ103" s="78">
        <v>22144</v>
      </c>
      <c r="CA103" s="78">
        <v>3127</v>
      </c>
      <c r="CB103" s="78">
        <v>729</v>
      </c>
      <c r="CC103" s="78">
        <v>578</v>
      </c>
      <c r="CD103" s="78">
        <v>563</v>
      </c>
      <c r="CE103" s="78">
        <v>343</v>
      </c>
      <c r="CF103" s="78">
        <v>271.82205078752798</v>
      </c>
      <c r="CG103" s="78">
        <v>177.90395371263301</v>
      </c>
      <c r="CH103" s="78">
        <v>70.109932497589199</v>
      </c>
      <c r="CI103" s="78">
        <v>850.66309999999999</v>
      </c>
      <c r="CJ103" s="78">
        <v>556.74779999999998</v>
      </c>
      <c r="CK103" s="78">
        <v>219.40799999999999</v>
      </c>
      <c r="CL103" s="78">
        <v>63145</v>
      </c>
    </row>
    <row r="104" spans="1:90" customFormat="1" x14ac:dyDescent="0.35">
      <c r="A104" s="72">
        <v>269</v>
      </c>
      <c r="B104" s="72" t="s">
        <v>228</v>
      </c>
      <c r="C104" s="72">
        <v>5</v>
      </c>
      <c r="D104" s="78">
        <v>2117600000</v>
      </c>
      <c r="E104" s="78">
        <v>280000000</v>
      </c>
      <c r="F104" s="78">
        <v>305900000</v>
      </c>
      <c r="G104" s="78">
        <v>23646</v>
      </c>
      <c r="H104" s="78">
        <v>3</v>
      </c>
      <c r="I104" s="78">
        <f t="shared" si="5"/>
        <v>305.89999999999998</v>
      </c>
      <c r="J104" s="78">
        <v>5269</v>
      </c>
      <c r="K104" s="78">
        <v>4500</v>
      </c>
      <c r="L104" s="78">
        <v>1399</v>
      </c>
      <c r="M104" s="78">
        <v>2394</v>
      </c>
      <c r="N104" s="78">
        <f t="shared" si="6"/>
        <v>1411.8</v>
      </c>
      <c r="O104" s="78">
        <v>299.33333333333297</v>
      </c>
      <c r="P104" s="78">
        <v>39</v>
      </c>
      <c r="Q104" s="78">
        <v>1257.3333333333301</v>
      </c>
      <c r="R104" s="78">
        <v>2265</v>
      </c>
      <c r="S104" s="78">
        <v>255</v>
      </c>
      <c r="T104" s="78">
        <v>0</v>
      </c>
      <c r="U104" s="78">
        <v>432</v>
      </c>
      <c r="V104" s="78">
        <v>9420</v>
      </c>
      <c r="W104" s="78">
        <v>20720</v>
      </c>
      <c r="X104" s="78">
        <v>7900</v>
      </c>
      <c r="Y104" s="78">
        <v>0</v>
      </c>
      <c r="Z104" s="78">
        <v>227.2</v>
      </c>
      <c r="AA104" s="78">
        <v>0</v>
      </c>
      <c r="AB104" s="399">
        <v>0</v>
      </c>
      <c r="AC104" s="399">
        <v>0</v>
      </c>
      <c r="AD104" s="78">
        <v>9770</v>
      </c>
      <c r="AE104" s="78">
        <v>9770</v>
      </c>
      <c r="AF104" s="78">
        <v>114</v>
      </c>
      <c r="AG104" s="78">
        <v>0</v>
      </c>
      <c r="AH104" s="78">
        <v>133</v>
      </c>
      <c r="AI104" s="78">
        <v>65</v>
      </c>
      <c r="AJ104" s="78">
        <v>133</v>
      </c>
      <c r="AK104" s="78">
        <v>65</v>
      </c>
      <c r="AL104" s="78">
        <v>198</v>
      </c>
      <c r="AM104" s="78">
        <v>9822</v>
      </c>
      <c r="AN104" s="78">
        <v>9822</v>
      </c>
      <c r="AO104" s="78">
        <v>0</v>
      </c>
      <c r="AP104" s="78">
        <v>0</v>
      </c>
      <c r="AQ104" s="78">
        <v>0</v>
      </c>
      <c r="AR104" s="78">
        <v>0</v>
      </c>
      <c r="AS104" s="78">
        <v>0</v>
      </c>
      <c r="AT104" s="78">
        <v>0</v>
      </c>
      <c r="AU104" s="400">
        <v>1.9782299999999999E-4</v>
      </c>
      <c r="AV104" s="400">
        <v>9.9681999999999999E-5</v>
      </c>
      <c r="AW104" s="78">
        <v>6295.902</v>
      </c>
      <c r="AX104" s="78">
        <v>0</v>
      </c>
      <c r="AY104" s="78">
        <v>939</v>
      </c>
      <c r="AZ104" s="78">
        <v>2246.4178470255001</v>
      </c>
      <c r="BA104" s="78">
        <v>9</v>
      </c>
      <c r="BB104" s="78">
        <v>9</v>
      </c>
      <c r="BC104" s="78">
        <v>2508</v>
      </c>
      <c r="BD104" s="78">
        <v>1</v>
      </c>
      <c r="BE104" s="78">
        <v>0</v>
      </c>
      <c r="BF104" s="78">
        <v>0</v>
      </c>
      <c r="BG104" s="78">
        <v>0</v>
      </c>
      <c r="BH104" s="78">
        <v>0</v>
      </c>
      <c r="BI104" s="78">
        <v>0</v>
      </c>
      <c r="BJ104" s="78">
        <v>0</v>
      </c>
      <c r="BK104" s="78">
        <v>0</v>
      </c>
      <c r="BL104" s="78">
        <v>0</v>
      </c>
      <c r="BM104" s="78">
        <v>331.947</v>
      </c>
      <c r="BN104" s="78">
        <v>166</v>
      </c>
      <c r="BO104" s="78">
        <v>38</v>
      </c>
      <c r="BP104" s="78">
        <v>5677.34</v>
      </c>
      <c r="BQ104" s="78">
        <v>1626.26</v>
      </c>
      <c r="BR104" s="78">
        <v>286.829726181154</v>
      </c>
      <c r="BS104" s="78">
        <v>172</v>
      </c>
      <c r="BT104" s="78">
        <v>86.3333333333333</v>
      </c>
      <c r="BU104" s="78">
        <v>66.3333333333333</v>
      </c>
      <c r="BV104" s="78">
        <f t="shared" si="7"/>
        <v>957.99999999999704</v>
      </c>
      <c r="BW104" s="78">
        <v>272</v>
      </c>
      <c r="BX104" s="78">
        <v>3743.83977625222</v>
      </c>
      <c r="BY104" s="402">
        <v>0.46200000000000002</v>
      </c>
      <c r="BZ104" s="78">
        <v>19146</v>
      </c>
      <c r="CA104" s="78">
        <v>2594</v>
      </c>
      <c r="CB104" s="78">
        <v>507</v>
      </c>
      <c r="CC104" s="78">
        <v>398</v>
      </c>
      <c r="CD104" s="78">
        <v>437</v>
      </c>
      <c r="CE104" s="78">
        <v>230</v>
      </c>
      <c r="CF104" s="78">
        <v>216.03903481979199</v>
      </c>
      <c r="CG104" s="78">
        <v>135.83292608430099</v>
      </c>
      <c r="CH104" s="78">
        <v>50.739706780696402</v>
      </c>
      <c r="CI104" s="78">
        <v>756.15930000000003</v>
      </c>
      <c r="CJ104" s="78">
        <v>475.42950000000002</v>
      </c>
      <c r="CK104" s="78">
        <v>177.5943</v>
      </c>
      <c r="CL104" s="78">
        <v>10584</v>
      </c>
    </row>
    <row r="105" spans="1:90" customFormat="1" x14ac:dyDescent="0.35">
      <c r="A105" s="72">
        <v>1586</v>
      </c>
      <c r="B105" s="72" t="s">
        <v>232</v>
      </c>
      <c r="C105" s="72">
        <v>5</v>
      </c>
      <c r="D105" s="78">
        <v>2245600000</v>
      </c>
      <c r="E105" s="78">
        <v>515900000</v>
      </c>
      <c r="F105" s="78">
        <v>562800000</v>
      </c>
      <c r="G105" s="78">
        <v>29627</v>
      </c>
      <c r="H105" s="78">
        <v>3</v>
      </c>
      <c r="I105" s="78">
        <f t="shared" si="5"/>
        <v>562.79999999999995</v>
      </c>
      <c r="J105" s="78">
        <v>5651</v>
      </c>
      <c r="K105" s="78">
        <v>6599</v>
      </c>
      <c r="L105" s="78">
        <v>2096</v>
      </c>
      <c r="M105" s="78">
        <v>3786</v>
      </c>
      <c r="N105" s="78">
        <f t="shared" si="6"/>
        <v>2414.3999999999996</v>
      </c>
      <c r="O105" s="78">
        <v>310</v>
      </c>
      <c r="P105" s="78">
        <v>30</v>
      </c>
      <c r="Q105" s="78">
        <v>1766</v>
      </c>
      <c r="R105" s="78">
        <v>3665</v>
      </c>
      <c r="S105" s="78">
        <v>530</v>
      </c>
      <c r="T105" s="78">
        <v>0</v>
      </c>
      <c r="U105" s="78">
        <v>601</v>
      </c>
      <c r="V105" s="78">
        <v>13156</v>
      </c>
      <c r="W105" s="78">
        <v>29310</v>
      </c>
      <c r="X105" s="78">
        <v>17920</v>
      </c>
      <c r="Y105" s="78">
        <v>1121.26</v>
      </c>
      <c r="Z105" s="78">
        <v>1344.8</v>
      </c>
      <c r="AA105" s="78">
        <v>0</v>
      </c>
      <c r="AB105" s="399">
        <v>0</v>
      </c>
      <c r="AC105" s="399">
        <v>0</v>
      </c>
      <c r="AD105" s="78">
        <v>10993</v>
      </c>
      <c r="AE105" s="78">
        <v>10993</v>
      </c>
      <c r="AF105" s="78">
        <v>51</v>
      </c>
      <c r="AG105" s="78">
        <v>0</v>
      </c>
      <c r="AH105" s="78">
        <v>192</v>
      </c>
      <c r="AI105" s="78">
        <v>146</v>
      </c>
      <c r="AJ105" s="78">
        <v>192</v>
      </c>
      <c r="AK105" s="78">
        <v>146</v>
      </c>
      <c r="AL105" s="78">
        <v>338</v>
      </c>
      <c r="AM105" s="78">
        <v>13716</v>
      </c>
      <c r="AN105" s="78">
        <v>13716</v>
      </c>
      <c r="AO105" s="78">
        <v>9</v>
      </c>
      <c r="AP105" s="78">
        <v>0</v>
      </c>
      <c r="AQ105" s="78">
        <v>0</v>
      </c>
      <c r="AR105" s="78">
        <v>2400</v>
      </c>
      <c r="AS105" s="78">
        <v>718</v>
      </c>
      <c r="AT105" s="78">
        <v>718</v>
      </c>
      <c r="AU105" s="400">
        <v>3.6675899999999998E-4</v>
      </c>
      <c r="AV105" s="400">
        <v>1.6792099999999999E-4</v>
      </c>
      <c r="AW105" s="78">
        <v>10163.556</v>
      </c>
      <c r="AX105" s="78">
        <v>0</v>
      </c>
      <c r="AY105" s="78">
        <v>1234</v>
      </c>
      <c r="AZ105" s="78">
        <v>3310.3692502716399</v>
      </c>
      <c r="BA105" s="78">
        <v>9</v>
      </c>
      <c r="BB105" s="78">
        <v>9</v>
      </c>
      <c r="BC105" s="78">
        <v>3236</v>
      </c>
      <c r="BD105" s="78">
        <v>1</v>
      </c>
      <c r="BE105" s="78">
        <v>0</v>
      </c>
      <c r="BF105" s="78">
        <v>0</v>
      </c>
      <c r="BG105" s="78">
        <v>0</v>
      </c>
      <c r="BH105" s="78">
        <v>0</v>
      </c>
      <c r="BI105" s="78">
        <v>0</v>
      </c>
      <c r="BJ105" s="78">
        <v>0</v>
      </c>
      <c r="BK105" s="78">
        <v>0</v>
      </c>
      <c r="BL105" s="78">
        <v>0</v>
      </c>
      <c r="BM105" s="78">
        <v>372.96600000000001</v>
      </c>
      <c r="BN105" s="78">
        <v>75</v>
      </c>
      <c r="BO105" s="78">
        <v>48</v>
      </c>
      <c r="BP105" s="78">
        <v>8078.2</v>
      </c>
      <c r="BQ105" s="78">
        <v>1900.16</v>
      </c>
      <c r="BR105" s="78">
        <v>116.680742870077</v>
      </c>
      <c r="BS105" s="78">
        <v>229</v>
      </c>
      <c r="BT105" s="78">
        <v>89.6666666666667</v>
      </c>
      <c r="BU105" s="78">
        <v>65.6666666666667</v>
      </c>
      <c r="BV105" s="78">
        <f t="shared" si="7"/>
        <v>1456</v>
      </c>
      <c r="BW105" s="78">
        <v>376</v>
      </c>
      <c r="BX105" s="78">
        <v>5180.0571316994401</v>
      </c>
      <c r="BY105" s="402">
        <v>0.38300000000000001</v>
      </c>
      <c r="BZ105" s="78">
        <v>23028</v>
      </c>
      <c r="CA105" s="78">
        <v>3775</v>
      </c>
      <c r="CB105" s="78">
        <v>728</v>
      </c>
      <c r="CC105" s="78">
        <v>668</v>
      </c>
      <c r="CD105" s="78">
        <v>662</v>
      </c>
      <c r="CE105" s="78">
        <v>342</v>
      </c>
      <c r="CF105" s="78">
        <v>393.42257217847799</v>
      </c>
      <c r="CG105" s="78">
        <v>239.39807524059501</v>
      </c>
      <c r="CH105" s="78">
        <v>82.205074365704306</v>
      </c>
      <c r="CI105" s="78">
        <v>1039.722</v>
      </c>
      <c r="CJ105" s="78">
        <v>632.67200000000003</v>
      </c>
      <c r="CK105" s="78">
        <v>217.2484</v>
      </c>
      <c r="CL105" s="78">
        <v>19845</v>
      </c>
    </row>
    <row r="106" spans="1:90" customFormat="1" x14ac:dyDescent="0.35">
      <c r="A106" s="72">
        <v>1509</v>
      </c>
      <c r="B106" s="72" t="s">
        <v>239</v>
      </c>
      <c r="C106" s="72">
        <v>5</v>
      </c>
      <c r="D106" s="78">
        <v>2978800000</v>
      </c>
      <c r="E106" s="78">
        <v>534800000</v>
      </c>
      <c r="F106" s="78">
        <v>574700000</v>
      </c>
      <c r="G106" s="78">
        <v>39388</v>
      </c>
      <c r="H106" s="78">
        <v>3</v>
      </c>
      <c r="I106" s="78">
        <f t="shared" si="5"/>
        <v>574.70000000000005</v>
      </c>
      <c r="J106" s="78">
        <v>7109</v>
      </c>
      <c r="K106" s="78">
        <v>9373</v>
      </c>
      <c r="L106" s="78">
        <v>3033</v>
      </c>
      <c r="M106" s="78">
        <v>5806</v>
      </c>
      <c r="N106" s="78">
        <f t="shared" si="6"/>
        <v>4035.3999999999996</v>
      </c>
      <c r="O106" s="78">
        <v>633</v>
      </c>
      <c r="P106" s="78">
        <v>46</v>
      </c>
      <c r="Q106" s="78">
        <v>2873</v>
      </c>
      <c r="R106" s="78">
        <v>5384</v>
      </c>
      <c r="S106" s="78">
        <v>1955</v>
      </c>
      <c r="T106" s="78">
        <v>0</v>
      </c>
      <c r="U106" s="78">
        <v>979</v>
      </c>
      <c r="V106" s="78">
        <v>17784</v>
      </c>
      <c r="W106" s="78">
        <v>39680</v>
      </c>
      <c r="X106" s="78">
        <v>26200</v>
      </c>
      <c r="Y106" s="78">
        <v>0</v>
      </c>
      <c r="Z106" s="78">
        <v>1760</v>
      </c>
      <c r="AA106" s="78">
        <v>0</v>
      </c>
      <c r="AB106" s="399">
        <v>0</v>
      </c>
      <c r="AC106" s="399">
        <v>0</v>
      </c>
      <c r="AD106" s="78">
        <v>13600</v>
      </c>
      <c r="AE106" s="78">
        <v>13600</v>
      </c>
      <c r="AF106" s="78">
        <v>195</v>
      </c>
      <c r="AG106" s="78">
        <v>0</v>
      </c>
      <c r="AH106" s="78">
        <v>246</v>
      </c>
      <c r="AI106" s="78">
        <v>169</v>
      </c>
      <c r="AJ106" s="78">
        <v>246</v>
      </c>
      <c r="AK106" s="78">
        <v>169</v>
      </c>
      <c r="AL106" s="78">
        <v>415</v>
      </c>
      <c r="AM106" s="78">
        <v>17706</v>
      </c>
      <c r="AN106" s="78">
        <v>17706</v>
      </c>
      <c r="AO106" s="78">
        <v>0</v>
      </c>
      <c r="AP106" s="78">
        <v>0</v>
      </c>
      <c r="AQ106" s="78">
        <v>0</v>
      </c>
      <c r="AR106" s="78">
        <v>0</v>
      </c>
      <c r="AS106" s="78">
        <v>518</v>
      </c>
      <c r="AT106" s="78">
        <v>0</v>
      </c>
      <c r="AU106" s="400">
        <v>7.8256699999999996E-4</v>
      </c>
      <c r="AV106" s="400">
        <v>2.9898899999999999E-4</v>
      </c>
      <c r="AW106" s="78">
        <v>11491.194</v>
      </c>
      <c r="AX106" s="78">
        <v>0</v>
      </c>
      <c r="AY106" s="78">
        <v>1528</v>
      </c>
      <c r="AZ106" s="78">
        <v>4362.8027546212397</v>
      </c>
      <c r="BA106" s="78">
        <v>11</v>
      </c>
      <c r="BB106" s="78">
        <v>11</v>
      </c>
      <c r="BC106" s="78">
        <v>4028</v>
      </c>
      <c r="BD106" s="78">
        <v>1</v>
      </c>
      <c r="BE106" s="78">
        <v>0</v>
      </c>
      <c r="BF106" s="78">
        <v>0</v>
      </c>
      <c r="BG106" s="78">
        <v>0</v>
      </c>
      <c r="BH106" s="78">
        <v>0</v>
      </c>
      <c r="BI106" s="78">
        <v>0</v>
      </c>
      <c r="BJ106" s="78">
        <v>0</v>
      </c>
      <c r="BK106" s="78">
        <v>0</v>
      </c>
      <c r="BL106" s="78">
        <v>0</v>
      </c>
      <c r="BM106" s="78">
        <v>760.66300000000001</v>
      </c>
      <c r="BN106" s="78">
        <v>171</v>
      </c>
      <c r="BO106" s="78">
        <v>107</v>
      </c>
      <c r="BP106" s="78">
        <v>10247.4</v>
      </c>
      <c r="BQ106" s="78">
        <v>2281.7199999999998</v>
      </c>
      <c r="BR106" s="78">
        <v>215.67660487970201</v>
      </c>
      <c r="BS106" s="78">
        <v>404</v>
      </c>
      <c r="BT106" s="78">
        <v>187</v>
      </c>
      <c r="BU106" s="78">
        <v>141.333333333333</v>
      </c>
      <c r="BV106" s="78">
        <f t="shared" si="7"/>
        <v>2240</v>
      </c>
      <c r="BW106" s="78">
        <v>542</v>
      </c>
      <c r="BX106" s="78">
        <v>7440.1839515618303</v>
      </c>
      <c r="BY106" s="402">
        <v>1.3819999999999999</v>
      </c>
      <c r="BZ106" s="78">
        <v>30015</v>
      </c>
      <c r="CA106" s="78">
        <v>5321</v>
      </c>
      <c r="CB106" s="78">
        <v>1019</v>
      </c>
      <c r="CC106" s="78">
        <v>1026</v>
      </c>
      <c r="CD106" s="78">
        <v>977</v>
      </c>
      <c r="CE106" s="78">
        <v>505</v>
      </c>
      <c r="CF106" s="78">
        <v>728.40497006664395</v>
      </c>
      <c r="CG106" s="78">
        <v>458.78573364960999</v>
      </c>
      <c r="CH106" s="78">
        <v>154.06813509544801</v>
      </c>
      <c r="CI106" s="78">
        <v>1693.88</v>
      </c>
      <c r="CJ106" s="78">
        <v>1066.8900000000001</v>
      </c>
      <c r="CK106" s="78">
        <v>358.28</v>
      </c>
      <c r="CL106" s="78">
        <v>32943</v>
      </c>
    </row>
    <row r="107" spans="1:90" customFormat="1" x14ac:dyDescent="0.35">
      <c r="A107" s="72">
        <v>1734</v>
      </c>
      <c r="B107" s="72" t="s">
        <v>242</v>
      </c>
      <c r="C107" s="72">
        <v>5</v>
      </c>
      <c r="D107" s="78">
        <v>4142000000</v>
      </c>
      <c r="E107" s="78">
        <v>612500000</v>
      </c>
      <c r="F107" s="78">
        <v>653100000</v>
      </c>
      <c r="G107" s="78">
        <v>47906</v>
      </c>
      <c r="H107" s="78">
        <v>6</v>
      </c>
      <c r="I107" s="78">
        <f t="shared" si="5"/>
        <v>653.1</v>
      </c>
      <c r="J107" s="78">
        <v>10340</v>
      </c>
      <c r="K107" s="78">
        <v>9325</v>
      </c>
      <c r="L107" s="78">
        <v>2920</v>
      </c>
      <c r="M107" s="78">
        <v>4897</v>
      </c>
      <c r="N107" s="78">
        <f t="shared" si="6"/>
        <v>2887</v>
      </c>
      <c r="O107" s="78">
        <v>580.33333333333303</v>
      </c>
      <c r="P107" s="78">
        <v>54</v>
      </c>
      <c r="Q107" s="78">
        <v>2644.3333333333298</v>
      </c>
      <c r="R107" s="78">
        <v>5267</v>
      </c>
      <c r="S107" s="78">
        <v>1175</v>
      </c>
      <c r="T107" s="78">
        <v>0</v>
      </c>
      <c r="U107" s="78">
        <v>1411</v>
      </c>
      <c r="V107" s="78">
        <v>20323</v>
      </c>
      <c r="W107" s="78">
        <v>38590</v>
      </c>
      <c r="X107" s="78">
        <v>14050</v>
      </c>
      <c r="Y107" s="78">
        <v>629.72</v>
      </c>
      <c r="Z107" s="78">
        <v>2384</v>
      </c>
      <c r="AA107" s="78">
        <v>0</v>
      </c>
      <c r="AB107" s="399">
        <v>0</v>
      </c>
      <c r="AC107" s="399">
        <v>495.09999999999991</v>
      </c>
      <c r="AD107" s="78">
        <v>10907</v>
      </c>
      <c r="AE107" s="78">
        <v>11125.14</v>
      </c>
      <c r="AF107" s="78">
        <v>601</v>
      </c>
      <c r="AG107" s="78">
        <v>0</v>
      </c>
      <c r="AH107" s="78">
        <v>262</v>
      </c>
      <c r="AI107" s="78">
        <v>108</v>
      </c>
      <c r="AJ107" s="78">
        <v>264.62</v>
      </c>
      <c r="AK107" s="78">
        <v>110.16</v>
      </c>
      <c r="AL107" s="78">
        <v>370</v>
      </c>
      <c r="AM107" s="78">
        <v>20100</v>
      </c>
      <c r="AN107" s="78">
        <v>20301</v>
      </c>
      <c r="AO107" s="78">
        <v>0</v>
      </c>
      <c r="AP107" s="78">
        <v>0</v>
      </c>
      <c r="AQ107" s="78">
        <v>0</v>
      </c>
      <c r="AR107" s="78">
        <v>0</v>
      </c>
      <c r="AS107" s="78">
        <v>676</v>
      </c>
      <c r="AT107" s="78">
        <v>0</v>
      </c>
      <c r="AU107" s="400">
        <v>3.1669899999999998E-4</v>
      </c>
      <c r="AV107" s="400">
        <v>2.1105599999999999E-4</v>
      </c>
      <c r="AW107" s="78">
        <v>16120.2</v>
      </c>
      <c r="AX107" s="78">
        <v>0</v>
      </c>
      <c r="AY107" s="78">
        <v>2789.7</v>
      </c>
      <c r="AZ107" s="78">
        <v>11655.5447862357</v>
      </c>
      <c r="BA107" s="78">
        <v>11</v>
      </c>
      <c r="BB107" s="78">
        <v>11.22</v>
      </c>
      <c r="BC107" s="78">
        <v>5635</v>
      </c>
      <c r="BD107" s="78">
        <v>1</v>
      </c>
      <c r="BE107" s="78">
        <v>0</v>
      </c>
      <c r="BF107" s="78">
        <v>0</v>
      </c>
      <c r="BG107" s="78">
        <v>0</v>
      </c>
      <c r="BH107" s="78">
        <v>0</v>
      </c>
      <c r="BI107" s="78">
        <v>0</v>
      </c>
      <c r="BJ107" s="78">
        <v>0</v>
      </c>
      <c r="BK107" s="78">
        <v>0</v>
      </c>
      <c r="BL107" s="78">
        <v>0</v>
      </c>
      <c r="BM107" s="78">
        <v>847.88</v>
      </c>
      <c r="BN107" s="78">
        <v>138</v>
      </c>
      <c r="BO107" s="78">
        <v>81</v>
      </c>
      <c r="BP107" s="78">
        <v>13813.8</v>
      </c>
      <c r="BQ107" s="78">
        <v>3847.81</v>
      </c>
      <c r="BR107" s="78">
        <v>427.89812976622102</v>
      </c>
      <c r="BS107" s="78">
        <v>529</v>
      </c>
      <c r="BT107" s="78">
        <v>174.333333333333</v>
      </c>
      <c r="BU107" s="78">
        <v>142.333333333333</v>
      </c>
      <c r="BV107" s="78">
        <f t="shared" si="7"/>
        <v>2063.9999999999968</v>
      </c>
      <c r="BW107" s="78">
        <v>544</v>
      </c>
      <c r="BX107" s="78">
        <v>7360.6138661842997</v>
      </c>
      <c r="BY107" s="402">
        <v>0.91400000000000003</v>
      </c>
      <c r="BZ107" s="78">
        <v>38581</v>
      </c>
      <c r="CA107" s="78">
        <v>5532</v>
      </c>
      <c r="CB107" s="78">
        <v>873</v>
      </c>
      <c r="CC107" s="78">
        <v>1041</v>
      </c>
      <c r="CD107" s="78">
        <v>887</v>
      </c>
      <c r="CE107" s="78">
        <v>393</v>
      </c>
      <c r="CF107" s="78">
        <v>481.45393034825901</v>
      </c>
      <c r="CG107" s="78">
        <v>277.49671641791002</v>
      </c>
      <c r="CH107" s="78">
        <v>84.168258706467697</v>
      </c>
      <c r="CI107" s="78">
        <v>1415.8848</v>
      </c>
      <c r="CJ107" s="78">
        <v>816.07680000000005</v>
      </c>
      <c r="CK107" s="78">
        <v>247.5264</v>
      </c>
      <c r="CL107" s="78">
        <v>4482</v>
      </c>
    </row>
    <row r="108" spans="1:90" customFormat="1" x14ac:dyDescent="0.35">
      <c r="A108" s="72">
        <v>273</v>
      </c>
      <c r="B108" s="72" t="s">
        <v>248</v>
      </c>
      <c r="C108" s="72">
        <v>5</v>
      </c>
      <c r="D108" s="78">
        <v>2715600000</v>
      </c>
      <c r="E108" s="78">
        <v>310100000</v>
      </c>
      <c r="F108" s="78">
        <v>335650000</v>
      </c>
      <c r="G108" s="78">
        <v>24112</v>
      </c>
      <c r="H108" s="78">
        <v>1</v>
      </c>
      <c r="I108" s="78">
        <f t="shared" si="5"/>
        <v>335.65</v>
      </c>
      <c r="J108" s="78">
        <v>5105</v>
      </c>
      <c r="K108" s="78">
        <v>5076</v>
      </c>
      <c r="L108" s="78">
        <v>1725</v>
      </c>
      <c r="M108" s="78">
        <v>2560</v>
      </c>
      <c r="N108" s="78">
        <f t="shared" si="6"/>
        <v>1418.7</v>
      </c>
      <c r="O108" s="78">
        <v>193</v>
      </c>
      <c r="P108" s="78">
        <v>39</v>
      </c>
      <c r="Q108" s="78">
        <v>1124</v>
      </c>
      <c r="R108" s="78">
        <v>2618</v>
      </c>
      <c r="S108" s="78">
        <v>405</v>
      </c>
      <c r="T108" s="78">
        <v>0</v>
      </c>
      <c r="U108" s="78">
        <v>550</v>
      </c>
      <c r="V108" s="78">
        <v>9900</v>
      </c>
      <c r="W108" s="78">
        <v>23730</v>
      </c>
      <c r="X108" s="78">
        <v>12380</v>
      </c>
      <c r="Y108" s="78">
        <v>0</v>
      </c>
      <c r="Z108" s="78">
        <v>368.8</v>
      </c>
      <c r="AA108" s="78">
        <v>0</v>
      </c>
      <c r="AB108" s="399">
        <v>0</v>
      </c>
      <c r="AC108" s="399">
        <v>17.699999999999989</v>
      </c>
      <c r="AD108" s="78">
        <v>8519</v>
      </c>
      <c r="AE108" s="78">
        <v>8519</v>
      </c>
      <c r="AF108" s="78">
        <v>231</v>
      </c>
      <c r="AG108" s="78">
        <v>0</v>
      </c>
      <c r="AH108" s="78">
        <v>133</v>
      </c>
      <c r="AI108" s="78">
        <v>94</v>
      </c>
      <c r="AJ108" s="78">
        <v>133</v>
      </c>
      <c r="AK108" s="78">
        <v>94</v>
      </c>
      <c r="AL108" s="78">
        <v>227</v>
      </c>
      <c r="AM108" s="78">
        <v>11413</v>
      </c>
      <c r="AN108" s="78">
        <v>11413</v>
      </c>
      <c r="AO108" s="78">
        <v>0</v>
      </c>
      <c r="AP108" s="78">
        <v>0</v>
      </c>
      <c r="AQ108" s="78">
        <v>0</v>
      </c>
      <c r="AR108" s="78">
        <v>0</v>
      </c>
      <c r="AS108" s="78">
        <v>704</v>
      </c>
      <c r="AT108" s="78">
        <v>0</v>
      </c>
      <c r="AU108" s="400">
        <v>2.3672499999999999E-4</v>
      </c>
      <c r="AV108" s="400">
        <v>1.25003E-4</v>
      </c>
      <c r="AW108" s="78">
        <v>10294.526</v>
      </c>
      <c r="AX108" s="78">
        <v>0</v>
      </c>
      <c r="AY108" s="78">
        <v>602</v>
      </c>
      <c r="AZ108" s="78">
        <v>1658.9056</v>
      </c>
      <c r="BA108" s="78">
        <v>7</v>
      </c>
      <c r="BB108" s="78">
        <v>7</v>
      </c>
      <c r="BC108" s="78">
        <v>3137</v>
      </c>
      <c r="BD108" s="78">
        <v>1</v>
      </c>
      <c r="BE108" s="78">
        <v>0</v>
      </c>
      <c r="BF108" s="78">
        <v>0</v>
      </c>
      <c r="BG108" s="78">
        <v>0</v>
      </c>
      <c r="BH108" s="78">
        <v>0</v>
      </c>
      <c r="BI108" s="78">
        <v>0</v>
      </c>
      <c r="BJ108" s="78">
        <v>0</v>
      </c>
      <c r="BK108" s="78">
        <v>0</v>
      </c>
      <c r="BL108" s="78">
        <v>0</v>
      </c>
      <c r="BM108" s="78">
        <v>454.34500000000003</v>
      </c>
      <c r="BN108" s="78">
        <v>118</v>
      </c>
      <c r="BO108" s="78">
        <v>48</v>
      </c>
      <c r="BP108" s="78">
        <v>6724.2</v>
      </c>
      <c r="BQ108" s="78">
        <v>1727.93</v>
      </c>
      <c r="BR108" s="78">
        <v>229.134023739664</v>
      </c>
      <c r="BS108" s="78">
        <v>243</v>
      </c>
      <c r="BT108" s="78">
        <v>66.6666666666667</v>
      </c>
      <c r="BU108" s="78">
        <v>39.6666666666667</v>
      </c>
      <c r="BV108" s="78">
        <f t="shared" si="7"/>
        <v>931</v>
      </c>
      <c r="BW108" s="78">
        <v>260</v>
      </c>
      <c r="BX108" s="78">
        <v>4521.1145912885404</v>
      </c>
      <c r="BY108" s="402">
        <v>0.12</v>
      </c>
      <c r="BZ108" s="78">
        <v>19036</v>
      </c>
      <c r="CA108" s="78">
        <v>2699</v>
      </c>
      <c r="CB108" s="78">
        <v>652</v>
      </c>
      <c r="CC108" s="78">
        <v>476</v>
      </c>
      <c r="CD108" s="78">
        <v>510</v>
      </c>
      <c r="CE108" s="78">
        <v>312</v>
      </c>
      <c r="CF108" s="78">
        <v>199.13759747656201</v>
      </c>
      <c r="CG108" s="78">
        <v>141.459791465872</v>
      </c>
      <c r="CH108" s="78">
        <v>55.564610531849603</v>
      </c>
      <c r="CI108" s="78">
        <v>688.69979999999998</v>
      </c>
      <c r="CJ108" s="78">
        <v>489.22620000000001</v>
      </c>
      <c r="CK108" s="78">
        <v>192.1653</v>
      </c>
      <c r="CL108" s="78">
        <v>936</v>
      </c>
    </row>
    <row r="109" spans="1:90" customFormat="1" x14ac:dyDescent="0.35">
      <c r="A109" s="72">
        <v>274</v>
      </c>
      <c r="B109" s="72" t="s">
        <v>251</v>
      </c>
      <c r="C109" s="72">
        <v>5</v>
      </c>
      <c r="D109" s="78">
        <v>3462000000</v>
      </c>
      <c r="E109" s="78">
        <v>325500000</v>
      </c>
      <c r="F109" s="78">
        <v>333900000</v>
      </c>
      <c r="G109" s="78">
        <v>31419</v>
      </c>
      <c r="H109" s="78">
        <v>3</v>
      </c>
      <c r="I109" s="78">
        <f t="shared" si="5"/>
        <v>333.9</v>
      </c>
      <c r="J109" s="78">
        <v>5533</v>
      </c>
      <c r="K109" s="78">
        <v>8878</v>
      </c>
      <c r="L109" s="78">
        <v>2942</v>
      </c>
      <c r="M109" s="78">
        <v>4244</v>
      </c>
      <c r="N109" s="78">
        <f t="shared" si="6"/>
        <v>2683.5</v>
      </c>
      <c r="O109" s="78">
        <v>592.33333333333303</v>
      </c>
      <c r="P109" s="78">
        <v>40</v>
      </c>
      <c r="Q109" s="78">
        <v>2189.3333333333298</v>
      </c>
      <c r="R109" s="78">
        <v>5388</v>
      </c>
      <c r="S109" s="78">
        <v>940</v>
      </c>
      <c r="T109" s="78">
        <v>0</v>
      </c>
      <c r="U109" s="78">
        <v>920</v>
      </c>
      <c r="V109" s="78">
        <v>15608</v>
      </c>
      <c r="W109" s="78">
        <v>26150</v>
      </c>
      <c r="X109" s="78">
        <v>9700</v>
      </c>
      <c r="Y109" s="78">
        <v>1439.36</v>
      </c>
      <c r="Z109" s="78">
        <v>906.4</v>
      </c>
      <c r="AA109" s="78">
        <v>0</v>
      </c>
      <c r="AB109" s="399">
        <v>0</v>
      </c>
      <c r="AC109" s="399">
        <v>148.49999999999989</v>
      </c>
      <c r="AD109" s="78">
        <v>4595</v>
      </c>
      <c r="AE109" s="78">
        <v>4595</v>
      </c>
      <c r="AF109" s="78">
        <v>129</v>
      </c>
      <c r="AG109" s="78">
        <v>0</v>
      </c>
      <c r="AH109" s="78">
        <v>148</v>
      </c>
      <c r="AI109" s="78">
        <v>22</v>
      </c>
      <c r="AJ109" s="78">
        <v>148</v>
      </c>
      <c r="AK109" s="78">
        <v>22</v>
      </c>
      <c r="AL109" s="78">
        <v>170</v>
      </c>
      <c r="AM109" s="78">
        <v>15605</v>
      </c>
      <c r="AN109" s="78">
        <v>15605</v>
      </c>
      <c r="AO109" s="78">
        <v>0</v>
      </c>
      <c r="AP109" s="78">
        <v>0</v>
      </c>
      <c r="AQ109" s="78">
        <v>0</v>
      </c>
      <c r="AR109" s="78">
        <v>0</v>
      </c>
      <c r="AS109" s="78">
        <v>4064</v>
      </c>
      <c r="AT109" s="78">
        <v>0</v>
      </c>
      <c r="AU109" s="400">
        <v>7.1116899999999999E-4</v>
      </c>
      <c r="AV109" s="400">
        <v>8.4066399999999997E-4</v>
      </c>
      <c r="AW109" s="78">
        <v>14262.97</v>
      </c>
      <c r="AX109" s="78">
        <v>0</v>
      </c>
      <c r="AY109" s="78">
        <v>409</v>
      </c>
      <c r="AZ109" s="78">
        <v>2720.2309483488598</v>
      </c>
      <c r="BA109" s="78">
        <v>5</v>
      </c>
      <c r="BB109" s="78">
        <v>5</v>
      </c>
      <c r="BC109" s="78">
        <v>4009</v>
      </c>
      <c r="BD109" s="78">
        <v>1</v>
      </c>
      <c r="BE109" s="78">
        <v>0</v>
      </c>
      <c r="BF109" s="78">
        <v>0</v>
      </c>
      <c r="BG109" s="78">
        <v>0</v>
      </c>
      <c r="BH109" s="78">
        <v>0</v>
      </c>
      <c r="BI109" s="78">
        <v>0</v>
      </c>
      <c r="BJ109" s="78">
        <v>0</v>
      </c>
      <c r="BK109" s="78">
        <v>0</v>
      </c>
      <c r="BL109" s="78">
        <v>0</v>
      </c>
      <c r="BM109" s="78">
        <v>619.69600000000003</v>
      </c>
      <c r="BN109" s="78">
        <v>73</v>
      </c>
      <c r="BO109" s="78">
        <v>70</v>
      </c>
      <c r="BP109" s="78">
        <v>11215.82</v>
      </c>
      <c r="BQ109" s="78">
        <v>2400.06</v>
      </c>
      <c r="BR109" s="78">
        <v>268.46105533222999</v>
      </c>
      <c r="BS109" s="78">
        <v>329</v>
      </c>
      <c r="BT109" s="78">
        <v>160.333333333333</v>
      </c>
      <c r="BU109" s="78">
        <v>120.666666666667</v>
      </c>
      <c r="BV109" s="78">
        <f t="shared" si="7"/>
        <v>1596.9999999999968</v>
      </c>
      <c r="BW109" s="78">
        <v>542</v>
      </c>
      <c r="BX109" s="78">
        <v>5933.85686026452</v>
      </c>
      <c r="BY109" s="402">
        <v>1.4970000000000001</v>
      </c>
      <c r="BZ109" s="78">
        <v>22541</v>
      </c>
      <c r="CA109" s="78">
        <v>4611</v>
      </c>
      <c r="CB109" s="78">
        <v>1325</v>
      </c>
      <c r="CC109" s="78">
        <v>1081</v>
      </c>
      <c r="CD109" s="78">
        <v>1021</v>
      </c>
      <c r="CE109" s="78">
        <v>619</v>
      </c>
      <c r="CF109" s="78">
        <v>494.05289971163103</v>
      </c>
      <c r="CG109" s="78">
        <v>343.928228132009</v>
      </c>
      <c r="CH109" s="78">
        <v>143.933963473246</v>
      </c>
      <c r="CI109" s="78">
        <v>987.16279999999995</v>
      </c>
      <c r="CJ109" s="78">
        <v>687.2</v>
      </c>
      <c r="CK109" s="78">
        <v>287.59320000000002</v>
      </c>
      <c r="CL109" s="78">
        <v>119044</v>
      </c>
    </row>
    <row r="110" spans="1:90" customFormat="1" x14ac:dyDescent="0.35">
      <c r="A110" s="72">
        <v>275</v>
      </c>
      <c r="B110" s="72" t="s">
        <v>254</v>
      </c>
      <c r="C110" s="72">
        <v>5</v>
      </c>
      <c r="D110" s="78">
        <v>3869200000</v>
      </c>
      <c r="E110" s="78">
        <v>395850000</v>
      </c>
      <c r="F110" s="78">
        <v>404950000</v>
      </c>
      <c r="G110" s="78">
        <v>43761</v>
      </c>
      <c r="H110" s="78">
        <v>3</v>
      </c>
      <c r="I110" s="78">
        <f t="shared" si="5"/>
        <v>404.95</v>
      </c>
      <c r="J110" s="78">
        <v>7556</v>
      </c>
      <c r="K110" s="78">
        <v>11424</v>
      </c>
      <c r="L110" s="78">
        <v>3980</v>
      </c>
      <c r="M110" s="78">
        <v>7274</v>
      </c>
      <c r="N110" s="78">
        <f t="shared" si="6"/>
        <v>5087.6000000000004</v>
      </c>
      <c r="O110" s="78">
        <v>983.33333333333303</v>
      </c>
      <c r="P110" s="78">
        <v>63</v>
      </c>
      <c r="Q110" s="78">
        <v>3900.3333333333298</v>
      </c>
      <c r="R110" s="78">
        <v>8644</v>
      </c>
      <c r="S110" s="78">
        <v>2090</v>
      </c>
      <c r="T110" s="78">
        <v>0</v>
      </c>
      <c r="U110" s="78">
        <v>1481</v>
      </c>
      <c r="V110" s="78">
        <v>22109</v>
      </c>
      <c r="W110" s="78">
        <v>39090</v>
      </c>
      <c r="X110" s="78">
        <v>15440</v>
      </c>
      <c r="Y110" s="78">
        <v>427.68</v>
      </c>
      <c r="Z110" s="78">
        <v>1478.4</v>
      </c>
      <c r="AA110" s="78">
        <v>0</v>
      </c>
      <c r="AB110" s="399">
        <v>0</v>
      </c>
      <c r="AC110" s="399">
        <v>555.5</v>
      </c>
      <c r="AD110" s="78">
        <v>8176</v>
      </c>
      <c r="AE110" s="78">
        <v>8176</v>
      </c>
      <c r="AF110" s="78">
        <v>259</v>
      </c>
      <c r="AG110" s="78">
        <v>0</v>
      </c>
      <c r="AH110" s="78">
        <v>220</v>
      </c>
      <c r="AI110" s="78">
        <v>22</v>
      </c>
      <c r="AJ110" s="78">
        <v>220</v>
      </c>
      <c r="AK110" s="78">
        <v>22</v>
      </c>
      <c r="AL110" s="78">
        <v>242</v>
      </c>
      <c r="AM110" s="78">
        <v>21864</v>
      </c>
      <c r="AN110" s="78">
        <v>21864</v>
      </c>
      <c r="AO110" s="78">
        <v>0</v>
      </c>
      <c r="AP110" s="78">
        <v>0</v>
      </c>
      <c r="AQ110" s="78">
        <v>0</v>
      </c>
      <c r="AR110" s="78">
        <v>0</v>
      </c>
      <c r="AS110" s="78">
        <v>5119</v>
      </c>
      <c r="AT110" s="78">
        <v>0</v>
      </c>
      <c r="AU110" s="400">
        <v>1.308678E-3</v>
      </c>
      <c r="AV110" s="400">
        <v>1.0443920000000001E-3</v>
      </c>
      <c r="AW110" s="78">
        <v>31724.664000000001</v>
      </c>
      <c r="AX110" s="78">
        <v>0</v>
      </c>
      <c r="AY110" s="78">
        <v>1113</v>
      </c>
      <c r="AZ110" s="78">
        <v>5774.2730290456402</v>
      </c>
      <c r="BA110" s="78">
        <v>8</v>
      </c>
      <c r="BB110" s="78">
        <v>8</v>
      </c>
      <c r="BC110" s="78">
        <v>4442</v>
      </c>
      <c r="BD110" s="78">
        <v>1</v>
      </c>
      <c r="BE110" s="78">
        <v>0</v>
      </c>
      <c r="BF110" s="78">
        <v>0</v>
      </c>
      <c r="BG110" s="78">
        <v>0</v>
      </c>
      <c r="BH110" s="78">
        <v>0</v>
      </c>
      <c r="BI110" s="78">
        <v>0</v>
      </c>
      <c r="BJ110" s="78">
        <v>0</v>
      </c>
      <c r="BK110" s="78">
        <v>0</v>
      </c>
      <c r="BL110" s="78">
        <v>0</v>
      </c>
      <c r="BM110" s="78">
        <v>1103.1759999999999</v>
      </c>
      <c r="BN110" s="78">
        <v>125</v>
      </c>
      <c r="BO110" s="78">
        <v>91</v>
      </c>
      <c r="BP110" s="78">
        <v>13521.92</v>
      </c>
      <c r="BQ110" s="78">
        <v>2733.57</v>
      </c>
      <c r="BR110" s="78">
        <v>391.55451519154599</v>
      </c>
      <c r="BS110" s="78">
        <v>570</v>
      </c>
      <c r="BT110" s="78">
        <v>294</v>
      </c>
      <c r="BU110" s="78">
        <v>253.333333333333</v>
      </c>
      <c r="BV110" s="78">
        <f t="shared" si="7"/>
        <v>2916.9999999999968</v>
      </c>
      <c r="BW110" s="78">
        <v>1095</v>
      </c>
      <c r="BX110" s="78">
        <v>8388.3940696608606</v>
      </c>
      <c r="BY110" s="402">
        <v>2.4820000000000002</v>
      </c>
      <c r="BZ110" s="78">
        <v>32337</v>
      </c>
      <c r="CA110" s="78">
        <v>5710</v>
      </c>
      <c r="CB110" s="78">
        <v>1734</v>
      </c>
      <c r="CC110" s="78">
        <v>1381</v>
      </c>
      <c r="CD110" s="78">
        <v>1453</v>
      </c>
      <c r="CE110" s="78">
        <v>844</v>
      </c>
      <c r="CF110" s="78">
        <v>839.55638492499099</v>
      </c>
      <c r="CG110" s="78">
        <v>633.85576289791402</v>
      </c>
      <c r="CH110" s="78">
        <v>270.85466520307398</v>
      </c>
      <c r="CI110" s="78">
        <v>1649.2167999999999</v>
      </c>
      <c r="CJ110" s="78">
        <v>1245.1404</v>
      </c>
      <c r="CK110" s="78">
        <v>532.06439999999998</v>
      </c>
      <c r="CL110" s="78">
        <v>38159</v>
      </c>
    </row>
    <row r="111" spans="1:90" customFormat="1" x14ac:dyDescent="0.35">
      <c r="A111" s="72">
        <v>277</v>
      </c>
      <c r="B111" s="72" t="s">
        <v>263</v>
      </c>
      <c r="C111" s="72">
        <v>5</v>
      </c>
      <c r="D111" s="78">
        <v>294000000</v>
      </c>
      <c r="E111" s="78">
        <v>19250000</v>
      </c>
      <c r="F111" s="78">
        <v>19250000</v>
      </c>
      <c r="G111" s="78">
        <v>1704</v>
      </c>
      <c r="H111" s="78">
        <v>1</v>
      </c>
      <c r="I111" s="78">
        <f t="shared" si="5"/>
        <v>19.25</v>
      </c>
      <c r="J111" s="78">
        <v>393</v>
      </c>
      <c r="K111" s="78">
        <v>434</v>
      </c>
      <c r="L111" s="78">
        <v>137</v>
      </c>
      <c r="M111" s="78">
        <v>108</v>
      </c>
      <c r="N111" s="78">
        <f t="shared" si="6"/>
        <v>38.799999999999997</v>
      </c>
      <c r="O111" s="78">
        <v>5</v>
      </c>
      <c r="P111" s="78">
        <v>0</v>
      </c>
      <c r="Q111" s="78">
        <v>28</v>
      </c>
      <c r="R111" s="78">
        <v>143</v>
      </c>
      <c r="S111" s="78">
        <v>35</v>
      </c>
      <c r="T111" s="78">
        <v>0</v>
      </c>
      <c r="U111" s="78">
        <v>29</v>
      </c>
      <c r="V111" s="78">
        <v>688</v>
      </c>
      <c r="W111" s="78">
        <v>960</v>
      </c>
      <c r="X111" s="78">
        <v>40</v>
      </c>
      <c r="Y111" s="78">
        <v>0</v>
      </c>
      <c r="Z111" s="78">
        <v>491.2</v>
      </c>
      <c r="AA111" s="78">
        <v>0</v>
      </c>
      <c r="AB111" s="399">
        <v>33.299999999999955</v>
      </c>
      <c r="AC111" s="399">
        <v>0</v>
      </c>
      <c r="AD111" s="78">
        <v>2791</v>
      </c>
      <c r="AE111" s="78">
        <v>2791</v>
      </c>
      <c r="AF111" s="78">
        <v>1</v>
      </c>
      <c r="AG111" s="78">
        <v>0</v>
      </c>
      <c r="AH111" s="78">
        <v>10</v>
      </c>
      <c r="AI111" s="78">
        <v>1</v>
      </c>
      <c r="AJ111" s="78">
        <v>10</v>
      </c>
      <c r="AK111" s="78">
        <v>1</v>
      </c>
      <c r="AL111" s="78">
        <v>11</v>
      </c>
      <c r="AM111" s="78">
        <v>692</v>
      </c>
      <c r="AN111" s="78">
        <v>692</v>
      </c>
      <c r="AO111" s="78">
        <v>0</v>
      </c>
      <c r="AP111" s="78">
        <v>0</v>
      </c>
      <c r="AQ111" s="78">
        <v>0</v>
      </c>
      <c r="AR111" s="78">
        <v>0</v>
      </c>
      <c r="AS111" s="78">
        <v>0</v>
      </c>
      <c r="AT111" s="78">
        <v>0</v>
      </c>
      <c r="AU111" s="400">
        <v>7.5129999999999999E-6</v>
      </c>
      <c r="AV111" s="400">
        <v>4.2409999999999997E-6</v>
      </c>
      <c r="AW111" s="78">
        <v>651.17200000000003</v>
      </c>
      <c r="AX111" s="78">
        <v>0</v>
      </c>
      <c r="AY111" s="78">
        <v>32</v>
      </c>
      <c r="AZ111" s="78">
        <v>19.530085959885401</v>
      </c>
      <c r="BA111" s="78">
        <v>1</v>
      </c>
      <c r="BB111" s="78">
        <v>1</v>
      </c>
      <c r="BC111" s="78">
        <v>251</v>
      </c>
      <c r="BD111" s="78">
        <v>1</v>
      </c>
      <c r="BE111" s="78">
        <v>0</v>
      </c>
      <c r="BF111" s="78">
        <v>0</v>
      </c>
      <c r="BG111" s="78">
        <v>0</v>
      </c>
      <c r="BH111" s="78">
        <v>0</v>
      </c>
      <c r="BI111" s="78">
        <v>0</v>
      </c>
      <c r="BJ111" s="78">
        <v>0</v>
      </c>
      <c r="BK111" s="78">
        <v>0</v>
      </c>
      <c r="BL111" s="78">
        <v>0</v>
      </c>
      <c r="BM111" s="78">
        <v>8.2530000000000001</v>
      </c>
      <c r="BN111" s="78">
        <v>0</v>
      </c>
      <c r="BO111" s="78">
        <v>1</v>
      </c>
      <c r="BP111" s="78">
        <v>667.36</v>
      </c>
      <c r="BQ111" s="78">
        <v>205.64</v>
      </c>
      <c r="BR111" s="78">
        <v>9.2785985130111506</v>
      </c>
      <c r="BS111" s="78">
        <v>10</v>
      </c>
      <c r="BT111" s="78">
        <v>2</v>
      </c>
      <c r="BU111" s="78">
        <v>0.33333333333333298</v>
      </c>
      <c r="BV111" s="78">
        <f t="shared" si="7"/>
        <v>23</v>
      </c>
      <c r="BW111" s="78">
        <v>1</v>
      </c>
      <c r="BX111" s="78">
        <v>138.58650544135401</v>
      </c>
      <c r="BY111" s="402">
        <v>8.0000000000000002E-3</v>
      </c>
      <c r="BZ111" s="78">
        <v>1270</v>
      </c>
      <c r="CA111" s="78">
        <v>235</v>
      </c>
      <c r="CB111" s="78">
        <v>62</v>
      </c>
      <c r="CC111" s="78">
        <v>20</v>
      </c>
      <c r="CD111" s="78">
        <v>36</v>
      </c>
      <c r="CE111" s="78">
        <v>32</v>
      </c>
      <c r="CF111" s="78">
        <v>7.2329479768786102</v>
      </c>
      <c r="CG111" s="78">
        <v>5.4387283236994204</v>
      </c>
      <c r="CH111" s="78">
        <v>2.4670520231213899</v>
      </c>
      <c r="CI111" s="78">
        <v>7.7529000000000003</v>
      </c>
      <c r="CJ111" s="78">
        <v>5.8296999999999999</v>
      </c>
      <c r="CK111" s="78">
        <v>2.6444000000000001</v>
      </c>
      <c r="CL111" s="78">
        <v>0</v>
      </c>
    </row>
    <row r="112" spans="1:90" customFormat="1" x14ac:dyDescent="0.35">
      <c r="A112" s="72">
        <v>279</v>
      </c>
      <c r="B112" s="72" t="s">
        <v>266</v>
      </c>
      <c r="C112" s="72">
        <v>5</v>
      </c>
      <c r="D112" s="78">
        <v>936800000</v>
      </c>
      <c r="E112" s="78">
        <v>116900000</v>
      </c>
      <c r="F112" s="78">
        <v>126000000</v>
      </c>
      <c r="G112" s="78">
        <v>9880</v>
      </c>
      <c r="H112" s="78">
        <v>1</v>
      </c>
      <c r="I112" s="78">
        <f t="shared" si="5"/>
        <v>126</v>
      </c>
      <c r="J112" s="78">
        <v>2250</v>
      </c>
      <c r="K112" s="78">
        <v>1904</v>
      </c>
      <c r="L112" s="78">
        <v>648</v>
      </c>
      <c r="M112" s="78">
        <v>1066</v>
      </c>
      <c r="N112" s="78">
        <f t="shared" si="6"/>
        <v>652.70000000000005</v>
      </c>
      <c r="O112" s="78">
        <v>57</v>
      </c>
      <c r="P112" s="78">
        <v>13</v>
      </c>
      <c r="Q112" s="78">
        <v>393</v>
      </c>
      <c r="R112" s="78">
        <v>1165</v>
      </c>
      <c r="S112" s="78">
        <v>170</v>
      </c>
      <c r="T112" s="78">
        <v>0</v>
      </c>
      <c r="U112" s="78">
        <v>200</v>
      </c>
      <c r="V112" s="78">
        <v>4066</v>
      </c>
      <c r="W112" s="78">
        <v>8110</v>
      </c>
      <c r="X112" s="78">
        <v>1400</v>
      </c>
      <c r="Y112" s="78">
        <v>0</v>
      </c>
      <c r="Z112" s="78">
        <v>0</v>
      </c>
      <c r="AA112" s="78">
        <v>0</v>
      </c>
      <c r="AB112" s="399">
        <v>0</v>
      </c>
      <c r="AC112" s="399">
        <v>0</v>
      </c>
      <c r="AD112" s="78">
        <v>1379</v>
      </c>
      <c r="AE112" s="78">
        <v>1379</v>
      </c>
      <c r="AF112" s="78">
        <v>3</v>
      </c>
      <c r="AG112" s="78">
        <v>0</v>
      </c>
      <c r="AH112" s="78">
        <v>50</v>
      </c>
      <c r="AI112" s="78">
        <v>25</v>
      </c>
      <c r="AJ112" s="78">
        <v>50</v>
      </c>
      <c r="AK112" s="78">
        <v>25</v>
      </c>
      <c r="AL112" s="78">
        <v>75</v>
      </c>
      <c r="AM112" s="78">
        <v>4133</v>
      </c>
      <c r="AN112" s="78">
        <v>4133</v>
      </c>
      <c r="AO112" s="78">
        <v>0</v>
      </c>
      <c r="AP112" s="78">
        <v>0</v>
      </c>
      <c r="AQ112" s="78">
        <v>0</v>
      </c>
      <c r="AR112" s="78">
        <v>0</v>
      </c>
      <c r="AS112" s="78">
        <v>0</v>
      </c>
      <c r="AT112" s="78">
        <v>0</v>
      </c>
      <c r="AU112" s="400">
        <v>7.8214999999999996E-5</v>
      </c>
      <c r="AV112" s="400">
        <v>3.5215000000000001E-5</v>
      </c>
      <c r="AW112" s="78">
        <v>3806.4929999999999</v>
      </c>
      <c r="AX112" s="78">
        <v>0</v>
      </c>
      <c r="AY112" s="78">
        <v>175</v>
      </c>
      <c r="AZ112" s="78">
        <v>1251.0853835021701</v>
      </c>
      <c r="BA112" s="78">
        <v>2</v>
      </c>
      <c r="BB112" s="78">
        <v>2</v>
      </c>
      <c r="BC112" s="78">
        <v>1138</v>
      </c>
      <c r="BD112" s="78">
        <v>1</v>
      </c>
      <c r="BE112" s="78">
        <v>0</v>
      </c>
      <c r="BF112" s="78">
        <v>0</v>
      </c>
      <c r="BG112" s="78">
        <v>0</v>
      </c>
      <c r="BH112" s="78">
        <v>0</v>
      </c>
      <c r="BI112" s="78">
        <v>0</v>
      </c>
      <c r="BJ112" s="78">
        <v>0</v>
      </c>
      <c r="BK112" s="78">
        <v>0</v>
      </c>
      <c r="BL112" s="78">
        <v>0</v>
      </c>
      <c r="BM112" s="78">
        <v>130.5</v>
      </c>
      <c r="BN112" s="78">
        <v>59</v>
      </c>
      <c r="BO112" s="78">
        <v>18</v>
      </c>
      <c r="BP112" s="78">
        <v>2692.8</v>
      </c>
      <c r="BQ112" s="78">
        <v>592.38</v>
      </c>
      <c r="BR112" s="78">
        <v>123.35920285158799</v>
      </c>
      <c r="BS112" s="78">
        <v>88</v>
      </c>
      <c r="BT112" s="78">
        <v>25.3333333333333</v>
      </c>
      <c r="BU112" s="78">
        <v>20</v>
      </c>
      <c r="BV112" s="78">
        <f t="shared" si="7"/>
        <v>336</v>
      </c>
      <c r="BW112" s="78">
        <v>104</v>
      </c>
      <c r="BX112" s="78">
        <v>1269.1391876835801</v>
      </c>
      <c r="BY112" s="402">
        <v>4.9000000000000002E-2</v>
      </c>
      <c r="BZ112" s="78">
        <v>7976</v>
      </c>
      <c r="CA112" s="78">
        <v>1053</v>
      </c>
      <c r="CB112" s="78">
        <v>203</v>
      </c>
      <c r="CC112" s="78">
        <v>187</v>
      </c>
      <c r="CD112" s="78">
        <v>228</v>
      </c>
      <c r="CE112" s="78">
        <v>111</v>
      </c>
      <c r="CF112" s="78">
        <v>97.4391241229131</v>
      </c>
      <c r="CG112" s="78">
        <v>71.065811759012803</v>
      </c>
      <c r="CH112" s="78">
        <v>23.056907815146399</v>
      </c>
      <c r="CI112" s="78">
        <v>272.34379999999999</v>
      </c>
      <c r="CJ112" s="78">
        <v>198.63</v>
      </c>
      <c r="CK112" s="78">
        <v>64.444400000000002</v>
      </c>
      <c r="CL112" s="78">
        <v>0</v>
      </c>
    </row>
    <row r="113" spans="1:90" customFormat="1" x14ac:dyDescent="0.35">
      <c r="A113" s="72">
        <v>281</v>
      </c>
      <c r="B113" s="72" t="s">
        <v>295</v>
      </c>
      <c r="C113" s="72">
        <v>5</v>
      </c>
      <c r="D113" s="78">
        <v>3128000000</v>
      </c>
      <c r="E113" s="78">
        <v>620900000</v>
      </c>
      <c r="F113" s="78">
        <v>654150000</v>
      </c>
      <c r="G113" s="78">
        <v>42159</v>
      </c>
      <c r="H113" s="78">
        <v>2</v>
      </c>
      <c r="I113" s="78">
        <f t="shared" si="5"/>
        <v>654.15</v>
      </c>
      <c r="J113" s="78">
        <v>8154</v>
      </c>
      <c r="K113" s="78">
        <v>7635</v>
      </c>
      <c r="L113" s="78">
        <v>2278</v>
      </c>
      <c r="M113" s="78">
        <v>5969</v>
      </c>
      <c r="N113" s="78">
        <f t="shared" si="6"/>
        <v>4144.8</v>
      </c>
      <c r="O113" s="78">
        <v>1093</v>
      </c>
      <c r="P113" s="78">
        <v>107</v>
      </c>
      <c r="Q113" s="78">
        <v>3515</v>
      </c>
      <c r="R113" s="78">
        <v>6840</v>
      </c>
      <c r="S113" s="78">
        <v>5325</v>
      </c>
      <c r="T113" s="78">
        <v>0</v>
      </c>
      <c r="U113" s="78">
        <v>1485</v>
      </c>
      <c r="V113" s="78">
        <v>19393</v>
      </c>
      <c r="W113" s="78">
        <v>49470</v>
      </c>
      <c r="X113" s="78">
        <v>42000</v>
      </c>
      <c r="Y113" s="78">
        <v>2168.34</v>
      </c>
      <c r="Z113" s="78">
        <v>1844</v>
      </c>
      <c r="AA113" s="78">
        <v>0</v>
      </c>
      <c r="AB113" s="399">
        <v>0</v>
      </c>
      <c r="AC113" s="399">
        <v>0</v>
      </c>
      <c r="AD113" s="78">
        <v>3284</v>
      </c>
      <c r="AE113" s="78">
        <v>3678.08</v>
      </c>
      <c r="AF113" s="78">
        <v>267</v>
      </c>
      <c r="AG113" s="78">
        <v>0</v>
      </c>
      <c r="AH113" s="78">
        <v>224</v>
      </c>
      <c r="AI113" s="78">
        <v>75</v>
      </c>
      <c r="AJ113" s="78">
        <v>255.36</v>
      </c>
      <c r="AK113" s="78">
        <v>82.5</v>
      </c>
      <c r="AL113" s="78">
        <v>300</v>
      </c>
      <c r="AM113" s="78">
        <v>18242</v>
      </c>
      <c r="AN113" s="78">
        <v>20795.88</v>
      </c>
      <c r="AO113" s="78">
        <v>14</v>
      </c>
      <c r="AP113" s="78">
        <v>0</v>
      </c>
      <c r="AQ113" s="78">
        <v>0</v>
      </c>
      <c r="AR113" s="78">
        <v>1500</v>
      </c>
      <c r="AS113" s="78">
        <v>2802</v>
      </c>
      <c r="AT113" s="78">
        <v>2802</v>
      </c>
      <c r="AU113" s="400">
        <v>8.1596399999999997E-4</v>
      </c>
      <c r="AV113" s="400">
        <v>7.2984199999999997E-4</v>
      </c>
      <c r="AW113" s="78">
        <v>25867.155999999999</v>
      </c>
      <c r="AX113" s="78">
        <v>0</v>
      </c>
      <c r="AY113" s="78">
        <v>1253.28</v>
      </c>
      <c r="AZ113" s="78">
        <v>19693.0375894114</v>
      </c>
      <c r="BA113" s="78">
        <v>3</v>
      </c>
      <c r="BB113" s="78">
        <v>3.3</v>
      </c>
      <c r="BC113" s="78">
        <v>4205</v>
      </c>
      <c r="BD113" s="78">
        <v>1</v>
      </c>
      <c r="BE113" s="78">
        <v>0</v>
      </c>
      <c r="BF113" s="78">
        <v>0</v>
      </c>
      <c r="BG113" s="78">
        <v>0</v>
      </c>
      <c r="BH113" s="78">
        <v>0</v>
      </c>
      <c r="BI113" s="78">
        <v>0</v>
      </c>
      <c r="BJ113" s="78">
        <v>0</v>
      </c>
      <c r="BK113" s="78">
        <v>0</v>
      </c>
      <c r="BL113" s="78">
        <v>0</v>
      </c>
      <c r="BM113" s="78">
        <v>1296.4860000000001</v>
      </c>
      <c r="BN113" s="78">
        <v>212</v>
      </c>
      <c r="BO113" s="78">
        <v>272</v>
      </c>
      <c r="BP113" s="78">
        <v>11610.12</v>
      </c>
      <c r="BQ113" s="78">
        <v>2662.2</v>
      </c>
      <c r="BR113" s="78">
        <v>363.87607658807599</v>
      </c>
      <c r="BS113" s="78">
        <v>555</v>
      </c>
      <c r="BT113" s="78">
        <v>324</v>
      </c>
      <c r="BU113" s="78">
        <v>259.66666666666703</v>
      </c>
      <c r="BV113" s="78">
        <f t="shared" si="7"/>
        <v>2422</v>
      </c>
      <c r="BW113" s="78">
        <v>762</v>
      </c>
      <c r="BX113" s="78">
        <v>7462.6793024917797</v>
      </c>
      <c r="BY113" s="402">
        <v>3.1040000000000001</v>
      </c>
      <c r="BZ113" s="78">
        <v>34524</v>
      </c>
      <c r="CA113" s="78">
        <v>4582</v>
      </c>
      <c r="CB113" s="78">
        <v>775</v>
      </c>
      <c r="CC113" s="78">
        <v>1020</v>
      </c>
      <c r="CD113" s="78">
        <v>763</v>
      </c>
      <c r="CE113" s="78">
        <v>342</v>
      </c>
      <c r="CF113" s="78">
        <v>643.00975770200603</v>
      </c>
      <c r="CG113" s="78">
        <v>346.72540291634698</v>
      </c>
      <c r="CH113" s="78">
        <v>108.38008990242299</v>
      </c>
      <c r="CI113" s="78">
        <v>1399.152</v>
      </c>
      <c r="CJ113" s="78">
        <v>754.45439999999996</v>
      </c>
      <c r="CK113" s="78">
        <v>235.8288</v>
      </c>
      <c r="CL113" s="78">
        <v>81988</v>
      </c>
    </row>
    <row r="114" spans="1:90" customFormat="1" x14ac:dyDescent="0.35">
      <c r="A114" s="72">
        <v>285</v>
      </c>
      <c r="B114" s="72" t="s">
        <v>323</v>
      </c>
      <c r="C114" s="72">
        <v>5</v>
      </c>
      <c r="D114" s="78">
        <v>2555200000</v>
      </c>
      <c r="E114" s="78">
        <v>438900000</v>
      </c>
      <c r="F114" s="78">
        <v>473900000</v>
      </c>
      <c r="G114" s="78">
        <v>24552</v>
      </c>
      <c r="H114" s="78">
        <v>3</v>
      </c>
      <c r="I114" s="78">
        <f t="shared" si="5"/>
        <v>473.9</v>
      </c>
      <c r="J114" s="78">
        <v>4819</v>
      </c>
      <c r="K114" s="78">
        <v>5843</v>
      </c>
      <c r="L114" s="78">
        <v>1782</v>
      </c>
      <c r="M114" s="78">
        <v>2806</v>
      </c>
      <c r="N114" s="78">
        <f t="shared" si="6"/>
        <v>1699.3999999999999</v>
      </c>
      <c r="O114" s="78">
        <v>261.66666666666703</v>
      </c>
      <c r="P114" s="78">
        <v>20</v>
      </c>
      <c r="Q114" s="78">
        <v>1543.6666666666699</v>
      </c>
      <c r="R114" s="78">
        <v>2795</v>
      </c>
      <c r="S114" s="78">
        <v>475</v>
      </c>
      <c r="T114" s="78">
        <v>0</v>
      </c>
      <c r="U114" s="78">
        <v>504</v>
      </c>
      <c r="V114" s="78">
        <v>10862</v>
      </c>
      <c r="W114" s="78">
        <v>17730</v>
      </c>
      <c r="X114" s="78">
        <v>5970</v>
      </c>
      <c r="Y114" s="78">
        <v>1273.28</v>
      </c>
      <c r="Z114" s="78">
        <v>413.6</v>
      </c>
      <c r="AA114" s="78">
        <v>0</v>
      </c>
      <c r="AB114" s="399">
        <v>0</v>
      </c>
      <c r="AC114" s="399">
        <v>236.5</v>
      </c>
      <c r="AD114" s="78">
        <v>12293</v>
      </c>
      <c r="AE114" s="78">
        <v>12293</v>
      </c>
      <c r="AF114" s="78">
        <v>354</v>
      </c>
      <c r="AG114" s="78">
        <v>0</v>
      </c>
      <c r="AH114" s="78">
        <v>137</v>
      </c>
      <c r="AI114" s="78">
        <v>126</v>
      </c>
      <c r="AJ114" s="78">
        <v>137</v>
      </c>
      <c r="AK114" s="78">
        <v>126</v>
      </c>
      <c r="AL114" s="78">
        <v>263</v>
      </c>
      <c r="AM114" s="78">
        <v>11066</v>
      </c>
      <c r="AN114" s="78">
        <v>11066</v>
      </c>
      <c r="AO114" s="78">
        <v>0</v>
      </c>
      <c r="AP114" s="78">
        <v>0</v>
      </c>
      <c r="AQ114" s="78">
        <v>0</v>
      </c>
      <c r="AR114" s="78">
        <v>0</v>
      </c>
      <c r="AS114" s="78">
        <v>674</v>
      </c>
      <c r="AT114" s="78">
        <v>0</v>
      </c>
      <c r="AU114" s="400">
        <v>4.4639099999999998E-4</v>
      </c>
      <c r="AV114" s="400">
        <v>1.3076200000000001E-4</v>
      </c>
      <c r="AW114" s="78">
        <v>6451.4780000000001</v>
      </c>
      <c r="AX114" s="78">
        <v>0</v>
      </c>
      <c r="AY114" s="78">
        <v>2378</v>
      </c>
      <c r="AZ114" s="78">
        <v>4616.4826441053201</v>
      </c>
      <c r="BA114" s="78">
        <v>17</v>
      </c>
      <c r="BB114" s="78">
        <v>17</v>
      </c>
      <c r="BC114" s="78">
        <v>2983</v>
      </c>
      <c r="BD114" s="78">
        <v>1</v>
      </c>
      <c r="BE114" s="78">
        <v>0</v>
      </c>
      <c r="BF114" s="78">
        <v>0</v>
      </c>
      <c r="BG114" s="78">
        <v>0</v>
      </c>
      <c r="BH114" s="78">
        <v>0</v>
      </c>
      <c r="BI114" s="78">
        <v>0</v>
      </c>
      <c r="BJ114" s="78">
        <v>0</v>
      </c>
      <c r="BK114" s="78">
        <v>0</v>
      </c>
      <c r="BL114" s="78">
        <v>0</v>
      </c>
      <c r="BM114" s="78">
        <v>308.416</v>
      </c>
      <c r="BN114" s="78">
        <v>70</v>
      </c>
      <c r="BO114" s="78">
        <v>25</v>
      </c>
      <c r="BP114" s="78">
        <v>7002.81</v>
      </c>
      <c r="BQ114" s="78">
        <v>1743.05</v>
      </c>
      <c r="BR114" s="78">
        <v>95.165499023164998</v>
      </c>
      <c r="BS114" s="78">
        <v>197</v>
      </c>
      <c r="BT114" s="78">
        <v>75.3333333333333</v>
      </c>
      <c r="BU114" s="78">
        <v>56</v>
      </c>
      <c r="BV114" s="78">
        <f t="shared" si="7"/>
        <v>1282.000000000003</v>
      </c>
      <c r="BW114" s="78">
        <v>538</v>
      </c>
      <c r="BX114" s="78">
        <v>4088.4404275709599</v>
      </c>
      <c r="BY114" s="402">
        <v>0.29699999999999999</v>
      </c>
      <c r="BZ114" s="78">
        <v>18709</v>
      </c>
      <c r="CA114" s="78">
        <v>3381</v>
      </c>
      <c r="CB114" s="78">
        <v>680</v>
      </c>
      <c r="CC114" s="78">
        <v>547</v>
      </c>
      <c r="CD114" s="78">
        <v>538</v>
      </c>
      <c r="CE114" s="78">
        <v>358</v>
      </c>
      <c r="CF114" s="78">
        <v>300.996204590638</v>
      </c>
      <c r="CG114" s="78">
        <v>183.66911259714399</v>
      </c>
      <c r="CH114" s="78">
        <v>72.791939273450197</v>
      </c>
      <c r="CI114" s="78">
        <v>813.4</v>
      </c>
      <c r="CJ114" s="78">
        <v>496.34</v>
      </c>
      <c r="CK114" s="78">
        <v>196.71</v>
      </c>
      <c r="CL114" s="78">
        <v>170409</v>
      </c>
    </row>
    <row r="115" spans="1:90" customFormat="1" x14ac:dyDescent="0.35">
      <c r="A115" s="72">
        <v>289</v>
      </c>
      <c r="B115" s="72" t="s">
        <v>329</v>
      </c>
      <c r="C115" s="72">
        <v>5</v>
      </c>
      <c r="D115" s="78">
        <v>3416400000</v>
      </c>
      <c r="E115" s="78">
        <v>616700000</v>
      </c>
      <c r="F115" s="78">
        <v>624050000</v>
      </c>
      <c r="G115" s="78">
        <v>39664</v>
      </c>
      <c r="H115" s="78">
        <v>1</v>
      </c>
      <c r="I115" s="78">
        <f t="shared" si="5"/>
        <v>624.04999999999995</v>
      </c>
      <c r="J115" s="78">
        <v>5984</v>
      </c>
      <c r="K115" s="78">
        <v>6396</v>
      </c>
      <c r="L115" s="78">
        <v>1990</v>
      </c>
      <c r="M115" s="78">
        <v>5068</v>
      </c>
      <c r="N115" s="78">
        <f t="shared" si="6"/>
        <v>3101.7</v>
      </c>
      <c r="O115" s="78">
        <v>715</v>
      </c>
      <c r="P115" s="78">
        <v>35</v>
      </c>
      <c r="Q115" s="78">
        <v>2283</v>
      </c>
      <c r="R115" s="78">
        <v>13717</v>
      </c>
      <c r="S115" s="78">
        <v>1440</v>
      </c>
      <c r="T115" s="78">
        <v>0</v>
      </c>
      <c r="U115" s="78">
        <v>927</v>
      </c>
      <c r="V115" s="78">
        <v>23635</v>
      </c>
      <c r="W115" s="78">
        <v>42630</v>
      </c>
      <c r="X115" s="78">
        <v>36890</v>
      </c>
      <c r="Y115" s="78">
        <v>449.46</v>
      </c>
      <c r="Z115" s="78">
        <v>1536.8</v>
      </c>
      <c r="AA115" s="78">
        <v>0</v>
      </c>
      <c r="AB115" s="399">
        <v>0</v>
      </c>
      <c r="AC115" s="399">
        <v>0</v>
      </c>
      <c r="AD115" s="78">
        <v>3042</v>
      </c>
      <c r="AE115" s="78">
        <v>3042</v>
      </c>
      <c r="AF115" s="78">
        <v>194</v>
      </c>
      <c r="AG115" s="78">
        <v>0</v>
      </c>
      <c r="AH115" s="78">
        <v>139</v>
      </c>
      <c r="AI115" s="78">
        <v>19</v>
      </c>
      <c r="AJ115" s="78">
        <v>139</v>
      </c>
      <c r="AK115" s="78">
        <v>19</v>
      </c>
      <c r="AL115" s="78">
        <v>158</v>
      </c>
      <c r="AM115" s="78">
        <v>19663</v>
      </c>
      <c r="AN115" s="78">
        <v>19663</v>
      </c>
      <c r="AO115" s="78">
        <v>9</v>
      </c>
      <c r="AP115" s="78">
        <v>0</v>
      </c>
      <c r="AQ115" s="78">
        <v>0</v>
      </c>
      <c r="AR115" s="78">
        <v>1800</v>
      </c>
      <c r="AS115" s="78">
        <v>2670</v>
      </c>
      <c r="AT115" s="78">
        <v>2670</v>
      </c>
      <c r="AU115" s="400">
        <v>5.4911200000000004E-4</v>
      </c>
      <c r="AV115" s="400">
        <v>1.3787420000000001E-3</v>
      </c>
      <c r="AW115" s="78">
        <v>39738.923000000003</v>
      </c>
      <c r="AX115" s="78">
        <v>0</v>
      </c>
      <c r="AY115" s="78">
        <v>793</v>
      </c>
      <c r="AZ115" s="78">
        <v>9719.8862793572298</v>
      </c>
      <c r="BA115" s="78">
        <v>3</v>
      </c>
      <c r="BB115" s="78">
        <v>3</v>
      </c>
      <c r="BC115" s="78">
        <v>3717</v>
      </c>
      <c r="BD115" s="78">
        <v>1</v>
      </c>
      <c r="BE115" s="78">
        <v>0</v>
      </c>
      <c r="BF115" s="78">
        <v>0</v>
      </c>
      <c r="BG115" s="78">
        <v>0</v>
      </c>
      <c r="BH115" s="78">
        <v>0</v>
      </c>
      <c r="BI115" s="78">
        <v>0</v>
      </c>
      <c r="BJ115" s="78">
        <v>0</v>
      </c>
      <c r="BK115" s="78">
        <v>0</v>
      </c>
      <c r="BL115" s="78">
        <v>0</v>
      </c>
      <c r="BM115" s="78">
        <v>670.20799999999997</v>
      </c>
      <c r="BN115" s="78">
        <v>64</v>
      </c>
      <c r="BO115" s="78">
        <v>81</v>
      </c>
      <c r="BP115" s="78">
        <v>10657.72</v>
      </c>
      <c r="BQ115" s="78">
        <v>2280.4499999999998</v>
      </c>
      <c r="BR115" s="78">
        <v>269.71231458619098</v>
      </c>
      <c r="BS115" s="78">
        <v>350</v>
      </c>
      <c r="BT115" s="78">
        <v>181.333333333333</v>
      </c>
      <c r="BU115" s="78">
        <v>149</v>
      </c>
      <c r="BV115" s="78">
        <f t="shared" si="7"/>
        <v>1568</v>
      </c>
      <c r="BW115" s="78">
        <v>549</v>
      </c>
      <c r="BX115" s="78">
        <v>3622.40118842523</v>
      </c>
      <c r="BY115" s="402">
        <v>1.0389999999999999</v>
      </c>
      <c r="BZ115" s="78">
        <v>33268</v>
      </c>
      <c r="CA115" s="78">
        <v>3544</v>
      </c>
      <c r="CB115" s="78">
        <v>862</v>
      </c>
      <c r="CC115" s="78">
        <v>940</v>
      </c>
      <c r="CD115" s="78">
        <v>687</v>
      </c>
      <c r="CE115" s="78">
        <v>385</v>
      </c>
      <c r="CF115" s="78">
        <v>352.24004983980097</v>
      </c>
      <c r="CG115" s="78">
        <v>206.327803488786</v>
      </c>
      <c r="CH115" s="78">
        <v>81.710857956568205</v>
      </c>
      <c r="CI115" s="78">
        <v>1011.7723</v>
      </c>
      <c r="CJ115" s="78">
        <v>592.65480000000002</v>
      </c>
      <c r="CK115" s="78">
        <v>234.70580000000001</v>
      </c>
      <c r="CL115" s="78">
        <v>21593</v>
      </c>
    </row>
    <row r="116" spans="1:90" customFormat="1" x14ac:dyDescent="0.35">
      <c r="A116" s="72">
        <v>1960</v>
      </c>
      <c r="B116" s="72" t="s">
        <v>334</v>
      </c>
      <c r="C116" s="72">
        <v>5</v>
      </c>
      <c r="D116" s="78">
        <v>4588400000</v>
      </c>
      <c r="E116" s="78">
        <v>783300000</v>
      </c>
      <c r="F116" s="78">
        <v>879900000</v>
      </c>
      <c r="G116" s="78">
        <v>51128</v>
      </c>
      <c r="H116" s="78">
        <v>10</v>
      </c>
      <c r="I116" s="78">
        <f t="shared" si="5"/>
        <v>879.9</v>
      </c>
      <c r="J116" s="78">
        <v>10846</v>
      </c>
      <c r="K116" s="78">
        <v>9956</v>
      </c>
      <c r="L116" s="78">
        <v>3066</v>
      </c>
      <c r="M116" s="78">
        <v>4973</v>
      </c>
      <c r="N116" s="78">
        <f t="shared" si="6"/>
        <v>2877.6</v>
      </c>
      <c r="O116" s="78">
        <v>452</v>
      </c>
      <c r="P116" s="78">
        <v>63</v>
      </c>
      <c r="Q116" s="78">
        <v>2281</v>
      </c>
      <c r="R116" s="78">
        <v>5302</v>
      </c>
      <c r="S116" s="78">
        <v>1175</v>
      </c>
      <c r="T116" s="78">
        <v>0</v>
      </c>
      <c r="U116" s="78">
        <v>1236</v>
      </c>
      <c r="V116" s="78">
        <v>21089</v>
      </c>
      <c r="W116" s="78">
        <v>42750</v>
      </c>
      <c r="X116" s="78">
        <v>10310</v>
      </c>
      <c r="Y116" s="78">
        <v>0</v>
      </c>
      <c r="Z116" s="78">
        <v>1143.2</v>
      </c>
      <c r="AA116" s="78">
        <v>0</v>
      </c>
      <c r="AB116" s="399">
        <v>0</v>
      </c>
      <c r="AC116" s="399">
        <v>613.9</v>
      </c>
      <c r="AD116" s="78">
        <v>21581</v>
      </c>
      <c r="AE116" s="78">
        <v>26760.44</v>
      </c>
      <c r="AF116" s="78">
        <v>1331</v>
      </c>
      <c r="AG116" s="78">
        <v>0</v>
      </c>
      <c r="AH116" s="78">
        <v>308</v>
      </c>
      <c r="AI116" s="78">
        <v>209</v>
      </c>
      <c r="AJ116" s="78">
        <v>363.44</v>
      </c>
      <c r="AK116" s="78">
        <v>261.25</v>
      </c>
      <c r="AL116" s="78">
        <v>517</v>
      </c>
      <c r="AM116" s="78">
        <v>20954</v>
      </c>
      <c r="AN116" s="78">
        <v>24725.72</v>
      </c>
      <c r="AO116" s="78">
        <v>12</v>
      </c>
      <c r="AP116" s="78">
        <v>0</v>
      </c>
      <c r="AQ116" s="78">
        <v>0</v>
      </c>
      <c r="AR116" s="78">
        <v>1150</v>
      </c>
      <c r="AS116" s="78">
        <v>0</v>
      </c>
      <c r="AT116" s="78">
        <v>0</v>
      </c>
      <c r="AU116" s="400">
        <v>6.7941200000000001E-4</v>
      </c>
      <c r="AV116" s="400">
        <v>2.02363E-4</v>
      </c>
      <c r="AW116" s="78">
        <v>9534.07</v>
      </c>
      <c r="AX116" s="78">
        <v>0</v>
      </c>
      <c r="AY116" s="78">
        <v>8007.92</v>
      </c>
      <c r="AZ116" s="78">
        <v>29341.830782122899</v>
      </c>
      <c r="BA116" s="78">
        <v>25</v>
      </c>
      <c r="BB116" s="78">
        <v>31.25</v>
      </c>
      <c r="BC116" s="78">
        <v>6917</v>
      </c>
      <c r="BD116" s="78">
        <v>1</v>
      </c>
      <c r="BE116" s="78">
        <v>0</v>
      </c>
      <c r="BF116" s="78">
        <v>0</v>
      </c>
      <c r="BG116" s="78">
        <v>0</v>
      </c>
      <c r="BH116" s="78">
        <v>0</v>
      </c>
      <c r="BI116" s="78">
        <v>0</v>
      </c>
      <c r="BJ116" s="78">
        <v>0</v>
      </c>
      <c r="BK116" s="78">
        <v>0</v>
      </c>
      <c r="BL116" s="78">
        <v>0</v>
      </c>
      <c r="BM116" s="78">
        <v>780.91200000000003</v>
      </c>
      <c r="BN116" s="78">
        <v>334</v>
      </c>
      <c r="BO116" s="78">
        <v>113</v>
      </c>
      <c r="BP116" s="78">
        <v>15795.01</v>
      </c>
      <c r="BQ116" s="78">
        <v>4120.5600000000004</v>
      </c>
      <c r="BR116" s="78">
        <v>386.00813032827</v>
      </c>
      <c r="BS116" s="78">
        <v>513</v>
      </c>
      <c r="BT116" s="78">
        <v>158.333333333333</v>
      </c>
      <c r="BU116" s="78">
        <v>112.333333333333</v>
      </c>
      <c r="BV116" s="78">
        <f t="shared" si="7"/>
        <v>1829</v>
      </c>
      <c r="BW116" s="78">
        <v>460</v>
      </c>
      <c r="BX116" s="78">
        <v>7865.6661751188403</v>
      </c>
      <c r="BY116" s="402">
        <v>0.26100000000000001</v>
      </c>
      <c r="BZ116" s="78">
        <v>41172</v>
      </c>
      <c r="CA116" s="78">
        <v>5966</v>
      </c>
      <c r="CB116" s="78">
        <v>924</v>
      </c>
      <c r="CC116" s="78">
        <v>1032</v>
      </c>
      <c r="CD116" s="78">
        <v>927</v>
      </c>
      <c r="CE116" s="78">
        <v>451</v>
      </c>
      <c r="CF116" s="78">
        <v>488.20597499284099</v>
      </c>
      <c r="CG116" s="78">
        <v>277.13070535458598</v>
      </c>
      <c r="CH116" s="78">
        <v>85.006891285673404</v>
      </c>
      <c r="CI116" s="78">
        <v>1313.5725</v>
      </c>
      <c r="CJ116" s="78">
        <v>745.65099999999995</v>
      </c>
      <c r="CK116" s="78">
        <v>228.72049999999999</v>
      </c>
      <c r="CL116" s="78">
        <v>52879</v>
      </c>
    </row>
    <row r="117" spans="1:90" customFormat="1" x14ac:dyDescent="0.35">
      <c r="A117" s="72">
        <v>668</v>
      </c>
      <c r="B117" s="72" t="s">
        <v>335</v>
      </c>
      <c r="C117" s="72">
        <v>5</v>
      </c>
      <c r="D117" s="78">
        <v>1706400000</v>
      </c>
      <c r="E117" s="78">
        <v>217000000</v>
      </c>
      <c r="F117" s="78">
        <v>260400000</v>
      </c>
      <c r="G117" s="78">
        <v>19324</v>
      </c>
      <c r="H117" s="78">
        <v>5</v>
      </c>
      <c r="I117" s="78">
        <f t="shared" si="5"/>
        <v>260.39999999999998</v>
      </c>
      <c r="J117" s="78">
        <v>3431</v>
      </c>
      <c r="K117" s="78">
        <v>4087</v>
      </c>
      <c r="L117" s="78">
        <v>1241</v>
      </c>
      <c r="M117" s="78">
        <v>2440</v>
      </c>
      <c r="N117" s="78">
        <f t="shared" si="6"/>
        <v>1606.3</v>
      </c>
      <c r="O117" s="78">
        <v>205.333333333333</v>
      </c>
      <c r="P117" s="78">
        <v>17</v>
      </c>
      <c r="Q117" s="78">
        <v>1059.3333333333301</v>
      </c>
      <c r="R117" s="78">
        <v>2403</v>
      </c>
      <c r="S117" s="78">
        <v>265</v>
      </c>
      <c r="T117" s="78">
        <v>0</v>
      </c>
      <c r="U117" s="78">
        <v>475</v>
      </c>
      <c r="V117" s="78">
        <v>8557</v>
      </c>
      <c r="W117" s="78">
        <v>14460</v>
      </c>
      <c r="X117" s="78">
        <v>2350</v>
      </c>
      <c r="Y117" s="78">
        <v>0</v>
      </c>
      <c r="Z117" s="78">
        <v>192</v>
      </c>
      <c r="AA117" s="78">
        <v>0</v>
      </c>
      <c r="AB117" s="399">
        <v>0</v>
      </c>
      <c r="AC117" s="399">
        <v>0</v>
      </c>
      <c r="AD117" s="78">
        <v>7635</v>
      </c>
      <c r="AE117" s="78">
        <v>8093.1</v>
      </c>
      <c r="AF117" s="78">
        <v>886</v>
      </c>
      <c r="AG117" s="78">
        <v>0</v>
      </c>
      <c r="AH117" s="78">
        <v>145</v>
      </c>
      <c r="AI117" s="78">
        <v>69</v>
      </c>
      <c r="AJ117" s="78">
        <v>152.25</v>
      </c>
      <c r="AK117" s="78">
        <v>73.14</v>
      </c>
      <c r="AL117" s="78">
        <v>215</v>
      </c>
      <c r="AM117" s="78">
        <v>8337</v>
      </c>
      <c r="AN117" s="78">
        <v>8753.85</v>
      </c>
      <c r="AO117" s="78">
        <v>0</v>
      </c>
      <c r="AP117" s="78">
        <v>0</v>
      </c>
      <c r="AQ117" s="78">
        <v>0</v>
      </c>
      <c r="AR117" s="78">
        <v>0</v>
      </c>
      <c r="AS117" s="78">
        <v>836</v>
      </c>
      <c r="AT117" s="78">
        <v>0</v>
      </c>
      <c r="AU117" s="400">
        <v>2.87903E-4</v>
      </c>
      <c r="AV117" s="400">
        <v>7.3732000000000005E-5</v>
      </c>
      <c r="AW117" s="78">
        <v>3526.5509999999999</v>
      </c>
      <c r="AX117" s="78">
        <v>0</v>
      </c>
      <c r="AY117" s="78">
        <v>2399.84</v>
      </c>
      <c r="AZ117" s="78">
        <v>5548.1492219223101</v>
      </c>
      <c r="BA117" s="78">
        <v>12</v>
      </c>
      <c r="BB117" s="78">
        <v>12.72</v>
      </c>
      <c r="BC117" s="78">
        <v>2626</v>
      </c>
      <c r="BD117" s="78">
        <v>1</v>
      </c>
      <c r="BE117" s="78">
        <v>0</v>
      </c>
      <c r="BF117" s="78">
        <v>0</v>
      </c>
      <c r="BG117" s="78">
        <v>0</v>
      </c>
      <c r="BH117" s="78">
        <v>0</v>
      </c>
      <c r="BI117" s="78">
        <v>0</v>
      </c>
      <c r="BJ117" s="78">
        <v>0</v>
      </c>
      <c r="BK117" s="78">
        <v>0</v>
      </c>
      <c r="BL117" s="78">
        <v>0</v>
      </c>
      <c r="BM117" s="78">
        <v>264.18700000000001</v>
      </c>
      <c r="BN117" s="78">
        <v>100</v>
      </c>
      <c r="BO117" s="78">
        <v>47</v>
      </c>
      <c r="BP117" s="78">
        <v>5646.04</v>
      </c>
      <c r="BQ117" s="78">
        <v>1342.74</v>
      </c>
      <c r="BR117" s="78">
        <v>85.614980795610407</v>
      </c>
      <c r="BS117" s="78">
        <v>189</v>
      </c>
      <c r="BT117" s="78">
        <v>62.6666666666667</v>
      </c>
      <c r="BU117" s="78">
        <v>36.6666666666667</v>
      </c>
      <c r="BV117" s="78">
        <f t="shared" si="7"/>
        <v>853.99999999999704</v>
      </c>
      <c r="BW117" s="78">
        <v>214</v>
      </c>
      <c r="BX117" s="78">
        <v>3266.8054686517098</v>
      </c>
      <c r="BY117" s="402">
        <v>0.25700000000000001</v>
      </c>
      <c r="BZ117" s="78">
        <v>15237</v>
      </c>
      <c r="CA117" s="78">
        <v>2424</v>
      </c>
      <c r="CB117" s="78">
        <v>422</v>
      </c>
      <c r="CC117" s="78">
        <v>433</v>
      </c>
      <c r="CD117" s="78">
        <v>391</v>
      </c>
      <c r="CE117" s="78">
        <v>212</v>
      </c>
      <c r="CF117" s="78">
        <v>281.10731678061597</v>
      </c>
      <c r="CG117" s="78">
        <v>155.48567830154701</v>
      </c>
      <c r="CH117" s="78">
        <v>52.791915557154901</v>
      </c>
      <c r="CI117" s="78">
        <v>644.00260000000003</v>
      </c>
      <c r="CJ117" s="78">
        <v>356.20979999999997</v>
      </c>
      <c r="CK117" s="78">
        <v>120.9436</v>
      </c>
      <c r="CL117" s="78">
        <v>16136</v>
      </c>
    </row>
    <row r="118" spans="1:90" customFormat="1" x14ac:dyDescent="0.35">
      <c r="A118" s="72">
        <v>293</v>
      </c>
      <c r="B118" s="72" t="s">
        <v>338</v>
      </c>
      <c r="C118" s="72">
        <v>5</v>
      </c>
      <c r="D118" s="78">
        <v>1179200000</v>
      </c>
      <c r="E118" s="78">
        <v>77700000</v>
      </c>
      <c r="F118" s="78">
        <v>78400000</v>
      </c>
      <c r="G118" s="78">
        <v>14971</v>
      </c>
      <c r="H118" s="78">
        <v>1</v>
      </c>
      <c r="I118" s="78">
        <f t="shared" si="5"/>
        <v>78.400000000000006</v>
      </c>
      <c r="J118" s="78">
        <v>2717</v>
      </c>
      <c r="K118" s="78">
        <v>3018</v>
      </c>
      <c r="L118" s="78">
        <v>784</v>
      </c>
      <c r="M118" s="78">
        <v>2054</v>
      </c>
      <c r="N118" s="78">
        <f t="shared" si="6"/>
        <v>1378.9</v>
      </c>
      <c r="O118" s="78">
        <v>353</v>
      </c>
      <c r="P118" s="78">
        <v>18</v>
      </c>
      <c r="Q118" s="78">
        <v>1309</v>
      </c>
      <c r="R118" s="78">
        <v>2033</v>
      </c>
      <c r="S118" s="78">
        <v>755</v>
      </c>
      <c r="T118" s="78">
        <v>0</v>
      </c>
      <c r="U118" s="78">
        <v>622</v>
      </c>
      <c r="V118" s="78">
        <v>6837</v>
      </c>
      <c r="W118" s="78">
        <v>12760</v>
      </c>
      <c r="X118" s="78">
        <v>4230</v>
      </c>
      <c r="Y118" s="78">
        <v>0</v>
      </c>
      <c r="Z118" s="78">
        <v>0</v>
      </c>
      <c r="AA118" s="78">
        <v>0</v>
      </c>
      <c r="AB118" s="399">
        <v>0</v>
      </c>
      <c r="AC118" s="399">
        <v>0</v>
      </c>
      <c r="AD118" s="78">
        <v>702</v>
      </c>
      <c r="AE118" s="78">
        <v>702</v>
      </c>
      <c r="AF118" s="78">
        <v>82</v>
      </c>
      <c r="AG118" s="78">
        <v>0</v>
      </c>
      <c r="AH118" s="78">
        <v>62</v>
      </c>
      <c r="AI118" s="78">
        <v>2</v>
      </c>
      <c r="AJ118" s="78">
        <v>62</v>
      </c>
      <c r="AK118" s="78">
        <v>2</v>
      </c>
      <c r="AL118" s="78">
        <v>64</v>
      </c>
      <c r="AM118" s="78">
        <v>6751</v>
      </c>
      <c r="AN118" s="78">
        <v>6751</v>
      </c>
      <c r="AO118" s="78">
        <v>0</v>
      </c>
      <c r="AP118" s="78">
        <v>0</v>
      </c>
      <c r="AQ118" s="78">
        <v>0</v>
      </c>
      <c r="AR118" s="78">
        <v>0</v>
      </c>
      <c r="AS118" s="78">
        <v>0</v>
      </c>
      <c r="AT118" s="78">
        <v>0</v>
      </c>
      <c r="AU118" s="400">
        <v>5.8205000000000003E-5</v>
      </c>
      <c r="AV118" s="400">
        <v>5.3436000000000001E-5</v>
      </c>
      <c r="AW118" s="78">
        <v>7797.4049999999997</v>
      </c>
      <c r="AX118" s="78">
        <v>0</v>
      </c>
      <c r="AY118" s="78">
        <v>430</v>
      </c>
      <c r="AZ118" s="78">
        <v>8211.1352040816291</v>
      </c>
      <c r="BA118" s="78">
        <v>1</v>
      </c>
      <c r="BB118" s="78">
        <v>1</v>
      </c>
      <c r="BC118" s="78">
        <v>1230</v>
      </c>
      <c r="BD118" s="78">
        <v>1</v>
      </c>
      <c r="BE118" s="78">
        <v>0</v>
      </c>
      <c r="BF118" s="78">
        <v>0</v>
      </c>
      <c r="BG118" s="78">
        <v>0</v>
      </c>
      <c r="BH118" s="78">
        <v>0</v>
      </c>
      <c r="BI118" s="78">
        <v>0</v>
      </c>
      <c r="BJ118" s="78">
        <v>0</v>
      </c>
      <c r="BK118" s="78">
        <v>0</v>
      </c>
      <c r="BL118" s="78">
        <v>0</v>
      </c>
      <c r="BM118" s="78">
        <v>456.45600000000002</v>
      </c>
      <c r="BN118" s="78">
        <v>53</v>
      </c>
      <c r="BO118" s="78">
        <v>19</v>
      </c>
      <c r="BP118" s="78">
        <v>4219.1099999999997</v>
      </c>
      <c r="BQ118" s="78">
        <v>930.24</v>
      </c>
      <c r="BR118" s="78">
        <v>115.01966666666701</v>
      </c>
      <c r="BS118" s="78">
        <v>230</v>
      </c>
      <c r="BT118" s="78">
        <v>125</v>
      </c>
      <c r="BU118" s="78">
        <v>99.6666666666667</v>
      </c>
      <c r="BV118" s="78">
        <f t="shared" si="7"/>
        <v>956</v>
      </c>
      <c r="BW118" s="78">
        <v>264</v>
      </c>
      <c r="BX118" s="78">
        <v>2627.4585867237702</v>
      </c>
      <c r="BY118" s="402">
        <v>0.92100000000000004</v>
      </c>
      <c r="BZ118" s="78">
        <v>11953</v>
      </c>
      <c r="CA118" s="78">
        <v>1933</v>
      </c>
      <c r="CB118" s="78">
        <v>301</v>
      </c>
      <c r="CC118" s="78">
        <v>421</v>
      </c>
      <c r="CD118" s="78">
        <v>290</v>
      </c>
      <c r="CE118" s="78">
        <v>149</v>
      </c>
      <c r="CF118" s="78">
        <v>246.122722559621</v>
      </c>
      <c r="CG118" s="78">
        <v>113.97218189897799</v>
      </c>
      <c r="CH118" s="78">
        <v>38.807732187824001</v>
      </c>
      <c r="CI118" s="78">
        <v>595.75199999999995</v>
      </c>
      <c r="CJ118" s="78">
        <v>275.87520000000001</v>
      </c>
      <c r="CK118" s="78">
        <v>93.936000000000007</v>
      </c>
      <c r="CL118" s="78">
        <v>0</v>
      </c>
    </row>
    <row r="119" spans="1:90" customFormat="1" x14ac:dyDescent="0.35">
      <c r="A119" s="72">
        <v>296</v>
      </c>
      <c r="B119" s="72" t="s">
        <v>344</v>
      </c>
      <c r="C119" s="72">
        <v>5</v>
      </c>
      <c r="D119" s="78">
        <v>3724400000</v>
      </c>
      <c r="E119" s="78">
        <v>557550000</v>
      </c>
      <c r="F119" s="78">
        <v>581350000</v>
      </c>
      <c r="G119" s="78">
        <v>41110</v>
      </c>
      <c r="H119" s="78">
        <v>2</v>
      </c>
      <c r="I119" s="78">
        <f t="shared" si="5"/>
        <v>581.35</v>
      </c>
      <c r="J119" s="78">
        <v>7873</v>
      </c>
      <c r="K119" s="78">
        <v>8770</v>
      </c>
      <c r="L119" s="78">
        <v>2729</v>
      </c>
      <c r="M119" s="78">
        <v>5166</v>
      </c>
      <c r="N119" s="78">
        <f t="shared" si="6"/>
        <v>3350</v>
      </c>
      <c r="O119" s="78">
        <v>728.66666666666697</v>
      </c>
      <c r="P119" s="78">
        <v>33</v>
      </c>
      <c r="Q119" s="78">
        <v>2692.6666666666702</v>
      </c>
      <c r="R119" s="78">
        <v>5390</v>
      </c>
      <c r="S119" s="78">
        <v>1225</v>
      </c>
      <c r="T119" s="78">
        <v>0</v>
      </c>
      <c r="U119" s="78">
        <v>1273</v>
      </c>
      <c r="V119" s="78">
        <v>18200</v>
      </c>
      <c r="W119" s="78">
        <v>42110</v>
      </c>
      <c r="X119" s="78">
        <v>33120</v>
      </c>
      <c r="Y119" s="78">
        <v>465.3</v>
      </c>
      <c r="Z119" s="78">
        <v>1839.2</v>
      </c>
      <c r="AA119" s="78">
        <v>0</v>
      </c>
      <c r="AB119" s="399">
        <v>0</v>
      </c>
      <c r="AC119" s="399">
        <v>172.69999999999982</v>
      </c>
      <c r="AD119" s="78">
        <v>6598</v>
      </c>
      <c r="AE119" s="78">
        <v>6663.98</v>
      </c>
      <c r="AF119" s="78">
        <v>359</v>
      </c>
      <c r="AG119" s="78">
        <v>0</v>
      </c>
      <c r="AH119" s="78">
        <v>248</v>
      </c>
      <c r="AI119" s="78">
        <v>77</v>
      </c>
      <c r="AJ119" s="78">
        <v>248</v>
      </c>
      <c r="AK119" s="78">
        <v>78.540000000000006</v>
      </c>
      <c r="AL119" s="78">
        <v>325</v>
      </c>
      <c r="AM119" s="78">
        <v>18160</v>
      </c>
      <c r="AN119" s="78">
        <v>18160</v>
      </c>
      <c r="AO119" s="78">
        <v>5</v>
      </c>
      <c r="AP119" s="78">
        <v>0</v>
      </c>
      <c r="AQ119" s="78">
        <v>0</v>
      </c>
      <c r="AR119" s="78">
        <v>0</v>
      </c>
      <c r="AS119" s="78">
        <v>0</v>
      </c>
      <c r="AT119" s="78">
        <v>0</v>
      </c>
      <c r="AU119" s="400">
        <v>2.63255E-4</v>
      </c>
      <c r="AV119" s="400">
        <v>2.0608000000000001E-4</v>
      </c>
      <c r="AW119" s="78">
        <v>22373.119999999999</v>
      </c>
      <c r="AX119" s="78">
        <v>0</v>
      </c>
      <c r="AY119" s="78">
        <v>1546.31</v>
      </c>
      <c r="AZ119" s="78">
        <v>9137.3873939916593</v>
      </c>
      <c r="BA119" s="78">
        <v>7</v>
      </c>
      <c r="BB119" s="78">
        <v>7.14</v>
      </c>
      <c r="BC119" s="78">
        <v>4469</v>
      </c>
      <c r="BD119" s="78">
        <v>1</v>
      </c>
      <c r="BE119" s="78">
        <v>0</v>
      </c>
      <c r="BF119" s="78">
        <v>0</v>
      </c>
      <c r="BG119" s="78">
        <v>0</v>
      </c>
      <c r="BH119" s="78">
        <v>0</v>
      </c>
      <c r="BI119" s="78">
        <v>0</v>
      </c>
      <c r="BJ119" s="78">
        <v>0</v>
      </c>
      <c r="BK119" s="78">
        <v>0</v>
      </c>
      <c r="BL119" s="78">
        <v>0</v>
      </c>
      <c r="BM119" s="78">
        <v>747.93499999999995</v>
      </c>
      <c r="BN119" s="78">
        <v>83</v>
      </c>
      <c r="BO119" s="78">
        <v>65</v>
      </c>
      <c r="BP119" s="78">
        <v>12233.01</v>
      </c>
      <c r="BQ119" s="78">
        <v>3006.29</v>
      </c>
      <c r="BR119" s="78">
        <v>278.01267712318298</v>
      </c>
      <c r="BS119" s="78">
        <v>482</v>
      </c>
      <c r="BT119" s="78">
        <v>192.333333333333</v>
      </c>
      <c r="BU119" s="78">
        <v>168.333333333333</v>
      </c>
      <c r="BV119" s="78">
        <f t="shared" si="7"/>
        <v>1964.0000000000032</v>
      </c>
      <c r="BW119" s="78">
        <v>513</v>
      </c>
      <c r="BX119" s="78">
        <v>7048.1398940196796</v>
      </c>
      <c r="BY119" s="402">
        <v>1.4279999999999999</v>
      </c>
      <c r="BZ119" s="78">
        <v>32340</v>
      </c>
      <c r="CA119" s="78">
        <v>5225</v>
      </c>
      <c r="CB119" s="78">
        <v>816</v>
      </c>
      <c r="CC119" s="78">
        <v>1018</v>
      </c>
      <c r="CD119" s="78">
        <v>924</v>
      </c>
      <c r="CE119" s="78">
        <v>421</v>
      </c>
      <c r="CF119" s="78">
        <v>585.51211453744497</v>
      </c>
      <c r="CG119" s="78">
        <v>339.61178414096901</v>
      </c>
      <c r="CH119" s="78">
        <v>97.585352422907505</v>
      </c>
      <c r="CI119" s="78">
        <v>1376.5637999999999</v>
      </c>
      <c r="CJ119" s="78">
        <v>798.44169999999997</v>
      </c>
      <c r="CK119" s="78">
        <v>229.4273</v>
      </c>
      <c r="CL119" s="78">
        <v>8796</v>
      </c>
    </row>
    <row r="120" spans="1:90" customFormat="1" x14ac:dyDescent="0.35">
      <c r="A120" s="72">
        <v>294</v>
      </c>
      <c r="B120" s="72" t="s">
        <v>347</v>
      </c>
      <c r="C120" s="72">
        <v>5</v>
      </c>
      <c r="D120" s="78">
        <v>2155200000</v>
      </c>
      <c r="E120" s="78">
        <v>459550000</v>
      </c>
      <c r="F120" s="78">
        <v>501550000</v>
      </c>
      <c r="G120" s="78">
        <v>28854</v>
      </c>
      <c r="H120" s="78">
        <v>1</v>
      </c>
      <c r="I120" s="78">
        <f t="shared" si="5"/>
        <v>501.55</v>
      </c>
      <c r="J120" s="78">
        <v>5285</v>
      </c>
      <c r="K120" s="78">
        <v>6766</v>
      </c>
      <c r="L120" s="78">
        <v>2193</v>
      </c>
      <c r="M120" s="78">
        <v>4455</v>
      </c>
      <c r="N120" s="78">
        <f t="shared" si="6"/>
        <v>3073.3</v>
      </c>
      <c r="O120" s="78">
        <v>594.33333333333303</v>
      </c>
      <c r="P120" s="78">
        <v>44</v>
      </c>
      <c r="Q120" s="78">
        <v>2255.3333333333298</v>
      </c>
      <c r="R120" s="78">
        <v>4310</v>
      </c>
      <c r="S120" s="78">
        <v>1020</v>
      </c>
      <c r="T120" s="78">
        <v>0</v>
      </c>
      <c r="U120" s="78">
        <v>811</v>
      </c>
      <c r="V120" s="78">
        <v>13292</v>
      </c>
      <c r="W120" s="78">
        <v>29510</v>
      </c>
      <c r="X120" s="78">
        <v>28360</v>
      </c>
      <c r="Y120" s="78">
        <v>627.66</v>
      </c>
      <c r="Z120" s="78">
        <v>1318.4</v>
      </c>
      <c r="AA120" s="78">
        <v>0</v>
      </c>
      <c r="AB120" s="399">
        <v>0</v>
      </c>
      <c r="AC120" s="399">
        <v>0</v>
      </c>
      <c r="AD120" s="78">
        <v>13812</v>
      </c>
      <c r="AE120" s="78">
        <v>13812</v>
      </c>
      <c r="AF120" s="78">
        <v>70</v>
      </c>
      <c r="AG120" s="78">
        <v>0</v>
      </c>
      <c r="AH120" s="78">
        <v>160</v>
      </c>
      <c r="AI120" s="78">
        <v>135</v>
      </c>
      <c r="AJ120" s="78">
        <v>160</v>
      </c>
      <c r="AK120" s="78">
        <v>135</v>
      </c>
      <c r="AL120" s="78">
        <v>295</v>
      </c>
      <c r="AM120" s="78">
        <v>13817</v>
      </c>
      <c r="AN120" s="78">
        <v>13817</v>
      </c>
      <c r="AO120" s="78">
        <v>0</v>
      </c>
      <c r="AP120" s="78">
        <v>0</v>
      </c>
      <c r="AQ120" s="78">
        <v>0</v>
      </c>
      <c r="AR120" s="78">
        <v>0</v>
      </c>
      <c r="AS120" s="78">
        <v>2524</v>
      </c>
      <c r="AT120" s="78">
        <v>0</v>
      </c>
      <c r="AU120" s="400">
        <v>1.009533E-3</v>
      </c>
      <c r="AV120" s="400">
        <v>3.87291E-4</v>
      </c>
      <c r="AW120" s="78">
        <v>16594.217000000001</v>
      </c>
      <c r="AX120" s="78">
        <v>0</v>
      </c>
      <c r="AY120" s="78">
        <v>1296</v>
      </c>
      <c r="AZ120" s="78">
        <v>2693.7605532344</v>
      </c>
      <c r="BA120" s="78">
        <v>10</v>
      </c>
      <c r="BB120" s="78">
        <v>10</v>
      </c>
      <c r="BC120" s="78">
        <v>3111</v>
      </c>
      <c r="BD120" s="78">
        <v>1</v>
      </c>
      <c r="BE120" s="78">
        <v>0</v>
      </c>
      <c r="BF120" s="78">
        <v>0</v>
      </c>
      <c r="BG120" s="78">
        <v>0</v>
      </c>
      <c r="BH120" s="78">
        <v>0</v>
      </c>
      <c r="BI120" s="78">
        <v>0</v>
      </c>
      <c r="BJ120" s="78">
        <v>0</v>
      </c>
      <c r="BK120" s="78">
        <v>0</v>
      </c>
      <c r="BL120" s="78">
        <v>0</v>
      </c>
      <c r="BM120" s="78">
        <v>613.05999999999995</v>
      </c>
      <c r="BN120" s="78">
        <v>96</v>
      </c>
      <c r="BO120" s="78">
        <v>133</v>
      </c>
      <c r="BP120" s="78">
        <v>7663.2</v>
      </c>
      <c r="BQ120" s="78">
        <v>1668.39</v>
      </c>
      <c r="BR120" s="78">
        <v>211.24075329566901</v>
      </c>
      <c r="BS120" s="78">
        <v>340</v>
      </c>
      <c r="BT120" s="78">
        <v>152.666666666667</v>
      </c>
      <c r="BU120" s="78">
        <v>137</v>
      </c>
      <c r="BV120" s="78">
        <f t="shared" si="7"/>
        <v>1660.9999999999968</v>
      </c>
      <c r="BW120" s="78">
        <v>494</v>
      </c>
      <c r="BX120" s="78">
        <v>5365.5282344393299</v>
      </c>
      <c r="BY120" s="402">
        <v>1.5289999999999999</v>
      </c>
      <c r="BZ120" s="78">
        <v>22088</v>
      </c>
      <c r="CA120" s="78">
        <v>3749</v>
      </c>
      <c r="CB120" s="78">
        <v>824</v>
      </c>
      <c r="CC120" s="78">
        <v>755</v>
      </c>
      <c r="CD120" s="78">
        <v>702</v>
      </c>
      <c r="CE120" s="78">
        <v>399</v>
      </c>
      <c r="CF120" s="78">
        <v>512.03130925671303</v>
      </c>
      <c r="CG120" s="78">
        <v>317.40602880509499</v>
      </c>
      <c r="CH120" s="78">
        <v>120.111601650141</v>
      </c>
      <c r="CI120" s="78">
        <v>1220.06</v>
      </c>
      <c r="CJ120" s="78">
        <v>756.31</v>
      </c>
      <c r="CK120" s="78">
        <v>286.2</v>
      </c>
      <c r="CL120" s="78">
        <v>27349</v>
      </c>
    </row>
    <row r="121" spans="1:90" customFormat="1" x14ac:dyDescent="0.35">
      <c r="A121" s="72">
        <v>297</v>
      </c>
      <c r="B121" s="72" t="s">
        <v>353</v>
      </c>
      <c r="C121" s="72">
        <v>5</v>
      </c>
      <c r="D121" s="78">
        <v>2466400000</v>
      </c>
      <c r="E121" s="78">
        <v>521500000</v>
      </c>
      <c r="F121" s="78">
        <v>546700000</v>
      </c>
      <c r="G121" s="78">
        <v>28881</v>
      </c>
      <c r="H121" s="78">
        <v>7</v>
      </c>
      <c r="I121" s="78">
        <f t="shared" si="5"/>
        <v>546.70000000000005</v>
      </c>
      <c r="J121" s="78">
        <v>6508</v>
      </c>
      <c r="K121" s="78">
        <v>5243</v>
      </c>
      <c r="L121" s="78">
        <v>1672</v>
      </c>
      <c r="M121" s="78">
        <v>3107</v>
      </c>
      <c r="N121" s="78">
        <f t="shared" si="6"/>
        <v>1940.5</v>
      </c>
      <c r="O121" s="78">
        <v>303.33333333333297</v>
      </c>
      <c r="P121" s="78">
        <v>38</v>
      </c>
      <c r="Q121" s="78">
        <v>1413.3333333333301</v>
      </c>
      <c r="R121" s="78">
        <v>3628</v>
      </c>
      <c r="S121" s="78">
        <v>1165</v>
      </c>
      <c r="T121" s="78">
        <v>0</v>
      </c>
      <c r="U121" s="78">
        <v>799</v>
      </c>
      <c r="V121" s="78">
        <v>12108</v>
      </c>
      <c r="W121" s="78">
        <v>25200</v>
      </c>
      <c r="X121" s="78">
        <v>4730</v>
      </c>
      <c r="Y121" s="78">
        <v>392.04</v>
      </c>
      <c r="Z121" s="78">
        <v>1723.2</v>
      </c>
      <c r="AA121" s="78">
        <v>0</v>
      </c>
      <c r="AB121" s="399">
        <v>0</v>
      </c>
      <c r="AC121" s="399">
        <v>324.69999999999982</v>
      </c>
      <c r="AD121" s="78">
        <v>7849</v>
      </c>
      <c r="AE121" s="78">
        <v>8947.86</v>
      </c>
      <c r="AF121" s="78">
        <v>1055</v>
      </c>
      <c r="AG121" s="78">
        <v>0</v>
      </c>
      <c r="AH121" s="78">
        <v>175</v>
      </c>
      <c r="AI121" s="78">
        <v>80</v>
      </c>
      <c r="AJ121" s="78">
        <v>197.75</v>
      </c>
      <c r="AK121" s="78">
        <v>91.2</v>
      </c>
      <c r="AL121" s="78">
        <v>255</v>
      </c>
      <c r="AM121" s="78">
        <v>11665</v>
      </c>
      <c r="AN121" s="78">
        <v>13181.45</v>
      </c>
      <c r="AO121" s="78">
        <v>21</v>
      </c>
      <c r="AP121" s="78">
        <v>0</v>
      </c>
      <c r="AQ121" s="78">
        <v>0</v>
      </c>
      <c r="AR121" s="78">
        <v>4350</v>
      </c>
      <c r="AS121" s="78">
        <v>906</v>
      </c>
      <c r="AT121" s="78">
        <v>906</v>
      </c>
      <c r="AU121" s="400">
        <v>4.1790700000000002E-4</v>
      </c>
      <c r="AV121" s="400">
        <v>1.6507100000000001E-4</v>
      </c>
      <c r="AW121" s="78">
        <v>7978.86</v>
      </c>
      <c r="AX121" s="78">
        <v>0</v>
      </c>
      <c r="AY121" s="78">
        <v>4021.92</v>
      </c>
      <c r="AZ121" s="78">
        <v>17859.9014150943</v>
      </c>
      <c r="BA121" s="78">
        <v>11</v>
      </c>
      <c r="BB121" s="78">
        <v>12.54</v>
      </c>
      <c r="BC121" s="78">
        <v>3740</v>
      </c>
      <c r="BD121" s="78">
        <v>1</v>
      </c>
      <c r="BE121" s="78">
        <v>0</v>
      </c>
      <c r="BF121" s="78">
        <v>0</v>
      </c>
      <c r="BG121" s="78">
        <v>0</v>
      </c>
      <c r="BH121" s="78">
        <v>0</v>
      </c>
      <c r="BI121" s="78">
        <v>0</v>
      </c>
      <c r="BJ121" s="78">
        <v>0</v>
      </c>
      <c r="BK121" s="78">
        <v>0</v>
      </c>
      <c r="BL121" s="78">
        <v>0</v>
      </c>
      <c r="BM121" s="78">
        <v>488.1</v>
      </c>
      <c r="BN121" s="78">
        <v>180</v>
      </c>
      <c r="BO121" s="78">
        <v>103</v>
      </c>
      <c r="BP121" s="78">
        <v>8540.64</v>
      </c>
      <c r="BQ121" s="78">
        <v>2299.08</v>
      </c>
      <c r="BR121" s="78">
        <v>370.52289316987702</v>
      </c>
      <c r="BS121" s="78">
        <v>309</v>
      </c>
      <c r="BT121" s="78">
        <v>101</v>
      </c>
      <c r="BU121" s="78">
        <v>80.3333333333333</v>
      </c>
      <c r="BV121" s="78">
        <f t="shared" si="7"/>
        <v>1109.999999999997</v>
      </c>
      <c r="BW121" s="78">
        <v>248</v>
      </c>
      <c r="BX121" s="78">
        <v>4340.5043857860901</v>
      </c>
      <c r="BY121" s="402">
        <v>0.23699999999999999</v>
      </c>
      <c r="BZ121" s="78">
        <v>23638</v>
      </c>
      <c r="CA121" s="78">
        <v>3034</v>
      </c>
      <c r="CB121" s="78">
        <v>537</v>
      </c>
      <c r="CC121" s="78">
        <v>576</v>
      </c>
      <c r="CD121" s="78">
        <v>533</v>
      </c>
      <c r="CE121" s="78">
        <v>257</v>
      </c>
      <c r="CF121" s="78">
        <v>304.92383197599702</v>
      </c>
      <c r="CG121" s="78">
        <v>186.813673381912</v>
      </c>
      <c r="CH121" s="78">
        <v>59.221431633090397</v>
      </c>
      <c r="CI121" s="78">
        <v>747.31410000000005</v>
      </c>
      <c r="CJ121" s="78">
        <v>457.84710000000001</v>
      </c>
      <c r="CK121" s="78">
        <v>145.1412</v>
      </c>
      <c r="CL121" s="78">
        <v>6747</v>
      </c>
    </row>
    <row r="122" spans="1:90" customFormat="1" x14ac:dyDescent="0.35">
      <c r="A122" s="72">
        <v>299</v>
      </c>
      <c r="B122" s="72" t="s">
        <v>357</v>
      </c>
      <c r="C122" s="72">
        <v>5</v>
      </c>
      <c r="D122" s="78">
        <v>3432400000</v>
      </c>
      <c r="E122" s="78">
        <v>636300000</v>
      </c>
      <c r="F122" s="78">
        <v>650650000</v>
      </c>
      <c r="G122" s="78">
        <v>43750</v>
      </c>
      <c r="H122" s="78">
        <v>6</v>
      </c>
      <c r="I122" s="78">
        <f t="shared" si="5"/>
        <v>650.65</v>
      </c>
      <c r="J122" s="78">
        <v>7750</v>
      </c>
      <c r="K122" s="78">
        <v>10679</v>
      </c>
      <c r="L122" s="78">
        <v>3359</v>
      </c>
      <c r="M122" s="78">
        <v>6315</v>
      </c>
      <c r="N122" s="78">
        <f t="shared" si="6"/>
        <v>4302</v>
      </c>
      <c r="O122" s="78">
        <v>875.66666666666697</v>
      </c>
      <c r="P122" s="78">
        <v>56</v>
      </c>
      <c r="Q122" s="78">
        <v>3417.6666666666702</v>
      </c>
      <c r="R122" s="78">
        <v>6537</v>
      </c>
      <c r="S122" s="78">
        <v>1250</v>
      </c>
      <c r="T122" s="78">
        <v>0</v>
      </c>
      <c r="U122" s="78">
        <v>1409</v>
      </c>
      <c r="V122" s="78">
        <v>20281</v>
      </c>
      <c r="W122" s="78">
        <v>40310</v>
      </c>
      <c r="X122" s="78">
        <v>24860</v>
      </c>
      <c r="Y122" s="78">
        <v>461.34</v>
      </c>
      <c r="Z122" s="78">
        <v>1538.4</v>
      </c>
      <c r="AA122" s="78">
        <v>0</v>
      </c>
      <c r="AB122" s="399">
        <v>0</v>
      </c>
      <c r="AC122" s="399">
        <v>0</v>
      </c>
      <c r="AD122" s="78">
        <v>9246</v>
      </c>
      <c r="AE122" s="78">
        <v>9246</v>
      </c>
      <c r="AF122" s="78">
        <v>1365</v>
      </c>
      <c r="AG122" s="78">
        <v>0</v>
      </c>
      <c r="AH122" s="78">
        <v>237</v>
      </c>
      <c r="AI122" s="78">
        <v>89</v>
      </c>
      <c r="AJ122" s="78">
        <v>237</v>
      </c>
      <c r="AK122" s="78">
        <v>89</v>
      </c>
      <c r="AL122" s="78">
        <v>326</v>
      </c>
      <c r="AM122" s="78">
        <v>20130</v>
      </c>
      <c r="AN122" s="78">
        <v>20130</v>
      </c>
      <c r="AO122" s="78">
        <v>6</v>
      </c>
      <c r="AP122" s="78">
        <v>0</v>
      </c>
      <c r="AQ122" s="78">
        <v>0</v>
      </c>
      <c r="AR122" s="78">
        <v>0</v>
      </c>
      <c r="AS122" s="78">
        <v>0</v>
      </c>
      <c r="AT122" s="78">
        <v>0</v>
      </c>
      <c r="AU122" s="400">
        <v>4.2519900000000002E-4</v>
      </c>
      <c r="AV122" s="400">
        <v>4.5495600000000001E-4</v>
      </c>
      <c r="AW122" s="78">
        <v>20995.59</v>
      </c>
      <c r="AX122" s="78">
        <v>0</v>
      </c>
      <c r="AY122" s="78">
        <v>3340</v>
      </c>
      <c r="AZ122" s="78">
        <v>13771.086608236699</v>
      </c>
      <c r="BA122" s="78">
        <v>13</v>
      </c>
      <c r="BB122" s="78">
        <v>13</v>
      </c>
      <c r="BC122" s="78">
        <v>4186</v>
      </c>
      <c r="BD122" s="78">
        <v>1</v>
      </c>
      <c r="BE122" s="78">
        <v>0</v>
      </c>
      <c r="BF122" s="78">
        <v>0</v>
      </c>
      <c r="BG122" s="78">
        <v>0</v>
      </c>
      <c r="BH122" s="78">
        <v>0</v>
      </c>
      <c r="BI122" s="78">
        <v>0</v>
      </c>
      <c r="BJ122" s="78">
        <v>0</v>
      </c>
      <c r="BK122" s="78">
        <v>0</v>
      </c>
      <c r="BL122" s="78">
        <v>0</v>
      </c>
      <c r="BM122" s="78">
        <v>922.25</v>
      </c>
      <c r="BN122" s="78">
        <v>141</v>
      </c>
      <c r="BO122" s="78">
        <v>51</v>
      </c>
      <c r="BP122" s="78">
        <v>12307</v>
      </c>
      <c r="BQ122" s="78">
        <v>2638.42</v>
      </c>
      <c r="BR122" s="78">
        <v>268.719963592233</v>
      </c>
      <c r="BS122" s="78">
        <v>507</v>
      </c>
      <c r="BT122" s="78">
        <v>212</v>
      </c>
      <c r="BU122" s="78">
        <v>218.333333333333</v>
      </c>
      <c r="BV122" s="78">
        <f t="shared" si="7"/>
        <v>2542.0000000000032</v>
      </c>
      <c r="BW122" s="78">
        <v>703</v>
      </c>
      <c r="BX122" s="78">
        <v>8334.3508554083892</v>
      </c>
      <c r="BY122" s="402">
        <v>1.9510000000000001</v>
      </c>
      <c r="BZ122" s="78">
        <v>33071</v>
      </c>
      <c r="CA122" s="78">
        <v>6275</v>
      </c>
      <c r="CB122" s="78">
        <v>1045</v>
      </c>
      <c r="CC122" s="78">
        <v>1310</v>
      </c>
      <c r="CD122" s="78">
        <v>1123</v>
      </c>
      <c r="CE122" s="78">
        <v>549</v>
      </c>
      <c r="CF122" s="78">
        <v>816.16184798807797</v>
      </c>
      <c r="CG122" s="78">
        <v>484.69627421758599</v>
      </c>
      <c r="CH122" s="78">
        <v>153.87183308494801</v>
      </c>
      <c r="CI122" s="78">
        <v>1954.9460999999999</v>
      </c>
      <c r="CJ122" s="78">
        <v>1160.9892</v>
      </c>
      <c r="CK122" s="78">
        <v>368.56799999999998</v>
      </c>
      <c r="CL122" s="78">
        <v>42018</v>
      </c>
    </row>
    <row r="123" spans="1:90" customFormat="1" x14ac:dyDescent="0.35">
      <c r="A123" s="72">
        <v>301</v>
      </c>
      <c r="B123" s="72" t="s">
        <v>362</v>
      </c>
      <c r="C123" s="72">
        <v>5</v>
      </c>
      <c r="D123" s="78">
        <v>3852400000</v>
      </c>
      <c r="E123" s="78">
        <v>667800000</v>
      </c>
      <c r="F123" s="78">
        <v>711900000</v>
      </c>
      <c r="G123" s="78">
        <v>47934</v>
      </c>
      <c r="H123" s="78">
        <v>1</v>
      </c>
      <c r="I123" s="78">
        <f t="shared" si="5"/>
        <v>711.9</v>
      </c>
      <c r="J123" s="78">
        <v>9095</v>
      </c>
      <c r="K123" s="78">
        <v>10577</v>
      </c>
      <c r="L123" s="78">
        <v>3048</v>
      </c>
      <c r="M123" s="78">
        <v>7643</v>
      </c>
      <c r="N123" s="78">
        <f t="shared" si="6"/>
        <v>5356.7</v>
      </c>
      <c r="O123" s="78">
        <v>1506</v>
      </c>
      <c r="P123" s="78">
        <v>122</v>
      </c>
      <c r="Q123" s="78">
        <v>4979</v>
      </c>
      <c r="R123" s="78">
        <v>8587</v>
      </c>
      <c r="S123" s="78">
        <v>2770</v>
      </c>
      <c r="T123" s="78">
        <v>0</v>
      </c>
      <c r="U123" s="78">
        <v>1853</v>
      </c>
      <c r="V123" s="78">
        <v>23585</v>
      </c>
      <c r="W123" s="78">
        <v>54410</v>
      </c>
      <c r="X123" s="78">
        <v>60310</v>
      </c>
      <c r="Y123" s="78">
        <v>1094.3800000000001</v>
      </c>
      <c r="Z123" s="78">
        <v>4323.2</v>
      </c>
      <c r="AA123" s="78">
        <v>0</v>
      </c>
      <c r="AB123" s="399">
        <v>0</v>
      </c>
      <c r="AC123" s="399">
        <v>0</v>
      </c>
      <c r="AD123" s="78">
        <v>4092</v>
      </c>
      <c r="AE123" s="78">
        <v>4092</v>
      </c>
      <c r="AF123" s="78">
        <v>202</v>
      </c>
      <c r="AG123" s="78">
        <v>0</v>
      </c>
      <c r="AH123" s="78">
        <v>226</v>
      </c>
      <c r="AI123" s="78">
        <v>44</v>
      </c>
      <c r="AJ123" s="78">
        <v>226</v>
      </c>
      <c r="AK123" s="78">
        <v>44</v>
      </c>
      <c r="AL123" s="78">
        <v>270</v>
      </c>
      <c r="AM123" s="78">
        <v>22863</v>
      </c>
      <c r="AN123" s="78">
        <v>22863</v>
      </c>
      <c r="AO123" s="78">
        <v>28</v>
      </c>
      <c r="AP123" s="78">
        <v>0</v>
      </c>
      <c r="AQ123" s="78">
        <v>0</v>
      </c>
      <c r="AR123" s="78">
        <v>5750</v>
      </c>
      <c r="AS123" s="78">
        <v>4318</v>
      </c>
      <c r="AT123" s="78">
        <v>4318</v>
      </c>
      <c r="AU123" s="400">
        <v>1.9470749999999999E-3</v>
      </c>
      <c r="AV123" s="400">
        <v>1.4612200000000001E-3</v>
      </c>
      <c r="AW123" s="78">
        <v>37563.909</v>
      </c>
      <c r="AX123" s="78">
        <v>0</v>
      </c>
      <c r="AY123" s="78">
        <v>1375</v>
      </c>
      <c r="AZ123" s="78">
        <v>15349.1499767117</v>
      </c>
      <c r="BA123" s="78">
        <v>1</v>
      </c>
      <c r="BB123" s="78">
        <v>1</v>
      </c>
      <c r="BC123" s="78">
        <v>5110</v>
      </c>
      <c r="BD123" s="78">
        <v>1</v>
      </c>
      <c r="BE123" s="78">
        <v>0</v>
      </c>
      <c r="BF123" s="78">
        <v>0</v>
      </c>
      <c r="BG123" s="78">
        <v>0</v>
      </c>
      <c r="BH123" s="78">
        <v>0</v>
      </c>
      <c r="BI123" s="78">
        <v>0</v>
      </c>
      <c r="BJ123" s="78">
        <v>0</v>
      </c>
      <c r="BK123" s="78">
        <v>0</v>
      </c>
      <c r="BL123" s="78">
        <v>0</v>
      </c>
      <c r="BM123" s="78">
        <v>1400.63</v>
      </c>
      <c r="BN123" s="78">
        <v>173</v>
      </c>
      <c r="BO123" s="78">
        <v>150</v>
      </c>
      <c r="BP123" s="78">
        <v>13227.6</v>
      </c>
      <c r="BQ123" s="78">
        <v>2821.5</v>
      </c>
      <c r="BR123" s="78">
        <v>510.01067778566397</v>
      </c>
      <c r="BS123" s="78">
        <v>697</v>
      </c>
      <c r="BT123" s="78">
        <v>415</v>
      </c>
      <c r="BU123" s="78">
        <v>385.66666666666703</v>
      </c>
      <c r="BV123" s="78">
        <f t="shared" si="7"/>
        <v>3473</v>
      </c>
      <c r="BW123" s="78">
        <v>1145</v>
      </c>
      <c r="BX123" s="78">
        <v>9111.6987393140007</v>
      </c>
      <c r="BY123" s="402">
        <v>4.3</v>
      </c>
      <c r="BZ123" s="78">
        <v>37357</v>
      </c>
      <c r="CA123" s="78">
        <v>6398</v>
      </c>
      <c r="CB123" s="78">
        <v>1131</v>
      </c>
      <c r="CC123" s="78">
        <v>1685</v>
      </c>
      <c r="CD123" s="78">
        <v>1115</v>
      </c>
      <c r="CE123" s="78">
        <v>586</v>
      </c>
      <c r="CF123" s="78">
        <v>962.720565979968</v>
      </c>
      <c r="CG123" s="78">
        <v>477.02581463500002</v>
      </c>
      <c r="CH123" s="78">
        <v>192.59097231334499</v>
      </c>
      <c r="CI123" s="78">
        <v>2158.8685999999998</v>
      </c>
      <c r="CJ123" s="78">
        <v>1069.7144000000001</v>
      </c>
      <c r="CK123" s="78">
        <v>431.87880000000001</v>
      </c>
      <c r="CL123" s="78">
        <v>62639</v>
      </c>
    </row>
    <row r="124" spans="1:90" customFormat="1" x14ac:dyDescent="0.35">
      <c r="A124" s="72">
        <v>307</v>
      </c>
      <c r="B124" s="72" t="s">
        <v>24</v>
      </c>
      <c r="C124" s="72">
        <v>6</v>
      </c>
      <c r="D124" s="78">
        <v>16796400000</v>
      </c>
      <c r="E124" s="78">
        <v>2518950000</v>
      </c>
      <c r="F124" s="78">
        <v>2582650000</v>
      </c>
      <c r="G124" s="78">
        <v>157276</v>
      </c>
      <c r="H124" s="78">
        <v>1</v>
      </c>
      <c r="I124" s="78">
        <f t="shared" si="5"/>
        <v>2582.65</v>
      </c>
      <c r="J124" s="78">
        <v>34699</v>
      </c>
      <c r="K124" s="78">
        <v>23665</v>
      </c>
      <c r="L124" s="78">
        <v>7031</v>
      </c>
      <c r="M124" s="78">
        <v>19358</v>
      </c>
      <c r="N124" s="78">
        <f t="shared" si="6"/>
        <v>12522.5</v>
      </c>
      <c r="O124" s="78">
        <v>3377.6666666666702</v>
      </c>
      <c r="P124" s="78">
        <v>120</v>
      </c>
      <c r="Q124" s="78">
        <v>11397.666666666701</v>
      </c>
      <c r="R124" s="78">
        <v>25429</v>
      </c>
      <c r="S124" s="78">
        <v>16455</v>
      </c>
      <c r="T124" s="78">
        <v>0</v>
      </c>
      <c r="U124" s="78">
        <v>5286</v>
      </c>
      <c r="V124" s="78">
        <v>71386</v>
      </c>
      <c r="W124" s="78">
        <v>181080</v>
      </c>
      <c r="X124" s="78">
        <v>249290</v>
      </c>
      <c r="Y124" s="78">
        <v>5634.88</v>
      </c>
      <c r="Z124" s="78">
        <v>11888</v>
      </c>
      <c r="AA124" s="78">
        <v>0</v>
      </c>
      <c r="AB124" s="399">
        <v>0</v>
      </c>
      <c r="AC124" s="399">
        <v>0</v>
      </c>
      <c r="AD124" s="78">
        <v>6252</v>
      </c>
      <c r="AE124" s="78">
        <v>6252</v>
      </c>
      <c r="AF124" s="78">
        <v>134</v>
      </c>
      <c r="AG124" s="78">
        <v>0</v>
      </c>
      <c r="AH124" s="78">
        <v>632</v>
      </c>
      <c r="AI124" s="78">
        <v>40</v>
      </c>
      <c r="AJ124" s="78">
        <v>632</v>
      </c>
      <c r="AK124" s="78">
        <v>40</v>
      </c>
      <c r="AL124" s="78">
        <v>672</v>
      </c>
      <c r="AM124" s="78">
        <v>68355</v>
      </c>
      <c r="AN124" s="78">
        <v>68355</v>
      </c>
      <c r="AO124" s="78">
        <v>40</v>
      </c>
      <c r="AP124" s="78">
        <v>0</v>
      </c>
      <c r="AQ124" s="78">
        <v>0</v>
      </c>
      <c r="AR124" s="78">
        <v>6800</v>
      </c>
      <c r="AS124" s="78">
        <v>8558</v>
      </c>
      <c r="AT124" s="78">
        <v>8558</v>
      </c>
      <c r="AU124" s="400">
        <v>3.2054090000000002E-3</v>
      </c>
      <c r="AV124" s="400">
        <v>4.5012940000000003E-3</v>
      </c>
      <c r="AW124" s="78">
        <v>157079.79</v>
      </c>
      <c r="AX124" s="78">
        <v>0</v>
      </c>
      <c r="AY124" s="78">
        <v>2508</v>
      </c>
      <c r="AZ124" s="78">
        <v>61767.649232696502</v>
      </c>
      <c r="BA124" s="78">
        <v>3</v>
      </c>
      <c r="BB124" s="78">
        <v>3</v>
      </c>
      <c r="BC124" s="78">
        <v>19811</v>
      </c>
      <c r="BD124" s="78">
        <v>1</v>
      </c>
      <c r="BE124" s="78">
        <v>0</v>
      </c>
      <c r="BF124" s="78">
        <v>0</v>
      </c>
      <c r="BG124" s="78">
        <v>0</v>
      </c>
      <c r="BH124" s="78">
        <v>0</v>
      </c>
      <c r="BI124" s="78">
        <v>0</v>
      </c>
      <c r="BJ124" s="78">
        <v>0</v>
      </c>
      <c r="BK124" s="78">
        <v>0</v>
      </c>
      <c r="BL124" s="78">
        <v>0</v>
      </c>
      <c r="BM124" s="78">
        <v>3643.395</v>
      </c>
      <c r="BN124" s="78">
        <v>270</v>
      </c>
      <c r="BO124" s="78">
        <v>459</v>
      </c>
      <c r="BP124" s="78">
        <v>49842.720000000001</v>
      </c>
      <c r="BQ124" s="78">
        <v>13623.48</v>
      </c>
      <c r="BR124" s="78">
        <v>1729.52373500255</v>
      </c>
      <c r="BS124" s="78">
        <v>2115</v>
      </c>
      <c r="BT124" s="78">
        <v>1011.33333333333</v>
      </c>
      <c r="BU124" s="78">
        <v>897</v>
      </c>
      <c r="BV124" s="78">
        <f t="shared" si="7"/>
        <v>8020.0000000000309</v>
      </c>
      <c r="BW124" s="78">
        <v>1947</v>
      </c>
      <c r="BX124" s="78">
        <v>19056.635166809599</v>
      </c>
      <c r="BY124" s="402">
        <v>7.0090000000000003</v>
      </c>
      <c r="BZ124" s="78">
        <v>133611</v>
      </c>
      <c r="CA124" s="78">
        <v>13806</v>
      </c>
      <c r="CB124" s="78">
        <v>2828</v>
      </c>
      <c r="CC124" s="78">
        <v>3724</v>
      </c>
      <c r="CD124" s="78">
        <v>2761</v>
      </c>
      <c r="CE124" s="78">
        <v>1515</v>
      </c>
      <c r="CF124" s="78">
        <v>1626.9815302465099</v>
      </c>
      <c r="CG124" s="78">
        <v>894.37268670909202</v>
      </c>
      <c r="CH124" s="78">
        <v>361.08327847267901</v>
      </c>
      <c r="CI124" s="78">
        <v>3494.6734999999999</v>
      </c>
      <c r="CJ124" s="78">
        <v>1921.067</v>
      </c>
      <c r="CK124" s="78">
        <v>775.58849999999995</v>
      </c>
      <c r="CL124" s="78">
        <v>128927</v>
      </c>
    </row>
    <row r="125" spans="1:90" customFormat="1" x14ac:dyDescent="0.35">
      <c r="A125" s="72">
        <v>308</v>
      </c>
      <c r="B125" s="72" t="s">
        <v>33</v>
      </c>
      <c r="C125" s="72">
        <v>6</v>
      </c>
      <c r="D125" s="78">
        <v>3242000000</v>
      </c>
      <c r="E125" s="78">
        <v>306950000</v>
      </c>
      <c r="F125" s="78">
        <v>316050000</v>
      </c>
      <c r="G125" s="78">
        <v>24868</v>
      </c>
      <c r="H125" s="78">
        <v>1</v>
      </c>
      <c r="I125" s="78">
        <f t="shared" si="5"/>
        <v>316.05</v>
      </c>
      <c r="J125" s="78">
        <v>4775</v>
      </c>
      <c r="K125" s="78">
        <v>5963</v>
      </c>
      <c r="L125" s="78">
        <v>1906</v>
      </c>
      <c r="M125" s="78">
        <v>3240</v>
      </c>
      <c r="N125" s="78">
        <f t="shared" si="6"/>
        <v>1983.6</v>
      </c>
      <c r="O125" s="78">
        <v>360.66666666666703</v>
      </c>
      <c r="P125" s="78">
        <v>12</v>
      </c>
      <c r="Q125" s="78">
        <v>1886.6666666666699</v>
      </c>
      <c r="R125" s="78">
        <v>4217</v>
      </c>
      <c r="S125" s="78">
        <v>1200</v>
      </c>
      <c r="T125" s="78">
        <v>0</v>
      </c>
      <c r="U125" s="78">
        <v>771</v>
      </c>
      <c r="V125" s="78">
        <v>12182</v>
      </c>
      <c r="W125" s="78">
        <v>21580</v>
      </c>
      <c r="X125" s="78">
        <v>7850</v>
      </c>
      <c r="Y125" s="78">
        <v>0</v>
      </c>
      <c r="Z125" s="78">
        <v>1182.4000000000001</v>
      </c>
      <c r="AA125" s="78">
        <v>0</v>
      </c>
      <c r="AB125" s="399">
        <v>0</v>
      </c>
      <c r="AC125" s="399">
        <v>97.5</v>
      </c>
      <c r="AD125" s="78">
        <v>3253</v>
      </c>
      <c r="AE125" s="78">
        <v>3253</v>
      </c>
      <c r="AF125" s="78">
        <v>48</v>
      </c>
      <c r="AG125" s="78">
        <v>0</v>
      </c>
      <c r="AH125" s="78">
        <v>111</v>
      </c>
      <c r="AI125" s="78">
        <v>15</v>
      </c>
      <c r="AJ125" s="78">
        <v>111</v>
      </c>
      <c r="AK125" s="78">
        <v>15</v>
      </c>
      <c r="AL125" s="78">
        <v>126</v>
      </c>
      <c r="AM125" s="78">
        <v>12564</v>
      </c>
      <c r="AN125" s="78">
        <v>12564</v>
      </c>
      <c r="AO125" s="78">
        <v>0</v>
      </c>
      <c r="AP125" s="78">
        <v>0</v>
      </c>
      <c r="AQ125" s="78">
        <v>0</v>
      </c>
      <c r="AR125" s="78">
        <v>0</v>
      </c>
      <c r="AS125" s="78">
        <v>2959</v>
      </c>
      <c r="AT125" s="78">
        <v>0</v>
      </c>
      <c r="AU125" s="400">
        <v>5.3931300000000003E-4</v>
      </c>
      <c r="AV125" s="400">
        <v>3.8862899999999998E-4</v>
      </c>
      <c r="AW125" s="78">
        <v>20290.86</v>
      </c>
      <c r="AX125" s="78">
        <v>0</v>
      </c>
      <c r="AY125" s="78">
        <v>622</v>
      </c>
      <c r="AZ125" s="78">
        <v>4685.8212662829501</v>
      </c>
      <c r="BA125" s="78">
        <v>5</v>
      </c>
      <c r="BB125" s="78">
        <v>5</v>
      </c>
      <c r="BC125" s="78">
        <v>3766</v>
      </c>
      <c r="BD125" s="78">
        <v>1</v>
      </c>
      <c r="BE125" s="78">
        <v>0</v>
      </c>
      <c r="BF125" s="78">
        <v>0</v>
      </c>
      <c r="BG125" s="78">
        <v>0</v>
      </c>
      <c r="BH125" s="78">
        <v>0</v>
      </c>
      <c r="BI125" s="78">
        <v>0</v>
      </c>
      <c r="BJ125" s="78">
        <v>0</v>
      </c>
      <c r="BK125" s="78">
        <v>0</v>
      </c>
      <c r="BL125" s="78">
        <v>0</v>
      </c>
      <c r="BM125" s="78">
        <v>448.85</v>
      </c>
      <c r="BN125" s="78">
        <v>40</v>
      </c>
      <c r="BO125" s="78">
        <v>46</v>
      </c>
      <c r="BP125" s="78">
        <v>8768.2099999999991</v>
      </c>
      <c r="BQ125" s="78">
        <v>2230.1999999999998</v>
      </c>
      <c r="BR125" s="78">
        <v>206.388450937155</v>
      </c>
      <c r="BS125" s="78">
        <v>283</v>
      </c>
      <c r="BT125" s="78">
        <v>88.6666666666667</v>
      </c>
      <c r="BU125" s="78">
        <v>75.6666666666667</v>
      </c>
      <c r="BV125" s="78">
        <f t="shared" si="7"/>
        <v>1526.000000000003</v>
      </c>
      <c r="BW125" s="78">
        <v>771</v>
      </c>
      <c r="BX125" s="78">
        <v>3727.0973989582899</v>
      </c>
      <c r="BY125" s="402">
        <v>0.61699999999999999</v>
      </c>
      <c r="BZ125" s="78">
        <v>18905</v>
      </c>
      <c r="CA125" s="78">
        <v>3193</v>
      </c>
      <c r="CB125" s="78">
        <v>864</v>
      </c>
      <c r="CC125" s="78">
        <v>815</v>
      </c>
      <c r="CD125" s="78">
        <v>723</v>
      </c>
      <c r="CE125" s="78">
        <v>437</v>
      </c>
      <c r="CF125" s="78">
        <v>306.91805157593097</v>
      </c>
      <c r="CG125" s="78">
        <v>208.874785100287</v>
      </c>
      <c r="CH125" s="78">
        <v>92.359598853868206</v>
      </c>
      <c r="CI125" s="78">
        <v>620.33040000000005</v>
      </c>
      <c r="CJ125" s="78">
        <v>422.16930000000002</v>
      </c>
      <c r="CK125" s="78">
        <v>186.67349999999999</v>
      </c>
      <c r="CL125" s="78">
        <v>339604</v>
      </c>
    </row>
    <row r="126" spans="1:90" customFormat="1" x14ac:dyDescent="0.35">
      <c r="A126" s="72">
        <v>312</v>
      </c>
      <c r="B126" s="72" t="s">
        <v>65</v>
      </c>
      <c r="C126" s="72">
        <v>6</v>
      </c>
      <c r="D126" s="78">
        <v>1922400000</v>
      </c>
      <c r="E126" s="78">
        <v>224350000</v>
      </c>
      <c r="F126" s="78">
        <v>240100000</v>
      </c>
      <c r="G126" s="78">
        <v>15191</v>
      </c>
      <c r="H126" s="78">
        <v>3</v>
      </c>
      <c r="I126" s="78">
        <f t="shared" si="5"/>
        <v>240.1</v>
      </c>
      <c r="J126" s="78">
        <v>3329</v>
      </c>
      <c r="K126" s="78">
        <v>3402</v>
      </c>
      <c r="L126" s="78">
        <v>1209</v>
      </c>
      <c r="M126" s="78">
        <v>1230</v>
      </c>
      <c r="N126" s="78">
        <f t="shared" si="6"/>
        <v>584.4</v>
      </c>
      <c r="O126" s="78">
        <v>127.666666666667</v>
      </c>
      <c r="P126" s="78">
        <v>11</v>
      </c>
      <c r="Q126" s="78">
        <v>612.66666666666697</v>
      </c>
      <c r="R126" s="78">
        <v>1969</v>
      </c>
      <c r="S126" s="78">
        <v>410</v>
      </c>
      <c r="T126" s="78">
        <v>0</v>
      </c>
      <c r="U126" s="78">
        <v>356</v>
      </c>
      <c r="V126" s="78">
        <v>6571</v>
      </c>
      <c r="W126" s="78">
        <v>8370</v>
      </c>
      <c r="X126" s="78">
        <v>610</v>
      </c>
      <c r="Y126" s="78">
        <v>44.98</v>
      </c>
      <c r="Z126" s="78">
        <v>0</v>
      </c>
      <c r="AA126" s="78">
        <v>0</v>
      </c>
      <c r="AB126" s="399">
        <v>0</v>
      </c>
      <c r="AC126" s="399">
        <v>0</v>
      </c>
      <c r="AD126" s="78">
        <v>3689</v>
      </c>
      <c r="AE126" s="78">
        <v>3762.78</v>
      </c>
      <c r="AF126" s="78">
        <v>68</v>
      </c>
      <c r="AG126" s="78">
        <v>0</v>
      </c>
      <c r="AH126" s="78">
        <v>81</v>
      </c>
      <c r="AI126" s="78">
        <v>32</v>
      </c>
      <c r="AJ126" s="78">
        <v>81</v>
      </c>
      <c r="AK126" s="78">
        <v>32.96</v>
      </c>
      <c r="AL126" s="78">
        <v>113</v>
      </c>
      <c r="AM126" s="78">
        <v>6456</v>
      </c>
      <c r="AN126" s="78">
        <v>6456</v>
      </c>
      <c r="AO126" s="78">
        <v>0</v>
      </c>
      <c r="AP126" s="78">
        <v>0</v>
      </c>
      <c r="AQ126" s="78">
        <v>0</v>
      </c>
      <c r="AR126" s="78">
        <v>0</v>
      </c>
      <c r="AS126" s="78">
        <v>0</v>
      </c>
      <c r="AT126" s="78">
        <v>0</v>
      </c>
      <c r="AU126" s="400">
        <v>4.5543000000000001E-5</v>
      </c>
      <c r="AV126" s="400">
        <v>4.6032999999999998E-5</v>
      </c>
      <c r="AW126" s="78">
        <v>4254.5039999999999</v>
      </c>
      <c r="AX126" s="78">
        <v>0</v>
      </c>
      <c r="AY126" s="78">
        <v>927.18</v>
      </c>
      <c r="AZ126" s="78">
        <v>3864.42542986425</v>
      </c>
      <c r="BA126" s="78">
        <v>3</v>
      </c>
      <c r="BB126" s="78">
        <v>3.09</v>
      </c>
      <c r="BC126" s="78">
        <v>2140</v>
      </c>
      <c r="BD126" s="78">
        <v>1</v>
      </c>
      <c r="BE126" s="78">
        <v>0</v>
      </c>
      <c r="BF126" s="78">
        <v>0</v>
      </c>
      <c r="BG126" s="78">
        <v>0</v>
      </c>
      <c r="BH126" s="78">
        <v>0</v>
      </c>
      <c r="BI126" s="78">
        <v>0</v>
      </c>
      <c r="BJ126" s="78">
        <v>0</v>
      </c>
      <c r="BK126" s="78">
        <v>0</v>
      </c>
      <c r="BL126" s="78">
        <v>0</v>
      </c>
      <c r="BM126" s="78">
        <v>156.46299999999999</v>
      </c>
      <c r="BN126" s="78">
        <v>14</v>
      </c>
      <c r="BO126" s="78">
        <v>10</v>
      </c>
      <c r="BP126" s="78">
        <v>5661.04</v>
      </c>
      <c r="BQ126" s="78">
        <v>1518.76</v>
      </c>
      <c r="BR126" s="78">
        <v>107.785745621351</v>
      </c>
      <c r="BS126" s="78">
        <v>132</v>
      </c>
      <c r="BT126" s="78">
        <v>32.6666666666667</v>
      </c>
      <c r="BU126" s="78">
        <v>20.6666666666667</v>
      </c>
      <c r="BV126" s="78">
        <f t="shared" si="7"/>
        <v>485</v>
      </c>
      <c r="BW126" s="78">
        <v>116</v>
      </c>
      <c r="BX126" s="78">
        <v>2285.8095286993198</v>
      </c>
      <c r="BY126" s="402">
        <v>7.2999999999999995E-2</v>
      </c>
      <c r="BZ126" s="78">
        <v>11789</v>
      </c>
      <c r="CA126" s="78">
        <v>1746</v>
      </c>
      <c r="CB126" s="78">
        <v>447</v>
      </c>
      <c r="CC126" s="78">
        <v>307</v>
      </c>
      <c r="CD126" s="78">
        <v>387</v>
      </c>
      <c r="CE126" s="78">
        <v>215</v>
      </c>
      <c r="CF126" s="78">
        <v>95.136988847583595</v>
      </c>
      <c r="CG126" s="78">
        <v>73.593122676579895</v>
      </c>
      <c r="CH126" s="78">
        <v>28.3328996282528</v>
      </c>
      <c r="CI126" s="78">
        <v>285.13630000000001</v>
      </c>
      <c r="CJ126" s="78">
        <v>220.5669</v>
      </c>
      <c r="CK126" s="78">
        <v>84.916899999999998</v>
      </c>
      <c r="CL126" s="78">
        <v>0</v>
      </c>
    </row>
    <row r="127" spans="1:90" customFormat="1" x14ac:dyDescent="0.35">
      <c r="A127" s="72">
        <v>313</v>
      </c>
      <c r="B127" s="72" t="s">
        <v>66</v>
      </c>
      <c r="C127" s="72">
        <v>6</v>
      </c>
      <c r="D127" s="78">
        <v>2097600000</v>
      </c>
      <c r="E127" s="78">
        <v>381850000</v>
      </c>
      <c r="F127" s="78">
        <v>403900000</v>
      </c>
      <c r="G127" s="78">
        <v>21866</v>
      </c>
      <c r="H127" s="78">
        <v>1</v>
      </c>
      <c r="I127" s="78">
        <f t="shared" si="5"/>
        <v>403.9</v>
      </c>
      <c r="J127" s="78">
        <v>5102</v>
      </c>
      <c r="K127" s="78">
        <v>3605</v>
      </c>
      <c r="L127" s="78">
        <v>1164</v>
      </c>
      <c r="M127" s="78">
        <v>2050</v>
      </c>
      <c r="N127" s="78">
        <f t="shared" si="6"/>
        <v>1192</v>
      </c>
      <c r="O127" s="78">
        <v>162</v>
      </c>
      <c r="P127" s="78">
        <v>20</v>
      </c>
      <c r="Q127" s="78">
        <v>974</v>
      </c>
      <c r="R127" s="78">
        <v>2159</v>
      </c>
      <c r="S127" s="78">
        <v>690</v>
      </c>
      <c r="T127" s="78">
        <v>0</v>
      </c>
      <c r="U127" s="78">
        <v>432</v>
      </c>
      <c r="V127" s="78">
        <v>8656</v>
      </c>
      <c r="W127" s="78">
        <v>19030</v>
      </c>
      <c r="X127" s="78">
        <v>6420</v>
      </c>
      <c r="Y127" s="78">
        <v>0</v>
      </c>
      <c r="Z127" s="78">
        <v>316</v>
      </c>
      <c r="AA127" s="78">
        <v>0</v>
      </c>
      <c r="AB127" s="399">
        <v>0</v>
      </c>
      <c r="AC127" s="399">
        <v>78.199999999999989</v>
      </c>
      <c r="AD127" s="78">
        <v>3040</v>
      </c>
      <c r="AE127" s="78">
        <v>3040</v>
      </c>
      <c r="AF127" s="78">
        <v>442</v>
      </c>
      <c r="AG127" s="78">
        <v>0</v>
      </c>
      <c r="AH127" s="78">
        <v>123</v>
      </c>
      <c r="AI127" s="78">
        <v>21</v>
      </c>
      <c r="AJ127" s="78">
        <v>123</v>
      </c>
      <c r="AK127" s="78">
        <v>21</v>
      </c>
      <c r="AL127" s="78">
        <v>144</v>
      </c>
      <c r="AM127" s="78">
        <v>8580</v>
      </c>
      <c r="AN127" s="78">
        <v>8580</v>
      </c>
      <c r="AO127" s="78">
        <v>0</v>
      </c>
      <c r="AP127" s="78">
        <v>0</v>
      </c>
      <c r="AQ127" s="78">
        <v>0</v>
      </c>
      <c r="AR127" s="78">
        <v>0</v>
      </c>
      <c r="AS127" s="78">
        <v>717</v>
      </c>
      <c r="AT127" s="78">
        <v>0</v>
      </c>
      <c r="AU127" s="400">
        <v>7.5710000000000005E-5</v>
      </c>
      <c r="AV127" s="400">
        <v>4.4685999999999999E-5</v>
      </c>
      <c r="AW127" s="78">
        <v>10132.98</v>
      </c>
      <c r="AX127" s="78">
        <v>0</v>
      </c>
      <c r="AY127" s="78">
        <v>1008</v>
      </c>
      <c r="AZ127" s="78">
        <v>6329.9620907524404</v>
      </c>
      <c r="BA127" s="78">
        <v>2</v>
      </c>
      <c r="BB127" s="78">
        <v>2</v>
      </c>
      <c r="BC127" s="78">
        <v>2564</v>
      </c>
      <c r="BD127" s="78">
        <v>1</v>
      </c>
      <c r="BE127" s="78">
        <v>0</v>
      </c>
      <c r="BF127" s="78">
        <v>0</v>
      </c>
      <c r="BG127" s="78">
        <v>0</v>
      </c>
      <c r="BH127" s="78">
        <v>0</v>
      </c>
      <c r="BI127" s="78">
        <v>0</v>
      </c>
      <c r="BJ127" s="78">
        <v>0</v>
      </c>
      <c r="BK127" s="78">
        <v>0</v>
      </c>
      <c r="BL127" s="78">
        <v>0</v>
      </c>
      <c r="BM127" s="78">
        <v>285.71199999999999</v>
      </c>
      <c r="BN127" s="78">
        <v>160</v>
      </c>
      <c r="BO127" s="78">
        <v>58</v>
      </c>
      <c r="BP127" s="78">
        <v>5942.7</v>
      </c>
      <c r="BQ127" s="78">
        <v>1841.61</v>
      </c>
      <c r="BR127" s="78">
        <v>217.870198427758</v>
      </c>
      <c r="BS127" s="78">
        <v>191</v>
      </c>
      <c r="BT127" s="78">
        <v>51.3333333333333</v>
      </c>
      <c r="BU127" s="78">
        <v>35.6666666666667</v>
      </c>
      <c r="BV127" s="78">
        <f t="shared" si="7"/>
        <v>812</v>
      </c>
      <c r="BW127" s="78">
        <v>208</v>
      </c>
      <c r="BX127" s="78">
        <v>2333.83268817204</v>
      </c>
      <c r="BY127" s="402">
        <v>0.113</v>
      </c>
      <c r="BZ127" s="78">
        <v>18261</v>
      </c>
      <c r="CA127" s="78">
        <v>2127</v>
      </c>
      <c r="CB127" s="78">
        <v>314</v>
      </c>
      <c r="CC127" s="78">
        <v>372</v>
      </c>
      <c r="CD127" s="78">
        <v>342</v>
      </c>
      <c r="CE127" s="78">
        <v>131</v>
      </c>
      <c r="CF127" s="78">
        <v>179.355710955711</v>
      </c>
      <c r="CG127" s="78">
        <v>104.33473193473201</v>
      </c>
      <c r="CH127" s="78">
        <v>26.674125874125899</v>
      </c>
      <c r="CI127" s="78">
        <v>545.3184</v>
      </c>
      <c r="CJ127" s="78">
        <v>317.22239999999999</v>
      </c>
      <c r="CK127" s="78">
        <v>81.100800000000007</v>
      </c>
      <c r="CL127" s="78">
        <v>0</v>
      </c>
    </row>
    <row r="128" spans="1:90" customFormat="1" x14ac:dyDescent="0.35">
      <c r="A128" s="72">
        <v>310</v>
      </c>
      <c r="B128" s="72" t="s">
        <v>76</v>
      </c>
      <c r="C128" s="72">
        <v>6</v>
      </c>
      <c r="D128" s="78">
        <v>6422400000</v>
      </c>
      <c r="E128" s="78">
        <v>486850000</v>
      </c>
      <c r="F128" s="78">
        <v>532000000</v>
      </c>
      <c r="G128" s="78">
        <v>43137</v>
      </c>
      <c r="H128" s="78">
        <v>4</v>
      </c>
      <c r="I128" s="78">
        <f t="shared" si="5"/>
        <v>532</v>
      </c>
      <c r="J128" s="78">
        <v>8977</v>
      </c>
      <c r="K128" s="78">
        <v>10383</v>
      </c>
      <c r="L128" s="78">
        <v>3386</v>
      </c>
      <c r="M128" s="78">
        <v>4971</v>
      </c>
      <c r="N128" s="78">
        <f t="shared" si="6"/>
        <v>2950.2</v>
      </c>
      <c r="O128" s="78">
        <v>608.66666666666697</v>
      </c>
      <c r="P128" s="78">
        <v>24</v>
      </c>
      <c r="Q128" s="78">
        <v>2304.6666666666702</v>
      </c>
      <c r="R128" s="78">
        <v>7144</v>
      </c>
      <c r="S128" s="78">
        <v>2130</v>
      </c>
      <c r="T128" s="78">
        <v>0</v>
      </c>
      <c r="U128" s="78">
        <v>1323</v>
      </c>
      <c r="V128" s="78">
        <v>19941</v>
      </c>
      <c r="W128" s="78">
        <v>35080</v>
      </c>
      <c r="X128" s="78">
        <v>12200</v>
      </c>
      <c r="Y128" s="78">
        <v>1103.74</v>
      </c>
      <c r="Z128" s="78">
        <v>1990.4</v>
      </c>
      <c r="AA128" s="78">
        <v>0</v>
      </c>
      <c r="AB128" s="399">
        <v>0</v>
      </c>
      <c r="AC128" s="399">
        <v>146.09999999999991</v>
      </c>
      <c r="AD128" s="78">
        <v>6616</v>
      </c>
      <c r="AE128" s="78">
        <v>6616</v>
      </c>
      <c r="AF128" s="78">
        <v>97</v>
      </c>
      <c r="AG128" s="78">
        <v>0</v>
      </c>
      <c r="AH128" s="78">
        <v>205</v>
      </c>
      <c r="AI128" s="78">
        <v>37</v>
      </c>
      <c r="AJ128" s="78">
        <v>205</v>
      </c>
      <c r="AK128" s="78">
        <v>37</v>
      </c>
      <c r="AL128" s="78">
        <v>242</v>
      </c>
      <c r="AM128" s="78">
        <v>20208</v>
      </c>
      <c r="AN128" s="78">
        <v>20208</v>
      </c>
      <c r="AO128" s="78">
        <v>0</v>
      </c>
      <c r="AP128" s="78">
        <v>0</v>
      </c>
      <c r="AQ128" s="78">
        <v>0</v>
      </c>
      <c r="AR128" s="78">
        <v>0</v>
      </c>
      <c r="AS128" s="78">
        <v>2889</v>
      </c>
      <c r="AT128" s="78">
        <v>0</v>
      </c>
      <c r="AU128" s="400">
        <v>5.8828799999999996E-4</v>
      </c>
      <c r="AV128" s="400">
        <v>8.0894400000000003E-4</v>
      </c>
      <c r="AW128" s="78">
        <v>25421.664000000001</v>
      </c>
      <c r="AX128" s="78">
        <v>0</v>
      </c>
      <c r="AY128" s="78">
        <v>1926</v>
      </c>
      <c r="AZ128" s="78">
        <v>12376.2642633696</v>
      </c>
      <c r="BA128" s="78">
        <v>10</v>
      </c>
      <c r="BB128" s="78">
        <v>10</v>
      </c>
      <c r="BC128" s="78">
        <v>6160</v>
      </c>
      <c r="BD128" s="78">
        <v>1</v>
      </c>
      <c r="BE128" s="78">
        <v>0</v>
      </c>
      <c r="BF128" s="78">
        <v>0</v>
      </c>
      <c r="BG128" s="78">
        <v>0</v>
      </c>
      <c r="BH128" s="78">
        <v>0</v>
      </c>
      <c r="BI128" s="78">
        <v>0</v>
      </c>
      <c r="BJ128" s="78">
        <v>0</v>
      </c>
      <c r="BK128" s="78">
        <v>0</v>
      </c>
      <c r="BL128" s="78">
        <v>0</v>
      </c>
      <c r="BM128" s="78">
        <v>834.86099999999999</v>
      </c>
      <c r="BN128" s="78">
        <v>105</v>
      </c>
      <c r="BO128" s="78">
        <v>60</v>
      </c>
      <c r="BP128" s="78">
        <v>17525.689999999999</v>
      </c>
      <c r="BQ128" s="78">
        <v>4598</v>
      </c>
      <c r="BR128" s="78">
        <v>346.87149908480802</v>
      </c>
      <c r="BS128" s="78">
        <v>484</v>
      </c>
      <c r="BT128" s="78">
        <v>184</v>
      </c>
      <c r="BU128" s="78">
        <v>145</v>
      </c>
      <c r="BV128" s="78">
        <f t="shared" si="7"/>
        <v>1696.0000000000032</v>
      </c>
      <c r="BW128" s="78">
        <v>399</v>
      </c>
      <c r="BX128" s="78">
        <v>6195.0711386138601</v>
      </c>
      <c r="BY128" s="402">
        <v>0.71099999999999997</v>
      </c>
      <c r="BZ128" s="78">
        <v>32754</v>
      </c>
      <c r="CA128" s="78">
        <v>5304</v>
      </c>
      <c r="CB128" s="78">
        <v>1693</v>
      </c>
      <c r="CC128" s="78">
        <v>1328</v>
      </c>
      <c r="CD128" s="78">
        <v>1250</v>
      </c>
      <c r="CE128" s="78">
        <v>872</v>
      </c>
      <c r="CF128" s="78">
        <v>492.13797505938197</v>
      </c>
      <c r="CG128" s="78">
        <v>339.86864608076002</v>
      </c>
      <c r="CH128" s="78">
        <v>168.03643111638999</v>
      </c>
      <c r="CI128" s="78">
        <v>827.91759999999999</v>
      </c>
      <c r="CJ128" s="78">
        <v>571.7568</v>
      </c>
      <c r="CK128" s="78">
        <v>282.68560000000002</v>
      </c>
      <c r="CL128" s="78">
        <v>36534</v>
      </c>
    </row>
    <row r="129" spans="1:90" customFormat="1" x14ac:dyDescent="0.35">
      <c r="A129" s="72">
        <v>736</v>
      </c>
      <c r="B129" s="72" t="s">
        <v>78</v>
      </c>
      <c r="C129" s="72">
        <v>6</v>
      </c>
      <c r="D129" s="78">
        <v>5694000000</v>
      </c>
      <c r="E129" s="78">
        <v>633500000</v>
      </c>
      <c r="F129" s="78">
        <v>681800000</v>
      </c>
      <c r="G129" s="78">
        <v>44456</v>
      </c>
      <c r="H129" s="78">
        <v>5</v>
      </c>
      <c r="I129" s="78">
        <f t="shared" si="5"/>
        <v>681.8</v>
      </c>
      <c r="J129" s="78">
        <v>8608</v>
      </c>
      <c r="K129" s="78">
        <v>9263</v>
      </c>
      <c r="L129" s="78">
        <v>2972</v>
      </c>
      <c r="M129" s="78">
        <v>4501</v>
      </c>
      <c r="N129" s="78">
        <f t="shared" si="6"/>
        <v>2555.6999999999998</v>
      </c>
      <c r="O129" s="78">
        <v>450.33333333333297</v>
      </c>
      <c r="P129" s="78">
        <v>12</v>
      </c>
      <c r="Q129" s="78">
        <v>1882.3333333333301</v>
      </c>
      <c r="R129" s="78">
        <v>5857</v>
      </c>
      <c r="S129" s="78">
        <v>2035</v>
      </c>
      <c r="T129" s="78">
        <v>0</v>
      </c>
      <c r="U129" s="78">
        <v>1377</v>
      </c>
      <c r="V129" s="78">
        <v>19415</v>
      </c>
      <c r="W129" s="78">
        <v>32770</v>
      </c>
      <c r="X129" s="78">
        <v>5210</v>
      </c>
      <c r="Y129" s="78">
        <v>0</v>
      </c>
      <c r="Z129" s="78">
        <v>1220</v>
      </c>
      <c r="AA129" s="78">
        <v>0</v>
      </c>
      <c r="AB129" s="399">
        <v>0</v>
      </c>
      <c r="AC129" s="399">
        <v>0</v>
      </c>
      <c r="AD129" s="78">
        <v>9969</v>
      </c>
      <c r="AE129" s="78">
        <v>13159.08</v>
      </c>
      <c r="AF129" s="78">
        <v>1729</v>
      </c>
      <c r="AG129" s="78">
        <v>0</v>
      </c>
      <c r="AH129" s="78">
        <v>236</v>
      </c>
      <c r="AI129" s="78">
        <v>70</v>
      </c>
      <c r="AJ129" s="78">
        <v>306.8</v>
      </c>
      <c r="AK129" s="78">
        <v>93.1</v>
      </c>
      <c r="AL129" s="78">
        <v>306</v>
      </c>
      <c r="AM129" s="78">
        <v>19453</v>
      </c>
      <c r="AN129" s="78">
        <v>25288.9</v>
      </c>
      <c r="AO129" s="78">
        <v>0</v>
      </c>
      <c r="AP129" s="78">
        <v>0</v>
      </c>
      <c r="AQ129" s="78">
        <v>0</v>
      </c>
      <c r="AR129" s="78">
        <v>0</v>
      </c>
      <c r="AS129" s="78">
        <v>0</v>
      </c>
      <c r="AT129" s="78">
        <v>0</v>
      </c>
      <c r="AU129" s="400">
        <v>2.2641600000000001E-4</v>
      </c>
      <c r="AV129" s="400">
        <v>1.6967999999999999E-4</v>
      </c>
      <c r="AW129" s="78">
        <v>17099.187000000002</v>
      </c>
      <c r="AX129" s="78">
        <v>0</v>
      </c>
      <c r="AY129" s="78">
        <v>17062.32</v>
      </c>
      <c r="AZ129" s="78">
        <v>169454.20222260201</v>
      </c>
      <c r="BA129" s="78">
        <v>23</v>
      </c>
      <c r="BB129" s="78">
        <v>30.59</v>
      </c>
      <c r="BC129" s="78">
        <v>6536</v>
      </c>
      <c r="BD129" s="78">
        <v>1</v>
      </c>
      <c r="BE129" s="78">
        <v>0</v>
      </c>
      <c r="BF129" s="78">
        <v>0</v>
      </c>
      <c r="BG129" s="78">
        <v>0</v>
      </c>
      <c r="BH129" s="78">
        <v>0</v>
      </c>
      <c r="BI129" s="78">
        <v>0</v>
      </c>
      <c r="BJ129" s="78">
        <v>0</v>
      </c>
      <c r="BK129" s="78">
        <v>0</v>
      </c>
      <c r="BL129" s="78">
        <v>0</v>
      </c>
      <c r="BM129" s="78">
        <v>697.24800000000005</v>
      </c>
      <c r="BN129" s="78">
        <v>88</v>
      </c>
      <c r="BO129" s="78">
        <v>101</v>
      </c>
      <c r="BP129" s="78">
        <v>17021.25</v>
      </c>
      <c r="BQ129" s="78">
        <v>4286.49</v>
      </c>
      <c r="BR129" s="78">
        <v>204.25814918799901</v>
      </c>
      <c r="BS129" s="78">
        <v>532</v>
      </c>
      <c r="BT129" s="78">
        <v>152.333333333333</v>
      </c>
      <c r="BU129" s="78">
        <v>115.333333333333</v>
      </c>
      <c r="BV129" s="78">
        <f t="shared" si="7"/>
        <v>1431.999999999997</v>
      </c>
      <c r="BW129" s="78">
        <v>294</v>
      </c>
      <c r="BX129" s="78">
        <v>6086.2714886856302</v>
      </c>
      <c r="BY129" s="402">
        <v>0.22800000000000001</v>
      </c>
      <c r="BZ129" s="78">
        <v>35193</v>
      </c>
      <c r="CA129" s="78">
        <v>5311</v>
      </c>
      <c r="CB129" s="78">
        <v>980</v>
      </c>
      <c r="CC129" s="78">
        <v>1076</v>
      </c>
      <c r="CD129" s="78">
        <v>985</v>
      </c>
      <c r="CE129" s="78">
        <v>513</v>
      </c>
      <c r="CF129" s="78">
        <v>429.21255847427102</v>
      </c>
      <c r="CG129" s="78">
        <v>264.20154731918001</v>
      </c>
      <c r="CH129" s="78">
        <v>95.906081324217297</v>
      </c>
      <c r="CI129" s="78">
        <v>912.7998</v>
      </c>
      <c r="CJ129" s="78">
        <v>561.87339999999995</v>
      </c>
      <c r="CK129" s="78">
        <v>203.96199999999999</v>
      </c>
      <c r="CL129" s="78">
        <v>25269</v>
      </c>
    </row>
    <row r="130" spans="1:90" customFormat="1" x14ac:dyDescent="0.35">
      <c r="A130" s="72">
        <v>317</v>
      </c>
      <c r="B130" s="72" t="s">
        <v>99</v>
      </c>
      <c r="C130" s="72">
        <v>6</v>
      </c>
      <c r="D130" s="78">
        <v>1190800000</v>
      </c>
      <c r="E130" s="78">
        <v>122850000</v>
      </c>
      <c r="F130" s="78">
        <v>131950000</v>
      </c>
      <c r="G130" s="78">
        <v>9247</v>
      </c>
      <c r="H130" s="78">
        <v>1</v>
      </c>
      <c r="I130" s="78">
        <f t="shared" si="5"/>
        <v>131.94999999999999</v>
      </c>
      <c r="J130" s="78">
        <v>1871</v>
      </c>
      <c r="K130" s="78">
        <v>1907</v>
      </c>
      <c r="L130" s="78">
        <v>597</v>
      </c>
      <c r="M130" s="78">
        <v>869</v>
      </c>
      <c r="N130" s="78">
        <f t="shared" si="6"/>
        <v>466.79999999999995</v>
      </c>
      <c r="O130" s="78">
        <v>78.6666666666667</v>
      </c>
      <c r="P130" s="78">
        <v>7</v>
      </c>
      <c r="Q130" s="78">
        <v>399.66666666666703</v>
      </c>
      <c r="R130" s="78">
        <v>1219</v>
      </c>
      <c r="S130" s="78">
        <v>255</v>
      </c>
      <c r="T130" s="78">
        <v>0</v>
      </c>
      <c r="U130" s="78">
        <v>299</v>
      </c>
      <c r="V130" s="78">
        <v>4036</v>
      </c>
      <c r="W130" s="78">
        <v>6720</v>
      </c>
      <c r="X130" s="78">
        <v>810</v>
      </c>
      <c r="Y130" s="78">
        <v>0</v>
      </c>
      <c r="Z130" s="78">
        <v>0</v>
      </c>
      <c r="AA130" s="78">
        <v>0</v>
      </c>
      <c r="AB130" s="399">
        <v>0</v>
      </c>
      <c r="AC130" s="399">
        <v>0</v>
      </c>
      <c r="AD130" s="78">
        <v>3106</v>
      </c>
      <c r="AE130" s="78">
        <v>3106</v>
      </c>
      <c r="AF130" s="78">
        <v>265</v>
      </c>
      <c r="AG130" s="78">
        <v>0</v>
      </c>
      <c r="AH130" s="78">
        <v>45</v>
      </c>
      <c r="AI130" s="78">
        <v>11</v>
      </c>
      <c r="AJ130" s="78">
        <v>45</v>
      </c>
      <c r="AK130" s="78">
        <v>11</v>
      </c>
      <c r="AL130" s="78">
        <v>56</v>
      </c>
      <c r="AM130" s="78">
        <v>4022</v>
      </c>
      <c r="AN130" s="78">
        <v>4022</v>
      </c>
      <c r="AO130" s="78">
        <v>0</v>
      </c>
      <c r="AP130" s="78">
        <v>0</v>
      </c>
      <c r="AQ130" s="78">
        <v>0</v>
      </c>
      <c r="AR130" s="78">
        <v>0</v>
      </c>
      <c r="AS130" s="78">
        <v>0</v>
      </c>
      <c r="AT130" s="78">
        <v>0</v>
      </c>
      <c r="AU130" s="400">
        <v>3.4081000000000001E-5</v>
      </c>
      <c r="AV130" s="400">
        <v>1.5818999999999999E-5</v>
      </c>
      <c r="AW130" s="78">
        <v>3768.614</v>
      </c>
      <c r="AX130" s="78">
        <v>0</v>
      </c>
      <c r="AY130" s="78">
        <v>783</v>
      </c>
      <c r="AZ130" s="78">
        <v>2147.8495995253602</v>
      </c>
      <c r="BA130" s="78">
        <v>3</v>
      </c>
      <c r="BB130" s="78">
        <v>3</v>
      </c>
      <c r="BC130" s="78">
        <v>1440</v>
      </c>
      <c r="BD130" s="78">
        <v>1</v>
      </c>
      <c r="BE130" s="78">
        <v>0</v>
      </c>
      <c r="BF130" s="78">
        <v>0</v>
      </c>
      <c r="BG130" s="78">
        <v>0</v>
      </c>
      <c r="BH130" s="78">
        <v>0</v>
      </c>
      <c r="BI130" s="78">
        <v>0</v>
      </c>
      <c r="BJ130" s="78">
        <v>0</v>
      </c>
      <c r="BK130" s="78">
        <v>0</v>
      </c>
      <c r="BL130" s="78">
        <v>0</v>
      </c>
      <c r="BM130" s="78">
        <v>155.29300000000001</v>
      </c>
      <c r="BN130" s="78">
        <v>23</v>
      </c>
      <c r="BO130" s="78">
        <v>14</v>
      </c>
      <c r="BP130" s="78">
        <v>3245.56</v>
      </c>
      <c r="BQ130" s="78">
        <v>801</v>
      </c>
      <c r="BR130" s="78">
        <v>61.644526315789498</v>
      </c>
      <c r="BS130" s="78">
        <v>116</v>
      </c>
      <c r="BT130" s="78">
        <v>24.6666666666667</v>
      </c>
      <c r="BU130" s="78">
        <v>19.3333333333333</v>
      </c>
      <c r="BV130" s="78">
        <f t="shared" si="7"/>
        <v>321.00000000000034</v>
      </c>
      <c r="BW130" s="78">
        <v>96</v>
      </c>
      <c r="BX130" s="78">
        <v>1250.5621288269499</v>
      </c>
      <c r="BY130" s="402">
        <v>4.7E-2</v>
      </c>
      <c r="BZ130" s="78">
        <v>7340</v>
      </c>
      <c r="CA130" s="78">
        <v>1124</v>
      </c>
      <c r="CB130" s="78">
        <v>186</v>
      </c>
      <c r="CC130" s="78">
        <v>261</v>
      </c>
      <c r="CD130" s="78">
        <v>221</v>
      </c>
      <c r="CE130" s="78">
        <v>92</v>
      </c>
      <c r="CF130" s="78">
        <v>83.912580805569405</v>
      </c>
      <c r="CG130" s="78">
        <v>47.004972650422701</v>
      </c>
      <c r="CH130" s="78">
        <v>15.320139234211799</v>
      </c>
      <c r="CI130" s="78">
        <v>235.04730000000001</v>
      </c>
      <c r="CJ130" s="78">
        <v>131.66550000000001</v>
      </c>
      <c r="CK130" s="78">
        <v>42.913200000000003</v>
      </c>
      <c r="CL130" s="78">
        <v>3285</v>
      </c>
    </row>
    <row r="131" spans="1:90" customFormat="1" x14ac:dyDescent="0.35">
      <c r="A131" s="72">
        <v>321</v>
      </c>
      <c r="B131" s="72" t="s">
        <v>159</v>
      </c>
      <c r="C131" s="72">
        <v>6</v>
      </c>
      <c r="D131" s="78">
        <v>5685600000</v>
      </c>
      <c r="E131" s="78">
        <v>656250000</v>
      </c>
      <c r="F131" s="78">
        <v>678300000</v>
      </c>
      <c r="G131" s="78">
        <v>50146</v>
      </c>
      <c r="H131" s="78">
        <v>2</v>
      </c>
      <c r="I131" s="78">
        <f t="shared" si="5"/>
        <v>678.3</v>
      </c>
      <c r="J131" s="78">
        <v>11789</v>
      </c>
      <c r="K131" s="78">
        <v>7581</v>
      </c>
      <c r="L131" s="78">
        <v>1935</v>
      </c>
      <c r="M131" s="78">
        <v>4089</v>
      </c>
      <c r="N131" s="78">
        <f t="shared" si="6"/>
        <v>2033.4</v>
      </c>
      <c r="O131" s="78">
        <v>541.66666666666697</v>
      </c>
      <c r="P131" s="78">
        <v>28</v>
      </c>
      <c r="Q131" s="78">
        <v>2564.6666666666702</v>
      </c>
      <c r="R131" s="78">
        <v>5540</v>
      </c>
      <c r="S131" s="78">
        <v>2285</v>
      </c>
      <c r="T131" s="78">
        <v>0</v>
      </c>
      <c r="U131" s="78">
        <v>1486</v>
      </c>
      <c r="V131" s="78">
        <v>20639</v>
      </c>
      <c r="W131" s="78">
        <v>49640</v>
      </c>
      <c r="X131" s="78">
        <v>30860</v>
      </c>
      <c r="Y131" s="78">
        <v>1263.7</v>
      </c>
      <c r="Z131" s="78">
        <v>1728.8</v>
      </c>
      <c r="AA131" s="78">
        <v>0</v>
      </c>
      <c r="AB131" s="399">
        <v>0</v>
      </c>
      <c r="AC131" s="399">
        <v>404.29999999999995</v>
      </c>
      <c r="AD131" s="78">
        <v>5490</v>
      </c>
      <c r="AE131" s="78">
        <v>6478.2</v>
      </c>
      <c r="AF131" s="78">
        <v>408</v>
      </c>
      <c r="AG131" s="78">
        <v>0</v>
      </c>
      <c r="AH131" s="78">
        <v>215</v>
      </c>
      <c r="AI131" s="78">
        <v>43</v>
      </c>
      <c r="AJ131" s="78">
        <v>247.25</v>
      </c>
      <c r="AK131" s="78">
        <v>51.17</v>
      </c>
      <c r="AL131" s="78">
        <v>258</v>
      </c>
      <c r="AM131" s="78">
        <v>20556</v>
      </c>
      <c r="AN131" s="78">
        <v>23639.4</v>
      </c>
      <c r="AO131" s="78">
        <v>0</v>
      </c>
      <c r="AP131" s="78">
        <v>0</v>
      </c>
      <c r="AQ131" s="78">
        <v>0</v>
      </c>
      <c r="AR131" s="78">
        <v>0</v>
      </c>
      <c r="AS131" s="78">
        <v>0</v>
      </c>
      <c r="AT131" s="78">
        <v>0</v>
      </c>
      <c r="AU131" s="400">
        <v>7.4672999999999995E-5</v>
      </c>
      <c r="AV131" s="400">
        <v>2.9285000000000002E-5</v>
      </c>
      <c r="AW131" s="78">
        <v>31368.455999999998</v>
      </c>
      <c r="AX131" s="78">
        <v>0</v>
      </c>
      <c r="AY131" s="78">
        <v>2821.38</v>
      </c>
      <c r="AZ131" s="78">
        <v>42187.086707358401</v>
      </c>
      <c r="BA131" s="78">
        <v>9</v>
      </c>
      <c r="BB131" s="78">
        <v>10.71</v>
      </c>
      <c r="BC131" s="78">
        <v>6051</v>
      </c>
      <c r="BD131" s="78">
        <v>1</v>
      </c>
      <c r="BE131" s="78">
        <v>0</v>
      </c>
      <c r="BF131" s="78">
        <v>0</v>
      </c>
      <c r="BG131" s="78">
        <v>0</v>
      </c>
      <c r="BH131" s="78">
        <v>0</v>
      </c>
      <c r="BI131" s="78">
        <v>0</v>
      </c>
      <c r="BJ131" s="78">
        <v>0</v>
      </c>
      <c r="BK131" s="78">
        <v>0</v>
      </c>
      <c r="BL131" s="78">
        <v>0</v>
      </c>
      <c r="BM131" s="78">
        <v>719.12900000000002</v>
      </c>
      <c r="BN131" s="78">
        <v>52</v>
      </c>
      <c r="BO131" s="78">
        <v>37</v>
      </c>
      <c r="BP131" s="78">
        <v>17225.25</v>
      </c>
      <c r="BQ131" s="78">
        <v>5201.82</v>
      </c>
      <c r="BR131" s="78">
        <v>486.118908309456</v>
      </c>
      <c r="BS131" s="78">
        <v>623</v>
      </c>
      <c r="BT131" s="78">
        <v>199</v>
      </c>
      <c r="BU131" s="78">
        <v>149</v>
      </c>
      <c r="BV131" s="78">
        <f t="shared" si="7"/>
        <v>2023.0000000000032</v>
      </c>
      <c r="BW131" s="78">
        <v>516</v>
      </c>
      <c r="BX131" s="78">
        <v>5903.3449395924699</v>
      </c>
      <c r="BY131" s="402">
        <v>0.26600000000000001</v>
      </c>
      <c r="BZ131" s="78">
        <v>42565</v>
      </c>
      <c r="CA131" s="78">
        <v>4910</v>
      </c>
      <c r="CB131" s="78">
        <v>736</v>
      </c>
      <c r="CC131" s="78">
        <v>986</v>
      </c>
      <c r="CD131" s="78">
        <v>675</v>
      </c>
      <c r="CE131" s="78">
        <v>383</v>
      </c>
      <c r="CF131" s="78">
        <v>289.242148277875</v>
      </c>
      <c r="CG131" s="78">
        <v>130.17875072971401</v>
      </c>
      <c r="CH131" s="78">
        <v>51.0427320490368</v>
      </c>
      <c r="CI131" s="78">
        <v>890.35799999999995</v>
      </c>
      <c r="CJ131" s="78">
        <v>400.72199999999998</v>
      </c>
      <c r="CK131" s="78">
        <v>157.12200000000001</v>
      </c>
      <c r="CL131" s="78">
        <v>0</v>
      </c>
    </row>
    <row r="132" spans="1:90" customFormat="1" x14ac:dyDescent="0.35">
      <c r="A132" s="72">
        <v>353</v>
      </c>
      <c r="B132" s="72" t="s">
        <v>162</v>
      </c>
      <c r="C132" s="72">
        <v>6</v>
      </c>
      <c r="D132" s="78">
        <v>3278400000</v>
      </c>
      <c r="E132" s="78">
        <v>276500000</v>
      </c>
      <c r="F132" s="78">
        <v>293650000</v>
      </c>
      <c r="G132" s="78">
        <v>34109</v>
      </c>
      <c r="H132" s="78">
        <v>1</v>
      </c>
      <c r="I132" s="78">
        <f t="shared" si="5"/>
        <v>293.64999999999998</v>
      </c>
      <c r="J132" s="78">
        <v>7277</v>
      </c>
      <c r="K132" s="78">
        <v>6039</v>
      </c>
      <c r="L132" s="78">
        <v>1862</v>
      </c>
      <c r="M132" s="78">
        <v>3581</v>
      </c>
      <c r="N132" s="78">
        <f t="shared" si="6"/>
        <v>2134.1</v>
      </c>
      <c r="O132" s="78">
        <v>508.66666666666703</v>
      </c>
      <c r="P132" s="78">
        <v>23</v>
      </c>
      <c r="Q132" s="78">
        <v>2019.6666666666699</v>
      </c>
      <c r="R132" s="78">
        <v>4416</v>
      </c>
      <c r="S132" s="78">
        <v>3345</v>
      </c>
      <c r="T132" s="78">
        <v>0</v>
      </c>
      <c r="U132" s="78">
        <v>1254</v>
      </c>
      <c r="V132" s="78">
        <v>14718</v>
      </c>
      <c r="W132" s="78">
        <v>32820</v>
      </c>
      <c r="X132" s="78">
        <v>13850</v>
      </c>
      <c r="Y132" s="78">
        <v>627.66</v>
      </c>
      <c r="Z132" s="78">
        <v>1040</v>
      </c>
      <c r="AA132" s="78">
        <v>0</v>
      </c>
      <c r="AB132" s="399">
        <v>0</v>
      </c>
      <c r="AC132" s="399">
        <v>242.89999999999986</v>
      </c>
      <c r="AD132" s="78">
        <v>2092</v>
      </c>
      <c r="AE132" s="78">
        <v>2468.56</v>
      </c>
      <c r="AF132" s="78">
        <v>76</v>
      </c>
      <c r="AG132" s="78">
        <v>0</v>
      </c>
      <c r="AH132" s="78">
        <v>132</v>
      </c>
      <c r="AI132" s="78">
        <v>18</v>
      </c>
      <c r="AJ132" s="78">
        <v>159.72</v>
      </c>
      <c r="AK132" s="78">
        <v>20.88</v>
      </c>
      <c r="AL132" s="78">
        <v>150</v>
      </c>
      <c r="AM132" s="78">
        <v>14469</v>
      </c>
      <c r="AN132" s="78">
        <v>17507.490000000002</v>
      </c>
      <c r="AO132" s="78">
        <v>10</v>
      </c>
      <c r="AP132" s="78">
        <v>0</v>
      </c>
      <c r="AQ132" s="78">
        <v>0</v>
      </c>
      <c r="AR132" s="78">
        <v>2950</v>
      </c>
      <c r="AS132" s="78">
        <v>703</v>
      </c>
      <c r="AT132" s="78">
        <v>703</v>
      </c>
      <c r="AU132" s="400">
        <v>1.29636E-4</v>
      </c>
      <c r="AV132" s="400">
        <v>3.4884400000000001E-4</v>
      </c>
      <c r="AW132" s="78">
        <v>26897.870999999999</v>
      </c>
      <c r="AX132" s="78">
        <v>0</v>
      </c>
      <c r="AY132" s="78">
        <v>1128.08</v>
      </c>
      <c r="AZ132" s="78">
        <v>31931.5619926199</v>
      </c>
      <c r="BA132" s="78">
        <v>2</v>
      </c>
      <c r="BB132" s="78">
        <v>2.3199999999999998</v>
      </c>
      <c r="BC132" s="78">
        <v>3719</v>
      </c>
      <c r="BD132" s="78">
        <v>1</v>
      </c>
      <c r="BE132" s="78">
        <v>0</v>
      </c>
      <c r="BF132" s="78">
        <v>0</v>
      </c>
      <c r="BG132" s="78">
        <v>0</v>
      </c>
      <c r="BH132" s="78">
        <v>0</v>
      </c>
      <c r="BI132" s="78">
        <v>0</v>
      </c>
      <c r="BJ132" s="78">
        <v>0</v>
      </c>
      <c r="BK132" s="78">
        <v>0</v>
      </c>
      <c r="BL132" s="78">
        <v>0</v>
      </c>
      <c r="BM132" s="78">
        <v>713.14599999999996</v>
      </c>
      <c r="BN132" s="78">
        <v>75</v>
      </c>
      <c r="BO132" s="78">
        <v>85</v>
      </c>
      <c r="BP132" s="78">
        <v>11067.98</v>
      </c>
      <c r="BQ132" s="78">
        <v>3038.99</v>
      </c>
      <c r="BR132" s="78">
        <v>316.54702314499701</v>
      </c>
      <c r="BS132" s="78">
        <v>544</v>
      </c>
      <c r="BT132" s="78">
        <v>180.333333333333</v>
      </c>
      <c r="BU132" s="78">
        <v>140</v>
      </c>
      <c r="BV132" s="78">
        <f t="shared" si="7"/>
        <v>1511.000000000003</v>
      </c>
      <c r="BW132" s="78">
        <v>338</v>
      </c>
      <c r="BX132" s="78">
        <v>5596.4321779859501</v>
      </c>
      <c r="BY132" s="402">
        <v>0.73599999999999999</v>
      </c>
      <c r="BZ132" s="78">
        <v>28070</v>
      </c>
      <c r="CA132" s="78">
        <v>3474</v>
      </c>
      <c r="CB132" s="78">
        <v>703</v>
      </c>
      <c r="CC132" s="78">
        <v>788</v>
      </c>
      <c r="CD132" s="78">
        <v>609</v>
      </c>
      <c r="CE132" s="78">
        <v>387</v>
      </c>
      <c r="CF132" s="78">
        <v>324.488216186329</v>
      </c>
      <c r="CG132" s="78">
        <v>186.58072430713901</v>
      </c>
      <c r="CH132" s="78">
        <v>70.502439698666095</v>
      </c>
      <c r="CI132" s="78">
        <v>798.38</v>
      </c>
      <c r="CJ132" s="78">
        <v>459.06849999999997</v>
      </c>
      <c r="CK132" s="78">
        <v>173.46619999999999</v>
      </c>
      <c r="CL132" s="78">
        <v>7938</v>
      </c>
    </row>
    <row r="133" spans="1:90" customFormat="1" x14ac:dyDescent="0.35">
      <c r="A133" s="72">
        <v>327</v>
      </c>
      <c r="B133" s="72" t="s">
        <v>184</v>
      </c>
      <c r="C133" s="72">
        <v>6</v>
      </c>
      <c r="D133" s="78">
        <v>3547200000</v>
      </c>
      <c r="E133" s="78">
        <v>383250000</v>
      </c>
      <c r="F133" s="78">
        <v>401100000</v>
      </c>
      <c r="G133" s="78">
        <v>30401</v>
      </c>
      <c r="H133" s="78">
        <v>2</v>
      </c>
      <c r="I133" s="78">
        <f t="shared" si="5"/>
        <v>401.1</v>
      </c>
      <c r="J133" s="78">
        <v>6207</v>
      </c>
      <c r="K133" s="78">
        <v>6680</v>
      </c>
      <c r="L133" s="78">
        <v>2108</v>
      </c>
      <c r="M133" s="78">
        <v>2848</v>
      </c>
      <c r="N133" s="78">
        <f t="shared" si="6"/>
        <v>1539</v>
      </c>
      <c r="O133" s="78">
        <v>309.66666666666703</v>
      </c>
      <c r="P133" s="78">
        <v>10</v>
      </c>
      <c r="Q133" s="78">
        <v>1487.6666666666699</v>
      </c>
      <c r="R133" s="78">
        <v>3967</v>
      </c>
      <c r="S133" s="78">
        <v>875</v>
      </c>
      <c r="T133" s="78">
        <v>0</v>
      </c>
      <c r="U133" s="78">
        <v>814</v>
      </c>
      <c r="V133" s="78">
        <v>13412</v>
      </c>
      <c r="W133" s="78">
        <v>27220</v>
      </c>
      <c r="X133" s="78">
        <v>11590</v>
      </c>
      <c r="Y133" s="78">
        <v>0</v>
      </c>
      <c r="Z133" s="78">
        <v>0</v>
      </c>
      <c r="AA133" s="78">
        <v>0</v>
      </c>
      <c r="AB133" s="399">
        <v>0</v>
      </c>
      <c r="AC133" s="399">
        <v>0</v>
      </c>
      <c r="AD133" s="78">
        <v>5852</v>
      </c>
      <c r="AE133" s="78">
        <v>5852</v>
      </c>
      <c r="AF133" s="78">
        <v>38</v>
      </c>
      <c r="AG133" s="78">
        <v>0</v>
      </c>
      <c r="AH133" s="78">
        <v>127</v>
      </c>
      <c r="AI133" s="78">
        <v>46</v>
      </c>
      <c r="AJ133" s="78">
        <v>127</v>
      </c>
      <c r="AK133" s="78">
        <v>46</v>
      </c>
      <c r="AL133" s="78">
        <v>173</v>
      </c>
      <c r="AM133" s="78">
        <v>13090</v>
      </c>
      <c r="AN133" s="78">
        <v>13090</v>
      </c>
      <c r="AO133" s="78">
        <v>0</v>
      </c>
      <c r="AP133" s="78">
        <v>0</v>
      </c>
      <c r="AQ133" s="78">
        <v>0</v>
      </c>
      <c r="AR133" s="78">
        <v>0</v>
      </c>
      <c r="AS133" s="78">
        <v>0</v>
      </c>
      <c r="AT133" s="78">
        <v>0</v>
      </c>
      <c r="AU133" s="400">
        <v>6.7461999999999999E-5</v>
      </c>
      <c r="AV133" s="400">
        <v>6.6707999999999999E-5</v>
      </c>
      <c r="AW133" s="78">
        <v>16480.310000000001</v>
      </c>
      <c r="AX133" s="78">
        <v>0</v>
      </c>
      <c r="AY133" s="78">
        <v>923</v>
      </c>
      <c r="AZ133" s="78">
        <v>4764.0276740237696</v>
      </c>
      <c r="BA133" s="78">
        <v>4</v>
      </c>
      <c r="BB133" s="78">
        <v>4</v>
      </c>
      <c r="BC133" s="78">
        <v>3857</v>
      </c>
      <c r="BD133" s="78">
        <v>1</v>
      </c>
      <c r="BE133" s="78">
        <v>0</v>
      </c>
      <c r="BF133" s="78">
        <v>0</v>
      </c>
      <c r="BG133" s="78">
        <v>0</v>
      </c>
      <c r="BH133" s="78">
        <v>0</v>
      </c>
      <c r="BI133" s="78">
        <v>0</v>
      </c>
      <c r="BJ133" s="78">
        <v>0</v>
      </c>
      <c r="BK133" s="78">
        <v>0</v>
      </c>
      <c r="BL133" s="78">
        <v>0</v>
      </c>
      <c r="BM133" s="78">
        <v>347.59199999999998</v>
      </c>
      <c r="BN133" s="78">
        <v>43</v>
      </c>
      <c r="BO133" s="78">
        <v>41</v>
      </c>
      <c r="BP133" s="78">
        <v>10953.6</v>
      </c>
      <c r="BQ133" s="78">
        <v>2678.52</v>
      </c>
      <c r="BR133" s="78">
        <v>256.61332745591898</v>
      </c>
      <c r="BS133" s="78">
        <v>320</v>
      </c>
      <c r="BT133" s="78">
        <v>78.6666666666667</v>
      </c>
      <c r="BU133" s="78">
        <v>56.6666666666667</v>
      </c>
      <c r="BV133" s="78">
        <f t="shared" si="7"/>
        <v>1178.000000000003</v>
      </c>
      <c r="BW133" s="78">
        <v>277</v>
      </c>
      <c r="BX133" s="78">
        <v>3910.1172960373001</v>
      </c>
      <c r="BY133" s="402">
        <v>0.16300000000000001</v>
      </c>
      <c r="BZ133" s="78">
        <v>23721</v>
      </c>
      <c r="CA133" s="78">
        <v>3851</v>
      </c>
      <c r="CB133" s="78">
        <v>721</v>
      </c>
      <c r="CC133" s="78">
        <v>776</v>
      </c>
      <c r="CD133" s="78">
        <v>704</v>
      </c>
      <c r="CE133" s="78">
        <v>370</v>
      </c>
      <c r="CF133" s="78">
        <v>276.64377387318598</v>
      </c>
      <c r="CG133" s="78">
        <v>166.00977845683701</v>
      </c>
      <c r="CH133" s="78">
        <v>59.020473644003097</v>
      </c>
      <c r="CI133" s="78">
        <v>736.95960000000002</v>
      </c>
      <c r="CJ133" s="78">
        <v>442.23840000000001</v>
      </c>
      <c r="CK133" s="78">
        <v>157.22640000000001</v>
      </c>
      <c r="CL133" s="78">
        <v>26918</v>
      </c>
    </row>
    <row r="134" spans="1:90" customFormat="1" x14ac:dyDescent="0.35">
      <c r="A134" s="72">
        <v>331</v>
      </c>
      <c r="B134" s="72" t="s">
        <v>189</v>
      </c>
      <c r="C134" s="72">
        <v>6</v>
      </c>
      <c r="D134" s="78">
        <v>1340800000</v>
      </c>
      <c r="E134" s="78">
        <v>178850000</v>
      </c>
      <c r="F134" s="78">
        <v>209300000</v>
      </c>
      <c r="G134" s="78">
        <v>14467</v>
      </c>
      <c r="H134" s="78">
        <v>2</v>
      </c>
      <c r="I134" s="78">
        <f t="shared" ref="I134:I197" si="8">F134/1000000</f>
        <v>209.3</v>
      </c>
      <c r="J134" s="78">
        <v>3054</v>
      </c>
      <c r="K134" s="78">
        <v>2545</v>
      </c>
      <c r="L134" s="78">
        <v>792</v>
      </c>
      <c r="M134" s="78">
        <v>1270</v>
      </c>
      <c r="N134" s="78">
        <f t="shared" ref="N134:N197" si="9">IF(M134-0.1*AM134&lt;=0,0,M134-0.1*AM134)</f>
        <v>688.9</v>
      </c>
      <c r="O134" s="78">
        <v>123.333333333333</v>
      </c>
      <c r="P134" s="78">
        <v>15</v>
      </c>
      <c r="Q134" s="78">
        <v>649.33333333333303</v>
      </c>
      <c r="R134" s="78">
        <v>1488</v>
      </c>
      <c r="S134" s="78">
        <v>490</v>
      </c>
      <c r="T134" s="78">
        <v>0</v>
      </c>
      <c r="U134" s="78">
        <v>343</v>
      </c>
      <c r="V134" s="78">
        <v>5779</v>
      </c>
      <c r="W134" s="78">
        <v>9210</v>
      </c>
      <c r="X134" s="78">
        <v>460</v>
      </c>
      <c r="Y134" s="78">
        <v>0</v>
      </c>
      <c r="Z134" s="78">
        <v>0</v>
      </c>
      <c r="AA134" s="78">
        <v>0</v>
      </c>
      <c r="AB134" s="399">
        <v>0</v>
      </c>
      <c r="AC134" s="399">
        <v>0</v>
      </c>
      <c r="AD134" s="78">
        <v>7576</v>
      </c>
      <c r="AE134" s="78">
        <v>10454.879999999999</v>
      </c>
      <c r="AF134" s="78">
        <v>322</v>
      </c>
      <c r="AG134" s="78">
        <v>0</v>
      </c>
      <c r="AH134" s="78">
        <v>99</v>
      </c>
      <c r="AI134" s="78">
        <v>41</v>
      </c>
      <c r="AJ134" s="78">
        <v>131.66999999999999</v>
      </c>
      <c r="AK134" s="78">
        <v>56.99</v>
      </c>
      <c r="AL134" s="78">
        <v>140</v>
      </c>
      <c r="AM134" s="78">
        <v>5811</v>
      </c>
      <c r="AN134" s="78">
        <v>7728.63</v>
      </c>
      <c r="AO134" s="78">
        <v>0</v>
      </c>
      <c r="AP134" s="78">
        <v>0</v>
      </c>
      <c r="AQ134" s="78">
        <v>0</v>
      </c>
      <c r="AR134" s="78">
        <v>0</v>
      </c>
      <c r="AS134" s="78">
        <v>0</v>
      </c>
      <c r="AT134" s="78">
        <v>0</v>
      </c>
      <c r="AU134" s="400">
        <v>9.5358000000000004E-5</v>
      </c>
      <c r="AV134" s="400">
        <v>2.4828E-5</v>
      </c>
      <c r="AW134" s="78">
        <v>2109.393</v>
      </c>
      <c r="AX134" s="78">
        <v>0</v>
      </c>
      <c r="AY134" s="78">
        <v>6298.32</v>
      </c>
      <c r="AZ134" s="78">
        <v>29216.159620156999</v>
      </c>
      <c r="BA134" s="78">
        <v>14</v>
      </c>
      <c r="BB134" s="78">
        <v>19.46</v>
      </c>
      <c r="BC134" s="78">
        <v>1848</v>
      </c>
      <c r="BD134" s="78">
        <v>1</v>
      </c>
      <c r="BE134" s="78">
        <v>0</v>
      </c>
      <c r="BF134" s="78">
        <v>0</v>
      </c>
      <c r="BG134" s="78">
        <v>0</v>
      </c>
      <c r="BH134" s="78">
        <v>0</v>
      </c>
      <c r="BI134" s="78">
        <v>0</v>
      </c>
      <c r="BJ134" s="78">
        <v>0</v>
      </c>
      <c r="BK134" s="78">
        <v>0</v>
      </c>
      <c r="BL134" s="78">
        <v>0</v>
      </c>
      <c r="BM134" s="78">
        <v>247.374</v>
      </c>
      <c r="BN134" s="78">
        <v>55</v>
      </c>
      <c r="BO134" s="78">
        <v>38</v>
      </c>
      <c r="BP134" s="78">
        <v>4235.25</v>
      </c>
      <c r="BQ134" s="78">
        <v>1165.08</v>
      </c>
      <c r="BR134" s="78">
        <v>78.445408086702798</v>
      </c>
      <c r="BS134" s="78">
        <v>167</v>
      </c>
      <c r="BT134" s="78">
        <v>59.3333333333333</v>
      </c>
      <c r="BU134" s="78">
        <v>35</v>
      </c>
      <c r="BV134" s="78">
        <f t="shared" ref="BV134:BV197" si="10">Q134-O134</f>
        <v>526</v>
      </c>
      <c r="BW134" s="78">
        <v>150</v>
      </c>
      <c r="BX134" s="78">
        <v>1759.5102660125799</v>
      </c>
      <c r="BY134" s="402">
        <v>0.107</v>
      </c>
      <c r="BZ134" s="78">
        <v>11922</v>
      </c>
      <c r="CA134" s="78">
        <v>1539</v>
      </c>
      <c r="CB134" s="78">
        <v>214</v>
      </c>
      <c r="CC134" s="78">
        <v>291</v>
      </c>
      <c r="CD134" s="78">
        <v>228</v>
      </c>
      <c r="CE134" s="78">
        <v>98</v>
      </c>
      <c r="CF134" s="78">
        <v>110.48955429358099</v>
      </c>
      <c r="CG134" s="78">
        <v>61.883634486319103</v>
      </c>
      <c r="CH134" s="78">
        <v>18.019755635863</v>
      </c>
      <c r="CI134" s="78">
        <v>356.95600000000002</v>
      </c>
      <c r="CJ134" s="78">
        <v>199.92599999999999</v>
      </c>
      <c r="CK134" s="78">
        <v>58.216000000000001</v>
      </c>
      <c r="CL134" s="78">
        <v>0</v>
      </c>
    </row>
    <row r="135" spans="1:90" customFormat="1" x14ac:dyDescent="0.35">
      <c r="A135" s="72">
        <v>335</v>
      </c>
      <c r="B135" s="72" t="s">
        <v>208</v>
      </c>
      <c r="C135" s="72">
        <v>6</v>
      </c>
      <c r="D135" s="78">
        <v>1376800000</v>
      </c>
      <c r="E135" s="78">
        <v>166250000</v>
      </c>
      <c r="F135" s="78">
        <v>184100000</v>
      </c>
      <c r="G135" s="78">
        <v>13917</v>
      </c>
      <c r="H135" s="78">
        <v>2</v>
      </c>
      <c r="I135" s="78">
        <f t="shared" si="8"/>
        <v>184.1</v>
      </c>
      <c r="J135" s="78">
        <v>3046</v>
      </c>
      <c r="K135" s="78">
        <v>2729</v>
      </c>
      <c r="L135" s="78">
        <v>901</v>
      </c>
      <c r="M135" s="78">
        <v>1253</v>
      </c>
      <c r="N135" s="78">
        <f t="shared" si="9"/>
        <v>677.1</v>
      </c>
      <c r="O135" s="78">
        <v>103.333333333333</v>
      </c>
      <c r="P135" s="78">
        <v>16</v>
      </c>
      <c r="Q135" s="78">
        <v>490.33333333333297</v>
      </c>
      <c r="R135" s="78">
        <v>1587</v>
      </c>
      <c r="S135" s="78">
        <v>470</v>
      </c>
      <c r="T135" s="78">
        <v>0</v>
      </c>
      <c r="U135" s="78">
        <v>342</v>
      </c>
      <c r="V135" s="78">
        <v>5710</v>
      </c>
      <c r="W135" s="78">
        <v>9810</v>
      </c>
      <c r="X135" s="78">
        <v>770</v>
      </c>
      <c r="Y135" s="78">
        <v>0</v>
      </c>
      <c r="Z135" s="78">
        <v>0</v>
      </c>
      <c r="AA135" s="78">
        <v>0</v>
      </c>
      <c r="AB135" s="399">
        <v>0</v>
      </c>
      <c r="AC135" s="399">
        <v>0</v>
      </c>
      <c r="AD135" s="78">
        <v>3759</v>
      </c>
      <c r="AE135" s="78">
        <v>4999.47</v>
      </c>
      <c r="AF135" s="78">
        <v>61</v>
      </c>
      <c r="AG135" s="78">
        <v>0</v>
      </c>
      <c r="AH135" s="78">
        <v>81</v>
      </c>
      <c r="AI135" s="78">
        <v>28</v>
      </c>
      <c r="AJ135" s="78">
        <v>90.72</v>
      </c>
      <c r="AK135" s="78">
        <v>38.36</v>
      </c>
      <c r="AL135" s="78">
        <v>109</v>
      </c>
      <c r="AM135" s="78">
        <v>5759</v>
      </c>
      <c r="AN135" s="78">
        <v>6450.08</v>
      </c>
      <c r="AO135" s="78">
        <v>10</v>
      </c>
      <c r="AP135" s="78">
        <v>0</v>
      </c>
      <c r="AQ135" s="78">
        <v>0</v>
      </c>
      <c r="AR135" s="78">
        <v>1650</v>
      </c>
      <c r="AS135" s="78">
        <v>0</v>
      </c>
      <c r="AT135" s="78">
        <v>0</v>
      </c>
      <c r="AU135" s="400">
        <v>8.2126000000000006E-5</v>
      </c>
      <c r="AV135" s="400">
        <v>2.8126000000000001E-5</v>
      </c>
      <c r="AW135" s="78">
        <v>4301.973</v>
      </c>
      <c r="AX135" s="78">
        <v>0</v>
      </c>
      <c r="AY135" s="78">
        <v>1556.1</v>
      </c>
      <c r="AZ135" s="78">
        <v>10582.4576544503</v>
      </c>
      <c r="BA135" s="78">
        <v>4</v>
      </c>
      <c r="BB135" s="78">
        <v>5.48</v>
      </c>
      <c r="BC135" s="78">
        <v>1737</v>
      </c>
      <c r="BD135" s="78">
        <v>1</v>
      </c>
      <c r="BE135" s="78">
        <v>0</v>
      </c>
      <c r="BF135" s="78">
        <v>0</v>
      </c>
      <c r="BG135" s="78">
        <v>0</v>
      </c>
      <c r="BH135" s="78">
        <v>0</v>
      </c>
      <c r="BI135" s="78">
        <v>0</v>
      </c>
      <c r="BJ135" s="78">
        <v>0</v>
      </c>
      <c r="BK135" s="78">
        <v>0</v>
      </c>
      <c r="BL135" s="78">
        <v>0</v>
      </c>
      <c r="BM135" s="78">
        <v>194.94399999999999</v>
      </c>
      <c r="BN135" s="78">
        <v>31</v>
      </c>
      <c r="BO135" s="78">
        <v>27</v>
      </c>
      <c r="BP135" s="78">
        <v>4631.3599999999997</v>
      </c>
      <c r="BQ135" s="78">
        <v>1237.3900000000001</v>
      </c>
      <c r="BR135" s="78">
        <v>60.006866520787803</v>
      </c>
      <c r="BS135" s="78">
        <v>141</v>
      </c>
      <c r="BT135" s="78">
        <v>46.6666666666667</v>
      </c>
      <c r="BU135" s="78">
        <v>32.6666666666667</v>
      </c>
      <c r="BV135" s="78">
        <f t="shared" si="10"/>
        <v>387</v>
      </c>
      <c r="BW135" s="78">
        <v>83</v>
      </c>
      <c r="BX135" s="78">
        <v>1705.79702486425</v>
      </c>
      <c r="BY135" s="402">
        <v>7.0000000000000007E-2</v>
      </c>
      <c r="BZ135" s="78">
        <v>11188</v>
      </c>
      <c r="CA135" s="78">
        <v>1621</v>
      </c>
      <c r="CB135" s="78">
        <v>207</v>
      </c>
      <c r="CC135" s="78">
        <v>293</v>
      </c>
      <c r="CD135" s="78">
        <v>286</v>
      </c>
      <c r="CE135" s="78">
        <v>119</v>
      </c>
      <c r="CF135" s="78">
        <v>116.98463274874101</v>
      </c>
      <c r="CG135" s="78">
        <v>71.248932106268498</v>
      </c>
      <c r="CH135" s="78">
        <v>18.576454245528701</v>
      </c>
      <c r="CI135" s="78">
        <v>332.62849999999997</v>
      </c>
      <c r="CJ135" s="78">
        <v>202.58580000000001</v>
      </c>
      <c r="CK135" s="78">
        <v>52.819400000000002</v>
      </c>
      <c r="CL135" s="78">
        <v>0</v>
      </c>
    </row>
    <row r="136" spans="1:90" customFormat="1" x14ac:dyDescent="0.35">
      <c r="A136" s="72">
        <v>356</v>
      </c>
      <c r="B136" s="72" t="s">
        <v>212</v>
      </c>
      <c r="C136" s="72">
        <v>6</v>
      </c>
      <c r="D136" s="78">
        <v>5780000000</v>
      </c>
      <c r="E136" s="78">
        <v>1274000000</v>
      </c>
      <c r="F136" s="78">
        <v>1276800000</v>
      </c>
      <c r="G136" s="78">
        <v>63462</v>
      </c>
      <c r="H136" s="78">
        <v>1</v>
      </c>
      <c r="I136" s="78">
        <f t="shared" si="8"/>
        <v>1276.8</v>
      </c>
      <c r="J136" s="78">
        <v>11886</v>
      </c>
      <c r="K136" s="78">
        <v>12847</v>
      </c>
      <c r="L136" s="78">
        <v>3646</v>
      </c>
      <c r="M136" s="78">
        <v>8111</v>
      </c>
      <c r="N136" s="78">
        <f t="shared" si="9"/>
        <v>5210.5</v>
      </c>
      <c r="O136" s="78">
        <v>1195.6666666666699</v>
      </c>
      <c r="P136" s="78">
        <v>47</v>
      </c>
      <c r="Q136" s="78">
        <v>4560.6666666666697</v>
      </c>
      <c r="R136" s="78">
        <v>10773</v>
      </c>
      <c r="S136" s="78">
        <v>7105</v>
      </c>
      <c r="T136" s="78">
        <v>0</v>
      </c>
      <c r="U136" s="78">
        <v>2303</v>
      </c>
      <c r="V136" s="78">
        <v>29753</v>
      </c>
      <c r="W136" s="78">
        <v>67470</v>
      </c>
      <c r="X136" s="78">
        <v>48980</v>
      </c>
      <c r="Y136" s="78">
        <v>491.04</v>
      </c>
      <c r="Z136" s="78">
        <v>4282.3999999999996</v>
      </c>
      <c r="AA136" s="78">
        <v>0</v>
      </c>
      <c r="AB136" s="399">
        <v>0</v>
      </c>
      <c r="AC136" s="399">
        <v>0</v>
      </c>
      <c r="AD136" s="78">
        <v>2323</v>
      </c>
      <c r="AE136" s="78">
        <v>2648.22</v>
      </c>
      <c r="AF136" s="78">
        <v>241</v>
      </c>
      <c r="AG136" s="78">
        <v>0</v>
      </c>
      <c r="AH136" s="78">
        <v>293</v>
      </c>
      <c r="AI136" s="78">
        <v>29</v>
      </c>
      <c r="AJ136" s="78">
        <v>334.02</v>
      </c>
      <c r="AK136" s="78">
        <v>33.35</v>
      </c>
      <c r="AL136" s="78">
        <v>323</v>
      </c>
      <c r="AM136" s="78">
        <v>29005</v>
      </c>
      <c r="AN136" s="78">
        <v>33065.699999999997</v>
      </c>
      <c r="AO136" s="78">
        <v>0</v>
      </c>
      <c r="AP136" s="78">
        <v>0</v>
      </c>
      <c r="AQ136" s="78">
        <v>0</v>
      </c>
      <c r="AR136" s="78">
        <v>0</v>
      </c>
      <c r="AS136" s="78">
        <v>567</v>
      </c>
      <c r="AT136" s="78">
        <v>0</v>
      </c>
      <c r="AU136" s="400">
        <v>1.5291099999999999E-4</v>
      </c>
      <c r="AV136" s="400">
        <v>5.8019899999999999E-4</v>
      </c>
      <c r="AW136" s="78">
        <v>55892.635000000002</v>
      </c>
      <c r="AX136" s="78">
        <v>0</v>
      </c>
      <c r="AY136" s="78">
        <v>2443.02</v>
      </c>
      <c r="AZ136" s="78">
        <v>100534.79751950099</v>
      </c>
      <c r="BA136" s="78">
        <v>1</v>
      </c>
      <c r="BB136" s="78">
        <v>1.1499999999999999</v>
      </c>
      <c r="BC136" s="78">
        <v>6569</v>
      </c>
      <c r="BD136" s="78">
        <v>1</v>
      </c>
      <c r="BE136" s="78">
        <v>0</v>
      </c>
      <c r="BF136" s="78">
        <v>0</v>
      </c>
      <c r="BG136" s="78">
        <v>0</v>
      </c>
      <c r="BH136" s="78">
        <v>0</v>
      </c>
      <c r="BI136" s="78">
        <v>0</v>
      </c>
      <c r="BJ136" s="78">
        <v>0</v>
      </c>
      <c r="BK136" s="78">
        <v>0</v>
      </c>
      <c r="BL136" s="78">
        <v>0</v>
      </c>
      <c r="BM136" s="78">
        <v>1378.7760000000001</v>
      </c>
      <c r="BN136" s="78">
        <v>178</v>
      </c>
      <c r="BO136" s="78">
        <v>216</v>
      </c>
      <c r="BP136" s="78">
        <v>19943.04</v>
      </c>
      <c r="BQ136" s="78">
        <v>4399.3599999999997</v>
      </c>
      <c r="BR136" s="78">
        <v>535.01200141743402</v>
      </c>
      <c r="BS136" s="78">
        <v>915</v>
      </c>
      <c r="BT136" s="78">
        <v>354.33333333333297</v>
      </c>
      <c r="BU136" s="78">
        <v>317.33333333333297</v>
      </c>
      <c r="BV136" s="78">
        <f t="shared" si="10"/>
        <v>3365</v>
      </c>
      <c r="BW136" s="78">
        <v>741</v>
      </c>
      <c r="BX136" s="78">
        <v>11470.6789796307</v>
      </c>
      <c r="BY136" s="402">
        <v>2.504</v>
      </c>
      <c r="BZ136" s="78">
        <v>50615</v>
      </c>
      <c r="CA136" s="78">
        <v>8260</v>
      </c>
      <c r="CB136" s="78">
        <v>941</v>
      </c>
      <c r="CC136" s="78">
        <v>2048</v>
      </c>
      <c r="CD136" s="78">
        <v>1251</v>
      </c>
      <c r="CE136" s="78">
        <v>487</v>
      </c>
      <c r="CF136" s="78">
        <v>962.33920013790703</v>
      </c>
      <c r="CG136" s="78">
        <v>443.53471815204301</v>
      </c>
      <c r="CH136" s="78">
        <v>126.467574556111</v>
      </c>
      <c r="CI136" s="78">
        <v>2364.5798</v>
      </c>
      <c r="CJ136" s="78">
        <v>1089.8166000000001</v>
      </c>
      <c r="CK136" s="78">
        <v>310.74560000000002</v>
      </c>
      <c r="CL136" s="78">
        <v>26460</v>
      </c>
    </row>
    <row r="137" spans="1:90" customFormat="1" x14ac:dyDescent="0.35">
      <c r="A137" s="72">
        <v>589</v>
      </c>
      <c r="B137" s="72" t="s">
        <v>241</v>
      </c>
      <c r="C137" s="72">
        <v>6</v>
      </c>
      <c r="D137" s="78">
        <v>1076800000</v>
      </c>
      <c r="E137" s="78">
        <v>117950000</v>
      </c>
      <c r="F137" s="78">
        <v>139650000</v>
      </c>
      <c r="G137" s="78">
        <v>10230</v>
      </c>
      <c r="H137" s="78">
        <v>1</v>
      </c>
      <c r="I137" s="78">
        <f t="shared" si="8"/>
        <v>139.65</v>
      </c>
      <c r="J137" s="78">
        <v>2118</v>
      </c>
      <c r="K137" s="78">
        <v>2130</v>
      </c>
      <c r="L137" s="78">
        <v>710</v>
      </c>
      <c r="M137" s="78">
        <v>1164</v>
      </c>
      <c r="N137" s="78">
        <f t="shared" si="9"/>
        <v>725.3</v>
      </c>
      <c r="O137" s="78">
        <v>77.6666666666667</v>
      </c>
      <c r="P137" s="78">
        <v>2</v>
      </c>
      <c r="Q137" s="78">
        <v>391.66666666666703</v>
      </c>
      <c r="R137" s="78">
        <v>1307</v>
      </c>
      <c r="S137" s="78">
        <v>220</v>
      </c>
      <c r="T137" s="78">
        <v>0</v>
      </c>
      <c r="U137" s="78">
        <v>257</v>
      </c>
      <c r="V137" s="78">
        <v>4373</v>
      </c>
      <c r="W137" s="78">
        <v>8030</v>
      </c>
      <c r="X137" s="78">
        <v>690</v>
      </c>
      <c r="Y137" s="78">
        <v>0</v>
      </c>
      <c r="Z137" s="78">
        <v>0</v>
      </c>
      <c r="AA137" s="78">
        <v>0</v>
      </c>
      <c r="AB137" s="399">
        <v>0</v>
      </c>
      <c r="AC137" s="399">
        <v>0</v>
      </c>
      <c r="AD137" s="78">
        <v>3900</v>
      </c>
      <c r="AE137" s="78">
        <v>6396</v>
      </c>
      <c r="AF137" s="78">
        <v>110</v>
      </c>
      <c r="AG137" s="78">
        <v>0</v>
      </c>
      <c r="AH137" s="78">
        <v>52</v>
      </c>
      <c r="AI137" s="78">
        <v>33</v>
      </c>
      <c r="AJ137" s="78">
        <v>76.959999999999994</v>
      </c>
      <c r="AK137" s="78">
        <v>55.11</v>
      </c>
      <c r="AL137" s="78">
        <v>85</v>
      </c>
      <c r="AM137" s="78">
        <v>4387</v>
      </c>
      <c r="AN137" s="78">
        <v>6492.76</v>
      </c>
      <c r="AO137" s="78">
        <v>13</v>
      </c>
      <c r="AP137" s="78">
        <v>0</v>
      </c>
      <c r="AQ137" s="78">
        <v>0</v>
      </c>
      <c r="AR137" s="78">
        <v>3350</v>
      </c>
      <c r="AS137" s="78">
        <v>707</v>
      </c>
      <c r="AT137" s="78">
        <v>707</v>
      </c>
      <c r="AU137" s="400">
        <v>1.83189E-4</v>
      </c>
      <c r="AV137" s="400">
        <v>4.7942999999999998E-5</v>
      </c>
      <c r="AW137" s="78">
        <v>3794.7550000000001</v>
      </c>
      <c r="AX137" s="78">
        <v>0</v>
      </c>
      <c r="AY137" s="78">
        <v>4762.5600000000004</v>
      </c>
      <c r="AZ137" s="78">
        <v>34240.549825436399</v>
      </c>
      <c r="BA137" s="78">
        <v>3</v>
      </c>
      <c r="BB137" s="78">
        <v>5.01</v>
      </c>
      <c r="BC137" s="78">
        <v>1509</v>
      </c>
      <c r="BD137" s="78">
        <v>1</v>
      </c>
      <c r="BE137" s="78">
        <v>0</v>
      </c>
      <c r="BF137" s="78">
        <v>0</v>
      </c>
      <c r="BG137" s="78">
        <v>0</v>
      </c>
      <c r="BH137" s="78">
        <v>0</v>
      </c>
      <c r="BI137" s="78">
        <v>0</v>
      </c>
      <c r="BJ137" s="78">
        <v>0</v>
      </c>
      <c r="BK137" s="78">
        <v>0</v>
      </c>
      <c r="BL137" s="78">
        <v>0</v>
      </c>
      <c r="BM137" s="78">
        <v>173.67599999999999</v>
      </c>
      <c r="BN137" s="78">
        <v>23</v>
      </c>
      <c r="BO137" s="78">
        <v>22</v>
      </c>
      <c r="BP137" s="78">
        <v>3369.35</v>
      </c>
      <c r="BQ137" s="78">
        <v>904</v>
      </c>
      <c r="BR137" s="78">
        <v>54.125351955307302</v>
      </c>
      <c r="BS137" s="78">
        <v>123</v>
      </c>
      <c r="BT137" s="78">
        <v>33.3333333333333</v>
      </c>
      <c r="BU137" s="78">
        <v>25</v>
      </c>
      <c r="BV137" s="78">
        <f t="shared" si="10"/>
        <v>314.00000000000034</v>
      </c>
      <c r="BW137" s="78">
        <v>68</v>
      </c>
      <c r="BX137" s="78">
        <v>1279.5071463582001</v>
      </c>
      <c r="BY137" s="402">
        <v>5.0999999999999997E-2</v>
      </c>
      <c r="BZ137" s="78">
        <v>8100</v>
      </c>
      <c r="CA137" s="78">
        <v>1210</v>
      </c>
      <c r="CB137" s="78">
        <v>210</v>
      </c>
      <c r="CC137" s="78">
        <v>253</v>
      </c>
      <c r="CD137" s="78">
        <v>241</v>
      </c>
      <c r="CE137" s="78">
        <v>115</v>
      </c>
      <c r="CF137" s="78">
        <v>126.146318668794</v>
      </c>
      <c r="CG137" s="78">
        <v>77.0434921358559</v>
      </c>
      <c r="CH137" s="78">
        <v>21.823478459083699</v>
      </c>
      <c r="CI137" s="78">
        <v>264.60840000000002</v>
      </c>
      <c r="CJ137" s="78">
        <v>161.6088</v>
      </c>
      <c r="CK137" s="78">
        <v>45.7776</v>
      </c>
      <c r="CL137" s="78">
        <v>0</v>
      </c>
    </row>
    <row r="138" spans="1:90" customFormat="1" x14ac:dyDescent="0.35">
      <c r="A138" s="72">
        <v>339</v>
      </c>
      <c r="B138" s="72" t="s">
        <v>252</v>
      </c>
      <c r="C138" s="72">
        <v>6</v>
      </c>
      <c r="D138" s="78">
        <v>542400000</v>
      </c>
      <c r="E138" s="78">
        <v>112350000</v>
      </c>
      <c r="F138" s="78">
        <v>122150000</v>
      </c>
      <c r="G138" s="78">
        <v>5444</v>
      </c>
      <c r="H138" s="78">
        <v>1</v>
      </c>
      <c r="I138" s="78">
        <f t="shared" si="8"/>
        <v>122.15</v>
      </c>
      <c r="J138" s="78">
        <v>1378</v>
      </c>
      <c r="K138" s="78">
        <v>813</v>
      </c>
      <c r="L138" s="78">
        <v>244</v>
      </c>
      <c r="M138" s="78">
        <v>457</v>
      </c>
      <c r="N138" s="78">
        <f t="shared" si="9"/>
        <v>242.7</v>
      </c>
      <c r="O138" s="78">
        <v>31.6666666666667</v>
      </c>
      <c r="P138" s="78">
        <v>2</v>
      </c>
      <c r="Q138" s="78">
        <v>146.666666666667</v>
      </c>
      <c r="R138" s="78">
        <v>530</v>
      </c>
      <c r="S138" s="78">
        <v>80</v>
      </c>
      <c r="T138" s="78">
        <v>0</v>
      </c>
      <c r="U138" s="78">
        <v>85</v>
      </c>
      <c r="V138" s="78">
        <v>2097</v>
      </c>
      <c r="W138" s="78">
        <v>3620</v>
      </c>
      <c r="X138" s="78">
        <v>320</v>
      </c>
      <c r="Y138" s="78">
        <v>0</v>
      </c>
      <c r="Z138" s="78">
        <v>0</v>
      </c>
      <c r="AA138" s="78">
        <v>0</v>
      </c>
      <c r="AB138" s="399">
        <v>0</v>
      </c>
      <c r="AC138" s="399">
        <v>0</v>
      </c>
      <c r="AD138" s="78">
        <v>1839</v>
      </c>
      <c r="AE138" s="78">
        <v>1839</v>
      </c>
      <c r="AF138" s="78">
        <v>12</v>
      </c>
      <c r="AG138" s="78">
        <v>0</v>
      </c>
      <c r="AH138" s="78">
        <v>33</v>
      </c>
      <c r="AI138" s="78">
        <v>31</v>
      </c>
      <c r="AJ138" s="78">
        <v>33</v>
      </c>
      <c r="AK138" s="78">
        <v>31</v>
      </c>
      <c r="AL138" s="78">
        <v>64</v>
      </c>
      <c r="AM138" s="78">
        <v>2143</v>
      </c>
      <c r="AN138" s="78">
        <v>2143</v>
      </c>
      <c r="AO138" s="78">
        <v>0</v>
      </c>
      <c r="AP138" s="78">
        <v>0</v>
      </c>
      <c r="AQ138" s="78">
        <v>0</v>
      </c>
      <c r="AR138" s="78">
        <v>0</v>
      </c>
      <c r="AS138" s="78">
        <v>0</v>
      </c>
      <c r="AT138" s="78">
        <v>0</v>
      </c>
      <c r="AU138" s="400">
        <v>2.3407000000000001E-5</v>
      </c>
      <c r="AV138" s="400">
        <v>7.3950000000000003E-6</v>
      </c>
      <c r="AW138" s="78">
        <v>1101.502</v>
      </c>
      <c r="AX138" s="78">
        <v>0</v>
      </c>
      <c r="AY138" s="78">
        <v>389</v>
      </c>
      <c r="AZ138" s="78">
        <v>1144.0929227444601</v>
      </c>
      <c r="BA138" s="78">
        <v>1</v>
      </c>
      <c r="BB138" s="78">
        <v>1</v>
      </c>
      <c r="BC138" s="78">
        <v>821</v>
      </c>
      <c r="BD138" s="78">
        <v>1</v>
      </c>
      <c r="BE138" s="78">
        <v>0</v>
      </c>
      <c r="BF138" s="78">
        <v>0</v>
      </c>
      <c r="BG138" s="78">
        <v>0</v>
      </c>
      <c r="BH138" s="78">
        <v>0</v>
      </c>
      <c r="BI138" s="78">
        <v>0</v>
      </c>
      <c r="BJ138" s="78">
        <v>0</v>
      </c>
      <c r="BK138" s="78">
        <v>0</v>
      </c>
      <c r="BL138" s="78">
        <v>0</v>
      </c>
      <c r="BM138" s="78">
        <v>75.790000000000006</v>
      </c>
      <c r="BN138" s="78">
        <v>15</v>
      </c>
      <c r="BO138" s="78">
        <v>12</v>
      </c>
      <c r="BP138" s="78">
        <v>1566.75</v>
      </c>
      <c r="BQ138" s="78">
        <v>470.58</v>
      </c>
      <c r="BR138" s="78">
        <v>34.329637178051499</v>
      </c>
      <c r="BS138" s="78">
        <v>46</v>
      </c>
      <c r="BT138" s="78">
        <v>10.6666666666667</v>
      </c>
      <c r="BU138" s="78">
        <v>6</v>
      </c>
      <c r="BV138" s="78">
        <f t="shared" si="10"/>
        <v>115.0000000000003</v>
      </c>
      <c r="BW138" s="78">
        <v>28</v>
      </c>
      <c r="BX138" s="78">
        <v>428.48079102490999</v>
      </c>
      <c r="BY138" s="402">
        <v>2.8000000000000001E-2</v>
      </c>
      <c r="BZ138" s="78">
        <v>4631</v>
      </c>
      <c r="CA138" s="78">
        <v>510</v>
      </c>
      <c r="CB138" s="78">
        <v>59</v>
      </c>
      <c r="CC138" s="78">
        <v>87</v>
      </c>
      <c r="CD138" s="78">
        <v>88</v>
      </c>
      <c r="CE138" s="78">
        <v>31</v>
      </c>
      <c r="CF138" s="78">
        <v>35.221511899206703</v>
      </c>
      <c r="CG138" s="78">
        <v>19.026411572561798</v>
      </c>
      <c r="CH138" s="78">
        <v>5.43611759216052</v>
      </c>
      <c r="CI138" s="78">
        <v>121.29</v>
      </c>
      <c r="CJ138" s="78">
        <v>65.52</v>
      </c>
      <c r="CK138" s="78">
        <v>18.72</v>
      </c>
      <c r="CL138" s="78">
        <v>0</v>
      </c>
    </row>
    <row r="139" spans="1:90" customFormat="1" x14ac:dyDescent="0.35">
      <c r="A139" s="72">
        <v>340</v>
      </c>
      <c r="B139" s="72" t="s">
        <v>255</v>
      </c>
      <c r="C139" s="72">
        <v>6</v>
      </c>
      <c r="D139" s="78">
        <v>1984800000</v>
      </c>
      <c r="E139" s="78">
        <v>220150000</v>
      </c>
      <c r="F139" s="78">
        <v>234850000</v>
      </c>
      <c r="G139" s="78">
        <v>20119</v>
      </c>
      <c r="H139" s="78">
        <v>3</v>
      </c>
      <c r="I139" s="78">
        <f t="shared" si="8"/>
        <v>234.85</v>
      </c>
      <c r="J139" s="78">
        <v>4345</v>
      </c>
      <c r="K139" s="78">
        <v>4297</v>
      </c>
      <c r="L139" s="78">
        <v>1441</v>
      </c>
      <c r="M139" s="78">
        <v>2227</v>
      </c>
      <c r="N139" s="78">
        <f t="shared" si="9"/>
        <v>1391.1999999999998</v>
      </c>
      <c r="O139" s="78">
        <v>237</v>
      </c>
      <c r="P139" s="78">
        <v>21</v>
      </c>
      <c r="Q139" s="78">
        <v>1135</v>
      </c>
      <c r="R139" s="78">
        <v>2563</v>
      </c>
      <c r="S139" s="78">
        <v>750</v>
      </c>
      <c r="T139" s="78">
        <v>0</v>
      </c>
      <c r="U139" s="78">
        <v>455</v>
      </c>
      <c r="V139" s="78">
        <v>8619</v>
      </c>
      <c r="W139" s="78">
        <v>16950</v>
      </c>
      <c r="X139" s="78">
        <v>3990</v>
      </c>
      <c r="Y139" s="78">
        <v>0</v>
      </c>
      <c r="Z139" s="78">
        <v>192</v>
      </c>
      <c r="AA139" s="78">
        <v>0</v>
      </c>
      <c r="AB139" s="399">
        <v>0</v>
      </c>
      <c r="AC139" s="399">
        <v>58.499999999999972</v>
      </c>
      <c r="AD139" s="78">
        <v>4207</v>
      </c>
      <c r="AE139" s="78">
        <v>4207</v>
      </c>
      <c r="AF139" s="78">
        <v>169</v>
      </c>
      <c r="AG139" s="78">
        <v>0</v>
      </c>
      <c r="AH139" s="78">
        <v>92</v>
      </c>
      <c r="AI139" s="78">
        <v>42</v>
      </c>
      <c r="AJ139" s="78">
        <v>92</v>
      </c>
      <c r="AK139" s="78">
        <v>42</v>
      </c>
      <c r="AL139" s="78">
        <v>134</v>
      </c>
      <c r="AM139" s="78">
        <v>8358</v>
      </c>
      <c r="AN139" s="78">
        <v>8358</v>
      </c>
      <c r="AO139" s="78">
        <v>5</v>
      </c>
      <c r="AP139" s="78">
        <v>0</v>
      </c>
      <c r="AQ139" s="78">
        <v>0</v>
      </c>
      <c r="AR139" s="78">
        <v>0</v>
      </c>
      <c r="AS139" s="78">
        <v>872</v>
      </c>
      <c r="AT139" s="78">
        <v>872</v>
      </c>
      <c r="AU139" s="400">
        <v>1.7055600000000001E-4</v>
      </c>
      <c r="AV139" s="400">
        <v>2.3299900000000001E-4</v>
      </c>
      <c r="AW139" s="78">
        <v>7722.7920000000004</v>
      </c>
      <c r="AX139" s="78">
        <v>0</v>
      </c>
      <c r="AY139" s="78">
        <v>671</v>
      </c>
      <c r="AZ139" s="78">
        <v>3084.97463436929</v>
      </c>
      <c r="BA139" s="78">
        <v>7</v>
      </c>
      <c r="BB139" s="78">
        <v>7</v>
      </c>
      <c r="BC139" s="78">
        <v>2377</v>
      </c>
      <c r="BD139" s="78">
        <v>1</v>
      </c>
      <c r="BE139" s="78">
        <v>0</v>
      </c>
      <c r="BF139" s="78">
        <v>0</v>
      </c>
      <c r="BG139" s="78">
        <v>0</v>
      </c>
      <c r="BH139" s="78">
        <v>0</v>
      </c>
      <c r="BI139" s="78">
        <v>0</v>
      </c>
      <c r="BJ139" s="78">
        <v>0</v>
      </c>
      <c r="BK139" s="78">
        <v>0</v>
      </c>
      <c r="BL139" s="78">
        <v>0</v>
      </c>
      <c r="BM139" s="78">
        <v>404.08499999999998</v>
      </c>
      <c r="BN139" s="78">
        <v>145</v>
      </c>
      <c r="BO139" s="78">
        <v>53</v>
      </c>
      <c r="BP139" s="78">
        <v>5800.2</v>
      </c>
      <c r="BQ139" s="78">
        <v>1480.03</v>
      </c>
      <c r="BR139" s="78">
        <v>179.42243572841099</v>
      </c>
      <c r="BS139" s="78">
        <v>185</v>
      </c>
      <c r="BT139" s="78">
        <v>68</v>
      </c>
      <c r="BU139" s="78">
        <v>50.3333333333333</v>
      </c>
      <c r="BV139" s="78">
        <f t="shared" si="10"/>
        <v>898</v>
      </c>
      <c r="BW139" s="78">
        <v>359</v>
      </c>
      <c r="BX139" s="78">
        <v>2889.0336872625498</v>
      </c>
      <c r="BY139" s="402">
        <v>0.317</v>
      </c>
      <c r="BZ139" s="78">
        <v>15822</v>
      </c>
      <c r="CA139" s="78">
        <v>2356</v>
      </c>
      <c r="CB139" s="78">
        <v>500</v>
      </c>
      <c r="CC139" s="78">
        <v>418</v>
      </c>
      <c r="CD139" s="78">
        <v>489</v>
      </c>
      <c r="CE139" s="78">
        <v>257</v>
      </c>
      <c r="CF139" s="78">
        <v>234.030533620483</v>
      </c>
      <c r="CG139" s="78">
        <v>162.95582675281199</v>
      </c>
      <c r="CH139" s="78">
        <v>60.921177315147197</v>
      </c>
      <c r="CI139" s="78">
        <v>583.49</v>
      </c>
      <c r="CJ139" s="78">
        <v>406.28500000000003</v>
      </c>
      <c r="CK139" s="78">
        <v>151.88999999999999</v>
      </c>
      <c r="CL139" s="78">
        <v>64970</v>
      </c>
    </row>
    <row r="140" spans="1:90" customFormat="1" x14ac:dyDescent="0.35">
      <c r="A140" s="72">
        <v>342</v>
      </c>
      <c r="B140" s="72" t="s">
        <v>279</v>
      </c>
      <c r="C140" s="72">
        <v>6</v>
      </c>
      <c r="D140" s="78">
        <v>5472800000</v>
      </c>
      <c r="E140" s="78">
        <v>657650000</v>
      </c>
      <c r="F140" s="78">
        <v>667450000</v>
      </c>
      <c r="G140" s="78">
        <v>46606</v>
      </c>
      <c r="H140" s="78">
        <v>2</v>
      </c>
      <c r="I140" s="78">
        <f t="shared" si="8"/>
        <v>667.45</v>
      </c>
      <c r="J140" s="78">
        <v>9313</v>
      </c>
      <c r="K140" s="78">
        <v>10513</v>
      </c>
      <c r="L140" s="78">
        <v>3409</v>
      </c>
      <c r="M140" s="78">
        <v>5659</v>
      </c>
      <c r="N140" s="78">
        <f t="shared" si="9"/>
        <v>3551.7</v>
      </c>
      <c r="O140" s="78">
        <v>692</v>
      </c>
      <c r="P140" s="78">
        <v>27</v>
      </c>
      <c r="Q140" s="78">
        <v>2812</v>
      </c>
      <c r="R140" s="78">
        <v>7120</v>
      </c>
      <c r="S140" s="78">
        <v>4180</v>
      </c>
      <c r="T140" s="78">
        <v>0</v>
      </c>
      <c r="U140" s="78">
        <v>1388</v>
      </c>
      <c r="V140" s="78">
        <v>21087</v>
      </c>
      <c r="W140" s="78">
        <v>42770</v>
      </c>
      <c r="X140" s="78">
        <v>23140</v>
      </c>
      <c r="Y140" s="78">
        <v>574.36</v>
      </c>
      <c r="Z140" s="78">
        <v>1148</v>
      </c>
      <c r="AA140" s="78">
        <v>0</v>
      </c>
      <c r="AB140" s="399">
        <v>0</v>
      </c>
      <c r="AC140" s="399">
        <v>0</v>
      </c>
      <c r="AD140" s="78">
        <v>4625</v>
      </c>
      <c r="AE140" s="78">
        <v>4625</v>
      </c>
      <c r="AF140" s="78">
        <v>18</v>
      </c>
      <c r="AG140" s="78">
        <v>0</v>
      </c>
      <c r="AH140" s="78">
        <v>239</v>
      </c>
      <c r="AI140" s="78">
        <v>25</v>
      </c>
      <c r="AJ140" s="78">
        <v>239</v>
      </c>
      <c r="AK140" s="78">
        <v>25</v>
      </c>
      <c r="AL140" s="78">
        <v>263</v>
      </c>
      <c r="AM140" s="78">
        <v>21073</v>
      </c>
      <c r="AN140" s="78">
        <v>21073</v>
      </c>
      <c r="AO140" s="78">
        <v>0</v>
      </c>
      <c r="AP140" s="78">
        <v>0</v>
      </c>
      <c r="AQ140" s="78">
        <v>0</v>
      </c>
      <c r="AR140" s="78">
        <v>0</v>
      </c>
      <c r="AS140" s="78">
        <v>1926</v>
      </c>
      <c r="AT140" s="78">
        <v>0</v>
      </c>
      <c r="AU140" s="400">
        <v>5.4898299999999996E-4</v>
      </c>
      <c r="AV140" s="400">
        <v>9.1144700000000002E-4</v>
      </c>
      <c r="AW140" s="78">
        <v>30935.164000000001</v>
      </c>
      <c r="AX140" s="78">
        <v>0</v>
      </c>
      <c r="AY140" s="78">
        <v>378</v>
      </c>
      <c r="AZ140" s="78">
        <v>3794.3286668102501</v>
      </c>
      <c r="BA140" s="78">
        <v>4</v>
      </c>
      <c r="BB140" s="78">
        <v>4</v>
      </c>
      <c r="BC140" s="78">
        <v>6424</v>
      </c>
      <c r="BD140" s="78">
        <v>1</v>
      </c>
      <c r="BE140" s="78">
        <v>0</v>
      </c>
      <c r="BF140" s="78">
        <v>0</v>
      </c>
      <c r="BG140" s="78">
        <v>0</v>
      </c>
      <c r="BH140" s="78">
        <v>0</v>
      </c>
      <c r="BI140" s="78">
        <v>0</v>
      </c>
      <c r="BJ140" s="78">
        <v>0</v>
      </c>
      <c r="BK140" s="78">
        <v>0</v>
      </c>
      <c r="BL140" s="78">
        <v>0</v>
      </c>
      <c r="BM140" s="78">
        <v>987.178</v>
      </c>
      <c r="BN140" s="78">
        <v>97</v>
      </c>
      <c r="BO140" s="78">
        <v>145</v>
      </c>
      <c r="BP140" s="78">
        <v>16508.8</v>
      </c>
      <c r="BQ140" s="78">
        <v>3929.96</v>
      </c>
      <c r="BR140" s="78">
        <v>335.64062314827601</v>
      </c>
      <c r="BS140" s="78">
        <v>543</v>
      </c>
      <c r="BT140" s="78">
        <v>221.666666666667</v>
      </c>
      <c r="BU140" s="78">
        <v>170.333333333333</v>
      </c>
      <c r="BV140" s="78">
        <f t="shared" si="10"/>
        <v>2120</v>
      </c>
      <c r="BW140" s="78">
        <v>517</v>
      </c>
      <c r="BX140" s="78">
        <v>6757.45634324804</v>
      </c>
      <c r="BY140" s="402">
        <v>1.0389999999999999</v>
      </c>
      <c r="BZ140" s="78">
        <v>36093</v>
      </c>
      <c r="CA140" s="78">
        <v>5813</v>
      </c>
      <c r="CB140" s="78">
        <v>1291</v>
      </c>
      <c r="CC140" s="78">
        <v>1383</v>
      </c>
      <c r="CD140" s="78">
        <v>1203</v>
      </c>
      <c r="CE140" s="78">
        <v>734</v>
      </c>
      <c r="CF140" s="78">
        <v>623.94501969344697</v>
      </c>
      <c r="CG140" s="78">
        <v>388.65943150002403</v>
      </c>
      <c r="CH140" s="78">
        <v>170.565197171736</v>
      </c>
      <c r="CI140" s="78">
        <v>1249.0547999999999</v>
      </c>
      <c r="CJ140" s="78">
        <v>778.0444</v>
      </c>
      <c r="CK140" s="78">
        <v>341.44880000000001</v>
      </c>
      <c r="CL140" s="78">
        <v>68299</v>
      </c>
    </row>
    <row r="141" spans="1:90" customFormat="1" x14ac:dyDescent="0.35">
      <c r="A141" s="72">
        <v>1904</v>
      </c>
      <c r="B141" s="72" t="s">
        <v>288</v>
      </c>
      <c r="C141" s="72">
        <v>6</v>
      </c>
      <c r="D141" s="78">
        <v>7837600000</v>
      </c>
      <c r="E141" s="78">
        <v>677950000</v>
      </c>
      <c r="F141" s="78">
        <v>726600000</v>
      </c>
      <c r="G141" s="78">
        <v>64931</v>
      </c>
      <c r="H141" s="78">
        <v>8</v>
      </c>
      <c r="I141" s="78">
        <f t="shared" si="8"/>
        <v>726.6</v>
      </c>
      <c r="J141" s="78">
        <v>13280</v>
      </c>
      <c r="K141" s="78">
        <v>13357</v>
      </c>
      <c r="L141" s="78">
        <v>4081</v>
      </c>
      <c r="M141" s="78">
        <v>6780</v>
      </c>
      <c r="N141" s="78">
        <f t="shared" si="9"/>
        <v>3886.3999999999996</v>
      </c>
      <c r="O141" s="78">
        <v>791.66666666666697</v>
      </c>
      <c r="P141" s="78">
        <v>31</v>
      </c>
      <c r="Q141" s="78">
        <v>3223.6666666666702</v>
      </c>
      <c r="R141" s="78">
        <v>9145</v>
      </c>
      <c r="S141" s="78">
        <v>3635</v>
      </c>
      <c r="T141" s="78">
        <v>0</v>
      </c>
      <c r="U141" s="78">
        <v>1994</v>
      </c>
      <c r="V141" s="78">
        <v>28838</v>
      </c>
      <c r="W141" s="78">
        <v>51500</v>
      </c>
      <c r="X141" s="78">
        <v>15670</v>
      </c>
      <c r="Y141" s="78">
        <v>215.82</v>
      </c>
      <c r="Z141" s="78">
        <v>3125.6</v>
      </c>
      <c r="AA141" s="78">
        <v>0</v>
      </c>
      <c r="AB141" s="399">
        <v>0</v>
      </c>
      <c r="AC141" s="399">
        <v>0</v>
      </c>
      <c r="AD141" s="78">
        <v>9617</v>
      </c>
      <c r="AE141" s="78">
        <v>13559.97</v>
      </c>
      <c r="AF141" s="78">
        <v>1065</v>
      </c>
      <c r="AG141" s="78">
        <v>0</v>
      </c>
      <c r="AH141" s="78">
        <v>268</v>
      </c>
      <c r="AI141" s="78">
        <v>67</v>
      </c>
      <c r="AJ141" s="78">
        <v>321.60000000000002</v>
      </c>
      <c r="AK141" s="78">
        <v>100.5</v>
      </c>
      <c r="AL141" s="78">
        <v>335</v>
      </c>
      <c r="AM141" s="78">
        <v>28936</v>
      </c>
      <c r="AN141" s="78">
        <v>34723.199999999997</v>
      </c>
      <c r="AO141" s="78">
        <v>0</v>
      </c>
      <c r="AP141" s="78">
        <v>0</v>
      </c>
      <c r="AQ141" s="78">
        <v>0</v>
      </c>
      <c r="AR141" s="78">
        <v>0</v>
      </c>
      <c r="AS141" s="78">
        <v>1520</v>
      </c>
      <c r="AT141" s="78">
        <v>0</v>
      </c>
      <c r="AU141" s="400">
        <v>4.9929200000000003E-4</v>
      </c>
      <c r="AV141" s="400">
        <v>5.8178600000000004E-4</v>
      </c>
      <c r="AW141" s="78">
        <v>34144.480000000003</v>
      </c>
      <c r="AX141" s="78">
        <v>0</v>
      </c>
      <c r="AY141" s="78">
        <v>15304.14</v>
      </c>
      <c r="AZ141" s="78">
        <v>174191.844040442</v>
      </c>
      <c r="BA141" s="78">
        <v>18</v>
      </c>
      <c r="BB141" s="78">
        <v>27</v>
      </c>
      <c r="BC141" s="78">
        <v>8376</v>
      </c>
      <c r="BD141" s="78">
        <v>1</v>
      </c>
      <c r="BE141" s="78">
        <v>0</v>
      </c>
      <c r="BF141" s="78">
        <v>0</v>
      </c>
      <c r="BG141" s="78">
        <v>0</v>
      </c>
      <c r="BH141" s="78">
        <v>0</v>
      </c>
      <c r="BI141" s="78">
        <v>0</v>
      </c>
      <c r="BJ141" s="78">
        <v>0</v>
      </c>
      <c r="BK141" s="78">
        <v>0</v>
      </c>
      <c r="BL141" s="78">
        <v>0</v>
      </c>
      <c r="BM141" s="78">
        <v>1009.28</v>
      </c>
      <c r="BN141" s="78">
        <v>160</v>
      </c>
      <c r="BO141" s="78">
        <v>110</v>
      </c>
      <c r="BP141" s="78">
        <v>23435.88</v>
      </c>
      <c r="BQ141" s="78">
        <v>6032.07</v>
      </c>
      <c r="BR141" s="78">
        <v>449.20680753854901</v>
      </c>
      <c r="BS141" s="78">
        <v>727</v>
      </c>
      <c r="BT141" s="78">
        <v>219.666666666667</v>
      </c>
      <c r="BU141" s="78">
        <v>186.333333333333</v>
      </c>
      <c r="BV141" s="78">
        <f t="shared" si="10"/>
        <v>2432.0000000000032</v>
      </c>
      <c r="BW141" s="78">
        <v>455</v>
      </c>
      <c r="BX141" s="78">
        <v>9061.7177176075602</v>
      </c>
      <c r="BY141" s="402">
        <v>0.73499999999999999</v>
      </c>
      <c r="BZ141" s="78">
        <v>51574</v>
      </c>
      <c r="CA141" s="78">
        <v>7942</v>
      </c>
      <c r="CB141" s="78">
        <v>1334</v>
      </c>
      <c r="CC141" s="78">
        <v>1859</v>
      </c>
      <c r="CD141" s="78">
        <v>1449</v>
      </c>
      <c r="CE141" s="78">
        <v>651</v>
      </c>
      <c r="CF141" s="78">
        <v>671.68531932540805</v>
      </c>
      <c r="CG141" s="78">
        <v>373.24805087088703</v>
      </c>
      <c r="CH141" s="78">
        <v>123.431075476915</v>
      </c>
      <c r="CI141" s="78">
        <v>1566.3132000000001</v>
      </c>
      <c r="CJ141" s="78">
        <v>870.38279999999997</v>
      </c>
      <c r="CK141" s="78">
        <v>287.83080000000001</v>
      </c>
      <c r="CL141" s="78">
        <v>33031</v>
      </c>
    </row>
    <row r="142" spans="1:90" customFormat="1" x14ac:dyDescent="0.35">
      <c r="A142" s="72">
        <v>344</v>
      </c>
      <c r="B142" s="72" t="s">
        <v>305</v>
      </c>
      <c r="C142" s="72">
        <v>6</v>
      </c>
      <c r="D142" s="78">
        <v>40381600000</v>
      </c>
      <c r="E142" s="78">
        <v>9245600000</v>
      </c>
      <c r="F142" s="78">
        <v>9361800000</v>
      </c>
      <c r="G142" s="78">
        <v>357597</v>
      </c>
      <c r="H142" s="78">
        <v>2</v>
      </c>
      <c r="I142" s="78">
        <f t="shared" si="8"/>
        <v>9361.7999999999993</v>
      </c>
      <c r="J142" s="78">
        <v>70595</v>
      </c>
      <c r="K142" s="78">
        <v>37276</v>
      </c>
      <c r="L142" s="78">
        <v>11587</v>
      </c>
      <c r="M142" s="78">
        <v>48379</v>
      </c>
      <c r="N142" s="78">
        <f t="shared" si="9"/>
        <v>32036.9</v>
      </c>
      <c r="O142" s="78">
        <v>9894</v>
      </c>
      <c r="P142" s="78">
        <v>137</v>
      </c>
      <c r="Q142" s="78">
        <v>24846</v>
      </c>
      <c r="R142" s="78">
        <v>92312</v>
      </c>
      <c r="S142" s="78">
        <v>60155</v>
      </c>
      <c r="T142" s="78">
        <v>0</v>
      </c>
      <c r="U142" s="78">
        <v>10078</v>
      </c>
      <c r="V142" s="78">
        <v>185590</v>
      </c>
      <c r="W142" s="78">
        <v>411240</v>
      </c>
      <c r="X142" s="78">
        <v>726950</v>
      </c>
      <c r="Y142" s="78">
        <v>8250.7047999999995</v>
      </c>
      <c r="Z142" s="78">
        <v>12243.2</v>
      </c>
      <c r="AA142" s="78">
        <v>1077.7</v>
      </c>
      <c r="AB142" s="399">
        <v>5843.4999999999927</v>
      </c>
      <c r="AC142" s="399">
        <v>4118.0999999999985</v>
      </c>
      <c r="AD142" s="78">
        <v>9376</v>
      </c>
      <c r="AE142" s="78">
        <v>9657.2800000000007</v>
      </c>
      <c r="AF142" s="78">
        <v>545</v>
      </c>
      <c r="AG142" s="78">
        <v>0</v>
      </c>
      <c r="AH142" s="78">
        <v>1192</v>
      </c>
      <c r="AI142" s="78">
        <v>104</v>
      </c>
      <c r="AJ142" s="78">
        <v>1203.92</v>
      </c>
      <c r="AK142" s="78">
        <v>110.24</v>
      </c>
      <c r="AL142" s="78">
        <v>1296</v>
      </c>
      <c r="AM142" s="78">
        <v>163421</v>
      </c>
      <c r="AN142" s="78">
        <v>165055.21</v>
      </c>
      <c r="AO142" s="78">
        <v>0</v>
      </c>
      <c r="AP142" s="78">
        <v>0</v>
      </c>
      <c r="AQ142" s="78">
        <v>132</v>
      </c>
      <c r="AR142" s="78">
        <v>14100</v>
      </c>
      <c r="AS142" s="78">
        <v>39725</v>
      </c>
      <c r="AT142" s="78">
        <v>37288</v>
      </c>
      <c r="AU142" s="400">
        <v>2.9825601E-2</v>
      </c>
      <c r="AV142" s="400">
        <v>2.8403813E-2</v>
      </c>
      <c r="AW142" s="78">
        <v>562821.924</v>
      </c>
      <c r="AX142" s="78">
        <v>7190.5240000000003</v>
      </c>
      <c r="AY142" s="78">
        <v>5320.98</v>
      </c>
      <c r="AZ142" s="78">
        <v>208275.65216207999</v>
      </c>
      <c r="BA142" s="78">
        <v>5</v>
      </c>
      <c r="BB142" s="78">
        <v>5.3</v>
      </c>
      <c r="BC142" s="78">
        <v>49371</v>
      </c>
      <c r="BD142" s="78">
        <v>1</v>
      </c>
      <c r="BE142" s="78">
        <v>1</v>
      </c>
      <c r="BF142" s="78">
        <v>0</v>
      </c>
      <c r="BG142" s="78">
        <v>0</v>
      </c>
      <c r="BH142" s="78">
        <v>0</v>
      </c>
      <c r="BI142" s="78">
        <v>0</v>
      </c>
      <c r="BJ142" s="78">
        <v>0</v>
      </c>
      <c r="BK142" s="78">
        <v>0</v>
      </c>
      <c r="BL142" s="78">
        <v>0</v>
      </c>
      <c r="BM142" s="78">
        <v>10095.084999999999</v>
      </c>
      <c r="BN142" s="78">
        <v>858</v>
      </c>
      <c r="BO142" s="78">
        <v>2067</v>
      </c>
      <c r="BP142" s="78">
        <v>105368.6</v>
      </c>
      <c r="BQ142" s="78">
        <v>27120.1</v>
      </c>
      <c r="BR142" s="78">
        <v>3784.6816402307099</v>
      </c>
      <c r="BS142" s="78">
        <v>4048</v>
      </c>
      <c r="BT142" s="78">
        <v>2768</v>
      </c>
      <c r="BU142" s="78">
        <v>2189.6666666666702</v>
      </c>
      <c r="BV142" s="78">
        <f t="shared" si="10"/>
        <v>14952</v>
      </c>
      <c r="BW142" s="78">
        <v>3714</v>
      </c>
      <c r="BX142" s="78">
        <v>29377.746908911598</v>
      </c>
      <c r="BY142" s="402">
        <v>22.928000000000001</v>
      </c>
      <c r="BZ142" s="78">
        <v>320321</v>
      </c>
      <c r="CA142" s="78">
        <v>21371</v>
      </c>
      <c r="CB142" s="78">
        <v>4318</v>
      </c>
      <c r="CC142" s="78">
        <v>7475</v>
      </c>
      <c r="CD142" s="78">
        <v>4745</v>
      </c>
      <c r="CE142" s="78">
        <v>2267</v>
      </c>
      <c r="CF142" s="78">
        <v>2858.64164213902</v>
      </c>
      <c r="CG142" s="78">
        <v>1633.7895656005001</v>
      </c>
      <c r="CH142" s="78">
        <v>598.115186542733</v>
      </c>
      <c r="CI142" s="78">
        <v>6051.53</v>
      </c>
      <c r="CJ142" s="78">
        <v>3458.61</v>
      </c>
      <c r="CK142" s="78">
        <v>1266.165</v>
      </c>
      <c r="CL142" s="78">
        <v>199289</v>
      </c>
    </row>
    <row r="143" spans="1:90" customFormat="1" x14ac:dyDescent="0.35">
      <c r="A143" s="72">
        <v>1581</v>
      </c>
      <c r="B143" s="72" t="s">
        <v>306</v>
      </c>
      <c r="C143" s="72">
        <v>6</v>
      </c>
      <c r="D143" s="78">
        <v>6323200000</v>
      </c>
      <c r="E143" s="78">
        <v>570150000</v>
      </c>
      <c r="F143" s="78">
        <v>616000000</v>
      </c>
      <c r="G143" s="78">
        <v>49580</v>
      </c>
      <c r="H143" s="78">
        <v>5</v>
      </c>
      <c r="I143" s="78">
        <f t="shared" si="8"/>
        <v>616</v>
      </c>
      <c r="J143" s="78">
        <v>9810</v>
      </c>
      <c r="K143" s="78">
        <v>12188</v>
      </c>
      <c r="L143" s="78">
        <v>4178</v>
      </c>
      <c r="M143" s="78">
        <v>5437</v>
      </c>
      <c r="N143" s="78">
        <f t="shared" si="9"/>
        <v>2959.8999999999996</v>
      </c>
      <c r="O143" s="78">
        <v>668.33333333333303</v>
      </c>
      <c r="P143" s="78">
        <v>52</v>
      </c>
      <c r="Q143" s="78">
        <v>2999.3333333333298</v>
      </c>
      <c r="R143" s="78">
        <v>7650</v>
      </c>
      <c r="S143" s="78">
        <v>2095</v>
      </c>
      <c r="T143" s="78">
        <v>0</v>
      </c>
      <c r="U143" s="78">
        <v>1216</v>
      </c>
      <c r="V143" s="78">
        <v>23297</v>
      </c>
      <c r="W143" s="78">
        <v>43500</v>
      </c>
      <c r="X143" s="78">
        <v>16010</v>
      </c>
      <c r="Y143" s="78">
        <v>873.68460000000005</v>
      </c>
      <c r="Z143" s="78">
        <v>1740</v>
      </c>
      <c r="AA143" s="78">
        <v>0</v>
      </c>
      <c r="AB143" s="399">
        <v>0</v>
      </c>
      <c r="AC143" s="399">
        <v>0</v>
      </c>
      <c r="AD143" s="78">
        <v>13205</v>
      </c>
      <c r="AE143" s="78">
        <v>13205</v>
      </c>
      <c r="AF143" s="78">
        <v>189</v>
      </c>
      <c r="AG143" s="78">
        <v>0</v>
      </c>
      <c r="AH143" s="78">
        <v>251</v>
      </c>
      <c r="AI143" s="78">
        <v>72</v>
      </c>
      <c r="AJ143" s="78">
        <v>251</v>
      </c>
      <c r="AK143" s="78">
        <v>72</v>
      </c>
      <c r="AL143" s="78">
        <v>322</v>
      </c>
      <c r="AM143" s="78">
        <v>24771</v>
      </c>
      <c r="AN143" s="78">
        <v>24771</v>
      </c>
      <c r="AO143" s="78">
        <v>0</v>
      </c>
      <c r="AP143" s="78">
        <v>0</v>
      </c>
      <c r="AQ143" s="78">
        <v>0</v>
      </c>
      <c r="AR143" s="78">
        <v>0</v>
      </c>
      <c r="AS143" s="78">
        <v>1930</v>
      </c>
      <c r="AT143" s="78">
        <v>0</v>
      </c>
      <c r="AU143" s="400">
        <v>5.9320800000000002E-4</v>
      </c>
      <c r="AV143" s="400">
        <v>4.0565300000000001E-4</v>
      </c>
      <c r="AW143" s="78">
        <v>19370.921999999999</v>
      </c>
      <c r="AX143" s="78">
        <v>0</v>
      </c>
      <c r="AY143" s="78">
        <v>1640</v>
      </c>
      <c r="AZ143" s="78">
        <v>6070.7182320441998</v>
      </c>
      <c r="BA143" s="78">
        <v>17</v>
      </c>
      <c r="BB143" s="78">
        <v>17</v>
      </c>
      <c r="BC143" s="78">
        <v>7298</v>
      </c>
      <c r="BD143" s="78">
        <v>1</v>
      </c>
      <c r="BE143" s="78">
        <v>0</v>
      </c>
      <c r="BF143" s="78">
        <v>0</v>
      </c>
      <c r="BG143" s="78">
        <v>0</v>
      </c>
      <c r="BH143" s="78">
        <v>0</v>
      </c>
      <c r="BI143" s="78">
        <v>0</v>
      </c>
      <c r="BJ143" s="78">
        <v>0</v>
      </c>
      <c r="BK143" s="78">
        <v>0</v>
      </c>
      <c r="BL143" s="78">
        <v>0</v>
      </c>
      <c r="BM143" s="78">
        <v>774.99</v>
      </c>
      <c r="BN143" s="78">
        <v>64</v>
      </c>
      <c r="BO143" s="78">
        <v>102</v>
      </c>
      <c r="BP143" s="78">
        <v>17919.7</v>
      </c>
      <c r="BQ143" s="78">
        <v>4540.8</v>
      </c>
      <c r="BR143" s="78">
        <v>378.164022698613</v>
      </c>
      <c r="BS143" s="78">
        <v>474</v>
      </c>
      <c r="BT143" s="78">
        <v>157.666666666667</v>
      </c>
      <c r="BU143" s="78">
        <v>101</v>
      </c>
      <c r="BV143" s="78">
        <f t="shared" si="10"/>
        <v>2330.9999999999968</v>
      </c>
      <c r="BW143" s="78">
        <v>899</v>
      </c>
      <c r="BX143" s="78">
        <v>7718.3188124810704</v>
      </c>
      <c r="BY143" s="402">
        <v>0.997</v>
      </c>
      <c r="BZ143" s="78">
        <v>37392</v>
      </c>
      <c r="CA143" s="78">
        <v>6204</v>
      </c>
      <c r="CB143" s="78">
        <v>1806</v>
      </c>
      <c r="CC143" s="78">
        <v>1395</v>
      </c>
      <c r="CD143" s="78">
        <v>1403</v>
      </c>
      <c r="CE143" s="78">
        <v>831</v>
      </c>
      <c r="CF143" s="78">
        <v>460.39702474668002</v>
      </c>
      <c r="CG143" s="78">
        <v>328.71845706673099</v>
      </c>
      <c r="CH143" s="78">
        <v>141.11831980945499</v>
      </c>
      <c r="CI143" s="78">
        <v>1118.9112</v>
      </c>
      <c r="CJ143" s="78">
        <v>798.8904</v>
      </c>
      <c r="CK143" s="78">
        <v>342.9624</v>
      </c>
      <c r="CL143" s="78">
        <v>200212</v>
      </c>
    </row>
    <row r="144" spans="1:90" customFormat="1" x14ac:dyDescent="0.35">
      <c r="A144" s="72">
        <v>345</v>
      </c>
      <c r="B144" s="72" t="s">
        <v>311</v>
      </c>
      <c r="C144" s="72">
        <v>6</v>
      </c>
      <c r="D144" s="78">
        <v>5824400000</v>
      </c>
      <c r="E144" s="78">
        <v>1047900000</v>
      </c>
      <c r="F144" s="78">
        <v>1056300000</v>
      </c>
      <c r="G144" s="78">
        <v>66493</v>
      </c>
      <c r="H144" s="78">
        <v>1</v>
      </c>
      <c r="I144" s="78">
        <f t="shared" si="8"/>
        <v>1056.3</v>
      </c>
      <c r="J144" s="78">
        <v>14812</v>
      </c>
      <c r="K144" s="78">
        <v>12077</v>
      </c>
      <c r="L144" s="78">
        <v>3719</v>
      </c>
      <c r="M144" s="78">
        <v>8463</v>
      </c>
      <c r="N144" s="78">
        <f t="shared" si="9"/>
        <v>5614.9</v>
      </c>
      <c r="O144" s="78">
        <v>1132.3333333333301</v>
      </c>
      <c r="P144" s="78">
        <v>49</v>
      </c>
      <c r="Q144" s="78">
        <v>4468.3333333333303</v>
      </c>
      <c r="R144" s="78">
        <v>9156</v>
      </c>
      <c r="S144" s="78">
        <v>5740</v>
      </c>
      <c r="T144" s="78">
        <v>0</v>
      </c>
      <c r="U144" s="78">
        <v>1916</v>
      </c>
      <c r="V144" s="78">
        <v>28803</v>
      </c>
      <c r="W144" s="78">
        <v>76420</v>
      </c>
      <c r="X144" s="78">
        <v>80560</v>
      </c>
      <c r="Y144" s="78">
        <v>1240.7</v>
      </c>
      <c r="Z144" s="78">
        <v>4829.6000000000004</v>
      </c>
      <c r="AA144" s="78">
        <v>0</v>
      </c>
      <c r="AB144" s="399">
        <v>0</v>
      </c>
      <c r="AC144" s="399">
        <v>0</v>
      </c>
      <c r="AD144" s="78">
        <v>1942</v>
      </c>
      <c r="AE144" s="78">
        <v>1942</v>
      </c>
      <c r="AF144" s="78">
        <v>30</v>
      </c>
      <c r="AG144" s="78">
        <v>0</v>
      </c>
      <c r="AH144" s="78">
        <v>346</v>
      </c>
      <c r="AI144" s="78">
        <v>5</v>
      </c>
      <c r="AJ144" s="78">
        <v>346</v>
      </c>
      <c r="AK144" s="78">
        <v>5</v>
      </c>
      <c r="AL144" s="78">
        <v>351</v>
      </c>
      <c r="AM144" s="78">
        <v>28481</v>
      </c>
      <c r="AN144" s="78">
        <v>28481</v>
      </c>
      <c r="AO144" s="78">
        <v>0</v>
      </c>
      <c r="AP144" s="78">
        <v>0</v>
      </c>
      <c r="AQ144" s="78">
        <v>0</v>
      </c>
      <c r="AR144" s="78">
        <v>0</v>
      </c>
      <c r="AS144" s="78">
        <v>2384</v>
      </c>
      <c r="AT144" s="78">
        <v>0</v>
      </c>
      <c r="AU144" s="400">
        <v>5.5279000000000005E-4</v>
      </c>
      <c r="AV144" s="400">
        <v>1.4079470000000001E-3</v>
      </c>
      <c r="AW144" s="78">
        <v>62658.2</v>
      </c>
      <c r="AX144" s="78">
        <v>0</v>
      </c>
      <c r="AY144" s="78">
        <v>858</v>
      </c>
      <c r="AZ144" s="78">
        <v>28930.5243407708</v>
      </c>
      <c r="BA144" s="78">
        <v>1</v>
      </c>
      <c r="BB144" s="78">
        <v>1</v>
      </c>
      <c r="BC144" s="78">
        <v>6835</v>
      </c>
      <c r="BD144" s="78">
        <v>1</v>
      </c>
      <c r="BE144" s="78">
        <v>0</v>
      </c>
      <c r="BF144" s="78">
        <v>0</v>
      </c>
      <c r="BG144" s="78">
        <v>0</v>
      </c>
      <c r="BH144" s="78">
        <v>0</v>
      </c>
      <c r="BI144" s="78">
        <v>0</v>
      </c>
      <c r="BJ144" s="78">
        <v>0</v>
      </c>
      <c r="BK144" s="78">
        <v>0</v>
      </c>
      <c r="BL144" s="78">
        <v>0</v>
      </c>
      <c r="BM144" s="78">
        <v>1703.38</v>
      </c>
      <c r="BN144" s="78">
        <v>299</v>
      </c>
      <c r="BO144" s="78">
        <v>226</v>
      </c>
      <c r="BP144" s="78">
        <v>18213.650000000001</v>
      </c>
      <c r="BQ144" s="78">
        <v>4718.96</v>
      </c>
      <c r="BR144" s="78">
        <v>831.92791967871506</v>
      </c>
      <c r="BS144" s="78">
        <v>800</v>
      </c>
      <c r="BT144" s="78">
        <v>400</v>
      </c>
      <c r="BU144" s="78">
        <v>331.33333333333297</v>
      </c>
      <c r="BV144" s="78">
        <f t="shared" si="10"/>
        <v>3336</v>
      </c>
      <c r="BW144" s="78">
        <v>941</v>
      </c>
      <c r="BX144" s="78">
        <v>11047.5155705987</v>
      </c>
      <c r="BY144" s="402">
        <v>2.2450000000000001</v>
      </c>
      <c r="BZ144" s="78">
        <v>54416</v>
      </c>
      <c r="CA144" s="78">
        <v>7052</v>
      </c>
      <c r="CB144" s="78">
        <v>1306</v>
      </c>
      <c r="CC144" s="78">
        <v>1413</v>
      </c>
      <c r="CD144" s="78">
        <v>1271</v>
      </c>
      <c r="CE144" s="78">
        <v>674</v>
      </c>
      <c r="CF144" s="78">
        <v>836.29106421825099</v>
      </c>
      <c r="CG144" s="78">
        <v>497.00371826831901</v>
      </c>
      <c r="CH144" s="78">
        <v>180.782391769952</v>
      </c>
      <c r="CI144" s="78">
        <v>2007.7385999999999</v>
      </c>
      <c r="CJ144" s="78">
        <v>1193.1893</v>
      </c>
      <c r="CK144" s="78">
        <v>434.01609999999999</v>
      </c>
      <c r="CL144" s="78">
        <v>34126</v>
      </c>
    </row>
    <row r="145" spans="1:90" customFormat="1" x14ac:dyDescent="0.35">
      <c r="A145" s="72">
        <v>1961</v>
      </c>
      <c r="B145" s="72" t="s">
        <v>317</v>
      </c>
      <c r="C145" s="72">
        <v>6</v>
      </c>
      <c r="D145" s="78">
        <v>4963600000</v>
      </c>
      <c r="E145" s="78">
        <v>840350000</v>
      </c>
      <c r="F145" s="78">
        <v>885500000</v>
      </c>
      <c r="G145" s="78">
        <v>56811</v>
      </c>
      <c r="H145" s="78">
        <v>6</v>
      </c>
      <c r="I145" s="78">
        <f t="shared" si="8"/>
        <v>885.5</v>
      </c>
      <c r="J145" s="78">
        <v>11898</v>
      </c>
      <c r="K145" s="78">
        <v>11432</v>
      </c>
      <c r="L145" s="78">
        <v>3687</v>
      </c>
      <c r="M145" s="78">
        <v>6547</v>
      </c>
      <c r="N145" s="78">
        <f t="shared" si="9"/>
        <v>4139.1000000000004</v>
      </c>
      <c r="O145" s="78">
        <v>703</v>
      </c>
      <c r="P145" s="78">
        <v>43</v>
      </c>
      <c r="Q145" s="78">
        <v>3331</v>
      </c>
      <c r="R145" s="78">
        <v>6793</v>
      </c>
      <c r="S145" s="78">
        <v>4465</v>
      </c>
      <c r="T145" s="78">
        <v>0</v>
      </c>
      <c r="U145" s="78">
        <v>1573</v>
      </c>
      <c r="V145" s="78">
        <v>24153</v>
      </c>
      <c r="W145" s="78">
        <v>51040</v>
      </c>
      <c r="X145" s="78">
        <v>12640</v>
      </c>
      <c r="Y145" s="78">
        <v>194.04</v>
      </c>
      <c r="Z145" s="78">
        <v>1370.4</v>
      </c>
      <c r="AA145" s="78">
        <v>0</v>
      </c>
      <c r="AB145" s="399">
        <v>0</v>
      </c>
      <c r="AC145" s="399">
        <v>0</v>
      </c>
      <c r="AD145" s="78">
        <v>14632</v>
      </c>
      <c r="AE145" s="78">
        <v>19021.599999999999</v>
      </c>
      <c r="AF145" s="78">
        <v>699</v>
      </c>
      <c r="AG145" s="78">
        <v>0</v>
      </c>
      <c r="AH145" s="78">
        <v>298</v>
      </c>
      <c r="AI145" s="78">
        <v>112</v>
      </c>
      <c r="AJ145" s="78">
        <v>369.52</v>
      </c>
      <c r="AK145" s="78">
        <v>147.84</v>
      </c>
      <c r="AL145" s="78">
        <v>410</v>
      </c>
      <c r="AM145" s="78">
        <v>24079</v>
      </c>
      <c r="AN145" s="78">
        <v>29857.96</v>
      </c>
      <c r="AO145" s="78">
        <v>20</v>
      </c>
      <c r="AP145" s="78">
        <v>0</v>
      </c>
      <c r="AQ145" s="78">
        <v>0</v>
      </c>
      <c r="AR145" s="78">
        <v>2200</v>
      </c>
      <c r="AS145" s="78">
        <v>2225</v>
      </c>
      <c r="AT145" s="78">
        <v>1400</v>
      </c>
      <c r="AU145" s="400">
        <v>8.9642200000000002E-4</v>
      </c>
      <c r="AV145" s="400">
        <v>6.3300800000000001E-4</v>
      </c>
      <c r="AW145" s="78">
        <v>21767.416000000001</v>
      </c>
      <c r="AX145" s="78">
        <v>0</v>
      </c>
      <c r="AY145" s="78">
        <v>6831.5</v>
      </c>
      <c r="AZ145" s="78">
        <v>56126.570302002503</v>
      </c>
      <c r="BA145" s="78">
        <v>19</v>
      </c>
      <c r="BB145" s="78">
        <v>25.08</v>
      </c>
      <c r="BC145" s="78">
        <v>6370</v>
      </c>
      <c r="BD145" s="78">
        <v>1</v>
      </c>
      <c r="BE145" s="78">
        <v>0</v>
      </c>
      <c r="BF145" s="78">
        <v>0</v>
      </c>
      <c r="BG145" s="78">
        <v>0</v>
      </c>
      <c r="BH145" s="78">
        <v>0</v>
      </c>
      <c r="BI145" s="78">
        <v>0</v>
      </c>
      <c r="BJ145" s="78">
        <v>0</v>
      </c>
      <c r="BK145" s="78">
        <v>0</v>
      </c>
      <c r="BL145" s="78">
        <v>0</v>
      </c>
      <c r="BM145" s="78">
        <v>1118.412</v>
      </c>
      <c r="BN145" s="78">
        <v>169</v>
      </c>
      <c r="BO145" s="78">
        <v>194</v>
      </c>
      <c r="BP145" s="78">
        <v>16103.91</v>
      </c>
      <c r="BQ145" s="78">
        <v>4208.82</v>
      </c>
      <c r="BR145" s="78">
        <v>600.74348894241302</v>
      </c>
      <c r="BS145" s="78">
        <v>633</v>
      </c>
      <c r="BT145" s="78">
        <v>239</v>
      </c>
      <c r="BU145" s="78">
        <v>189.666666666667</v>
      </c>
      <c r="BV145" s="78">
        <f t="shared" si="10"/>
        <v>2628</v>
      </c>
      <c r="BW145" s="78">
        <v>614</v>
      </c>
      <c r="BX145" s="78">
        <v>9746.09673248133</v>
      </c>
      <c r="BY145" s="402">
        <v>1.081</v>
      </c>
      <c r="BZ145" s="78">
        <v>45379</v>
      </c>
      <c r="CA145" s="78">
        <v>6503</v>
      </c>
      <c r="CB145" s="78">
        <v>1242</v>
      </c>
      <c r="CC145" s="78">
        <v>1258</v>
      </c>
      <c r="CD145" s="78">
        <v>1178</v>
      </c>
      <c r="CE145" s="78">
        <v>559</v>
      </c>
      <c r="CF145" s="78">
        <v>682.94548361642899</v>
      </c>
      <c r="CG145" s="78">
        <v>409.28597948419798</v>
      </c>
      <c r="CH145" s="78">
        <v>138.54871880061501</v>
      </c>
      <c r="CI145" s="78">
        <v>1707.9927</v>
      </c>
      <c r="CJ145" s="78">
        <v>1023.5919</v>
      </c>
      <c r="CK145" s="78">
        <v>346.49939999999998</v>
      </c>
      <c r="CL145" s="78">
        <v>15611</v>
      </c>
    </row>
    <row r="146" spans="1:90" customFormat="1" x14ac:dyDescent="0.35">
      <c r="A146" s="72">
        <v>352</v>
      </c>
      <c r="B146" s="72" t="s">
        <v>346</v>
      </c>
      <c r="C146" s="72">
        <v>6</v>
      </c>
      <c r="D146" s="78">
        <v>2294400000</v>
      </c>
      <c r="E146" s="78">
        <v>179550000</v>
      </c>
      <c r="F146" s="78">
        <v>203350000</v>
      </c>
      <c r="G146" s="78">
        <v>23914</v>
      </c>
      <c r="H146" s="78">
        <v>3</v>
      </c>
      <c r="I146" s="78">
        <f t="shared" si="8"/>
        <v>203.35</v>
      </c>
      <c r="J146" s="78">
        <v>4792</v>
      </c>
      <c r="K146" s="78">
        <v>4801</v>
      </c>
      <c r="L146" s="78">
        <v>1317</v>
      </c>
      <c r="M146" s="78">
        <v>2303</v>
      </c>
      <c r="N146" s="78">
        <f t="shared" si="9"/>
        <v>1283.5</v>
      </c>
      <c r="O146" s="78">
        <v>271.66666666666703</v>
      </c>
      <c r="P146" s="78">
        <v>16</v>
      </c>
      <c r="Q146" s="78">
        <v>1236.6666666666699</v>
      </c>
      <c r="R146" s="78">
        <v>2813</v>
      </c>
      <c r="S146" s="78">
        <v>710</v>
      </c>
      <c r="T146" s="78">
        <v>0</v>
      </c>
      <c r="U146" s="78">
        <v>679</v>
      </c>
      <c r="V146" s="78">
        <v>10289</v>
      </c>
      <c r="W146" s="78">
        <v>22660</v>
      </c>
      <c r="X146" s="78">
        <v>6830</v>
      </c>
      <c r="Y146" s="78">
        <v>150.47999999999999</v>
      </c>
      <c r="Z146" s="78">
        <v>640.79999999999995</v>
      </c>
      <c r="AA146" s="78">
        <v>0</v>
      </c>
      <c r="AB146" s="399">
        <v>0</v>
      </c>
      <c r="AC146" s="399">
        <v>0</v>
      </c>
      <c r="AD146" s="78">
        <v>4764</v>
      </c>
      <c r="AE146" s="78">
        <v>5097.4799999999996</v>
      </c>
      <c r="AF146" s="78">
        <v>277</v>
      </c>
      <c r="AG146" s="78">
        <v>0</v>
      </c>
      <c r="AH146" s="78">
        <v>99</v>
      </c>
      <c r="AI146" s="78">
        <v>39</v>
      </c>
      <c r="AJ146" s="78">
        <v>108.9</v>
      </c>
      <c r="AK146" s="78">
        <v>41.34</v>
      </c>
      <c r="AL146" s="78">
        <v>138</v>
      </c>
      <c r="AM146" s="78">
        <v>10195</v>
      </c>
      <c r="AN146" s="78">
        <v>11214.5</v>
      </c>
      <c r="AO146" s="78">
        <v>13</v>
      </c>
      <c r="AP146" s="78">
        <v>0</v>
      </c>
      <c r="AQ146" s="78">
        <v>0</v>
      </c>
      <c r="AR146" s="78">
        <v>1250</v>
      </c>
      <c r="AS146" s="78">
        <v>591</v>
      </c>
      <c r="AT146" s="78">
        <v>591</v>
      </c>
      <c r="AU146" s="400">
        <v>1.3178800000000001E-4</v>
      </c>
      <c r="AV146" s="400">
        <v>1.0825E-4</v>
      </c>
      <c r="AW146" s="78">
        <v>11499.96</v>
      </c>
      <c r="AX146" s="78">
        <v>0</v>
      </c>
      <c r="AY146" s="78">
        <v>1367.46</v>
      </c>
      <c r="AZ146" s="78">
        <v>8223.07629438603</v>
      </c>
      <c r="BA146" s="78">
        <v>5</v>
      </c>
      <c r="BB146" s="78">
        <v>5.3</v>
      </c>
      <c r="BC146" s="78">
        <v>2822</v>
      </c>
      <c r="BD146" s="78">
        <v>1</v>
      </c>
      <c r="BE146" s="78">
        <v>0</v>
      </c>
      <c r="BF146" s="78">
        <v>0</v>
      </c>
      <c r="BG146" s="78">
        <v>0</v>
      </c>
      <c r="BH146" s="78">
        <v>0</v>
      </c>
      <c r="BI146" s="78">
        <v>0</v>
      </c>
      <c r="BJ146" s="78">
        <v>0</v>
      </c>
      <c r="BK146" s="78">
        <v>0</v>
      </c>
      <c r="BL146" s="78">
        <v>0</v>
      </c>
      <c r="BM146" s="78">
        <v>349.81599999999997</v>
      </c>
      <c r="BN146" s="78">
        <v>65</v>
      </c>
      <c r="BO146" s="78">
        <v>53</v>
      </c>
      <c r="BP146" s="78">
        <v>7874.88</v>
      </c>
      <c r="BQ146" s="78">
        <v>1897.83</v>
      </c>
      <c r="BR146" s="78">
        <v>237.803783416165</v>
      </c>
      <c r="BS146" s="78">
        <v>282</v>
      </c>
      <c r="BT146" s="78">
        <v>89.6666666666667</v>
      </c>
      <c r="BU146" s="78">
        <v>64.6666666666667</v>
      </c>
      <c r="BV146" s="78">
        <f t="shared" si="10"/>
        <v>965.00000000000296</v>
      </c>
      <c r="BW146" s="78">
        <v>206</v>
      </c>
      <c r="BX146" s="78">
        <v>3833.9288713071301</v>
      </c>
      <c r="BY146" s="402">
        <v>0.193</v>
      </c>
      <c r="BZ146" s="78">
        <v>19113</v>
      </c>
      <c r="CA146" s="78">
        <v>3110</v>
      </c>
      <c r="CB146" s="78">
        <v>374</v>
      </c>
      <c r="CC146" s="78">
        <v>623</v>
      </c>
      <c r="CD146" s="78">
        <v>424</v>
      </c>
      <c r="CE146" s="78">
        <v>187</v>
      </c>
      <c r="CF146" s="78">
        <v>240.71132908288399</v>
      </c>
      <c r="CG146" s="78">
        <v>108.521530161844</v>
      </c>
      <c r="CH146" s="78">
        <v>31.7255517410495</v>
      </c>
      <c r="CI146" s="78">
        <v>687.55520000000001</v>
      </c>
      <c r="CJ146" s="78">
        <v>309.97519999999997</v>
      </c>
      <c r="CK146" s="78">
        <v>90.619200000000006</v>
      </c>
      <c r="CL146" s="78">
        <v>0</v>
      </c>
    </row>
    <row r="147" spans="1:90" customFormat="1" x14ac:dyDescent="0.35">
      <c r="A147" s="72">
        <v>632</v>
      </c>
      <c r="B147" s="72" t="s">
        <v>349</v>
      </c>
      <c r="C147" s="72">
        <v>6</v>
      </c>
      <c r="D147" s="78">
        <v>5387600000</v>
      </c>
      <c r="E147" s="78">
        <v>749000000</v>
      </c>
      <c r="F147" s="78">
        <v>782600000</v>
      </c>
      <c r="G147" s="78">
        <v>52299</v>
      </c>
      <c r="H147" s="78">
        <v>4</v>
      </c>
      <c r="I147" s="78">
        <f t="shared" si="8"/>
        <v>782.6</v>
      </c>
      <c r="J147" s="78">
        <v>11307</v>
      </c>
      <c r="K147" s="78">
        <v>9948</v>
      </c>
      <c r="L147" s="78">
        <v>3167</v>
      </c>
      <c r="M147" s="78">
        <v>5340</v>
      </c>
      <c r="N147" s="78">
        <f t="shared" si="9"/>
        <v>3119.4</v>
      </c>
      <c r="O147" s="78">
        <v>554.66666666666697</v>
      </c>
      <c r="P147" s="78">
        <v>40</v>
      </c>
      <c r="Q147" s="78">
        <v>2731.6666666666702</v>
      </c>
      <c r="R147" s="78">
        <v>6805</v>
      </c>
      <c r="S147" s="78">
        <v>2810</v>
      </c>
      <c r="T147" s="78">
        <v>0</v>
      </c>
      <c r="U147" s="78">
        <v>1471</v>
      </c>
      <c r="V147" s="78">
        <v>22510</v>
      </c>
      <c r="W147" s="78">
        <v>50330</v>
      </c>
      <c r="X147" s="78">
        <v>21290</v>
      </c>
      <c r="Y147" s="78">
        <v>847.44</v>
      </c>
      <c r="Z147" s="78">
        <v>4029.6</v>
      </c>
      <c r="AA147" s="78">
        <v>0</v>
      </c>
      <c r="AB147" s="399">
        <v>0</v>
      </c>
      <c r="AC147" s="399">
        <v>0</v>
      </c>
      <c r="AD147" s="78">
        <v>8898</v>
      </c>
      <c r="AE147" s="78">
        <v>14503.74</v>
      </c>
      <c r="AF147" s="78">
        <v>394</v>
      </c>
      <c r="AG147" s="78">
        <v>0</v>
      </c>
      <c r="AH147" s="78">
        <v>258</v>
      </c>
      <c r="AI147" s="78">
        <v>68</v>
      </c>
      <c r="AJ147" s="78">
        <v>350.88</v>
      </c>
      <c r="AK147" s="78">
        <v>114.92</v>
      </c>
      <c r="AL147" s="78">
        <v>326</v>
      </c>
      <c r="AM147" s="78">
        <v>22206</v>
      </c>
      <c r="AN147" s="78">
        <v>30200.16</v>
      </c>
      <c r="AO147" s="78">
        <v>9</v>
      </c>
      <c r="AP147" s="78">
        <v>0</v>
      </c>
      <c r="AQ147" s="78">
        <v>0</v>
      </c>
      <c r="AR147" s="78">
        <v>3900</v>
      </c>
      <c r="AS147" s="78">
        <v>1651</v>
      </c>
      <c r="AT147" s="78">
        <v>1651</v>
      </c>
      <c r="AU147" s="400">
        <v>3.46795E-4</v>
      </c>
      <c r="AV147" s="400">
        <v>3.0283399999999998E-4</v>
      </c>
      <c r="AW147" s="78">
        <v>30511.044000000002</v>
      </c>
      <c r="AX147" s="78">
        <v>0</v>
      </c>
      <c r="AY147" s="78">
        <v>15568.13</v>
      </c>
      <c r="AZ147" s="78">
        <v>226558.738931339</v>
      </c>
      <c r="BA147" s="78">
        <v>10</v>
      </c>
      <c r="BB147" s="78">
        <v>16.899999999999999</v>
      </c>
      <c r="BC147" s="78">
        <v>6921</v>
      </c>
      <c r="BD147" s="78">
        <v>1</v>
      </c>
      <c r="BE147" s="78">
        <v>0</v>
      </c>
      <c r="BF147" s="78">
        <v>0</v>
      </c>
      <c r="BG147" s="78">
        <v>0</v>
      </c>
      <c r="BH147" s="78">
        <v>0</v>
      </c>
      <c r="BI147" s="78">
        <v>0</v>
      </c>
      <c r="BJ147" s="78">
        <v>0</v>
      </c>
      <c r="BK147" s="78">
        <v>0</v>
      </c>
      <c r="BL147" s="78">
        <v>0</v>
      </c>
      <c r="BM147" s="78">
        <v>836.71799999999996</v>
      </c>
      <c r="BN147" s="78">
        <v>130</v>
      </c>
      <c r="BO147" s="78">
        <v>138</v>
      </c>
      <c r="BP147" s="78">
        <v>17279.669999999998</v>
      </c>
      <c r="BQ147" s="78">
        <v>4710.8599999999997</v>
      </c>
      <c r="BR147" s="78">
        <v>436.55985984624499</v>
      </c>
      <c r="BS147" s="78">
        <v>627</v>
      </c>
      <c r="BT147" s="78">
        <v>183.333333333333</v>
      </c>
      <c r="BU147" s="78">
        <v>124</v>
      </c>
      <c r="BV147" s="78">
        <f t="shared" si="10"/>
        <v>2177.0000000000032</v>
      </c>
      <c r="BW147" s="78">
        <v>550</v>
      </c>
      <c r="BX147" s="78">
        <v>7453.8975159491902</v>
      </c>
      <c r="BY147" s="402">
        <v>0.39200000000000002</v>
      </c>
      <c r="BZ147" s="78">
        <v>42351</v>
      </c>
      <c r="CA147" s="78">
        <v>5742</v>
      </c>
      <c r="CB147" s="78">
        <v>1039</v>
      </c>
      <c r="CC147" s="78">
        <v>1095</v>
      </c>
      <c r="CD147" s="78">
        <v>1046</v>
      </c>
      <c r="CE147" s="78">
        <v>557</v>
      </c>
      <c r="CF147" s="78">
        <v>491.38346392866799</v>
      </c>
      <c r="CG147" s="78">
        <v>296.96530667387202</v>
      </c>
      <c r="CH147" s="78">
        <v>102.82810051337501</v>
      </c>
      <c r="CI147" s="78">
        <v>1201.9128000000001</v>
      </c>
      <c r="CJ147" s="78">
        <v>726.37040000000002</v>
      </c>
      <c r="CK147" s="78">
        <v>251.51519999999999</v>
      </c>
      <c r="CL147" s="78">
        <v>36742</v>
      </c>
    </row>
    <row r="148" spans="1:90" customFormat="1" x14ac:dyDescent="0.35">
      <c r="A148" s="72">
        <v>351</v>
      </c>
      <c r="B148" s="72" t="s">
        <v>351</v>
      </c>
      <c r="C148" s="72">
        <v>6</v>
      </c>
      <c r="D148" s="78">
        <v>1320000000</v>
      </c>
      <c r="E148" s="78">
        <v>152950000</v>
      </c>
      <c r="F148" s="78">
        <v>172900000</v>
      </c>
      <c r="G148" s="78">
        <v>13362</v>
      </c>
      <c r="H148" s="78">
        <v>1</v>
      </c>
      <c r="I148" s="78">
        <f t="shared" si="8"/>
        <v>172.9</v>
      </c>
      <c r="J148" s="78">
        <v>3236</v>
      </c>
      <c r="K148" s="78">
        <v>2541</v>
      </c>
      <c r="L148" s="78">
        <v>840</v>
      </c>
      <c r="M148" s="78">
        <v>1181</v>
      </c>
      <c r="N148" s="78">
        <f t="shared" si="9"/>
        <v>646.29999999999995</v>
      </c>
      <c r="O148" s="78">
        <v>103</v>
      </c>
      <c r="P148" s="78">
        <v>14</v>
      </c>
      <c r="Q148" s="78">
        <v>660</v>
      </c>
      <c r="R148" s="78">
        <v>1372</v>
      </c>
      <c r="S148" s="78">
        <v>340</v>
      </c>
      <c r="T148" s="78">
        <v>0</v>
      </c>
      <c r="U148" s="78">
        <v>299</v>
      </c>
      <c r="V148" s="78">
        <v>5434</v>
      </c>
      <c r="W148" s="78">
        <v>11820</v>
      </c>
      <c r="X148" s="78">
        <v>2690</v>
      </c>
      <c r="Y148" s="78">
        <v>0</v>
      </c>
      <c r="Z148" s="78">
        <v>0</v>
      </c>
      <c r="AA148" s="78">
        <v>0</v>
      </c>
      <c r="AB148" s="399">
        <v>0</v>
      </c>
      <c r="AC148" s="399">
        <v>0</v>
      </c>
      <c r="AD148" s="78">
        <v>3652</v>
      </c>
      <c r="AE148" s="78">
        <v>3652</v>
      </c>
      <c r="AF148" s="78">
        <v>31</v>
      </c>
      <c r="AG148" s="78">
        <v>0</v>
      </c>
      <c r="AH148" s="78">
        <v>62</v>
      </c>
      <c r="AI148" s="78">
        <v>38</v>
      </c>
      <c r="AJ148" s="78">
        <v>62</v>
      </c>
      <c r="AK148" s="78">
        <v>38</v>
      </c>
      <c r="AL148" s="78">
        <v>101</v>
      </c>
      <c r="AM148" s="78">
        <v>5347</v>
      </c>
      <c r="AN148" s="78">
        <v>5347</v>
      </c>
      <c r="AO148" s="78">
        <v>0</v>
      </c>
      <c r="AP148" s="78">
        <v>0</v>
      </c>
      <c r="AQ148" s="78">
        <v>0</v>
      </c>
      <c r="AR148" s="78">
        <v>0</v>
      </c>
      <c r="AS148" s="78">
        <v>0</v>
      </c>
      <c r="AT148" s="78">
        <v>0</v>
      </c>
      <c r="AU148" s="400">
        <v>5.0538999999999998E-5</v>
      </c>
      <c r="AV148" s="400">
        <v>2.5939999999999999E-5</v>
      </c>
      <c r="AW148" s="78">
        <v>5122.4260000000004</v>
      </c>
      <c r="AX148" s="78">
        <v>0</v>
      </c>
      <c r="AY148" s="78">
        <v>586</v>
      </c>
      <c r="AZ148" s="78">
        <v>2126.0200923160501</v>
      </c>
      <c r="BA148" s="78">
        <v>1</v>
      </c>
      <c r="BB148" s="78">
        <v>1</v>
      </c>
      <c r="BC148" s="78">
        <v>1511</v>
      </c>
      <c r="BD148" s="78">
        <v>1</v>
      </c>
      <c r="BE148" s="78">
        <v>0</v>
      </c>
      <c r="BF148" s="78">
        <v>0</v>
      </c>
      <c r="BG148" s="78">
        <v>0</v>
      </c>
      <c r="BH148" s="78">
        <v>0</v>
      </c>
      <c r="BI148" s="78">
        <v>0</v>
      </c>
      <c r="BJ148" s="78">
        <v>0</v>
      </c>
      <c r="BK148" s="78">
        <v>0</v>
      </c>
      <c r="BL148" s="78">
        <v>0</v>
      </c>
      <c r="BM148" s="78">
        <v>213.57599999999999</v>
      </c>
      <c r="BN148" s="78">
        <v>65</v>
      </c>
      <c r="BO148" s="78">
        <v>30</v>
      </c>
      <c r="BP148" s="78">
        <v>3748.55</v>
      </c>
      <c r="BQ148" s="78">
        <v>1092.08</v>
      </c>
      <c r="BR148" s="78">
        <v>167.11192452830201</v>
      </c>
      <c r="BS148" s="78">
        <v>114</v>
      </c>
      <c r="BT148" s="78">
        <v>42</v>
      </c>
      <c r="BU148" s="78">
        <v>20</v>
      </c>
      <c r="BV148" s="78">
        <f t="shared" si="10"/>
        <v>557</v>
      </c>
      <c r="BW148" s="78">
        <v>249</v>
      </c>
      <c r="BX148" s="78">
        <v>1484.8606228163501</v>
      </c>
      <c r="BY148" s="402">
        <v>6.6000000000000003E-2</v>
      </c>
      <c r="BZ148" s="78">
        <v>10821</v>
      </c>
      <c r="CA148" s="78">
        <v>1392</v>
      </c>
      <c r="CB148" s="78">
        <v>309</v>
      </c>
      <c r="CC148" s="78">
        <v>243</v>
      </c>
      <c r="CD148" s="78">
        <v>262</v>
      </c>
      <c r="CE148" s="78">
        <v>148</v>
      </c>
      <c r="CF148" s="78">
        <v>99.114643725453504</v>
      </c>
      <c r="CG148" s="78">
        <v>65.149747521974902</v>
      </c>
      <c r="CH148" s="78">
        <v>25.262146998316801</v>
      </c>
      <c r="CI148" s="78">
        <v>314.06</v>
      </c>
      <c r="CJ148" s="78">
        <v>206.43700000000001</v>
      </c>
      <c r="CK148" s="78">
        <v>80.046999999999997</v>
      </c>
      <c r="CL148" s="78">
        <v>83220</v>
      </c>
    </row>
    <row r="149" spans="1:90" customFormat="1" x14ac:dyDescent="0.35">
      <c r="A149" s="72">
        <v>355</v>
      </c>
      <c r="B149" s="72" t="s">
        <v>356</v>
      </c>
      <c r="C149" s="72">
        <v>6</v>
      </c>
      <c r="D149" s="78">
        <v>8380000000</v>
      </c>
      <c r="E149" s="78">
        <v>1075550000</v>
      </c>
      <c r="F149" s="78">
        <v>1136800000</v>
      </c>
      <c r="G149" s="78">
        <v>64905</v>
      </c>
      <c r="H149" s="78">
        <v>3</v>
      </c>
      <c r="I149" s="78">
        <f t="shared" si="8"/>
        <v>1136.8</v>
      </c>
      <c r="J149" s="78">
        <v>13826</v>
      </c>
      <c r="K149" s="78">
        <v>13617</v>
      </c>
      <c r="L149" s="78">
        <v>4333</v>
      </c>
      <c r="M149" s="78">
        <v>8864</v>
      </c>
      <c r="N149" s="78">
        <f t="shared" si="9"/>
        <v>5781.5</v>
      </c>
      <c r="O149" s="78">
        <v>1283.6666666666699</v>
      </c>
      <c r="P149" s="78">
        <v>65</v>
      </c>
      <c r="Q149" s="78">
        <v>4715.6666666666697</v>
      </c>
      <c r="R149" s="78">
        <v>11977</v>
      </c>
      <c r="S149" s="78">
        <v>6240</v>
      </c>
      <c r="T149" s="78">
        <v>0</v>
      </c>
      <c r="U149" s="78">
        <v>2079</v>
      </c>
      <c r="V149" s="78">
        <v>31430</v>
      </c>
      <c r="W149" s="78">
        <v>65780</v>
      </c>
      <c r="X149" s="78">
        <v>47720</v>
      </c>
      <c r="Y149" s="78">
        <v>3684.5115999999998</v>
      </c>
      <c r="Z149" s="78">
        <v>5332</v>
      </c>
      <c r="AA149" s="78">
        <v>0</v>
      </c>
      <c r="AB149" s="399">
        <v>0</v>
      </c>
      <c r="AC149" s="399">
        <v>162.89999999999964</v>
      </c>
      <c r="AD149" s="78">
        <v>4851</v>
      </c>
      <c r="AE149" s="78">
        <v>4851</v>
      </c>
      <c r="AF149" s="78">
        <v>14</v>
      </c>
      <c r="AG149" s="78">
        <v>0</v>
      </c>
      <c r="AH149" s="78">
        <v>277</v>
      </c>
      <c r="AI149" s="78">
        <v>25</v>
      </c>
      <c r="AJ149" s="78">
        <v>277</v>
      </c>
      <c r="AK149" s="78">
        <v>25</v>
      </c>
      <c r="AL149" s="78">
        <v>302</v>
      </c>
      <c r="AM149" s="78">
        <v>30825</v>
      </c>
      <c r="AN149" s="78">
        <v>30825</v>
      </c>
      <c r="AO149" s="78">
        <v>0</v>
      </c>
      <c r="AP149" s="78">
        <v>0</v>
      </c>
      <c r="AQ149" s="78">
        <v>0</v>
      </c>
      <c r="AR149" s="78">
        <v>0</v>
      </c>
      <c r="AS149" s="78">
        <v>4932</v>
      </c>
      <c r="AT149" s="78">
        <v>0</v>
      </c>
      <c r="AU149" s="400">
        <v>1.3231569999999999E-3</v>
      </c>
      <c r="AV149" s="400">
        <v>2.0160909999999998E-3</v>
      </c>
      <c r="AW149" s="78">
        <v>49011.75</v>
      </c>
      <c r="AX149" s="78">
        <v>0</v>
      </c>
      <c r="AY149" s="78">
        <v>555</v>
      </c>
      <c r="AZ149" s="78">
        <v>7404.3730729702002</v>
      </c>
      <c r="BA149" s="78">
        <v>4</v>
      </c>
      <c r="BB149" s="78">
        <v>4</v>
      </c>
      <c r="BC149" s="78">
        <v>8679</v>
      </c>
      <c r="BD149" s="78">
        <v>1</v>
      </c>
      <c r="BE149" s="78">
        <v>0</v>
      </c>
      <c r="BF149" s="78">
        <v>0</v>
      </c>
      <c r="BG149" s="78">
        <v>0</v>
      </c>
      <c r="BH149" s="78">
        <v>0</v>
      </c>
      <c r="BI149" s="78">
        <v>0</v>
      </c>
      <c r="BJ149" s="78">
        <v>0</v>
      </c>
      <c r="BK149" s="78">
        <v>0</v>
      </c>
      <c r="BL149" s="78">
        <v>0</v>
      </c>
      <c r="BM149" s="78">
        <v>1617.6420000000001</v>
      </c>
      <c r="BN149" s="78">
        <v>101</v>
      </c>
      <c r="BO149" s="78">
        <v>211</v>
      </c>
      <c r="BP149" s="78">
        <v>22872.720000000001</v>
      </c>
      <c r="BQ149" s="78">
        <v>6537.94</v>
      </c>
      <c r="BR149" s="78">
        <v>658.97442253521103</v>
      </c>
      <c r="BS149" s="78">
        <v>801</v>
      </c>
      <c r="BT149" s="78">
        <v>363.33333333333297</v>
      </c>
      <c r="BU149" s="78">
        <v>303.66666666666703</v>
      </c>
      <c r="BV149" s="78">
        <f t="shared" si="10"/>
        <v>3432</v>
      </c>
      <c r="BW149" s="78">
        <v>1295</v>
      </c>
      <c r="BX149" s="78">
        <v>9549.7879469452891</v>
      </c>
      <c r="BY149" s="402">
        <v>2.54</v>
      </c>
      <c r="BZ149" s="78">
        <v>51288</v>
      </c>
      <c r="CA149" s="78">
        <v>7236</v>
      </c>
      <c r="CB149" s="78">
        <v>2048</v>
      </c>
      <c r="CC149" s="78">
        <v>2001</v>
      </c>
      <c r="CD149" s="78">
        <v>1546</v>
      </c>
      <c r="CE149" s="78">
        <v>965</v>
      </c>
      <c r="CF149" s="78">
        <v>866.52165450121595</v>
      </c>
      <c r="CG149" s="78">
        <v>545.79610705596099</v>
      </c>
      <c r="CH149" s="78">
        <v>244.01399837794</v>
      </c>
      <c r="CI149" s="78">
        <v>1433.586</v>
      </c>
      <c r="CJ149" s="78">
        <v>902.97299999999996</v>
      </c>
      <c r="CK149" s="78">
        <v>403.70030000000003</v>
      </c>
      <c r="CL149" s="78">
        <v>491263</v>
      </c>
    </row>
    <row r="150" spans="1:90" customFormat="1" x14ac:dyDescent="0.35">
      <c r="A150" s="72">
        <v>358</v>
      </c>
      <c r="B150" s="72" t="s">
        <v>12</v>
      </c>
      <c r="C150" s="72">
        <v>7</v>
      </c>
      <c r="D150" s="78">
        <v>3848400000</v>
      </c>
      <c r="E150" s="78">
        <v>676550000</v>
      </c>
      <c r="F150" s="78">
        <v>683200000</v>
      </c>
      <c r="G150" s="78">
        <v>31859</v>
      </c>
      <c r="H150" s="78">
        <v>2</v>
      </c>
      <c r="I150" s="78">
        <f t="shared" si="8"/>
        <v>683.2</v>
      </c>
      <c r="J150" s="78">
        <v>6906</v>
      </c>
      <c r="K150" s="78">
        <v>5912</v>
      </c>
      <c r="L150" s="78">
        <v>1995</v>
      </c>
      <c r="M150" s="78">
        <v>3214</v>
      </c>
      <c r="N150" s="78">
        <f t="shared" si="9"/>
        <v>1887.3</v>
      </c>
      <c r="O150" s="78">
        <v>218.666666666667</v>
      </c>
      <c r="P150" s="78">
        <v>7</v>
      </c>
      <c r="Q150" s="78">
        <v>1231.6666666666699</v>
      </c>
      <c r="R150" s="78">
        <v>3836</v>
      </c>
      <c r="S150" s="78">
        <v>1480</v>
      </c>
      <c r="T150" s="78">
        <v>0</v>
      </c>
      <c r="U150" s="78">
        <v>960</v>
      </c>
      <c r="V150" s="78">
        <v>13539</v>
      </c>
      <c r="W150" s="78">
        <v>25390</v>
      </c>
      <c r="X150" s="78">
        <v>4010</v>
      </c>
      <c r="Y150" s="78">
        <v>0</v>
      </c>
      <c r="Z150" s="78">
        <v>0</v>
      </c>
      <c r="AA150" s="78">
        <v>0</v>
      </c>
      <c r="AB150" s="399">
        <v>0</v>
      </c>
      <c r="AC150" s="399">
        <v>0</v>
      </c>
      <c r="AD150" s="78">
        <v>2005</v>
      </c>
      <c r="AE150" s="78">
        <v>2406</v>
      </c>
      <c r="AF150" s="78">
        <v>1223</v>
      </c>
      <c r="AG150" s="78">
        <v>0</v>
      </c>
      <c r="AH150" s="78">
        <v>222</v>
      </c>
      <c r="AI150" s="78">
        <v>61</v>
      </c>
      <c r="AJ150" s="78">
        <v>279.72000000000003</v>
      </c>
      <c r="AK150" s="78">
        <v>68.930000000000007</v>
      </c>
      <c r="AL150" s="78">
        <v>283</v>
      </c>
      <c r="AM150" s="78">
        <v>13267</v>
      </c>
      <c r="AN150" s="78">
        <v>16716.419999999998</v>
      </c>
      <c r="AO150" s="78">
        <v>0</v>
      </c>
      <c r="AP150" s="78">
        <v>0</v>
      </c>
      <c r="AQ150" s="78">
        <v>0</v>
      </c>
      <c r="AR150" s="78">
        <v>0</v>
      </c>
      <c r="AS150" s="78">
        <v>1605</v>
      </c>
      <c r="AT150" s="78">
        <v>0</v>
      </c>
      <c r="AU150" s="400">
        <v>2.2255300000000001E-4</v>
      </c>
      <c r="AV150" s="400">
        <v>1.25499E-4</v>
      </c>
      <c r="AW150" s="78">
        <v>12338.31</v>
      </c>
      <c r="AX150" s="78">
        <v>0</v>
      </c>
      <c r="AY150" s="78">
        <v>4200</v>
      </c>
      <c r="AZ150" s="78">
        <v>94724.268401487003</v>
      </c>
      <c r="BA150" s="78">
        <v>3</v>
      </c>
      <c r="BB150" s="78">
        <v>3.39</v>
      </c>
      <c r="BC150" s="78">
        <v>4451</v>
      </c>
      <c r="BD150" s="78">
        <v>1</v>
      </c>
      <c r="BE150" s="78">
        <v>0</v>
      </c>
      <c r="BF150" s="78">
        <v>0</v>
      </c>
      <c r="BG150" s="78">
        <v>0</v>
      </c>
      <c r="BH150" s="78">
        <v>0</v>
      </c>
      <c r="BI150" s="78">
        <v>0</v>
      </c>
      <c r="BJ150" s="78">
        <v>0</v>
      </c>
      <c r="BK150" s="78">
        <v>0</v>
      </c>
      <c r="BL150" s="78">
        <v>0</v>
      </c>
      <c r="BM150" s="78">
        <v>441.98399999999998</v>
      </c>
      <c r="BN150" s="78">
        <v>164</v>
      </c>
      <c r="BO150" s="78">
        <v>100</v>
      </c>
      <c r="BP150" s="78">
        <v>10677.42</v>
      </c>
      <c r="BQ150" s="78">
        <v>3209.48</v>
      </c>
      <c r="BR150" s="78">
        <v>204.2604211105</v>
      </c>
      <c r="BS150" s="78">
        <v>401</v>
      </c>
      <c r="BT150" s="78">
        <v>80.6666666666667</v>
      </c>
      <c r="BU150" s="78">
        <v>58</v>
      </c>
      <c r="BV150" s="78">
        <f t="shared" si="10"/>
        <v>1013.000000000003</v>
      </c>
      <c r="BW150" s="78">
        <v>271</v>
      </c>
      <c r="BX150" s="78">
        <v>4004.1043482097798</v>
      </c>
      <c r="BY150" s="402">
        <v>0.16400000000000001</v>
      </c>
      <c r="BZ150" s="78">
        <v>25947</v>
      </c>
      <c r="CA150" s="78">
        <v>3178</v>
      </c>
      <c r="CB150" s="78">
        <v>739</v>
      </c>
      <c r="CC150" s="78">
        <v>584</v>
      </c>
      <c r="CD150" s="78">
        <v>669</v>
      </c>
      <c r="CE150" s="78">
        <v>368</v>
      </c>
      <c r="CF150" s="78">
        <v>277.68218888972598</v>
      </c>
      <c r="CG150" s="78">
        <v>190.764249641969</v>
      </c>
      <c r="CH150" s="78">
        <v>72.550162056229794</v>
      </c>
      <c r="CI150" s="78">
        <v>634.59519999999998</v>
      </c>
      <c r="CJ150" s="78">
        <v>435.95909999999998</v>
      </c>
      <c r="CK150" s="78">
        <v>165.80099999999999</v>
      </c>
      <c r="CL150" s="78">
        <v>36773</v>
      </c>
    </row>
    <row r="151" spans="1:90" customFormat="1" x14ac:dyDescent="0.35">
      <c r="A151" s="72">
        <v>361</v>
      </c>
      <c r="B151" s="72" t="s">
        <v>17</v>
      </c>
      <c r="C151" s="72">
        <v>7</v>
      </c>
      <c r="D151" s="78">
        <v>10258400000</v>
      </c>
      <c r="E151" s="78">
        <v>2159150000</v>
      </c>
      <c r="F151" s="78">
        <v>2201500000</v>
      </c>
      <c r="G151" s="78">
        <v>109436</v>
      </c>
      <c r="H151" s="78">
        <v>5</v>
      </c>
      <c r="I151" s="78">
        <f t="shared" si="8"/>
        <v>2201.5</v>
      </c>
      <c r="J151" s="78">
        <v>20472</v>
      </c>
      <c r="K151" s="78">
        <v>21596</v>
      </c>
      <c r="L151" s="78">
        <v>6517</v>
      </c>
      <c r="M151" s="78">
        <v>17027</v>
      </c>
      <c r="N151" s="78">
        <f t="shared" si="9"/>
        <v>11846.9</v>
      </c>
      <c r="O151" s="78">
        <v>2417.6666666666702</v>
      </c>
      <c r="P151" s="78">
        <v>231</v>
      </c>
      <c r="Q151" s="78">
        <v>9531.6666666666697</v>
      </c>
      <c r="R151" s="78">
        <v>21177</v>
      </c>
      <c r="S151" s="78">
        <v>8440</v>
      </c>
      <c r="T151" s="78">
        <v>0</v>
      </c>
      <c r="U151" s="78">
        <v>4239</v>
      </c>
      <c r="V151" s="78">
        <v>53299</v>
      </c>
      <c r="W151" s="78">
        <v>118750</v>
      </c>
      <c r="X151" s="78">
        <v>128160</v>
      </c>
      <c r="Y151" s="78">
        <v>3556.46</v>
      </c>
      <c r="Z151" s="78">
        <v>5595.2</v>
      </c>
      <c r="AA151" s="78">
        <v>0</v>
      </c>
      <c r="AB151" s="399">
        <v>0</v>
      </c>
      <c r="AC151" s="399">
        <v>0</v>
      </c>
      <c r="AD151" s="78">
        <v>11017</v>
      </c>
      <c r="AE151" s="78">
        <v>12008.53</v>
      </c>
      <c r="AF151" s="78">
        <v>718</v>
      </c>
      <c r="AG151" s="78">
        <v>0</v>
      </c>
      <c r="AH151" s="78">
        <v>468</v>
      </c>
      <c r="AI151" s="78">
        <v>84</v>
      </c>
      <c r="AJ151" s="78">
        <v>491.4</v>
      </c>
      <c r="AK151" s="78">
        <v>92.4</v>
      </c>
      <c r="AL151" s="78">
        <v>552</v>
      </c>
      <c r="AM151" s="78">
        <v>51801</v>
      </c>
      <c r="AN151" s="78">
        <v>54391.05</v>
      </c>
      <c r="AO151" s="78">
        <v>0</v>
      </c>
      <c r="AP151" s="78">
        <v>47</v>
      </c>
      <c r="AQ151" s="78">
        <v>0</v>
      </c>
      <c r="AR151" s="78">
        <v>8600</v>
      </c>
      <c r="AS151" s="78">
        <v>7019</v>
      </c>
      <c r="AT151" s="78">
        <v>7019</v>
      </c>
      <c r="AU151" s="400">
        <v>5.9157480000000002E-3</v>
      </c>
      <c r="AV151" s="400">
        <v>6.6916470000000002E-3</v>
      </c>
      <c r="AW151" s="78">
        <v>117432.867</v>
      </c>
      <c r="AX151" s="78">
        <v>0</v>
      </c>
      <c r="AY151" s="78">
        <v>11368.7</v>
      </c>
      <c r="AZ151" s="78">
        <v>188904.72093395799</v>
      </c>
      <c r="BA151" s="78">
        <v>13</v>
      </c>
      <c r="BB151" s="78">
        <v>14.3</v>
      </c>
      <c r="BC151" s="78">
        <v>13170</v>
      </c>
      <c r="BD151" s="78">
        <v>1</v>
      </c>
      <c r="BE151" s="78">
        <v>0</v>
      </c>
      <c r="BF151" s="78">
        <v>0</v>
      </c>
      <c r="BG151" s="78">
        <v>0</v>
      </c>
      <c r="BH151" s="78">
        <v>0</v>
      </c>
      <c r="BI151" s="78">
        <v>0</v>
      </c>
      <c r="BJ151" s="78">
        <v>0</v>
      </c>
      <c r="BK151" s="78">
        <v>0</v>
      </c>
      <c r="BL151" s="78">
        <v>0</v>
      </c>
      <c r="BM151" s="78">
        <v>2497.5839999999998</v>
      </c>
      <c r="BN151" s="78">
        <v>220</v>
      </c>
      <c r="BO151" s="78">
        <v>325</v>
      </c>
      <c r="BP151" s="78">
        <v>33394.559999999998</v>
      </c>
      <c r="BQ151" s="78">
        <v>7373.66</v>
      </c>
      <c r="BR151" s="78">
        <v>800.56501149425299</v>
      </c>
      <c r="BS151" s="78">
        <v>1542</v>
      </c>
      <c r="BT151" s="78">
        <v>660.66666666666697</v>
      </c>
      <c r="BU151" s="78">
        <v>619</v>
      </c>
      <c r="BV151" s="78">
        <f t="shared" si="10"/>
        <v>7114</v>
      </c>
      <c r="BW151" s="78">
        <v>1890</v>
      </c>
      <c r="BX151" s="78">
        <v>16492.357425892202</v>
      </c>
      <c r="BY151" s="402">
        <v>5.54</v>
      </c>
      <c r="BZ151" s="78">
        <v>87840</v>
      </c>
      <c r="CA151" s="78">
        <v>12773</v>
      </c>
      <c r="CB151" s="78">
        <v>2306</v>
      </c>
      <c r="CC151" s="78">
        <v>3543</v>
      </c>
      <c r="CD151" s="78">
        <v>2416</v>
      </c>
      <c r="CE151" s="78">
        <v>1152</v>
      </c>
      <c r="CF151" s="78">
        <v>1906.6737186540799</v>
      </c>
      <c r="CG151" s="78">
        <v>1021.37517422444</v>
      </c>
      <c r="CH151" s="78">
        <v>359.51674292002099</v>
      </c>
      <c r="CI151" s="78">
        <v>3945.9020999999998</v>
      </c>
      <c r="CJ151" s="78">
        <v>2113.7577999999999</v>
      </c>
      <c r="CK151" s="78">
        <v>744.02760000000001</v>
      </c>
      <c r="CL151" s="78">
        <v>60805</v>
      </c>
    </row>
    <row r="152" spans="1:90" customFormat="1" x14ac:dyDescent="0.35">
      <c r="A152" s="72">
        <v>362</v>
      </c>
      <c r="B152" s="72" t="s">
        <v>25</v>
      </c>
      <c r="C152" s="72">
        <v>7</v>
      </c>
      <c r="D152" s="78">
        <v>14182400000</v>
      </c>
      <c r="E152" s="78">
        <v>1761900000</v>
      </c>
      <c r="F152" s="78">
        <v>1778000000</v>
      </c>
      <c r="G152" s="78">
        <v>91675</v>
      </c>
      <c r="H152" s="78">
        <v>1</v>
      </c>
      <c r="I152" s="78">
        <f t="shared" si="8"/>
        <v>1778</v>
      </c>
      <c r="J152" s="78">
        <v>18958</v>
      </c>
      <c r="K152" s="78">
        <v>17616</v>
      </c>
      <c r="L152" s="78">
        <v>5834</v>
      </c>
      <c r="M152" s="78">
        <v>10601</v>
      </c>
      <c r="N152" s="78">
        <f t="shared" si="9"/>
        <v>6291.0999999999995</v>
      </c>
      <c r="O152" s="78">
        <v>1058.3333333333301</v>
      </c>
      <c r="P152" s="78">
        <v>33</v>
      </c>
      <c r="Q152" s="78">
        <v>3920.3333333333298</v>
      </c>
      <c r="R152" s="78">
        <v>18685</v>
      </c>
      <c r="S152" s="78">
        <v>7545</v>
      </c>
      <c r="T152" s="78">
        <v>0</v>
      </c>
      <c r="U152" s="78">
        <v>3111</v>
      </c>
      <c r="V152" s="78">
        <v>44289</v>
      </c>
      <c r="W152" s="78">
        <v>91420</v>
      </c>
      <c r="X152" s="78">
        <v>57600</v>
      </c>
      <c r="Y152" s="78">
        <v>459.36</v>
      </c>
      <c r="Z152" s="78">
        <v>4652.8</v>
      </c>
      <c r="AA152" s="78">
        <v>0</v>
      </c>
      <c r="AB152" s="399">
        <v>1336</v>
      </c>
      <c r="AC152" s="399">
        <v>0</v>
      </c>
      <c r="AD152" s="78">
        <v>4122</v>
      </c>
      <c r="AE152" s="78">
        <v>5358.6</v>
      </c>
      <c r="AF152" s="78">
        <v>286</v>
      </c>
      <c r="AG152" s="78">
        <v>0</v>
      </c>
      <c r="AH152" s="78">
        <v>304</v>
      </c>
      <c r="AI152" s="78">
        <v>21</v>
      </c>
      <c r="AJ152" s="78">
        <v>395.2</v>
      </c>
      <c r="AK152" s="78">
        <v>27.3</v>
      </c>
      <c r="AL152" s="78">
        <v>326</v>
      </c>
      <c r="AM152" s="78">
        <v>43099</v>
      </c>
      <c r="AN152" s="78">
        <v>56028.7</v>
      </c>
      <c r="AO152" s="78">
        <v>0</v>
      </c>
      <c r="AP152" s="78">
        <v>0</v>
      </c>
      <c r="AQ152" s="78">
        <v>0</v>
      </c>
      <c r="AR152" s="78">
        <v>0</v>
      </c>
      <c r="AS152" s="78">
        <v>1241</v>
      </c>
      <c r="AT152" s="78">
        <v>0</v>
      </c>
      <c r="AU152" s="400">
        <v>7.1556899999999999E-4</v>
      </c>
      <c r="AV152" s="400">
        <v>3.213704E-3</v>
      </c>
      <c r="AW152" s="78">
        <v>108437.084</v>
      </c>
      <c r="AX152" s="78">
        <v>0</v>
      </c>
      <c r="AY152" s="78">
        <v>4966</v>
      </c>
      <c r="AZ152" s="78">
        <v>179036.61637931</v>
      </c>
      <c r="BA152" s="78">
        <v>8</v>
      </c>
      <c r="BB152" s="78">
        <v>10.4</v>
      </c>
      <c r="BC152" s="78">
        <v>11206</v>
      </c>
      <c r="BD152" s="78">
        <v>1</v>
      </c>
      <c r="BE152" s="78">
        <v>0</v>
      </c>
      <c r="BF152" s="78">
        <v>0</v>
      </c>
      <c r="BG152" s="78">
        <v>0</v>
      </c>
      <c r="BH152" s="78">
        <v>0</v>
      </c>
      <c r="BI152" s="78">
        <v>0</v>
      </c>
      <c r="BJ152" s="78">
        <v>0</v>
      </c>
      <c r="BK152" s="78">
        <v>0</v>
      </c>
      <c r="BL152" s="78">
        <v>0</v>
      </c>
      <c r="BM152" s="78">
        <v>1687.2619999999999</v>
      </c>
      <c r="BN152" s="78">
        <v>52</v>
      </c>
      <c r="BO152" s="78">
        <v>128</v>
      </c>
      <c r="BP152" s="78">
        <v>34788</v>
      </c>
      <c r="BQ152" s="78">
        <v>9796.23</v>
      </c>
      <c r="BR152" s="78">
        <v>310.62847599591402</v>
      </c>
      <c r="BS152" s="78">
        <v>1258</v>
      </c>
      <c r="BT152" s="78">
        <v>329</v>
      </c>
      <c r="BU152" s="78">
        <v>289</v>
      </c>
      <c r="BV152" s="78">
        <f t="shared" si="10"/>
        <v>2862</v>
      </c>
      <c r="BW152" s="78">
        <v>667</v>
      </c>
      <c r="BX152" s="78">
        <v>10459.9400801427</v>
      </c>
      <c r="BY152" s="402">
        <v>0.78200000000000003</v>
      </c>
      <c r="BZ152" s="78">
        <v>74059</v>
      </c>
      <c r="CA152" s="78">
        <v>8945</v>
      </c>
      <c r="CB152" s="78">
        <v>2837</v>
      </c>
      <c r="CC152" s="78">
        <v>2641</v>
      </c>
      <c r="CD152" s="78">
        <v>2384</v>
      </c>
      <c r="CE152" s="78">
        <v>1593</v>
      </c>
      <c r="CF152" s="78">
        <v>864.13401703055797</v>
      </c>
      <c r="CG152" s="78">
        <v>610.73255527970502</v>
      </c>
      <c r="CH152" s="78">
        <v>313.24858117357701</v>
      </c>
      <c r="CI152" s="78">
        <v>1802.64</v>
      </c>
      <c r="CJ152" s="78">
        <v>1274.028</v>
      </c>
      <c r="CK152" s="78">
        <v>653.45699999999999</v>
      </c>
      <c r="CL152" s="78">
        <v>133948</v>
      </c>
    </row>
    <row r="153" spans="1:90" customFormat="1" x14ac:dyDescent="0.35">
      <c r="A153" s="72">
        <v>363</v>
      </c>
      <c r="B153" s="72" t="s">
        <v>26</v>
      </c>
      <c r="C153" s="72">
        <v>7</v>
      </c>
      <c r="D153" s="78">
        <v>146748400000</v>
      </c>
      <c r="E153" s="78">
        <v>29165850000</v>
      </c>
      <c r="F153" s="78">
        <v>29332450000</v>
      </c>
      <c r="G153" s="78">
        <v>872757</v>
      </c>
      <c r="H153" s="78">
        <v>4</v>
      </c>
      <c r="I153" s="78">
        <f t="shared" si="8"/>
        <v>29332.45</v>
      </c>
      <c r="J153" s="78">
        <v>147581</v>
      </c>
      <c r="K153" s="78">
        <v>110959</v>
      </c>
      <c r="L153" s="78">
        <v>32032</v>
      </c>
      <c r="M153" s="78">
        <v>156424</v>
      </c>
      <c r="N153" s="78">
        <f t="shared" si="9"/>
        <v>110599</v>
      </c>
      <c r="O153" s="78">
        <v>39470.666666666701</v>
      </c>
      <c r="P153" s="78">
        <v>775</v>
      </c>
      <c r="Q153" s="78">
        <v>77623.666666666701</v>
      </c>
      <c r="R153" s="78">
        <v>258962</v>
      </c>
      <c r="S153" s="78">
        <v>209325</v>
      </c>
      <c r="T153" s="78">
        <v>34773.599999999999</v>
      </c>
      <c r="U153" s="78">
        <v>40415</v>
      </c>
      <c r="V153" s="78">
        <v>486443</v>
      </c>
      <c r="W153" s="78">
        <v>963390</v>
      </c>
      <c r="X153" s="78">
        <v>1814740</v>
      </c>
      <c r="Y153" s="78">
        <v>16673.5088</v>
      </c>
      <c r="Z153" s="78">
        <v>32316.799999999999</v>
      </c>
      <c r="AA153" s="78">
        <v>4772.7</v>
      </c>
      <c r="AB153" s="399">
        <v>0</v>
      </c>
      <c r="AC153" s="399">
        <v>4929.7999999999956</v>
      </c>
      <c r="AD153" s="78">
        <v>16517</v>
      </c>
      <c r="AE153" s="78">
        <v>21637.27</v>
      </c>
      <c r="AF153" s="78">
        <v>3158</v>
      </c>
      <c r="AG153" s="78">
        <v>2274</v>
      </c>
      <c r="AH153" s="78">
        <v>2149</v>
      </c>
      <c r="AI153" s="78">
        <v>273</v>
      </c>
      <c r="AJ153" s="78">
        <v>2815.19</v>
      </c>
      <c r="AK153" s="78">
        <v>357.63</v>
      </c>
      <c r="AL153" s="78">
        <v>2421</v>
      </c>
      <c r="AM153" s="78">
        <v>458250</v>
      </c>
      <c r="AN153" s="78">
        <v>600307.5</v>
      </c>
      <c r="AO153" s="78">
        <v>0</v>
      </c>
      <c r="AP153" s="78">
        <v>0</v>
      </c>
      <c r="AQ153" s="78">
        <v>425</v>
      </c>
      <c r="AR153" s="78">
        <v>83000</v>
      </c>
      <c r="AS153" s="78">
        <v>198950</v>
      </c>
      <c r="AT153" s="78">
        <v>196621</v>
      </c>
      <c r="AU153" s="400">
        <v>0.21133982800000001</v>
      </c>
      <c r="AV153" s="400">
        <v>0.14053195900000001</v>
      </c>
      <c r="AW153" s="78">
        <v>2783410.5</v>
      </c>
      <c r="AX153" s="78">
        <v>1225360.5</v>
      </c>
      <c r="AY153" s="78">
        <v>19044.78</v>
      </c>
      <c r="AZ153" s="78">
        <v>2018620.6247755999</v>
      </c>
      <c r="BA153" s="78">
        <v>20</v>
      </c>
      <c r="BB153" s="78">
        <v>26.2</v>
      </c>
      <c r="BC153" s="78">
        <v>163091</v>
      </c>
      <c r="BD153" s="78">
        <v>1</v>
      </c>
      <c r="BE153" s="78">
        <v>0</v>
      </c>
      <c r="BF153" s="78">
        <v>0</v>
      </c>
      <c r="BG153" s="78">
        <v>0</v>
      </c>
      <c r="BH153" s="78">
        <v>1</v>
      </c>
      <c r="BI153" s="78">
        <v>0</v>
      </c>
      <c r="BJ153" s="78">
        <v>0</v>
      </c>
      <c r="BK153" s="78">
        <v>0</v>
      </c>
      <c r="BL153" s="78">
        <v>0</v>
      </c>
      <c r="BM153" s="78">
        <v>36304.925999999999</v>
      </c>
      <c r="BN153" s="78">
        <v>2337</v>
      </c>
      <c r="BO153" s="78">
        <v>5175</v>
      </c>
      <c r="BP153" s="78">
        <v>294728.15999999997</v>
      </c>
      <c r="BQ153" s="78">
        <v>52329.24</v>
      </c>
      <c r="BR153" s="78">
        <v>4614.5175914314104</v>
      </c>
      <c r="BS153" s="78">
        <v>15509</v>
      </c>
      <c r="BT153" s="78">
        <v>10005.666666666701</v>
      </c>
      <c r="BU153" s="78">
        <v>9822</v>
      </c>
      <c r="BV153" s="78">
        <f t="shared" si="10"/>
        <v>38153</v>
      </c>
      <c r="BW153" s="78">
        <v>8431</v>
      </c>
      <c r="BX153" s="78">
        <v>83266.417381238003</v>
      </c>
      <c r="BY153" s="402">
        <v>111.179</v>
      </c>
      <c r="BZ153" s="78">
        <v>761798</v>
      </c>
      <c r="CA153" s="78">
        <v>67877</v>
      </c>
      <c r="CB153" s="78">
        <v>11050</v>
      </c>
      <c r="CC153" s="78">
        <v>31086</v>
      </c>
      <c r="CD153" s="78">
        <v>15901</v>
      </c>
      <c r="CE153" s="78">
        <v>6613</v>
      </c>
      <c r="CF153" s="78">
        <v>12137.531282051301</v>
      </c>
      <c r="CG153" s="78">
        <v>5894.0276683033298</v>
      </c>
      <c r="CH153" s="78">
        <v>2082.3746252045798</v>
      </c>
      <c r="CI153" s="78">
        <v>22786.399000000001</v>
      </c>
      <c r="CJ153" s="78">
        <v>11065.1551</v>
      </c>
      <c r="CK153" s="78">
        <v>3909.3467999999998</v>
      </c>
      <c r="CL153" s="78">
        <v>713520</v>
      </c>
    </row>
    <row r="154" spans="1:90" customFormat="1" x14ac:dyDescent="0.35">
      <c r="A154" s="72">
        <v>370</v>
      </c>
      <c r="B154" s="72" t="s">
        <v>38</v>
      </c>
      <c r="C154" s="72">
        <v>7</v>
      </c>
      <c r="D154" s="78">
        <v>1222800000</v>
      </c>
      <c r="E154" s="78">
        <v>165900000</v>
      </c>
      <c r="F154" s="78">
        <v>194600000</v>
      </c>
      <c r="G154" s="78">
        <v>10022</v>
      </c>
      <c r="H154" s="78">
        <v>2</v>
      </c>
      <c r="I154" s="78">
        <f t="shared" si="8"/>
        <v>194.6</v>
      </c>
      <c r="J154" s="78">
        <v>2092</v>
      </c>
      <c r="K154" s="78">
        <v>2009</v>
      </c>
      <c r="L154" s="78">
        <v>628</v>
      </c>
      <c r="M154" s="78">
        <v>996</v>
      </c>
      <c r="N154" s="78">
        <f t="shared" si="9"/>
        <v>582.79999999999995</v>
      </c>
      <c r="O154" s="78">
        <v>69.6666666666667</v>
      </c>
      <c r="P154" s="78">
        <v>5</v>
      </c>
      <c r="Q154" s="78">
        <v>596.66666666666697</v>
      </c>
      <c r="R154" s="78">
        <v>1075</v>
      </c>
      <c r="S154" s="78">
        <v>255</v>
      </c>
      <c r="T154" s="78">
        <v>0</v>
      </c>
      <c r="U154" s="78">
        <v>243</v>
      </c>
      <c r="V154" s="78">
        <v>4250</v>
      </c>
      <c r="W154" s="78">
        <v>5380</v>
      </c>
      <c r="X154" s="78">
        <v>250</v>
      </c>
      <c r="Y154" s="78">
        <v>0</v>
      </c>
      <c r="Z154" s="78">
        <v>0</v>
      </c>
      <c r="AA154" s="78">
        <v>0</v>
      </c>
      <c r="AB154" s="399">
        <v>24</v>
      </c>
      <c r="AC154" s="399">
        <v>0</v>
      </c>
      <c r="AD154" s="78">
        <v>7059</v>
      </c>
      <c r="AE154" s="78">
        <v>8682.57</v>
      </c>
      <c r="AF154" s="78">
        <v>148</v>
      </c>
      <c r="AG154" s="78">
        <v>0</v>
      </c>
      <c r="AH154" s="78">
        <v>42</v>
      </c>
      <c r="AI154" s="78">
        <v>58</v>
      </c>
      <c r="AJ154" s="78">
        <v>52.5</v>
      </c>
      <c r="AK154" s="78">
        <v>71.34</v>
      </c>
      <c r="AL154" s="78">
        <v>100</v>
      </c>
      <c r="AM154" s="78">
        <v>4132</v>
      </c>
      <c r="AN154" s="78">
        <v>5165</v>
      </c>
      <c r="AO154" s="78">
        <v>0</v>
      </c>
      <c r="AP154" s="78">
        <v>0</v>
      </c>
      <c r="AQ154" s="78">
        <v>0</v>
      </c>
      <c r="AR154" s="78">
        <v>0</v>
      </c>
      <c r="AS154" s="78">
        <v>0</v>
      </c>
      <c r="AT154" s="78">
        <v>0</v>
      </c>
      <c r="AU154" s="400">
        <v>1.7574999999999999E-4</v>
      </c>
      <c r="AV154" s="400">
        <v>4.1353000000000002E-5</v>
      </c>
      <c r="AW154" s="78">
        <v>2685.8</v>
      </c>
      <c r="AX154" s="78">
        <v>0</v>
      </c>
      <c r="AY154" s="78">
        <v>3805.62</v>
      </c>
      <c r="AZ154" s="78">
        <v>6304.6403718606898</v>
      </c>
      <c r="BA154" s="78">
        <v>4</v>
      </c>
      <c r="BB154" s="78">
        <v>4.92</v>
      </c>
      <c r="BC154" s="78">
        <v>1452</v>
      </c>
      <c r="BD154" s="78">
        <v>1</v>
      </c>
      <c r="BE154" s="78">
        <v>0</v>
      </c>
      <c r="BF154" s="78">
        <v>0</v>
      </c>
      <c r="BG154" s="78">
        <v>0</v>
      </c>
      <c r="BH154" s="78">
        <v>0</v>
      </c>
      <c r="BI154" s="78">
        <v>0</v>
      </c>
      <c r="BJ154" s="78">
        <v>0</v>
      </c>
      <c r="BK154" s="78">
        <v>0</v>
      </c>
      <c r="BL154" s="78">
        <v>0</v>
      </c>
      <c r="BM154" s="78">
        <v>154.80799999999999</v>
      </c>
      <c r="BN154" s="78">
        <v>16</v>
      </c>
      <c r="BO154" s="78">
        <v>9</v>
      </c>
      <c r="BP154" s="78">
        <v>3313.62</v>
      </c>
      <c r="BQ154" s="78">
        <v>860.25</v>
      </c>
      <c r="BR154" s="78">
        <v>41.8160409885473</v>
      </c>
      <c r="BS154" s="78">
        <v>93</v>
      </c>
      <c r="BT154" s="78">
        <v>24</v>
      </c>
      <c r="BU154" s="78">
        <v>18.3333333333333</v>
      </c>
      <c r="BV154" s="78">
        <f t="shared" si="10"/>
        <v>527.00000000000023</v>
      </c>
      <c r="BW154" s="78">
        <v>206</v>
      </c>
      <c r="BX154" s="78">
        <v>1163.03726713172</v>
      </c>
      <c r="BY154" s="402">
        <v>0.05</v>
      </c>
      <c r="BZ154" s="78">
        <v>8013</v>
      </c>
      <c r="CA154" s="78">
        <v>1156</v>
      </c>
      <c r="CB154" s="78">
        <v>225</v>
      </c>
      <c r="CC154" s="78">
        <v>199</v>
      </c>
      <c r="CD154" s="78">
        <v>205</v>
      </c>
      <c r="CE154" s="78">
        <v>119</v>
      </c>
      <c r="CF154" s="78">
        <v>100.70648596321401</v>
      </c>
      <c r="CG154" s="78">
        <v>59.521200387221697</v>
      </c>
      <c r="CH154" s="78">
        <v>23.554598257502398</v>
      </c>
      <c r="CI154" s="78">
        <v>223.62479999999999</v>
      </c>
      <c r="CJ154" s="78">
        <v>132.1704</v>
      </c>
      <c r="CK154" s="78">
        <v>52.304400000000001</v>
      </c>
      <c r="CL154" s="78">
        <v>26280</v>
      </c>
    </row>
    <row r="155" spans="1:90" customFormat="1" x14ac:dyDescent="0.35">
      <c r="A155" s="72">
        <v>373</v>
      </c>
      <c r="B155" s="72" t="s">
        <v>43</v>
      </c>
      <c r="C155" s="72">
        <v>7</v>
      </c>
      <c r="D155" s="78">
        <v>5449200000</v>
      </c>
      <c r="E155" s="78">
        <v>493150000</v>
      </c>
      <c r="F155" s="78">
        <v>524300000</v>
      </c>
      <c r="G155" s="78">
        <v>29839</v>
      </c>
      <c r="H155" s="78">
        <v>4</v>
      </c>
      <c r="I155" s="78">
        <f t="shared" si="8"/>
        <v>524.29999999999995</v>
      </c>
      <c r="J155" s="78">
        <v>4644</v>
      </c>
      <c r="K155" s="78">
        <v>9716</v>
      </c>
      <c r="L155" s="78">
        <v>3279</v>
      </c>
      <c r="M155" s="78">
        <v>3944</v>
      </c>
      <c r="N155" s="78">
        <f t="shared" si="9"/>
        <v>2099.8000000000002</v>
      </c>
      <c r="O155" s="78">
        <v>304.66666666666703</v>
      </c>
      <c r="P155" s="78">
        <v>14</v>
      </c>
      <c r="Q155" s="78">
        <v>1695.6666666666699</v>
      </c>
      <c r="R155" s="78">
        <v>5142</v>
      </c>
      <c r="S155" s="78">
        <v>460</v>
      </c>
      <c r="T155" s="78">
        <v>0</v>
      </c>
      <c r="U155" s="78">
        <v>952</v>
      </c>
      <c r="V155" s="78">
        <v>14693</v>
      </c>
      <c r="W155" s="78">
        <v>25420</v>
      </c>
      <c r="X155" s="78">
        <v>7320</v>
      </c>
      <c r="Y155" s="78">
        <v>480.94</v>
      </c>
      <c r="Z155" s="78">
        <v>1589.6</v>
      </c>
      <c r="AA155" s="78">
        <v>0</v>
      </c>
      <c r="AB155" s="399">
        <v>0</v>
      </c>
      <c r="AC155" s="399">
        <v>295.19999999999982</v>
      </c>
      <c r="AD155" s="78">
        <v>9896</v>
      </c>
      <c r="AE155" s="78">
        <v>10192.879999999999</v>
      </c>
      <c r="AF155" s="78">
        <v>98</v>
      </c>
      <c r="AG155" s="78">
        <v>2030</v>
      </c>
      <c r="AH155" s="78">
        <v>185</v>
      </c>
      <c r="AI155" s="78">
        <v>29</v>
      </c>
      <c r="AJ155" s="78">
        <v>188.7</v>
      </c>
      <c r="AK155" s="78">
        <v>29.87</v>
      </c>
      <c r="AL155" s="78">
        <v>213</v>
      </c>
      <c r="AM155" s="78">
        <v>18442</v>
      </c>
      <c r="AN155" s="78">
        <v>18810.84</v>
      </c>
      <c r="AO155" s="78">
        <v>0</v>
      </c>
      <c r="AP155" s="78">
        <v>0</v>
      </c>
      <c r="AQ155" s="78">
        <v>0</v>
      </c>
      <c r="AR155" s="78">
        <v>0</v>
      </c>
      <c r="AS155" s="78">
        <v>1819</v>
      </c>
      <c r="AT155" s="78">
        <v>0</v>
      </c>
      <c r="AU155" s="400">
        <v>6.1442699999999996E-4</v>
      </c>
      <c r="AV155" s="400">
        <v>3.6347700000000002E-4</v>
      </c>
      <c r="AW155" s="78">
        <v>15103.998</v>
      </c>
      <c r="AX155" s="78">
        <v>0</v>
      </c>
      <c r="AY155" s="78">
        <v>2239.2199999999998</v>
      </c>
      <c r="AZ155" s="78">
        <v>6685.6199299579803</v>
      </c>
      <c r="BA155" s="78">
        <v>5</v>
      </c>
      <c r="BB155" s="78">
        <v>5.15</v>
      </c>
      <c r="BC155" s="78">
        <v>4466</v>
      </c>
      <c r="BD155" s="78">
        <v>1</v>
      </c>
      <c r="BE155" s="78">
        <v>0</v>
      </c>
      <c r="BF155" s="78">
        <v>0</v>
      </c>
      <c r="BG155" s="78">
        <v>0</v>
      </c>
      <c r="BH155" s="78">
        <v>0</v>
      </c>
      <c r="BI155" s="78">
        <v>0</v>
      </c>
      <c r="BJ155" s="78">
        <v>0</v>
      </c>
      <c r="BK155" s="78">
        <v>0</v>
      </c>
      <c r="BL155" s="78">
        <v>0</v>
      </c>
      <c r="BM155" s="78">
        <v>408.67200000000003</v>
      </c>
      <c r="BN155" s="78">
        <v>26</v>
      </c>
      <c r="BO155" s="78">
        <v>51</v>
      </c>
      <c r="BP155" s="78">
        <v>11622.24</v>
      </c>
      <c r="BQ155" s="78">
        <v>2129.54</v>
      </c>
      <c r="BR155" s="78">
        <v>83.661076810533999</v>
      </c>
      <c r="BS155" s="78">
        <v>351</v>
      </c>
      <c r="BT155" s="78">
        <v>77.6666666666667</v>
      </c>
      <c r="BU155" s="78">
        <v>57.3333333333333</v>
      </c>
      <c r="BV155" s="78">
        <f t="shared" si="10"/>
        <v>1391.000000000003</v>
      </c>
      <c r="BW155" s="78">
        <v>451</v>
      </c>
      <c r="BX155" s="78">
        <v>5066.1990952158503</v>
      </c>
      <c r="BY155" s="402">
        <v>0.31</v>
      </c>
      <c r="BZ155" s="78">
        <v>20123</v>
      </c>
      <c r="CA155" s="78">
        <v>5227</v>
      </c>
      <c r="CB155" s="78">
        <v>1210</v>
      </c>
      <c r="CC155" s="78">
        <v>1302</v>
      </c>
      <c r="CD155" s="78">
        <v>1124</v>
      </c>
      <c r="CE155" s="78">
        <v>526</v>
      </c>
      <c r="CF155" s="78">
        <v>382.79620431623499</v>
      </c>
      <c r="CG155" s="78">
        <v>243.204251165817</v>
      </c>
      <c r="CH155" s="78">
        <v>87.102646133825004</v>
      </c>
      <c r="CI155" s="78">
        <v>1004.5656</v>
      </c>
      <c r="CJ155" s="78">
        <v>638.23680000000002</v>
      </c>
      <c r="CK155" s="78">
        <v>228.58199999999999</v>
      </c>
      <c r="CL155" s="78">
        <v>68335</v>
      </c>
    </row>
    <row r="156" spans="1:90" customFormat="1" x14ac:dyDescent="0.35">
      <c r="A156" s="72">
        <v>375</v>
      </c>
      <c r="B156" s="72" t="s">
        <v>49</v>
      </c>
      <c r="C156" s="72">
        <v>7</v>
      </c>
      <c r="D156" s="78">
        <v>3727600000</v>
      </c>
      <c r="E156" s="78">
        <v>708750000</v>
      </c>
      <c r="F156" s="78">
        <v>717150000</v>
      </c>
      <c r="G156" s="78">
        <v>41626</v>
      </c>
      <c r="H156" s="78">
        <v>2</v>
      </c>
      <c r="I156" s="78">
        <f t="shared" si="8"/>
        <v>717.15</v>
      </c>
      <c r="J156" s="78">
        <v>8048</v>
      </c>
      <c r="K156" s="78">
        <v>7605</v>
      </c>
      <c r="L156" s="78">
        <v>2361</v>
      </c>
      <c r="M156" s="78">
        <v>6359</v>
      </c>
      <c r="N156" s="78">
        <f t="shared" si="9"/>
        <v>4411.8999999999996</v>
      </c>
      <c r="O156" s="78">
        <v>891.33333333333303</v>
      </c>
      <c r="P156" s="78">
        <v>24</v>
      </c>
      <c r="Q156" s="78">
        <v>3372.3333333333298</v>
      </c>
      <c r="R156" s="78">
        <v>7287</v>
      </c>
      <c r="S156" s="78">
        <v>3820</v>
      </c>
      <c r="T156" s="78">
        <v>0</v>
      </c>
      <c r="U156" s="78">
        <v>1602</v>
      </c>
      <c r="V156" s="78">
        <v>19580</v>
      </c>
      <c r="W156" s="78">
        <v>39660</v>
      </c>
      <c r="X156" s="78">
        <v>21160</v>
      </c>
      <c r="Y156" s="78">
        <v>497.54</v>
      </c>
      <c r="Z156" s="78">
        <v>1196</v>
      </c>
      <c r="AA156" s="78">
        <v>0</v>
      </c>
      <c r="AB156" s="399">
        <v>0</v>
      </c>
      <c r="AC156" s="399">
        <v>0</v>
      </c>
      <c r="AD156" s="78">
        <v>1837</v>
      </c>
      <c r="AE156" s="78">
        <v>1892.11</v>
      </c>
      <c r="AF156" s="78">
        <v>52</v>
      </c>
      <c r="AG156" s="78">
        <v>120</v>
      </c>
      <c r="AH156" s="78">
        <v>192</v>
      </c>
      <c r="AI156" s="78">
        <v>46</v>
      </c>
      <c r="AJ156" s="78">
        <v>195.84</v>
      </c>
      <c r="AK156" s="78">
        <v>48.3</v>
      </c>
      <c r="AL156" s="78">
        <v>238</v>
      </c>
      <c r="AM156" s="78">
        <v>19471</v>
      </c>
      <c r="AN156" s="78">
        <v>19860.419999999998</v>
      </c>
      <c r="AO156" s="78">
        <v>17</v>
      </c>
      <c r="AP156" s="78">
        <v>0</v>
      </c>
      <c r="AQ156" s="78">
        <v>0</v>
      </c>
      <c r="AR156" s="78">
        <v>0</v>
      </c>
      <c r="AS156" s="78">
        <v>3506</v>
      </c>
      <c r="AT156" s="78">
        <v>2217</v>
      </c>
      <c r="AU156" s="400">
        <v>1.089345E-3</v>
      </c>
      <c r="AV156" s="400">
        <v>1.9743389999999999E-3</v>
      </c>
      <c r="AW156" s="78">
        <v>53155.83</v>
      </c>
      <c r="AX156" s="78">
        <v>0</v>
      </c>
      <c r="AY156" s="78">
        <v>600.49</v>
      </c>
      <c r="AZ156" s="78">
        <v>13867.9145473796</v>
      </c>
      <c r="BA156" s="78">
        <v>3</v>
      </c>
      <c r="BB156" s="78">
        <v>3.15</v>
      </c>
      <c r="BC156" s="78">
        <v>4700</v>
      </c>
      <c r="BD156" s="78">
        <v>1</v>
      </c>
      <c r="BE156" s="78">
        <v>0</v>
      </c>
      <c r="BF156" s="78">
        <v>0</v>
      </c>
      <c r="BG156" s="78">
        <v>0</v>
      </c>
      <c r="BH156" s="78">
        <v>0</v>
      </c>
      <c r="BI156" s="78">
        <v>0</v>
      </c>
      <c r="BJ156" s="78">
        <v>0</v>
      </c>
      <c r="BK156" s="78">
        <v>0</v>
      </c>
      <c r="BL156" s="78">
        <v>0</v>
      </c>
      <c r="BM156" s="78">
        <v>1094.528</v>
      </c>
      <c r="BN156" s="78">
        <v>145</v>
      </c>
      <c r="BO156" s="78">
        <v>135</v>
      </c>
      <c r="BP156" s="78">
        <v>11824.64</v>
      </c>
      <c r="BQ156" s="78">
        <v>2780.08</v>
      </c>
      <c r="BR156" s="78">
        <v>340.08486675639301</v>
      </c>
      <c r="BS156" s="78">
        <v>637</v>
      </c>
      <c r="BT156" s="78">
        <v>285</v>
      </c>
      <c r="BU156" s="78">
        <v>249.333333333333</v>
      </c>
      <c r="BV156" s="78">
        <f t="shared" si="10"/>
        <v>2480.9999999999968</v>
      </c>
      <c r="BW156" s="78">
        <v>623</v>
      </c>
      <c r="BX156" s="78">
        <v>6771.0790965611004</v>
      </c>
      <c r="BY156" s="402">
        <v>2.0449999999999999</v>
      </c>
      <c r="BZ156" s="78">
        <v>34021</v>
      </c>
      <c r="CA156" s="78">
        <v>4300</v>
      </c>
      <c r="CB156" s="78">
        <v>944</v>
      </c>
      <c r="CC156" s="78">
        <v>1143</v>
      </c>
      <c r="CD156" s="78">
        <v>905</v>
      </c>
      <c r="CE156" s="78">
        <v>470</v>
      </c>
      <c r="CF156" s="78">
        <v>622.21136048482401</v>
      </c>
      <c r="CG156" s="78">
        <v>379.76192285963702</v>
      </c>
      <c r="CH156" s="78">
        <v>148.415309948128</v>
      </c>
      <c r="CI156" s="78">
        <v>1381.5126</v>
      </c>
      <c r="CJ156" s="78">
        <v>843.19560000000001</v>
      </c>
      <c r="CK156" s="78">
        <v>329.53050000000002</v>
      </c>
      <c r="CL156" s="78">
        <v>0</v>
      </c>
    </row>
    <row r="157" spans="1:90" customFormat="1" x14ac:dyDescent="0.35">
      <c r="A157" s="72">
        <v>376</v>
      </c>
      <c r="B157" s="72" t="s">
        <v>51</v>
      </c>
      <c r="C157" s="72">
        <v>7</v>
      </c>
      <c r="D157" s="78">
        <v>2628800000</v>
      </c>
      <c r="E157" s="78">
        <v>80850000</v>
      </c>
      <c r="F157" s="78">
        <v>84350000</v>
      </c>
      <c r="G157" s="78">
        <v>11540</v>
      </c>
      <c r="H157" s="78">
        <v>2</v>
      </c>
      <c r="I157" s="78">
        <f t="shared" si="8"/>
        <v>84.35</v>
      </c>
      <c r="J157" s="78">
        <v>2568</v>
      </c>
      <c r="K157" s="78">
        <v>2864</v>
      </c>
      <c r="L157" s="78">
        <v>885</v>
      </c>
      <c r="M157" s="78">
        <v>1062</v>
      </c>
      <c r="N157" s="78">
        <f t="shared" si="9"/>
        <v>553.4</v>
      </c>
      <c r="O157" s="78">
        <v>104.333333333333</v>
      </c>
      <c r="P157" s="78">
        <v>6</v>
      </c>
      <c r="Q157" s="78">
        <v>395.33333333333297</v>
      </c>
      <c r="R157" s="78">
        <v>1499</v>
      </c>
      <c r="S157" s="78">
        <v>600</v>
      </c>
      <c r="T157" s="78">
        <v>0</v>
      </c>
      <c r="U157" s="78">
        <v>324</v>
      </c>
      <c r="V157" s="78">
        <v>5004</v>
      </c>
      <c r="W157" s="78">
        <v>7520</v>
      </c>
      <c r="X157" s="78">
        <v>580</v>
      </c>
      <c r="Y157" s="78">
        <v>0</v>
      </c>
      <c r="Z157" s="78">
        <v>0</v>
      </c>
      <c r="AA157" s="78">
        <v>0</v>
      </c>
      <c r="AB157" s="399">
        <v>557.19999999999982</v>
      </c>
      <c r="AC157" s="399">
        <v>0</v>
      </c>
      <c r="AD157" s="78">
        <v>1108</v>
      </c>
      <c r="AE157" s="78">
        <v>1108</v>
      </c>
      <c r="AF157" s="78">
        <v>448</v>
      </c>
      <c r="AG157" s="78">
        <v>0</v>
      </c>
      <c r="AH157" s="78">
        <v>59</v>
      </c>
      <c r="AI157" s="78">
        <v>2</v>
      </c>
      <c r="AJ157" s="78">
        <v>59</v>
      </c>
      <c r="AK157" s="78">
        <v>2</v>
      </c>
      <c r="AL157" s="78">
        <v>61</v>
      </c>
      <c r="AM157" s="78">
        <v>5086</v>
      </c>
      <c r="AN157" s="78">
        <v>5086</v>
      </c>
      <c r="AO157" s="78">
        <v>0</v>
      </c>
      <c r="AP157" s="78">
        <v>0</v>
      </c>
      <c r="AQ157" s="78">
        <v>0</v>
      </c>
      <c r="AR157" s="78">
        <v>0</v>
      </c>
      <c r="AS157" s="78">
        <v>779</v>
      </c>
      <c r="AT157" s="78">
        <v>0</v>
      </c>
      <c r="AU157" s="400">
        <v>1.12701E-4</v>
      </c>
      <c r="AV157" s="400">
        <v>5.1777000000000002E-5</v>
      </c>
      <c r="AW157" s="78">
        <v>5477.6220000000003</v>
      </c>
      <c r="AX157" s="78">
        <v>0</v>
      </c>
      <c r="AY157" s="78">
        <v>373</v>
      </c>
      <c r="AZ157" s="78">
        <v>2766.3367609254501</v>
      </c>
      <c r="BA157" s="78">
        <v>3</v>
      </c>
      <c r="BB157" s="78">
        <v>3</v>
      </c>
      <c r="BC157" s="78">
        <v>1885</v>
      </c>
      <c r="BD157" s="78">
        <v>1</v>
      </c>
      <c r="BE157" s="78">
        <v>0</v>
      </c>
      <c r="BF157" s="78">
        <v>0</v>
      </c>
      <c r="BG157" s="78">
        <v>0</v>
      </c>
      <c r="BH157" s="78">
        <v>0</v>
      </c>
      <c r="BI157" s="78">
        <v>0</v>
      </c>
      <c r="BJ157" s="78">
        <v>0</v>
      </c>
      <c r="BK157" s="78">
        <v>0</v>
      </c>
      <c r="BL157" s="78">
        <v>0</v>
      </c>
      <c r="BM157" s="78">
        <v>274.77600000000001</v>
      </c>
      <c r="BN157" s="78">
        <v>26</v>
      </c>
      <c r="BO157" s="78">
        <v>23</v>
      </c>
      <c r="BP157" s="78">
        <v>4795.68</v>
      </c>
      <c r="BQ157" s="78">
        <v>1366.73</v>
      </c>
      <c r="BR157" s="78">
        <v>83.398203208556197</v>
      </c>
      <c r="BS157" s="78">
        <v>137</v>
      </c>
      <c r="BT157" s="78">
        <v>34.6666666666667</v>
      </c>
      <c r="BU157" s="78">
        <v>20.6666666666667</v>
      </c>
      <c r="BV157" s="78">
        <f t="shared" si="10"/>
        <v>291</v>
      </c>
      <c r="BW157" s="78">
        <v>48</v>
      </c>
      <c r="BX157" s="78">
        <v>1393.57707552223</v>
      </c>
      <c r="BY157" s="402">
        <v>5.2999999999999999E-2</v>
      </c>
      <c r="BZ157" s="78">
        <v>8676</v>
      </c>
      <c r="CA157" s="78">
        <v>1741</v>
      </c>
      <c r="CB157" s="78">
        <v>238</v>
      </c>
      <c r="CC157" s="78">
        <v>409</v>
      </c>
      <c r="CD157" s="78">
        <v>294</v>
      </c>
      <c r="CE157" s="78">
        <v>129</v>
      </c>
      <c r="CF157" s="78">
        <v>125.129767990562</v>
      </c>
      <c r="CG157" s="78">
        <v>65.829138812426294</v>
      </c>
      <c r="CH157" s="78">
        <v>17.626976012583601</v>
      </c>
      <c r="CI157" s="78">
        <v>115.80500000000001</v>
      </c>
      <c r="CJ157" s="78">
        <v>60.923499999999997</v>
      </c>
      <c r="CK157" s="78">
        <v>16.313400000000001</v>
      </c>
      <c r="CL157" s="78">
        <v>7924</v>
      </c>
    </row>
    <row r="158" spans="1:90" customFormat="1" x14ac:dyDescent="0.35">
      <c r="A158" s="72">
        <v>377</v>
      </c>
      <c r="B158" s="72" t="s">
        <v>52</v>
      </c>
      <c r="C158" s="72">
        <v>7</v>
      </c>
      <c r="D158" s="78">
        <v>5956800000</v>
      </c>
      <c r="E158" s="78">
        <v>213850000</v>
      </c>
      <c r="F158" s="78">
        <v>237650000</v>
      </c>
      <c r="G158" s="78">
        <v>23571</v>
      </c>
      <c r="H158" s="78">
        <v>3</v>
      </c>
      <c r="I158" s="78">
        <f t="shared" si="8"/>
        <v>237.65</v>
      </c>
      <c r="J158" s="78">
        <v>5207</v>
      </c>
      <c r="K158" s="78">
        <v>6314</v>
      </c>
      <c r="L158" s="78">
        <v>2080</v>
      </c>
      <c r="M158" s="78">
        <v>1966</v>
      </c>
      <c r="N158" s="78">
        <f t="shared" si="9"/>
        <v>923.5</v>
      </c>
      <c r="O158" s="78">
        <v>174</v>
      </c>
      <c r="P158" s="78">
        <v>6</v>
      </c>
      <c r="Q158" s="78">
        <v>862</v>
      </c>
      <c r="R158" s="78">
        <v>3074</v>
      </c>
      <c r="S158" s="78">
        <v>510</v>
      </c>
      <c r="T158" s="78">
        <v>0</v>
      </c>
      <c r="U158" s="78">
        <v>610</v>
      </c>
      <c r="V158" s="78">
        <v>10461</v>
      </c>
      <c r="W158" s="78">
        <v>12950</v>
      </c>
      <c r="X158" s="78">
        <v>1010</v>
      </c>
      <c r="Y158" s="78">
        <v>0</v>
      </c>
      <c r="Z158" s="78">
        <v>1244</v>
      </c>
      <c r="AA158" s="78">
        <v>0</v>
      </c>
      <c r="AB158" s="399">
        <v>0</v>
      </c>
      <c r="AC158" s="399">
        <v>189.89999999999986</v>
      </c>
      <c r="AD158" s="78">
        <v>3976</v>
      </c>
      <c r="AE158" s="78">
        <v>3976</v>
      </c>
      <c r="AF158" s="78">
        <v>78</v>
      </c>
      <c r="AG158" s="78">
        <v>469</v>
      </c>
      <c r="AH158" s="78">
        <v>107</v>
      </c>
      <c r="AI158" s="78">
        <v>11</v>
      </c>
      <c r="AJ158" s="78">
        <v>107</v>
      </c>
      <c r="AK158" s="78">
        <v>11</v>
      </c>
      <c r="AL158" s="78">
        <v>119</v>
      </c>
      <c r="AM158" s="78">
        <v>10425</v>
      </c>
      <c r="AN158" s="78">
        <v>10425</v>
      </c>
      <c r="AO158" s="78">
        <v>0</v>
      </c>
      <c r="AP158" s="78">
        <v>0</v>
      </c>
      <c r="AQ158" s="78">
        <v>0</v>
      </c>
      <c r="AR158" s="78">
        <v>0</v>
      </c>
      <c r="AS158" s="78">
        <v>2464</v>
      </c>
      <c r="AT158" s="78">
        <v>0</v>
      </c>
      <c r="AU158" s="400">
        <v>4.6462400000000002E-4</v>
      </c>
      <c r="AV158" s="400">
        <v>1.53929E-4</v>
      </c>
      <c r="AW158" s="78">
        <v>11321.55</v>
      </c>
      <c r="AX158" s="78">
        <v>0</v>
      </c>
      <c r="AY158" s="78">
        <v>1146</v>
      </c>
      <c r="AZ158" s="78">
        <v>6663.1391218549597</v>
      </c>
      <c r="BA158" s="78">
        <v>5</v>
      </c>
      <c r="BB158" s="78">
        <v>5</v>
      </c>
      <c r="BC158" s="78">
        <v>3746</v>
      </c>
      <c r="BD158" s="78">
        <v>1</v>
      </c>
      <c r="BE158" s="78">
        <v>0</v>
      </c>
      <c r="BF158" s="78">
        <v>0</v>
      </c>
      <c r="BG158" s="78">
        <v>0</v>
      </c>
      <c r="BH158" s="78">
        <v>0</v>
      </c>
      <c r="BI158" s="78">
        <v>0</v>
      </c>
      <c r="BJ158" s="78">
        <v>0</v>
      </c>
      <c r="BK158" s="78">
        <v>0</v>
      </c>
      <c r="BL158" s="78">
        <v>0</v>
      </c>
      <c r="BM158" s="78">
        <v>354.07600000000002</v>
      </c>
      <c r="BN158" s="78">
        <v>17</v>
      </c>
      <c r="BO158" s="78">
        <v>18</v>
      </c>
      <c r="BP158" s="78">
        <v>9472.0499999999993</v>
      </c>
      <c r="BQ158" s="78">
        <v>2624.82</v>
      </c>
      <c r="BR158" s="78">
        <v>93.839040120912301</v>
      </c>
      <c r="BS158" s="78">
        <v>226</v>
      </c>
      <c r="BT158" s="78">
        <v>42.6666666666667</v>
      </c>
      <c r="BU158" s="78">
        <v>29.3333333333333</v>
      </c>
      <c r="BV158" s="78">
        <f t="shared" si="10"/>
        <v>688</v>
      </c>
      <c r="BW158" s="78">
        <v>186</v>
      </c>
      <c r="BX158" s="78">
        <v>3019.4239555745398</v>
      </c>
      <c r="BY158" s="402">
        <v>0.105</v>
      </c>
      <c r="BZ158" s="78">
        <v>17257</v>
      </c>
      <c r="CA158" s="78">
        <v>3177</v>
      </c>
      <c r="CB158" s="78">
        <v>1057</v>
      </c>
      <c r="CC158" s="78">
        <v>646</v>
      </c>
      <c r="CD158" s="78">
        <v>621</v>
      </c>
      <c r="CE158" s="78">
        <v>503</v>
      </c>
      <c r="CF158" s="78">
        <v>171.05788968824899</v>
      </c>
      <c r="CG158" s="78">
        <v>118.615491606715</v>
      </c>
      <c r="CH158" s="78">
        <v>58.4661870503597</v>
      </c>
      <c r="CI158" s="78">
        <v>110.4532</v>
      </c>
      <c r="CJ158" s="78">
        <v>76.590800000000002</v>
      </c>
      <c r="CK158" s="78">
        <v>37.752000000000002</v>
      </c>
      <c r="CL158" s="78">
        <v>61688</v>
      </c>
    </row>
    <row r="159" spans="1:90" customFormat="1" x14ac:dyDescent="0.35">
      <c r="A159" s="72">
        <v>383</v>
      </c>
      <c r="B159" s="72" t="s">
        <v>69</v>
      </c>
      <c r="C159" s="72">
        <v>7</v>
      </c>
      <c r="D159" s="78">
        <v>4366400000</v>
      </c>
      <c r="E159" s="78">
        <v>332150000</v>
      </c>
      <c r="F159" s="78">
        <v>339850000</v>
      </c>
      <c r="G159" s="78">
        <v>35986</v>
      </c>
      <c r="H159" s="78">
        <v>3</v>
      </c>
      <c r="I159" s="78">
        <f t="shared" si="8"/>
        <v>339.85</v>
      </c>
      <c r="J159" s="78">
        <v>6574</v>
      </c>
      <c r="K159" s="78">
        <v>8985</v>
      </c>
      <c r="L159" s="78">
        <v>3014</v>
      </c>
      <c r="M159" s="78">
        <v>3695</v>
      </c>
      <c r="N159" s="78">
        <f t="shared" si="9"/>
        <v>2067</v>
      </c>
      <c r="O159" s="78">
        <v>324.66666666666703</v>
      </c>
      <c r="P159" s="78">
        <v>15</v>
      </c>
      <c r="Q159" s="78">
        <v>1721.6666666666699</v>
      </c>
      <c r="R159" s="78">
        <v>5199</v>
      </c>
      <c r="S159" s="78">
        <v>680</v>
      </c>
      <c r="T159" s="78">
        <v>0</v>
      </c>
      <c r="U159" s="78">
        <v>928</v>
      </c>
      <c r="V159" s="78">
        <v>16292</v>
      </c>
      <c r="W159" s="78">
        <v>30980</v>
      </c>
      <c r="X159" s="78">
        <v>8480</v>
      </c>
      <c r="Y159" s="78">
        <v>124.56</v>
      </c>
      <c r="Z159" s="78">
        <v>2840.8</v>
      </c>
      <c r="AA159" s="78">
        <v>0</v>
      </c>
      <c r="AB159" s="399">
        <v>0</v>
      </c>
      <c r="AC159" s="399">
        <v>0</v>
      </c>
      <c r="AD159" s="78">
        <v>4956</v>
      </c>
      <c r="AE159" s="78">
        <v>5055.12</v>
      </c>
      <c r="AF159" s="78">
        <v>566</v>
      </c>
      <c r="AG159" s="78">
        <v>519</v>
      </c>
      <c r="AH159" s="78">
        <v>169</v>
      </c>
      <c r="AI159" s="78">
        <v>20</v>
      </c>
      <c r="AJ159" s="78">
        <v>170.69</v>
      </c>
      <c r="AK159" s="78">
        <v>20.399999999999999</v>
      </c>
      <c r="AL159" s="78">
        <v>189</v>
      </c>
      <c r="AM159" s="78">
        <v>16280</v>
      </c>
      <c r="AN159" s="78">
        <v>16442.8</v>
      </c>
      <c r="AO159" s="78">
        <v>0</v>
      </c>
      <c r="AP159" s="78">
        <v>0</v>
      </c>
      <c r="AQ159" s="78">
        <v>0</v>
      </c>
      <c r="AR159" s="78">
        <v>0</v>
      </c>
      <c r="AS159" s="78">
        <v>0</v>
      </c>
      <c r="AT159" s="78">
        <v>0</v>
      </c>
      <c r="AU159" s="400">
        <v>2.6911300000000002E-4</v>
      </c>
      <c r="AV159" s="400">
        <v>2.25453E-4</v>
      </c>
      <c r="AW159" s="78">
        <v>21896.6</v>
      </c>
      <c r="AX159" s="78">
        <v>0</v>
      </c>
      <c r="AY159" s="78">
        <v>1990.02</v>
      </c>
      <c r="AZ159" s="78">
        <v>17236.134002173101</v>
      </c>
      <c r="BA159" s="78">
        <v>7</v>
      </c>
      <c r="BB159" s="78">
        <v>7.14</v>
      </c>
      <c r="BC159" s="78">
        <v>4266</v>
      </c>
      <c r="BD159" s="78">
        <v>1</v>
      </c>
      <c r="BE159" s="78">
        <v>0</v>
      </c>
      <c r="BF159" s="78">
        <v>0</v>
      </c>
      <c r="BG159" s="78">
        <v>0</v>
      </c>
      <c r="BH159" s="78">
        <v>0</v>
      </c>
      <c r="BI159" s="78">
        <v>0</v>
      </c>
      <c r="BJ159" s="78">
        <v>0</v>
      </c>
      <c r="BK159" s="78">
        <v>0</v>
      </c>
      <c r="BL159" s="78">
        <v>0</v>
      </c>
      <c r="BM159" s="78">
        <v>401.01400000000001</v>
      </c>
      <c r="BN159" s="78">
        <v>20</v>
      </c>
      <c r="BO159" s="78">
        <v>34</v>
      </c>
      <c r="BP159" s="78">
        <v>13095.74</v>
      </c>
      <c r="BQ159" s="78">
        <v>3006.12</v>
      </c>
      <c r="BR159" s="78">
        <v>148.138061459667</v>
      </c>
      <c r="BS159" s="78">
        <v>394</v>
      </c>
      <c r="BT159" s="78">
        <v>92.6666666666667</v>
      </c>
      <c r="BU159" s="78">
        <v>63.6666666666667</v>
      </c>
      <c r="BV159" s="78">
        <f t="shared" si="10"/>
        <v>1397.000000000003</v>
      </c>
      <c r="BW159" s="78">
        <v>388</v>
      </c>
      <c r="BX159" s="78">
        <v>5148.9797316336799</v>
      </c>
      <c r="BY159" s="402">
        <v>0.216</v>
      </c>
      <c r="BZ159" s="78">
        <v>27001</v>
      </c>
      <c r="CA159" s="78">
        <v>4825</v>
      </c>
      <c r="CB159" s="78">
        <v>1146</v>
      </c>
      <c r="CC159" s="78">
        <v>995</v>
      </c>
      <c r="CD159" s="78">
        <v>976</v>
      </c>
      <c r="CE159" s="78">
        <v>538</v>
      </c>
      <c r="CF159" s="78">
        <v>374.16762899262898</v>
      </c>
      <c r="CG159" s="78">
        <v>258.62893120393102</v>
      </c>
      <c r="CH159" s="78">
        <v>98.779238329238297</v>
      </c>
      <c r="CI159" s="78">
        <v>914.45410000000004</v>
      </c>
      <c r="CJ159" s="78">
        <v>632.08109999999999</v>
      </c>
      <c r="CK159" s="78">
        <v>241.4134</v>
      </c>
      <c r="CL159" s="78">
        <v>19266</v>
      </c>
    </row>
    <row r="160" spans="1:90" customFormat="1" x14ac:dyDescent="0.35">
      <c r="A160" s="72">
        <v>400</v>
      </c>
      <c r="B160" s="72" t="s">
        <v>82</v>
      </c>
      <c r="C160" s="72">
        <v>7</v>
      </c>
      <c r="D160" s="78">
        <v>3813200000</v>
      </c>
      <c r="E160" s="78">
        <v>807800000</v>
      </c>
      <c r="F160" s="78">
        <v>847700000</v>
      </c>
      <c r="G160" s="78">
        <v>56296</v>
      </c>
      <c r="H160" s="78">
        <v>2</v>
      </c>
      <c r="I160" s="78">
        <f t="shared" si="8"/>
        <v>847.7</v>
      </c>
      <c r="J160" s="78">
        <v>9838</v>
      </c>
      <c r="K160" s="78">
        <v>12859</v>
      </c>
      <c r="L160" s="78">
        <v>4014</v>
      </c>
      <c r="M160" s="78">
        <v>9588</v>
      </c>
      <c r="N160" s="78">
        <f t="shared" si="9"/>
        <v>6568.4</v>
      </c>
      <c r="O160" s="78">
        <v>1615</v>
      </c>
      <c r="P160" s="78">
        <v>41</v>
      </c>
      <c r="Q160" s="78">
        <v>5961</v>
      </c>
      <c r="R160" s="78">
        <v>11030</v>
      </c>
      <c r="S160" s="78">
        <v>3135</v>
      </c>
      <c r="T160" s="78">
        <v>0</v>
      </c>
      <c r="U160" s="78">
        <v>2380</v>
      </c>
      <c r="V160" s="78">
        <v>28791</v>
      </c>
      <c r="W160" s="78">
        <v>59940</v>
      </c>
      <c r="X160" s="78">
        <v>56520</v>
      </c>
      <c r="Y160" s="78">
        <v>1636.06</v>
      </c>
      <c r="Z160" s="78">
        <v>1835.2</v>
      </c>
      <c r="AA160" s="78">
        <v>0</v>
      </c>
      <c r="AB160" s="399">
        <v>0</v>
      </c>
      <c r="AC160" s="399">
        <v>0</v>
      </c>
      <c r="AD160" s="78">
        <v>4510</v>
      </c>
      <c r="AE160" s="78">
        <v>5006.1000000000004</v>
      </c>
      <c r="AF160" s="78">
        <v>343</v>
      </c>
      <c r="AG160" s="78">
        <v>10000</v>
      </c>
      <c r="AH160" s="78">
        <v>275</v>
      </c>
      <c r="AI160" s="78">
        <v>58</v>
      </c>
      <c r="AJ160" s="78">
        <v>299.75</v>
      </c>
      <c r="AK160" s="78">
        <v>65.540000000000006</v>
      </c>
      <c r="AL160" s="78">
        <v>333</v>
      </c>
      <c r="AM160" s="78">
        <v>30196</v>
      </c>
      <c r="AN160" s="78">
        <v>32913.64</v>
      </c>
      <c r="AO160" s="78">
        <v>0</v>
      </c>
      <c r="AP160" s="78">
        <v>0</v>
      </c>
      <c r="AQ160" s="78">
        <v>0</v>
      </c>
      <c r="AR160" s="78">
        <v>0</v>
      </c>
      <c r="AS160" s="78">
        <v>7694</v>
      </c>
      <c r="AT160" s="78">
        <v>0</v>
      </c>
      <c r="AU160" s="400">
        <v>1.566914E-3</v>
      </c>
      <c r="AV160" s="400">
        <v>2.4964900000000001E-3</v>
      </c>
      <c r="AW160" s="78">
        <v>51031.24</v>
      </c>
      <c r="AX160" s="78">
        <v>0</v>
      </c>
      <c r="AY160" s="78">
        <v>3029.19</v>
      </c>
      <c r="AZ160" s="78">
        <v>49741.0482752936</v>
      </c>
      <c r="BA160" s="78">
        <v>5</v>
      </c>
      <c r="BB160" s="78">
        <v>5.65</v>
      </c>
      <c r="BC160" s="78">
        <v>3937</v>
      </c>
      <c r="BD160" s="78">
        <v>1</v>
      </c>
      <c r="BE160" s="78">
        <v>0</v>
      </c>
      <c r="BF160" s="78">
        <v>0</v>
      </c>
      <c r="BG160" s="78">
        <v>0</v>
      </c>
      <c r="BH160" s="78">
        <v>0</v>
      </c>
      <c r="BI160" s="78">
        <v>0</v>
      </c>
      <c r="BJ160" s="78">
        <v>0</v>
      </c>
      <c r="BK160" s="78">
        <v>0</v>
      </c>
      <c r="BL160" s="78">
        <v>0</v>
      </c>
      <c r="BM160" s="78">
        <v>1800.354</v>
      </c>
      <c r="BN160" s="78">
        <v>386</v>
      </c>
      <c r="BO160" s="78">
        <v>201</v>
      </c>
      <c r="BP160" s="78">
        <v>15700.02</v>
      </c>
      <c r="BQ160" s="78">
        <v>2999.8</v>
      </c>
      <c r="BR160" s="78">
        <v>340.97610858491697</v>
      </c>
      <c r="BS160" s="78">
        <v>884</v>
      </c>
      <c r="BT160" s="78">
        <v>446</v>
      </c>
      <c r="BU160" s="78">
        <v>466.33333333333297</v>
      </c>
      <c r="BV160" s="78">
        <f t="shared" si="10"/>
        <v>4346</v>
      </c>
      <c r="BW160" s="78">
        <v>1594</v>
      </c>
      <c r="BX160" s="78">
        <v>11176.9084583843</v>
      </c>
      <c r="BY160" s="402">
        <v>4.431</v>
      </c>
      <c r="BZ160" s="78">
        <v>43437</v>
      </c>
      <c r="CA160" s="78">
        <v>7489</v>
      </c>
      <c r="CB160" s="78">
        <v>1356</v>
      </c>
      <c r="CC160" s="78">
        <v>1975</v>
      </c>
      <c r="CD160" s="78">
        <v>1427</v>
      </c>
      <c r="CE160" s="78">
        <v>715</v>
      </c>
      <c r="CF160" s="78">
        <v>1026.50283481256</v>
      </c>
      <c r="CG160" s="78">
        <v>592.75698768048699</v>
      </c>
      <c r="CH160" s="78">
        <v>199.47088356073701</v>
      </c>
      <c r="CI160" s="78">
        <v>2589.3153000000002</v>
      </c>
      <c r="CJ160" s="78">
        <v>1495.2075</v>
      </c>
      <c r="CK160" s="78">
        <v>503.15789999999998</v>
      </c>
      <c r="CL160" s="78">
        <v>243201</v>
      </c>
    </row>
    <row r="161" spans="1:90" customFormat="1" x14ac:dyDescent="0.35">
      <c r="A161" s="72">
        <v>384</v>
      </c>
      <c r="B161" s="72" t="s">
        <v>85</v>
      </c>
      <c r="C161" s="72">
        <v>7</v>
      </c>
      <c r="D161" s="78">
        <v>3812000000</v>
      </c>
      <c r="E161" s="78">
        <v>464100000</v>
      </c>
      <c r="F161" s="78">
        <v>465150000</v>
      </c>
      <c r="G161" s="78">
        <v>30780</v>
      </c>
      <c r="H161" s="78">
        <v>1</v>
      </c>
      <c r="I161" s="78">
        <f t="shared" si="8"/>
        <v>465.15</v>
      </c>
      <c r="J161" s="78">
        <v>5425</v>
      </c>
      <c r="K161" s="78">
        <v>4691</v>
      </c>
      <c r="L161" s="78">
        <v>1432</v>
      </c>
      <c r="M161" s="78">
        <v>4046</v>
      </c>
      <c r="N161" s="78">
        <f t="shared" si="9"/>
        <v>2477.6999999999998</v>
      </c>
      <c r="O161" s="78">
        <v>444</v>
      </c>
      <c r="P161" s="78">
        <v>12</v>
      </c>
      <c r="Q161" s="78">
        <v>1577</v>
      </c>
      <c r="R161" s="78">
        <v>7456</v>
      </c>
      <c r="S161" s="78">
        <v>5395</v>
      </c>
      <c r="T161" s="78">
        <v>0</v>
      </c>
      <c r="U161" s="78">
        <v>1244</v>
      </c>
      <c r="V161" s="78">
        <v>15910</v>
      </c>
      <c r="W161" s="78">
        <v>23520</v>
      </c>
      <c r="X161" s="78">
        <v>4240</v>
      </c>
      <c r="Y161" s="78">
        <v>0</v>
      </c>
      <c r="Z161" s="78">
        <v>0</v>
      </c>
      <c r="AA161" s="78">
        <v>0</v>
      </c>
      <c r="AB161" s="399">
        <v>148.29999999999927</v>
      </c>
      <c r="AC161" s="399">
        <v>0</v>
      </c>
      <c r="AD161" s="78">
        <v>1186</v>
      </c>
      <c r="AE161" s="78">
        <v>1909.46</v>
      </c>
      <c r="AF161" s="78">
        <v>107</v>
      </c>
      <c r="AG161" s="78">
        <v>110</v>
      </c>
      <c r="AH161" s="78">
        <v>93</v>
      </c>
      <c r="AI161" s="78">
        <v>4</v>
      </c>
      <c r="AJ161" s="78">
        <v>144.15</v>
      </c>
      <c r="AK161" s="78">
        <v>6.68</v>
      </c>
      <c r="AL161" s="78">
        <v>97</v>
      </c>
      <c r="AM161" s="78">
        <v>15683</v>
      </c>
      <c r="AN161" s="78">
        <v>24308.65</v>
      </c>
      <c r="AO161" s="78">
        <v>0</v>
      </c>
      <c r="AP161" s="78">
        <v>0</v>
      </c>
      <c r="AQ161" s="78">
        <v>0</v>
      </c>
      <c r="AR161" s="78">
        <v>0</v>
      </c>
      <c r="AS161" s="78">
        <v>763</v>
      </c>
      <c r="AT161" s="78">
        <v>0</v>
      </c>
      <c r="AU161" s="400">
        <v>1.0310399999999999E-4</v>
      </c>
      <c r="AV161" s="400">
        <v>5.8070099999999998E-4</v>
      </c>
      <c r="AW161" s="78">
        <v>42595.027999999998</v>
      </c>
      <c r="AX161" s="78">
        <v>0</v>
      </c>
      <c r="AY161" s="78">
        <v>1537.55</v>
      </c>
      <c r="AZ161" s="78">
        <v>107658.346635731</v>
      </c>
      <c r="BA161" s="78">
        <v>1</v>
      </c>
      <c r="BB161" s="78">
        <v>1.67</v>
      </c>
      <c r="BC161" s="78">
        <v>3653</v>
      </c>
      <c r="BD161" s="78">
        <v>1</v>
      </c>
      <c r="BE161" s="78">
        <v>0</v>
      </c>
      <c r="BF161" s="78">
        <v>0</v>
      </c>
      <c r="BG161" s="78">
        <v>0</v>
      </c>
      <c r="BH161" s="78">
        <v>0</v>
      </c>
      <c r="BI161" s="78">
        <v>0</v>
      </c>
      <c r="BJ161" s="78">
        <v>0</v>
      </c>
      <c r="BK161" s="78">
        <v>0</v>
      </c>
      <c r="BL161" s="78">
        <v>0</v>
      </c>
      <c r="BM161" s="78">
        <v>862.57500000000005</v>
      </c>
      <c r="BN161" s="78">
        <v>53</v>
      </c>
      <c r="BO161" s="78">
        <v>70</v>
      </c>
      <c r="BP161" s="78">
        <v>9384</v>
      </c>
      <c r="BQ161" s="78">
        <v>2182.12</v>
      </c>
      <c r="BR161" s="78">
        <v>91.351684164479394</v>
      </c>
      <c r="BS161" s="78">
        <v>484</v>
      </c>
      <c r="BT161" s="78">
        <v>141.666666666667</v>
      </c>
      <c r="BU161" s="78">
        <v>127.333333333333</v>
      </c>
      <c r="BV161" s="78">
        <f t="shared" si="10"/>
        <v>1133</v>
      </c>
      <c r="BW161" s="78">
        <v>248</v>
      </c>
      <c r="BX161" s="78">
        <v>3406.8007398273699</v>
      </c>
      <c r="BY161" s="402">
        <v>0.45700000000000002</v>
      </c>
      <c r="BZ161" s="78">
        <v>26089</v>
      </c>
      <c r="CA161" s="78">
        <v>2691</v>
      </c>
      <c r="CB161" s="78">
        <v>568</v>
      </c>
      <c r="CC161" s="78">
        <v>747</v>
      </c>
      <c r="CD161" s="78">
        <v>529</v>
      </c>
      <c r="CE161" s="78">
        <v>295</v>
      </c>
      <c r="CF161" s="78">
        <v>273.79035261110801</v>
      </c>
      <c r="CG161" s="78">
        <v>157.51239558757899</v>
      </c>
      <c r="CH161" s="78">
        <v>65.248364471083306</v>
      </c>
      <c r="CI161" s="78">
        <v>725.60709999999995</v>
      </c>
      <c r="CJ161" s="78">
        <v>417.44389999999999</v>
      </c>
      <c r="CK161" s="78">
        <v>172.92310000000001</v>
      </c>
      <c r="CL161" s="78">
        <v>0</v>
      </c>
    </row>
    <row r="162" spans="1:90" customFormat="1" x14ac:dyDescent="0.35">
      <c r="A162" s="72">
        <v>498</v>
      </c>
      <c r="B162" s="72" t="s">
        <v>91</v>
      </c>
      <c r="C162" s="72">
        <v>7</v>
      </c>
      <c r="D162" s="78">
        <v>1826000000</v>
      </c>
      <c r="E162" s="78">
        <v>176400000</v>
      </c>
      <c r="F162" s="78">
        <v>200900000</v>
      </c>
      <c r="G162" s="78">
        <v>19719</v>
      </c>
      <c r="H162" s="78">
        <v>3</v>
      </c>
      <c r="I162" s="78">
        <f t="shared" si="8"/>
        <v>200.9</v>
      </c>
      <c r="J162" s="78">
        <v>3941</v>
      </c>
      <c r="K162" s="78">
        <v>4252</v>
      </c>
      <c r="L162" s="78">
        <v>1275</v>
      </c>
      <c r="M162" s="78">
        <v>2173</v>
      </c>
      <c r="N162" s="78">
        <f t="shared" si="9"/>
        <v>1320.6</v>
      </c>
      <c r="O162" s="78">
        <v>158.666666666667</v>
      </c>
      <c r="P162" s="78">
        <v>17</v>
      </c>
      <c r="Q162" s="78">
        <v>1102.6666666666699</v>
      </c>
      <c r="R162" s="78">
        <v>2286</v>
      </c>
      <c r="S162" s="78">
        <v>385</v>
      </c>
      <c r="T162" s="78">
        <v>0</v>
      </c>
      <c r="U162" s="78">
        <v>497</v>
      </c>
      <c r="V162" s="78">
        <v>8404</v>
      </c>
      <c r="W162" s="78">
        <v>15210</v>
      </c>
      <c r="X162" s="78">
        <v>2130</v>
      </c>
      <c r="Y162" s="78">
        <v>83.04</v>
      </c>
      <c r="Z162" s="78">
        <v>0</v>
      </c>
      <c r="AA162" s="78">
        <v>0</v>
      </c>
      <c r="AB162" s="399">
        <v>0</v>
      </c>
      <c r="AC162" s="399">
        <v>0</v>
      </c>
      <c r="AD162" s="78">
        <v>5887</v>
      </c>
      <c r="AE162" s="78">
        <v>7299.88</v>
      </c>
      <c r="AF162" s="78">
        <v>67</v>
      </c>
      <c r="AG162" s="78">
        <v>2105</v>
      </c>
      <c r="AH162" s="78">
        <v>116</v>
      </c>
      <c r="AI162" s="78">
        <v>57</v>
      </c>
      <c r="AJ162" s="78">
        <v>139.19999999999999</v>
      </c>
      <c r="AK162" s="78">
        <v>71.819999999999993</v>
      </c>
      <c r="AL162" s="78">
        <v>173</v>
      </c>
      <c r="AM162" s="78">
        <v>8524</v>
      </c>
      <c r="AN162" s="78">
        <v>10228.799999999999</v>
      </c>
      <c r="AO162" s="78">
        <v>0</v>
      </c>
      <c r="AP162" s="78">
        <v>0</v>
      </c>
      <c r="AQ162" s="78">
        <v>0</v>
      </c>
      <c r="AR162" s="78">
        <v>0</v>
      </c>
      <c r="AS162" s="78">
        <v>596</v>
      </c>
      <c r="AT162" s="78">
        <v>0</v>
      </c>
      <c r="AU162" s="400">
        <v>1.7064200000000001E-4</v>
      </c>
      <c r="AV162" s="400">
        <v>5.5639E-5</v>
      </c>
      <c r="AW162" s="78">
        <v>4279.0479999999998</v>
      </c>
      <c r="AX162" s="78">
        <v>0</v>
      </c>
      <c r="AY162" s="78">
        <v>2773.88</v>
      </c>
      <c r="AZ162" s="78">
        <v>12611.814034262699</v>
      </c>
      <c r="BA162" s="78">
        <v>12</v>
      </c>
      <c r="BB162" s="78">
        <v>15.12</v>
      </c>
      <c r="BC162" s="78">
        <v>2396</v>
      </c>
      <c r="BD162" s="78">
        <v>1</v>
      </c>
      <c r="BE162" s="78">
        <v>0</v>
      </c>
      <c r="BF162" s="78">
        <v>0</v>
      </c>
      <c r="BG162" s="78">
        <v>0</v>
      </c>
      <c r="BH162" s="78">
        <v>0</v>
      </c>
      <c r="BI162" s="78">
        <v>0</v>
      </c>
      <c r="BJ162" s="78">
        <v>0</v>
      </c>
      <c r="BK162" s="78">
        <v>0</v>
      </c>
      <c r="BL162" s="78">
        <v>0</v>
      </c>
      <c r="BM162" s="78">
        <v>295.57499999999999</v>
      </c>
      <c r="BN162" s="78">
        <v>36</v>
      </c>
      <c r="BO162" s="78">
        <v>23</v>
      </c>
      <c r="BP162" s="78">
        <v>5904.72</v>
      </c>
      <c r="BQ162" s="78">
        <v>1509.46</v>
      </c>
      <c r="BR162" s="78">
        <v>96.608310793238005</v>
      </c>
      <c r="BS162" s="78">
        <v>229</v>
      </c>
      <c r="BT162" s="78">
        <v>64</v>
      </c>
      <c r="BU162" s="78">
        <v>45.3333333333333</v>
      </c>
      <c r="BV162" s="78">
        <f t="shared" si="10"/>
        <v>944.00000000000296</v>
      </c>
      <c r="BW162" s="78">
        <v>265</v>
      </c>
      <c r="BX162" s="78">
        <v>2148.6535612593798</v>
      </c>
      <c r="BY162" s="402">
        <v>0.151</v>
      </c>
      <c r="BZ162" s="78">
        <v>15467</v>
      </c>
      <c r="CA162" s="78">
        <v>2592</v>
      </c>
      <c r="CB162" s="78">
        <v>385</v>
      </c>
      <c r="CC162" s="78">
        <v>463</v>
      </c>
      <c r="CD162" s="78">
        <v>335</v>
      </c>
      <c r="CE162" s="78">
        <v>188</v>
      </c>
      <c r="CF162" s="78">
        <v>243.23580478648501</v>
      </c>
      <c r="CG162" s="78">
        <v>128.89948381041799</v>
      </c>
      <c r="CH162" s="78">
        <v>39.196597841389</v>
      </c>
      <c r="CI162" s="78">
        <v>645.74099999999999</v>
      </c>
      <c r="CJ162" s="78">
        <v>342.20159999999998</v>
      </c>
      <c r="CK162" s="78">
        <v>104.05889999999999</v>
      </c>
      <c r="CL162" s="78">
        <v>8395</v>
      </c>
    </row>
    <row r="163" spans="1:90" customFormat="1" x14ac:dyDescent="0.35">
      <c r="A163" s="72">
        <v>385</v>
      </c>
      <c r="B163" s="72" t="s">
        <v>97</v>
      </c>
      <c r="C163" s="72">
        <v>7</v>
      </c>
      <c r="D163" s="78">
        <v>3682000000</v>
      </c>
      <c r="E163" s="78">
        <v>463050000</v>
      </c>
      <c r="F163" s="78">
        <v>471800000</v>
      </c>
      <c r="G163" s="78">
        <v>36197</v>
      </c>
      <c r="H163" s="78">
        <v>2</v>
      </c>
      <c r="I163" s="78">
        <f t="shared" si="8"/>
        <v>471.8</v>
      </c>
      <c r="J163" s="78">
        <v>7189</v>
      </c>
      <c r="K163" s="78">
        <v>7665</v>
      </c>
      <c r="L163" s="78">
        <v>2452</v>
      </c>
      <c r="M163" s="78">
        <v>3717</v>
      </c>
      <c r="N163" s="78">
        <f t="shared" si="9"/>
        <v>2178.1999999999998</v>
      </c>
      <c r="O163" s="78">
        <v>285.66666666666703</v>
      </c>
      <c r="P163" s="78">
        <v>20</v>
      </c>
      <c r="Q163" s="78">
        <v>1828.6666666666699</v>
      </c>
      <c r="R163" s="78">
        <v>4189</v>
      </c>
      <c r="S163" s="78">
        <v>960</v>
      </c>
      <c r="T163" s="78">
        <v>0</v>
      </c>
      <c r="U163" s="78">
        <v>864</v>
      </c>
      <c r="V163" s="78">
        <v>15160</v>
      </c>
      <c r="W163" s="78">
        <v>31150</v>
      </c>
      <c r="X163" s="78">
        <v>11470</v>
      </c>
      <c r="Y163" s="78">
        <v>184.14</v>
      </c>
      <c r="Z163" s="78">
        <v>1444</v>
      </c>
      <c r="AA163" s="78">
        <v>0</v>
      </c>
      <c r="AB163" s="399">
        <v>0</v>
      </c>
      <c r="AC163" s="399">
        <v>0</v>
      </c>
      <c r="AD163" s="78">
        <v>5434</v>
      </c>
      <c r="AE163" s="78">
        <v>7498.92</v>
      </c>
      <c r="AF163" s="78">
        <v>303</v>
      </c>
      <c r="AG163" s="78">
        <v>2262</v>
      </c>
      <c r="AH163" s="78">
        <v>174</v>
      </c>
      <c r="AI163" s="78">
        <v>28</v>
      </c>
      <c r="AJ163" s="78">
        <v>247.08</v>
      </c>
      <c r="AK163" s="78">
        <v>38.36</v>
      </c>
      <c r="AL163" s="78">
        <v>202</v>
      </c>
      <c r="AM163" s="78">
        <v>15388</v>
      </c>
      <c r="AN163" s="78">
        <v>21850.959999999999</v>
      </c>
      <c r="AO163" s="78">
        <v>31</v>
      </c>
      <c r="AP163" s="78">
        <v>0</v>
      </c>
      <c r="AQ163" s="78">
        <v>0</v>
      </c>
      <c r="AR163" s="78">
        <v>8100</v>
      </c>
      <c r="AS163" s="78">
        <v>1933</v>
      </c>
      <c r="AT163" s="78">
        <v>950</v>
      </c>
      <c r="AU163" s="400">
        <v>3.7418899999999998E-4</v>
      </c>
      <c r="AV163" s="400">
        <v>1.5284900000000001E-4</v>
      </c>
      <c r="AW163" s="78">
        <v>20035.175999999999</v>
      </c>
      <c r="AX163" s="78">
        <v>0</v>
      </c>
      <c r="AY163" s="78">
        <v>7581.72</v>
      </c>
      <c r="AZ163" s="78">
        <v>138754.19922607599</v>
      </c>
      <c r="BA163" s="78">
        <v>12</v>
      </c>
      <c r="BB163" s="78">
        <v>16.440000000000001</v>
      </c>
      <c r="BC163" s="78">
        <v>5026</v>
      </c>
      <c r="BD163" s="78">
        <v>1</v>
      </c>
      <c r="BE163" s="78">
        <v>0</v>
      </c>
      <c r="BF163" s="78">
        <v>0</v>
      </c>
      <c r="BG163" s="78">
        <v>0</v>
      </c>
      <c r="BH163" s="78">
        <v>0</v>
      </c>
      <c r="BI163" s="78">
        <v>0</v>
      </c>
      <c r="BJ163" s="78">
        <v>0</v>
      </c>
      <c r="BK163" s="78">
        <v>0</v>
      </c>
      <c r="BL163" s="78">
        <v>0</v>
      </c>
      <c r="BM163" s="78">
        <v>402.584</v>
      </c>
      <c r="BN163" s="78">
        <v>228</v>
      </c>
      <c r="BO163" s="78">
        <v>92</v>
      </c>
      <c r="BP163" s="78">
        <v>11586.12</v>
      </c>
      <c r="BQ163" s="78">
        <v>3222.4</v>
      </c>
      <c r="BR163" s="78">
        <v>126.36216232464901</v>
      </c>
      <c r="BS163" s="78">
        <v>342</v>
      </c>
      <c r="BT163" s="78">
        <v>98</v>
      </c>
      <c r="BU163" s="78">
        <v>62</v>
      </c>
      <c r="BV163" s="78">
        <f t="shared" si="10"/>
        <v>1543.000000000003</v>
      </c>
      <c r="BW163" s="78">
        <v>278</v>
      </c>
      <c r="BX163" s="78">
        <v>5073.8569943765797</v>
      </c>
      <c r="BY163" s="402">
        <v>0.184</v>
      </c>
      <c r="BZ163" s="78">
        <v>28532</v>
      </c>
      <c r="CA163" s="78">
        <v>4642</v>
      </c>
      <c r="CB163" s="78">
        <v>571</v>
      </c>
      <c r="CC163" s="78">
        <v>878</v>
      </c>
      <c r="CD163" s="78">
        <v>782</v>
      </c>
      <c r="CE163" s="78">
        <v>299</v>
      </c>
      <c r="CF163" s="78">
        <v>405.68762672212102</v>
      </c>
      <c r="CG163" s="78">
        <v>229.455562776189</v>
      </c>
      <c r="CH163" s="78">
        <v>57.186950870808403</v>
      </c>
      <c r="CI163" s="78">
        <v>1021.4424</v>
      </c>
      <c r="CJ163" s="78">
        <v>577.72439999999995</v>
      </c>
      <c r="CK163" s="78">
        <v>143.98560000000001</v>
      </c>
      <c r="CL163" s="78">
        <v>12316</v>
      </c>
    </row>
    <row r="164" spans="1:90" customFormat="1" x14ac:dyDescent="0.35">
      <c r="A164" s="72">
        <v>388</v>
      </c>
      <c r="B164" s="72" t="s">
        <v>105</v>
      </c>
      <c r="C164" s="72">
        <v>7</v>
      </c>
      <c r="D164" s="78">
        <v>1536800000</v>
      </c>
      <c r="E164" s="78">
        <v>278250000</v>
      </c>
      <c r="F164" s="78">
        <v>284550000</v>
      </c>
      <c r="G164" s="78">
        <v>18591</v>
      </c>
      <c r="H164" s="78">
        <v>1</v>
      </c>
      <c r="I164" s="78">
        <f t="shared" si="8"/>
        <v>284.55</v>
      </c>
      <c r="J164" s="78">
        <v>3512</v>
      </c>
      <c r="K164" s="78">
        <v>4085</v>
      </c>
      <c r="L164" s="78">
        <v>1245</v>
      </c>
      <c r="M164" s="78">
        <v>2988</v>
      </c>
      <c r="N164" s="78">
        <f t="shared" si="9"/>
        <v>2096.5</v>
      </c>
      <c r="O164" s="78">
        <v>331.66666666666703</v>
      </c>
      <c r="P164" s="78">
        <v>16</v>
      </c>
      <c r="Q164" s="78">
        <v>1604.6666666666699</v>
      </c>
      <c r="R164" s="78">
        <v>3248</v>
      </c>
      <c r="S164" s="78">
        <v>800</v>
      </c>
      <c r="T164" s="78">
        <v>0</v>
      </c>
      <c r="U164" s="78">
        <v>688</v>
      </c>
      <c r="V164" s="78">
        <v>8897</v>
      </c>
      <c r="W164" s="78">
        <v>18840</v>
      </c>
      <c r="X164" s="78">
        <v>10100</v>
      </c>
      <c r="Y164" s="78">
        <v>0</v>
      </c>
      <c r="Z164" s="78">
        <v>1195.2</v>
      </c>
      <c r="AA164" s="78">
        <v>0</v>
      </c>
      <c r="AB164" s="399">
        <v>0</v>
      </c>
      <c r="AC164" s="399">
        <v>0</v>
      </c>
      <c r="AD164" s="78">
        <v>1265</v>
      </c>
      <c r="AE164" s="78">
        <v>1543.3</v>
      </c>
      <c r="AF164" s="78">
        <v>230</v>
      </c>
      <c r="AG164" s="78">
        <v>10000</v>
      </c>
      <c r="AH164" s="78">
        <v>99</v>
      </c>
      <c r="AI164" s="78">
        <v>22</v>
      </c>
      <c r="AJ164" s="78">
        <v>123.75</v>
      </c>
      <c r="AK164" s="78">
        <v>26.62</v>
      </c>
      <c r="AL164" s="78">
        <v>121</v>
      </c>
      <c r="AM164" s="78">
        <v>8915</v>
      </c>
      <c r="AN164" s="78">
        <v>11143.75</v>
      </c>
      <c r="AO164" s="78">
        <v>0</v>
      </c>
      <c r="AP164" s="78">
        <v>54</v>
      </c>
      <c r="AQ164" s="78">
        <v>0</v>
      </c>
      <c r="AR164" s="78">
        <v>10700</v>
      </c>
      <c r="AS164" s="78">
        <v>2330</v>
      </c>
      <c r="AT164" s="78">
        <v>2330</v>
      </c>
      <c r="AU164" s="400">
        <v>8.4585699999999999E-4</v>
      </c>
      <c r="AV164" s="400">
        <v>2.7025600000000002E-4</v>
      </c>
      <c r="AW164" s="78">
        <v>12374.02</v>
      </c>
      <c r="AX164" s="78">
        <v>0</v>
      </c>
      <c r="AY164" s="78">
        <v>1671.4</v>
      </c>
      <c r="AZ164" s="78">
        <v>24971.878876254199</v>
      </c>
      <c r="BA164" s="78">
        <v>1</v>
      </c>
      <c r="BB164" s="78">
        <v>1.21</v>
      </c>
      <c r="BC164" s="78">
        <v>2168</v>
      </c>
      <c r="BD164" s="78">
        <v>1</v>
      </c>
      <c r="BE164" s="78">
        <v>0</v>
      </c>
      <c r="BF164" s="78">
        <v>0</v>
      </c>
      <c r="BG164" s="78">
        <v>0</v>
      </c>
      <c r="BH164" s="78">
        <v>0</v>
      </c>
      <c r="BI164" s="78">
        <v>0</v>
      </c>
      <c r="BJ164" s="78">
        <v>0</v>
      </c>
      <c r="BK164" s="78">
        <v>0</v>
      </c>
      <c r="BL164" s="78">
        <v>0</v>
      </c>
      <c r="BM164" s="78">
        <v>449.536</v>
      </c>
      <c r="BN164" s="78">
        <v>78</v>
      </c>
      <c r="BO164" s="78">
        <v>43</v>
      </c>
      <c r="BP164" s="78">
        <v>5345.64</v>
      </c>
      <c r="BQ164" s="78">
        <v>1161.1199999999999</v>
      </c>
      <c r="BR164" s="78">
        <v>144.86904113578399</v>
      </c>
      <c r="BS164" s="78">
        <v>272</v>
      </c>
      <c r="BT164" s="78">
        <v>115</v>
      </c>
      <c r="BU164" s="78">
        <v>107.666666666667</v>
      </c>
      <c r="BV164" s="78">
        <f t="shared" si="10"/>
        <v>1273.000000000003</v>
      </c>
      <c r="BW164" s="78">
        <v>398</v>
      </c>
      <c r="BX164" s="78">
        <v>2690.3156946020399</v>
      </c>
      <c r="BY164" s="402">
        <v>0.76300000000000001</v>
      </c>
      <c r="BZ164" s="78">
        <v>14506</v>
      </c>
      <c r="CA164" s="78">
        <v>2420</v>
      </c>
      <c r="CB164" s="78">
        <v>420</v>
      </c>
      <c r="CC164" s="78">
        <v>606</v>
      </c>
      <c r="CD164" s="78">
        <v>439</v>
      </c>
      <c r="CE164" s="78">
        <v>218</v>
      </c>
      <c r="CF164" s="78">
        <v>364.50644980370203</v>
      </c>
      <c r="CG164" s="78">
        <v>197.068648345485</v>
      </c>
      <c r="CH164" s="78">
        <v>67.022153673583801</v>
      </c>
      <c r="CI164" s="78">
        <v>779.80499999999995</v>
      </c>
      <c r="CJ164" s="78">
        <v>421.59780000000001</v>
      </c>
      <c r="CK164" s="78">
        <v>143.3835</v>
      </c>
      <c r="CL164" s="78">
        <v>0</v>
      </c>
    </row>
    <row r="165" spans="1:90" customFormat="1" x14ac:dyDescent="0.35">
      <c r="A165" s="72">
        <v>1942</v>
      </c>
      <c r="B165" s="72" t="s">
        <v>118</v>
      </c>
      <c r="C165" s="72">
        <v>7</v>
      </c>
      <c r="D165" s="78">
        <v>9293600000</v>
      </c>
      <c r="E165" s="78">
        <v>632800000</v>
      </c>
      <c r="F165" s="78">
        <v>659750000</v>
      </c>
      <c r="G165" s="78">
        <v>58055</v>
      </c>
      <c r="H165" s="78">
        <v>3</v>
      </c>
      <c r="I165" s="78">
        <f t="shared" si="8"/>
        <v>659.75</v>
      </c>
      <c r="J165" s="78">
        <v>13291</v>
      </c>
      <c r="K165" s="78">
        <v>12311</v>
      </c>
      <c r="L165" s="78">
        <v>4187</v>
      </c>
      <c r="M165" s="78">
        <v>7165</v>
      </c>
      <c r="N165" s="78">
        <f t="shared" si="9"/>
        <v>4477.2999999999993</v>
      </c>
      <c r="O165" s="78">
        <v>820.66666666666697</v>
      </c>
      <c r="P165" s="78">
        <v>21</v>
      </c>
      <c r="Q165" s="78">
        <v>2622.6666666666702</v>
      </c>
      <c r="R165" s="78">
        <v>9960</v>
      </c>
      <c r="S165" s="78">
        <v>2840</v>
      </c>
      <c r="T165" s="78">
        <v>0</v>
      </c>
      <c r="U165" s="78">
        <v>1846</v>
      </c>
      <c r="V165" s="78">
        <v>26589</v>
      </c>
      <c r="W165" s="78">
        <v>57120</v>
      </c>
      <c r="X165" s="78">
        <v>35540</v>
      </c>
      <c r="Y165" s="78">
        <v>687.74</v>
      </c>
      <c r="Z165" s="78">
        <v>3284.8</v>
      </c>
      <c r="AA165" s="78">
        <v>0</v>
      </c>
      <c r="AB165" s="399">
        <v>0</v>
      </c>
      <c r="AC165" s="399">
        <v>0</v>
      </c>
      <c r="AD165" s="78">
        <v>4138</v>
      </c>
      <c r="AE165" s="78">
        <v>4303.5200000000004</v>
      </c>
      <c r="AF165" s="78">
        <v>1282</v>
      </c>
      <c r="AG165" s="78">
        <v>2101</v>
      </c>
      <c r="AH165" s="78">
        <v>251</v>
      </c>
      <c r="AI165" s="78">
        <v>18</v>
      </c>
      <c r="AJ165" s="78">
        <v>253.51</v>
      </c>
      <c r="AK165" s="78">
        <v>18.899999999999999</v>
      </c>
      <c r="AL165" s="78">
        <v>270</v>
      </c>
      <c r="AM165" s="78">
        <v>26877</v>
      </c>
      <c r="AN165" s="78">
        <v>27145.77</v>
      </c>
      <c r="AO165" s="78">
        <v>27</v>
      </c>
      <c r="AP165" s="78">
        <v>0</v>
      </c>
      <c r="AQ165" s="78">
        <v>0</v>
      </c>
      <c r="AR165" s="78">
        <v>11150</v>
      </c>
      <c r="AS165" s="78">
        <v>6822</v>
      </c>
      <c r="AT165" s="78">
        <v>651</v>
      </c>
      <c r="AU165" s="400">
        <v>1.9120840000000001E-3</v>
      </c>
      <c r="AV165" s="400">
        <v>1.1700020000000001E-3</v>
      </c>
      <c r="AW165" s="78">
        <v>51227.561999999998</v>
      </c>
      <c r="AX165" s="78">
        <v>0</v>
      </c>
      <c r="AY165" s="78">
        <v>3167.84</v>
      </c>
      <c r="AZ165" s="78">
        <v>43422.569298893002</v>
      </c>
      <c r="BA165" s="78">
        <v>9</v>
      </c>
      <c r="BB165" s="78">
        <v>9.4499999999999993</v>
      </c>
      <c r="BC165" s="78">
        <v>9947</v>
      </c>
      <c r="BD165" s="78">
        <v>1</v>
      </c>
      <c r="BE165" s="78">
        <v>0</v>
      </c>
      <c r="BF165" s="78">
        <v>0</v>
      </c>
      <c r="BG165" s="78">
        <v>0</v>
      </c>
      <c r="BH165" s="78">
        <v>0</v>
      </c>
      <c r="BI165" s="78">
        <v>0</v>
      </c>
      <c r="BJ165" s="78">
        <v>0</v>
      </c>
      <c r="BK165" s="78">
        <v>0</v>
      </c>
      <c r="BL165" s="78">
        <v>0</v>
      </c>
      <c r="BM165" s="78">
        <v>1023.407</v>
      </c>
      <c r="BN165" s="78">
        <v>71</v>
      </c>
      <c r="BO165" s="78">
        <v>88</v>
      </c>
      <c r="BP165" s="78">
        <v>25136.58</v>
      </c>
      <c r="BQ165" s="78">
        <v>6911.25</v>
      </c>
      <c r="BR165" s="78">
        <v>457.13348746907599</v>
      </c>
      <c r="BS165" s="78">
        <v>745</v>
      </c>
      <c r="BT165" s="78">
        <v>195.666666666667</v>
      </c>
      <c r="BU165" s="78">
        <v>148.333333333333</v>
      </c>
      <c r="BV165" s="78">
        <f t="shared" si="10"/>
        <v>1802.0000000000032</v>
      </c>
      <c r="BW165" s="78">
        <v>454</v>
      </c>
      <c r="BX165" s="78">
        <v>6854.3425625920499</v>
      </c>
      <c r="BY165" s="402">
        <v>1.268</v>
      </c>
      <c r="BZ165" s="78">
        <v>45744</v>
      </c>
      <c r="CA165" s="78">
        <v>6264</v>
      </c>
      <c r="CB165" s="78">
        <v>1860</v>
      </c>
      <c r="CC165" s="78">
        <v>1809</v>
      </c>
      <c r="CD165" s="78">
        <v>1639</v>
      </c>
      <c r="CE165" s="78">
        <v>1025</v>
      </c>
      <c r="CF165" s="78">
        <v>698.82328756929701</v>
      </c>
      <c r="CG165" s="78">
        <v>492.92445957510103</v>
      </c>
      <c r="CH165" s="78">
        <v>223.723402909551</v>
      </c>
      <c r="CI165" s="78">
        <v>919.12450000000001</v>
      </c>
      <c r="CJ165" s="78">
        <v>648.31690000000003</v>
      </c>
      <c r="CK165" s="78">
        <v>294.25130000000001</v>
      </c>
      <c r="CL165" s="78">
        <v>35037</v>
      </c>
    </row>
    <row r="166" spans="1:90" customFormat="1" x14ac:dyDescent="0.35">
      <c r="A166" s="72">
        <v>392</v>
      </c>
      <c r="B166" s="72" t="s">
        <v>126</v>
      </c>
      <c r="C166" s="72">
        <v>7</v>
      </c>
      <c r="D166" s="78">
        <v>21987200000</v>
      </c>
      <c r="E166" s="78">
        <v>2664550000</v>
      </c>
      <c r="F166" s="78">
        <v>2709350000</v>
      </c>
      <c r="G166" s="78">
        <v>162902</v>
      </c>
      <c r="H166" s="78">
        <v>1</v>
      </c>
      <c r="I166" s="78">
        <f t="shared" si="8"/>
        <v>2709.35</v>
      </c>
      <c r="J166" s="78">
        <v>32493</v>
      </c>
      <c r="K166" s="78">
        <v>27869</v>
      </c>
      <c r="L166" s="78">
        <v>8646</v>
      </c>
      <c r="M166" s="78">
        <v>25171</v>
      </c>
      <c r="N166" s="78">
        <f t="shared" si="9"/>
        <v>17454.099999999999</v>
      </c>
      <c r="O166" s="78">
        <v>3587</v>
      </c>
      <c r="P166" s="78">
        <v>67</v>
      </c>
      <c r="Q166" s="78">
        <v>11758</v>
      </c>
      <c r="R166" s="78">
        <v>34100</v>
      </c>
      <c r="S166" s="78">
        <v>17055</v>
      </c>
      <c r="T166" s="78">
        <v>0</v>
      </c>
      <c r="U166" s="78">
        <v>5934</v>
      </c>
      <c r="V166" s="78">
        <v>80254</v>
      </c>
      <c r="W166" s="78">
        <v>185420</v>
      </c>
      <c r="X166" s="78">
        <v>208020</v>
      </c>
      <c r="Y166" s="78">
        <v>5184.32</v>
      </c>
      <c r="Z166" s="78">
        <v>9100.7999999999993</v>
      </c>
      <c r="AA166" s="78">
        <v>0</v>
      </c>
      <c r="AB166" s="399">
        <v>316.89999999999782</v>
      </c>
      <c r="AC166" s="399">
        <v>0</v>
      </c>
      <c r="AD166" s="78">
        <v>2916</v>
      </c>
      <c r="AE166" s="78">
        <v>2974.32</v>
      </c>
      <c r="AF166" s="78">
        <v>293</v>
      </c>
      <c r="AG166" s="78">
        <v>0</v>
      </c>
      <c r="AH166" s="78">
        <v>581</v>
      </c>
      <c r="AI166" s="78">
        <v>7</v>
      </c>
      <c r="AJ166" s="78">
        <v>592.62</v>
      </c>
      <c r="AK166" s="78">
        <v>7.14</v>
      </c>
      <c r="AL166" s="78">
        <v>588</v>
      </c>
      <c r="AM166" s="78">
        <v>77169</v>
      </c>
      <c r="AN166" s="78">
        <v>78712.38</v>
      </c>
      <c r="AO166" s="78">
        <v>0</v>
      </c>
      <c r="AP166" s="78">
        <v>0</v>
      </c>
      <c r="AQ166" s="78">
        <v>107</v>
      </c>
      <c r="AR166" s="78">
        <v>11850</v>
      </c>
      <c r="AS166" s="78">
        <v>30680</v>
      </c>
      <c r="AT166" s="78">
        <v>30680</v>
      </c>
      <c r="AU166" s="400">
        <v>2.0210842E-2</v>
      </c>
      <c r="AV166" s="400">
        <v>1.251585E-2</v>
      </c>
      <c r="AW166" s="78">
        <v>274490.13299999997</v>
      </c>
      <c r="AX166" s="78">
        <v>12115.532999999999</v>
      </c>
      <c r="AY166" s="78">
        <v>1751.34</v>
      </c>
      <c r="AZ166" s="78">
        <v>99882.429778747304</v>
      </c>
      <c r="BA166" s="78">
        <v>2</v>
      </c>
      <c r="BB166" s="78">
        <v>2.04</v>
      </c>
      <c r="BC166" s="78">
        <v>22923</v>
      </c>
      <c r="BD166" s="78">
        <v>1</v>
      </c>
      <c r="BE166" s="78">
        <v>0</v>
      </c>
      <c r="BF166" s="78">
        <v>0</v>
      </c>
      <c r="BG166" s="78">
        <v>0</v>
      </c>
      <c r="BH166" s="78">
        <v>0</v>
      </c>
      <c r="BI166" s="78">
        <v>0</v>
      </c>
      <c r="BJ166" s="78">
        <v>0</v>
      </c>
      <c r="BK166" s="78">
        <v>0</v>
      </c>
      <c r="BL166" s="78">
        <v>0</v>
      </c>
      <c r="BM166" s="78">
        <v>4061.625</v>
      </c>
      <c r="BN166" s="78">
        <v>301</v>
      </c>
      <c r="BO166" s="78">
        <v>726</v>
      </c>
      <c r="BP166" s="78">
        <v>53937.99</v>
      </c>
      <c r="BQ166" s="78">
        <v>13405.68</v>
      </c>
      <c r="BR166" s="78">
        <v>1342.6658049985899</v>
      </c>
      <c r="BS166" s="78">
        <v>2199</v>
      </c>
      <c r="BT166" s="78">
        <v>945.66666666666697</v>
      </c>
      <c r="BU166" s="78">
        <v>798.33333333333303</v>
      </c>
      <c r="BV166" s="78">
        <f t="shared" si="10"/>
        <v>8171</v>
      </c>
      <c r="BW166" s="78">
        <v>1901</v>
      </c>
      <c r="BX166" s="78">
        <v>19696.126105478601</v>
      </c>
      <c r="BY166" s="402">
        <v>7.6760000000000002</v>
      </c>
      <c r="BZ166" s="78">
        <v>135033</v>
      </c>
      <c r="CA166" s="78">
        <v>15740</v>
      </c>
      <c r="CB166" s="78">
        <v>3483</v>
      </c>
      <c r="CC166" s="78">
        <v>5220</v>
      </c>
      <c r="CD166" s="78">
        <v>3622</v>
      </c>
      <c r="CE166" s="78">
        <v>1861</v>
      </c>
      <c r="CF166" s="78">
        <v>2434.1513327890698</v>
      </c>
      <c r="CG166" s="78">
        <v>1406.8408557840601</v>
      </c>
      <c r="CH166" s="78">
        <v>547.808448988583</v>
      </c>
      <c r="CI166" s="78">
        <v>4545.8688000000002</v>
      </c>
      <c r="CJ166" s="78">
        <v>2627.328</v>
      </c>
      <c r="CK166" s="78">
        <v>1023.0528</v>
      </c>
      <c r="CL166" s="78">
        <v>107275</v>
      </c>
    </row>
    <row r="167" spans="1:90" customFormat="1" x14ac:dyDescent="0.35">
      <c r="A167" s="72">
        <v>394</v>
      </c>
      <c r="B167" s="72" t="s">
        <v>127</v>
      </c>
      <c r="C167" s="72">
        <v>7</v>
      </c>
      <c r="D167" s="78">
        <v>17459600000</v>
      </c>
      <c r="E167" s="78">
        <v>7899150000</v>
      </c>
      <c r="F167" s="78">
        <v>7964250000</v>
      </c>
      <c r="G167" s="78">
        <v>156002</v>
      </c>
      <c r="H167" s="78">
        <v>9</v>
      </c>
      <c r="I167" s="78">
        <f t="shared" si="8"/>
        <v>7964.25</v>
      </c>
      <c r="J167" s="78">
        <v>32935</v>
      </c>
      <c r="K167" s="78">
        <v>26502</v>
      </c>
      <c r="L167" s="78">
        <v>8038</v>
      </c>
      <c r="M167" s="78">
        <v>14951</v>
      </c>
      <c r="N167" s="78">
        <f t="shared" si="9"/>
        <v>8470.5</v>
      </c>
      <c r="O167" s="78">
        <v>1953.3333333333301</v>
      </c>
      <c r="P167" s="78">
        <v>23</v>
      </c>
      <c r="Q167" s="78">
        <v>8043.3333333333303</v>
      </c>
      <c r="R167" s="78">
        <v>20213</v>
      </c>
      <c r="S167" s="78">
        <v>14290</v>
      </c>
      <c r="T167" s="78">
        <v>0</v>
      </c>
      <c r="U167" s="78">
        <v>5424</v>
      </c>
      <c r="V167" s="78">
        <v>67050</v>
      </c>
      <c r="W167" s="78">
        <v>140140</v>
      </c>
      <c r="X167" s="78">
        <v>79880</v>
      </c>
      <c r="Y167" s="78">
        <v>2231.7600000000002</v>
      </c>
      <c r="Z167" s="78">
        <v>6467.2</v>
      </c>
      <c r="AA167" s="78">
        <v>0</v>
      </c>
      <c r="AB167" s="399">
        <v>0</v>
      </c>
      <c r="AC167" s="399">
        <v>1529.0999999999995</v>
      </c>
      <c r="AD167" s="78">
        <v>19740</v>
      </c>
      <c r="AE167" s="78">
        <v>22701</v>
      </c>
      <c r="AF167" s="78">
        <v>891</v>
      </c>
      <c r="AG167" s="78">
        <v>0</v>
      </c>
      <c r="AH167" s="78">
        <v>816</v>
      </c>
      <c r="AI167" s="78">
        <v>223</v>
      </c>
      <c r="AJ167" s="78">
        <v>930.24</v>
      </c>
      <c r="AK167" s="78">
        <v>256.45</v>
      </c>
      <c r="AL167" s="78">
        <v>1038</v>
      </c>
      <c r="AM167" s="78">
        <v>64805</v>
      </c>
      <c r="AN167" s="78">
        <v>73877.7</v>
      </c>
      <c r="AO167" s="78">
        <v>0</v>
      </c>
      <c r="AP167" s="78">
        <v>0</v>
      </c>
      <c r="AQ167" s="78">
        <v>0</v>
      </c>
      <c r="AR167" s="78">
        <v>0</v>
      </c>
      <c r="AS167" s="78">
        <v>4976</v>
      </c>
      <c r="AT167" s="78">
        <v>0</v>
      </c>
      <c r="AU167" s="400">
        <v>7.0674099999999999E-4</v>
      </c>
      <c r="AV167" s="400">
        <v>7.8339100000000004E-4</v>
      </c>
      <c r="AW167" s="78">
        <v>98698.014999999999</v>
      </c>
      <c r="AX167" s="78">
        <v>0</v>
      </c>
      <c r="AY167" s="78">
        <v>12592.5</v>
      </c>
      <c r="AZ167" s="78">
        <v>106488.32173913</v>
      </c>
      <c r="BA167" s="78">
        <v>29</v>
      </c>
      <c r="BB167" s="78">
        <v>33.35</v>
      </c>
      <c r="BC167" s="78">
        <v>20728</v>
      </c>
      <c r="BD167" s="78">
        <v>1</v>
      </c>
      <c r="BE167" s="78">
        <v>0</v>
      </c>
      <c r="BF167" s="78">
        <v>0</v>
      </c>
      <c r="BG167" s="78">
        <v>0</v>
      </c>
      <c r="BH167" s="78">
        <v>0</v>
      </c>
      <c r="BI167" s="78">
        <v>0</v>
      </c>
      <c r="BJ167" s="78">
        <v>0</v>
      </c>
      <c r="BK167" s="78">
        <v>0</v>
      </c>
      <c r="BL167" s="78">
        <v>0</v>
      </c>
      <c r="BM167" s="78">
        <v>2667.7350000000001</v>
      </c>
      <c r="BN167" s="78">
        <v>458</v>
      </c>
      <c r="BO167" s="78">
        <v>389</v>
      </c>
      <c r="BP167" s="78">
        <v>51270.96</v>
      </c>
      <c r="BQ167" s="78">
        <v>14500.04</v>
      </c>
      <c r="BR167" s="78">
        <v>901.09744294415498</v>
      </c>
      <c r="BS167" s="78">
        <v>2276</v>
      </c>
      <c r="BT167" s="78">
        <v>686.33333333333303</v>
      </c>
      <c r="BU167" s="78">
        <v>568</v>
      </c>
      <c r="BV167" s="78">
        <f t="shared" si="10"/>
        <v>6090</v>
      </c>
      <c r="BW167" s="78">
        <v>1359</v>
      </c>
      <c r="BX167" s="78">
        <v>20526.296804227299</v>
      </c>
      <c r="BY167" s="402">
        <v>1.8160000000000001</v>
      </c>
      <c r="BZ167" s="78">
        <v>129500</v>
      </c>
      <c r="CA167" s="78">
        <v>15975</v>
      </c>
      <c r="CB167" s="78">
        <v>2489</v>
      </c>
      <c r="CC167" s="78">
        <v>3391</v>
      </c>
      <c r="CD167" s="78">
        <v>2673</v>
      </c>
      <c r="CE167" s="78">
        <v>1325</v>
      </c>
      <c r="CF167" s="78">
        <v>1284.7240876475601</v>
      </c>
      <c r="CG167" s="78">
        <v>712.22520638839603</v>
      </c>
      <c r="CH167" s="78">
        <v>241.28605817452399</v>
      </c>
      <c r="CI167" s="78">
        <v>3471.6028000000001</v>
      </c>
      <c r="CJ167" s="78">
        <v>1924.5868</v>
      </c>
      <c r="CK167" s="78">
        <v>652.00720000000001</v>
      </c>
      <c r="CL167" s="78">
        <v>233734</v>
      </c>
    </row>
    <row r="168" spans="1:90" customFormat="1" x14ac:dyDescent="0.35">
      <c r="A168" s="72">
        <v>396</v>
      </c>
      <c r="B168" s="72" t="s">
        <v>134</v>
      </c>
      <c r="C168" s="72">
        <v>7</v>
      </c>
      <c r="D168" s="78">
        <v>3970000000</v>
      </c>
      <c r="E168" s="78">
        <v>320950000</v>
      </c>
      <c r="F168" s="78">
        <v>340550000</v>
      </c>
      <c r="G168" s="78">
        <v>39182</v>
      </c>
      <c r="H168" s="78">
        <v>1</v>
      </c>
      <c r="I168" s="78">
        <f t="shared" si="8"/>
        <v>340.55</v>
      </c>
      <c r="J168" s="78">
        <v>7108</v>
      </c>
      <c r="K168" s="78">
        <v>8740</v>
      </c>
      <c r="L168" s="78">
        <v>3031</v>
      </c>
      <c r="M168" s="78">
        <v>5041</v>
      </c>
      <c r="N168" s="78">
        <f t="shared" si="9"/>
        <v>3269.2</v>
      </c>
      <c r="O168" s="78">
        <v>795.33333333333303</v>
      </c>
      <c r="P168" s="78">
        <v>12</v>
      </c>
      <c r="Q168" s="78">
        <v>2870.3333333333298</v>
      </c>
      <c r="R168" s="78">
        <v>5777</v>
      </c>
      <c r="S168" s="78">
        <v>2310</v>
      </c>
      <c r="T168" s="78">
        <v>0</v>
      </c>
      <c r="U168" s="78">
        <v>1420</v>
      </c>
      <c r="V168" s="78">
        <v>17937</v>
      </c>
      <c r="W168" s="78">
        <v>40590</v>
      </c>
      <c r="X168" s="78">
        <v>21940</v>
      </c>
      <c r="Y168" s="78">
        <v>2635.12</v>
      </c>
      <c r="Z168" s="78">
        <v>1142.4000000000001</v>
      </c>
      <c r="AA168" s="78">
        <v>0</v>
      </c>
      <c r="AB168" s="399">
        <v>0</v>
      </c>
      <c r="AC168" s="399">
        <v>0</v>
      </c>
      <c r="AD168" s="78">
        <v>2727</v>
      </c>
      <c r="AE168" s="78">
        <v>2781.54</v>
      </c>
      <c r="AF168" s="78">
        <v>44</v>
      </c>
      <c r="AG168" s="78">
        <v>397</v>
      </c>
      <c r="AH168" s="78">
        <v>153</v>
      </c>
      <c r="AI168" s="78">
        <v>12</v>
      </c>
      <c r="AJ168" s="78">
        <v>154.53</v>
      </c>
      <c r="AK168" s="78">
        <v>12.36</v>
      </c>
      <c r="AL168" s="78">
        <v>165</v>
      </c>
      <c r="AM168" s="78">
        <v>17718</v>
      </c>
      <c r="AN168" s="78">
        <v>17895.18</v>
      </c>
      <c r="AO168" s="78">
        <v>0</v>
      </c>
      <c r="AP168" s="78">
        <v>0</v>
      </c>
      <c r="AQ168" s="78">
        <v>0</v>
      </c>
      <c r="AR168" s="78">
        <v>0</v>
      </c>
      <c r="AS168" s="78">
        <v>780</v>
      </c>
      <c r="AT168" s="78">
        <v>0</v>
      </c>
      <c r="AU168" s="400">
        <v>8.8505999999999996E-5</v>
      </c>
      <c r="AV168" s="400">
        <v>1.0293310000000001E-3</v>
      </c>
      <c r="AW168" s="78">
        <v>41442.402000000002</v>
      </c>
      <c r="AX168" s="78">
        <v>0</v>
      </c>
      <c r="AY168" s="78">
        <v>1142.4000000000001</v>
      </c>
      <c r="AZ168" s="78">
        <v>20884.246380368098</v>
      </c>
      <c r="BA168" s="78">
        <v>3</v>
      </c>
      <c r="BB168" s="78">
        <v>3.09</v>
      </c>
      <c r="BC168" s="78">
        <v>3415</v>
      </c>
      <c r="BD168" s="78">
        <v>1</v>
      </c>
      <c r="BE168" s="78">
        <v>0</v>
      </c>
      <c r="BF168" s="78">
        <v>0</v>
      </c>
      <c r="BG168" s="78">
        <v>0</v>
      </c>
      <c r="BH168" s="78">
        <v>0</v>
      </c>
      <c r="BI168" s="78">
        <v>0</v>
      </c>
      <c r="BJ168" s="78">
        <v>0</v>
      </c>
      <c r="BK168" s="78">
        <v>0</v>
      </c>
      <c r="BL168" s="78">
        <v>0</v>
      </c>
      <c r="BM168" s="78">
        <v>916.93200000000002</v>
      </c>
      <c r="BN168" s="78">
        <v>138</v>
      </c>
      <c r="BO168" s="78">
        <v>174</v>
      </c>
      <c r="BP168" s="78">
        <v>11965.98</v>
      </c>
      <c r="BQ168" s="78">
        <v>2730.25</v>
      </c>
      <c r="BR168" s="78">
        <v>193.55044754790501</v>
      </c>
      <c r="BS168" s="78">
        <v>564</v>
      </c>
      <c r="BT168" s="78">
        <v>266</v>
      </c>
      <c r="BU168" s="78">
        <v>237.333333333333</v>
      </c>
      <c r="BV168" s="78">
        <f t="shared" si="10"/>
        <v>2074.9999999999968</v>
      </c>
      <c r="BW168" s="78">
        <v>538</v>
      </c>
      <c r="BX168" s="78">
        <v>6804.4459258502702</v>
      </c>
      <c r="BY168" s="402">
        <v>1.718</v>
      </c>
      <c r="BZ168" s="78">
        <v>30442</v>
      </c>
      <c r="CA168" s="78">
        <v>4563</v>
      </c>
      <c r="CB168" s="78">
        <v>1146</v>
      </c>
      <c r="CC168" s="78">
        <v>1027</v>
      </c>
      <c r="CD168" s="78">
        <v>979</v>
      </c>
      <c r="CE168" s="78">
        <v>586</v>
      </c>
      <c r="CF168" s="78">
        <v>522.54060277683698</v>
      </c>
      <c r="CG168" s="78">
        <v>375.29928885878797</v>
      </c>
      <c r="CH168" s="78">
        <v>153.51475335816701</v>
      </c>
      <c r="CI168" s="78">
        <v>1228.2384</v>
      </c>
      <c r="CJ168" s="78">
        <v>882.14580000000001</v>
      </c>
      <c r="CK168" s="78">
        <v>360.83839999999998</v>
      </c>
      <c r="CL168" s="78">
        <v>115636</v>
      </c>
    </row>
    <row r="169" spans="1:90" customFormat="1" x14ac:dyDescent="0.35">
      <c r="A169" s="72">
        <v>397</v>
      </c>
      <c r="B169" s="72" t="s">
        <v>135</v>
      </c>
      <c r="C169" s="72">
        <v>7</v>
      </c>
      <c r="D169" s="78">
        <v>5200400000</v>
      </c>
      <c r="E169" s="78">
        <v>201950000</v>
      </c>
      <c r="F169" s="78">
        <v>237650000</v>
      </c>
      <c r="G169" s="78">
        <v>27234</v>
      </c>
      <c r="H169" s="78">
        <v>1</v>
      </c>
      <c r="I169" s="78">
        <f t="shared" si="8"/>
        <v>237.65</v>
      </c>
      <c r="J169" s="78">
        <v>5832</v>
      </c>
      <c r="K169" s="78">
        <v>7331</v>
      </c>
      <c r="L169" s="78">
        <v>2604</v>
      </c>
      <c r="M169" s="78">
        <v>2967</v>
      </c>
      <c r="N169" s="78">
        <f t="shared" si="9"/>
        <v>1679.1</v>
      </c>
      <c r="O169" s="78">
        <v>245.333333333333</v>
      </c>
      <c r="P169" s="78">
        <v>10</v>
      </c>
      <c r="Q169" s="78">
        <v>1279.3333333333301</v>
      </c>
      <c r="R169" s="78">
        <v>4410</v>
      </c>
      <c r="S169" s="78">
        <v>850</v>
      </c>
      <c r="T169" s="78">
        <v>0</v>
      </c>
      <c r="U169" s="78">
        <v>778</v>
      </c>
      <c r="V169" s="78">
        <v>12648</v>
      </c>
      <c r="W169" s="78">
        <v>22340</v>
      </c>
      <c r="X169" s="78">
        <v>5810</v>
      </c>
      <c r="Y169" s="78">
        <v>0</v>
      </c>
      <c r="Z169" s="78">
        <v>1364</v>
      </c>
      <c r="AA169" s="78">
        <v>0</v>
      </c>
      <c r="AB169" s="399">
        <v>0</v>
      </c>
      <c r="AC169" s="399">
        <v>0</v>
      </c>
      <c r="AD169" s="78">
        <v>918</v>
      </c>
      <c r="AE169" s="78">
        <v>918</v>
      </c>
      <c r="AF169" s="78">
        <v>47</v>
      </c>
      <c r="AG169" s="78">
        <v>0</v>
      </c>
      <c r="AH169" s="78">
        <v>115</v>
      </c>
      <c r="AI169" s="78">
        <v>6</v>
      </c>
      <c r="AJ169" s="78">
        <v>115</v>
      </c>
      <c r="AK169" s="78">
        <v>6</v>
      </c>
      <c r="AL169" s="78">
        <v>121</v>
      </c>
      <c r="AM169" s="78">
        <v>12879</v>
      </c>
      <c r="AN169" s="78">
        <v>12879</v>
      </c>
      <c r="AO169" s="78">
        <v>0</v>
      </c>
      <c r="AP169" s="78">
        <v>0</v>
      </c>
      <c r="AQ169" s="78">
        <v>0</v>
      </c>
      <c r="AR169" s="78">
        <v>0</v>
      </c>
      <c r="AS169" s="78">
        <v>3226</v>
      </c>
      <c r="AT169" s="78">
        <v>0</v>
      </c>
      <c r="AU169" s="400">
        <v>7.3676799999999995E-4</v>
      </c>
      <c r="AV169" s="400">
        <v>3.1776200000000002E-4</v>
      </c>
      <c r="AW169" s="78">
        <v>22821.588</v>
      </c>
      <c r="AX169" s="78">
        <v>0</v>
      </c>
      <c r="AY169" s="78">
        <v>712</v>
      </c>
      <c r="AZ169" s="78">
        <v>20093.894300518099</v>
      </c>
      <c r="BA169" s="78">
        <v>1</v>
      </c>
      <c r="BB169" s="78">
        <v>1</v>
      </c>
      <c r="BC169" s="78">
        <v>4007</v>
      </c>
      <c r="BD169" s="78">
        <v>1</v>
      </c>
      <c r="BE169" s="78">
        <v>0</v>
      </c>
      <c r="BF169" s="78">
        <v>0</v>
      </c>
      <c r="BG169" s="78">
        <v>0</v>
      </c>
      <c r="BH169" s="78">
        <v>0</v>
      </c>
      <c r="BI169" s="78">
        <v>0</v>
      </c>
      <c r="BJ169" s="78">
        <v>0</v>
      </c>
      <c r="BK169" s="78">
        <v>0</v>
      </c>
      <c r="BL169" s="78">
        <v>0</v>
      </c>
      <c r="BM169" s="78">
        <v>338.25599999999997</v>
      </c>
      <c r="BN169" s="78">
        <v>12</v>
      </c>
      <c r="BO169" s="78">
        <v>17</v>
      </c>
      <c r="BP169" s="78">
        <v>11658.43</v>
      </c>
      <c r="BQ169" s="78">
        <v>2995.36</v>
      </c>
      <c r="BR169" s="78">
        <v>136.97597895240401</v>
      </c>
      <c r="BS169" s="78">
        <v>292</v>
      </c>
      <c r="BT169" s="78">
        <v>60.3333333333333</v>
      </c>
      <c r="BU169" s="78">
        <v>49.3333333333333</v>
      </c>
      <c r="BV169" s="78">
        <f t="shared" si="10"/>
        <v>1033.999999999997</v>
      </c>
      <c r="BW169" s="78">
        <v>371</v>
      </c>
      <c r="BX169" s="78">
        <v>4054.9375914388302</v>
      </c>
      <c r="BY169" s="402">
        <v>0.121</v>
      </c>
      <c r="BZ169" s="78">
        <v>19903</v>
      </c>
      <c r="CA169" s="78">
        <v>3588</v>
      </c>
      <c r="CB169" s="78">
        <v>1139</v>
      </c>
      <c r="CC169" s="78">
        <v>962</v>
      </c>
      <c r="CD169" s="78">
        <v>1002</v>
      </c>
      <c r="CE169" s="78">
        <v>622</v>
      </c>
      <c r="CF169" s="78">
        <v>299.86256696948499</v>
      </c>
      <c r="CG169" s="78">
        <v>231.806801770324</v>
      </c>
      <c r="CH169" s="78">
        <v>111.079524807827</v>
      </c>
      <c r="CI169" s="78">
        <v>388.47</v>
      </c>
      <c r="CJ169" s="78">
        <v>300.30419999999998</v>
      </c>
      <c r="CK169" s="78">
        <v>143.90280000000001</v>
      </c>
      <c r="CL169" s="78">
        <v>196178</v>
      </c>
    </row>
    <row r="170" spans="1:90" customFormat="1" x14ac:dyDescent="0.35">
      <c r="A170" s="72">
        <v>398</v>
      </c>
      <c r="B170" s="72" t="s">
        <v>138</v>
      </c>
      <c r="C170" s="72">
        <v>7</v>
      </c>
      <c r="D170" s="78">
        <v>4864800000</v>
      </c>
      <c r="E170" s="78">
        <v>799750000</v>
      </c>
      <c r="F170" s="78">
        <v>828800000</v>
      </c>
      <c r="G170" s="78">
        <v>57587</v>
      </c>
      <c r="H170" s="78">
        <v>2</v>
      </c>
      <c r="I170" s="78">
        <f t="shared" si="8"/>
        <v>828.8</v>
      </c>
      <c r="J170" s="78">
        <v>12709</v>
      </c>
      <c r="K170" s="78">
        <v>10292</v>
      </c>
      <c r="L170" s="78">
        <v>3292</v>
      </c>
      <c r="M170" s="78">
        <v>6277</v>
      </c>
      <c r="N170" s="78">
        <f t="shared" si="9"/>
        <v>3872</v>
      </c>
      <c r="O170" s="78">
        <v>744.33333333333303</v>
      </c>
      <c r="P170" s="78">
        <v>112</v>
      </c>
      <c r="Q170" s="78">
        <v>4395.3333333333303</v>
      </c>
      <c r="R170" s="78">
        <v>7151</v>
      </c>
      <c r="S170" s="78">
        <v>4325</v>
      </c>
      <c r="T170" s="78">
        <v>0</v>
      </c>
      <c r="U170" s="78">
        <v>1929</v>
      </c>
      <c r="V170" s="78">
        <v>25133</v>
      </c>
      <c r="W170" s="78">
        <v>64890</v>
      </c>
      <c r="X170" s="78">
        <v>56490</v>
      </c>
      <c r="Y170" s="78">
        <v>1411.54</v>
      </c>
      <c r="Z170" s="78">
        <v>3268</v>
      </c>
      <c r="AA170" s="78">
        <v>0</v>
      </c>
      <c r="AB170" s="399">
        <v>0</v>
      </c>
      <c r="AC170" s="399">
        <v>43.599999999999454</v>
      </c>
      <c r="AD170" s="78">
        <v>3811</v>
      </c>
      <c r="AE170" s="78">
        <v>3887.22</v>
      </c>
      <c r="AF170" s="78">
        <v>189</v>
      </c>
      <c r="AG170" s="78">
        <v>0</v>
      </c>
      <c r="AH170" s="78">
        <v>267</v>
      </c>
      <c r="AI170" s="78">
        <v>41</v>
      </c>
      <c r="AJ170" s="78">
        <v>267</v>
      </c>
      <c r="AK170" s="78">
        <v>42.64</v>
      </c>
      <c r="AL170" s="78">
        <v>308</v>
      </c>
      <c r="AM170" s="78">
        <v>24050</v>
      </c>
      <c r="AN170" s="78">
        <v>24050</v>
      </c>
      <c r="AO170" s="78">
        <v>0</v>
      </c>
      <c r="AP170" s="78">
        <v>0</v>
      </c>
      <c r="AQ170" s="78">
        <v>0</v>
      </c>
      <c r="AR170" s="78">
        <v>0</v>
      </c>
      <c r="AS170" s="78">
        <v>0</v>
      </c>
      <c r="AT170" s="78">
        <v>0</v>
      </c>
      <c r="AU170" s="400">
        <v>1.43218E-4</v>
      </c>
      <c r="AV170" s="400">
        <v>1.9029100000000001E-4</v>
      </c>
      <c r="AW170" s="78">
        <v>40716.65</v>
      </c>
      <c r="AX170" s="78">
        <v>0</v>
      </c>
      <c r="AY170" s="78">
        <v>2531.64</v>
      </c>
      <c r="AZ170" s="78">
        <v>36447.388169999998</v>
      </c>
      <c r="BA170" s="78">
        <v>4</v>
      </c>
      <c r="BB170" s="78">
        <v>4.16</v>
      </c>
      <c r="BC170" s="78">
        <v>5638</v>
      </c>
      <c r="BD170" s="78">
        <v>1</v>
      </c>
      <c r="BE170" s="78">
        <v>0</v>
      </c>
      <c r="BF170" s="78">
        <v>0</v>
      </c>
      <c r="BG170" s="78">
        <v>0</v>
      </c>
      <c r="BH170" s="78">
        <v>0</v>
      </c>
      <c r="BI170" s="78">
        <v>0</v>
      </c>
      <c r="BJ170" s="78">
        <v>0</v>
      </c>
      <c r="BK170" s="78">
        <v>0</v>
      </c>
      <c r="BL170" s="78">
        <v>0</v>
      </c>
      <c r="BM170" s="78">
        <v>1296.318</v>
      </c>
      <c r="BN170" s="78">
        <v>168</v>
      </c>
      <c r="BO170" s="78">
        <v>132</v>
      </c>
      <c r="BP170" s="78">
        <v>15450.5</v>
      </c>
      <c r="BQ170" s="78">
        <v>4205.3999999999996</v>
      </c>
      <c r="BR170" s="78">
        <v>545.11549649691494</v>
      </c>
      <c r="BS170" s="78">
        <v>810</v>
      </c>
      <c r="BT170" s="78">
        <v>262</v>
      </c>
      <c r="BU170" s="78">
        <v>229.666666666667</v>
      </c>
      <c r="BV170" s="78">
        <f t="shared" si="10"/>
        <v>3650.9999999999973</v>
      </c>
      <c r="BW170" s="78">
        <v>1179</v>
      </c>
      <c r="BX170" s="78">
        <v>7585.2619667970803</v>
      </c>
      <c r="BY170" s="402">
        <v>1.2130000000000001</v>
      </c>
      <c r="BZ170" s="78">
        <v>47295</v>
      </c>
      <c r="CA170" s="78">
        <v>6214</v>
      </c>
      <c r="CB170" s="78">
        <v>786</v>
      </c>
      <c r="CC170" s="78">
        <v>1162</v>
      </c>
      <c r="CD170" s="78">
        <v>1019</v>
      </c>
      <c r="CE170" s="78">
        <v>354</v>
      </c>
      <c r="CF170" s="78">
        <v>598.26827442827403</v>
      </c>
      <c r="CG170" s="78">
        <v>343.56956340956299</v>
      </c>
      <c r="CH170" s="78">
        <v>79.049979209979199</v>
      </c>
      <c r="CI170" s="78">
        <v>1743.5472</v>
      </c>
      <c r="CJ170" s="78">
        <v>1001.2728</v>
      </c>
      <c r="CK170" s="78">
        <v>230.37719999999999</v>
      </c>
      <c r="CL170" s="78">
        <v>193115</v>
      </c>
    </row>
    <row r="171" spans="1:90" customFormat="1" x14ac:dyDescent="0.35">
      <c r="A171" s="72">
        <v>399</v>
      </c>
      <c r="B171" s="72" t="s">
        <v>141</v>
      </c>
      <c r="C171" s="72">
        <v>7</v>
      </c>
      <c r="D171" s="78">
        <v>3112400000</v>
      </c>
      <c r="E171" s="78">
        <v>245700000</v>
      </c>
      <c r="F171" s="78">
        <v>250600000</v>
      </c>
      <c r="G171" s="78">
        <v>23968</v>
      </c>
      <c r="H171" s="78">
        <v>1</v>
      </c>
      <c r="I171" s="78">
        <f t="shared" si="8"/>
        <v>250.6</v>
      </c>
      <c r="J171" s="78">
        <v>4564</v>
      </c>
      <c r="K171" s="78">
        <v>6333</v>
      </c>
      <c r="L171" s="78">
        <v>2234</v>
      </c>
      <c r="M171" s="78">
        <v>2553</v>
      </c>
      <c r="N171" s="78">
        <f t="shared" si="9"/>
        <v>1470.5</v>
      </c>
      <c r="O171" s="78">
        <v>211.666666666667</v>
      </c>
      <c r="P171" s="78">
        <v>18</v>
      </c>
      <c r="Q171" s="78">
        <v>1261.6666666666699</v>
      </c>
      <c r="R171" s="78">
        <v>3801</v>
      </c>
      <c r="S171" s="78">
        <v>470</v>
      </c>
      <c r="T171" s="78">
        <v>0</v>
      </c>
      <c r="U171" s="78">
        <v>616</v>
      </c>
      <c r="V171" s="78">
        <v>11049</v>
      </c>
      <c r="W171" s="78">
        <v>23030</v>
      </c>
      <c r="X171" s="78">
        <v>8690</v>
      </c>
      <c r="Y171" s="78">
        <v>0</v>
      </c>
      <c r="Z171" s="78">
        <v>252.8</v>
      </c>
      <c r="AA171" s="78">
        <v>0</v>
      </c>
      <c r="AB171" s="399">
        <v>0</v>
      </c>
      <c r="AC171" s="399">
        <v>0</v>
      </c>
      <c r="AD171" s="78">
        <v>1869</v>
      </c>
      <c r="AE171" s="78">
        <v>1869</v>
      </c>
      <c r="AF171" s="78">
        <v>32</v>
      </c>
      <c r="AG171" s="78">
        <v>0</v>
      </c>
      <c r="AH171" s="78">
        <v>113</v>
      </c>
      <c r="AI171" s="78">
        <v>8</v>
      </c>
      <c r="AJ171" s="78">
        <v>113</v>
      </c>
      <c r="AK171" s="78">
        <v>8</v>
      </c>
      <c r="AL171" s="78">
        <v>121</v>
      </c>
      <c r="AM171" s="78">
        <v>10825</v>
      </c>
      <c r="AN171" s="78">
        <v>10825</v>
      </c>
      <c r="AO171" s="78">
        <v>0</v>
      </c>
      <c r="AP171" s="78">
        <v>0</v>
      </c>
      <c r="AQ171" s="78">
        <v>0</v>
      </c>
      <c r="AR171" s="78">
        <v>0</v>
      </c>
      <c r="AS171" s="78">
        <v>929</v>
      </c>
      <c r="AT171" s="78">
        <v>0</v>
      </c>
      <c r="AU171" s="400">
        <v>2.29972E-4</v>
      </c>
      <c r="AV171" s="400">
        <v>1.4641099999999999E-4</v>
      </c>
      <c r="AW171" s="78">
        <v>14602.924999999999</v>
      </c>
      <c r="AX171" s="78">
        <v>0</v>
      </c>
      <c r="AY171" s="78">
        <v>918</v>
      </c>
      <c r="AZ171" s="78">
        <v>11574.2367175171</v>
      </c>
      <c r="BA171" s="78">
        <v>3</v>
      </c>
      <c r="BB171" s="78">
        <v>3</v>
      </c>
      <c r="BC171" s="78">
        <v>2781</v>
      </c>
      <c r="BD171" s="78">
        <v>1</v>
      </c>
      <c r="BE171" s="78">
        <v>0</v>
      </c>
      <c r="BF171" s="78">
        <v>0</v>
      </c>
      <c r="BG171" s="78">
        <v>0</v>
      </c>
      <c r="BH171" s="78">
        <v>0</v>
      </c>
      <c r="BI171" s="78">
        <v>0</v>
      </c>
      <c r="BJ171" s="78">
        <v>0</v>
      </c>
      <c r="BK171" s="78">
        <v>0</v>
      </c>
      <c r="BL171" s="78">
        <v>0</v>
      </c>
      <c r="BM171" s="78">
        <v>278.404</v>
      </c>
      <c r="BN171" s="78">
        <v>11</v>
      </c>
      <c r="BO171" s="78">
        <v>33</v>
      </c>
      <c r="BP171" s="78">
        <v>8831.4</v>
      </c>
      <c r="BQ171" s="78">
        <v>2076.2399999999998</v>
      </c>
      <c r="BR171" s="78">
        <v>111.37797309417</v>
      </c>
      <c r="BS171" s="78">
        <v>249</v>
      </c>
      <c r="BT171" s="78">
        <v>56.6666666666667</v>
      </c>
      <c r="BU171" s="78">
        <v>39</v>
      </c>
      <c r="BV171" s="78">
        <f t="shared" si="10"/>
        <v>1050.000000000003</v>
      </c>
      <c r="BW171" s="78">
        <v>309</v>
      </c>
      <c r="BX171" s="78">
        <v>3475.4008591885399</v>
      </c>
      <c r="BY171" s="402">
        <v>0.24399999999999999</v>
      </c>
      <c r="BZ171" s="78">
        <v>17635</v>
      </c>
      <c r="CA171" s="78">
        <v>3220</v>
      </c>
      <c r="CB171" s="78">
        <v>879</v>
      </c>
      <c r="CC171" s="78">
        <v>691</v>
      </c>
      <c r="CD171" s="78">
        <v>745</v>
      </c>
      <c r="CE171" s="78">
        <v>433</v>
      </c>
      <c r="CF171" s="78">
        <v>267.88230946882197</v>
      </c>
      <c r="CG171" s="78">
        <v>206.07376443417999</v>
      </c>
      <c r="CH171" s="78">
        <v>80.419030023094706</v>
      </c>
      <c r="CI171" s="78">
        <v>611.91160000000002</v>
      </c>
      <c r="CJ171" s="78">
        <v>470.7251</v>
      </c>
      <c r="CK171" s="78">
        <v>183.69759999999999</v>
      </c>
      <c r="CL171" s="78">
        <v>10660</v>
      </c>
    </row>
    <row r="172" spans="1:90" customFormat="1" x14ac:dyDescent="0.35">
      <c r="A172" s="72">
        <v>402</v>
      </c>
      <c r="B172" s="72" t="s">
        <v>152</v>
      </c>
      <c r="C172" s="72">
        <v>7</v>
      </c>
      <c r="D172" s="78">
        <v>11412000000</v>
      </c>
      <c r="E172" s="78">
        <v>1681050000</v>
      </c>
      <c r="F172" s="78">
        <v>1726900000</v>
      </c>
      <c r="G172" s="78">
        <v>90831</v>
      </c>
      <c r="H172" s="78">
        <v>2</v>
      </c>
      <c r="I172" s="78">
        <f t="shared" si="8"/>
        <v>1726.9</v>
      </c>
      <c r="J172" s="78">
        <v>18663</v>
      </c>
      <c r="K172" s="78">
        <v>17181</v>
      </c>
      <c r="L172" s="78">
        <v>5649</v>
      </c>
      <c r="M172" s="78">
        <v>13802</v>
      </c>
      <c r="N172" s="78">
        <f t="shared" si="9"/>
        <v>9501.2999999999993</v>
      </c>
      <c r="O172" s="78">
        <v>2154.3333333333298</v>
      </c>
      <c r="P172" s="78">
        <v>72</v>
      </c>
      <c r="Q172" s="78">
        <v>6088.3333333333303</v>
      </c>
      <c r="R172" s="78">
        <v>17714</v>
      </c>
      <c r="S172" s="78">
        <v>7575</v>
      </c>
      <c r="T172" s="78">
        <v>0</v>
      </c>
      <c r="U172" s="78">
        <v>3254</v>
      </c>
      <c r="V172" s="78">
        <v>43962</v>
      </c>
      <c r="W172" s="78">
        <v>98700</v>
      </c>
      <c r="X172" s="78">
        <v>91460</v>
      </c>
      <c r="Y172" s="78">
        <v>3708.4</v>
      </c>
      <c r="Z172" s="78">
        <v>6660.8</v>
      </c>
      <c r="AA172" s="78">
        <v>0</v>
      </c>
      <c r="AB172" s="399">
        <v>0</v>
      </c>
      <c r="AC172" s="399">
        <v>1127.5999999999995</v>
      </c>
      <c r="AD172" s="78">
        <v>4544</v>
      </c>
      <c r="AE172" s="78">
        <v>4544</v>
      </c>
      <c r="AF172" s="78">
        <v>91</v>
      </c>
      <c r="AG172" s="78">
        <v>0</v>
      </c>
      <c r="AH172" s="78">
        <v>384</v>
      </c>
      <c r="AI172" s="78">
        <v>11</v>
      </c>
      <c r="AJ172" s="78">
        <v>384</v>
      </c>
      <c r="AK172" s="78">
        <v>11</v>
      </c>
      <c r="AL172" s="78">
        <v>395</v>
      </c>
      <c r="AM172" s="78">
        <v>43007</v>
      </c>
      <c r="AN172" s="78">
        <v>43007</v>
      </c>
      <c r="AO172" s="78">
        <v>0</v>
      </c>
      <c r="AP172" s="78">
        <v>0</v>
      </c>
      <c r="AQ172" s="78">
        <v>0</v>
      </c>
      <c r="AR172" s="78">
        <v>0</v>
      </c>
      <c r="AS172" s="78">
        <v>13746</v>
      </c>
      <c r="AT172" s="78">
        <v>0</v>
      </c>
      <c r="AU172" s="400">
        <v>4.6107020000000004E-3</v>
      </c>
      <c r="AV172" s="400">
        <v>3.890148E-3</v>
      </c>
      <c r="AW172" s="78">
        <v>118269.25</v>
      </c>
      <c r="AX172" s="78">
        <v>0</v>
      </c>
      <c r="AY172" s="78">
        <v>800</v>
      </c>
      <c r="AZ172" s="78">
        <v>15677.4110032362</v>
      </c>
      <c r="BA172" s="78">
        <v>5</v>
      </c>
      <c r="BB172" s="78">
        <v>5</v>
      </c>
      <c r="BC172" s="78">
        <v>13262</v>
      </c>
      <c r="BD172" s="78">
        <v>1</v>
      </c>
      <c r="BE172" s="78">
        <v>0</v>
      </c>
      <c r="BF172" s="78">
        <v>0</v>
      </c>
      <c r="BG172" s="78">
        <v>0</v>
      </c>
      <c r="BH172" s="78">
        <v>0</v>
      </c>
      <c r="BI172" s="78">
        <v>0</v>
      </c>
      <c r="BJ172" s="78">
        <v>0</v>
      </c>
      <c r="BK172" s="78">
        <v>0</v>
      </c>
      <c r="BL172" s="78">
        <v>0</v>
      </c>
      <c r="BM172" s="78">
        <v>2220.8969999999999</v>
      </c>
      <c r="BN172" s="78">
        <v>150</v>
      </c>
      <c r="BO172" s="78">
        <v>263</v>
      </c>
      <c r="BP172" s="78">
        <v>31595.78</v>
      </c>
      <c r="BQ172" s="78">
        <v>8512</v>
      </c>
      <c r="BR172" s="78">
        <v>689.64342460487001</v>
      </c>
      <c r="BS172" s="78">
        <v>1178</v>
      </c>
      <c r="BT172" s="78">
        <v>508</v>
      </c>
      <c r="BU172" s="78">
        <v>448.33333333333297</v>
      </c>
      <c r="BV172" s="78">
        <f t="shared" si="10"/>
        <v>3934.0000000000005</v>
      </c>
      <c r="BW172" s="78">
        <v>984</v>
      </c>
      <c r="BX172" s="78">
        <v>11344.5038192336</v>
      </c>
      <c r="BY172" s="402">
        <v>4.6130000000000004</v>
      </c>
      <c r="BZ172" s="78">
        <v>73650</v>
      </c>
      <c r="CA172" s="78">
        <v>9180</v>
      </c>
      <c r="CB172" s="78">
        <v>2352</v>
      </c>
      <c r="CC172" s="78">
        <v>2700</v>
      </c>
      <c r="CD172" s="78">
        <v>2153</v>
      </c>
      <c r="CE172" s="78">
        <v>1215</v>
      </c>
      <c r="CF172" s="78">
        <v>1342.1163415258</v>
      </c>
      <c r="CG172" s="78">
        <v>877.512116632176</v>
      </c>
      <c r="CH172" s="78">
        <v>379.327367637826</v>
      </c>
      <c r="CI172" s="78">
        <v>2285.415</v>
      </c>
      <c r="CJ172" s="78">
        <v>1494.2664</v>
      </c>
      <c r="CK172" s="78">
        <v>645.93539999999996</v>
      </c>
      <c r="CL172" s="78">
        <v>49630</v>
      </c>
    </row>
    <row r="173" spans="1:90" customFormat="1" x14ac:dyDescent="0.35">
      <c r="A173" s="72">
        <v>1911</v>
      </c>
      <c r="B173" s="72" t="s">
        <v>155</v>
      </c>
      <c r="C173" s="72">
        <v>7</v>
      </c>
      <c r="D173" s="78">
        <v>3596000000</v>
      </c>
      <c r="E173" s="78">
        <v>1012550000</v>
      </c>
      <c r="F173" s="78">
        <v>1142400000</v>
      </c>
      <c r="G173" s="78">
        <v>48432</v>
      </c>
      <c r="H173" s="78">
        <v>10</v>
      </c>
      <c r="I173" s="78">
        <f t="shared" si="8"/>
        <v>1142.4000000000001</v>
      </c>
      <c r="J173" s="78">
        <v>9223</v>
      </c>
      <c r="K173" s="78">
        <v>10089</v>
      </c>
      <c r="L173" s="78">
        <v>3213</v>
      </c>
      <c r="M173" s="78">
        <v>5985</v>
      </c>
      <c r="N173" s="78">
        <f t="shared" si="9"/>
        <v>3879</v>
      </c>
      <c r="O173" s="78">
        <v>534.66666666666697</v>
      </c>
      <c r="P173" s="78">
        <v>35</v>
      </c>
      <c r="Q173" s="78">
        <v>2962.6666666666702</v>
      </c>
      <c r="R173" s="78">
        <v>6640</v>
      </c>
      <c r="S173" s="78">
        <v>765</v>
      </c>
      <c r="T173" s="78">
        <v>0</v>
      </c>
      <c r="U173" s="78">
        <v>1301</v>
      </c>
      <c r="V173" s="78">
        <v>21433</v>
      </c>
      <c r="W173" s="78">
        <v>42600</v>
      </c>
      <c r="X173" s="78">
        <v>7510</v>
      </c>
      <c r="Y173" s="78">
        <v>0</v>
      </c>
      <c r="Z173" s="78">
        <v>785.6</v>
      </c>
      <c r="AA173" s="78">
        <v>0</v>
      </c>
      <c r="AB173" s="399">
        <v>0</v>
      </c>
      <c r="AC173" s="399">
        <v>0</v>
      </c>
      <c r="AD173" s="78">
        <v>35752</v>
      </c>
      <c r="AE173" s="78">
        <v>41114.800000000003</v>
      </c>
      <c r="AF173" s="78">
        <v>1772</v>
      </c>
      <c r="AG173" s="78">
        <v>10000</v>
      </c>
      <c r="AH173" s="78">
        <v>271</v>
      </c>
      <c r="AI173" s="78">
        <v>257</v>
      </c>
      <c r="AJ173" s="78">
        <v>308.94</v>
      </c>
      <c r="AK173" s="78">
        <v>295.55</v>
      </c>
      <c r="AL173" s="78">
        <v>528</v>
      </c>
      <c r="AM173" s="78">
        <v>21060</v>
      </c>
      <c r="AN173" s="78">
        <v>24008.400000000001</v>
      </c>
      <c r="AO173" s="78">
        <v>0</v>
      </c>
      <c r="AP173" s="78">
        <v>0</v>
      </c>
      <c r="AQ173" s="78">
        <v>0</v>
      </c>
      <c r="AR173" s="78">
        <v>0</v>
      </c>
      <c r="AS173" s="78">
        <v>0</v>
      </c>
      <c r="AT173" s="78">
        <v>0</v>
      </c>
      <c r="AU173" s="400">
        <v>5.69079E-4</v>
      </c>
      <c r="AV173" s="400">
        <v>2.33618E-4</v>
      </c>
      <c r="AW173" s="78">
        <v>9118.98</v>
      </c>
      <c r="AX173" s="78">
        <v>0</v>
      </c>
      <c r="AY173" s="78">
        <v>12845.5</v>
      </c>
      <c r="AZ173" s="78">
        <v>19675.8549408379</v>
      </c>
      <c r="BA173" s="78">
        <v>29</v>
      </c>
      <c r="BB173" s="78">
        <v>33.35</v>
      </c>
      <c r="BC173" s="78">
        <v>5943</v>
      </c>
      <c r="BD173" s="78">
        <v>1</v>
      </c>
      <c r="BE173" s="78">
        <v>0</v>
      </c>
      <c r="BF173" s="78">
        <v>0</v>
      </c>
      <c r="BG173" s="78">
        <v>0</v>
      </c>
      <c r="BH173" s="78">
        <v>0</v>
      </c>
      <c r="BI173" s="78">
        <v>0</v>
      </c>
      <c r="BJ173" s="78">
        <v>0</v>
      </c>
      <c r="BK173" s="78">
        <v>0</v>
      </c>
      <c r="BL173" s="78">
        <v>0</v>
      </c>
      <c r="BM173" s="78">
        <v>857.73900000000003</v>
      </c>
      <c r="BN173" s="78">
        <v>165</v>
      </c>
      <c r="BO173" s="78">
        <v>88</v>
      </c>
      <c r="BP173" s="78">
        <v>14098.14</v>
      </c>
      <c r="BQ173" s="78">
        <v>3297.45</v>
      </c>
      <c r="BR173" s="78">
        <v>248.53269421934101</v>
      </c>
      <c r="BS173" s="78">
        <v>510</v>
      </c>
      <c r="BT173" s="78">
        <v>183</v>
      </c>
      <c r="BU173" s="78">
        <v>147.666666666667</v>
      </c>
      <c r="BV173" s="78">
        <f t="shared" si="10"/>
        <v>2428.0000000000032</v>
      </c>
      <c r="BW173" s="78">
        <v>570</v>
      </c>
      <c r="BX173" s="78">
        <v>6393.6520004182803</v>
      </c>
      <c r="BY173" s="402">
        <v>0.623</v>
      </c>
      <c r="BZ173" s="78">
        <v>38343</v>
      </c>
      <c r="CA173" s="78">
        <v>5939</v>
      </c>
      <c r="CB173" s="78">
        <v>937</v>
      </c>
      <c r="CC173" s="78">
        <v>1066</v>
      </c>
      <c r="CD173" s="78">
        <v>1005</v>
      </c>
      <c r="CE173" s="78">
        <v>445</v>
      </c>
      <c r="CF173" s="78">
        <v>660.314102564103</v>
      </c>
      <c r="CG173" s="78">
        <v>395.45170940170902</v>
      </c>
      <c r="CH173" s="78">
        <v>120.090598290598</v>
      </c>
      <c r="CI173" s="78">
        <v>1667.742</v>
      </c>
      <c r="CJ173" s="78">
        <v>998.78440000000001</v>
      </c>
      <c r="CK173" s="78">
        <v>303.31040000000002</v>
      </c>
      <c r="CL173" s="78">
        <v>0</v>
      </c>
    </row>
    <row r="174" spans="1:90" customFormat="1" x14ac:dyDescent="0.35">
      <c r="A174" s="72">
        <v>405</v>
      </c>
      <c r="B174" s="72" t="s">
        <v>157</v>
      </c>
      <c r="C174" s="72">
        <v>7</v>
      </c>
      <c r="D174" s="78">
        <v>6162400000</v>
      </c>
      <c r="E174" s="78">
        <v>996100000</v>
      </c>
      <c r="F174" s="78">
        <v>1007300000</v>
      </c>
      <c r="G174" s="78">
        <v>73261</v>
      </c>
      <c r="H174" s="78">
        <v>1</v>
      </c>
      <c r="I174" s="78">
        <f t="shared" si="8"/>
        <v>1007.3</v>
      </c>
      <c r="J174" s="78">
        <v>14683</v>
      </c>
      <c r="K174" s="78">
        <v>14277</v>
      </c>
      <c r="L174" s="78">
        <v>4138</v>
      </c>
      <c r="M174" s="78">
        <v>10602</v>
      </c>
      <c r="N174" s="78">
        <f t="shared" si="9"/>
        <v>7280.6</v>
      </c>
      <c r="O174" s="78">
        <v>1554</v>
      </c>
      <c r="P174" s="78">
        <v>76</v>
      </c>
      <c r="Q174" s="78">
        <v>6499</v>
      </c>
      <c r="R174" s="78">
        <v>12151</v>
      </c>
      <c r="S174" s="78">
        <v>6810</v>
      </c>
      <c r="T174" s="78">
        <v>0</v>
      </c>
      <c r="U174" s="78">
        <v>3053</v>
      </c>
      <c r="V174" s="78">
        <v>33896</v>
      </c>
      <c r="W174" s="78">
        <v>84970</v>
      </c>
      <c r="X174" s="78">
        <v>87200</v>
      </c>
      <c r="Y174" s="78">
        <v>2538.9</v>
      </c>
      <c r="Z174" s="78">
        <v>5997.6</v>
      </c>
      <c r="AA174" s="78">
        <v>0</v>
      </c>
      <c r="AB174" s="399">
        <v>0</v>
      </c>
      <c r="AC174" s="399">
        <v>0</v>
      </c>
      <c r="AD174" s="78">
        <v>2027</v>
      </c>
      <c r="AE174" s="78">
        <v>2695.91</v>
      </c>
      <c r="AF174" s="78">
        <v>119</v>
      </c>
      <c r="AG174" s="78">
        <v>3200</v>
      </c>
      <c r="AH174" s="78">
        <v>341</v>
      </c>
      <c r="AI174" s="78">
        <v>3</v>
      </c>
      <c r="AJ174" s="78">
        <v>453.53</v>
      </c>
      <c r="AK174" s="78">
        <v>3.81</v>
      </c>
      <c r="AL174" s="78">
        <v>344</v>
      </c>
      <c r="AM174" s="78">
        <v>33214</v>
      </c>
      <c r="AN174" s="78">
        <v>44174.62</v>
      </c>
      <c r="AO174" s="78">
        <v>0</v>
      </c>
      <c r="AP174" s="78">
        <v>46</v>
      </c>
      <c r="AQ174" s="78">
        <v>0</v>
      </c>
      <c r="AR174" s="78">
        <v>5150</v>
      </c>
      <c r="AS174" s="78">
        <v>3299</v>
      </c>
      <c r="AT174" s="78">
        <v>3299</v>
      </c>
      <c r="AU174" s="400">
        <v>1.0728199999999999E-3</v>
      </c>
      <c r="AV174" s="400">
        <v>9.0026500000000003E-4</v>
      </c>
      <c r="AW174" s="78">
        <v>55733.091999999997</v>
      </c>
      <c r="AX174" s="78">
        <v>0</v>
      </c>
      <c r="AY174" s="78">
        <v>2714.53</v>
      </c>
      <c r="AZ174" s="78">
        <v>197099.05933364399</v>
      </c>
      <c r="BA174" s="78">
        <v>1</v>
      </c>
      <c r="BB174" s="78">
        <v>1.27</v>
      </c>
      <c r="BC174" s="78">
        <v>7835</v>
      </c>
      <c r="BD174" s="78">
        <v>1</v>
      </c>
      <c r="BE174" s="78">
        <v>0</v>
      </c>
      <c r="BF174" s="78">
        <v>0</v>
      </c>
      <c r="BG174" s="78">
        <v>0</v>
      </c>
      <c r="BH174" s="78">
        <v>0</v>
      </c>
      <c r="BI174" s="78">
        <v>0</v>
      </c>
      <c r="BJ174" s="78">
        <v>0</v>
      </c>
      <c r="BK174" s="78">
        <v>0</v>
      </c>
      <c r="BL174" s="78">
        <v>0</v>
      </c>
      <c r="BM174" s="78">
        <v>2055.62</v>
      </c>
      <c r="BN174" s="78">
        <v>248</v>
      </c>
      <c r="BO174" s="78">
        <v>229</v>
      </c>
      <c r="BP174" s="78">
        <v>21555.3</v>
      </c>
      <c r="BQ174" s="78">
        <v>5166.09</v>
      </c>
      <c r="BR174" s="78">
        <v>641.80586839899399</v>
      </c>
      <c r="BS174" s="78">
        <v>1249</v>
      </c>
      <c r="BT174" s="78">
        <v>455.66666666666703</v>
      </c>
      <c r="BU174" s="78">
        <v>418.33333333333297</v>
      </c>
      <c r="BV174" s="78">
        <f t="shared" si="10"/>
        <v>4945</v>
      </c>
      <c r="BW174" s="78">
        <v>1475</v>
      </c>
      <c r="BX174" s="78">
        <v>9819.9685047394705</v>
      </c>
      <c r="BY174" s="402">
        <v>3.4430000000000001</v>
      </c>
      <c r="BZ174" s="78">
        <v>58984</v>
      </c>
      <c r="CA174" s="78">
        <v>8827</v>
      </c>
      <c r="CB174" s="78">
        <v>1312</v>
      </c>
      <c r="CC174" s="78">
        <v>2312</v>
      </c>
      <c r="CD174" s="78">
        <v>1516</v>
      </c>
      <c r="CE174" s="78">
        <v>712</v>
      </c>
      <c r="CF174" s="78">
        <v>1243.97558258566</v>
      </c>
      <c r="CG174" s="78">
        <v>621.00137893659303</v>
      </c>
      <c r="CH174" s="78">
        <v>206.05058108026699</v>
      </c>
      <c r="CI174" s="78">
        <v>2685.9775</v>
      </c>
      <c r="CJ174" s="78">
        <v>1340.8588999999999</v>
      </c>
      <c r="CK174" s="78">
        <v>444.90199999999999</v>
      </c>
      <c r="CL174" s="78">
        <v>44488</v>
      </c>
    </row>
    <row r="175" spans="1:90" customFormat="1" x14ac:dyDescent="0.35">
      <c r="A175" s="72">
        <v>406</v>
      </c>
      <c r="B175" s="72" t="s">
        <v>160</v>
      </c>
      <c r="C175" s="72">
        <v>7</v>
      </c>
      <c r="D175" s="78">
        <v>5030400000</v>
      </c>
      <c r="E175" s="78">
        <v>374500000</v>
      </c>
      <c r="F175" s="78">
        <v>388850000</v>
      </c>
      <c r="G175" s="78">
        <v>41273</v>
      </c>
      <c r="H175" s="78">
        <v>1</v>
      </c>
      <c r="I175" s="78">
        <f t="shared" si="8"/>
        <v>388.85</v>
      </c>
      <c r="J175" s="78">
        <v>7892</v>
      </c>
      <c r="K175" s="78">
        <v>9711</v>
      </c>
      <c r="L175" s="78">
        <v>3000</v>
      </c>
      <c r="M175" s="78">
        <v>5218</v>
      </c>
      <c r="N175" s="78">
        <f t="shared" si="9"/>
        <v>3307.3999999999996</v>
      </c>
      <c r="O175" s="78">
        <v>740.33333333333303</v>
      </c>
      <c r="P175" s="78">
        <v>39</v>
      </c>
      <c r="Q175" s="78">
        <v>2564.3333333333298</v>
      </c>
      <c r="R175" s="78">
        <v>6459</v>
      </c>
      <c r="S175" s="78">
        <v>3050</v>
      </c>
      <c r="T175" s="78">
        <v>0</v>
      </c>
      <c r="U175" s="78">
        <v>1455</v>
      </c>
      <c r="V175" s="78">
        <v>19153</v>
      </c>
      <c r="W175" s="78">
        <v>42340</v>
      </c>
      <c r="X175" s="78">
        <v>24100</v>
      </c>
      <c r="Y175" s="78">
        <v>874.81259999999997</v>
      </c>
      <c r="Z175" s="78">
        <v>1899.2</v>
      </c>
      <c r="AA175" s="78">
        <v>0</v>
      </c>
      <c r="AB175" s="399">
        <v>0</v>
      </c>
      <c r="AC175" s="399">
        <v>0</v>
      </c>
      <c r="AD175" s="78">
        <v>1581</v>
      </c>
      <c r="AE175" s="78">
        <v>1581</v>
      </c>
      <c r="AF175" s="78">
        <v>751</v>
      </c>
      <c r="AG175" s="78">
        <v>0</v>
      </c>
      <c r="AH175" s="78">
        <v>164</v>
      </c>
      <c r="AI175" s="78">
        <v>6</v>
      </c>
      <c r="AJ175" s="78">
        <v>164</v>
      </c>
      <c r="AK175" s="78">
        <v>6</v>
      </c>
      <c r="AL175" s="78">
        <v>170</v>
      </c>
      <c r="AM175" s="78">
        <v>19106</v>
      </c>
      <c r="AN175" s="78">
        <v>19106</v>
      </c>
      <c r="AO175" s="78">
        <v>0</v>
      </c>
      <c r="AP175" s="78">
        <v>0</v>
      </c>
      <c r="AQ175" s="78">
        <v>0</v>
      </c>
      <c r="AR175" s="78">
        <v>0</v>
      </c>
      <c r="AS175" s="78">
        <v>1923</v>
      </c>
      <c r="AT175" s="78">
        <v>0</v>
      </c>
      <c r="AU175" s="400">
        <v>3.67773E-4</v>
      </c>
      <c r="AV175" s="400">
        <v>2.27016E-4</v>
      </c>
      <c r="AW175" s="78">
        <v>38766.074000000001</v>
      </c>
      <c r="AX175" s="78">
        <v>0</v>
      </c>
      <c r="AY175" s="78">
        <v>467</v>
      </c>
      <c r="AZ175" s="78">
        <v>8265.2191252144094</v>
      </c>
      <c r="BA175" s="78">
        <v>5</v>
      </c>
      <c r="BB175" s="78">
        <v>5</v>
      </c>
      <c r="BC175" s="78">
        <v>5237</v>
      </c>
      <c r="BD175" s="78">
        <v>1</v>
      </c>
      <c r="BE175" s="78">
        <v>0</v>
      </c>
      <c r="BF175" s="78">
        <v>0</v>
      </c>
      <c r="BG175" s="78">
        <v>0</v>
      </c>
      <c r="BH175" s="78">
        <v>0</v>
      </c>
      <c r="BI175" s="78">
        <v>0</v>
      </c>
      <c r="BJ175" s="78">
        <v>0</v>
      </c>
      <c r="BK175" s="78">
        <v>0</v>
      </c>
      <c r="BL175" s="78">
        <v>0</v>
      </c>
      <c r="BM175" s="78">
        <v>804.98400000000004</v>
      </c>
      <c r="BN175" s="78">
        <v>78</v>
      </c>
      <c r="BO175" s="78">
        <v>74</v>
      </c>
      <c r="BP175" s="78">
        <v>14591.3</v>
      </c>
      <c r="BQ175" s="78">
        <v>3386.56</v>
      </c>
      <c r="BR175" s="78">
        <v>258.20813862633901</v>
      </c>
      <c r="BS175" s="78">
        <v>531</v>
      </c>
      <c r="BT175" s="78">
        <v>213</v>
      </c>
      <c r="BU175" s="78">
        <v>171.666666666667</v>
      </c>
      <c r="BV175" s="78">
        <f t="shared" si="10"/>
        <v>1823.9999999999968</v>
      </c>
      <c r="BW175" s="78">
        <v>456</v>
      </c>
      <c r="BX175" s="78">
        <v>6316.24</v>
      </c>
      <c r="BY175" s="402">
        <v>1.502</v>
      </c>
      <c r="BZ175" s="78">
        <v>31562</v>
      </c>
      <c r="CA175" s="78">
        <v>5625</v>
      </c>
      <c r="CB175" s="78">
        <v>1086</v>
      </c>
      <c r="CC175" s="78">
        <v>1398</v>
      </c>
      <c r="CD175" s="78">
        <v>1086</v>
      </c>
      <c r="CE175" s="78">
        <v>489</v>
      </c>
      <c r="CF175" s="78">
        <v>620.41880037684496</v>
      </c>
      <c r="CG175" s="78">
        <v>350.54354652988599</v>
      </c>
      <c r="CH175" s="78">
        <v>126.022568826547</v>
      </c>
      <c r="CI175" s="78">
        <v>1242.9312</v>
      </c>
      <c r="CJ175" s="78">
        <v>702.27</v>
      </c>
      <c r="CK175" s="78">
        <v>252.47040000000001</v>
      </c>
      <c r="CL175" s="78">
        <v>69350</v>
      </c>
    </row>
    <row r="176" spans="1:90" customFormat="1" x14ac:dyDescent="0.35">
      <c r="A176" s="72">
        <v>1598</v>
      </c>
      <c r="B176" s="72" t="s">
        <v>168</v>
      </c>
      <c r="C176" s="72">
        <v>7</v>
      </c>
      <c r="D176" s="78">
        <v>2006400000</v>
      </c>
      <c r="E176" s="78">
        <v>279300000</v>
      </c>
      <c r="F176" s="78">
        <v>317800000</v>
      </c>
      <c r="G176" s="78">
        <v>22749</v>
      </c>
      <c r="H176" s="78">
        <v>6</v>
      </c>
      <c r="I176" s="78">
        <f t="shared" si="8"/>
        <v>317.8</v>
      </c>
      <c r="J176" s="78">
        <v>4547</v>
      </c>
      <c r="K176" s="78">
        <v>4683</v>
      </c>
      <c r="L176" s="78">
        <v>1459</v>
      </c>
      <c r="M176" s="78">
        <v>2469</v>
      </c>
      <c r="N176" s="78">
        <f t="shared" si="9"/>
        <v>1519</v>
      </c>
      <c r="O176" s="78">
        <v>183</v>
      </c>
      <c r="P176" s="78">
        <v>14</v>
      </c>
      <c r="Q176" s="78">
        <v>1128</v>
      </c>
      <c r="R176" s="78">
        <v>2647</v>
      </c>
      <c r="S176" s="78">
        <v>385</v>
      </c>
      <c r="T176" s="78">
        <v>0</v>
      </c>
      <c r="U176" s="78">
        <v>549</v>
      </c>
      <c r="V176" s="78">
        <v>9595</v>
      </c>
      <c r="W176" s="78">
        <v>15230</v>
      </c>
      <c r="X176" s="78">
        <v>1130</v>
      </c>
      <c r="Y176" s="78">
        <v>0</v>
      </c>
      <c r="Z176" s="78">
        <v>0</v>
      </c>
      <c r="AA176" s="78">
        <v>0</v>
      </c>
      <c r="AB176" s="399">
        <v>0</v>
      </c>
      <c r="AC176" s="399">
        <v>0</v>
      </c>
      <c r="AD176" s="78">
        <v>8037</v>
      </c>
      <c r="AE176" s="78">
        <v>10126.620000000001</v>
      </c>
      <c r="AF176" s="78">
        <v>292</v>
      </c>
      <c r="AG176" s="78">
        <v>79</v>
      </c>
      <c r="AH176" s="78">
        <v>128</v>
      </c>
      <c r="AI176" s="78">
        <v>60</v>
      </c>
      <c r="AJ176" s="78">
        <v>158.72</v>
      </c>
      <c r="AK176" s="78">
        <v>76.2</v>
      </c>
      <c r="AL176" s="78">
        <v>188</v>
      </c>
      <c r="AM176" s="78">
        <v>9500</v>
      </c>
      <c r="AN176" s="78">
        <v>11780</v>
      </c>
      <c r="AO176" s="78">
        <v>0</v>
      </c>
      <c r="AP176" s="78">
        <v>0</v>
      </c>
      <c r="AQ176" s="78">
        <v>0</v>
      </c>
      <c r="AR176" s="78">
        <v>0</v>
      </c>
      <c r="AS176" s="78">
        <v>0</v>
      </c>
      <c r="AT176" s="78">
        <v>0</v>
      </c>
      <c r="AU176" s="400">
        <v>1.7902700000000001E-4</v>
      </c>
      <c r="AV176" s="400">
        <v>5.9729999999999999E-5</v>
      </c>
      <c r="AW176" s="78">
        <v>4066</v>
      </c>
      <c r="AX176" s="78">
        <v>0</v>
      </c>
      <c r="AY176" s="78">
        <v>7410.06</v>
      </c>
      <c r="AZ176" s="78">
        <v>24513.3653523832</v>
      </c>
      <c r="BA176" s="78">
        <v>19</v>
      </c>
      <c r="BB176" s="78">
        <v>24.13</v>
      </c>
      <c r="BC176" s="78">
        <v>2886</v>
      </c>
      <c r="BD176" s="78">
        <v>1</v>
      </c>
      <c r="BE176" s="78">
        <v>0</v>
      </c>
      <c r="BF176" s="78">
        <v>0</v>
      </c>
      <c r="BG176" s="78">
        <v>0</v>
      </c>
      <c r="BH176" s="78">
        <v>0</v>
      </c>
      <c r="BI176" s="78">
        <v>0</v>
      </c>
      <c r="BJ176" s="78">
        <v>0</v>
      </c>
      <c r="BK176" s="78">
        <v>0</v>
      </c>
      <c r="BL176" s="78">
        <v>0</v>
      </c>
      <c r="BM176" s="78">
        <v>331.93099999999998</v>
      </c>
      <c r="BN176" s="78">
        <v>61</v>
      </c>
      <c r="BO176" s="78">
        <v>41</v>
      </c>
      <c r="BP176" s="78">
        <v>6615.78</v>
      </c>
      <c r="BQ176" s="78">
        <v>1753.2</v>
      </c>
      <c r="BR176" s="78">
        <v>60.180586968525702</v>
      </c>
      <c r="BS176" s="78">
        <v>234</v>
      </c>
      <c r="BT176" s="78">
        <v>59.6666666666667</v>
      </c>
      <c r="BU176" s="78">
        <v>33.3333333333333</v>
      </c>
      <c r="BV176" s="78">
        <f t="shared" si="10"/>
        <v>945</v>
      </c>
      <c r="BW176" s="78">
        <v>249</v>
      </c>
      <c r="BX176" s="78">
        <v>2167.48806227461</v>
      </c>
      <c r="BY176" s="402">
        <v>0.11600000000000001</v>
      </c>
      <c r="BZ176" s="78">
        <v>18066</v>
      </c>
      <c r="CA176" s="78">
        <v>2746</v>
      </c>
      <c r="CB176" s="78">
        <v>478</v>
      </c>
      <c r="CC176" s="78">
        <v>460</v>
      </c>
      <c r="CD176" s="78">
        <v>446</v>
      </c>
      <c r="CE176" s="78">
        <v>245</v>
      </c>
      <c r="CF176" s="78">
        <v>264.30599999999998</v>
      </c>
      <c r="CG176" s="78">
        <v>151.10052631578901</v>
      </c>
      <c r="CH176" s="78">
        <v>51.1663157894737</v>
      </c>
      <c r="CI176" s="78">
        <v>685.995</v>
      </c>
      <c r="CJ176" s="78">
        <v>392.17500000000001</v>
      </c>
      <c r="CK176" s="78">
        <v>132.80000000000001</v>
      </c>
      <c r="CL176" s="78">
        <v>5840</v>
      </c>
    </row>
    <row r="177" spans="1:90" customFormat="1" x14ac:dyDescent="0.35">
      <c r="A177" s="72">
        <v>415</v>
      </c>
      <c r="B177" s="72" t="s">
        <v>174</v>
      </c>
      <c r="C177" s="72">
        <v>7</v>
      </c>
      <c r="D177" s="78">
        <v>1674000000</v>
      </c>
      <c r="E177" s="78">
        <v>91350000</v>
      </c>
      <c r="F177" s="78">
        <v>93450000</v>
      </c>
      <c r="G177" s="78">
        <v>11491</v>
      </c>
      <c r="H177" s="78">
        <v>1</v>
      </c>
      <c r="I177" s="78">
        <f t="shared" si="8"/>
        <v>93.45</v>
      </c>
      <c r="J177" s="78">
        <v>2366</v>
      </c>
      <c r="K177" s="78">
        <v>2498</v>
      </c>
      <c r="L177" s="78">
        <v>785</v>
      </c>
      <c r="M177" s="78">
        <v>1129</v>
      </c>
      <c r="N177" s="78">
        <f t="shared" si="9"/>
        <v>638</v>
      </c>
      <c r="O177" s="78">
        <v>121.333333333333</v>
      </c>
      <c r="P177" s="78">
        <v>2</v>
      </c>
      <c r="Q177" s="78">
        <v>503.33333333333297</v>
      </c>
      <c r="R177" s="78">
        <v>1385</v>
      </c>
      <c r="S177" s="78">
        <v>555</v>
      </c>
      <c r="T177" s="78">
        <v>0</v>
      </c>
      <c r="U177" s="78">
        <v>422</v>
      </c>
      <c r="V177" s="78">
        <v>4919</v>
      </c>
      <c r="W177" s="78">
        <v>5550</v>
      </c>
      <c r="X177" s="78">
        <v>310</v>
      </c>
      <c r="Y177" s="78">
        <v>0</v>
      </c>
      <c r="Z177" s="78">
        <v>0</v>
      </c>
      <c r="AA177" s="78">
        <v>0</v>
      </c>
      <c r="AB177" s="399">
        <v>46.099999999999909</v>
      </c>
      <c r="AC177" s="399">
        <v>0</v>
      </c>
      <c r="AD177" s="78">
        <v>2244</v>
      </c>
      <c r="AE177" s="78">
        <v>3029.4</v>
      </c>
      <c r="AF177" s="78">
        <v>406</v>
      </c>
      <c r="AG177" s="78">
        <v>0</v>
      </c>
      <c r="AH177" s="78">
        <v>51</v>
      </c>
      <c r="AI177" s="78">
        <v>8</v>
      </c>
      <c r="AJ177" s="78">
        <v>68.34</v>
      </c>
      <c r="AK177" s="78">
        <v>10.88</v>
      </c>
      <c r="AL177" s="78">
        <v>58</v>
      </c>
      <c r="AM177" s="78">
        <v>4910</v>
      </c>
      <c r="AN177" s="78">
        <v>6579.4</v>
      </c>
      <c r="AO177" s="78">
        <v>0</v>
      </c>
      <c r="AP177" s="78">
        <v>0</v>
      </c>
      <c r="AQ177" s="78">
        <v>0</v>
      </c>
      <c r="AR177" s="78">
        <v>0</v>
      </c>
      <c r="AS177" s="78">
        <v>0</v>
      </c>
      <c r="AT177" s="78">
        <v>0</v>
      </c>
      <c r="AU177" s="400">
        <v>6.2769999999999997E-5</v>
      </c>
      <c r="AV177" s="400">
        <v>6.5520999999999998E-5</v>
      </c>
      <c r="AW177" s="78">
        <v>5091.67</v>
      </c>
      <c r="AX177" s="78">
        <v>0</v>
      </c>
      <c r="AY177" s="78">
        <v>5748.3</v>
      </c>
      <c r="AZ177" s="78">
        <v>71101.538150943394</v>
      </c>
      <c r="BA177" s="78">
        <v>6</v>
      </c>
      <c r="BB177" s="78">
        <v>8.16</v>
      </c>
      <c r="BC177" s="78">
        <v>1744</v>
      </c>
      <c r="BD177" s="78">
        <v>1</v>
      </c>
      <c r="BE177" s="78">
        <v>0</v>
      </c>
      <c r="BF177" s="78">
        <v>0</v>
      </c>
      <c r="BG177" s="78">
        <v>0</v>
      </c>
      <c r="BH177" s="78">
        <v>0</v>
      </c>
      <c r="BI177" s="78">
        <v>0</v>
      </c>
      <c r="BJ177" s="78">
        <v>0</v>
      </c>
      <c r="BK177" s="78">
        <v>0</v>
      </c>
      <c r="BL177" s="78">
        <v>0</v>
      </c>
      <c r="BM177" s="78">
        <v>182.18199999999999</v>
      </c>
      <c r="BN177" s="78">
        <v>19</v>
      </c>
      <c r="BO177" s="78">
        <v>10</v>
      </c>
      <c r="BP177" s="78">
        <v>4223.8500000000004</v>
      </c>
      <c r="BQ177" s="78">
        <v>1151.6400000000001</v>
      </c>
      <c r="BR177" s="78">
        <v>39.8192264808362</v>
      </c>
      <c r="BS177" s="78">
        <v>165</v>
      </c>
      <c r="BT177" s="78">
        <v>38.3333333333333</v>
      </c>
      <c r="BU177" s="78">
        <v>24.6666666666667</v>
      </c>
      <c r="BV177" s="78">
        <f t="shared" si="10"/>
        <v>382</v>
      </c>
      <c r="BW177" s="78">
        <v>61</v>
      </c>
      <c r="BX177" s="78">
        <v>1431.8138091922001</v>
      </c>
      <c r="BY177" s="402">
        <v>8.3000000000000004E-2</v>
      </c>
      <c r="BZ177" s="78">
        <v>8993</v>
      </c>
      <c r="CA177" s="78">
        <v>1417</v>
      </c>
      <c r="CB177" s="78">
        <v>296</v>
      </c>
      <c r="CC177" s="78">
        <v>252</v>
      </c>
      <c r="CD177" s="78">
        <v>260</v>
      </c>
      <c r="CE177" s="78">
        <v>145</v>
      </c>
      <c r="CF177" s="78">
        <v>110.188187372709</v>
      </c>
      <c r="CG177" s="78">
        <v>70.816700610997998</v>
      </c>
      <c r="CH177" s="78">
        <v>25.987780040733199</v>
      </c>
      <c r="CI177" s="78">
        <v>248.6336</v>
      </c>
      <c r="CJ177" s="78">
        <v>159.79400000000001</v>
      </c>
      <c r="CK177" s="78">
        <v>58.64</v>
      </c>
      <c r="CL177" s="78">
        <v>3650</v>
      </c>
    </row>
    <row r="178" spans="1:90" customFormat="1" x14ac:dyDescent="0.35">
      <c r="A178" s="72">
        <v>416</v>
      </c>
      <c r="B178" s="72" t="s">
        <v>175</v>
      </c>
      <c r="C178" s="72">
        <v>7</v>
      </c>
      <c r="D178" s="78">
        <v>2774800000</v>
      </c>
      <c r="E178" s="78">
        <v>298900000</v>
      </c>
      <c r="F178" s="78">
        <v>308350000</v>
      </c>
      <c r="G178" s="78">
        <v>28163</v>
      </c>
      <c r="H178" s="78">
        <v>2</v>
      </c>
      <c r="I178" s="78">
        <f t="shared" si="8"/>
        <v>308.35000000000002</v>
      </c>
      <c r="J178" s="78">
        <v>5764</v>
      </c>
      <c r="K178" s="78">
        <v>5888</v>
      </c>
      <c r="L178" s="78">
        <v>1727</v>
      </c>
      <c r="M178" s="78">
        <v>2950</v>
      </c>
      <c r="N178" s="78">
        <f t="shared" si="9"/>
        <v>1781.1</v>
      </c>
      <c r="O178" s="78">
        <v>308</v>
      </c>
      <c r="P178" s="78">
        <v>38</v>
      </c>
      <c r="Q178" s="78">
        <v>1689</v>
      </c>
      <c r="R178" s="78">
        <v>3233</v>
      </c>
      <c r="S178" s="78">
        <v>775</v>
      </c>
      <c r="T178" s="78">
        <v>0</v>
      </c>
      <c r="U178" s="78">
        <v>848</v>
      </c>
      <c r="V178" s="78">
        <v>11974</v>
      </c>
      <c r="W178" s="78">
        <v>28370</v>
      </c>
      <c r="X178" s="78">
        <v>14830</v>
      </c>
      <c r="Y178" s="78">
        <v>0</v>
      </c>
      <c r="Z178" s="78">
        <v>378.4</v>
      </c>
      <c r="AA178" s="78">
        <v>0</v>
      </c>
      <c r="AB178" s="399">
        <v>0</v>
      </c>
      <c r="AC178" s="399">
        <v>0</v>
      </c>
      <c r="AD178" s="78">
        <v>2366</v>
      </c>
      <c r="AE178" s="78">
        <v>2366</v>
      </c>
      <c r="AF178" s="78">
        <v>337</v>
      </c>
      <c r="AG178" s="78">
        <v>0</v>
      </c>
      <c r="AH178" s="78">
        <v>153</v>
      </c>
      <c r="AI178" s="78">
        <v>12</v>
      </c>
      <c r="AJ178" s="78">
        <v>153</v>
      </c>
      <c r="AK178" s="78">
        <v>12</v>
      </c>
      <c r="AL178" s="78">
        <v>165</v>
      </c>
      <c r="AM178" s="78">
        <v>11689</v>
      </c>
      <c r="AN178" s="78">
        <v>11689</v>
      </c>
      <c r="AO178" s="78">
        <v>0</v>
      </c>
      <c r="AP178" s="78">
        <v>0</v>
      </c>
      <c r="AQ178" s="78">
        <v>0</v>
      </c>
      <c r="AR178" s="78">
        <v>0</v>
      </c>
      <c r="AS178" s="78">
        <v>1101</v>
      </c>
      <c r="AT178" s="78">
        <v>0</v>
      </c>
      <c r="AU178" s="400">
        <v>2.5177899999999999E-4</v>
      </c>
      <c r="AV178" s="400">
        <v>9.4746000000000004E-5</v>
      </c>
      <c r="AW178" s="78">
        <v>10975.971</v>
      </c>
      <c r="AX178" s="78">
        <v>0</v>
      </c>
      <c r="AY178" s="78">
        <v>3369</v>
      </c>
      <c r="AZ178" s="78">
        <v>35102.163152053297</v>
      </c>
      <c r="BA178" s="78">
        <v>7</v>
      </c>
      <c r="BB178" s="78">
        <v>7</v>
      </c>
      <c r="BC178" s="78">
        <v>3134</v>
      </c>
      <c r="BD178" s="78">
        <v>1</v>
      </c>
      <c r="BE178" s="78">
        <v>0</v>
      </c>
      <c r="BF178" s="78">
        <v>0</v>
      </c>
      <c r="BG178" s="78">
        <v>0</v>
      </c>
      <c r="BH178" s="78">
        <v>0</v>
      </c>
      <c r="BI178" s="78">
        <v>0</v>
      </c>
      <c r="BJ178" s="78">
        <v>0</v>
      </c>
      <c r="BK178" s="78">
        <v>0</v>
      </c>
      <c r="BL178" s="78">
        <v>0</v>
      </c>
      <c r="BM178" s="78">
        <v>547.58000000000004</v>
      </c>
      <c r="BN178" s="78">
        <v>89</v>
      </c>
      <c r="BO178" s="78">
        <v>58</v>
      </c>
      <c r="BP178" s="78">
        <v>8560.7099999999991</v>
      </c>
      <c r="BQ178" s="78">
        <v>2197.65</v>
      </c>
      <c r="BR178" s="78">
        <v>212.09885714285701</v>
      </c>
      <c r="BS178" s="78">
        <v>362</v>
      </c>
      <c r="BT178" s="78">
        <v>106.333333333333</v>
      </c>
      <c r="BU178" s="78">
        <v>86</v>
      </c>
      <c r="BV178" s="78">
        <f t="shared" si="10"/>
        <v>1381</v>
      </c>
      <c r="BW178" s="78">
        <v>335</v>
      </c>
      <c r="BX178" s="78">
        <v>3632.0128422406401</v>
      </c>
      <c r="BY178" s="402">
        <v>0.30499999999999999</v>
      </c>
      <c r="BZ178" s="78">
        <v>22275</v>
      </c>
      <c r="CA178" s="78">
        <v>3637</v>
      </c>
      <c r="CB178" s="78">
        <v>524</v>
      </c>
      <c r="CC178" s="78">
        <v>611</v>
      </c>
      <c r="CD178" s="78">
        <v>482</v>
      </c>
      <c r="CE178" s="78">
        <v>259</v>
      </c>
      <c r="CF178" s="78">
        <v>330.80401231927402</v>
      </c>
      <c r="CG178" s="78">
        <v>170.658910086406</v>
      </c>
      <c r="CH178" s="78">
        <v>57.140260073573401</v>
      </c>
      <c r="CI178" s="78">
        <v>869.4855</v>
      </c>
      <c r="CJ178" s="78">
        <v>448.56</v>
      </c>
      <c r="CK178" s="78">
        <v>150.1875</v>
      </c>
      <c r="CL178" s="78">
        <v>0</v>
      </c>
    </row>
    <row r="179" spans="1:90" customFormat="1" x14ac:dyDescent="0.35">
      <c r="A179" s="72">
        <v>417</v>
      </c>
      <c r="B179" s="72" t="s">
        <v>177</v>
      </c>
      <c r="C179" s="72">
        <v>7</v>
      </c>
      <c r="D179" s="78">
        <v>2847600000</v>
      </c>
      <c r="E179" s="78">
        <v>182350000</v>
      </c>
      <c r="F179" s="78">
        <v>191450000</v>
      </c>
      <c r="G179" s="78">
        <v>11280</v>
      </c>
      <c r="H179" s="78">
        <v>1</v>
      </c>
      <c r="I179" s="78">
        <f t="shared" si="8"/>
        <v>191.45</v>
      </c>
      <c r="J179" s="78">
        <v>2205</v>
      </c>
      <c r="K179" s="78">
        <v>3521</v>
      </c>
      <c r="L179" s="78">
        <v>1226</v>
      </c>
      <c r="M179" s="78">
        <v>1328</v>
      </c>
      <c r="N179" s="78">
        <f t="shared" si="9"/>
        <v>756</v>
      </c>
      <c r="O179" s="78">
        <v>112.666666666667</v>
      </c>
      <c r="P179" s="78">
        <v>7</v>
      </c>
      <c r="Q179" s="78">
        <v>425.66666666666703</v>
      </c>
      <c r="R179" s="78">
        <v>1842</v>
      </c>
      <c r="S179" s="78">
        <v>260</v>
      </c>
      <c r="T179" s="78">
        <v>0</v>
      </c>
      <c r="U179" s="78">
        <v>377</v>
      </c>
      <c r="V179" s="78">
        <v>5459</v>
      </c>
      <c r="W179" s="78">
        <v>8770</v>
      </c>
      <c r="X179" s="78">
        <v>1300</v>
      </c>
      <c r="Y179" s="78">
        <v>0</v>
      </c>
      <c r="Z179" s="78">
        <v>1214.4000000000001</v>
      </c>
      <c r="AA179" s="78">
        <v>0</v>
      </c>
      <c r="AB179" s="399">
        <v>0</v>
      </c>
      <c r="AC179" s="399">
        <v>0</v>
      </c>
      <c r="AD179" s="78">
        <v>1239</v>
      </c>
      <c r="AE179" s="78">
        <v>1239</v>
      </c>
      <c r="AF179" s="78">
        <v>2</v>
      </c>
      <c r="AG179" s="78">
        <v>0</v>
      </c>
      <c r="AH179" s="78">
        <v>71</v>
      </c>
      <c r="AI179" s="78">
        <v>3</v>
      </c>
      <c r="AJ179" s="78">
        <v>71</v>
      </c>
      <c r="AK179" s="78">
        <v>3</v>
      </c>
      <c r="AL179" s="78">
        <v>73</v>
      </c>
      <c r="AM179" s="78">
        <v>5720</v>
      </c>
      <c r="AN179" s="78">
        <v>5720</v>
      </c>
      <c r="AO179" s="78">
        <v>0</v>
      </c>
      <c r="AP179" s="78">
        <v>0</v>
      </c>
      <c r="AQ179" s="78">
        <v>0</v>
      </c>
      <c r="AR179" s="78">
        <v>0</v>
      </c>
      <c r="AS179" s="78">
        <v>1634</v>
      </c>
      <c r="AT179" s="78">
        <v>0</v>
      </c>
      <c r="AU179" s="400">
        <v>2.7848400000000001E-4</v>
      </c>
      <c r="AV179" s="400">
        <v>8.7148E-5</v>
      </c>
      <c r="AW179" s="78">
        <v>6257.68</v>
      </c>
      <c r="AX179" s="78">
        <v>0</v>
      </c>
      <c r="AY179" s="78">
        <v>69</v>
      </c>
      <c r="AZ179" s="78">
        <v>627.17163577759902</v>
      </c>
      <c r="BA179" s="78">
        <v>1</v>
      </c>
      <c r="BB179" s="78">
        <v>1</v>
      </c>
      <c r="BC179" s="78">
        <v>2404</v>
      </c>
      <c r="BD179" s="78">
        <v>1</v>
      </c>
      <c r="BE179" s="78">
        <v>0</v>
      </c>
      <c r="BF179" s="78">
        <v>0</v>
      </c>
      <c r="BG179" s="78">
        <v>0</v>
      </c>
      <c r="BH179" s="78">
        <v>0</v>
      </c>
      <c r="BI179" s="78">
        <v>0</v>
      </c>
      <c r="BJ179" s="78">
        <v>0</v>
      </c>
      <c r="BK179" s="78">
        <v>0</v>
      </c>
      <c r="BL179" s="78">
        <v>0</v>
      </c>
      <c r="BM179" s="78">
        <v>231.52500000000001</v>
      </c>
      <c r="BN179" s="78">
        <v>10</v>
      </c>
      <c r="BO179" s="78">
        <v>17</v>
      </c>
      <c r="BP179" s="78">
        <v>4846.12</v>
      </c>
      <c r="BQ179" s="78">
        <v>1141.69</v>
      </c>
      <c r="BR179" s="78">
        <v>35.513181818181799</v>
      </c>
      <c r="BS179" s="78">
        <v>151</v>
      </c>
      <c r="BT179" s="78">
        <v>35</v>
      </c>
      <c r="BU179" s="78">
        <v>25.6666666666667</v>
      </c>
      <c r="BV179" s="78">
        <f t="shared" si="10"/>
        <v>313</v>
      </c>
      <c r="BW179" s="78">
        <v>78</v>
      </c>
      <c r="BX179" s="78">
        <v>1687.3146940598499</v>
      </c>
      <c r="BY179" s="402">
        <v>8.3000000000000004E-2</v>
      </c>
      <c r="BZ179" s="78">
        <v>7759</v>
      </c>
      <c r="CA179" s="78">
        <v>1622</v>
      </c>
      <c r="CB179" s="78">
        <v>673</v>
      </c>
      <c r="CC179" s="78">
        <v>402</v>
      </c>
      <c r="CD179" s="78">
        <v>416</v>
      </c>
      <c r="CE179" s="78">
        <v>272</v>
      </c>
      <c r="CF179" s="78">
        <v>140.758741258741</v>
      </c>
      <c r="CG179" s="78">
        <v>99.258041958042</v>
      </c>
      <c r="CH179" s="78">
        <v>47.9769230769231</v>
      </c>
      <c r="CI179" s="78">
        <v>96.808499999999995</v>
      </c>
      <c r="CJ179" s="78">
        <v>68.265900000000002</v>
      </c>
      <c r="CK179" s="78">
        <v>32.996699999999997</v>
      </c>
      <c r="CL179" s="78">
        <v>39925</v>
      </c>
    </row>
    <row r="180" spans="1:90" customFormat="1" x14ac:dyDescent="0.35">
      <c r="A180" s="72">
        <v>420</v>
      </c>
      <c r="B180" s="72" t="s">
        <v>196</v>
      </c>
      <c r="C180" s="72">
        <v>7</v>
      </c>
      <c r="D180" s="78">
        <v>3999600000</v>
      </c>
      <c r="E180" s="78">
        <v>706650000</v>
      </c>
      <c r="F180" s="78">
        <v>751100000</v>
      </c>
      <c r="G180" s="78">
        <v>45101</v>
      </c>
      <c r="H180" s="78">
        <v>6</v>
      </c>
      <c r="I180" s="78">
        <f t="shared" si="8"/>
        <v>751.1</v>
      </c>
      <c r="J180" s="78">
        <v>8982</v>
      </c>
      <c r="K180" s="78">
        <v>9505</v>
      </c>
      <c r="L180" s="78">
        <v>2821</v>
      </c>
      <c r="M180" s="78">
        <v>5578</v>
      </c>
      <c r="N180" s="78">
        <f t="shared" si="9"/>
        <v>3572.5</v>
      </c>
      <c r="O180" s="78">
        <v>508</v>
      </c>
      <c r="P180" s="78">
        <v>63</v>
      </c>
      <c r="Q180" s="78">
        <v>3030</v>
      </c>
      <c r="R180" s="78">
        <v>5840</v>
      </c>
      <c r="S180" s="78">
        <v>1315</v>
      </c>
      <c r="T180" s="78">
        <v>0</v>
      </c>
      <c r="U180" s="78">
        <v>1206</v>
      </c>
      <c r="V180" s="78">
        <v>19760</v>
      </c>
      <c r="W180" s="78">
        <v>39950</v>
      </c>
      <c r="X180" s="78">
        <v>13170</v>
      </c>
      <c r="Y180" s="78">
        <v>0</v>
      </c>
      <c r="Z180" s="78">
        <v>293.60000000000002</v>
      </c>
      <c r="AA180" s="78">
        <v>0</v>
      </c>
      <c r="AB180" s="399">
        <v>0</v>
      </c>
      <c r="AC180" s="399">
        <v>0</v>
      </c>
      <c r="AD180" s="78">
        <v>12107</v>
      </c>
      <c r="AE180" s="78">
        <v>15496.96</v>
      </c>
      <c r="AF180" s="78">
        <v>610</v>
      </c>
      <c r="AG180" s="78">
        <v>10000</v>
      </c>
      <c r="AH180" s="78">
        <v>300</v>
      </c>
      <c r="AI180" s="78">
        <v>101</v>
      </c>
      <c r="AJ180" s="78">
        <v>378</v>
      </c>
      <c r="AK180" s="78">
        <v>130.29</v>
      </c>
      <c r="AL180" s="78">
        <v>401</v>
      </c>
      <c r="AM180" s="78">
        <v>20055</v>
      </c>
      <c r="AN180" s="78">
        <v>25269.3</v>
      </c>
      <c r="AO180" s="78">
        <v>31</v>
      </c>
      <c r="AP180" s="78">
        <v>0</v>
      </c>
      <c r="AQ180" s="78">
        <v>0</v>
      </c>
      <c r="AR180" s="78">
        <v>5950</v>
      </c>
      <c r="AS180" s="78">
        <v>1776</v>
      </c>
      <c r="AT180" s="78">
        <v>803</v>
      </c>
      <c r="AU180" s="400">
        <v>5.9836899999999996E-4</v>
      </c>
      <c r="AV180" s="400">
        <v>1.58083E-4</v>
      </c>
      <c r="AW180" s="78">
        <v>10488.764999999999</v>
      </c>
      <c r="AX180" s="78">
        <v>0</v>
      </c>
      <c r="AY180" s="78">
        <v>10867.2</v>
      </c>
      <c r="AZ180" s="78">
        <v>55200.758417865902</v>
      </c>
      <c r="BA180" s="78">
        <v>20</v>
      </c>
      <c r="BB180" s="78">
        <v>25.8</v>
      </c>
      <c r="BC180" s="78">
        <v>5705</v>
      </c>
      <c r="BD180" s="78">
        <v>1</v>
      </c>
      <c r="BE180" s="78">
        <v>0</v>
      </c>
      <c r="BF180" s="78">
        <v>0</v>
      </c>
      <c r="BG180" s="78">
        <v>0</v>
      </c>
      <c r="BH180" s="78">
        <v>0</v>
      </c>
      <c r="BI180" s="78">
        <v>0</v>
      </c>
      <c r="BJ180" s="78">
        <v>0</v>
      </c>
      <c r="BK180" s="78">
        <v>0</v>
      </c>
      <c r="BL180" s="78">
        <v>0</v>
      </c>
      <c r="BM180" s="78">
        <v>817.36199999999997</v>
      </c>
      <c r="BN180" s="78">
        <v>139</v>
      </c>
      <c r="BO180" s="78">
        <v>98</v>
      </c>
      <c r="BP180" s="78">
        <v>12759.48</v>
      </c>
      <c r="BQ180" s="78">
        <v>3191.76</v>
      </c>
      <c r="BR180" s="78">
        <v>293.93530659025799</v>
      </c>
      <c r="BS180" s="78">
        <v>515</v>
      </c>
      <c r="BT180" s="78">
        <v>167</v>
      </c>
      <c r="BU180" s="78">
        <v>133</v>
      </c>
      <c r="BV180" s="78">
        <f t="shared" si="10"/>
        <v>2522</v>
      </c>
      <c r="BW180" s="78">
        <v>801</v>
      </c>
      <c r="BX180" s="78">
        <v>5629.36653172354</v>
      </c>
      <c r="BY180" s="402">
        <v>0.61199999999999999</v>
      </c>
      <c r="BZ180" s="78">
        <v>35596</v>
      </c>
      <c r="CA180" s="78">
        <v>5861</v>
      </c>
      <c r="CB180" s="78">
        <v>823</v>
      </c>
      <c r="CC180" s="78">
        <v>1086</v>
      </c>
      <c r="CD180" s="78">
        <v>847</v>
      </c>
      <c r="CE180" s="78">
        <v>369</v>
      </c>
      <c r="CF180" s="78">
        <v>631.84530042383403</v>
      </c>
      <c r="CG180" s="78">
        <v>331.86574420344101</v>
      </c>
      <c r="CH180" s="78">
        <v>91.739591124407895</v>
      </c>
      <c r="CI180" s="78">
        <v>1621.3336999999999</v>
      </c>
      <c r="CJ180" s="78">
        <v>851.57730000000004</v>
      </c>
      <c r="CK180" s="78">
        <v>235.40649999999999</v>
      </c>
      <c r="CL180" s="78">
        <v>94170</v>
      </c>
    </row>
    <row r="181" spans="1:90" customFormat="1" x14ac:dyDescent="0.35">
      <c r="A181" s="72">
        <v>431</v>
      </c>
      <c r="B181" s="72" t="s">
        <v>235</v>
      </c>
      <c r="C181" s="72">
        <v>7</v>
      </c>
      <c r="D181" s="78">
        <v>1182400000</v>
      </c>
      <c r="E181" s="78">
        <v>124250000</v>
      </c>
      <c r="F181" s="78">
        <v>127750000</v>
      </c>
      <c r="G181" s="78">
        <v>9735</v>
      </c>
      <c r="H181" s="78">
        <v>1</v>
      </c>
      <c r="I181" s="78">
        <f t="shared" si="8"/>
        <v>127.75</v>
      </c>
      <c r="J181" s="78">
        <v>1910</v>
      </c>
      <c r="K181" s="78">
        <v>2008</v>
      </c>
      <c r="L181" s="78">
        <v>695</v>
      </c>
      <c r="M181" s="78">
        <v>1060</v>
      </c>
      <c r="N181" s="78">
        <f t="shared" si="9"/>
        <v>648.20000000000005</v>
      </c>
      <c r="O181" s="78">
        <v>103.666666666667</v>
      </c>
      <c r="P181" s="78">
        <v>0</v>
      </c>
      <c r="Q181" s="78">
        <v>470.66666666666703</v>
      </c>
      <c r="R181" s="78">
        <v>1141</v>
      </c>
      <c r="S181" s="78">
        <v>400</v>
      </c>
      <c r="T181" s="78">
        <v>0</v>
      </c>
      <c r="U181" s="78">
        <v>313</v>
      </c>
      <c r="V181" s="78">
        <v>4163</v>
      </c>
      <c r="W181" s="78">
        <v>4730</v>
      </c>
      <c r="X181" s="78">
        <v>260</v>
      </c>
      <c r="Y181" s="78">
        <v>0</v>
      </c>
      <c r="Z181" s="78">
        <v>0</v>
      </c>
      <c r="AA181" s="78">
        <v>0</v>
      </c>
      <c r="AB181" s="399">
        <v>0</v>
      </c>
      <c r="AC181" s="399">
        <v>0</v>
      </c>
      <c r="AD181" s="78">
        <v>1155</v>
      </c>
      <c r="AE181" s="78">
        <v>1455.3</v>
      </c>
      <c r="AF181" s="78">
        <v>453</v>
      </c>
      <c r="AG181" s="78">
        <v>0</v>
      </c>
      <c r="AH181" s="78">
        <v>45</v>
      </c>
      <c r="AI181" s="78">
        <v>4</v>
      </c>
      <c r="AJ181" s="78">
        <v>60.75</v>
      </c>
      <c r="AK181" s="78">
        <v>4.84</v>
      </c>
      <c r="AL181" s="78">
        <v>49</v>
      </c>
      <c r="AM181" s="78">
        <v>4118</v>
      </c>
      <c r="AN181" s="78">
        <v>5559.3</v>
      </c>
      <c r="AO181" s="78">
        <v>0</v>
      </c>
      <c r="AP181" s="78">
        <v>0</v>
      </c>
      <c r="AQ181" s="78">
        <v>0</v>
      </c>
      <c r="AR181" s="78">
        <v>0</v>
      </c>
      <c r="AS181" s="78">
        <v>797</v>
      </c>
      <c r="AT181" s="78">
        <v>0</v>
      </c>
      <c r="AU181" s="400">
        <v>1.07664E-4</v>
      </c>
      <c r="AV181" s="400">
        <v>6.1731999999999998E-5</v>
      </c>
      <c r="AW181" s="78">
        <v>4369.1980000000003</v>
      </c>
      <c r="AX181" s="78">
        <v>0</v>
      </c>
      <c r="AY181" s="78">
        <v>4745.16</v>
      </c>
      <c r="AZ181" s="78">
        <v>73764.419776119394</v>
      </c>
      <c r="BA181" s="78">
        <v>4</v>
      </c>
      <c r="BB181" s="78">
        <v>4.84</v>
      </c>
      <c r="BC181" s="78">
        <v>1208</v>
      </c>
      <c r="BD181" s="78">
        <v>1</v>
      </c>
      <c r="BE181" s="78">
        <v>0</v>
      </c>
      <c r="BF181" s="78">
        <v>0</v>
      </c>
      <c r="BG181" s="78">
        <v>0</v>
      </c>
      <c r="BH181" s="78">
        <v>0</v>
      </c>
      <c r="BI181" s="78">
        <v>0</v>
      </c>
      <c r="BJ181" s="78">
        <v>0</v>
      </c>
      <c r="BK181" s="78">
        <v>0</v>
      </c>
      <c r="BL181" s="78">
        <v>0</v>
      </c>
      <c r="BM181" s="78">
        <v>129.88</v>
      </c>
      <c r="BN181" s="78">
        <v>28</v>
      </c>
      <c r="BO181" s="78">
        <v>13</v>
      </c>
      <c r="BP181" s="78">
        <v>3226.36</v>
      </c>
      <c r="BQ181" s="78">
        <v>937.6</v>
      </c>
      <c r="BR181" s="78">
        <v>44.531399416909601</v>
      </c>
      <c r="BS181" s="78">
        <v>121</v>
      </c>
      <c r="BT181" s="78">
        <v>37.3333333333333</v>
      </c>
      <c r="BU181" s="78">
        <v>27</v>
      </c>
      <c r="BV181" s="78">
        <f t="shared" si="10"/>
        <v>367</v>
      </c>
      <c r="BW181" s="78">
        <v>49</v>
      </c>
      <c r="BX181" s="78">
        <v>1222.3975197294301</v>
      </c>
      <c r="BY181" s="402">
        <v>5.8000000000000003E-2</v>
      </c>
      <c r="BZ181" s="78">
        <v>7727</v>
      </c>
      <c r="CA181" s="78">
        <v>1084</v>
      </c>
      <c r="CB181" s="78">
        <v>229</v>
      </c>
      <c r="CC181" s="78">
        <v>208</v>
      </c>
      <c r="CD181" s="78">
        <v>237</v>
      </c>
      <c r="CE181" s="78">
        <v>109</v>
      </c>
      <c r="CF181" s="78">
        <v>103.888295288975</v>
      </c>
      <c r="CG181" s="78">
        <v>74.138465274405107</v>
      </c>
      <c r="CH181" s="78">
        <v>24.398008742107798</v>
      </c>
      <c r="CI181" s="78">
        <v>231</v>
      </c>
      <c r="CJ181" s="78">
        <v>164.85</v>
      </c>
      <c r="CK181" s="78">
        <v>54.25</v>
      </c>
      <c r="CL181" s="78">
        <v>0</v>
      </c>
    </row>
    <row r="182" spans="1:90" customFormat="1" x14ac:dyDescent="0.35">
      <c r="A182" s="72">
        <v>432</v>
      </c>
      <c r="B182" s="72" t="s">
        <v>236</v>
      </c>
      <c r="C182" s="72">
        <v>7</v>
      </c>
      <c r="D182" s="78">
        <v>1032400000</v>
      </c>
      <c r="E182" s="78">
        <v>163100000</v>
      </c>
      <c r="F182" s="78">
        <v>180950000</v>
      </c>
      <c r="G182" s="78">
        <v>11836</v>
      </c>
      <c r="H182" s="78">
        <v>1</v>
      </c>
      <c r="I182" s="78">
        <f t="shared" si="8"/>
        <v>180.95</v>
      </c>
      <c r="J182" s="78">
        <v>2274</v>
      </c>
      <c r="K182" s="78">
        <v>2513</v>
      </c>
      <c r="L182" s="78">
        <v>825</v>
      </c>
      <c r="M182" s="78">
        <v>1423</v>
      </c>
      <c r="N182" s="78">
        <f t="shared" si="9"/>
        <v>921.2</v>
      </c>
      <c r="O182" s="78">
        <v>84.3333333333333</v>
      </c>
      <c r="P182" s="78">
        <v>12</v>
      </c>
      <c r="Q182" s="78">
        <v>600.33333333333303</v>
      </c>
      <c r="R182" s="78">
        <v>1566</v>
      </c>
      <c r="S182" s="78">
        <v>180</v>
      </c>
      <c r="T182" s="78">
        <v>0</v>
      </c>
      <c r="U182" s="78">
        <v>283</v>
      </c>
      <c r="V182" s="78">
        <v>5126</v>
      </c>
      <c r="W182" s="78">
        <v>10660</v>
      </c>
      <c r="X182" s="78">
        <v>2010</v>
      </c>
      <c r="Y182" s="78">
        <v>0</v>
      </c>
      <c r="Z182" s="78">
        <v>0</v>
      </c>
      <c r="AA182" s="78">
        <v>0</v>
      </c>
      <c r="AB182" s="399">
        <v>0</v>
      </c>
      <c r="AC182" s="399">
        <v>0</v>
      </c>
      <c r="AD182" s="78">
        <v>4148</v>
      </c>
      <c r="AE182" s="78">
        <v>4894.6400000000003</v>
      </c>
      <c r="AF182" s="78">
        <v>47</v>
      </c>
      <c r="AG182" s="78">
        <v>0</v>
      </c>
      <c r="AH182" s="78">
        <v>78</v>
      </c>
      <c r="AI182" s="78">
        <v>31</v>
      </c>
      <c r="AJ182" s="78">
        <v>87.36</v>
      </c>
      <c r="AK182" s="78">
        <v>36.89</v>
      </c>
      <c r="AL182" s="78">
        <v>109</v>
      </c>
      <c r="AM182" s="78">
        <v>5018</v>
      </c>
      <c r="AN182" s="78">
        <v>5620.16</v>
      </c>
      <c r="AO182" s="78">
        <v>0</v>
      </c>
      <c r="AP182" s="78">
        <v>0</v>
      </c>
      <c r="AQ182" s="78">
        <v>0</v>
      </c>
      <c r="AR182" s="78">
        <v>0</v>
      </c>
      <c r="AS182" s="78">
        <v>0</v>
      </c>
      <c r="AT182" s="78">
        <v>0</v>
      </c>
      <c r="AU182" s="400">
        <v>1.06526E-4</v>
      </c>
      <c r="AV182" s="400">
        <v>3.7902999999999999E-5</v>
      </c>
      <c r="AW182" s="78">
        <v>2594.306</v>
      </c>
      <c r="AX182" s="78">
        <v>0</v>
      </c>
      <c r="AY182" s="78">
        <v>1888</v>
      </c>
      <c r="AZ182" s="78">
        <v>5326.9053635280097</v>
      </c>
      <c r="BA182" s="78">
        <v>6</v>
      </c>
      <c r="BB182" s="78">
        <v>7.14</v>
      </c>
      <c r="BC182" s="78">
        <v>1506</v>
      </c>
      <c r="BD182" s="78">
        <v>1</v>
      </c>
      <c r="BE182" s="78">
        <v>0</v>
      </c>
      <c r="BF182" s="78">
        <v>0</v>
      </c>
      <c r="BG182" s="78">
        <v>0</v>
      </c>
      <c r="BH182" s="78">
        <v>0</v>
      </c>
      <c r="BI182" s="78">
        <v>0</v>
      </c>
      <c r="BJ182" s="78">
        <v>0</v>
      </c>
      <c r="BK182" s="78">
        <v>0</v>
      </c>
      <c r="BL182" s="78">
        <v>0</v>
      </c>
      <c r="BM182" s="78">
        <v>152.358</v>
      </c>
      <c r="BN182" s="78">
        <v>34</v>
      </c>
      <c r="BO182" s="78">
        <v>14</v>
      </c>
      <c r="BP182" s="78">
        <v>3512.6</v>
      </c>
      <c r="BQ182" s="78">
        <v>873.6</v>
      </c>
      <c r="BR182" s="78">
        <v>43.304441558441603</v>
      </c>
      <c r="BS182" s="78">
        <v>120</v>
      </c>
      <c r="BT182" s="78">
        <v>28</v>
      </c>
      <c r="BU182" s="78">
        <v>22</v>
      </c>
      <c r="BV182" s="78">
        <f t="shared" si="10"/>
        <v>515.99999999999977</v>
      </c>
      <c r="BW182" s="78">
        <v>129</v>
      </c>
      <c r="BX182" s="78">
        <v>1341.9827421682701</v>
      </c>
      <c r="BY182" s="402">
        <v>6.0999999999999999E-2</v>
      </c>
      <c r="BZ182" s="78">
        <v>9323</v>
      </c>
      <c r="CA182" s="78">
        <v>1460</v>
      </c>
      <c r="CB182" s="78">
        <v>228</v>
      </c>
      <c r="CC182" s="78">
        <v>237</v>
      </c>
      <c r="CD182" s="78">
        <v>265</v>
      </c>
      <c r="CE182" s="78">
        <v>121</v>
      </c>
      <c r="CF182" s="78">
        <v>163.201833399761</v>
      </c>
      <c r="CG182" s="78">
        <v>99.867038660821095</v>
      </c>
      <c r="CH182" s="78">
        <v>29.005500199282601</v>
      </c>
      <c r="CI182" s="78">
        <v>382.18110000000001</v>
      </c>
      <c r="CJ182" s="78">
        <v>233.8656</v>
      </c>
      <c r="CK182" s="78">
        <v>67.924199999999999</v>
      </c>
      <c r="CL182" s="78">
        <v>0</v>
      </c>
    </row>
    <row r="183" spans="1:90" customFormat="1" x14ac:dyDescent="0.35">
      <c r="A183" s="72">
        <v>437</v>
      </c>
      <c r="B183" s="72" t="s">
        <v>240</v>
      </c>
      <c r="C183" s="72">
        <v>7</v>
      </c>
      <c r="D183" s="78">
        <v>2168400000</v>
      </c>
      <c r="E183" s="78">
        <v>495600000</v>
      </c>
      <c r="F183" s="78">
        <v>506800000</v>
      </c>
      <c r="G183" s="78">
        <v>14026</v>
      </c>
      <c r="H183" s="78">
        <v>2</v>
      </c>
      <c r="I183" s="78">
        <f t="shared" si="8"/>
        <v>506.8</v>
      </c>
      <c r="J183" s="78">
        <v>2902</v>
      </c>
      <c r="K183" s="78">
        <v>2909</v>
      </c>
      <c r="L183" s="78">
        <v>895</v>
      </c>
      <c r="M183" s="78">
        <v>1602</v>
      </c>
      <c r="N183" s="78">
        <f t="shared" si="9"/>
        <v>967.3</v>
      </c>
      <c r="O183" s="78">
        <v>172</v>
      </c>
      <c r="P183" s="78">
        <v>13</v>
      </c>
      <c r="Q183" s="78">
        <v>613</v>
      </c>
      <c r="R183" s="78">
        <v>2316</v>
      </c>
      <c r="S183" s="78">
        <v>1140</v>
      </c>
      <c r="T183" s="78">
        <v>0</v>
      </c>
      <c r="U183" s="78">
        <v>534</v>
      </c>
      <c r="V183" s="78">
        <v>6430</v>
      </c>
      <c r="W183" s="78">
        <v>6710</v>
      </c>
      <c r="X183" s="78">
        <v>340</v>
      </c>
      <c r="Y183" s="78">
        <v>294.10000000000002</v>
      </c>
      <c r="Z183" s="78">
        <v>0</v>
      </c>
      <c r="AA183" s="78">
        <v>0</v>
      </c>
      <c r="AB183" s="399">
        <v>0</v>
      </c>
      <c r="AC183" s="399">
        <v>0</v>
      </c>
      <c r="AD183" s="78">
        <v>2398</v>
      </c>
      <c r="AE183" s="78">
        <v>3357.2</v>
      </c>
      <c r="AF183" s="78">
        <v>181</v>
      </c>
      <c r="AG183" s="78">
        <v>0</v>
      </c>
      <c r="AH183" s="78">
        <v>83</v>
      </c>
      <c r="AI183" s="78">
        <v>16</v>
      </c>
      <c r="AJ183" s="78">
        <v>115.37</v>
      </c>
      <c r="AK183" s="78">
        <v>22.56</v>
      </c>
      <c r="AL183" s="78">
        <v>99</v>
      </c>
      <c r="AM183" s="78">
        <v>6347</v>
      </c>
      <c r="AN183" s="78">
        <v>8822.33</v>
      </c>
      <c r="AO183" s="78">
        <v>0</v>
      </c>
      <c r="AP183" s="78">
        <v>0</v>
      </c>
      <c r="AQ183" s="78">
        <v>0</v>
      </c>
      <c r="AR183" s="78">
        <v>0</v>
      </c>
      <c r="AS183" s="78">
        <v>0</v>
      </c>
      <c r="AT183" s="78">
        <v>0</v>
      </c>
      <c r="AU183" s="400">
        <v>1.39801E-4</v>
      </c>
      <c r="AV183" s="400">
        <v>2.3588999999999999E-4</v>
      </c>
      <c r="AW183" s="78">
        <v>8327.2639999999992</v>
      </c>
      <c r="AX183" s="78">
        <v>0</v>
      </c>
      <c r="AY183" s="78">
        <v>2433.1999999999998</v>
      </c>
      <c r="AZ183" s="78">
        <v>35420.136797208201</v>
      </c>
      <c r="BA183" s="78">
        <v>3</v>
      </c>
      <c r="BB183" s="78">
        <v>4.2300000000000004</v>
      </c>
      <c r="BC183" s="78">
        <v>2635</v>
      </c>
      <c r="BD183" s="78">
        <v>1</v>
      </c>
      <c r="BE183" s="78">
        <v>0</v>
      </c>
      <c r="BF183" s="78">
        <v>0</v>
      </c>
      <c r="BG183" s="78">
        <v>0</v>
      </c>
      <c r="BH183" s="78">
        <v>0</v>
      </c>
      <c r="BI183" s="78">
        <v>0</v>
      </c>
      <c r="BJ183" s="78">
        <v>0</v>
      </c>
      <c r="BK183" s="78">
        <v>0</v>
      </c>
      <c r="BL183" s="78">
        <v>0</v>
      </c>
      <c r="BM183" s="78">
        <v>232.16</v>
      </c>
      <c r="BN183" s="78">
        <v>8</v>
      </c>
      <c r="BO183" s="78">
        <v>17</v>
      </c>
      <c r="BP183" s="78">
        <v>5745.74</v>
      </c>
      <c r="BQ183" s="78">
        <v>1565.76</v>
      </c>
      <c r="BR183" s="78">
        <v>67.555150372643595</v>
      </c>
      <c r="BS183" s="78">
        <v>204</v>
      </c>
      <c r="BT183" s="78">
        <v>48.6666666666667</v>
      </c>
      <c r="BU183" s="78">
        <v>47.6666666666667</v>
      </c>
      <c r="BV183" s="78">
        <f t="shared" si="10"/>
        <v>441</v>
      </c>
      <c r="BW183" s="78">
        <v>116</v>
      </c>
      <c r="BX183" s="78">
        <v>1732.6685886749101</v>
      </c>
      <c r="BY183" s="402">
        <v>0.16200000000000001</v>
      </c>
      <c r="BZ183" s="78">
        <v>11117</v>
      </c>
      <c r="CA183" s="78">
        <v>1667</v>
      </c>
      <c r="CB183" s="78">
        <v>347</v>
      </c>
      <c r="CC183" s="78">
        <v>466</v>
      </c>
      <c r="CD183" s="78">
        <v>328</v>
      </c>
      <c r="CE183" s="78">
        <v>212</v>
      </c>
      <c r="CF183" s="78">
        <v>170.538632424768</v>
      </c>
      <c r="CG183" s="78">
        <v>91.441625965022794</v>
      </c>
      <c r="CH183" s="78">
        <v>41.605939814085403</v>
      </c>
      <c r="CI183" s="78">
        <v>286.12830000000002</v>
      </c>
      <c r="CJ183" s="78">
        <v>153.41999999999999</v>
      </c>
      <c r="CK183" s="78">
        <v>69.806100000000001</v>
      </c>
      <c r="CL183" s="78">
        <v>2392</v>
      </c>
    </row>
    <row r="184" spans="1:90" customFormat="1" x14ac:dyDescent="0.35">
      <c r="A184" s="72">
        <v>439</v>
      </c>
      <c r="B184" s="72" t="s">
        <v>247</v>
      </c>
      <c r="C184" s="72">
        <v>7</v>
      </c>
      <c r="D184" s="78">
        <v>7732000000</v>
      </c>
      <c r="E184" s="78">
        <v>927850000</v>
      </c>
      <c r="F184" s="78">
        <v>952700000</v>
      </c>
      <c r="G184" s="78">
        <v>81249</v>
      </c>
      <c r="H184" s="78">
        <v>1</v>
      </c>
      <c r="I184" s="78">
        <f t="shared" si="8"/>
        <v>952.7</v>
      </c>
      <c r="J184" s="78">
        <v>14720</v>
      </c>
      <c r="K184" s="78">
        <v>16313</v>
      </c>
      <c r="L184" s="78">
        <v>5292</v>
      </c>
      <c r="M184" s="78">
        <v>11326</v>
      </c>
      <c r="N184" s="78">
        <f t="shared" si="9"/>
        <v>7641.5</v>
      </c>
      <c r="O184" s="78">
        <v>1578</v>
      </c>
      <c r="P184" s="78">
        <v>44</v>
      </c>
      <c r="Q184" s="78">
        <v>7060</v>
      </c>
      <c r="R184" s="78">
        <v>12706</v>
      </c>
      <c r="S184" s="78">
        <v>8115</v>
      </c>
      <c r="T184" s="78">
        <v>0</v>
      </c>
      <c r="U184" s="78">
        <v>3562</v>
      </c>
      <c r="V184" s="78">
        <v>37728</v>
      </c>
      <c r="W184" s="78">
        <v>87230</v>
      </c>
      <c r="X184" s="78">
        <v>72260</v>
      </c>
      <c r="Y184" s="78">
        <v>2367.52</v>
      </c>
      <c r="Z184" s="78">
        <v>3438.4</v>
      </c>
      <c r="AA184" s="78">
        <v>0</v>
      </c>
      <c r="AB184" s="399">
        <v>0</v>
      </c>
      <c r="AC184" s="399">
        <v>0</v>
      </c>
      <c r="AD184" s="78">
        <v>2288</v>
      </c>
      <c r="AE184" s="78">
        <v>2837.12</v>
      </c>
      <c r="AF184" s="78">
        <v>168</v>
      </c>
      <c r="AG184" s="78">
        <v>0</v>
      </c>
      <c r="AH184" s="78">
        <v>288</v>
      </c>
      <c r="AI184" s="78">
        <v>7</v>
      </c>
      <c r="AJ184" s="78">
        <v>362.88</v>
      </c>
      <c r="AK184" s="78">
        <v>8.4</v>
      </c>
      <c r="AL184" s="78">
        <v>295</v>
      </c>
      <c r="AM184" s="78">
        <v>36845</v>
      </c>
      <c r="AN184" s="78">
        <v>46424.7</v>
      </c>
      <c r="AO184" s="78">
        <v>15</v>
      </c>
      <c r="AP184" s="78">
        <v>0</v>
      </c>
      <c r="AQ184" s="78">
        <v>0</v>
      </c>
      <c r="AR184" s="78">
        <v>2250</v>
      </c>
      <c r="AS184" s="78">
        <v>1496</v>
      </c>
      <c r="AT184" s="78">
        <v>1496</v>
      </c>
      <c r="AU184" s="400">
        <v>3.3461500000000002E-4</v>
      </c>
      <c r="AV184" s="400">
        <v>1.6098709999999999E-3</v>
      </c>
      <c r="AW184" s="78">
        <v>82127.505000000005</v>
      </c>
      <c r="AX184" s="78">
        <v>0</v>
      </c>
      <c r="AY184" s="78">
        <v>3589.8</v>
      </c>
      <c r="AZ184" s="78">
        <v>223361.96995114</v>
      </c>
      <c r="BA184" s="78">
        <v>2</v>
      </c>
      <c r="BB184" s="78">
        <v>2.4</v>
      </c>
      <c r="BC184" s="78">
        <v>7565</v>
      </c>
      <c r="BD184" s="78">
        <v>1</v>
      </c>
      <c r="BE184" s="78">
        <v>0</v>
      </c>
      <c r="BF184" s="78">
        <v>0</v>
      </c>
      <c r="BG184" s="78">
        <v>0</v>
      </c>
      <c r="BH184" s="78">
        <v>0</v>
      </c>
      <c r="BI184" s="78">
        <v>0</v>
      </c>
      <c r="BJ184" s="78">
        <v>0</v>
      </c>
      <c r="BK184" s="78">
        <v>0</v>
      </c>
      <c r="BL184" s="78">
        <v>0</v>
      </c>
      <c r="BM184" s="78">
        <v>1869.44</v>
      </c>
      <c r="BN184" s="78">
        <v>163</v>
      </c>
      <c r="BO184" s="78">
        <v>174</v>
      </c>
      <c r="BP184" s="78">
        <v>23458.560000000001</v>
      </c>
      <c r="BQ184" s="78">
        <v>5624.64</v>
      </c>
      <c r="BR184" s="78">
        <v>425.03102704300301</v>
      </c>
      <c r="BS184" s="78">
        <v>1361</v>
      </c>
      <c r="BT184" s="78">
        <v>465</v>
      </c>
      <c r="BU184" s="78">
        <v>444.33333333333297</v>
      </c>
      <c r="BV184" s="78">
        <f t="shared" si="10"/>
        <v>5482</v>
      </c>
      <c r="BW184" s="78">
        <v>1430</v>
      </c>
      <c r="BX184" s="78">
        <v>14875.208533020501</v>
      </c>
      <c r="BY184" s="402">
        <v>3.1259999999999999</v>
      </c>
      <c r="BZ184" s="78">
        <v>64936</v>
      </c>
      <c r="CA184" s="78">
        <v>9049</v>
      </c>
      <c r="CB184" s="78">
        <v>1972</v>
      </c>
      <c r="CC184" s="78">
        <v>2179</v>
      </c>
      <c r="CD184" s="78">
        <v>1965</v>
      </c>
      <c r="CE184" s="78">
        <v>1147</v>
      </c>
      <c r="CF184" s="78">
        <v>1175.51966345501</v>
      </c>
      <c r="CG184" s="78">
        <v>755.33567648256201</v>
      </c>
      <c r="CH184" s="78">
        <v>298.027832813136</v>
      </c>
      <c r="CI184" s="78">
        <v>2682.6644000000001</v>
      </c>
      <c r="CJ184" s="78">
        <v>1723.7585999999999</v>
      </c>
      <c r="CK184" s="78">
        <v>680.13210000000004</v>
      </c>
      <c r="CL184" s="78">
        <v>218738</v>
      </c>
    </row>
    <row r="185" spans="1:90" customFormat="1" x14ac:dyDescent="0.35">
      <c r="A185" s="72">
        <v>441</v>
      </c>
      <c r="B185" s="72" t="s">
        <v>265</v>
      </c>
      <c r="C185" s="72">
        <v>7</v>
      </c>
      <c r="D185" s="78">
        <v>4384800000</v>
      </c>
      <c r="E185" s="78">
        <v>595700000</v>
      </c>
      <c r="F185" s="78">
        <v>650300000</v>
      </c>
      <c r="G185" s="78">
        <v>46483</v>
      </c>
      <c r="H185" s="78">
        <v>9</v>
      </c>
      <c r="I185" s="78">
        <f t="shared" si="8"/>
        <v>650.29999999999995</v>
      </c>
      <c r="J185" s="78">
        <v>8700</v>
      </c>
      <c r="K185" s="78">
        <v>11357</v>
      </c>
      <c r="L185" s="78">
        <v>3639</v>
      </c>
      <c r="M185" s="78">
        <v>5791</v>
      </c>
      <c r="N185" s="78">
        <f t="shared" si="9"/>
        <v>3387.7</v>
      </c>
      <c r="O185" s="78">
        <v>523.66666666666697</v>
      </c>
      <c r="P185" s="78">
        <v>19</v>
      </c>
      <c r="Q185" s="78">
        <v>2910.6666666666702</v>
      </c>
      <c r="R185" s="78">
        <v>6888</v>
      </c>
      <c r="S185" s="78">
        <v>825</v>
      </c>
      <c r="T185" s="78">
        <v>0</v>
      </c>
      <c r="U185" s="78">
        <v>1357</v>
      </c>
      <c r="V185" s="78">
        <v>21138</v>
      </c>
      <c r="W185" s="78">
        <v>41090</v>
      </c>
      <c r="X185" s="78">
        <v>13900</v>
      </c>
      <c r="Y185" s="78">
        <v>1436.56</v>
      </c>
      <c r="Z185" s="78">
        <v>2499.1999999999998</v>
      </c>
      <c r="AA185" s="78">
        <v>0</v>
      </c>
      <c r="AB185" s="399">
        <v>0</v>
      </c>
      <c r="AC185" s="399">
        <v>0</v>
      </c>
      <c r="AD185" s="78">
        <v>16790</v>
      </c>
      <c r="AE185" s="78">
        <v>20315.900000000001</v>
      </c>
      <c r="AF185" s="78">
        <v>410</v>
      </c>
      <c r="AG185" s="78">
        <v>1528</v>
      </c>
      <c r="AH185" s="78">
        <v>289</v>
      </c>
      <c r="AI185" s="78">
        <v>145</v>
      </c>
      <c r="AJ185" s="78">
        <v>343.91</v>
      </c>
      <c r="AK185" s="78">
        <v>176.9</v>
      </c>
      <c r="AL185" s="78">
        <v>434</v>
      </c>
      <c r="AM185" s="78">
        <v>24033</v>
      </c>
      <c r="AN185" s="78">
        <v>28599.27</v>
      </c>
      <c r="AO185" s="78">
        <v>6</v>
      </c>
      <c r="AP185" s="78">
        <v>0</v>
      </c>
      <c r="AQ185" s="78">
        <v>0</v>
      </c>
      <c r="AR185" s="78">
        <v>0</v>
      </c>
      <c r="AS185" s="78">
        <v>845</v>
      </c>
      <c r="AT185" s="78">
        <v>845</v>
      </c>
      <c r="AU185" s="400">
        <v>4.6075899999999998E-4</v>
      </c>
      <c r="AV185" s="400">
        <v>1.8069700000000001E-4</v>
      </c>
      <c r="AW185" s="78">
        <v>17736.353999999999</v>
      </c>
      <c r="AX185" s="78">
        <v>0</v>
      </c>
      <c r="AY185" s="78">
        <v>7418.51</v>
      </c>
      <c r="AZ185" s="78">
        <v>32664.279725</v>
      </c>
      <c r="BA185" s="78">
        <v>23</v>
      </c>
      <c r="BB185" s="78">
        <v>28.06</v>
      </c>
      <c r="BC185" s="78">
        <v>5709</v>
      </c>
      <c r="BD185" s="78">
        <v>1</v>
      </c>
      <c r="BE185" s="78">
        <v>0</v>
      </c>
      <c r="BF185" s="78">
        <v>0</v>
      </c>
      <c r="BG185" s="78">
        <v>0</v>
      </c>
      <c r="BH185" s="78">
        <v>0</v>
      </c>
      <c r="BI185" s="78">
        <v>0</v>
      </c>
      <c r="BJ185" s="78">
        <v>0</v>
      </c>
      <c r="BK185" s="78">
        <v>0</v>
      </c>
      <c r="BL185" s="78">
        <v>0</v>
      </c>
      <c r="BM185" s="78">
        <v>722.1</v>
      </c>
      <c r="BN185" s="78">
        <v>80</v>
      </c>
      <c r="BO185" s="78">
        <v>44</v>
      </c>
      <c r="BP185" s="78">
        <v>13972.64</v>
      </c>
      <c r="BQ185" s="78">
        <v>3138.3</v>
      </c>
      <c r="BR185" s="78">
        <v>175.365908763851</v>
      </c>
      <c r="BS185" s="78">
        <v>527</v>
      </c>
      <c r="BT185" s="78">
        <v>144</v>
      </c>
      <c r="BU185" s="78">
        <v>111.666666666667</v>
      </c>
      <c r="BV185" s="78">
        <f t="shared" si="10"/>
        <v>2387.0000000000032</v>
      </c>
      <c r="BW185" s="78">
        <v>694</v>
      </c>
      <c r="BX185" s="78">
        <v>6677.5840465705796</v>
      </c>
      <c r="BY185" s="402">
        <v>0.80100000000000005</v>
      </c>
      <c r="BZ185" s="78">
        <v>35126</v>
      </c>
      <c r="CA185" s="78">
        <v>6578</v>
      </c>
      <c r="CB185" s="78">
        <v>1140</v>
      </c>
      <c r="CC185" s="78">
        <v>1394</v>
      </c>
      <c r="CD185" s="78">
        <v>1182</v>
      </c>
      <c r="CE185" s="78">
        <v>611</v>
      </c>
      <c r="CF185" s="78">
        <v>579.91086422835303</v>
      </c>
      <c r="CG185" s="78">
        <v>340.98307743519302</v>
      </c>
      <c r="CH185" s="78">
        <v>116.29228560729</v>
      </c>
      <c r="CI185" s="78">
        <v>1815.9195999999999</v>
      </c>
      <c r="CJ185" s="78">
        <v>1067.7465999999999</v>
      </c>
      <c r="CK185" s="78">
        <v>364.15499999999997</v>
      </c>
      <c r="CL185" s="78">
        <v>55934</v>
      </c>
    </row>
    <row r="186" spans="1:90" customFormat="1" x14ac:dyDescent="0.35">
      <c r="A186" s="72">
        <v>532</v>
      </c>
      <c r="B186" s="72" t="s">
        <v>284</v>
      </c>
      <c r="C186" s="72">
        <v>7</v>
      </c>
      <c r="D186" s="78">
        <v>1750400000</v>
      </c>
      <c r="E186" s="78">
        <v>181300000</v>
      </c>
      <c r="F186" s="78">
        <v>190750000</v>
      </c>
      <c r="G186" s="78">
        <v>21726</v>
      </c>
      <c r="H186" s="78">
        <v>1</v>
      </c>
      <c r="I186" s="78">
        <f t="shared" si="8"/>
        <v>190.75</v>
      </c>
      <c r="J186" s="78">
        <v>4336</v>
      </c>
      <c r="K186" s="78">
        <v>4797</v>
      </c>
      <c r="L186" s="78">
        <v>1534</v>
      </c>
      <c r="M186" s="78">
        <v>2576</v>
      </c>
      <c r="N186" s="78">
        <f t="shared" si="9"/>
        <v>1652.8</v>
      </c>
      <c r="O186" s="78">
        <v>256</v>
      </c>
      <c r="P186" s="78">
        <v>27</v>
      </c>
      <c r="Q186" s="78">
        <v>1558</v>
      </c>
      <c r="R186" s="78">
        <v>2610</v>
      </c>
      <c r="S186" s="78">
        <v>560</v>
      </c>
      <c r="T186" s="78">
        <v>0</v>
      </c>
      <c r="U186" s="78">
        <v>659</v>
      </c>
      <c r="V186" s="78">
        <v>9436</v>
      </c>
      <c r="W186" s="78">
        <v>23530</v>
      </c>
      <c r="X186" s="78">
        <v>13740</v>
      </c>
      <c r="Y186" s="78">
        <v>914.76</v>
      </c>
      <c r="Z186" s="78">
        <v>1460</v>
      </c>
      <c r="AA186" s="78">
        <v>0</v>
      </c>
      <c r="AB186" s="399">
        <v>0</v>
      </c>
      <c r="AC186" s="399">
        <v>0</v>
      </c>
      <c r="AD186" s="78">
        <v>1444</v>
      </c>
      <c r="AE186" s="78">
        <v>1747.24</v>
      </c>
      <c r="AF186" s="78">
        <v>113</v>
      </c>
      <c r="AG186" s="78">
        <v>80</v>
      </c>
      <c r="AH186" s="78">
        <v>110</v>
      </c>
      <c r="AI186" s="78">
        <v>19</v>
      </c>
      <c r="AJ186" s="78">
        <v>130.9</v>
      </c>
      <c r="AK186" s="78">
        <v>23.37</v>
      </c>
      <c r="AL186" s="78">
        <v>129</v>
      </c>
      <c r="AM186" s="78">
        <v>9232</v>
      </c>
      <c r="AN186" s="78">
        <v>10986.08</v>
      </c>
      <c r="AO186" s="78">
        <v>0</v>
      </c>
      <c r="AP186" s="78">
        <v>0</v>
      </c>
      <c r="AQ186" s="78">
        <v>0</v>
      </c>
      <c r="AR186" s="78">
        <v>0</v>
      </c>
      <c r="AS186" s="78">
        <v>1132</v>
      </c>
      <c r="AT186" s="78">
        <v>0</v>
      </c>
      <c r="AU186" s="400">
        <v>1.57169E-4</v>
      </c>
      <c r="AV186" s="400">
        <v>8.1997999999999997E-5</v>
      </c>
      <c r="AW186" s="78">
        <v>10524.48</v>
      </c>
      <c r="AX186" s="78">
        <v>0</v>
      </c>
      <c r="AY186" s="78">
        <v>2392.17</v>
      </c>
      <c r="AZ186" s="78">
        <v>33717.440346820797</v>
      </c>
      <c r="BA186" s="78">
        <v>1</v>
      </c>
      <c r="BB186" s="78">
        <v>1.23</v>
      </c>
      <c r="BC186" s="78">
        <v>1837</v>
      </c>
      <c r="BD186" s="78">
        <v>1</v>
      </c>
      <c r="BE186" s="78">
        <v>0</v>
      </c>
      <c r="BF186" s="78">
        <v>0</v>
      </c>
      <c r="BG186" s="78">
        <v>0</v>
      </c>
      <c r="BH186" s="78">
        <v>0</v>
      </c>
      <c r="BI186" s="78">
        <v>0</v>
      </c>
      <c r="BJ186" s="78">
        <v>0</v>
      </c>
      <c r="BK186" s="78">
        <v>0</v>
      </c>
      <c r="BL186" s="78">
        <v>0</v>
      </c>
      <c r="BM186" s="78">
        <v>455.28</v>
      </c>
      <c r="BN186" s="78">
        <v>81</v>
      </c>
      <c r="BO186" s="78">
        <v>36</v>
      </c>
      <c r="BP186" s="78">
        <v>5863.04</v>
      </c>
      <c r="BQ186" s="78">
        <v>1479.32</v>
      </c>
      <c r="BR186" s="78">
        <v>136.22413977868399</v>
      </c>
      <c r="BS186" s="78">
        <v>270</v>
      </c>
      <c r="BT186" s="78">
        <v>95.6666666666667</v>
      </c>
      <c r="BU186" s="78">
        <v>78</v>
      </c>
      <c r="BV186" s="78">
        <f t="shared" si="10"/>
        <v>1302</v>
      </c>
      <c r="BW186" s="78">
        <v>357</v>
      </c>
      <c r="BX186" s="78">
        <v>3003.0444706532799</v>
      </c>
      <c r="BY186" s="402">
        <v>0.47399999999999998</v>
      </c>
      <c r="BZ186" s="78">
        <v>16929</v>
      </c>
      <c r="CA186" s="78">
        <v>2913</v>
      </c>
      <c r="CB186" s="78">
        <v>350</v>
      </c>
      <c r="CC186" s="78">
        <v>505</v>
      </c>
      <c r="CD186" s="78">
        <v>426</v>
      </c>
      <c r="CE186" s="78">
        <v>158</v>
      </c>
      <c r="CF186" s="78">
        <v>319.92564991334501</v>
      </c>
      <c r="CG186" s="78">
        <v>168.466724436742</v>
      </c>
      <c r="CH186" s="78">
        <v>38.670363951473099</v>
      </c>
      <c r="CI186" s="78">
        <v>860.79790000000003</v>
      </c>
      <c r="CJ186" s="78">
        <v>453.27969999999999</v>
      </c>
      <c r="CK186" s="78">
        <v>104.0472</v>
      </c>
      <c r="CL186" s="78">
        <v>25137</v>
      </c>
    </row>
    <row r="187" spans="1:90" customFormat="1" x14ac:dyDescent="0.35">
      <c r="A187" s="72">
        <v>448</v>
      </c>
      <c r="B187" s="72" t="s">
        <v>292</v>
      </c>
      <c r="C187" s="72">
        <v>7</v>
      </c>
      <c r="D187" s="78">
        <v>2258800000</v>
      </c>
      <c r="E187" s="78">
        <v>425600000</v>
      </c>
      <c r="F187" s="78">
        <v>467600000</v>
      </c>
      <c r="G187" s="78">
        <v>13575</v>
      </c>
      <c r="H187" s="78">
        <v>5</v>
      </c>
      <c r="I187" s="78">
        <f t="shared" si="8"/>
        <v>467.6</v>
      </c>
      <c r="J187" s="78">
        <v>2220</v>
      </c>
      <c r="K187" s="78">
        <v>3482</v>
      </c>
      <c r="L187" s="78">
        <v>1062</v>
      </c>
      <c r="M187" s="78">
        <v>2077</v>
      </c>
      <c r="N187" s="78">
        <f t="shared" si="9"/>
        <v>998.8</v>
      </c>
      <c r="O187" s="78">
        <v>117.666666666667</v>
      </c>
      <c r="P187" s="78">
        <v>7</v>
      </c>
      <c r="Q187" s="78">
        <v>945.66666666666697</v>
      </c>
      <c r="R187" s="78">
        <v>2422</v>
      </c>
      <c r="S187" s="78">
        <v>175</v>
      </c>
      <c r="T187" s="78">
        <v>0</v>
      </c>
      <c r="U187" s="78">
        <v>391</v>
      </c>
      <c r="V187" s="78">
        <v>6692</v>
      </c>
      <c r="W187" s="78">
        <v>12520</v>
      </c>
      <c r="X187" s="78">
        <v>6370</v>
      </c>
      <c r="Y187" s="78">
        <v>55.44</v>
      </c>
      <c r="Z187" s="78">
        <v>528.79999999999995</v>
      </c>
      <c r="AA187" s="78">
        <v>0</v>
      </c>
      <c r="AB187" s="399">
        <v>0</v>
      </c>
      <c r="AC187" s="399">
        <v>0</v>
      </c>
      <c r="AD187" s="78">
        <v>16202</v>
      </c>
      <c r="AE187" s="78">
        <v>16364.02</v>
      </c>
      <c r="AF187" s="78">
        <v>288</v>
      </c>
      <c r="AG187" s="78">
        <v>10000</v>
      </c>
      <c r="AH187" s="78">
        <v>116</v>
      </c>
      <c r="AI187" s="78">
        <v>61</v>
      </c>
      <c r="AJ187" s="78">
        <v>116</v>
      </c>
      <c r="AK187" s="78">
        <v>61.61</v>
      </c>
      <c r="AL187" s="78">
        <v>177</v>
      </c>
      <c r="AM187" s="78">
        <v>10782</v>
      </c>
      <c r="AN187" s="78">
        <v>10782</v>
      </c>
      <c r="AO187" s="78">
        <v>0</v>
      </c>
      <c r="AP187" s="78">
        <v>0</v>
      </c>
      <c r="AQ187" s="78">
        <v>0</v>
      </c>
      <c r="AR187" s="78">
        <v>0</v>
      </c>
      <c r="AS187" s="78">
        <v>636</v>
      </c>
      <c r="AT187" s="78">
        <v>0</v>
      </c>
      <c r="AU187" s="400">
        <v>4.0226500000000001E-4</v>
      </c>
      <c r="AV187" s="400">
        <v>9.2826999999999997E-5</v>
      </c>
      <c r="AW187" s="78">
        <v>5099.8860000000004</v>
      </c>
      <c r="AX187" s="78">
        <v>0</v>
      </c>
      <c r="AY187" s="78">
        <v>3071.41</v>
      </c>
      <c r="AZ187" s="78">
        <v>2528.4651758641598</v>
      </c>
      <c r="BA187" s="78">
        <v>22</v>
      </c>
      <c r="BB187" s="78">
        <v>22.22</v>
      </c>
      <c r="BC187" s="78">
        <v>2407</v>
      </c>
      <c r="BD187" s="78">
        <v>1</v>
      </c>
      <c r="BE187" s="78">
        <v>0</v>
      </c>
      <c r="BF187" s="78">
        <v>0</v>
      </c>
      <c r="BG187" s="78">
        <v>0</v>
      </c>
      <c r="BH187" s="78">
        <v>0</v>
      </c>
      <c r="BI187" s="78">
        <v>1</v>
      </c>
      <c r="BJ187" s="78">
        <v>2500</v>
      </c>
      <c r="BK187" s="78">
        <v>5000</v>
      </c>
      <c r="BL187" s="78">
        <v>6075</v>
      </c>
      <c r="BM187" s="78">
        <v>244.2</v>
      </c>
      <c r="BN187" s="78">
        <v>37</v>
      </c>
      <c r="BO187" s="78">
        <v>26</v>
      </c>
      <c r="BP187" s="78">
        <v>3976.68</v>
      </c>
      <c r="BQ187" s="78">
        <v>769.42</v>
      </c>
      <c r="BR187" s="78">
        <v>49.954889867841402</v>
      </c>
      <c r="BS187" s="78">
        <v>134</v>
      </c>
      <c r="BT187" s="78">
        <v>35</v>
      </c>
      <c r="BU187" s="78">
        <v>24.3333333333333</v>
      </c>
      <c r="BV187" s="78">
        <f t="shared" si="10"/>
        <v>828</v>
      </c>
      <c r="BW187" s="78">
        <v>204</v>
      </c>
      <c r="BX187" s="78">
        <v>2082.65571713294</v>
      </c>
      <c r="BY187" s="402">
        <v>0.13200000000000001</v>
      </c>
      <c r="BZ187" s="78">
        <v>10093</v>
      </c>
      <c r="CA187" s="78">
        <v>2084</v>
      </c>
      <c r="CB187" s="78">
        <v>336</v>
      </c>
      <c r="CC187" s="78">
        <v>481</v>
      </c>
      <c r="CD187" s="78">
        <v>337</v>
      </c>
      <c r="CE187" s="78">
        <v>157</v>
      </c>
      <c r="CF187" s="78">
        <v>121.26035985902401</v>
      </c>
      <c r="CG187" s="78">
        <v>65.956742719347105</v>
      </c>
      <c r="CH187" s="78">
        <v>18.341903171953302</v>
      </c>
      <c r="CI187" s="78">
        <v>647.16959999999995</v>
      </c>
      <c r="CJ187" s="78">
        <v>352.01280000000003</v>
      </c>
      <c r="CK187" s="78">
        <v>97.891199999999998</v>
      </c>
      <c r="CL187" s="78">
        <v>10729</v>
      </c>
    </row>
    <row r="188" spans="1:90" customFormat="1" x14ac:dyDescent="0.35">
      <c r="A188" s="72">
        <v>450</v>
      </c>
      <c r="B188" s="72" t="s">
        <v>302</v>
      </c>
      <c r="C188" s="72">
        <v>7</v>
      </c>
      <c r="D188" s="78">
        <v>1430800000</v>
      </c>
      <c r="E188" s="78">
        <v>120750000</v>
      </c>
      <c r="F188" s="78">
        <v>126000000</v>
      </c>
      <c r="G188" s="78">
        <v>13666</v>
      </c>
      <c r="H188" s="78">
        <v>1</v>
      </c>
      <c r="I188" s="78">
        <f t="shared" si="8"/>
        <v>126</v>
      </c>
      <c r="J188" s="78">
        <v>2780</v>
      </c>
      <c r="K188" s="78">
        <v>2472</v>
      </c>
      <c r="L188" s="78">
        <v>776</v>
      </c>
      <c r="M188" s="78">
        <v>1249</v>
      </c>
      <c r="N188" s="78">
        <f t="shared" si="9"/>
        <v>663.6</v>
      </c>
      <c r="O188" s="78">
        <v>149.333333333333</v>
      </c>
      <c r="P188" s="78">
        <v>3</v>
      </c>
      <c r="Q188" s="78">
        <v>656.33333333333303</v>
      </c>
      <c r="R188" s="78">
        <v>1597</v>
      </c>
      <c r="S188" s="78">
        <v>330</v>
      </c>
      <c r="T188" s="78">
        <v>0</v>
      </c>
      <c r="U188" s="78">
        <v>403</v>
      </c>
      <c r="V188" s="78">
        <v>5750</v>
      </c>
      <c r="W188" s="78">
        <v>10630</v>
      </c>
      <c r="X188" s="78">
        <v>1750</v>
      </c>
      <c r="Y188" s="78">
        <v>0</v>
      </c>
      <c r="Z188" s="78">
        <v>0</v>
      </c>
      <c r="AA188" s="78">
        <v>0</v>
      </c>
      <c r="AB188" s="399">
        <v>0</v>
      </c>
      <c r="AC188" s="399">
        <v>0</v>
      </c>
      <c r="AD188" s="78">
        <v>1914</v>
      </c>
      <c r="AE188" s="78">
        <v>2296.8000000000002</v>
      </c>
      <c r="AF188" s="78">
        <v>315</v>
      </c>
      <c r="AG188" s="78">
        <v>0</v>
      </c>
      <c r="AH188" s="78">
        <v>62</v>
      </c>
      <c r="AI188" s="78">
        <v>9</v>
      </c>
      <c r="AJ188" s="78">
        <v>65.72</v>
      </c>
      <c r="AK188" s="78">
        <v>11.16</v>
      </c>
      <c r="AL188" s="78">
        <v>71</v>
      </c>
      <c r="AM188" s="78">
        <v>5854</v>
      </c>
      <c r="AN188" s="78">
        <v>6205.24</v>
      </c>
      <c r="AO188" s="78">
        <v>0</v>
      </c>
      <c r="AP188" s="78">
        <v>0</v>
      </c>
      <c r="AQ188" s="78">
        <v>0</v>
      </c>
      <c r="AR188" s="78">
        <v>0</v>
      </c>
      <c r="AS188" s="78">
        <v>841</v>
      </c>
      <c r="AT188" s="78">
        <v>0</v>
      </c>
      <c r="AU188" s="400">
        <v>7.6898999999999997E-5</v>
      </c>
      <c r="AV188" s="400">
        <v>5.6538E-5</v>
      </c>
      <c r="AW188" s="78">
        <v>6462.8159999999998</v>
      </c>
      <c r="AX188" s="78">
        <v>0</v>
      </c>
      <c r="AY188" s="78">
        <v>1802.4</v>
      </c>
      <c r="AZ188" s="78">
        <v>23395.897711978501</v>
      </c>
      <c r="BA188" s="78">
        <v>1</v>
      </c>
      <c r="BB188" s="78">
        <v>1.24</v>
      </c>
      <c r="BC188" s="78">
        <v>1464</v>
      </c>
      <c r="BD188" s="78">
        <v>1</v>
      </c>
      <c r="BE188" s="78">
        <v>0</v>
      </c>
      <c r="BF188" s="78">
        <v>0</v>
      </c>
      <c r="BG188" s="78">
        <v>0</v>
      </c>
      <c r="BH188" s="78">
        <v>0</v>
      </c>
      <c r="BI188" s="78">
        <v>0</v>
      </c>
      <c r="BJ188" s="78">
        <v>0</v>
      </c>
      <c r="BK188" s="78">
        <v>0</v>
      </c>
      <c r="BL188" s="78">
        <v>0</v>
      </c>
      <c r="BM188" s="78">
        <v>183.48</v>
      </c>
      <c r="BN188" s="78">
        <v>24</v>
      </c>
      <c r="BO188" s="78">
        <v>25</v>
      </c>
      <c r="BP188" s="78">
        <v>4446.78</v>
      </c>
      <c r="BQ188" s="78">
        <v>1189.18</v>
      </c>
      <c r="BR188" s="78">
        <v>82.409699570815405</v>
      </c>
      <c r="BS188" s="78">
        <v>178</v>
      </c>
      <c r="BT188" s="78">
        <v>54.3333333333333</v>
      </c>
      <c r="BU188" s="78">
        <v>42</v>
      </c>
      <c r="BV188" s="78">
        <f t="shared" si="10"/>
        <v>507</v>
      </c>
      <c r="BW188" s="78">
        <v>112</v>
      </c>
      <c r="BX188" s="78">
        <v>1259.35705499704</v>
      </c>
      <c r="BY188" s="402">
        <v>0.17299999999999999</v>
      </c>
      <c r="BZ188" s="78">
        <v>11194</v>
      </c>
      <c r="CA188" s="78">
        <v>1448</v>
      </c>
      <c r="CB188" s="78">
        <v>248</v>
      </c>
      <c r="CC188" s="78">
        <v>238</v>
      </c>
      <c r="CD188" s="78">
        <v>251</v>
      </c>
      <c r="CE188" s="78">
        <v>124</v>
      </c>
      <c r="CF188" s="78">
        <v>98.961872224120299</v>
      </c>
      <c r="CG188" s="78">
        <v>60.533378886231603</v>
      </c>
      <c r="CH188" s="78">
        <v>19.3842842500854</v>
      </c>
      <c r="CI188" s="78">
        <v>316.81169999999997</v>
      </c>
      <c r="CJ188" s="78">
        <v>193.7886</v>
      </c>
      <c r="CK188" s="78">
        <v>62.055900000000001</v>
      </c>
      <c r="CL188" s="78">
        <v>0</v>
      </c>
    </row>
    <row r="189" spans="1:90" customFormat="1" x14ac:dyDescent="0.35">
      <c r="A189" s="72">
        <v>451</v>
      </c>
      <c r="B189" s="72" t="s">
        <v>303</v>
      </c>
      <c r="C189" s="72">
        <v>7</v>
      </c>
      <c r="D189" s="78">
        <v>3186400000</v>
      </c>
      <c r="E189" s="78">
        <v>531300000</v>
      </c>
      <c r="F189" s="78">
        <v>542500000</v>
      </c>
      <c r="G189" s="78">
        <v>29478</v>
      </c>
      <c r="H189" s="78">
        <v>1</v>
      </c>
      <c r="I189" s="78">
        <f t="shared" si="8"/>
        <v>542.5</v>
      </c>
      <c r="J189" s="78">
        <v>5982</v>
      </c>
      <c r="K189" s="78">
        <v>5456</v>
      </c>
      <c r="L189" s="78">
        <v>1907</v>
      </c>
      <c r="M189" s="78">
        <v>3373</v>
      </c>
      <c r="N189" s="78">
        <f t="shared" si="9"/>
        <v>2085.6</v>
      </c>
      <c r="O189" s="78">
        <v>310.66666666666703</v>
      </c>
      <c r="P189" s="78">
        <v>31</v>
      </c>
      <c r="Q189" s="78">
        <v>1527.6666666666699</v>
      </c>
      <c r="R189" s="78">
        <v>4193</v>
      </c>
      <c r="S189" s="78">
        <v>2060</v>
      </c>
      <c r="T189" s="78">
        <v>0</v>
      </c>
      <c r="U189" s="78">
        <v>1125</v>
      </c>
      <c r="V189" s="78">
        <v>13056</v>
      </c>
      <c r="W189" s="78">
        <v>27500</v>
      </c>
      <c r="X189" s="78">
        <v>7370</v>
      </c>
      <c r="Y189" s="78">
        <v>718.74</v>
      </c>
      <c r="Z189" s="78">
        <v>1892.8</v>
      </c>
      <c r="AA189" s="78">
        <v>0</v>
      </c>
      <c r="AB189" s="399">
        <v>0</v>
      </c>
      <c r="AC189" s="399">
        <v>0</v>
      </c>
      <c r="AD189" s="78">
        <v>1815</v>
      </c>
      <c r="AE189" s="78">
        <v>2432.1</v>
      </c>
      <c r="AF189" s="78">
        <v>127</v>
      </c>
      <c r="AG189" s="78">
        <v>0</v>
      </c>
      <c r="AH189" s="78">
        <v>120</v>
      </c>
      <c r="AI189" s="78">
        <v>46</v>
      </c>
      <c r="AJ189" s="78">
        <v>162</v>
      </c>
      <c r="AK189" s="78">
        <v>60.72</v>
      </c>
      <c r="AL189" s="78">
        <v>166</v>
      </c>
      <c r="AM189" s="78">
        <v>12874</v>
      </c>
      <c r="AN189" s="78">
        <v>17379.900000000001</v>
      </c>
      <c r="AO189" s="78">
        <v>0</v>
      </c>
      <c r="AP189" s="78">
        <v>0</v>
      </c>
      <c r="AQ189" s="78">
        <v>0</v>
      </c>
      <c r="AR189" s="78">
        <v>0</v>
      </c>
      <c r="AS189" s="78">
        <v>0</v>
      </c>
      <c r="AT189" s="78">
        <v>0</v>
      </c>
      <c r="AU189" s="400">
        <v>5.8717E-5</v>
      </c>
      <c r="AV189" s="400">
        <v>3.5199100000000001E-4</v>
      </c>
      <c r="AW189" s="78">
        <v>18396.946</v>
      </c>
      <c r="AX189" s="78">
        <v>0</v>
      </c>
      <c r="AY189" s="78">
        <v>3370.1</v>
      </c>
      <c r="AZ189" s="78">
        <v>129749.64834191601</v>
      </c>
      <c r="BA189" s="78">
        <v>2</v>
      </c>
      <c r="BB189" s="78">
        <v>2.64</v>
      </c>
      <c r="BC189" s="78">
        <v>3534</v>
      </c>
      <c r="BD189" s="78">
        <v>1</v>
      </c>
      <c r="BE189" s="78">
        <v>0</v>
      </c>
      <c r="BF189" s="78">
        <v>0</v>
      </c>
      <c r="BG189" s="78">
        <v>0</v>
      </c>
      <c r="BH189" s="78">
        <v>0</v>
      </c>
      <c r="BI189" s="78">
        <v>0</v>
      </c>
      <c r="BJ189" s="78">
        <v>0</v>
      </c>
      <c r="BK189" s="78">
        <v>0</v>
      </c>
      <c r="BL189" s="78">
        <v>0</v>
      </c>
      <c r="BM189" s="78">
        <v>664.00199999999995</v>
      </c>
      <c r="BN189" s="78">
        <v>68</v>
      </c>
      <c r="BO189" s="78">
        <v>51</v>
      </c>
      <c r="BP189" s="78">
        <v>9721.92</v>
      </c>
      <c r="BQ189" s="78">
        <v>2576.9</v>
      </c>
      <c r="BR189" s="78">
        <v>189.34381532416501</v>
      </c>
      <c r="BS189" s="78">
        <v>471</v>
      </c>
      <c r="BT189" s="78">
        <v>126.666666666667</v>
      </c>
      <c r="BU189" s="78">
        <v>93.3333333333333</v>
      </c>
      <c r="BV189" s="78">
        <f t="shared" si="10"/>
        <v>1217.000000000003</v>
      </c>
      <c r="BW189" s="78">
        <v>317</v>
      </c>
      <c r="BX189" s="78">
        <v>3931.32168841762</v>
      </c>
      <c r="BY189" s="402">
        <v>0.154</v>
      </c>
      <c r="BZ189" s="78">
        <v>24022</v>
      </c>
      <c r="CA189" s="78">
        <v>2843</v>
      </c>
      <c r="CB189" s="78">
        <v>706</v>
      </c>
      <c r="CC189" s="78">
        <v>667</v>
      </c>
      <c r="CD189" s="78">
        <v>688</v>
      </c>
      <c r="CE189" s="78">
        <v>401</v>
      </c>
      <c r="CF189" s="78">
        <v>301.807736523225</v>
      </c>
      <c r="CG189" s="78">
        <v>215.29923877582701</v>
      </c>
      <c r="CH189" s="78">
        <v>84.564486562063095</v>
      </c>
      <c r="CI189" s="78">
        <v>694.71270000000004</v>
      </c>
      <c r="CJ189" s="78">
        <v>495.58409999999998</v>
      </c>
      <c r="CK189" s="78">
        <v>194.65379999999999</v>
      </c>
      <c r="CL189" s="78">
        <v>20075</v>
      </c>
    </row>
    <row r="190" spans="1:90" customFormat="1" x14ac:dyDescent="0.35">
      <c r="A190" s="72">
        <v>453</v>
      </c>
      <c r="B190" s="72" t="s">
        <v>314</v>
      </c>
      <c r="C190" s="72">
        <v>7</v>
      </c>
      <c r="D190" s="78">
        <v>7071200000</v>
      </c>
      <c r="E190" s="78">
        <v>1102150000</v>
      </c>
      <c r="F190" s="78">
        <v>1112300000</v>
      </c>
      <c r="G190" s="78">
        <v>68648</v>
      </c>
      <c r="H190" s="78">
        <v>1</v>
      </c>
      <c r="I190" s="78">
        <f t="shared" si="8"/>
        <v>1112.3</v>
      </c>
      <c r="J190" s="78">
        <v>12881</v>
      </c>
      <c r="K190" s="78">
        <v>13966</v>
      </c>
      <c r="L190" s="78">
        <v>4311</v>
      </c>
      <c r="M190" s="78">
        <v>9410</v>
      </c>
      <c r="N190" s="78">
        <f t="shared" si="9"/>
        <v>6263.7</v>
      </c>
      <c r="O190" s="78">
        <v>1361</v>
      </c>
      <c r="P190" s="78">
        <v>14</v>
      </c>
      <c r="Q190" s="78">
        <v>4907</v>
      </c>
      <c r="R190" s="78">
        <v>11109</v>
      </c>
      <c r="S190" s="78">
        <v>3620</v>
      </c>
      <c r="T190" s="78">
        <v>0</v>
      </c>
      <c r="U190" s="78">
        <v>2550</v>
      </c>
      <c r="V190" s="78">
        <v>31879</v>
      </c>
      <c r="W190" s="78">
        <v>69000</v>
      </c>
      <c r="X190" s="78">
        <v>52310</v>
      </c>
      <c r="Y190" s="78">
        <v>1124.2</v>
      </c>
      <c r="Z190" s="78">
        <v>3013.6</v>
      </c>
      <c r="AA190" s="78">
        <v>0</v>
      </c>
      <c r="AB190" s="399">
        <v>0</v>
      </c>
      <c r="AC190" s="399">
        <v>0</v>
      </c>
      <c r="AD190" s="78">
        <v>4502</v>
      </c>
      <c r="AE190" s="78">
        <v>4637.0600000000004</v>
      </c>
      <c r="AF190" s="78">
        <v>834</v>
      </c>
      <c r="AG190" s="78">
        <v>980</v>
      </c>
      <c r="AH190" s="78">
        <v>327</v>
      </c>
      <c r="AI190" s="78">
        <v>70</v>
      </c>
      <c r="AJ190" s="78">
        <v>333.54</v>
      </c>
      <c r="AK190" s="78">
        <v>72.8</v>
      </c>
      <c r="AL190" s="78">
        <v>397</v>
      </c>
      <c r="AM190" s="78">
        <v>31463</v>
      </c>
      <c r="AN190" s="78">
        <v>32092.26</v>
      </c>
      <c r="AO190" s="78">
        <v>0</v>
      </c>
      <c r="AP190" s="78">
        <v>0</v>
      </c>
      <c r="AQ190" s="78">
        <v>0</v>
      </c>
      <c r="AR190" s="78">
        <v>0</v>
      </c>
      <c r="AS190" s="78">
        <v>10063</v>
      </c>
      <c r="AT190" s="78">
        <v>0</v>
      </c>
      <c r="AU190" s="400">
        <v>1.594151E-3</v>
      </c>
      <c r="AV190" s="400">
        <v>2.8038680000000002E-3</v>
      </c>
      <c r="AW190" s="78">
        <v>58080.697999999997</v>
      </c>
      <c r="AX190" s="78">
        <v>0</v>
      </c>
      <c r="AY190" s="78">
        <v>1891.08</v>
      </c>
      <c r="AZ190" s="78">
        <v>27509.116461769099</v>
      </c>
      <c r="BA190" s="78">
        <v>6</v>
      </c>
      <c r="BB190" s="78">
        <v>6.24</v>
      </c>
      <c r="BC190" s="78">
        <v>7281</v>
      </c>
      <c r="BD190" s="78">
        <v>1</v>
      </c>
      <c r="BE190" s="78">
        <v>0</v>
      </c>
      <c r="BF190" s="78">
        <v>0</v>
      </c>
      <c r="BG190" s="78">
        <v>0</v>
      </c>
      <c r="BH190" s="78">
        <v>0</v>
      </c>
      <c r="BI190" s="78">
        <v>0</v>
      </c>
      <c r="BJ190" s="78">
        <v>0</v>
      </c>
      <c r="BK190" s="78">
        <v>0</v>
      </c>
      <c r="BL190" s="78">
        <v>0</v>
      </c>
      <c r="BM190" s="78">
        <v>1545.72</v>
      </c>
      <c r="BN190" s="78">
        <v>234</v>
      </c>
      <c r="BO190" s="78">
        <v>140</v>
      </c>
      <c r="BP190" s="78">
        <v>21430.02</v>
      </c>
      <c r="BQ190" s="78">
        <v>5131.96</v>
      </c>
      <c r="BR190" s="78">
        <v>483.10659037230698</v>
      </c>
      <c r="BS190" s="78">
        <v>966</v>
      </c>
      <c r="BT190" s="78">
        <v>403</v>
      </c>
      <c r="BU190" s="78">
        <v>332.33333333333297</v>
      </c>
      <c r="BV190" s="78">
        <f t="shared" si="10"/>
        <v>3546</v>
      </c>
      <c r="BW190" s="78">
        <v>843</v>
      </c>
      <c r="BX190" s="78">
        <v>10868.737688301</v>
      </c>
      <c r="BY190" s="402">
        <v>2.8330000000000002</v>
      </c>
      <c r="BZ190" s="78">
        <v>54682</v>
      </c>
      <c r="CA190" s="78">
        <v>7746</v>
      </c>
      <c r="CB190" s="78">
        <v>1909</v>
      </c>
      <c r="CC190" s="78">
        <v>1899</v>
      </c>
      <c r="CD190" s="78">
        <v>1592</v>
      </c>
      <c r="CE190" s="78">
        <v>1078</v>
      </c>
      <c r="CF190" s="78">
        <v>983.661497632139</v>
      </c>
      <c r="CG190" s="78">
        <v>598.04070813336295</v>
      </c>
      <c r="CH190" s="78">
        <v>279.311289451101</v>
      </c>
      <c r="CI190" s="78">
        <v>2142.9117000000001</v>
      </c>
      <c r="CJ190" s="78">
        <v>1302.8348000000001</v>
      </c>
      <c r="CK190" s="78">
        <v>608.48109999999997</v>
      </c>
      <c r="CL190" s="78">
        <v>50550</v>
      </c>
    </row>
    <row r="191" spans="1:90" customFormat="1" x14ac:dyDescent="0.35">
      <c r="A191" s="72">
        <v>852</v>
      </c>
      <c r="B191" s="72" t="s">
        <v>331</v>
      </c>
      <c r="C191" s="72">
        <v>7</v>
      </c>
      <c r="D191" s="78">
        <v>2239200000</v>
      </c>
      <c r="E191" s="78">
        <v>109900000</v>
      </c>
      <c r="F191" s="78">
        <v>123200000</v>
      </c>
      <c r="G191" s="78">
        <v>17424</v>
      </c>
      <c r="H191" s="78">
        <v>4</v>
      </c>
      <c r="I191" s="78">
        <f t="shared" si="8"/>
        <v>123.2</v>
      </c>
      <c r="J191" s="78">
        <v>3384</v>
      </c>
      <c r="K191" s="78">
        <v>4294</v>
      </c>
      <c r="L191" s="78">
        <v>1396</v>
      </c>
      <c r="M191" s="78">
        <v>1740</v>
      </c>
      <c r="N191" s="78">
        <f t="shared" si="9"/>
        <v>988.8</v>
      </c>
      <c r="O191" s="78">
        <v>163.666666666667</v>
      </c>
      <c r="P191" s="78">
        <v>9</v>
      </c>
      <c r="Q191" s="78">
        <v>814.66666666666697</v>
      </c>
      <c r="R191" s="78">
        <v>2334</v>
      </c>
      <c r="S191" s="78">
        <v>455</v>
      </c>
      <c r="T191" s="78">
        <v>0</v>
      </c>
      <c r="U191" s="78">
        <v>489</v>
      </c>
      <c r="V191" s="78">
        <v>7682</v>
      </c>
      <c r="W191" s="78">
        <v>8960</v>
      </c>
      <c r="X191" s="78">
        <v>570</v>
      </c>
      <c r="Y191" s="78">
        <v>0</v>
      </c>
      <c r="Z191" s="78">
        <v>256</v>
      </c>
      <c r="AA191" s="78">
        <v>0</v>
      </c>
      <c r="AB191" s="399">
        <v>0</v>
      </c>
      <c r="AC191" s="399">
        <v>173.7</v>
      </c>
      <c r="AD191" s="78">
        <v>5197</v>
      </c>
      <c r="AE191" s="78">
        <v>7431.71</v>
      </c>
      <c r="AF191" s="78">
        <v>413</v>
      </c>
      <c r="AG191" s="78">
        <v>5956</v>
      </c>
      <c r="AH191" s="78">
        <v>66</v>
      </c>
      <c r="AI191" s="78">
        <v>31</v>
      </c>
      <c r="AJ191" s="78">
        <v>92.4</v>
      </c>
      <c r="AK191" s="78">
        <v>44.33</v>
      </c>
      <c r="AL191" s="78">
        <v>97</v>
      </c>
      <c r="AM191" s="78">
        <v>7512</v>
      </c>
      <c r="AN191" s="78">
        <v>10516.8</v>
      </c>
      <c r="AO191" s="78">
        <v>18</v>
      </c>
      <c r="AP191" s="78">
        <v>0</v>
      </c>
      <c r="AQ191" s="78">
        <v>0</v>
      </c>
      <c r="AR191" s="78">
        <v>4600</v>
      </c>
      <c r="AS191" s="78">
        <v>568</v>
      </c>
      <c r="AT191" s="78">
        <v>568</v>
      </c>
      <c r="AU191" s="400">
        <v>3.1241800000000002E-4</v>
      </c>
      <c r="AV191" s="400">
        <v>1.1174E-4</v>
      </c>
      <c r="AW191" s="78">
        <v>4845.24</v>
      </c>
      <c r="AX191" s="78">
        <v>0</v>
      </c>
      <c r="AY191" s="78">
        <v>4421.5600000000004</v>
      </c>
      <c r="AZ191" s="78">
        <v>39368.673882352901</v>
      </c>
      <c r="BA191" s="78">
        <v>11</v>
      </c>
      <c r="BB191" s="78">
        <v>15.73</v>
      </c>
      <c r="BC191" s="78">
        <v>2401</v>
      </c>
      <c r="BD191" s="78">
        <v>1</v>
      </c>
      <c r="BE191" s="78">
        <v>0</v>
      </c>
      <c r="BF191" s="78">
        <v>0</v>
      </c>
      <c r="BG191" s="78">
        <v>0</v>
      </c>
      <c r="BH191" s="78">
        <v>0</v>
      </c>
      <c r="BI191" s="78">
        <v>0</v>
      </c>
      <c r="BJ191" s="78">
        <v>0</v>
      </c>
      <c r="BK191" s="78">
        <v>0</v>
      </c>
      <c r="BL191" s="78">
        <v>0</v>
      </c>
      <c r="BM191" s="78">
        <v>209.80799999999999</v>
      </c>
      <c r="BN191" s="78">
        <v>26</v>
      </c>
      <c r="BO191" s="78">
        <v>12</v>
      </c>
      <c r="BP191" s="78">
        <v>6424.3</v>
      </c>
      <c r="BQ191" s="78">
        <v>1656.16</v>
      </c>
      <c r="BR191" s="78">
        <v>113.473378114843</v>
      </c>
      <c r="BS191" s="78">
        <v>195</v>
      </c>
      <c r="BT191" s="78">
        <v>50</v>
      </c>
      <c r="BU191" s="78">
        <v>31.6666666666667</v>
      </c>
      <c r="BV191" s="78">
        <f t="shared" si="10"/>
        <v>651</v>
      </c>
      <c r="BW191" s="78">
        <v>112</v>
      </c>
      <c r="BX191" s="78">
        <v>2659.8392607565702</v>
      </c>
      <c r="BY191" s="402">
        <v>0.113</v>
      </c>
      <c r="BZ191" s="78">
        <v>13130</v>
      </c>
      <c r="CA191" s="78">
        <v>2447</v>
      </c>
      <c r="CB191" s="78">
        <v>451</v>
      </c>
      <c r="CC191" s="78">
        <v>493</v>
      </c>
      <c r="CD191" s="78">
        <v>457</v>
      </c>
      <c r="CE191" s="78">
        <v>227</v>
      </c>
      <c r="CF191" s="78">
        <v>196.52268370607001</v>
      </c>
      <c r="CG191" s="78">
        <v>129.26006389776401</v>
      </c>
      <c r="CH191" s="78">
        <v>39.488817891373799</v>
      </c>
      <c r="CI191" s="78">
        <v>458.94819999999999</v>
      </c>
      <c r="CJ191" s="78">
        <v>301.86680000000001</v>
      </c>
      <c r="CK191" s="78">
        <v>92.22</v>
      </c>
      <c r="CL191" s="78">
        <v>0</v>
      </c>
    </row>
    <row r="192" spans="1:90" customFormat="1" x14ac:dyDescent="0.35">
      <c r="A192" s="72">
        <v>457</v>
      </c>
      <c r="B192" s="72" t="s">
        <v>333</v>
      </c>
      <c r="C192" s="72">
        <v>7</v>
      </c>
      <c r="D192" s="78">
        <v>2522400000</v>
      </c>
      <c r="E192" s="78">
        <v>320950000</v>
      </c>
      <c r="F192" s="78">
        <v>320950000</v>
      </c>
      <c r="G192" s="78">
        <v>19738</v>
      </c>
      <c r="H192" s="78">
        <v>1</v>
      </c>
      <c r="I192" s="78">
        <f t="shared" si="8"/>
        <v>320.95</v>
      </c>
      <c r="J192" s="78">
        <v>3947</v>
      </c>
      <c r="K192" s="78">
        <v>3930</v>
      </c>
      <c r="L192" s="78">
        <v>1286</v>
      </c>
      <c r="M192" s="78">
        <v>2966</v>
      </c>
      <c r="N192" s="78">
        <f t="shared" si="9"/>
        <v>2039.3</v>
      </c>
      <c r="O192" s="78">
        <v>376</v>
      </c>
      <c r="P192" s="78">
        <v>7</v>
      </c>
      <c r="Q192" s="78">
        <v>1145</v>
      </c>
      <c r="R192" s="78">
        <v>3600</v>
      </c>
      <c r="S192" s="78">
        <v>2125</v>
      </c>
      <c r="T192" s="78">
        <v>0</v>
      </c>
      <c r="U192" s="78">
        <v>624</v>
      </c>
      <c r="V192" s="78">
        <v>9429</v>
      </c>
      <c r="W192" s="78">
        <v>15290</v>
      </c>
      <c r="X192" s="78">
        <v>2310</v>
      </c>
      <c r="Y192" s="78">
        <v>0</v>
      </c>
      <c r="Z192" s="78">
        <v>1348.8</v>
      </c>
      <c r="AA192" s="78">
        <v>0</v>
      </c>
      <c r="AB192" s="399">
        <v>260.89999999999964</v>
      </c>
      <c r="AC192" s="399">
        <v>156.99999999999977</v>
      </c>
      <c r="AD192" s="78">
        <v>2271</v>
      </c>
      <c r="AE192" s="78">
        <v>2566.23</v>
      </c>
      <c r="AF192" s="78">
        <v>145</v>
      </c>
      <c r="AG192" s="78">
        <v>0</v>
      </c>
      <c r="AH192" s="78">
        <v>95</v>
      </c>
      <c r="AI192" s="78">
        <v>9</v>
      </c>
      <c r="AJ192" s="78">
        <v>103.55</v>
      </c>
      <c r="AK192" s="78">
        <v>10.35</v>
      </c>
      <c r="AL192" s="78">
        <v>104</v>
      </c>
      <c r="AM192" s="78">
        <v>9267</v>
      </c>
      <c r="AN192" s="78">
        <v>10101.030000000001</v>
      </c>
      <c r="AO192" s="78">
        <v>19</v>
      </c>
      <c r="AP192" s="78">
        <v>0</v>
      </c>
      <c r="AQ192" s="78">
        <v>0</v>
      </c>
      <c r="AR192" s="78">
        <v>4000</v>
      </c>
      <c r="AS192" s="78">
        <v>1741</v>
      </c>
      <c r="AT192" s="78">
        <v>1741</v>
      </c>
      <c r="AU192" s="400">
        <v>6.0477700000000003E-4</v>
      </c>
      <c r="AV192" s="400">
        <v>9.11763E-4</v>
      </c>
      <c r="AW192" s="78">
        <v>16430.391</v>
      </c>
      <c r="AX192" s="78">
        <v>0</v>
      </c>
      <c r="AY192" s="78">
        <v>1187.6300000000001</v>
      </c>
      <c r="AZ192" s="78">
        <v>11788.961663907299</v>
      </c>
      <c r="BA192" s="78">
        <v>4</v>
      </c>
      <c r="BB192" s="78">
        <v>4.5999999999999996</v>
      </c>
      <c r="BC192" s="78">
        <v>2780</v>
      </c>
      <c r="BD192" s="78">
        <v>1</v>
      </c>
      <c r="BE192" s="78">
        <v>0</v>
      </c>
      <c r="BF192" s="78">
        <v>0</v>
      </c>
      <c r="BG192" s="78">
        <v>0</v>
      </c>
      <c r="BH192" s="78">
        <v>0</v>
      </c>
      <c r="BI192" s="78">
        <v>0</v>
      </c>
      <c r="BJ192" s="78">
        <v>0</v>
      </c>
      <c r="BK192" s="78">
        <v>0</v>
      </c>
      <c r="BL192" s="78">
        <v>0</v>
      </c>
      <c r="BM192" s="78">
        <v>493.375</v>
      </c>
      <c r="BN192" s="78">
        <v>41</v>
      </c>
      <c r="BO192" s="78">
        <v>66</v>
      </c>
      <c r="BP192" s="78">
        <v>6697.02</v>
      </c>
      <c r="BQ192" s="78">
        <v>1678.32</v>
      </c>
      <c r="BR192" s="78">
        <v>156.20503480588999</v>
      </c>
      <c r="BS192" s="78">
        <v>239</v>
      </c>
      <c r="BT192" s="78">
        <v>112.333333333333</v>
      </c>
      <c r="BU192" s="78">
        <v>85.3333333333333</v>
      </c>
      <c r="BV192" s="78">
        <f t="shared" si="10"/>
        <v>769</v>
      </c>
      <c r="BW192" s="78">
        <v>158</v>
      </c>
      <c r="BX192" s="78">
        <v>2779.8176766318402</v>
      </c>
      <c r="BY192" s="402">
        <v>0.78500000000000003</v>
      </c>
      <c r="BZ192" s="78">
        <v>15808</v>
      </c>
      <c r="CA192" s="78">
        <v>2101</v>
      </c>
      <c r="CB192" s="78">
        <v>543</v>
      </c>
      <c r="CC192" s="78">
        <v>590</v>
      </c>
      <c r="CD192" s="78">
        <v>451</v>
      </c>
      <c r="CE192" s="78">
        <v>253</v>
      </c>
      <c r="CF192" s="78">
        <v>298.62200280565401</v>
      </c>
      <c r="CG192" s="78">
        <v>190.352271501025</v>
      </c>
      <c r="CH192" s="78">
        <v>76.1409086004101</v>
      </c>
      <c r="CI192" s="78">
        <v>533.97950000000003</v>
      </c>
      <c r="CJ192" s="78">
        <v>340.3775</v>
      </c>
      <c r="CK192" s="78">
        <v>136.15100000000001</v>
      </c>
      <c r="CL192" s="78">
        <v>31552</v>
      </c>
    </row>
    <row r="193" spans="1:90" customFormat="1" x14ac:dyDescent="0.35">
      <c r="A193" s="72">
        <v>1696</v>
      </c>
      <c r="B193" s="72" t="s">
        <v>345</v>
      </c>
      <c r="C193" s="72">
        <v>7</v>
      </c>
      <c r="D193" s="78">
        <v>3600000000</v>
      </c>
      <c r="E193" s="78">
        <v>298550000</v>
      </c>
      <c r="F193" s="78">
        <v>315000000</v>
      </c>
      <c r="G193" s="78">
        <v>24358</v>
      </c>
      <c r="H193" s="78">
        <v>4</v>
      </c>
      <c r="I193" s="78">
        <f t="shared" si="8"/>
        <v>315</v>
      </c>
      <c r="J193" s="78">
        <v>4664</v>
      </c>
      <c r="K193" s="78">
        <v>5812</v>
      </c>
      <c r="L193" s="78">
        <v>1874</v>
      </c>
      <c r="M193" s="78">
        <v>2621</v>
      </c>
      <c r="N193" s="78">
        <f t="shared" si="9"/>
        <v>1421.6</v>
      </c>
      <c r="O193" s="78">
        <v>211</v>
      </c>
      <c r="P193" s="78">
        <v>7</v>
      </c>
      <c r="Q193" s="78">
        <v>992</v>
      </c>
      <c r="R193" s="78">
        <v>3384</v>
      </c>
      <c r="S193" s="78">
        <v>625</v>
      </c>
      <c r="T193" s="78">
        <v>0</v>
      </c>
      <c r="U193" s="78">
        <v>688</v>
      </c>
      <c r="V193" s="78">
        <v>10877</v>
      </c>
      <c r="W193" s="78">
        <v>13850</v>
      </c>
      <c r="X193" s="78">
        <v>930</v>
      </c>
      <c r="Y193" s="78">
        <v>0</v>
      </c>
      <c r="Z193" s="78">
        <v>0</v>
      </c>
      <c r="AA193" s="78">
        <v>0</v>
      </c>
      <c r="AB193" s="399">
        <v>0</v>
      </c>
      <c r="AC193" s="399">
        <v>0</v>
      </c>
      <c r="AD193" s="78">
        <v>4754</v>
      </c>
      <c r="AE193" s="78">
        <v>4801.54</v>
      </c>
      <c r="AF193" s="78">
        <v>2882</v>
      </c>
      <c r="AG193" s="78">
        <v>0</v>
      </c>
      <c r="AH193" s="78">
        <v>140</v>
      </c>
      <c r="AI193" s="78">
        <v>18</v>
      </c>
      <c r="AJ193" s="78">
        <v>142.80000000000001</v>
      </c>
      <c r="AK193" s="78">
        <v>18.18</v>
      </c>
      <c r="AL193" s="78">
        <v>158</v>
      </c>
      <c r="AM193" s="78">
        <v>11994</v>
      </c>
      <c r="AN193" s="78">
        <v>12233.88</v>
      </c>
      <c r="AO193" s="78">
        <v>0</v>
      </c>
      <c r="AP193" s="78">
        <v>0</v>
      </c>
      <c r="AQ193" s="78">
        <v>0</v>
      </c>
      <c r="AR193" s="78">
        <v>0</v>
      </c>
      <c r="AS193" s="78">
        <v>0</v>
      </c>
      <c r="AT193" s="78">
        <v>0</v>
      </c>
      <c r="AU193" s="400">
        <v>2.7410100000000001E-4</v>
      </c>
      <c r="AV193" s="400">
        <v>1.14014E-4</v>
      </c>
      <c r="AW193" s="78">
        <v>7100.4480000000003</v>
      </c>
      <c r="AX193" s="78">
        <v>0</v>
      </c>
      <c r="AY193" s="78">
        <v>8102.22</v>
      </c>
      <c r="AZ193" s="78">
        <v>28577.267496071199</v>
      </c>
      <c r="BA193" s="78">
        <v>15</v>
      </c>
      <c r="BB193" s="78">
        <v>15.15</v>
      </c>
      <c r="BC193" s="78">
        <v>4080</v>
      </c>
      <c r="BD193" s="78">
        <v>1</v>
      </c>
      <c r="BE193" s="78">
        <v>0</v>
      </c>
      <c r="BF193" s="78">
        <v>0</v>
      </c>
      <c r="BG193" s="78">
        <v>0</v>
      </c>
      <c r="BH193" s="78">
        <v>0</v>
      </c>
      <c r="BI193" s="78">
        <v>0</v>
      </c>
      <c r="BJ193" s="78">
        <v>0</v>
      </c>
      <c r="BK193" s="78">
        <v>0</v>
      </c>
      <c r="BL193" s="78">
        <v>0</v>
      </c>
      <c r="BM193" s="78">
        <v>373.12</v>
      </c>
      <c r="BN193" s="78">
        <v>25</v>
      </c>
      <c r="BO193" s="78">
        <v>33</v>
      </c>
      <c r="BP193" s="78">
        <v>9280.2900000000009</v>
      </c>
      <c r="BQ193" s="78">
        <v>2283.9499999999998</v>
      </c>
      <c r="BR193" s="78">
        <v>95.275385096404406</v>
      </c>
      <c r="BS193" s="78">
        <v>259</v>
      </c>
      <c r="BT193" s="78">
        <v>60</v>
      </c>
      <c r="BU193" s="78">
        <v>39</v>
      </c>
      <c r="BV193" s="78">
        <f t="shared" si="10"/>
        <v>781</v>
      </c>
      <c r="BW193" s="78">
        <v>154</v>
      </c>
      <c r="BX193" s="78">
        <v>3501.0275900553902</v>
      </c>
      <c r="BY193" s="402">
        <v>0.11899999999999999</v>
      </c>
      <c r="BZ193" s="78">
        <v>18546</v>
      </c>
      <c r="CA193" s="78">
        <v>3276</v>
      </c>
      <c r="CB193" s="78">
        <v>662</v>
      </c>
      <c r="CC193" s="78">
        <v>745</v>
      </c>
      <c r="CD193" s="78">
        <v>593</v>
      </c>
      <c r="CE193" s="78">
        <v>351</v>
      </c>
      <c r="CF193" s="78">
        <v>241.318792729698</v>
      </c>
      <c r="CG193" s="78">
        <v>152.18729364682301</v>
      </c>
      <c r="CH193" s="78">
        <v>56.6553943638486</v>
      </c>
      <c r="CI193" s="78">
        <v>596.95519999999999</v>
      </c>
      <c r="CJ193" s="78">
        <v>376.46879999999999</v>
      </c>
      <c r="CK193" s="78">
        <v>140.14959999999999</v>
      </c>
      <c r="CL193" s="78">
        <v>19845</v>
      </c>
    </row>
    <row r="194" spans="1:90" customFormat="1" x14ac:dyDescent="0.35">
      <c r="A194" s="72">
        <v>880</v>
      </c>
      <c r="B194" s="72" t="s">
        <v>350</v>
      </c>
      <c r="C194" s="72">
        <v>7</v>
      </c>
      <c r="D194" s="78">
        <v>1668000000</v>
      </c>
      <c r="E194" s="78">
        <v>184100000</v>
      </c>
      <c r="F194" s="78">
        <v>196350000</v>
      </c>
      <c r="G194" s="78">
        <v>16270</v>
      </c>
      <c r="H194" s="78">
        <v>2</v>
      </c>
      <c r="I194" s="78">
        <f t="shared" si="8"/>
        <v>196.35</v>
      </c>
      <c r="J194" s="78">
        <v>2928</v>
      </c>
      <c r="K194" s="78">
        <v>3816</v>
      </c>
      <c r="L194" s="78">
        <v>1368</v>
      </c>
      <c r="M194" s="78">
        <v>1977</v>
      </c>
      <c r="N194" s="78">
        <f t="shared" si="9"/>
        <v>1266.1999999999998</v>
      </c>
      <c r="O194" s="78">
        <v>209.333333333333</v>
      </c>
      <c r="P194" s="78">
        <v>0</v>
      </c>
      <c r="Q194" s="78">
        <v>936.33333333333303</v>
      </c>
      <c r="R194" s="78">
        <v>2230</v>
      </c>
      <c r="S194" s="78">
        <v>715</v>
      </c>
      <c r="T194" s="78">
        <v>0</v>
      </c>
      <c r="U194" s="78">
        <v>569</v>
      </c>
      <c r="V194" s="78">
        <v>7204</v>
      </c>
      <c r="W194" s="78">
        <v>9540</v>
      </c>
      <c r="X194" s="78">
        <v>1100</v>
      </c>
      <c r="Y194" s="78">
        <v>0</v>
      </c>
      <c r="Z194" s="78">
        <v>0</v>
      </c>
      <c r="AA194" s="78">
        <v>0</v>
      </c>
      <c r="AB194" s="399">
        <v>0</v>
      </c>
      <c r="AC194" s="399">
        <v>0</v>
      </c>
      <c r="AD194" s="78">
        <v>3837</v>
      </c>
      <c r="AE194" s="78">
        <v>4489.29</v>
      </c>
      <c r="AF194" s="78">
        <v>680</v>
      </c>
      <c r="AG194" s="78">
        <v>0</v>
      </c>
      <c r="AH194" s="78">
        <v>69</v>
      </c>
      <c r="AI194" s="78">
        <v>25</v>
      </c>
      <c r="AJ194" s="78">
        <v>85.56</v>
      </c>
      <c r="AK194" s="78">
        <v>28.75</v>
      </c>
      <c r="AL194" s="78">
        <v>94</v>
      </c>
      <c r="AM194" s="78">
        <v>7108</v>
      </c>
      <c r="AN194" s="78">
        <v>8813.92</v>
      </c>
      <c r="AO194" s="78">
        <v>0</v>
      </c>
      <c r="AP194" s="78">
        <v>0</v>
      </c>
      <c r="AQ194" s="78">
        <v>0</v>
      </c>
      <c r="AR194" s="78">
        <v>0</v>
      </c>
      <c r="AS194" s="78">
        <v>886</v>
      </c>
      <c r="AT194" s="78">
        <v>0</v>
      </c>
      <c r="AU194" s="400">
        <v>1.80609E-4</v>
      </c>
      <c r="AV194" s="400">
        <v>1.9239600000000001E-4</v>
      </c>
      <c r="AW194" s="78">
        <v>10406.111999999999</v>
      </c>
      <c r="AX194" s="78">
        <v>0</v>
      </c>
      <c r="AY194" s="78">
        <v>7070.31</v>
      </c>
      <c r="AZ194" s="78">
        <v>51907.279234004898</v>
      </c>
      <c r="BA194" s="78">
        <v>7</v>
      </c>
      <c r="BB194" s="78">
        <v>8.0500000000000007</v>
      </c>
      <c r="BC194" s="78">
        <v>1777</v>
      </c>
      <c r="BD194" s="78">
        <v>1</v>
      </c>
      <c r="BE194" s="78">
        <v>0</v>
      </c>
      <c r="BF194" s="78">
        <v>0</v>
      </c>
      <c r="BG194" s="78">
        <v>0</v>
      </c>
      <c r="BH194" s="78">
        <v>0</v>
      </c>
      <c r="BI194" s="78">
        <v>0</v>
      </c>
      <c r="BJ194" s="78">
        <v>0</v>
      </c>
      <c r="BK194" s="78">
        <v>0</v>
      </c>
      <c r="BL194" s="78">
        <v>0</v>
      </c>
      <c r="BM194" s="78">
        <v>286.94400000000002</v>
      </c>
      <c r="BN194" s="78">
        <v>43</v>
      </c>
      <c r="BO194" s="78">
        <v>51</v>
      </c>
      <c r="BP194" s="78">
        <v>5188.1099999999997</v>
      </c>
      <c r="BQ194" s="78">
        <v>1187.2</v>
      </c>
      <c r="BR194" s="78">
        <v>95.787428571428606</v>
      </c>
      <c r="BS194" s="78">
        <v>218</v>
      </c>
      <c r="BT194" s="78">
        <v>74.3333333333333</v>
      </c>
      <c r="BU194" s="78">
        <v>66.6666666666667</v>
      </c>
      <c r="BV194" s="78">
        <f t="shared" si="10"/>
        <v>727</v>
      </c>
      <c r="BW194" s="78">
        <v>150</v>
      </c>
      <c r="BX194" s="78">
        <v>2529.3478106436401</v>
      </c>
      <c r="BY194" s="402">
        <v>0.27</v>
      </c>
      <c r="BZ194" s="78">
        <v>12454</v>
      </c>
      <c r="CA194" s="78">
        <v>2019</v>
      </c>
      <c r="CB194" s="78">
        <v>429</v>
      </c>
      <c r="CC194" s="78">
        <v>397</v>
      </c>
      <c r="CD194" s="78">
        <v>435</v>
      </c>
      <c r="CE194" s="78">
        <v>228</v>
      </c>
      <c r="CF194" s="78">
        <v>222.3153629713</v>
      </c>
      <c r="CG194" s="78">
        <v>165.13328643781699</v>
      </c>
      <c r="CH194" s="78">
        <v>51.125407990996102</v>
      </c>
      <c r="CI194" s="78">
        <v>499.82400000000001</v>
      </c>
      <c r="CJ194" s="78">
        <v>371.26350000000002</v>
      </c>
      <c r="CK194" s="78">
        <v>114.9435</v>
      </c>
      <c r="CL194" s="78">
        <v>0</v>
      </c>
    </row>
    <row r="195" spans="1:90" customFormat="1" x14ac:dyDescent="0.35">
      <c r="A195" s="72">
        <v>479</v>
      </c>
      <c r="B195" s="72" t="s">
        <v>352</v>
      </c>
      <c r="C195" s="72">
        <v>7</v>
      </c>
      <c r="D195" s="78">
        <v>14040000000</v>
      </c>
      <c r="E195" s="78">
        <v>2205350000</v>
      </c>
      <c r="F195" s="78">
        <v>2226350000</v>
      </c>
      <c r="G195" s="78">
        <v>156794</v>
      </c>
      <c r="H195" s="78">
        <v>3</v>
      </c>
      <c r="I195" s="78">
        <f t="shared" si="8"/>
        <v>2226.35</v>
      </c>
      <c r="J195" s="78">
        <v>31281</v>
      </c>
      <c r="K195" s="78">
        <v>28770</v>
      </c>
      <c r="L195" s="78">
        <v>9381</v>
      </c>
      <c r="M195" s="78">
        <v>22459</v>
      </c>
      <c r="N195" s="78">
        <f t="shared" si="9"/>
        <v>15533.099999999999</v>
      </c>
      <c r="O195" s="78">
        <v>3918.3333333333298</v>
      </c>
      <c r="P195" s="78">
        <v>28</v>
      </c>
      <c r="Q195" s="78">
        <v>13503.333333333299</v>
      </c>
      <c r="R195" s="78">
        <v>25391</v>
      </c>
      <c r="S195" s="78">
        <v>25980</v>
      </c>
      <c r="T195" s="78">
        <v>0</v>
      </c>
      <c r="U195" s="78">
        <v>6964</v>
      </c>
      <c r="V195" s="78">
        <v>72024</v>
      </c>
      <c r="W195" s="78">
        <v>168810</v>
      </c>
      <c r="X195" s="78">
        <v>177450</v>
      </c>
      <c r="Y195" s="78">
        <v>2493.36</v>
      </c>
      <c r="Z195" s="78">
        <v>7236</v>
      </c>
      <c r="AA195" s="78">
        <v>0</v>
      </c>
      <c r="AB195" s="399">
        <v>0</v>
      </c>
      <c r="AC195" s="399">
        <v>0</v>
      </c>
      <c r="AD195" s="78">
        <v>7362</v>
      </c>
      <c r="AE195" s="78">
        <v>9423.36</v>
      </c>
      <c r="AF195" s="78">
        <v>961</v>
      </c>
      <c r="AG195" s="78">
        <v>0</v>
      </c>
      <c r="AH195" s="78">
        <v>642</v>
      </c>
      <c r="AI195" s="78">
        <v>60</v>
      </c>
      <c r="AJ195" s="78">
        <v>847.44</v>
      </c>
      <c r="AK195" s="78">
        <v>74.400000000000006</v>
      </c>
      <c r="AL195" s="78">
        <v>701</v>
      </c>
      <c r="AM195" s="78">
        <v>69259</v>
      </c>
      <c r="AN195" s="78">
        <v>91421.88</v>
      </c>
      <c r="AO195" s="78">
        <v>12</v>
      </c>
      <c r="AP195" s="78">
        <v>0</v>
      </c>
      <c r="AQ195" s="78">
        <v>0</v>
      </c>
      <c r="AR195" s="78">
        <v>10200</v>
      </c>
      <c r="AS195" s="78">
        <v>15821</v>
      </c>
      <c r="AT195" s="78">
        <v>8346</v>
      </c>
      <c r="AU195" s="400">
        <v>6.0473640000000004E-3</v>
      </c>
      <c r="AV195" s="400">
        <v>9.5495489999999992E-3</v>
      </c>
      <c r="AW195" s="78">
        <v>141842.432</v>
      </c>
      <c r="AX195" s="78">
        <v>0</v>
      </c>
      <c r="AY195" s="78">
        <v>10539.52</v>
      </c>
      <c r="AZ195" s="78">
        <v>475276.27864952502</v>
      </c>
      <c r="BA195" s="78">
        <v>7</v>
      </c>
      <c r="BB195" s="78">
        <v>8.68</v>
      </c>
      <c r="BC195" s="78">
        <v>16834</v>
      </c>
      <c r="BD195" s="78">
        <v>1</v>
      </c>
      <c r="BE195" s="78">
        <v>0</v>
      </c>
      <c r="BF195" s="78">
        <v>0</v>
      </c>
      <c r="BG195" s="78">
        <v>0</v>
      </c>
      <c r="BH195" s="78">
        <v>0</v>
      </c>
      <c r="BI195" s="78">
        <v>0</v>
      </c>
      <c r="BJ195" s="78">
        <v>0</v>
      </c>
      <c r="BK195" s="78">
        <v>0</v>
      </c>
      <c r="BL195" s="78">
        <v>0</v>
      </c>
      <c r="BM195" s="78">
        <v>4660.8689999999997</v>
      </c>
      <c r="BN195" s="78">
        <v>569</v>
      </c>
      <c r="BO195" s="78">
        <v>545</v>
      </c>
      <c r="BP195" s="78">
        <v>44325.54</v>
      </c>
      <c r="BQ195" s="78">
        <v>10986</v>
      </c>
      <c r="BR195" s="78">
        <v>1134.3327781166599</v>
      </c>
      <c r="BS195" s="78">
        <v>2785</v>
      </c>
      <c r="BT195" s="78">
        <v>1227.6666666666699</v>
      </c>
      <c r="BU195" s="78">
        <v>1172.3333333333301</v>
      </c>
      <c r="BV195" s="78">
        <f t="shared" si="10"/>
        <v>9584.9999999999691</v>
      </c>
      <c r="BW195" s="78">
        <v>2140</v>
      </c>
      <c r="BX195" s="78">
        <v>23313.9607223274</v>
      </c>
      <c r="BY195" s="402">
        <v>8.51</v>
      </c>
      <c r="BZ195" s="78">
        <v>128024</v>
      </c>
      <c r="CA195" s="78">
        <v>16306</v>
      </c>
      <c r="CB195" s="78">
        <v>3083</v>
      </c>
      <c r="CC195" s="78">
        <v>4029</v>
      </c>
      <c r="CD195" s="78">
        <v>3280</v>
      </c>
      <c r="CE195" s="78">
        <v>1547</v>
      </c>
      <c r="CF195" s="78">
        <v>2327.0830592414</v>
      </c>
      <c r="CG195" s="78">
        <v>1440.0732771192199</v>
      </c>
      <c r="CH195" s="78">
        <v>477.48263619168603</v>
      </c>
      <c r="CI195" s="78">
        <v>5129.8944000000001</v>
      </c>
      <c r="CJ195" s="78">
        <v>3174.5423999999998</v>
      </c>
      <c r="CK195" s="78">
        <v>1052.5776000000001</v>
      </c>
      <c r="CL195" s="78">
        <v>79343</v>
      </c>
    </row>
    <row r="196" spans="1:90" customFormat="1" x14ac:dyDescent="0.35">
      <c r="A196" s="72">
        <v>473</v>
      </c>
      <c r="B196" s="72" t="s">
        <v>354</v>
      </c>
      <c r="C196" s="72">
        <v>7</v>
      </c>
      <c r="D196" s="78">
        <v>2650000000</v>
      </c>
      <c r="E196" s="78">
        <v>208600000</v>
      </c>
      <c r="F196" s="78">
        <v>221550000</v>
      </c>
      <c r="G196" s="78">
        <v>17116</v>
      </c>
      <c r="H196" s="78">
        <v>2</v>
      </c>
      <c r="I196" s="78">
        <f t="shared" si="8"/>
        <v>221.55</v>
      </c>
      <c r="J196" s="78">
        <v>2750</v>
      </c>
      <c r="K196" s="78">
        <v>4499</v>
      </c>
      <c r="L196" s="78">
        <v>1428</v>
      </c>
      <c r="M196" s="78">
        <v>2977</v>
      </c>
      <c r="N196" s="78">
        <f t="shared" si="9"/>
        <v>1973.6</v>
      </c>
      <c r="O196" s="78">
        <v>379.66666666666703</v>
      </c>
      <c r="P196" s="78">
        <v>6</v>
      </c>
      <c r="Q196" s="78">
        <v>1359.6666666666699</v>
      </c>
      <c r="R196" s="78">
        <v>3721</v>
      </c>
      <c r="S196" s="78">
        <v>695</v>
      </c>
      <c r="T196" s="78">
        <v>0</v>
      </c>
      <c r="U196" s="78">
        <v>735</v>
      </c>
      <c r="V196" s="78">
        <v>8906</v>
      </c>
      <c r="W196" s="78">
        <v>13360</v>
      </c>
      <c r="X196" s="78">
        <v>2020</v>
      </c>
      <c r="Y196" s="78">
        <v>0</v>
      </c>
      <c r="Z196" s="78">
        <v>144.80000000000001</v>
      </c>
      <c r="AA196" s="78">
        <v>0</v>
      </c>
      <c r="AB196" s="399">
        <v>0</v>
      </c>
      <c r="AC196" s="399">
        <v>0</v>
      </c>
      <c r="AD196" s="78">
        <v>3212</v>
      </c>
      <c r="AE196" s="78">
        <v>3212</v>
      </c>
      <c r="AF196" s="78">
        <v>162</v>
      </c>
      <c r="AG196" s="78">
        <v>1023</v>
      </c>
      <c r="AH196" s="78">
        <v>70</v>
      </c>
      <c r="AI196" s="78">
        <v>4</v>
      </c>
      <c r="AJ196" s="78">
        <v>70</v>
      </c>
      <c r="AK196" s="78">
        <v>4</v>
      </c>
      <c r="AL196" s="78">
        <v>74</v>
      </c>
      <c r="AM196" s="78">
        <v>10034</v>
      </c>
      <c r="AN196" s="78">
        <v>10034</v>
      </c>
      <c r="AO196" s="78">
        <v>0</v>
      </c>
      <c r="AP196" s="78">
        <v>0</v>
      </c>
      <c r="AQ196" s="78">
        <v>0</v>
      </c>
      <c r="AR196" s="78">
        <v>0</v>
      </c>
      <c r="AS196" s="78">
        <v>2296</v>
      </c>
      <c r="AT196" s="78">
        <v>0</v>
      </c>
      <c r="AU196" s="400">
        <v>4.87364E-4</v>
      </c>
      <c r="AV196" s="400">
        <v>7.7458500000000005E-4</v>
      </c>
      <c r="AW196" s="78">
        <v>18211.71</v>
      </c>
      <c r="AX196" s="78">
        <v>0</v>
      </c>
      <c r="AY196" s="78">
        <v>1527</v>
      </c>
      <c r="AZ196" s="78">
        <v>7746.3343212803802</v>
      </c>
      <c r="BA196" s="78">
        <v>2</v>
      </c>
      <c r="BB196" s="78">
        <v>2</v>
      </c>
      <c r="BC196" s="78">
        <v>2415</v>
      </c>
      <c r="BD196" s="78">
        <v>1</v>
      </c>
      <c r="BE196" s="78">
        <v>0</v>
      </c>
      <c r="BF196" s="78">
        <v>0</v>
      </c>
      <c r="BG196" s="78">
        <v>0</v>
      </c>
      <c r="BH196" s="78">
        <v>0</v>
      </c>
      <c r="BI196" s="78">
        <v>0</v>
      </c>
      <c r="BJ196" s="78">
        <v>0</v>
      </c>
      <c r="BK196" s="78">
        <v>0</v>
      </c>
      <c r="BL196" s="78">
        <v>0</v>
      </c>
      <c r="BM196" s="78">
        <v>456.5</v>
      </c>
      <c r="BN196" s="78">
        <v>26</v>
      </c>
      <c r="BO196" s="78">
        <v>40</v>
      </c>
      <c r="BP196" s="78">
        <v>5988.5</v>
      </c>
      <c r="BQ196" s="78">
        <v>1201.32</v>
      </c>
      <c r="BR196" s="78">
        <v>60.327849117174999</v>
      </c>
      <c r="BS196" s="78">
        <v>257</v>
      </c>
      <c r="BT196" s="78">
        <v>104.666666666667</v>
      </c>
      <c r="BU196" s="78">
        <v>101.333333333333</v>
      </c>
      <c r="BV196" s="78">
        <f t="shared" si="10"/>
        <v>980.00000000000296</v>
      </c>
      <c r="BW196" s="78">
        <v>198</v>
      </c>
      <c r="BX196" s="78">
        <v>3087.6213555934401</v>
      </c>
      <c r="BY196" s="402">
        <v>0.96499999999999997</v>
      </c>
      <c r="BZ196" s="78">
        <v>12617</v>
      </c>
      <c r="CA196" s="78">
        <v>2535</v>
      </c>
      <c r="CB196" s="78">
        <v>536</v>
      </c>
      <c r="CC196" s="78">
        <v>759</v>
      </c>
      <c r="CD196" s="78">
        <v>597</v>
      </c>
      <c r="CE196" s="78">
        <v>296</v>
      </c>
      <c r="CF196" s="78">
        <v>333.39166832768598</v>
      </c>
      <c r="CG196" s="78">
        <v>195.70779350209301</v>
      </c>
      <c r="CH196" s="78">
        <v>79.856647398843904</v>
      </c>
      <c r="CI196" s="78">
        <v>703.42499999999995</v>
      </c>
      <c r="CJ196" s="78">
        <v>412.92500000000001</v>
      </c>
      <c r="CK196" s="78">
        <v>168.49</v>
      </c>
      <c r="CL196" s="78">
        <v>73000</v>
      </c>
    </row>
    <row r="197" spans="1:90" customFormat="1" x14ac:dyDescent="0.35">
      <c r="A197" s="72">
        <v>482</v>
      </c>
      <c r="B197" s="72" t="s">
        <v>15</v>
      </c>
      <c r="C197" s="72">
        <v>8</v>
      </c>
      <c r="D197" s="78">
        <v>1574400000</v>
      </c>
      <c r="E197" s="78">
        <v>356300000</v>
      </c>
      <c r="F197" s="78">
        <v>359450000</v>
      </c>
      <c r="G197" s="78">
        <v>20165</v>
      </c>
      <c r="H197" s="78">
        <v>1</v>
      </c>
      <c r="I197" s="78">
        <f t="shared" si="8"/>
        <v>359.45</v>
      </c>
      <c r="J197" s="78">
        <v>4689</v>
      </c>
      <c r="K197" s="78">
        <v>3983</v>
      </c>
      <c r="L197" s="78">
        <v>1415</v>
      </c>
      <c r="M197" s="78">
        <v>2478</v>
      </c>
      <c r="N197" s="78">
        <f t="shared" si="9"/>
        <v>1640.4</v>
      </c>
      <c r="O197" s="78">
        <v>328.33333333333297</v>
      </c>
      <c r="P197" s="78">
        <v>34</v>
      </c>
      <c r="Q197" s="78">
        <v>1152.3333333333301</v>
      </c>
      <c r="R197" s="78">
        <v>2502</v>
      </c>
      <c r="S197" s="78">
        <v>1190</v>
      </c>
      <c r="T197" s="78">
        <v>0</v>
      </c>
      <c r="U197" s="78">
        <v>582</v>
      </c>
      <c r="V197" s="78">
        <v>8394</v>
      </c>
      <c r="W197" s="78">
        <v>17480</v>
      </c>
      <c r="X197" s="78">
        <v>3970</v>
      </c>
      <c r="Y197" s="78">
        <v>0</v>
      </c>
      <c r="Z197" s="78">
        <v>0</v>
      </c>
      <c r="AA197" s="78">
        <v>0</v>
      </c>
      <c r="AB197" s="399">
        <v>0</v>
      </c>
      <c r="AC197" s="399">
        <v>0</v>
      </c>
      <c r="AD197" s="78">
        <v>873</v>
      </c>
      <c r="AE197" s="78">
        <v>1187.28</v>
      </c>
      <c r="AF197" s="78">
        <v>133</v>
      </c>
      <c r="AG197" s="78">
        <v>0</v>
      </c>
      <c r="AH197" s="78">
        <v>90</v>
      </c>
      <c r="AI197" s="78">
        <v>13</v>
      </c>
      <c r="AJ197" s="78">
        <v>123.3</v>
      </c>
      <c r="AK197" s="78">
        <v>17.55</v>
      </c>
      <c r="AL197" s="78">
        <v>104</v>
      </c>
      <c r="AM197" s="78">
        <v>8376</v>
      </c>
      <c r="AN197" s="78">
        <v>11475.12</v>
      </c>
      <c r="AO197" s="78">
        <v>0</v>
      </c>
      <c r="AP197" s="78">
        <v>0</v>
      </c>
      <c r="AQ197" s="78">
        <v>0</v>
      </c>
      <c r="AR197" s="78">
        <v>0</v>
      </c>
      <c r="AS197" s="78">
        <v>1467</v>
      </c>
      <c r="AT197" s="78">
        <v>0</v>
      </c>
      <c r="AU197" s="400">
        <v>2.1213199999999999E-4</v>
      </c>
      <c r="AV197" s="400">
        <v>5.8744400000000001E-4</v>
      </c>
      <c r="AW197" s="78">
        <v>12723.144</v>
      </c>
      <c r="AX197" s="78">
        <v>0</v>
      </c>
      <c r="AY197" s="78">
        <v>884</v>
      </c>
      <c r="AZ197" s="78">
        <v>48578.807952286297</v>
      </c>
      <c r="BA197" s="78">
        <v>3</v>
      </c>
      <c r="BB197" s="78">
        <v>4.05</v>
      </c>
      <c r="BC197" s="78">
        <v>2066</v>
      </c>
      <c r="BD197" s="78">
        <v>1</v>
      </c>
      <c r="BE197" s="78">
        <v>0</v>
      </c>
      <c r="BF197" s="78">
        <v>0</v>
      </c>
      <c r="BG197" s="78">
        <v>0</v>
      </c>
      <c r="BH197" s="78">
        <v>0</v>
      </c>
      <c r="BI197" s="78">
        <v>0</v>
      </c>
      <c r="BJ197" s="78">
        <v>0</v>
      </c>
      <c r="BK197" s="78">
        <v>0</v>
      </c>
      <c r="BL197" s="78">
        <v>0</v>
      </c>
      <c r="BM197" s="78">
        <v>346.98599999999999</v>
      </c>
      <c r="BN197" s="78">
        <v>153</v>
      </c>
      <c r="BO197" s="78">
        <v>40</v>
      </c>
      <c r="BP197" s="78">
        <v>5518.12</v>
      </c>
      <c r="BQ197" s="78">
        <v>1488</v>
      </c>
      <c r="BR197" s="78">
        <v>305.60477557346599</v>
      </c>
      <c r="BS197" s="78">
        <v>264</v>
      </c>
      <c r="BT197" s="78">
        <v>106.333333333333</v>
      </c>
      <c r="BU197" s="78">
        <v>102.666666666667</v>
      </c>
      <c r="BV197" s="78">
        <f t="shared" si="10"/>
        <v>823.99999999999704</v>
      </c>
      <c r="BW197" s="78">
        <v>209</v>
      </c>
      <c r="BX197" s="78">
        <v>3328.56638596841</v>
      </c>
      <c r="BY197" s="402">
        <v>0.748</v>
      </c>
      <c r="BZ197" s="78">
        <v>16182</v>
      </c>
      <c r="CA197" s="78">
        <v>2069</v>
      </c>
      <c r="CB197" s="78">
        <v>499</v>
      </c>
      <c r="CC197" s="78">
        <v>421</v>
      </c>
      <c r="CD197" s="78">
        <v>478</v>
      </c>
      <c r="CE197" s="78">
        <v>266</v>
      </c>
      <c r="CF197" s="78">
        <v>248.33180515759301</v>
      </c>
      <c r="CG197" s="78">
        <v>192.12421203438399</v>
      </c>
      <c r="CH197" s="78">
        <v>76.575501432664794</v>
      </c>
      <c r="CI197" s="78">
        <v>579.6028</v>
      </c>
      <c r="CJ197" s="78">
        <v>448.4151</v>
      </c>
      <c r="CK197" s="78">
        <v>178.7261</v>
      </c>
      <c r="CL197" s="78">
        <v>7938</v>
      </c>
    </row>
    <row r="198" spans="1:90" customFormat="1" x14ac:dyDescent="0.35">
      <c r="A198" s="72">
        <v>613</v>
      </c>
      <c r="B198" s="72" t="s">
        <v>16</v>
      </c>
      <c r="C198" s="72">
        <v>8</v>
      </c>
      <c r="D198" s="78">
        <v>2611600000</v>
      </c>
      <c r="E198" s="78">
        <v>300300000</v>
      </c>
      <c r="F198" s="78">
        <v>324100000</v>
      </c>
      <c r="G198" s="78">
        <v>25590</v>
      </c>
      <c r="H198" s="78">
        <v>2</v>
      </c>
      <c r="I198" s="78">
        <f t="shared" ref="I198:I261" si="11">F198/1000000</f>
        <v>324.10000000000002</v>
      </c>
      <c r="J198" s="78">
        <v>5576</v>
      </c>
      <c r="K198" s="78">
        <v>4462</v>
      </c>
      <c r="L198" s="78">
        <v>1329</v>
      </c>
      <c r="M198" s="78">
        <v>2274</v>
      </c>
      <c r="N198" s="78">
        <f t="shared" ref="N198:N261" si="12">IF(M198-0.1*AM198&lt;=0,0,M198-0.1*AM198)</f>
        <v>1212.2</v>
      </c>
      <c r="O198" s="78">
        <v>278.33333333333297</v>
      </c>
      <c r="P198" s="78">
        <v>16</v>
      </c>
      <c r="Q198" s="78">
        <v>1137.3333333333301</v>
      </c>
      <c r="R198" s="78">
        <v>2907</v>
      </c>
      <c r="S198" s="78">
        <v>2475</v>
      </c>
      <c r="T198" s="78">
        <v>0</v>
      </c>
      <c r="U198" s="78">
        <v>817</v>
      </c>
      <c r="V198" s="78">
        <v>10918</v>
      </c>
      <c r="W198" s="78">
        <v>17220</v>
      </c>
      <c r="X198" s="78">
        <v>2360</v>
      </c>
      <c r="Y198" s="78">
        <v>0</v>
      </c>
      <c r="Z198" s="78">
        <v>0</v>
      </c>
      <c r="AA198" s="78">
        <v>0</v>
      </c>
      <c r="AB198" s="399">
        <v>0</v>
      </c>
      <c r="AC198" s="399">
        <v>0</v>
      </c>
      <c r="AD198" s="78">
        <v>2165</v>
      </c>
      <c r="AE198" s="78">
        <v>2662.95</v>
      </c>
      <c r="AF198" s="78">
        <v>211</v>
      </c>
      <c r="AG198" s="78">
        <v>0</v>
      </c>
      <c r="AH198" s="78">
        <v>110</v>
      </c>
      <c r="AI198" s="78">
        <v>15</v>
      </c>
      <c r="AJ198" s="78">
        <v>140.80000000000001</v>
      </c>
      <c r="AK198" s="78">
        <v>17.850000000000001</v>
      </c>
      <c r="AL198" s="78">
        <v>125</v>
      </c>
      <c r="AM198" s="78">
        <v>10618</v>
      </c>
      <c r="AN198" s="78">
        <v>13591.04</v>
      </c>
      <c r="AO198" s="78">
        <v>0</v>
      </c>
      <c r="AP198" s="78">
        <v>0</v>
      </c>
      <c r="AQ198" s="78">
        <v>0</v>
      </c>
      <c r="AR198" s="78">
        <v>0</v>
      </c>
      <c r="AS198" s="78">
        <v>0</v>
      </c>
      <c r="AT198" s="78">
        <v>0</v>
      </c>
      <c r="AU198" s="400">
        <v>6.9413999999999996E-5</v>
      </c>
      <c r="AV198" s="400">
        <v>1.8736E-4</v>
      </c>
      <c r="AW198" s="78">
        <v>10989.63</v>
      </c>
      <c r="AX198" s="78">
        <v>0</v>
      </c>
      <c r="AY198" s="78">
        <v>1483.38</v>
      </c>
      <c r="AZ198" s="78">
        <v>28296.336363636401</v>
      </c>
      <c r="BA198" s="78">
        <v>2</v>
      </c>
      <c r="BB198" s="78">
        <v>2.38</v>
      </c>
      <c r="BC198" s="78">
        <v>2595</v>
      </c>
      <c r="BD198" s="78">
        <v>1</v>
      </c>
      <c r="BE198" s="78">
        <v>0</v>
      </c>
      <c r="BF198" s="78">
        <v>0</v>
      </c>
      <c r="BG198" s="78">
        <v>0</v>
      </c>
      <c r="BH198" s="78">
        <v>0</v>
      </c>
      <c r="BI198" s="78">
        <v>0</v>
      </c>
      <c r="BJ198" s="78">
        <v>0</v>
      </c>
      <c r="BK198" s="78">
        <v>0</v>
      </c>
      <c r="BL198" s="78">
        <v>0</v>
      </c>
      <c r="BM198" s="78">
        <v>434.928</v>
      </c>
      <c r="BN198" s="78">
        <v>39</v>
      </c>
      <c r="BO198" s="78">
        <v>41</v>
      </c>
      <c r="BP198" s="78">
        <v>8721.64</v>
      </c>
      <c r="BQ198" s="78">
        <v>2611.44</v>
      </c>
      <c r="BR198" s="78">
        <v>152.770905668833</v>
      </c>
      <c r="BS198" s="78">
        <v>338</v>
      </c>
      <c r="BT198" s="78">
        <v>96.6666666666667</v>
      </c>
      <c r="BU198" s="78">
        <v>82</v>
      </c>
      <c r="BV198" s="78">
        <f t="shared" ref="BV198:BV261" si="13">Q198-O198</f>
        <v>858.99999999999704</v>
      </c>
      <c r="BW198" s="78">
        <v>263</v>
      </c>
      <c r="BX198" s="78">
        <v>3305.6880693284802</v>
      </c>
      <c r="BY198" s="402">
        <v>0.47799999999999998</v>
      </c>
      <c r="BZ198" s="78">
        <v>21128</v>
      </c>
      <c r="CA198" s="78">
        <v>2638</v>
      </c>
      <c r="CB198" s="78">
        <v>495</v>
      </c>
      <c r="CC198" s="78">
        <v>524</v>
      </c>
      <c r="CD198" s="78">
        <v>474</v>
      </c>
      <c r="CE198" s="78">
        <v>257</v>
      </c>
      <c r="CF198" s="78">
        <v>181.52175550951199</v>
      </c>
      <c r="CG198" s="78">
        <v>103.20482200037701</v>
      </c>
      <c r="CH198" s="78">
        <v>40.870936146166898</v>
      </c>
      <c r="CI198" s="78">
        <v>461.73599999999999</v>
      </c>
      <c r="CJ198" s="78">
        <v>262.52159999999998</v>
      </c>
      <c r="CK198" s="78">
        <v>103.9632</v>
      </c>
      <c r="CL198" s="78">
        <v>18434</v>
      </c>
    </row>
    <row r="199" spans="1:90" customFormat="1" x14ac:dyDescent="0.35">
      <c r="A199" s="72">
        <v>484</v>
      </c>
      <c r="B199" s="72" t="s">
        <v>20</v>
      </c>
      <c r="C199" s="72">
        <v>8</v>
      </c>
      <c r="D199" s="78">
        <v>10313600000</v>
      </c>
      <c r="E199" s="78">
        <v>1513750000</v>
      </c>
      <c r="F199" s="78">
        <v>1586550000</v>
      </c>
      <c r="G199" s="78">
        <v>111897</v>
      </c>
      <c r="H199" s="78">
        <v>5</v>
      </c>
      <c r="I199" s="78">
        <f t="shared" si="11"/>
        <v>1586.55</v>
      </c>
      <c r="J199" s="78">
        <v>22484</v>
      </c>
      <c r="K199" s="78">
        <v>21396</v>
      </c>
      <c r="L199" s="78">
        <v>6587</v>
      </c>
      <c r="M199" s="78">
        <v>12971</v>
      </c>
      <c r="N199" s="78">
        <f t="shared" si="12"/>
        <v>8131.2</v>
      </c>
      <c r="O199" s="78">
        <v>1618.3333333333301</v>
      </c>
      <c r="P199" s="78">
        <v>96</v>
      </c>
      <c r="Q199" s="78">
        <v>6227.3333333333303</v>
      </c>
      <c r="R199" s="78">
        <v>16078</v>
      </c>
      <c r="S199" s="78">
        <v>7830</v>
      </c>
      <c r="T199" s="78">
        <v>0</v>
      </c>
      <c r="U199" s="78">
        <v>3402</v>
      </c>
      <c r="V199" s="78">
        <v>50211</v>
      </c>
      <c r="W199" s="78">
        <v>112470</v>
      </c>
      <c r="X199" s="78">
        <v>82900</v>
      </c>
      <c r="Y199" s="78">
        <v>2118.96</v>
      </c>
      <c r="Z199" s="78">
        <v>5286.4</v>
      </c>
      <c r="AA199" s="78">
        <v>0</v>
      </c>
      <c r="AB199" s="399">
        <v>0</v>
      </c>
      <c r="AC199" s="399">
        <v>0</v>
      </c>
      <c r="AD199" s="78">
        <v>12638</v>
      </c>
      <c r="AE199" s="78">
        <v>16682.16</v>
      </c>
      <c r="AF199" s="78">
        <v>612</v>
      </c>
      <c r="AG199" s="78">
        <v>0</v>
      </c>
      <c r="AH199" s="78">
        <v>513</v>
      </c>
      <c r="AI199" s="78">
        <v>75</v>
      </c>
      <c r="AJ199" s="78">
        <v>661.77</v>
      </c>
      <c r="AK199" s="78">
        <v>100.5</v>
      </c>
      <c r="AL199" s="78">
        <v>588</v>
      </c>
      <c r="AM199" s="78">
        <v>48398</v>
      </c>
      <c r="AN199" s="78">
        <v>62433.42</v>
      </c>
      <c r="AO199" s="78">
        <v>0</v>
      </c>
      <c r="AP199" s="78">
        <v>0</v>
      </c>
      <c r="AQ199" s="78">
        <v>0</v>
      </c>
      <c r="AR199" s="78">
        <v>0</v>
      </c>
      <c r="AS199" s="78">
        <v>3731</v>
      </c>
      <c r="AT199" s="78">
        <v>0</v>
      </c>
      <c r="AU199" s="400">
        <v>1.1199599999999999E-3</v>
      </c>
      <c r="AV199" s="400">
        <v>2.3711610000000001E-3</v>
      </c>
      <c r="AW199" s="78">
        <v>88810.33</v>
      </c>
      <c r="AX199" s="78">
        <v>0</v>
      </c>
      <c r="AY199" s="78">
        <v>14934.48</v>
      </c>
      <c r="AZ199" s="78">
        <v>317546.96478792501</v>
      </c>
      <c r="BA199" s="78">
        <v>12</v>
      </c>
      <c r="BB199" s="78">
        <v>16.079999999999998</v>
      </c>
      <c r="BC199" s="78">
        <v>12407</v>
      </c>
      <c r="BD199" s="78">
        <v>1</v>
      </c>
      <c r="BE199" s="78">
        <v>0</v>
      </c>
      <c r="BF199" s="78">
        <v>0</v>
      </c>
      <c r="BG199" s="78">
        <v>0</v>
      </c>
      <c r="BH199" s="78">
        <v>0</v>
      </c>
      <c r="BI199" s="78">
        <v>0</v>
      </c>
      <c r="BJ199" s="78">
        <v>0</v>
      </c>
      <c r="BK199" s="78">
        <v>0</v>
      </c>
      <c r="BL199" s="78">
        <v>0</v>
      </c>
      <c r="BM199" s="78">
        <v>2068.5279999999998</v>
      </c>
      <c r="BN199" s="78">
        <v>382</v>
      </c>
      <c r="BO199" s="78">
        <v>318</v>
      </c>
      <c r="BP199" s="78">
        <v>35078.400000000001</v>
      </c>
      <c r="BQ199" s="78">
        <v>8646.39</v>
      </c>
      <c r="BR199" s="78">
        <v>1081.0154696711099</v>
      </c>
      <c r="BS199" s="78">
        <v>1391</v>
      </c>
      <c r="BT199" s="78">
        <v>486.33333333333297</v>
      </c>
      <c r="BU199" s="78">
        <v>392.66666666666703</v>
      </c>
      <c r="BV199" s="78">
        <f t="shared" si="13"/>
        <v>4609</v>
      </c>
      <c r="BW199" s="78">
        <v>1459</v>
      </c>
      <c r="BX199" s="78">
        <v>16954.715387166001</v>
      </c>
      <c r="BY199" s="402">
        <v>2.3780000000000001</v>
      </c>
      <c r="BZ199" s="78">
        <v>90501</v>
      </c>
      <c r="CA199" s="78">
        <v>12654</v>
      </c>
      <c r="CB199" s="78">
        <v>2155</v>
      </c>
      <c r="CC199" s="78">
        <v>2555</v>
      </c>
      <c r="CD199" s="78">
        <v>2168</v>
      </c>
      <c r="CE199" s="78">
        <v>1110</v>
      </c>
      <c r="CF199" s="78">
        <v>1302.89383858837</v>
      </c>
      <c r="CG199" s="78">
        <v>741.58264391090495</v>
      </c>
      <c r="CH199" s="78">
        <v>258.05866358114002</v>
      </c>
      <c r="CI199" s="78">
        <v>3105.8775000000001</v>
      </c>
      <c r="CJ199" s="78">
        <v>1767.807</v>
      </c>
      <c r="CK199" s="78">
        <v>615.16800000000001</v>
      </c>
      <c r="CL199" s="78">
        <v>259444</v>
      </c>
    </row>
    <row r="200" spans="1:90" customFormat="1" x14ac:dyDescent="0.35">
      <c r="A200" s="72">
        <v>489</v>
      </c>
      <c r="B200" s="72" t="s">
        <v>34</v>
      </c>
      <c r="C200" s="72">
        <v>8</v>
      </c>
      <c r="D200" s="78">
        <v>4896400000</v>
      </c>
      <c r="E200" s="78">
        <v>794500000</v>
      </c>
      <c r="F200" s="78">
        <v>797650000</v>
      </c>
      <c r="G200" s="78">
        <v>48714</v>
      </c>
      <c r="H200" s="78">
        <v>1</v>
      </c>
      <c r="I200" s="78">
        <f t="shared" si="11"/>
        <v>797.65</v>
      </c>
      <c r="J200" s="78">
        <v>10984</v>
      </c>
      <c r="K200" s="78">
        <v>8618</v>
      </c>
      <c r="L200" s="78">
        <v>2660</v>
      </c>
      <c r="M200" s="78">
        <v>3828</v>
      </c>
      <c r="N200" s="78">
        <f t="shared" si="12"/>
        <v>1873.3999999999999</v>
      </c>
      <c r="O200" s="78">
        <v>524.33333333333303</v>
      </c>
      <c r="P200" s="78">
        <v>30</v>
      </c>
      <c r="Q200" s="78">
        <v>2042.3333333333301</v>
      </c>
      <c r="R200" s="78">
        <v>4828</v>
      </c>
      <c r="S200" s="78">
        <v>5990</v>
      </c>
      <c r="T200" s="78">
        <v>0</v>
      </c>
      <c r="U200" s="78">
        <v>1534</v>
      </c>
      <c r="V200" s="78">
        <v>19722</v>
      </c>
      <c r="W200" s="78">
        <v>45730</v>
      </c>
      <c r="X200" s="78">
        <v>19000</v>
      </c>
      <c r="Y200" s="78">
        <v>1956.86</v>
      </c>
      <c r="Z200" s="78">
        <v>3475.2</v>
      </c>
      <c r="AA200" s="78">
        <v>0</v>
      </c>
      <c r="AB200" s="399">
        <v>0</v>
      </c>
      <c r="AC200" s="399">
        <v>861.39999999999964</v>
      </c>
      <c r="AD200" s="78">
        <v>1944</v>
      </c>
      <c r="AE200" s="78">
        <v>2604.96</v>
      </c>
      <c r="AF200" s="78">
        <v>229</v>
      </c>
      <c r="AG200" s="78">
        <v>0</v>
      </c>
      <c r="AH200" s="78">
        <v>227</v>
      </c>
      <c r="AI200" s="78">
        <v>3</v>
      </c>
      <c r="AJ200" s="78">
        <v>310.99</v>
      </c>
      <c r="AK200" s="78">
        <v>3.78</v>
      </c>
      <c r="AL200" s="78">
        <v>230</v>
      </c>
      <c r="AM200" s="78">
        <v>19546</v>
      </c>
      <c r="AN200" s="78">
        <v>26778.02</v>
      </c>
      <c r="AO200" s="78">
        <v>0</v>
      </c>
      <c r="AP200" s="78">
        <v>0</v>
      </c>
      <c r="AQ200" s="78">
        <v>0</v>
      </c>
      <c r="AR200" s="78">
        <v>0</v>
      </c>
      <c r="AS200" s="78">
        <v>716</v>
      </c>
      <c r="AT200" s="78">
        <v>0</v>
      </c>
      <c r="AU200" s="400">
        <v>1.07892E-4</v>
      </c>
      <c r="AV200" s="400">
        <v>1.4540199999999999E-4</v>
      </c>
      <c r="AW200" s="78">
        <v>32661.366000000002</v>
      </c>
      <c r="AX200" s="78">
        <v>0</v>
      </c>
      <c r="AY200" s="78">
        <v>2872.96</v>
      </c>
      <c r="AZ200" s="78">
        <v>165099.435324436</v>
      </c>
      <c r="BA200" s="78">
        <v>4</v>
      </c>
      <c r="BB200" s="78">
        <v>5.04</v>
      </c>
      <c r="BC200" s="78">
        <v>5617</v>
      </c>
      <c r="BD200" s="78">
        <v>1</v>
      </c>
      <c r="BE200" s="78">
        <v>0</v>
      </c>
      <c r="BF200" s="78">
        <v>0</v>
      </c>
      <c r="BG200" s="78">
        <v>0</v>
      </c>
      <c r="BH200" s="78">
        <v>0</v>
      </c>
      <c r="BI200" s="78">
        <v>0</v>
      </c>
      <c r="BJ200" s="78">
        <v>0</v>
      </c>
      <c r="BK200" s="78">
        <v>0</v>
      </c>
      <c r="BL200" s="78">
        <v>0</v>
      </c>
      <c r="BM200" s="78">
        <v>812.81600000000003</v>
      </c>
      <c r="BN200" s="78">
        <v>106</v>
      </c>
      <c r="BO200" s="78">
        <v>88</v>
      </c>
      <c r="BP200" s="78">
        <v>16189.32</v>
      </c>
      <c r="BQ200" s="78">
        <v>4788.42</v>
      </c>
      <c r="BR200" s="78">
        <v>300.08084356894602</v>
      </c>
      <c r="BS200" s="78">
        <v>677</v>
      </c>
      <c r="BT200" s="78">
        <v>185.666666666667</v>
      </c>
      <c r="BU200" s="78">
        <v>143</v>
      </c>
      <c r="BV200" s="78">
        <f t="shared" si="13"/>
        <v>1517.999999999997</v>
      </c>
      <c r="BW200" s="78">
        <v>397</v>
      </c>
      <c r="BX200" s="78">
        <v>5850.1637737554702</v>
      </c>
      <c r="BY200" s="402">
        <v>0.54800000000000004</v>
      </c>
      <c r="BZ200" s="78">
        <v>40096</v>
      </c>
      <c r="CA200" s="78">
        <v>5022</v>
      </c>
      <c r="CB200" s="78">
        <v>936</v>
      </c>
      <c r="CC200" s="78">
        <v>964</v>
      </c>
      <c r="CD200" s="78">
        <v>822</v>
      </c>
      <c r="CE200" s="78">
        <v>467</v>
      </c>
      <c r="CF200" s="78">
        <v>286.67448071216597</v>
      </c>
      <c r="CG200" s="78">
        <v>170.79703264094999</v>
      </c>
      <c r="CH200" s="78">
        <v>65.175074183976307</v>
      </c>
      <c r="CI200" s="78">
        <v>936.78120000000001</v>
      </c>
      <c r="CJ200" s="78">
        <v>558.12239999999997</v>
      </c>
      <c r="CK200" s="78">
        <v>212.976</v>
      </c>
      <c r="CL200" s="78">
        <v>27342</v>
      </c>
    </row>
    <row r="201" spans="1:90" customFormat="1" x14ac:dyDescent="0.35">
      <c r="A201" s="72">
        <v>1901</v>
      </c>
      <c r="B201" s="72" t="s">
        <v>53</v>
      </c>
      <c r="C201" s="72">
        <v>8</v>
      </c>
      <c r="D201" s="78">
        <v>3920000000</v>
      </c>
      <c r="E201" s="78">
        <v>478450000</v>
      </c>
      <c r="F201" s="78">
        <v>505050000</v>
      </c>
      <c r="G201" s="78">
        <v>34872</v>
      </c>
      <c r="H201" s="78">
        <v>6</v>
      </c>
      <c r="I201" s="78">
        <f t="shared" si="11"/>
        <v>505.05</v>
      </c>
      <c r="J201" s="78">
        <v>7499</v>
      </c>
      <c r="K201" s="78">
        <v>7069</v>
      </c>
      <c r="L201" s="78">
        <v>2293</v>
      </c>
      <c r="M201" s="78">
        <v>3325</v>
      </c>
      <c r="N201" s="78">
        <f t="shared" si="12"/>
        <v>1824.1</v>
      </c>
      <c r="O201" s="78">
        <v>281</v>
      </c>
      <c r="P201" s="78">
        <v>26</v>
      </c>
      <c r="Q201" s="78">
        <v>1329</v>
      </c>
      <c r="R201" s="78">
        <v>4112</v>
      </c>
      <c r="S201" s="78">
        <v>1560</v>
      </c>
      <c r="T201" s="78">
        <v>0</v>
      </c>
      <c r="U201" s="78">
        <v>844</v>
      </c>
      <c r="V201" s="78">
        <v>14630</v>
      </c>
      <c r="W201" s="78">
        <v>27640</v>
      </c>
      <c r="X201" s="78">
        <v>4350</v>
      </c>
      <c r="Y201" s="78">
        <v>0</v>
      </c>
      <c r="Z201" s="78">
        <v>0</v>
      </c>
      <c r="AA201" s="78">
        <v>0</v>
      </c>
      <c r="AB201" s="399">
        <v>0</v>
      </c>
      <c r="AC201" s="399">
        <v>0</v>
      </c>
      <c r="AD201" s="78">
        <v>7567</v>
      </c>
      <c r="AE201" s="78">
        <v>11501.84</v>
      </c>
      <c r="AF201" s="78">
        <v>1297</v>
      </c>
      <c r="AG201" s="78">
        <v>0</v>
      </c>
      <c r="AH201" s="78">
        <v>182</v>
      </c>
      <c r="AI201" s="78">
        <v>50</v>
      </c>
      <c r="AJ201" s="78">
        <v>251.16</v>
      </c>
      <c r="AK201" s="78">
        <v>78</v>
      </c>
      <c r="AL201" s="78">
        <v>233</v>
      </c>
      <c r="AM201" s="78">
        <v>15009</v>
      </c>
      <c r="AN201" s="78">
        <v>20712.419999999998</v>
      </c>
      <c r="AO201" s="78">
        <v>0</v>
      </c>
      <c r="AP201" s="78">
        <v>0</v>
      </c>
      <c r="AQ201" s="78">
        <v>0</v>
      </c>
      <c r="AR201" s="78">
        <v>0</v>
      </c>
      <c r="AS201" s="78">
        <v>870</v>
      </c>
      <c r="AT201" s="78">
        <v>0</v>
      </c>
      <c r="AU201" s="400">
        <v>3.8592299999999998E-4</v>
      </c>
      <c r="AV201" s="400">
        <v>2.3670000000000001E-4</v>
      </c>
      <c r="AW201" s="78">
        <v>16960.169999999998</v>
      </c>
      <c r="AX201" s="78">
        <v>0</v>
      </c>
      <c r="AY201" s="78">
        <v>13991.6</v>
      </c>
      <c r="AZ201" s="78">
        <v>154154.69740072201</v>
      </c>
      <c r="BA201" s="78">
        <v>18</v>
      </c>
      <c r="BB201" s="78">
        <v>28.08</v>
      </c>
      <c r="BC201" s="78">
        <v>4792</v>
      </c>
      <c r="BD201" s="78">
        <v>1</v>
      </c>
      <c r="BE201" s="78">
        <v>0</v>
      </c>
      <c r="BF201" s="78">
        <v>0</v>
      </c>
      <c r="BG201" s="78">
        <v>0</v>
      </c>
      <c r="BH201" s="78">
        <v>0</v>
      </c>
      <c r="BI201" s="78">
        <v>0</v>
      </c>
      <c r="BJ201" s="78">
        <v>0</v>
      </c>
      <c r="BK201" s="78">
        <v>0</v>
      </c>
      <c r="BL201" s="78">
        <v>0</v>
      </c>
      <c r="BM201" s="78">
        <v>592.42100000000005</v>
      </c>
      <c r="BN201" s="78">
        <v>123</v>
      </c>
      <c r="BO201" s="78">
        <v>75</v>
      </c>
      <c r="BP201" s="78">
        <v>12061.56</v>
      </c>
      <c r="BQ201" s="78">
        <v>3029.95</v>
      </c>
      <c r="BR201" s="78">
        <v>249.97166327457799</v>
      </c>
      <c r="BS201" s="78">
        <v>350</v>
      </c>
      <c r="BT201" s="78">
        <v>109</v>
      </c>
      <c r="BU201" s="78">
        <v>67</v>
      </c>
      <c r="BV201" s="78">
        <f t="shared" si="13"/>
        <v>1048</v>
      </c>
      <c r="BW201" s="78">
        <v>311</v>
      </c>
      <c r="BX201" s="78">
        <v>4579.4013208751703</v>
      </c>
      <c r="BY201" s="402">
        <v>0.17399999999999999</v>
      </c>
      <c r="BZ201" s="78">
        <v>27803</v>
      </c>
      <c r="CA201" s="78">
        <v>4017</v>
      </c>
      <c r="CB201" s="78">
        <v>759</v>
      </c>
      <c r="CC201" s="78">
        <v>753</v>
      </c>
      <c r="CD201" s="78">
        <v>720</v>
      </c>
      <c r="CE201" s="78">
        <v>406</v>
      </c>
      <c r="CF201" s="78">
        <v>295.08393630488399</v>
      </c>
      <c r="CG201" s="78">
        <v>188.01270570990701</v>
      </c>
      <c r="CH201" s="78">
        <v>70.246505430075302</v>
      </c>
      <c r="CI201" s="78">
        <v>760.44960000000003</v>
      </c>
      <c r="CJ201" s="78">
        <v>484.5204</v>
      </c>
      <c r="CK201" s="78">
        <v>181.02959999999999</v>
      </c>
      <c r="CL201" s="78">
        <v>30295</v>
      </c>
    </row>
    <row r="202" spans="1:90" customFormat="1" x14ac:dyDescent="0.35">
      <c r="A202" s="72">
        <v>501</v>
      </c>
      <c r="B202" s="72" t="s">
        <v>61</v>
      </c>
      <c r="C202" s="72">
        <v>8</v>
      </c>
      <c r="D202" s="78">
        <v>1651200000</v>
      </c>
      <c r="E202" s="78">
        <v>233800000</v>
      </c>
      <c r="F202" s="78">
        <v>245000000</v>
      </c>
      <c r="G202" s="78">
        <v>17271</v>
      </c>
      <c r="H202" s="78">
        <v>3</v>
      </c>
      <c r="I202" s="78">
        <f t="shared" si="11"/>
        <v>245</v>
      </c>
      <c r="J202" s="78">
        <v>2978</v>
      </c>
      <c r="K202" s="78">
        <v>3898</v>
      </c>
      <c r="L202" s="78">
        <v>1283</v>
      </c>
      <c r="M202" s="78">
        <v>1804</v>
      </c>
      <c r="N202" s="78">
        <f t="shared" si="12"/>
        <v>994.8</v>
      </c>
      <c r="O202" s="78">
        <v>210.333333333333</v>
      </c>
      <c r="P202" s="78">
        <v>11</v>
      </c>
      <c r="Q202" s="78">
        <v>802.33333333333303</v>
      </c>
      <c r="R202" s="78">
        <v>2550</v>
      </c>
      <c r="S202" s="78">
        <v>520</v>
      </c>
      <c r="T202" s="78">
        <v>0</v>
      </c>
      <c r="U202" s="78">
        <v>561</v>
      </c>
      <c r="V202" s="78">
        <v>8041</v>
      </c>
      <c r="W202" s="78">
        <v>14080</v>
      </c>
      <c r="X202" s="78">
        <v>2110</v>
      </c>
      <c r="Y202" s="78">
        <v>725.86</v>
      </c>
      <c r="Z202" s="78">
        <v>1235.2</v>
      </c>
      <c r="AA202" s="78">
        <v>0</v>
      </c>
      <c r="AB202" s="399">
        <v>0</v>
      </c>
      <c r="AC202" s="399">
        <v>0</v>
      </c>
      <c r="AD202" s="78">
        <v>2756</v>
      </c>
      <c r="AE202" s="78">
        <v>3224.52</v>
      </c>
      <c r="AF202" s="78">
        <v>358</v>
      </c>
      <c r="AG202" s="78">
        <v>0</v>
      </c>
      <c r="AH202" s="78">
        <v>71</v>
      </c>
      <c r="AI202" s="78">
        <v>19</v>
      </c>
      <c r="AJ202" s="78">
        <v>86.62</v>
      </c>
      <c r="AK202" s="78">
        <v>22.04</v>
      </c>
      <c r="AL202" s="78">
        <v>90</v>
      </c>
      <c r="AM202" s="78">
        <v>8092</v>
      </c>
      <c r="AN202" s="78">
        <v>9872.24</v>
      </c>
      <c r="AO202" s="78">
        <v>26</v>
      </c>
      <c r="AP202" s="78">
        <v>0</v>
      </c>
      <c r="AQ202" s="78">
        <v>0</v>
      </c>
      <c r="AR202" s="78">
        <v>5800</v>
      </c>
      <c r="AS202" s="78">
        <v>870</v>
      </c>
      <c r="AT202" s="78">
        <v>870</v>
      </c>
      <c r="AU202" s="400">
        <v>3.4786700000000002E-4</v>
      </c>
      <c r="AV202" s="400">
        <v>1.5063399999999999E-4</v>
      </c>
      <c r="AW202" s="78">
        <v>7137.1440000000002</v>
      </c>
      <c r="AX202" s="78">
        <v>0</v>
      </c>
      <c r="AY202" s="78">
        <v>1868.49</v>
      </c>
      <c r="AZ202" s="78">
        <v>18526.3920520231</v>
      </c>
      <c r="BA202" s="78">
        <v>3</v>
      </c>
      <c r="BB202" s="78">
        <v>3.48</v>
      </c>
      <c r="BC202" s="78">
        <v>1889</v>
      </c>
      <c r="BD202" s="78">
        <v>1</v>
      </c>
      <c r="BE202" s="78">
        <v>0</v>
      </c>
      <c r="BF202" s="78">
        <v>0</v>
      </c>
      <c r="BG202" s="78">
        <v>0</v>
      </c>
      <c r="BH202" s="78">
        <v>0</v>
      </c>
      <c r="BI202" s="78">
        <v>0</v>
      </c>
      <c r="BJ202" s="78">
        <v>0</v>
      </c>
      <c r="BK202" s="78">
        <v>0</v>
      </c>
      <c r="BL202" s="78">
        <v>0</v>
      </c>
      <c r="BM202" s="78">
        <v>294.822</v>
      </c>
      <c r="BN202" s="78">
        <v>27</v>
      </c>
      <c r="BO202" s="78">
        <v>14</v>
      </c>
      <c r="BP202" s="78">
        <v>6158.05</v>
      </c>
      <c r="BQ202" s="78">
        <v>1320.9</v>
      </c>
      <c r="BR202" s="78">
        <v>69.993761125903404</v>
      </c>
      <c r="BS202" s="78">
        <v>199</v>
      </c>
      <c r="BT202" s="78">
        <v>60</v>
      </c>
      <c r="BU202" s="78">
        <v>53</v>
      </c>
      <c r="BV202" s="78">
        <f t="shared" si="13"/>
        <v>592</v>
      </c>
      <c r="BW202" s="78">
        <v>181</v>
      </c>
      <c r="BX202" s="78">
        <v>2719.1722942614401</v>
      </c>
      <c r="BY202" s="402">
        <v>0.311</v>
      </c>
      <c r="BZ202" s="78">
        <v>13373</v>
      </c>
      <c r="CA202" s="78">
        <v>2209</v>
      </c>
      <c r="CB202" s="78">
        <v>406</v>
      </c>
      <c r="CC202" s="78">
        <v>449</v>
      </c>
      <c r="CD202" s="78">
        <v>466</v>
      </c>
      <c r="CE202" s="78">
        <v>194</v>
      </c>
      <c r="CF202" s="78">
        <v>168.299703410776</v>
      </c>
      <c r="CG202" s="78">
        <v>105.84809688581301</v>
      </c>
      <c r="CH202" s="78">
        <v>33.315719228867998</v>
      </c>
      <c r="CI202" s="78">
        <v>474.76920000000001</v>
      </c>
      <c r="CJ202" s="78">
        <v>298.59480000000002</v>
      </c>
      <c r="CK202" s="78">
        <v>93.982799999999997</v>
      </c>
      <c r="CL202" s="78">
        <v>29973</v>
      </c>
    </row>
    <row r="203" spans="1:90" customFormat="1" x14ac:dyDescent="0.35">
      <c r="A203" s="72">
        <v>502</v>
      </c>
      <c r="B203" s="72" t="s">
        <v>68</v>
      </c>
      <c r="C203" s="72">
        <v>8</v>
      </c>
      <c r="D203" s="78">
        <v>5701200000</v>
      </c>
      <c r="E203" s="78">
        <v>721350000</v>
      </c>
      <c r="F203" s="78">
        <v>749350000</v>
      </c>
      <c r="G203" s="78">
        <v>67122</v>
      </c>
      <c r="H203" s="78">
        <v>1</v>
      </c>
      <c r="I203" s="78">
        <f t="shared" si="11"/>
        <v>749.35</v>
      </c>
      <c r="J203" s="78">
        <v>13004</v>
      </c>
      <c r="K203" s="78">
        <v>13741</v>
      </c>
      <c r="L203" s="78">
        <v>4011</v>
      </c>
      <c r="M203" s="78">
        <v>10163</v>
      </c>
      <c r="N203" s="78">
        <f t="shared" si="12"/>
        <v>7015.6</v>
      </c>
      <c r="O203" s="78">
        <v>2074</v>
      </c>
      <c r="P203" s="78">
        <v>58</v>
      </c>
      <c r="Q203" s="78">
        <v>4967</v>
      </c>
      <c r="R203" s="78">
        <v>12070</v>
      </c>
      <c r="S203" s="78">
        <v>10135</v>
      </c>
      <c r="T203" s="78">
        <v>0</v>
      </c>
      <c r="U203" s="78">
        <v>3439</v>
      </c>
      <c r="V203" s="78">
        <v>32023</v>
      </c>
      <c r="W203" s="78">
        <v>66730</v>
      </c>
      <c r="X203" s="78">
        <v>33850</v>
      </c>
      <c r="Y203" s="78">
        <v>1728.28</v>
      </c>
      <c r="Z203" s="78">
        <v>2124</v>
      </c>
      <c r="AA203" s="78">
        <v>0</v>
      </c>
      <c r="AB203" s="399">
        <v>0</v>
      </c>
      <c r="AC203" s="399">
        <v>0</v>
      </c>
      <c r="AD203" s="78">
        <v>1423</v>
      </c>
      <c r="AE203" s="78">
        <v>2049.12</v>
      </c>
      <c r="AF203" s="78">
        <v>117</v>
      </c>
      <c r="AG203" s="78">
        <v>0</v>
      </c>
      <c r="AH203" s="78">
        <v>226</v>
      </c>
      <c r="AI203" s="78">
        <v>3</v>
      </c>
      <c r="AJ203" s="78">
        <v>325.44</v>
      </c>
      <c r="AK203" s="78">
        <v>4.05</v>
      </c>
      <c r="AL203" s="78">
        <v>229</v>
      </c>
      <c r="AM203" s="78">
        <v>31474</v>
      </c>
      <c r="AN203" s="78">
        <v>45322.559999999998</v>
      </c>
      <c r="AO203" s="78">
        <v>0</v>
      </c>
      <c r="AP203" s="78">
        <v>0</v>
      </c>
      <c r="AQ203" s="78">
        <v>0</v>
      </c>
      <c r="AR203" s="78">
        <v>0</v>
      </c>
      <c r="AS203" s="78">
        <v>841</v>
      </c>
      <c r="AT203" s="78">
        <v>0</v>
      </c>
      <c r="AU203" s="400">
        <v>2.5181200000000002E-4</v>
      </c>
      <c r="AV203" s="400">
        <v>3.1328100000000002E-3</v>
      </c>
      <c r="AW203" s="78">
        <v>72421.673999999999</v>
      </c>
      <c r="AX203" s="78">
        <v>0</v>
      </c>
      <c r="AY203" s="78">
        <v>2993.76</v>
      </c>
      <c r="AZ203" s="78">
        <v>383170.73142857099</v>
      </c>
      <c r="BA203" s="78">
        <v>1</v>
      </c>
      <c r="BB203" s="78">
        <v>1.35</v>
      </c>
      <c r="BC203" s="78">
        <v>7123</v>
      </c>
      <c r="BD203" s="78">
        <v>1</v>
      </c>
      <c r="BE203" s="78">
        <v>0</v>
      </c>
      <c r="BF203" s="78">
        <v>0</v>
      </c>
      <c r="BG203" s="78">
        <v>0</v>
      </c>
      <c r="BH203" s="78">
        <v>0</v>
      </c>
      <c r="BI203" s="78">
        <v>0</v>
      </c>
      <c r="BJ203" s="78">
        <v>0</v>
      </c>
      <c r="BK203" s="78">
        <v>0</v>
      </c>
      <c r="BL203" s="78">
        <v>0</v>
      </c>
      <c r="BM203" s="78">
        <v>2366.7280000000001</v>
      </c>
      <c r="BN203" s="78">
        <v>250</v>
      </c>
      <c r="BO203" s="78">
        <v>206</v>
      </c>
      <c r="BP203" s="78">
        <v>20999.81</v>
      </c>
      <c r="BQ203" s="78">
        <v>4583.04</v>
      </c>
      <c r="BR203" s="78">
        <v>383.20842044716602</v>
      </c>
      <c r="BS203" s="78">
        <v>1448</v>
      </c>
      <c r="BT203" s="78">
        <v>699.33333333333303</v>
      </c>
      <c r="BU203" s="78">
        <v>713</v>
      </c>
      <c r="BV203" s="78">
        <f t="shared" si="13"/>
        <v>2893</v>
      </c>
      <c r="BW203" s="78">
        <v>791</v>
      </c>
      <c r="BX203" s="78">
        <v>12008.226054057301</v>
      </c>
      <c r="BY203" s="402">
        <v>4.7919999999999998</v>
      </c>
      <c r="BZ203" s="78">
        <v>53381</v>
      </c>
      <c r="CA203" s="78">
        <v>8137</v>
      </c>
      <c r="CB203" s="78">
        <v>1593</v>
      </c>
      <c r="CC203" s="78">
        <v>2168</v>
      </c>
      <c r="CD203" s="78">
        <v>1584</v>
      </c>
      <c r="CE203" s="78">
        <v>876</v>
      </c>
      <c r="CF203" s="78">
        <v>1177.3654190760601</v>
      </c>
      <c r="CG203" s="78">
        <v>626.57595475630706</v>
      </c>
      <c r="CH203" s="78">
        <v>264.80691364300702</v>
      </c>
      <c r="CI203" s="78">
        <v>2352.0745999999999</v>
      </c>
      <c r="CJ203" s="78">
        <v>1251.7383</v>
      </c>
      <c r="CK203" s="78">
        <v>529.01639999999998</v>
      </c>
      <c r="CL203" s="78">
        <v>45774</v>
      </c>
    </row>
    <row r="204" spans="1:90" customFormat="1" x14ac:dyDescent="0.35">
      <c r="A204" s="72">
        <v>503</v>
      </c>
      <c r="B204" s="72" t="s">
        <v>80</v>
      </c>
      <c r="C204" s="72">
        <v>8</v>
      </c>
      <c r="D204" s="78">
        <v>9832400000</v>
      </c>
      <c r="E204" s="78">
        <v>1868650000</v>
      </c>
      <c r="F204" s="78">
        <v>1916250000</v>
      </c>
      <c r="G204" s="78">
        <v>103595</v>
      </c>
      <c r="H204" s="78">
        <v>1</v>
      </c>
      <c r="I204" s="78">
        <f t="shared" si="11"/>
        <v>1916.25</v>
      </c>
      <c r="J204" s="78">
        <v>15314</v>
      </c>
      <c r="K204" s="78">
        <v>16484</v>
      </c>
      <c r="L204" s="78">
        <v>4843</v>
      </c>
      <c r="M204" s="78">
        <v>15326</v>
      </c>
      <c r="N204" s="78">
        <f t="shared" si="12"/>
        <v>9867.7000000000007</v>
      </c>
      <c r="O204" s="78">
        <v>3090.3333333333298</v>
      </c>
      <c r="P204" s="78">
        <v>90</v>
      </c>
      <c r="Q204" s="78">
        <v>7400.3333333333303</v>
      </c>
      <c r="R204" s="78">
        <v>33625</v>
      </c>
      <c r="S204" s="78">
        <v>9555</v>
      </c>
      <c r="T204" s="78">
        <v>0</v>
      </c>
      <c r="U204" s="78">
        <v>3517</v>
      </c>
      <c r="V204" s="78">
        <v>59785</v>
      </c>
      <c r="W204" s="78">
        <v>108620</v>
      </c>
      <c r="X204" s="78">
        <v>88660</v>
      </c>
      <c r="Y204" s="78">
        <v>2186.56</v>
      </c>
      <c r="Z204" s="78">
        <v>5538.4</v>
      </c>
      <c r="AA204" s="78">
        <v>0</v>
      </c>
      <c r="AB204" s="399">
        <v>0</v>
      </c>
      <c r="AC204" s="399">
        <v>0</v>
      </c>
      <c r="AD204" s="78">
        <v>2269</v>
      </c>
      <c r="AE204" s="78">
        <v>2904.32</v>
      </c>
      <c r="AF204" s="78">
        <v>137</v>
      </c>
      <c r="AG204" s="78">
        <v>0</v>
      </c>
      <c r="AH204" s="78">
        <v>338</v>
      </c>
      <c r="AI204" s="78">
        <v>14</v>
      </c>
      <c r="AJ204" s="78">
        <v>425.88</v>
      </c>
      <c r="AK204" s="78">
        <v>18.62</v>
      </c>
      <c r="AL204" s="78">
        <v>352</v>
      </c>
      <c r="AM204" s="78">
        <v>54583</v>
      </c>
      <c r="AN204" s="78">
        <v>68774.58</v>
      </c>
      <c r="AO204" s="78">
        <v>0</v>
      </c>
      <c r="AP204" s="78">
        <v>0</v>
      </c>
      <c r="AQ204" s="78">
        <v>85</v>
      </c>
      <c r="AR204" s="78">
        <v>18100</v>
      </c>
      <c r="AS204" s="78">
        <v>11645</v>
      </c>
      <c r="AT204" s="78">
        <v>11645</v>
      </c>
      <c r="AU204" s="400">
        <v>6.998074E-3</v>
      </c>
      <c r="AV204" s="400">
        <v>9.5393400000000003E-3</v>
      </c>
      <c r="AW204" s="78">
        <v>191531.747</v>
      </c>
      <c r="AX204" s="78">
        <v>5949.5469999999996</v>
      </c>
      <c r="AY204" s="78">
        <v>3425.28</v>
      </c>
      <c r="AZ204" s="78">
        <v>302018.60681629297</v>
      </c>
      <c r="BA204" s="78">
        <v>1</v>
      </c>
      <c r="BB204" s="78">
        <v>1.33</v>
      </c>
      <c r="BC204" s="78">
        <v>10586</v>
      </c>
      <c r="BD204" s="78">
        <v>1</v>
      </c>
      <c r="BE204" s="78">
        <v>0</v>
      </c>
      <c r="BF204" s="78">
        <v>0</v>
      </c>
      <c r="BG204" s="78">
        <v>0</v>
      </c>
      <c r="BH204" s="78">
        <v>0</v>
      </c>
      <c r="BI204" s="78">
        <v>0</v>
      </c>
      <c r="BJ204" s="78">
        <v>0</v>
      </c>
      <c r="BK204" s="78">
        <v>0</v>
      </c>
      <c r="BL204" s="78">
        <v>0</v>
      </c>
      <c r="BM204" s="78">
        <v>2787.1480000000001</v>
      </c>
      <c r="BN204" s="78">
        <v>260</v>
      </c>
      <c r="BO204" s="78">
        <v>261</v>
      </c>
      <c r="BP204" s="78">
        <v>29426</v>
      </c>
      <c r="BQ204" s="78">
        <v>5618.56</v>
      </c>
      <c r="BR204" s="78">
        <v>697.35356463246603</v>
      </c>
      <c r="BS204" s="78">
        <v>1357</v>
      </c>
      <c r="BT204" s="78">
        <v>832</v>
      </c>
      <c r="BU204" s="78">
        <v>841.66666666666697</v>
      </c>
      <c r="BV204" s="78">
        <f t="shared" si="13"/>
        <v>4310</v>
      </c>
      <c r="BW204" s="78">
        <v>1258</v>
      </c>
      <c r="BX204" s="78">
        <v>13008.6873375144</v>
      </c>
      <c r="BY204" s="402">
        <v>7.24</v>
      </c>
      <c r="BZ204" s="78">
        <v>87111</v>
      </c>
      <c r="CA204" s="78">
        <v>9707</v>
      </c>
      <c r="CB204" s="78">
        <v>1934</v>
      </c>
      <c r="CC204" s="78">
        <v>3131</v>
      </c>
      <c r="CD204" s="78">
        <v>1965</v>
      </c>
      <c r="CE204" s="78">
        <v>1117</v>
      </c>
      <c r="CF204" s="78">
        <v>1192.80883425242</v>
      </c>
      <c r="CG204" s="78">
        <v>623.52192624077099</v>
      </c>
      <c r="CH204" s="78">
        <v>269.18647381052699</v>
      </c>
      <c r="CI204" s="78">
        <v>3205.9681999999998</v>
      </c>
      <c r="CJ204" s="78">
        <v>1675.8690999999999</v>
      </c>
      <c r="CK204" s="78">
        <v>723.50509999999997</v>
      </c>
      <c r="CL204" s="78">
        <v>104807</v>
      </c>
    </row>
    <row r="205" spans="1:90" customFormat="1" x14ac:dyDescent="0.35">
      <c r="A205" s="72">
        <v>505</v>
      </c>
      <c r="B205" s="72" t="s">
        <v>90</v>
      </c>
      <c r="C205" s="72">
        <v>8</v>
      </c>
      <c r="D205" s="78">
        <v>9084400000</v>
      </c>
      <c r="E205" s="78">
        <v>2047150000</v>
      </c>
      <c r="F205" s="78">
        <v>2079000000</v>
      </c>
      <c r="G205" s="78">
        <v>119284</v>
      </c>
      <c r="H205" s="78">
        <v>2</v>
      </c>
      <c r="I205" s="78">
        <f t="shared" si="11"/>
        <v>2079</v>
      </c>
      <c r="J205" s="78">
        <v>22758</v>
      </c>
      <c r="K205" s="78">
        <v>22973</v>
      </c>
      <c r="L205" s="78">
        <v>7130</v>
      </c>
      <c r="M205" s="78">
        <v>18645</v>
      </c>
      <c r="N205" s="78">
        <f t="shared" si="12"/>
        <v>13010.8</v>
      </c>
      <c r="O205" s="78">
        <v>3837</v>
      </c>
      <c r="P205" s="78">
        <v>333</v>
      </c>
      <c r="Q205" s="78">
        <v>10698</v>
      </c>
      <c r="R205" s="78">
        <v>21641</v>
      </c>
      <c r="S205" s="78">
        <v>16515</v>
      </c>
      <c r="T205" s="78">
        <v>0</v>
      </c>
      <c r="U205" s="78">
        <v>4711</v>
      </c>
      <c r="V205" s="78">
        <v>57291</v>
      </c>
      <c r="W205" s="78">
        <v>139270</v>
      </c>
      <c r="X205" s="78">
        <v>165390</v>
      </c>
      <c r="Y205" s="78">
        <v>4422.26</v>
      </c>
      <c r="Z205" s="78">
        <v>4820</v>
      </c>
      <c r="AA205" s="78">
        <v>40.899999999999899</v>
      </c>
      <c r="AB205" s="399">
        <v>0</v>
      </c>
      <c r="AC205" s="399">
        <v>0</v>
      </c>
      <c r="AD205" s="78">
        <v>7707</v>
      </c>
      <c r="AE205" s="78">
        <v>8940.1200000000008</v>
      </c>
      <c r="AF205" s="78">
        <v>2239</v>
      </c>
      <c r="AG205" s="78">
        <v>0</v>
      </c>
      <c r="AH205" s="78">
        <v>462</v>
      </c>
      <c r="AI205" s="78">
        <v>71</v>
      </c>
      <c r="AJ205" s="78">
        <v>605.22</v>
      </c>
      <c r="AK205" s="78">
        <v>77.39</v>
      </c>
      <c r="AL205" s="78">
        <v>533</v>
      </c>
      <c r="AM205" s="78">
        <v>56342</v>
      </c>
      <c r="AN205" s="78">
        <v>73808.02</v>
      </c>
      <c r="AO205" s="78">
        <v>0</v>
      </c>
      <c r="AP205" s="78">
        <v>0</v>
      </c>
      <c r="AQ205" s="78">
        <v>72</v>
      </c>
      <c r="AR205" s="78">
        <v>10800</v>
      </c>
      <c r="AS205" s="78">
        <v>14520</v>
      </c>
      <c r="AT205" s="78">
        <v>13939</v>
      </c>
      <c r="AU205" s="400">
        <v>1.2629937000000001E-2</v>
      </c>
      <c r="AV205" s="400">
        <v>1.5432448E-2</v>
      </c>
      <c r="AW205" s="78">
        <v>141418.42000000001</v>
      </c>
      <c r="AX205" s="78">
        <v>0</v>
      </c>
      <c r="AY205" s="78">
        <v>6818.48</v>
      </c>
      <c r="AZ205" s="78">
        <v>141708.336601649</v>
      </c>
      <c r="BA205" s="78">
        <v>4</v>
      </c>
      <c r="BB205" s="78">
        <v>4.3600000000000003</v>
      </c>
      <c r="BC205" s="78">
        <v>12370</v>
      </c>
      <c r="BD205" s="78">
        <v>1</v>
      </c>
      <c r="BE205" s="78">
        <v>0</v>
      </c>
      <c r="BF205" s="78">
        <v>0</v>
      </c>
      <c r="BG205" s="78">
        <v>0</v>
      </c>
      <c r="BH205" s="78">
        <v>0</v>
      </c>
      <c r="BI205" s="78">
        <v>0</v>
      </c>
      <c r="BJ205" s="78">
        <v>0</v>
      </c>
      <c r="BK205" s="78">
        <v>0</v>
      </c>
      <c r="BL205" s="78">
        <v>0</v>
      </c>
      <c r="BM205" s="78">
        <v>3618.5219999999999</v>
      </c>
      <c r="BN205" s="78">
        <v>442</v>
      </c>
      <c r="BO205" s="78">
        <v>625</v>
      </c>
      <c r="BP205" s="78">
        <v>34108.68</v>
      </c>
      <c r="BQ205" s="78">
        <v>7572.06</v>
      </c>
      <c r="BR205" s="78">
        <v>1215.81544182262</v>
      </c>
      <c r="BS205" s="78">
        <v>1868</v>
      </c>
      <c r="BT205" s="78">
        <v>1098.6666666666699</v>
      </c>
      <c r="BU205" s="78">
        <v>1081.6666666666699</v>
      </c>
      <c r="BV205" s="78">
        <f t="shared" si="13"/>
        <v>6861</v>
      </c>
      <c r="BW205" s="78">
        <v>1604</v>
      </c>
      <c r="BX205" s="78">
        <v>21379.4357685371</v>
      </c>
      <c r="BY205" s="402">
        <v>10.675000000000001</v>
      </c>
      <c r="BZ205" s="78">
        <v>96311</v>
      </c>
      <c r="CA205" s="78">
        <v>13048</v>
      </c>
      <c r="CB205" s="78">
        <v>2795</v>
      </c>
      <c r="CC205" s="78">
        <v>3462</v>
      </c>
      <c r="CD205" s="78">
        <v>2744</v>
      </c>
      <c r="CE205" s="78">
        <v>1466</v>
      </c>
      <c r="CF205" s="78">
        <v>1927.7654041390099</v>
      </c>
      <c r="CG205" s="78">
        <v>1138.9241702459999</v>
      </c>
      <c r="CH205" s="78">
        <v>466.46934791097198</v>
      </c>
      <c r="CI205" s="78">
        <v>4163.1476000000002</v>
      </c>
      <c r="CJ205" s="78">
        <v>2459.5884000000001</v>
      </c>
      <c r="CK205" s="78">
        <v>1007.374</v>
      </c>
      <c r="CL205" s="78">
        <v>115229</v>
      </c>
    </row>
    <row r="206" spans="1:90" customFormat="1" x14ac:dyDescent="0.35">
      <c r="A206" s="72">
        <v>1924</v>
      </c>
      <c r="B206" s="72" t="s">
        <v>115</v>
      </c>
      <c r="C206" s="72">
        <v>8</v>
      </c>
      <c r="D206" s="78">
        <v>4817200000</v>
      </c>
      <c r="E206" s="78">
        <v>767550000</v>
      </c>
      <c r="F206" s="78">
        <v>817600000</v>
      </c>
      <c r="G206" s="78">
        <v>50049</v>
      </c>
      <c r="H206" s="78">
        <v>14</v>
      </c>
      <c r="I206" s="78">
        <f t="shared" si="11"/>
        <v>817.6</v>
      </c>
      <c r="J206" s="78">
        <v>9860</v>
      </c>
      <c r="K206" s="78">
        <v>10954</v>
      </c>
      <c r="L206" s="78">
        <v>3537</v>
      </c>
      <c r="M206" s="78">
        <v>5885</v>
      </c>
      <c r="N206" s="78">
        <f t="shared" si="12"/>
        <v>3224.7999999999997</v>
      </c>
      <c r="O206" s="78">
        <v>508.66666666666703</v>
      </c>
      <c r="P206" s="78">
        <v>36</v>
      </c>
      <c r="Q206" s="78">
        <v>2652.6666666666702</v>
      </c>
      <c r="R206" s="78">
        <v>6447</v>
      </c>
      <c r="S206" s="78">
        <v>775</v>
      </c>
      <c r="T206" s="78">
        <v>0</v>
      </c>
      <c r="U206" s="78">
        <v>1062</v>
      </c>
      <c r="V206" s="78">
        <v>22130</v>
      </c>
      <c r="W206" s="78">
        <v>45900</v>
      </c>
      <c r="X206" s="78">
        <v>5710</v>
      </c>
      <c r="Y206" s="78">
        <v>661.04</v>
      </c>
      <c r="Z206" s="78">
        <v>2561.6</v>
      </c>
      <c r="AA206" s="78">
        <v>0</v>
      </c>
      <c r="AB206" s="399">
        <v>0</v>
      </c>
      <c r="AC206" s="399">
        <v>182.49999999999955</v>
      </c>
      <c r="AD206" s="78">
        <v>26149</v>
      </c>
      <c r="AE206" s="78">
        <v>26933.47</v>
      </c>
      <c r="AF206" s="78">
        <v>11719</v>
      </c>
      <c r="AG206" s="78">
        <v>4367</v>
      </c>
      <c r="AH206" s="78">
        <v>311</v>
      </c>
      <c r="AI206" s="78">
        <v>114</v>
      </c>
      <c r="AJ206" s="78">
        <v>323.44</v>
      </c>
      <c r="AK206" s="78">
        <v>117.42</v>
      </c>
      <c r="AL206" s="78">
        <v>425</v>
      </c>
      <c r="AM206" s="78">
        <v>26602</v>
      </c>
      <c r="AN206" s="78">
        <v>27666.080000000002</v>
      </c>
      <c r="AO206" s="78">
        <v>7</v>
      </c>
      <c r="AP206" s="78">
        <v>0</v>
      </c>
      <c r="AQ206" s="78">
        <v>0</v>
      </c>
      <c r="AR206" s="78">
        <v>0</v>
      </c>
      <c r="AS206" s="78">
        <v>3633</v>
      </c>
      <c r="AT206" s="78">
        <v>0</v>
      </c>
      <c r="AU206" s="400">
        <v>1.1003059999999999E-3</v>
      </c>
      <c r="AV206" s="400">
        <v>3.3899700000000001E-4</v>
      </c>
      <c r="AW206" s="78">
        <v>16599.648000000001</v>
      </c>
      <c r="AX206" s="78">
        <v>0</v>
      </c>
      <c r="AY206" s="78">
        <v>9577.9699999999993</v>
      </c>
      <c r="AZ206" s="78">
        <v>14567.4865181684</v>
      </c>
      <c r="BA206" s="78">
        <v>25</v>
      </c>
      <c r="BB206" s="78">
        <v>25.75</v>
      </c>
      <c r="BC206" s="78">
        <v>5472</v>
      </c>
      <c r="BD206" s="78">
        <v>1</v>
      </c>
      <c r="BE206" s="78">
        <v>0</v>
      </c>
      <c r="BF206" s="78">
        <v>0</v>
      </c>
      <c r="BG206" s="78">
        <v>0</v>
      </c>
      <c r="BH206" s="78">
        <v>0</v>
      </c>
      <c r="BI206" s="78">
        <v>0</v>
      </c>
      <c r="BJ206" s="78">
        <v>0</v>
      </c>
      <c r="BK206" s="78">
        <v>0</v>
      </c>
      <c r="BL206" s="78">
        <v>0</v>
      </c>
      <c r="BM206" s="78">
        <v>670.48</v>
      </c>
      <c r="BN206" s="78">
        <v>191</v>
      </c>
      <c r="BO206" s="78">
        <v>108</v>
      </c>
      <c r="BP206" s="78">
        <v>14796.6</v>
      </c>
      <c r="BQ206" s="78">
        <v>3561.16</v>
      </c>
      <c r="BR206" s="78">
        <v>566.77297062024002</v>
      </c>
      <c r="BS206" s="78">
        <v>433</v>
      </c>
      <c r="BT206" s="78">
        <v>168.333333333333</v>
      </c>
      <c r="BU206" s="78">
        <v>117.666666666667</v>
      </c>
      <c r="BV206" s="78">
        <f t="shared" si="13"/>
        <v>2144.0000000000032</v>
      </c>
      <c r="BW206" s="78">
        <v>675</v>
      </c>
      <c r="BX206" s="78">
        <v>9760.0947233476509</v>
      </c>
      <c r="BY206" s="402">
        <v>0.65500000000000003</v>
      </c>
      <c r="BZ206" s="78">
        <v>39095</v>
      </c>
      <c r="CA206" s="78">
        <v>6104</v>
      </c>
      <c r="CB206" s="78">
        <v>1313</v>
      </c>
      <c r="CC206" s="78">
        <v>1102</v>
      </c>
      <c r="CD206" s="78">
        <v>1140</v>
      </c>
      <c r="CE206" s="78">
        <v>617</v>
      </c>
      <c r="CF206" s="78">
        <v>438.22464476355202</v>
      </c>
      <c r="CG206" s="78">
        <v>284.876325088339</v>
      </c>
      <c r="CH206" s="78">
        <v>104.97995639425601</v>
      </c>
      <c r="CI206" s="78">
        <v>1513.6005</v>
      </c>
      <c r="CJ206" s="78">
        <v>983.94500000000005</v>
      </c>
      <c r="CK206" s="78">
        <v>362.5942</v>
      </c>
      <c r="CL206" s="78">
        <v>105314</v>
      </c>
    </row>
    <row r="207" spans="1:90" customFormat="1" x14ac:dyDescent="0.35">
      <c r="A207" s="72">
        <v>512</v>
      </c>
      <c r="B207" s="72" t="s">
        <v>119</v>
      </c>
      <c r="C207" s="72">
        <v>8</v>
      </c>
      <c r="D207" s="78">
        <v>3020800000</v>
      </c>
      <c r="E207" s="78">
        <v>651700000</v>
      </c>
      <c r="F207" s="78">
        <v>662550000</v>
      </c>
      <c r="G207" s="78">
        <v>37022</v>
      </c>
      <c r="H207" s="78">
        <v>1</v>
      </c>
      <c r="I207" s="78">
        <f t="shared" si="11"/>
        <v>662.55</v>
      </c>
      <c r="J207" s="78">
        <v>7297</v>
      </c>
      <c r="K207" s="78">
        <v>6783</v>
      </c>
      <c r="L207" s="78">
        <v>2162</v>
      </c>
      <c r="M207" s="78">
        <v>5668</v>
      </c>
      <c r="N207" s="78">
        <f t="shared" si="12"/>
        <v>3938.8999999999996</v>
      </c>
      <c r="O207" s="78">
        <v>823.33333333333303</v>
      </c>
      <c r="P207" s="78">
        <v>49</v>
      </c>
      <c r="Q207" s="78">
        <v>3119.3333333333298</v>
      </c>
      <c r="R207" s="78">
        <v>6299</v>
      </c>
      <c r="S207" s="78">
        <v>4650</v>
      </c>
      <c r="T207" s="78">
        <v>0</v>
      </c>
      <c r="U207" s="78">
        <v>1234</v>
      </c>
      <c r="V207" s="78">
        <v>17163</v>
      </c>
      <c r="W207" s="78">
        <v>45930</v>
      </c>
      <c r="X207" s="78">
        <v>27890</v>
      </c>
      <c r="Y207" s="78">
        <v>1862.54</v>
      </c>
      <c r="Z207" s="78">
        <v>5027.2</v>
      </c>
      <c r="AA207" s="78">
        <v>0</v>
      </c>
      <c r="AB207" s="399">
        <v>0</v>
      </c>
      <c r="AC207" s="399">
        <v>0</v>
      </c>
      <c r="AD207" s="78">
        <v>1867</v>
      </c>
      <c r="AE207" s="78">
        <v>2520.4499999999998</v>
      </c>
      <c r="AF207" s="78">
        <v>326</v>
      </c>
      <c r="AG207" s="78">
        <v>0</v>
      </c>
      <c r="AH207" s="78">
        <v>174</v>
      </c>
      <c r="AI207" s="78">
        <v>25</v>
      </c>
      <c r="AJ207" s="78">
        <v>243.6</v>
      </c>
      <c r="AK207" s="78">
        <v>32.5</v>
      </c>
      <c r="AL207" s="78">
        <v>199</v>
      </c>
      <c r="AM207" s="78">
        <v>17291</v>
      </c>
      <c r="AN207" s="78">
        <v>24207.4</v>
      </c>
      <c r="AO207" s="78">
        <v>31</v>
      </c>
      <c r="AP207" s="78">
        <v>0</v>
      </c>
      <c r="AQ207" s="78">
        <v>0</v>
      </c>
      <c r="AR207" s="78">
        <v>5750</v>
      </c>
      <c r="AS207" s="78">
        <v>3432</v>
      </c>
      <c r="AT207" s="78">
        <v>3432</v>
      </c>
      <c r="AU207" s="400">
        <v>1.14252E-3</v>
      </c>
      <c r="AV207" s="400">
        <v>2.2560409999999999E-3</v>
      </c>
      <c r="AW207" s="78">
        <v>30120.921999999999</v>
      </c>
      <c r="AX207" s="78">
        <v>0</v>
      </c>
      <c r="AY207" s="78">
        <v>1827.9</v>
      </c>
      <c r="AZ207" s="78">
        <v>74023.7417236662</v>
      </c>
      <c r="BA207" s="78">
        <v>1</v>
      </c>
      <c r="BB207" s="78">
        <v>1.3</v>
      </c>
      <c r="BC207" s="78">
        <v>4171</v>
      </c>
      <c r="BD207" s="78">
        <v>1</v>
      </c>
      <c r="BE207" s="78">
        <v>0</v>
      </c>
      <c r="BF207" s="78">
        <v>0</v>
      </c>
      <c r="BG207" s="78">
        <v>0</v>
      </c>
      <c r="BH207" s="78">
        <v>0</v>
      </c>
      <c r="BI207" s="78">
        <v>0</v>
      </c>
      <c r="BJ207" s="78">
        <v>0</v>
      </c>
      <c r="BK207" s="78">
        <v>0</v>
      </c>
      <c r="BL207" s="78">
        <v>0</v>
      </c>
      <c r="BM207" s="78">
        <v>963.20399999999995</v>
      </c>
      <c r="BN207" s="78">
        <v>155</v>
      </c>
      <c r="BO207" s="78">
        <v>152</v>
      </c>
      <c r="BP207" s="78">
        <v>10832.9</v>
      </c>
      <c r="BQ207" s="78">
        <v>2609.2800000000002</v>
      </c>
      <c r="BR207" s="78">
        <v>372.94639400242698</v>
      </c>
      <c r="BS207" s="78">
        <v>479</v>
      </c>
      <c r="BT207" s="78">
        <v>259</v>
      </c>
      <c r="BU207" s="78">
        <v>219.666666666667</v>
      </c>
      <c r="BV207" s="78">
        <f t="shared" si="13"/>
        <v>2295.9999999999968</v>
      </c>
      <c r="BW207" s="78">
        <v>537</v>
      </c>
      <c r="BX207" s="78">
        <v>6559.3997470148897</v>
      </c>
      <c r="BY207" s="402">
        <v>1.9410000000000001</v>
      </c>
      <c r="BZ207" s="78">
        <v>30239</v>
      </c>
      <c r="CA207" s="78">
        <v>3813</v>
      </c>
      <c r="CB207" s="78">
        <v>808</v>
      </c>
      <c r="CC207" s="78">
        <v>977</v>
      </c>
      <c r="CD207" s="78">
        <v>817</v>
      </c>
      <c r="CE207" s="78">
        <v>441</v>
      </c>
      <c r="CF207" s="78">
        <v>549.227222254352</v>
      </c>
      <c r="CG207" s="78">
        <v>346.94029842114401</v>
      </c>
      <c r="CH207" s="78">
        <v>132.35214273321401</v>
      </c>
      <c r="CI207" s="78">
        <v>1121.5971999999999</v>
      </c>
      <c r="CJ207" s="78">
        <v>708.49959999999999</v>
      </c>
      <c r="CK207" s="78">
        <v>270.28120000000001</v>
      </c>
      <c r="CL207" s="78">
        <v>30131</v>
      </c>
    </row>
    <row r="208" spans="1:90" customFormat="1" x14ac:dyDescent="0.35">
      <c r="A208" s="72">
        <v>513</v>
      </c>
      <c r="B208" s="72" t="s">
        <v>120</v>
      </c>
      <c r="C208" s="72">
        <v>8</v>
      </c>
      <c r="D208" s="78">
        <v>5880400000</v>
      </c>
      <c r="E208" s="78">
        <v>1032150000</v>
      </c>
      <c r="F208" s="78">
        <v>1060500000</v>
      </c>
      <c r="G208" s="78">
        <v>73427</v>
      </c>
      <c r="H208" s="78">
        <v>1</v>
      </c>
      <c r="I208" s="78">
        <f t="shared" si="11"/>
        <v>1060.5</v>
      </c>
      <c r="J208" s="78">
        <v>14642</v>
      </c>
      <c r="K208" s="78">
        <v>14083</v>
      </c>
      <c r="L208" s="78">
        <v>4366</v>
      </c>
      <c r="M208" s="78">
        <v>10552</v>
      </c>
      <c r="N208" s="78">
        <f t="shared" si="12"/>
        <v>7162</v>
      </c>
      <c r="O208" s="78">
        <v>1695.6666666666699</v>
      </c>
      <c r="P208" s="78">
        <v>61</v>
      </c>
      <c r="Q208" s="78">
        <v>5381.6666666666697</v>
      </c>
      <c r="R208" s="78">
        <v>12976</v>
      </c>
      <c r="S208" s="78">
        <v>9785</v>
      </c>
      <c r="T208" s="78">
        <v>0</v>
      </c>
      <c r="U208" s="78">
        <v>2411</v>
      </c>
      <c r="V208" s="78">
        <v>34637</v>
      </c>
      <c r="W208" s="78">
        <v>83870</v>
      </c>
      <c r="X208" s="78">
        <v>67280</v>
      </c>
      <c r="Y208" s="78">
        <v>4024.9</v>
      </c>
      <c r="Z208" s="78">
        <v>6620.8</v>
      </c>
      <c r="AA208" s="78">
        <v>0</v>
      </c>
      <c r="AB208" s="399">
        <v>0</v>
      </c>
      <c r="AC208" s="399">
        <v>0</v>
      </c>
      <c r="AD208" s="78">
        <v>1662</v>
      </c>
      <c r="AE208" s="78">
        <v>3074.7</v>
      </c>
      <c r="AF208" s="78">
        <v>150</v>
      </c>
      <c r="AG208" s="78">
        <v>0</v>
      </c>
      <c r="AH208" s="78">
        <v>274</v>
      </c>
      <c r="AI208" s="78">
        <v>2</v>
      </c>
      <c r="AJ208" s="78">
        <v>512.38</v>
      </c>
      <c r="AK208" s="78">
        <v>3.48</v>
      </c>
      <c r="AL208" s="78">
        <v>277</v>
      </c>
      <c r="AM208" s="78">
        <v>33900</v>
      </c>
      <c r="AN208" s="78">
        <v>63393</v>
      </c>
      <c r="AO208" s="78">
        <v>0</v>
      </c>
      <c r="AP208" s="78">
        <v>53</v>
      </c>
      <c r="AQ208" s="78">
        <v>0</v>
      </c>
      <c r="AR208" s="78">
        <v>10350</v>
      </c>
      <c r="AS208" s="78">
        <v>7377</v>
      </c>
      <c r="AT208" s="78">
        <v>7377</v>
      </c>
      <c r="AU208" s="400">
        <v>2.767439E-3</v>
      </c>
      <c r="AV208" s="400">
        <v>2.8907170000000001E-3</v>
      </c>
      <c r="AW208" s="78">
        <v>86309.4</v>
      </c>
      <c r="AX208" s="78">
        <v>0</v>
      </c>
      <c r="AY208" s="78">
        <v>5113.3999999999996</v>
      </c>
      <c r="AZ208" s="78">
        <v>618476.59354304604</v>
      </c>
      <c r="BA208" s="78">
        <v>1</v>
      </c>
      <c r="BB208" s="78">
        <v>1.74</v>
      </c>
      <c r="BC208" s="78">
        <v>7588</v>
      </c>
      <c r="BD208" s="78">
        <v>1</v>
      </c>
      <c r="BE208" s="78">
        <v>0</v>
      </c>
      <c r="BF208" s="78">
        <v>0</v>
      </c>
      <c r="BG208" s="78">
        <v>0</v>
      </c>
      <c r="BH208" s="78">
        <v>0</v>
      </c>
      <c r="BI208" s="78">
        <v>0</v>
      </c>
      <c r="BJ208" s="78">
        <v>0</v>
      </c>
      <c r="BK208" s="78">
        <v>0</v>
      </c>
      <c r="BL208" s="78">
        <v>0</v>
      </c>
      <c r="BM208" s="78">
        <v>1932.7439999999999</v>
      </c>
      <c r="BN208" s="78">
        <v>255</v>
      </c>
      <c r="BO208" s="78">
        <v>414</v>
      </c>
      <c r="BP208" s="78">
        <v>22093.5</v>
      </c>
      <c r="BQ208" s="78">
        <v>5085.4399999999996</v>
      </c>
      <c r="BR208" s="78">
        <v>583.24525606962902</v>
      </c>
      <c r="BS208" s="78">
        <v>922</v>
      </c>
      <c r="BT208" s="78">
        <v>510</v>
      </c>
      <c r="BU208" s="78">
        <v>423.66666666666703</v>
      </c>
      <c r="BV208" s="78">
        <f t="shared" si="13"/>
        <v>3686</v>
      </c>
      <c r="BW208" s="78">
        <v>1033</v>
      </c>
      <c r="BX208" s="78">
        <v>10987.0896757355</v>
      </c>
      <c r="BY208" s="402">
        <v>3.927</v>
      </c>
      <c r="BZ208" s="78">
        <v>59344</v>
      </c>
      <c r="CA208" s="78">
        <v>8033</v>
      </c>
      <c r="CB208" s="78">
        <v>1684</v>
      </c>
      <c r="CC208" s="78">
        <v>1963</v>
      </c>
      <c r="CD208" s="78">
        <v>1596</v>
      </c>
      <c r="CE208" s="78">
        <v>865</v>
      </c>
      <c r="CF208" s="78">
        <v>1066.90560471976</v>
      </c>
      <c r="CG208" s="78">
        <v>636.76306784660801</v>
      </c>
      <c r="CH208" s="78">
        <v>246.761533923304</v>
      </c>
      <c r="CI208" s="78">
        <v>2268.46</v>
      </c>
      <c r="CJ208" s="78">
        <v>1353.8887999999999</v>
      </c>
      <c r="CK208" s="78">
        <v>524.66560000000004</v>
      </c>
      <c r="CL208" s="78">
        <v>64607</v>
      </c>
    </row>
    <row r="209" spans="1:90" customFormat="1" x14ac:dyDescent="0.35">
      <c r="A209" s="72">
        <v>523</v>
      </c>
      <c r="B209" s="72" t="s">
        <v>131</v>
      </c>
      <c r="C209" s="72">
        <v>8</v>
      </c>
      <c r="D209" s="78">
        <v>1501600000</v>
      </c>
      <c r="E209" s="78">
        <v>276850000</v>
      </c>
      <c r="F209" s="78">
        <v>280700000</v>
      </c>
      <c r="G209" s="78">
        <v>18295</v>
      </c>
      <c r="H209" s="78">
        <v>1</v>
      </c>
      <c r="I209" s="78">
        <f t="shared" si="11"/>
        <v>280.7</v>
      </c>
      <c r="J209" s="78">
        <v>4292</v>
      </c>
      <c r="K209" s="78">
        <v>3420</v>
      </c>
      <c r="L209" s="78">
        <v>1108</v>
      </c>
      <c r="M209" s="78">
        <v>1867</v>
      </c>
      <c r="N209" s="78">
        <f t="shared" si="12"/>
        <v>1118.8</v>
      </c>
      <c r="O209" s="78">
        <v>149</v>
      </c>
      <c r="P209" s="78">
        <v>18</v>
      </c>
      <c r="Q209" s="78">
        <v>771</v>
      </c>
      <c r="R209" s="78">
        <v>1971</v>
      </c>
      <c r="S209" s="78">
        <v>345</v>
      </c>
      <c r="T209" s="78">
        <v>0</v>
      </c>
      <c r="U209" s="78">
        <v>318</v>
      </c>
      <c r="V209" s="78">
        <v>7321</v>
      </c>
      <c r="W209" s="78">
        <v>18600</v>
      </c>
      <c r="X209" s="78">
        <v>5320</v>
      </c>
      <c r="Y209" s="78">
        <v>0</v>
      </c>
      <c r="Z209" s="78">
        <v>597.6</v>
      </c>
      <c r="AA209" s="78">
        <v>0</v>
      </c>
      <c r="AB209" s="399">
        <v>0</v>
      </c>
      <c r="AC209" s="399">
        <v>0</v>
      </c>
      <c r="AD209" s="78">
        <v>1685</v>
      </c>
      <c r="AE209" s="78">
        <v>2443.25</v>
      </c>
      <c r="AF209" s="78">
        <v>251</v>
      </c>
      <c r="AG209" s="78">
        <v>0</v>
      </c>
      <c r="AH209" s="78">
        <v>105</v>
      </c>
      <c r="AI209" s="78">
        <v>5</v>
      </c>
      <c r="AJ209" s="78">
        <v>151.19999999999999</v>
      </c>
      <c r="AK209" s="78">
        <v>7.3</v>
      </c>
      <c r="AL209" s="78">
        <v>110</v>
      </c>
      <c r="AM209" s="78">
        <v>7482</v>
      </c>
      <c r="AN209" s="78">
        <v>10774.08</v>
      </c>
      <c r="AO209" s="78">
        <v>0</v>
      </c>
      <c r="AP209" s="78">
        <v>0</v>
      </c>
      <c r="AQ209" s="78">
        <v>0</v>
      </c>
      <c r="AR209" s="78">
        <v>0</v>
      </c>
      <c r="AS209" s="78">
        <v>2315</v>
      </c>
      <c r="AT209" s="78">
        <v>0</v>
      </c>
      <c r="AU209" s="400">
        <v>3.2248800000000001E-4</v>
      </c>
      <c r="AV209" s="400">
        <v>2.46567E-4</v>
      </c>
      <c r="AW209" s="78">
        <v>7354.8059999999996</v>
      </c>
      <c r="AX209" s="78">
        <v>0</v>
      </c>
      <c r="AY209" s="78">
        <v>1380.4</v>
      </c>
      <c r="AZ209" s="78">
        <v>32830.8310950413</v>
      </c>
      <c r="BA209" s="78">
        <v>2</v>
      </c>
      <c r="BB209" s="78">
        <v>2.92</v>
      </c>
      <c r="BC209" s="78">
        <v>2001</v>
      </c>
      <c r="BD209" s="78">
        <v>1</v>
      </c>
      <c r="BE209" s="78">
        <v>0</v>
      </c>
      <c r="BF209" s="78">
        <v>0</v>
      </c>
      <c r="BG209" s="78">
        <v>0</v>
      </c>
      <c r="BH209" s="78">
        <v>0</v>
      </c>
      <c r="BI209" s="78">
        <v>0</v>
      </c>
      <c r="BJ209" s="78">
        <v>0</v>
      </c>
      <c r="BK209" s="78">
        <v>0</v>
      </c>
      <c r="BL209" s="78">
        <v>0</v>
      </c>
      <c r="BM209" s="78">
        <v>214.6</v>
      </c>
      <c r="BN209" s="78">
        <v>101</v>
      </c>
      <c r="BO209" s="78">
        <v>33</v>
      </c>
      <c r="BP209" s="78">
        <v>4905.8999999999996</v>
      </c>
      <c r="BQ209" s="78">
        <v>1404.88</v>
      </c>
      <c r="BR209" s="78">
        <v>176.827450171821</v>
      </c>
      <c r="BS209" s="78">
        <v>125</v>
      </c>
      <c r="BT209" s="78">
        <v>58</v>
      </c>
      <c r="BU209" s="78">
        <v>35.3333333333333</v>
      </c>
      <c r="BV209" s="78">
        <f t="shared" si="13"/>
        <v>622</v>
      </c>
      <c r="BW209" s="78">
        <v>191</v>
      </c>
      <c r="BX209" s="78">
        <v>2695.8342806492701</v>
      </c>
      <c r="BY209" s="402">
        <v>9.0999999999999998E-2</v>
      </c>
      <c r="BZ209" s="78">
        <v>14875</v>
      </c>
      <c r="CA209" s="78">
        <v>1871</v>
      </c>
      <c r="CB209" s="78">
        <v>441</v>
      </c>
      <c r="CC209" s="78">
        <v>327</v>
      </c>
      <c r="CD209" s="78">
        <v>365</v>
      </c>
      <c r="CE209" s="78">
        <v>221</v>
      </c>
      <c r="CF209" s="78">
        <v>164.485431702753</v>
      </c>
      <c r="CG209" s="78">
        <v>111.10243250467801</v>
      </c>
      <c r="CH209" s="78">
        <v>43.214808874632404</v>
      </c>
      <c r="CI209" s="78">
        <v>481.25</v>
      </c>
      <c r="CJ209" s="78">
        <v>325.0625</v>
      </c>
      <c r="CK209" s="78">
        <v>126.4375</v>
      </c>
      <c r="CL209" s="78">
        <v>0</v>
      </c>
    </row>
    <row r="210" spans="1:90" customFormat="1" x14ac:dyDescent="0.35">
      <c r="A210" s="72">
        <v>530</v>
      </c>
      <c r="B210" s="72" t="s">
        <v>143</v>
      </c>
      <c r="C210" s="72">
        <v>8</v>
      </c>
      <c r="D210" s="78">
        <v>3359200000</v>
      </c>
      <c r="E210" s="78">
        <v>362600000</v>
      </c>
      <c r="F210" s="78">
        <v>376600000</v>
      </c>
      <c r="G210" s="78">
        <v>40142</v>
      </c>
      <c r="H210" s="78">
        <v>2</v>
      </c>
      <c r="I210" s="78">
        <f t="shared" si="11"/>
        <v>376.6</v>
      </c>
      <c r="J210" s="78">
        <v>7562</v>
      </c>
      <c r="K210" s="78">
        <v>8626</v>
      </c>
      <c r="L210" s="78">
        <v>2382</v>
      </c>
      <c r="M210" s="78">
        <v>4824</v>
      </c>
      <c r="N210" s="78">
        <f t="shared" si="12"/>
        <v>2968</v>
      </c>
      <c r="O210" s="78">
        <v>790</v>
      </c>
      <c r="P210" s="78">
        <v>24</v>
      </c>
      <c r="Q210" s="78">
        <v>2547</v>
      </c>
      <c r="R210" s="78">
        <v>5812</v>
      </c>
      <c r="S210" s="78">
        <v>2700</v>
      </c>
      <c r="T210" s="78">
        <v>0</v>
      </c>
      <c r="U210" s="78">
        <v>1508</v>
      </c>
      <c r="V210" s="78">
        <v>18402</v>
      </c>
      <c r="W210" s="78">
        <v>42710</v>
      </c>
      <c r="X210" s="78">
        <v>26080</v>
      </c>
      <c r="Y210" s="78">
        <v>285.58</v>
      </c>
      <c r="Z210" s="78">
        <v>2208</v>
      </c>
      <c r="AA210" s="78">
        <v>0</v>
      </c>
      <c r="AB210" s="399">
        <v>0</v>
      </c>
      <c r="AC210" s="399">
        <v>0</v>
      </c>
      <c r="AD210" s="78">
        <v>4110</v>
      </c>
      <c r="AE210" s="78">
        <v>4479.8999999999996</v>
      </c>
      <c r="AF210" s="78">
        <v>1899</v>
      </c>
      <c r="AG210" s="78">
        <v>112</v>
      </c>
      <c r="AH210" s="78">
        <v>158</v>
      </c>
      <c r="AI210" s="78">
        <v>26</v>
      </c>
      <c r="AJ210" s="78">
        <v>165.9</v>
      </c>
      <c r="AK210" s="78">
        <v>28.6</v>
      </c>
      <c r="AL210" s="78">
        <v>184</v>
      </c>
      <c r="AM210" s="78">
        <v>18560</v>
      </c>
      <c r="AN210" s="78">
        <v>19488</v>
      </c>
      <c r="AO210" s="78">
        <v>5</v>
      </c>
      <c r="AP210" s="78">
        <v>0</v>
      </c>
      <c r="AQ210" s="78">
        <v>0</v>
      </c>
      <c r="AR210" s="78">
        <v>3700</v>
      </c>
      <c r="AS210" s="78">
        <v>1211</v>
      </c>
      <c r="AT210" s="78">
        <v>636</v>
      </c>
      <c r="AU210" s="400">
        <v>2.9061499999999998E-4</v>
      </c>
      <c r="AV210" s="400">
        <v>4.1157800000000001E-4</v>
      </c>
      <c r="AW210" s="78">
        <v>28044.16</v>
      </c>
      <c r="AX210" s="78">
        <v>0</v>
      </c>
      <c r="AY210" s="78">
        <v>2123.3200000000002</v>
      </c>
      <c r="AZ210" s="78">
        <v>19427.151446164102</v>
      </c>
      <c r="BA210" s="78">
        <v>3</v>
      </c>
      <c r="BB210" s="78">
        <v>3.3</v>
      </c>
      <c r="BC210" s="78">
        <v>3330</v>
      </c>
      <c r="BD210" s="78">
        <v>1</v>
      </c>
      <c r="BE210" s="78">
        <v>0</v>
      </c>
      <c r="BF210" s="78">
        <v>0</v>
      </c>
      <c r="BG210" s="78">
        <v>0</v>
      </c>
      <c r="BH210" s="78">
        <v>0</v>
      </c>
      <c r="BI210" s="78">
        <v>0</v>
      </c>
      <c r="BJ210" s="78">
        <v>0</v>
      </c>
      <c r="BK210" s="78">
        <v>0</v>
      </c>
      <c r="BL210" s="78">
        <v>0</v>
      </c>
      <c r="BM210" s="78">
        <v>892.31600000000003</v>
      </c>
      <c r="BN210" s="78">
        <v>207</v>
      </c>
      <c r="BO210" s="78">
        <v>92</v>
      </c>
      <c r="BP210" s="78">
        <v>13165.55</v>
      </c>
      <c r="BQ210" s="78">
        <v>2916.54</v>
      </c>
      <c r="BR210" s="78">
        <v>344.066255959849</v>
      </c>
      <c r="BS210" s="78">
        <v>603</v>
      </c>
      <c r="BT210" s="78">
        <v>248.666666666667</v>
      </c>
      <c r="BU210" s="78">
        <v>228</v>
      </c>
      <c r="BV210" s="78">
        <f t="shared" si="13"/>
        <v>1757</v>
      </c>
      <c r="BW210" s="78">
        <v>485</v>
      </c>
      <c r="BX210" s="78">
        <v>7439.3553157382203</v>
      </c>
      <c r="BY210" s="402">
        <v>1.8069999999999999</v>
      </c>
      <c r="BZ210" s="78">
        <v>31516</v>
      </c>
      <c r="CA210" s="78">
        <v>5502</v>
      </c>
      <c r="CB210" s="78">
        <v>742</v>
      </c>
      <c r="CC210" s="78">
        <v>1160</v>
      </c>
      <c r="CD210" s="78">
        <v>818</v>
      </c>
      <c r="CE210" s="78">
        <v>404</v>
      </c>
      <c r="CF210" s="78">
        <v>548.18448275862102</v>
      </c>
      <c r="CG210" s="78">
        <v>256.98146551724102</v>
      </c>
      <c r="CH210" s="78">
        <v>88.112499999999997</v>
      </c>
      <c r="CI210" s="78">
        <v>1372.914</v>
      </c>
      <c r="CJ210" s="78">
        <v>643.60350000000005</v>
      </c>
      <c r="CK210" s="78">
        <v>220.6755</v>
      </c>
      <c r="CL210" s="78">
        <v>46847</v>
      </c>
    </row>
    <row r="211" spans="1:90" customFormat="1" x14ac:dyDescent="0.35">
      <c r="A211" s="72">
        <v>531</v>
      </c>
      <c r="B211" s="72" t="s">
        <v>145</v>
      </c>
      <c r="C211" s="72">
        <v>8</v>
      </c>
      <c r="D211" s="78">
        <v>2773200000</v>
      </c>
      <c r="E211" s="78">
        <v>253400000</v>
      </c>
      <c r="F211" s="78">
        <v>254100000</v>
      </c>
      <c r="G211" s="78">
        <v>31202</v>
      </c>
      <c r="H211" s="78">
        <v>1</v>
      </c>
      <c r="I211" s="78">
        <f t="shared" si="11"/>
        <v>254.1</v>
      </c>
      <c r="J211" s="78">
        <v>7675</v>
      </c>
      <c r="K211" s="78">
        <v>5208</v>
      </c>
      <c r="L211" s="78">
        <v>1653</v>
      </c>
      <c r="M211" s="78">
        <v>2761</v>
      </c>
      <c r="N211" s="78">
        <f t="shared" si="12"/>
        <v>1525.3</v>
      </c>
      <c r="O211" s="78">
        <v>318.33333333333297</v>
      </c>
      <c r="P211" s="78">
        <v>30</v>
      </c>
      <c r="Q211" s="78">
        <v>1327.3333333333301</v>
      </c>
      <c r="R211" s="78">
        <v>3049</v>
      </c>
      <c r="S211" s="78">
        <v>1625</v>
      </c>
      <c r="T211" s="78">
        <v>0</v>
      </c>
      <c r="U211" s="78">
        <v>785</v>
      </c>
      <c r="V211" s="78">
        <v>12438</v>
      </c>
      <c r="W211" s="78">
        <v>30010</v>
      </c>
      <c r="X211" s="78">
        <v>11920</v>
      </c>
      <c r="Y211" s="78">
        <v>0</v>
      </c>
      <c r="Z211" s="78">
        <v>0</v>
      </c>
      <c r="AA211" s="78">
        <v>0</v>
      </c>
      <c r="AB211" s="399">
        <v>220.29999999999927</v>
      </c>
      <c r="AC211" s="399">
        <v>0</v>
      </c>
      <c r="AD211" s="78">
        <v>1049</v>
      </c>
      <c r="AE211" s="78">
        <v>1384.68</v>
      </c>
      <c r="AF211" s="78">
        <v>141</v>
      </c>
      <c r="AG211" s="78">
        <v>0</v>
      </c>
      <c r="AH211" s="78">
        <v>113</v>
      </c>
      <c r="AI211" s="78">
        <v>2</v>
      </c>
      <c r="AJ211" s="78">
        <v>152.55000000000001</v>
      </c>
      <c r="AK211" s="78">
        <v>2.48</v>
      </c>
      <c r="AL211" s="78">
        <v>115</v>
      </c>
      <c r="AM211" s="78">
        <v>12357</v>
      </c>
      <c r="AN211" s="78">
        <v>16681.95</v>
      </c>
      <c r="AO211" s="78">
        <v>0</v>
      </c>
      <c r="AP211" s="78">
        <v>0</v>
      </c>
      <c r="AQ211" s="78">
        <v>0</v>
      </c>
      <c r="AR211" s="78">
        <v>0</v>
      </c>
      <c r="AS211" s="78">
        <v>964</v>
      </c>
      <c r="AT211" s="78">
        <v>0</v>
      </c>
      <c r="AU211" s="400">
        <v>8.7233999999999999E-5</v>
      </c>
      <c r="AV211" s="400">
        <v>2.6871499999999999E-4</v>
      </c>
      <c r="AW211" s="78">
        <v>22526.811000000002</v>
      </c>
      <c r="AX211" s="78">
        <v>0</v>
      </c>
      <c r="AY211" s="78">
        <v>1157.6400000000001</v>
      </c>
      <c r="AZ211" s="78">
        <v>70501.836705882393</v>
      </c>
      <c r="BA211" s="78">
        <v>1</v>
      </c>
      <c r="BB211" s="78">
        <v>1.24</v>
      </c>
      <c r="BC211" s="78">
        <v>2929</v>
      </c>
      <c r="BD211" s="78">
        <v>1</v>
      </c>
      <c r="BE211" s="78">
        <v>0</v>
      </c>
      <c r="BF211" s="78">
        <v>0</v>
      </c>
      <c r="BG211" s="78">
        <v>0</v>
      </c>
      <c r="BH211" s="78">
        <v>0</v>
      </c>
      <c r="BI211" s="78">
        <v>0</v>
      </c>
      <c r="BJ211" s="78">
        <v>0</v>
      </c>
      <c r="BK211" s="78">
        <v>0</v>
      </c>
      <c r="BL211" s="78">
        <v>0</v>
      </c>
      <c r="BM211" s="78">
        <v>514.22500000000002</v>
      </c>
      <c r="BN211" s="78">
        <v>126</v>
      </c>
      <c r="BO211" s="78">
        <v>73</v>
      </c>
      <c r="BP211" s="78">
        <v>9269.7199999999993</v>
      </c>
      <c r="BQ211" s="78">
        <v>2867.9</v>
      </c>
      <c r="BR211" s="78">
        <v>358.132706489675</v>
      </c>
      <c r="BS211" s="78">
        <v>344</v>
      </c>
      <c r="BT211" s="78">
        <v>133.333333333333</v>
      </c>
      <c r="BU211" s="78">
        <v>109</v>
      </c>
      <c r="BV211" s="78">
        <f t="shared" si="13"/>
        <v>1008.999999999997</v>
      </c>
      <c r="BW211" s="78">
        <v>214</v>
      </c>
      <c r="BX211" s="78">
        <v>4157.5259368339503</v>
      </c>
      <c r="BY211" s="402">
        <v>0.36699999999999999</v>
      </c>
      <c r="BZ211" s="78">
        <v>25994</v>
      </c>
      <c r="CA211" s="78">
        <v>2908</v>
      </c>
      <c r="CB211" s="78">
        <v>647</v>
      </c>
      <c r="CC211" s="78">
        <v>551</v>
      </c>
      <c r="CD211" s="78">
        <v>578</v>
      </c>
      <c r="CE211" s="78">
        <v>340</v>
      </c>
      <c r="CF211" s="78">
        <v>220.086582503844</v>
      </c>
      <c r="CG211" s="78">
        <v>143.062450432953</v>
      </c>
      <c r="CH211" s="78">
        <v>57.891535162256197</v>
      </c>
      <c r="CI211" s="78">
        <v>664.88070000000005</v>
      </c>
      <c r="CJ211" s="78">
        <v>432.19110000000001</v>
      </c>
      <c r="CK211" s="78">
        <v>174.89009999999999</v>
      </c>
      <c r="CL211" s="78">
        <v>0</v>
      </c>
    </row>
    <row r="212" spans="1:90" customFormat="1" x14ac:dyDescent="0.35">
      <c r="A212" s="72">
        <v>534</v>
      </c>
      <c r="B212" s="72" t="s">
        <v>150</v>
      </c>
      <c r="C212" s="72">
        <v>8</v>
      </c>
      <c r="D212" s="78">
        <v>2331200000</v>
      </c>
      <c r="E212" s="78">
        <v>289800000</v>
      </c>
      <c r="F212" s="78">
        <v>294700000</v>
      </c>
      <c r="G212" s="78">
        <v>22209</v>
      </c>
      <c r="H212" s="78">
        <v>1</v>
      </c>
      <c r="I212" s="78">
        <f t="shared" si="11"/>
        <v>294.7</v>
      </c>
      <c r="J212" s="78">
        <v>4229</v>
      </c>
      <c r="K212" s="78">
        <v>4626</v>
      </c>
      <c r="L212" s="78">
        <v>1482</v>
      </c>
      <c r="M212" s="78">
        <v>2986</v>
      </c>
      <c r="N212" s="78">
        <f t="shared" si="12"/>
        <v>1994.9</v>
      </c>
      <c r="O212" s="78">
        <v>255.666666666667</v>
      </c>
      <c r="P212" s="78">
        <v>14</v>
      </c>
      <c r="Q212" s="78">
        <v>1267.6666666666699</v>
      </c>
      <c r="R212" s="78">
        <v>3386</v>
      </c>
      <c r="S212" s="78">
        <v>715</v>
      </c>
      <c r="T212" s="78">
        <v>0</v>
      </c>
      <c r="U212" s="78">
        <v>665</v>
      </c>
      <c r="V212" s="78">
        <v>10230</v>
      </c>
      <c r="W212" s="78">
        <v>20340</v>
      </c>
      <c r="X212" s="78">
        <v>5030</v>
      </c>
      <c r="Y212" s="78">
        <v>146.52000000000001</v>
      </c>
      <c r="Z212" s="78">
        <v>700</v>
      </c>
      <c r="AA212" s="78">
        <v>0</v>
      </c>
      <c r="AB212" s="399">
        <v>0</v>
      </c>
      <c r="AC212" s="399">
        <v>307.39999999999998</v>
      </c>
      <c r="AD212" s="78">
        <v>1291</v>
      </c>
      <c r="AE212" s="78">
        <v>1407.19</v>
      </c>
      <c r="AF212" s="78">
        <v>55</v>
      </c>
      <c r="AG212" s="78">
        <v>0</v>
      </c>
      <c r="AH212" s="78">
        <v>117</v>
      </c>
      <c r="AI212" s="78">
        <v>17</v>
      </c>
      <c r="AJ212" s="78">
        <v>129.87</v>
      </c>
      <c r="AK212" s="78">
        <v>17.850000000000001</v>
      </c>
      <c r="AL212" s="78">
        <v>135</v>
      </c>
      <c r="AM212" s="78">
        <v>9911</v>
      </c>
      <c r="AN212" s="78">
        <v>11001.21</v>
      </c>
      <c r="AO212" s="78">
        <v>0</v>
      </c>
      <c r="AP212" s="78">
        <v>0</v>
      </c>
      <c r="AQ212" s="78">
        <v>0</v>
      </c>
      <c r="AR212" s="78">
        <v>0</v>
      </c>
      <c r="AS212" s="78">
        <v>1874</v>
      </c>
      <c r="AT212" s="78">
        <v>0</v>
      </c>
      <c r="AU212" s="400">
        <v>4.78849E-4</v>
      </c>
      <c r="AV212" s="400">
        <v>3.7916300000000002E-4</v>
      </c>
      <c r="AW212" s="78">
        <v>15471.071</v>
      </c>
      <c r="AX212" s="78">
        <v>0</v>
      </c>
      <c r="AY212" s="78">
        <v>1708.03</v>
      </c>
      <c r="AZ212" s="78">
        <v>38469.915000000001</v>
      </c>
      <c r="BA212" s="78">
        <v>2</v>
      </c>
      <c r="BB212" s="78">
        <v>2.1</v>
      </c>
      <c r="BC212" s="78">
        <v>2465</v>
      </c>
      <c r="BD212" s="78">
        <v>1</v>
      </c>
      <c r="BE212" s="78">
        <v>0</v>
      </c>
      <c r="BF212" s="78">
        <v>0</v>
      </c>
      <c r="BG212" s="78">
        <v>0</v>
      </c>
      <c r="BH212" s="78">
        <v>0</v>
      </c>
      <c r="BI212" s="78">
        <v>0</v>
      </c>
      <c r="BJ212" s="78">
        <v>0</v>
      </c>
      <c r="BK212" s="78">
        <v>0</v>
      </c>
      <c r="BL212" s="78">
        <v>0</v>
      </c>
      <c r="BM212" s="78">
        <v>405.98399999999998</v>
      </c>
      <c r="BN212" s="78">
        <v>59</v>
      </c>
      <c r="BO212" s="78">
        <v>36</v>
      </c>
      <c r="BP212" s="78">
        <v>6932.8</v>
      </c>
      <c r="BQ212" s="78">
        <v>1724.8</v>
      </c>
      <c r="BR212" s="78">
        <v>184.30626209093501</v>
      </c>
      <c r="BS212" s="78">
        <v>285</v>
      </c>
      <c r="BT212" s="78">
        <v>72.6666666666667</v>
      </c>
      <c r="BU212" s="78">
        <v>54.3333333333333</v>
      </c>
      <c r="BV212" s="78">
        <f t="shared" si="13"/>
        <v>1012.000000000003</v>
      </c>
      <c r="BW212" s="78">
        <v>242</v>
      </c>
      <c r="BX212" s="78">
        <v>3315.3549904397701</v>
      </c>
      <c r="BY212" s="402">
        <v>0.218</v>
      </c>
      <c r="BZ212" s="78">
        <v>17583</v>
      </c>
      <c r="CA212" s="78">
        <v>2576</v>
      </c>
      <c r="CB212" s="78">
        <v>568</v>
      </c>
      <c r="CC212" s="78">
        <v>547</v>
      </c>
      <c r="CD212" s="78">
        <v>498</v>
      </c>
      <c r="CE212" s="78">
        <v>296</v>
      </c>
      <c r="CF212" s="78">
        <v>324.06306124508097</v>
      </c>
      <c r="CG212" s="78">
        <v>200.67756028655</v>
      </c>
      <c r="CH212" s="78">
        <v>77.292059328019405</v>
      </c>
      <c r="CI212" s="78">
        <v>674.10699999999997</v>
      </c>
      <c r="CJ212" s="78">
        <v>417.44389999999999</v>
      </c>
      <c r="CK212" s="78">
        <v>160.7808</v>
      </c>
      <c r="CL212" s="78">
        <v>23946</v>
      </c>
    </row>
    <row r="213" spans="1:90" customFormat="1" x14ac:dyDescent="0.35">
      <c r="A213" s="72">
        <v>1963</v>
      </c>
      <c r="B213" s="72" t="s">
        <v>153</v>
      </c>
      <c r="C213" s="72">
        <v>8</v>
      </c>
      <c r="D213" s="78">
        <v>8055200000</v>
      </c>
      <c r="E213" s="78">
        <v>1197350000</v>
      </c>
      <c r="F213" s="78">
        <v>1245650000</v>
      </c>
      <c r="G213" s="78">
        <v>87401</v>
      </c>
      <c r="H213" s="78">
        <v>12</v>
      </c>
      <c r="I213" s="78">
        <f t="shared" si="11"/>
        <v>1245.6500000000001</v>
      </c>
      <c r="J213" s="78">
        <v>16965</v>
      </c>
      <c r="K213" s="78">
        <v>19608</v>
      </c>
      <c r="L213" s="78">
        <v>6209</v>
      </c>
      <c r="M213" s="78">
        <v>9150</v>
      </c>
      <c r="N213" s="78">
        <f t="shared" si="12"/>
        <v>5356.9</v>
      </c>
      <c r="O213" s="78">
        <v>798.66666666666697</v>
      </c>
      <c r="P213" s="78">
        <v>65</v>
      </c>
      <c r="Q213" s="78">
        <v>3802.6666666666702</v>
      </c>
      <c r="R213" s="78">
        <v>10573</v>
      </c>
      <c r="S213" s="78">
        <v>1800</v>
      </c>
      <c r="T213" s="78">
        <v>0</v>
      </c>
      <c r="U213" s="78">
        <v>2226</v>
      </c>
      <c r="V213" s="78">
        <v>38225</v>
      </c>
      <c r="W213" s="78">
        <v>62800</v>
      </c>
      <c r="X213" s="78">
        <v>9350</v>
      </c>
      <c r="Y213" s="78">
        <v>554.1</v>
      </c>
      <c r="Z213" s="78">
        <v>2637.6</v>
      </c>
      <c r="AA213" s="78">
        <v>0</v>
      </c>
      <c r="AB213" s="399">
        <v>0</v>
      </c>
      <c r="AC213" s="399">
        <v>0</v>
      </c>
      <c r="AD213" s="78">
        <v>26851</v>
      </c>
      <c r="AE213" s="78">
        <v>33026.730000000003</v>
      </c>
      <c r="AF213" s="78">
        <v>5517</v>
      </c>
      <c r="AG213" s="78">
        <v>0</v>
      </c>
      <c r="AH213" s="78">
        <v>472</v>
      </c>
      <c r="AI213" s="78">
        <v>123</v>
      </c>
      <c r="AJ213" s="78">
        <v>599.44000000000005</v>
      </c>
      <c r="AK213" s="78">
        <v>150.06</v>
      </c>
      <c r="AL213" s="78">
        <v>596</v>
      </c>
      <c r="AM213" s="78">
        <v>37931</v>
      </c>
      <c r="AN213" s="78">
        <v>48172.37</v>
      </c>
      <c r="AO213" s="78">
        <v>0</v>
      </c>
      <c r="AP213" s="78">
        <v>0</v>
      </c>
      <c r="AQ213" s="78">
        <v>0</v>
      </c>
      <c r="AR213" s="78">
        <v>0</v>
      </c>
      <c r="AS213" s="78">
        <v>3172</v>
      </c>
      <c r="AT213" s="78">
        <v>0</v>
      </c>
      <c r="AU213" s="400">
        <v>1.0551600000000001E-3</v>
      </c>
      <c r="AV213" s="400">
        <v>5.5092100000000001E-4</v>
      </c>
      <c r="AW213" s="78">
        <v>31293.075000000001</v>
      </c>
      <c r="AX213" s="78">
        <v>0</v>
      </c>
      <c r="AY213" s="78">
        <v>11502.96</v>
      </c>
      <c r="AZ213" s="78">
        <v>57471.449948096903</v>
      </c>
      <c r="BA213" s="78">
        <v>29</v>
      </c>
      <c r="BB213" s="78">
        <v>35.380000000000003</v>
      </c>
      <c r="BC213" s="78">
        <v>9716</v>
      </c>
      <c r="BD213" s="78">
        <v>1</v>
      </c>
      <c r="BE213" s="78">
        <v>0</v>
      </c>
      <c r="BF213" s="78">
        <v>0</v>
      </c>
      <c r="BG213" s="78">
        <v>0</v>
      </c>
      <c r="BH213" s="78">
        <v>0</v>
      </c>
      <c r="BI213" s="78">
        <v>0</v>
      </c>
      <c r="BJ213" s="78">
        <v>0</v>
      </c>
      <c r="BK213" s="78">
        <v>0</v>
      </c>
      <c r="BL213" s="78">
        <v>0</v>
      </c>
      <c r="BM213" s="78">
        <v>1102.7249999999999</v>
      </c>
      <c r="BN213" s="78">
        <v>214</v>
      </c>
      <c r="BO213" s="78">
        <v>126</v>
      </c>
      <c r="BP213" s="78">
        <v>28965.3</v>
      </c>
      <c r="BQ213" s="78">
        <v>6951.56</v>
      </c>
      <c r="BR213" s="78">
        <v>724.46833333333302</v>
      </c>
      <c r="BS213" s="78">
        <v>840</v>
      </c>
      <c r="BT213" s="78">
        <v>240</v>
      </c>
      <c r="BU213" s="78">
        <v>165.333333333333</v>
      </c>
      <c r="BV213" s="78">
        <f t="shared" si="13"/>
        <v>3004.0000000000032</v>
      </c>
      <c r="BW213" s="78">
        <v>885</v>
      </c>
      <c r="BX213" s="78">
        <v>15528.6450826256</v>
      </c>
      <c r="BY213" s="402">
        <v>0.78900000000000003</v>
      </c>
      <c r="BZ213" s="78">
        <v>67793</v>
      </c>
      <c r="CA213" s="78">
        <v>11383</v>
      </c>
      <c r="CB213" s="78">
        <v>2016</v>
      </c>
      <c r="CC213" s="78">
        <v>2096</v>
      </c>
      <c r="CD213" s="78">
        <v>1985</v>
      </c>
      <c r="CE213" s="78">
        <v>969</v>
      </c>
      <c r="CF213" s="78">
        <v>977.57669979699995</v>
      </c>
      <c r="CG213" s="78">
        <v>583.12831457119501</v>
      </c>
      <c r="CH213" s="78">
        <v>199.97812870739</v>
      </c>
      <c r="CI213" s="78">
        <v>2489.1511999999998</v>
      </c>
      <c r="CJ213" s="78">
        <v>1484.7883999999999</v>
      </c>
      <c r="CK213" s="78">
        <v>509.1936</v>
      </c>
      <c r="CL213" s="78">
        <v>64425</v>
      </c>
    </row>
    <row r="214" spans="1:90" customFormat="1" x14ac:dyDescent="0.35">
      <c r="A214" s="72">
        <v>1884</v>
      </c>
      <c r="B214" s="72" t="s">
        <v>163</v>
      </c>
      <c r="C214" s="72">
        <v>8</v>
      </c>
      <c r="D214" s="78">
        <v>3088000000</v>
      </c>
      <c r="E214" s="78">
        <v>304150000</v>
      </c>
      <c r="F214" s="78">
        <v>332500000</v>
      </c>
      <c r="G214" s="78">
        <v>27297</v>
      </c>
      <c r="H214" s="78">
        <v>6</v>
      </c>
      <c r="I214" s="78">
        <f t="shared" si="11"/>
        <v>332.5</v>
      </c>
      <c r="J214" s="78">
        <v>5178</v>
      </c>
      <c r="K214" s="78">
        <v>5679</v>
      </c>
      <c r="L214" s="78">
        <v>1767</v>
      </c>
      <c r="M214" s="78">
        <v>2845</v>
      </c>
      <c r="N214" s="78">
        <f t="shared" si="12"/>
        <v>1634.6</v>
      </c>
      <c r="O214" s="78">
        <v>249.666666666667</v>
      </c>
      <c r="P214" s="78">
        <v>17</v>
      </c>
      <c r="Q214" s="78">
        <v>1029.6666666666699</v>
      </c>
      <c r="R214" s="78">
        <v>3414</v>
      </c>
      <c r="S214" s="78">
        <v>710</v>
      </c>
      <c r="T214" s="78">
        <v>0</v>
      </c>
      <c r="U214" s="78">
        <v>714</v>
      </c>
      <c r="V214" s="78">
        <v>11858</v>
      </c>
      <c r="W214" s="78">
        <v>20100</v>
      </c>
      <c r="X214" s="78">
        <v>2980</v>
      </c>
      <c r="Y214" s="78">
        <v>0</v>
      </c>
      <c r="Z214" s="78">
        <v>0</v>
      </c>
      <c r="AA214" s="78">
        <v>0</v>
      </c>
      <c r="AB214" s="399">
        <v>0</v>
      </c>
      <c r="AC214" s="399">
        <v>0</v>
      </c>
      <c r="AD214" s="78">
        <v>6317</v>
      </c>
      <c r="AE214" s="78">
        <v>7896.25</v>
      </c>
      <c r="AF214" s="78">
        <v>907</v>
      </c>
      <c r="AG214" s="78">
        <v>0</v>
      </c>
      <c r="AH214" s="78">
        <v>148</v>
      </c>
      <c r="AI214" s="78">
        <v>42</v>
      </c>
      <c r="AJ214" s="78">
        <v>189.44</v>
      </c>
      <c r="AK214" s="78">
        <v>52.08</v>
      </c>
      <c r="AL214" s="78">
        <v>190</v>
      </c>
      <c r="AM214" s="78">
        <v>12104</v>
      </c>
      <c r="AN214" s="78">
        <v>15493.12</v>
      </c>
      <c r="AO214" s="78">
        <v>0</v>
      </c>
      <c r="AP214" s="78">
        <v>0</v>
      </c>
      <c r="AQ214" s="78">
        <v>0</v>
      </c>
      <c r="AR214" s="78">
        <v>0</v>
      </c>
      <c r="AS214" s="78">
        <v>542</v>
      </c>
      <c r="AT214" s="78">
        <v>0</v>
      </c>
      <c r="AU214" s="400">
        <v>1.7202100000000001E-4</v>
      </c>
      <c r="AV214" s="400">
        <v>1.10513E-4</v>
      </c>
      <c r="AW214" s="78">
        <v>7504.48</v>
      </c>
      <c r="AX214" s="78">
        <v>0</v>
      </c>
      <c r="AY214" s="78">
        <v>6567.5</v>
      </c>
      <c r="AZ214" s="78">
        <v>61374.795473421902</v>
      </c>
      <c r="BA214" s="78">
        <v>17</v>
      </c>
      <c r="BB214" s="78">
        <v>21.08</v>
      </c>
      <c r="BC214" s="78">
        <v>3526</v>
      </c>
      <c r="BD214" s="78">
        <v>1</v>
      </c>
      <c r="BE214" s="78">
        <v>0</v>
      </c>
      <c r="BF214" s="78">
        <v>0</v>
      </c>
      <c r="BG214" s="78">
        <v>0</v>
      </c>
      <c r="BH214" s="78">
        <v>0</v>
      </c>
      <c r="BI214" s="78">
        <v>0</v>
      </c>
      <c r="BJ214" s="78">
        <v>0</v>
      </c>
      <c r="BK214" s="78">
        <v>0</v>
      </c>
      <c r="BL214" s="78">
        <v>0</v>
      </c>
      <c r="BM214" s="78">
        <v>367.63799999999998</v>
      </c>
      <c r="BN214" s="78">
        <v>140</v>
      </c>
      <c r="BO214" s="78">
        <v>38</v>
      </c>
      <c r="BP214" s="78">
        <v>9220.09</v>
      </c>
      <c r="BQ214" s="78">
        <v>2222.2399999999998</v>
      </c>
      <c r="BR214" s="78">
        <v>170.63316279069801</v>
      </c>
      <c r="BS214" s="78">
        <v>308</v>
      </c>
      <c r="BT214" s="78">
        <v>78.6666666666667</v>
      </c>
      <c r="BU214" s="78">
        <v>51</v>
      </c>
      <c r="BV214" s="78">
        <f t="shared" si="13"/>
        <v>780.00000000000296</v>
      </c>
      <c r="BW214" s="78">
        <v>222</v>
      </c>
      <c r="BX214" s="78">
        <v>4021.5778217821799</v>
      </c>
      <c r="BY214" s="402">
        <v>0.14000000000000001</v>
      </c>
      <c r="BZ214" s="78">
        <v>21618</v>
      </c>
      <c r="CA214" s="78">
        <v>3329</v>
      </c>
      <c r="CB214" s="78">
        <v>583</v>
      </c>
      <c r="CC214" s="78">
        <v>556</v>
      </c>
      <c r="CD214" s="78">
        <v>545</v>
      </c>
      <c r="CE214" s="78">
        <v>255</v>
      </c>
      <c r="CF214" s="78">
        <v>266.58132848645101</v>
      </c>
      <c r="CG214" s="78">
        <v>156.923760740251</v>
      </c>
      <c r="CH214" s="78">
        <v>53.613367481824199</v>
      </c>
      <c r="CI214" s="78">
        <v>703.53359999999998</v>
      </c>
      <c r="CJ214" s="78">
        <v>414.13679999999999</v>
      </c>
      <c r="CK214" s="78">
        <v>141.49080000000001</v>
      </c>
      <c r="CL214" s="78">
        <v>0</v>
      </c>
    </row>
    <row r="215" spans="1:90" customFormat="1" x14ac:dyDescent="0.35">
      <c r="A215" s="72">
        <v>537</v>
      </c>
      <c r="B215" s="72" t="s">
        <v>166</v>
      </c>
      <c r="C215" s="72">
        <v>8</v>
      </c>
      <c r="D215" s="78">
        <v>6930000000</v>
      </c>
      <c r="E215" s="78">
        <v>827050000</v>
      </c>
      <c r="F215" s="78">
        <v>850500000</v>
      </c>
      <c r="G215" s="78">
        <v>65753</v>
      </c>
      <c r="H215" s="78">
        <v>1</v>
      </c>
      <c r="I215" s="78">
        <f t="shared" si="11"/>
        <v>850.5</v>
      </c>
      <c r="J215" s="78">
        <v>14649</v>
      </c>
      <c r="K215" s="78">
        <v>11877</v>
      </c>
      <c r="L215" s="78">
        <v>3786</v>
      </c>
      <c r="M215" s="78">
        <v>7400</v>
      </c>
      <c r="N215" s="78">
        <f t="shared" si="12"/>
        <v>4695.2</v>
      </c>
      <c r="O215" s="78">
        <v>869</v>
      </c>
      <c r="P215" s="78">
        <v>45</v>
      </c>
      <c r="Q215" s="78">
        <v>3363</v>
      </c>
      <c r="R215" s="78">
        <v>8143</v>
      </c>
      <c r="S215" s="78">
        <v>1685</v>
      </c>
      <c r="T215" s="78">
        <v>0</v>
      </c>
      <c r="U215" s="78">
        <v>1599</v>
      </c>
      <c r="V215" s="78">
        <v>27684</v>
      </c>
      <c r="W215" s="78">
        <v>67430</v>
      </c>
      <c r="X215" s="78">
        <v>50210</v>
      </c>
      <c r="Y215" s="78">
        <v>1044.8</v>
      </c>
      <c r="Z215" s="78">
        <v>1949.6</v>
      </c>
      <c r="AA215" s="78">
        <v>0</v>
      </c>
      <c r="AB215" s="399">
        <v>0</v>
      </c>
      <c r="AC215" s="399">
        <v>0</v>
      </c>
      <c r="AD215" s="78">
        <v>2472</v>
      </c>
      <c r="AE215" s="78">
        <v>2472</v>
      </c>
      <c r="AF215" s="78">
        <v>166</v>
      </c>
      <c r="AG215" s="78">
        <v>477</v>
      </c>
      <c r="AH215" s="78">
        <v>261</v>
      </c>
      <c r="AI215" s="78">
        <v>40</v>
      </c>
      <c r="AJ215" s="78">
        <v>261</v>
      </c>
      <c r="AK215" s="78">
        <v>40</v>
      </c>
      <c r="AL215" s="78">
        <v>301</v>
      </c>
      <c r="AM215" s="78">
        <v>27048</v>
      </c>
      <c r="AN215" s="78">
        <v>27048</v>
      </c>
      <c r="AO215" s="78">
        <v>0</v>
      </c>
      <c r="AP215" s="78">
        <v>0</v>
      </c>
      <c r="AQ215" s="78">
        <v>0</v>
      </c>
      <c r="AR215" s="78">
        <v>0</v>
      </c>
      <c r="AS215" s="78">
        <v>5004</v>
      </c>
      <c r="AT215" s="78">
        <v>0</v>
      </c>
      <c r="AU215" s="400">
        <v>8.0005500000000004E-4</v>
      </c>
      <c r="AV215" s="400">
        <v>1.928201E-3</v>
      </c>
      <c r="AW215" s="78">
        <v>58234.343999999997</v>
      </c>
      <c r="AX215" s="78">
        <v>0</v>
      </c>
      <c r="AY215" s="78">
        <v>1470</v>
      </c>
      <c r="AZ215" s="78">
        <v>36640.223654283502</v>
      </c>
      <c r="BA215" s="78">
        <v>5</v>
      </c>
      <c r="BB215" s="78">
        <v>5</v>
      </c>
      <c r="BC215" s="78">
        <v>5725</v>
      </c>
      <c r="BD215" s="78">
        <v>1</v>
      </c>
      <c r="BE215" s="78">
        <v>0</v>
      </c>
      <c r="BF215" s="78">
        <v>0</v>
      </c>
      <c r="BG215" s="78">
        <v>0</v>
      </c>
      <c r="BH215" s="78">
        <v>0</v>
      </c>
      <c r="BI215" s="78">
        <v>0</v>
      </c>
      <c r="BJ215" s="78">
        <v>0</v>
      </c>
      <c r="BK215" s="78">
        <v>0</v>
      </c>
      <c r="BL215" s="78">
        <v>0</v>
      </c>
      <c r="BM215" s="78">
        <v>1127.973</v>
      </c>
      <c r="BN215" s="78">
        <v>439</v>
      </c>
      <c r="BO215" s="78">
        <v>221</v>
      </c>
      <c r="BP215" s="78">
        <v>18098.2</v>
      </c>
      <c r="BQ215" s="78">
        <v>5088.6499999999996</v>
      </c>
      <c r="BR215" s="78">
        <v>663.38571966997904</v>
      </c>
      <c r="BS215" s="78">
        <v>667</v>
      </c>
      <c r="BT215" s="78">
        <v>277</v>
      </c>
      <c r="BU215" s="78">
        <v>243.333333333333</v>
      </c>
      <c r="BV215" s="78">
        <f t="shared" si="13"/>
        <v>2494</v>
      </c>
      <c r="BW215" s="78">
        <v>745</v>
      </c>
      <c r="BX215" s="78">
        <v>10824.001857217199</v>
      </c>
      <c r="BY215" s="402">
        <v>1.2509999999999999</v>
      </c>
      <c r="BZ215" s="78">
        <v>53876</v>
      </c>
      <c r="CA215" s="78">
        <v>6911</v>
      </c>
      <c r="CB215" s="78">
        <v>1180</v>
      </c>
      <c r="CC215" s="78">
        <v>1443</v>
      </c>
      <c r="CD215" s="78">
        <v>1359</v>
      </c>
      <c r="CE215" s="78">
        <v>602</v>
      </c>
      <c r="CF215" s="78">
        <v>733.755190771961</v>
      </c>
      <c r="CG215" s="78">
        <v>446.81472937000899</v>
      </c>
      <c r="CH215" s="78">
        <v>144.25137533274199</v>
      </c>
      <c r="CI215" s="78">
        <v>1865.7978000000001</v>
      </c>
      <c r="CJ215" s="78">
        <v>1136.1636000000001</v>
      </c>
      <c r="CK215" s="78">
        <v>366.80340000000001</v>
      </c>
      <c r="CL215" s="78">
        <v>117214</v>
      </c>
    </row>
    <row r="216" spans="1:90" customFormat="1" x14ac:dyDescent="0.35">
      <c r="A216" s="72">
        <v>542</v>
      </c>
      <c r="B216" s="72" t="s">
        <v>169</v>
      </c>
      <c r="C216" s="72">
        <v>8</v>
      </c>
      <c r="D216" s="78">
        <v>2674800000</v>
      </c>
      <c r="E216" s="78">
        <v>313250000</v>
      </c>
      <c r="F216" s="78">
        <v>316400000</v>
      </c>
      <c r="G216" s="78">
        <v>29526</v>
      </c>
      <c r="H216" s="78">
        <v>1</v>
      </c>
      <c r="I216" s="78">
        <f t="shared" si="11"/>
        <v>316.39999999999998</v>
      </c>
      <c r="J216" s="78">
        <v>6289</v>
      </c>
      <c r="K216" s="78">
        <v>7172</v>
      </c>
      <c r="L216" s="78">
        <v>2530</v>
      </c>
      <c r="M216" s="78">
        <v>3423</v>
      </c>
      <c r="N216" s="78">
        <f t="shared" si="12"/>
        <v>2155.3000000000002</v>
      </c>
      <c r="O216" s="78">
        <v>500.66666666666703</v>
      </c>
      <c r="P216" s="78">
        <v>30</v>
      </c>
      <c r="Q216" s="78">
        <v>1469.6666666666699</v>
      </c>
      <c r="R216" s="78">
        <v>3772</v>
      </c>
      <c r="S216" s="78">
        <v>1540</v>
      </c>
      <c r="T216" s="78">
        <v>0</v>
      </c>
      <c r="U216" s="78">
        <v>988</v>
      </c>
      <c r="V216" s="78">
        <v>12871</v>
      </c>
      <c r="W216" s="78">
        <v>24980</v>
      </c>
      <c r="X216" s="78">
        <v>6100</v>
      </c>
      <c r="Y216" s="78">
        <v>0</v>
      </c>
      <c r="Z216" s="78">
        <v>1019.2</v>
      </c>
      <c r="AA216" s="78">
        <v>0</v>
      </c>
      <c r="AB216" s="399">
        <v>0</v>
      </c>
      <c r="AC216" s="399">
        <v>0</v>
      </c>
      <c r="AD216" s="78">
        <v>767</v>
      </c>
      <c r="AE216" s="78">
        <v>1081.47</v>
      </c>
      <c r="AF216" s="78">
        <v>128</v>
      </c>
      <c r="AG216" s="78">
        <v>0</v>
      </c>
      <c r="AH216" s="78">
        <v>120</v>
      </c>
      <c r="AI216" s="78">
        <v>9</v>
      </c>
      <c r="AJ216" s="78">
        <v>170.4</v>
      </c>
      <c r="AK216" s="78">
        <v>12.24</v>
      </c>
      <c r="AL216" s="78">
        <v>129</v>
      </c>
      <c r="AM216" s="78">
        <v>12677</v>
      </c>
      <c r="AN216" s="78">
        <v>18001.34</v>
      </c>
      <c r="AO216" s="78">
        <v>0</v>
      </c>
      <c r="AP216" s="78">
        <v>0</v>
      </c>
      <c r="AQ216" s="78">
        <v>0</v>
      </c>
      <c r="AR216" s="78">
        <v>0</v>
      </c>
      <c r="AS216" s="78">
        <v>925</v>
      </c>
      <c r="AT216" s="78">
        <v>0</v>
      </c>
      <c r="AU216" s="400">
        <v>2.0524200000000001E-4</v>
      </c>
      <c r="AV216" s="400">
        <v>6.2073200000000003E-4</v>
      </c>
      <c r="AW216" s="78">
        <v>24986.366999999998</v>
      </c>
      <c r="AX216" s="78">
        <v>0</v>
      </c>
      <c r="AY216" s="78">
        <v>1228.1099999999999</v>
      </c>
      <c r="AZ216" s="78">
        <v>121545.840871508</v>
      </c>
      <c r="BA216" s="78">
        <v>1</v>
      </c>
      <c r="BB216" s="78">
        <v>1.36</v>
      </c>
      <c r="BC216" s="78">
        <v>2647</v>
      </c>
      <c r="BD216" s="78">
        <v>1</v>
      </c>
      <c r="BE216" s="78">
        <v>0</v>
      </c>
      <c r="BF216" s="78">
        <v>0</v>
      </c>
      <c r="BG216" s="78">
        <v>0</v>
      </c>
      <c r="BH216" s="78">
        <v>0</v>
      </c>
      <c r="BI216" s="78">
        <v>0</v>
      </c>
      <c r="BJ216" s="78">
        <v>0</v>
      </c>
      <c r="BK216" s="78">
        <v>0</v>
      </c>
      <c r="BL216" s="78">
        <v>0</v>
      </c>
      <c r="BM216" s="78">
        <v>540.85400000000004</v>
      </c>
      <c r="BN216" s="78">
        <v>108</v>
      </c>
      <c r="BO216" s="78">
        <v>50</v>
      </c>
      <c r="BP216" s="78">
        <v>9066.6</v>
      </c>
      <c r="BQ216" s="78">
        <v>2266.65</v>
      </c>
      <c r="BR216" s="78">
        <v>238.665190782422</v>
      </c>
      <c r="BS216" s="78">
        <v>442</v>
      </c>
      <c r="BT216" s="78">
        <v>171.333333333333</v>
      </c>
      <c r="BU216" s="78">
        <v>167</v>
      </c>
      <c r="BV216" s="78">
        <f t="shared" si="13"/>
        <v>969.00000000000296</v>
      </c>
      <c r="BW216" s="78">
        <v>289</v>
      </c>
      <c r="BX216" s="78">
        <v>5125.9210539215701</v>
      </c>
      <c r="BY216" s="402">
        <v>1.0069999999999999</v>
      </c>
      <c r="BZ216" s="78">
        <v>22354</v>
      </c>
      <c r="CA216" s="78">
        <v>3718</v>
      </c>
      <c r="CB216" s="78">
        <v>924</v>
      </c>
      <c r="CC216" s="78">
        <v>738</v>
      </c>
      <c r="CD216" s="78">
        <v>798</v>
      </c>
      <c r="CE216" s="78">
        <v>447</v>
      </c>
      <c r="CF216" s="78">
        <v>383.21733848702399</v>
      </c>
      <c r="CG216" s="78">
        <v>288.34809497515198</v>
      </c>
      <c r="CH216" s="78">
        <v>111.020817228051</v>
      </c>
      <c r="CI216" s="78">
        <v>894.83799999999997</v>
      </c>
      <c r="CJ216" s="78">
        <v>673.31200000000001</v>
      </c>
      <c r="CK216" s="78">
        <v>259.24099999999999</v>
      </c>
      <c r="CL216" s="78">
        <v>0</v>
      </c>
    </row>
    <row r="217" spans="1:90" customFormat="1" x14ac:dyDescent="0.35">
      <c r="A217" s="72">
        <v>1931</v>
      </c>
      <c r="B217" s="72" t="s">
        <v>170</v>
      </c>
      <c r="C217" s="72">
        <v>8</v>
      </c>
      <c r="D217" s="78">
        <v>5200800000</v>
      </c>
      <c r="E217" s="78">
        <v>679700000</v>
      </c>
      <c r="F217" s="78">
        <v>730450000</v>
      </c>
      <c r="G217" s="78">
        <v>56319</v>
      </c>
      <c r="H217" s="78">
        <v>9</v>
      </c>
      <c r="I217" s="78">
        <f t="shared" si="11"/>
        <v>730.45</v>
      </c>
      <c r="J217" s="78">
        <v>11544</v>
      </c>
      <c r="K217" s="78">
        <v>11927</v>
      </c>
      <c r="L217" s="78">
        <v>3905</v>
      </c>
      <c r="M217" s="78">
        <v>6288</v>
      </c>
      <c r="N217" s="78">
        <f t="shared" si="12"/>
        <v>3884.4</v>
      </c>
      <c r="O217" s="78">
        <v>668.33333333333303</v>
      </c>
      <c r="P217" s="78">
        <v>6</v>
      </c>
      <c r="Q217" s="78">
        <v>2547.3333333333298</v>
      </c>
      <c r="R217" s="78">
        <v>7307</v>
      </c>
      <c r="S217" s="78">
        <v>2155</v>
      </c>
      <c r="T217" s="78">
        <v>0</v>
      </c>
      <c r="U217" s="78">
        <v>1335</v>
      </c>
      <c r="V217" s="78">
        <v>24312</v>
      </c>
      <c r="W217" s="78">
        <v>40760</v>
      </c>
      <c r="X217" s="78">
        <v>3450</v>
      </c>
      <c r="Y217" s="78">
        <v>0</v>
      </c>
      <c r="Z217" s="78">
        <v>2572.8000000000002</v>
      </c>
      <c r="AA217" s="78">
        <v>0</v>
      </c>
      <c r="AB217" s="399">
        <v>0</v>
      </c>
      <c r="AC217" s="399">
        <v>0</v>
      </c>
      <c r="AD217" s="78">
        <v>14910</v>
      </c>
      <c r="AE217" s="78">
        <v>24005.1</v>
      </c>
      <c r="AF217" s="78">
        <v>1221</v>
      </c>
      <c r="AG217" s="78">
        <v>0</v>
      </c>
      <c r="AH217" s="78">
        <v>287</v>
      </c>
      <c r="AI217" s="78">
        <v>95</v>
      </c>
      <c r="AJ217" s="78">
        <v>427.63</v>
      </c>
      <c r="AK217" s="78">
        <v>154.85</v>
      </c>
      <c r="AL217" s="78">
        <v>382</v>
      </c>
      <c r="AM217" s="78">
        <v>24036</v>
      </c>
      <c r="AN217" s="78">
        <v>35813.64</v>
      </c>
      <c r="AO217" s="78">
        <v>15</v>
      </c>
      <c r="AP217" s="78">
        <v>0</v>
      </c>
      <c r="AQ217" s="78">
        <v>0</v>
      </c>
      <c r="AR217" s="78">
        <v>3000</v>
      </c>
      <c r="AS217" s="78">
        <v>3668</v>
      </c>
      <c r="AT217" s="78">
        <v>1194</v>
      </c>
      <c r="AU217" s="400">
        <v>1.099844E-3</v>
      </c>
      <c r="AV217" s="400">
        <v>6.4869999999999999E-4</v>
      </c>
      <c r="AW217" s="78">
        <v>18820.187999999998</v>
      </c>
      <c r="AX217" s="78">
        <v>0</v>
      </c>
      <c r="AY217" s="78">
        <v>31985.87</v>
      </c>
      <c r="AZ217" s="78">
        <v>324813.92338664702</v>
      </c>
      <c r="BA217" s="78">
        <v>24</v>
      </c>
      <c r="BB217" s="78">
        <v>39.119999999999997</v>
      </c>
      <c r="BC217" s="78">
        <v>6629</v>
      </c>
      <c r="BD217" s="78">
        <v>1</v>
      </c>
      <c r="BE217" s="78">
        <v>0</v>
      </c>
      <c r="BF217" s="78">
        <v>0</v>
      </c>
      <c r="BG217" s="78">
        <v>0</v>
      </c>
      <c r="BH217" s="78">
        <v>0</v>
      </c>
      <c r="BI217" s="78">
        <v>0</v>
      </c>
      <c r="BJ217" s="78">
        <v>0</v>
      </c>
      <c r="BK217" s="78">
        <v>0</v>
      </c>
      <c r="BL217" s="78">
        <v>0</v>
      </c>
      <c r="BM217" s="78">
        <v>900.43200000000002</v>
      </c>
      <c r="BN217" s="78">
        <v>240</v>
      </c>
      <c r="BO217" s="78">
        <v>145</v>
      </c>
      <c r="BP217" s="78">
        <v>17557.240000000002</v>
      </c>
      <c r="BQ217" s="78">
        <v>4346.6400000000003</v>
      </c>
      <c r="BR217" s="78">
        <v>467.45791365227501</v>
      </c>
      <c r="BS217" s="78">
        <v>568</v>
      </c>
      <c r="BT217" s="78">
        <v>213.666666666667</v>
      </c>
      <c r="BU217" s="78">
        <v>146.666666666667</v>
      </c>
      <c r="BV217" s="78">
        <f t="shared" si="13"/>
        <v>1878.9999999999968</v>
      </c>
      <c r="BW217" s="78">
        <v>601</v>
      </c>
      <c r="BX217" s="78">
        <v>8140.4106401655699</v>
      </c>
      <c r="BY217" s="402">
        <v>0.87</v>
      </c>
      <c r="BZ217" s="78">
        <v>44392</v>
      </c>
      <c r="CA217" s="78">
        <v>6681</v>
      </c>
      <c r="CB217" s="78">
        <v>1341</v>
      </c>
      <c r="CC217" s="78">
        <v>1200</v>
      </c>
      <c r="CD217" s="78">
        <v>1229</v>
      </c>
      <c r="CE217" s="78">
        <v>664</v>
      </c>
      <c r="CF217" s="78">
        <v>655.31877184223697</v>
      </c>
      <c r="CG217" s="78">
        <v>420.34133799300997</v>
      </c>
      <c r="CH217" s="78">
        <v>151.10309535696501</v>
      </c>
      <c r="CI217" s="78">
        <v>1567.2574999999999</v>
      </c>
      <c r="CJ217" s="78">
        <v>1005.2865</v>
      </c>
      <c r="CK217" s="78">
        <v>361.3775</v>
      </c>
      <c r="CL217" s="78">
        <v>50916</v>
      </c>
    </row>
    <row r="218" spans="1:90" customFormat="1" x14ac:dyDescent="0.35">
      <c r="A218" s="72">
        <v>1621</v>
      </c>
      <c r="B218" s="72" t="s">
        <v>176</v>
      </c>
      <c r="C218" s="72">
        <v>8</v>
      </c>
      <c r="D218" s="78">
        <v>6802000000</v>
      </c>
      <c r="E218" s="78">
        <v>1162000000</v>
      </c>
      <c r="F218" s="78">
        <v>1175650000</v>
      </c>
      <c r="G218" s="78">
        <v>62384</v>
      </c>
      <c r="H218" s="78">
        <v>2</v>
      </c>
      <c r="I218" s="78">
        <f t="shared" si="11"/>
        <v>1175.6500000000001</v>
      </c>
      <c r="J218" s="78">
        <v>15858</v>
      </c>
      <c r="K218" s="78">
        <v>9626</v>
      </c>
      <c r="L218" s="78">
        <v>3062</v>
      </c>
      <c r="M218" s="78">
        <v>4412</v>
      </c>
      <c r="N218" s="78">
        <f t="shared" si="12"/>
        <v>1977.7999999999997</v>
      </c>
      <c r="O218" s="78">
        <v>563.66666666666697</v>
      </c>
      <c r="P218" s="78">
        <v>28</v>
      </c>
      <c r="Q218" s="78">
        <v>2168.6666666666702</v>
      </c>
      <c r="R218" s="78">
        <v>5412</v>
      </c>
      <c r="S218" s="78">
        <v>4380</v>
      </c>
      <c r="T218" s="78">
        <v>0</v>
      </c>
      <c r="U218" s="78">
        <v>1893</v>
      </c>
      <c r="V218" s="78">
        <v>24359</v>
      </c>
      <c r="W218" s="78">
        <v>51540</v>
      </c>
      <c r="X218" s="78">
        <v>18710</v>
      </c>
      <c r="Y218" s="78">
        <v>0</v>
      </c>
      <c r="Z218" s="78">
        <v>3450.4</v>
      </c>
      <c r="AA218" s="78">
        <v>0</v>
      </c>
      <c r="AB218" s="399">
        <v>468.99999999999818</v>
      </c>
      <c r="AC218" s="399">
        <v>1513.5</v>
      </c>
      <c r="AD218" s="78">
        <v>5325</v>
      </c>
      <c r="AE218" s="78">
        <v>6816</v>
      </c>
      <c r="AF218" s="78">
        <v>312</v>
      </c>
      <c r="AG218" s="78">
        <v>0</v>
      </c>
      <c r="AH218" s="78">
        <v>285</v>
      </c>
      <c r="AI218" s="78">
        <v>100</v>
      </c>
      <c r="AJ218" s="78">
        <v>367.65</v>
      </c>
      <c r="AK218" s="78">
        <v>128</v>
      </c>
      <c r="AL218" s="78">
        <v>385</v>
      </c>
      <c r="AM218" s="78">
        <v>24342</v>
      </c>
      <c r="AN218" s="78">
        <v>31401.18</v>
      </c>
      <c r="AO218" s="78">
        <v>0</v>
      </c>
      <c r="AP218" s="78">
        <v>0</v>
      </c>
      <c r="AQ218" s="78">
        <v>0</v>
      </c>
      <c r="AR218" s="78">
        <v>0</v>
      </c>
      <c r="AS218" s="78">
        <v>501</v>
      </c>
      <c r="AT218" s="78">
        <v>0</v>
      </c>
      <c r="AU218" s="400">
        <v>1.67963E-4</v>
      </c>
      <c r="AV218" s="400">
        <v>1.50531E-4</v>
      </c>
      <c r="AW218" s="78">
        <v>31888.02</v>
      </c>
      <c r="AX218" s="78">
        <v>0</v>
      </c>
      <c r="AY218" s="78">
        <v>5456.64</v>
      </c>
      <c r="AZ218" s="78">
        <v>97700.183331559296</v>
      </c>
      <c r="BA218" s="78">
        <v>6</v>
      </c>
      <c r="BB218" s="78">
        <v>7.68</v>
      </c>
      <c r="BC218" s="78">
        <v>7831</v>
      </c>
      <c r="BD218" s="78">
        <v>1</v>
      </c>
      <c r="BE218" s="78">
        <v>0</v>
      </c>
      <c r="BF218" s="78">
        <v>0</v>
      </c>
      <c r="BG218" s="78">
        <v>0</v>
      </c>
      <c r="BH218" s="78">
        <v>0</v>
      </c>
      <c r="BI218" s="78">
        <v>0</v>
      </c>
      <c r="BJ218" s="78">
        <v>0</v>
      </c>
      <c r="BK218" s="78">
        <v>0</v>
      </c>
      <c r="BL218" s="78">
        <v>0</v>
      </c>
      <c r="BM218" s="78">
        <v>1014.912</v>
      </c>
      <c r="BN218" s="78">
        <v>90</v>
      </c>
      <c r="BO218" s="78">
        <v>119</v>
      </c>
      <c r="BP218" s="78">
        <v>20980.080000000002</v>
      </c>
      <c r="BQ218" s="78">
        <v>7324.75</v>
      </c>
      <c r="BR218" s="78">
        <v>549.27590928725704</v>
      </c>
      <c r="BS218" s="78">
        <v>899</v>
      </c>
      <c r="BT218" s="78">
        <v>234.666666666667</v>
      </c>
      <c r="BU218" s="78">
        <v>158.333333333333</v>
      </c>
      <c r="BV218" s="78">
        <f t="shared" si="13"/>
        <v>1605.0000000000032</v>
      </c>
      <c r="BW218" s="78">
        <v>355</v>
      </c>
      <c r="BX218" s="78">
        <v>6027.53335043262</v>
      </c>
      <c r="BY218" s="402">
        <v>0.38400000000000001</v>
      </c>
      <c r="BZ218" s="78">
        <v>52758</v>
      </c>
      <c r="CA218" s="78">
        <v>5483</v>
      </c>
      <c r="CB218" s="78">
        <v>1081</v>
      </c>
      <c r="CC218" s="78">
        <v>992</v>
      </c>
      <c r="CD218" s="78">
        <v>921</v>
      </c>
      <c r="CE218" s="78">
        <v>490</v>
      </c>
      <c r="CF218" s="78">
        <v>263.49541533152598</v>
      </c>
      <c r="CG218" s="78">
        <v>161.769772409827</v>
      </c>
      <c r="CH218" s="78">
        <v>58.66287075836</v>
      </c>
      <c r="CI218" s="78">
        <v>923.60640000000001</v>
      </c>
      <c r="CJ218" s="78">
        <v>567.03679999999997</v>
      </c>
      <c r="CK218" s="78">
        <v>205.62559999999999</v>
      </c>
      <c r="CL218" s="78">
        <v>23549</v>
      </c>
    </row>
    <row r="219" spans="1:90" customFormat="1" x14ac:dyDescent="0.35">
      <c r="A219" s="72">
        <v>546</v>
      </c>
      <c r="B219" s="72" t="s">
        <v>179</v>
      </c>
      <c r="C219" s="72">
        <v>8</v>
      </c>
      <c r="D219" s="78">
        <v>14016000000</v>
      </c>
      <c r="E219" s="78">
        <v>2250150000</v>
      </c>
      <c r="F219" s="78">
        <v>2285500000</v>
      </c>
      <c r="G219" s="78">
        <v>125099</v>
      </c>
      <c r="H219" s="78">
        <v>1</v>
      </c>
      <c r="I219" s="78">
        <f t="shared" si="11"/>
        <v>2285.5</v>
      </c>
      <c r="J219" s="78">
        <v>19482</v>
      </c>
      <c r="K219" s="78">
        <v>19299</v>
      </c>
      <c r="L219" s="78">
        <v>5569</v>
      </c>
      <c r="M219" s="78">
        <v>18567</v>
      </c>
      <c r="N219" s="78">
        <f t="shared" si="12"/>
        <v>12240</v>
      </c>
      <c r="O219" s="78">
        <v>3384.6666666666702</v>
      </c>
      <c r="P219" s="78">
        <v>111</v>
      </c>
      <c r="Q219" s="78">
        <v>8440.6666666666697</v>
      </c>
      <c r="R219" s="78">
        <v>37323</v>
      </c>
      <c r="S219" s="78">
        <v>11985</v>
      </c>
      <c r="T219" s="78">
        <v>0</v>
      </c>
      <c r="U219" s="78">
        <v>3773</v>
      </c>
      <c r="V219" s="78">
        <v>69796</v>
      </c>
      <c r="W219" s="78">
        <v>148350</v>
      </c>
      <c r="X219" s="78">
        <v>159740</v>
      </c>
      <c r="Y219" s="78">
        <v>4954.76</v>
      </c>
      <c r="Z219" s="78">
        <v>8511.2000000000007</v>
      </c>
      <c r="AA219" s="78">
        <v>0</v>
      </c>
      <c r="AB219" s="399">
        <v>0</v>
      </c>
      <c r="AC219" s="399">
        <v>0</v>
      </c>
      <c r="AD219" s="78">
        <v>2186</v>
      </c>
      <c r="AE219" s="78">
        <v>2557.62</v>
      </c>
      <c r="AF219" s="78">
        <v>141</v>
      </c>
      <c r="AG219" s="78">
        <v>0</v>
      </c>
      <c r="AH219" s="78">
        <v>413</v>
      </c>
      <c r="AI219" s="78">
        <v>6</v>
      </c>
      <c r="AJ219" s="78">
        <v>474.95</v>
      </c>
      <c r="AK219" s="78">
        <v>7.5</v>
      </c>
      <c r="AL219" s="78">
        <v>418</v>
      </c>
      <c r="AM219" s="78">
        <v>63270</v>
      </c>
      <c r="AN219" s="78">
        <v>72760.5</v>
      </c>
      <c r="AO219" s="78">
        <v>0</v>
      </c>
      <c r="AP219" s="78">
        <v>0</v>
      </c>
      <c r="AQ219" s="78">
        <v>125</v>
      </c>
      <c r="AR219" s="78">
        <v>21850</v>
      </c>
      <c r="AS219" s="78">
        <v>17166</v>
      </c>
      <c r="AT219" s="78">
        <v>17166</v>
      </c>
      <c r="AU219" s="400">
        <v>1.1120166000000001E-2</v>
      </c>
      <c r="AV219" s="400">
        <v>1.0416431E-2</v>
      </c>
      <c r="AW219" s="78">
        <v>238211.55</v>
      </c>
      <c r="AX219" s="78">
        <v>23093.55</v>
      </c>
      <c r="AY219" s="78">
        <v>2514.33</v>
      </c>
      <c r="AZ219" s="78">
        <v>225618.49256983199</v>
      </c>
      <c r="BA219" s="78">
        <v>1</v>
      </c>
      <c r="BB219" s="78">
        <v>1.25</v>
      </c>
      <c r="BC219" s="78">
        <v>13751</v>
      </c>
      <c r="BD219" s="78">
        <v>1</v>
      </c>
      <c r="BE219" s="78">
        <v>0</v>
      </c>
      <c r="BF219" s="78">
        <v>0</v>
      </c>
      <c r="BG219" s="78">
        <v>0</v>
      </c>
      <c r="BH219" s="78">
        <v>0</v>
      </c>
      <c r="BI219" s="78">
        <v>0</v>
      </c>
      <c r="BJ219" s="78">
        <v>0</v>
      </c>
      <c r="BK219" s="78">
        <v>0</v>
      </c>
      <c r="BL219" s="78">
        <v>0</v>
      </c>
      <c r="BM219" s="78">
        <v>2746.962</v>
      </c>
      <c r="BN219" s="78">
        <v>295</v>
      </c>
      <c r="BO219" s="78">
        <v>352</v>
      </c>
      <c r="BP219" s="78">
        <v>39158.43</v>
      </c>
      <c r="BQ219" s="78">
        <v>7752.84</v>
      </c>
      <c r="BR219" s="78">
        <v>1093.1867100330801</v>
      </c>
      <c r="BS219" s="78">
        <v>1404</v>
      </c>
      <c r="BT219" s="78">
        <v>868.66666666666697</v>
      </c>
      <c r="BU219" s="78">
        <v>750</v>
      </c>
      <c r="BV219" s="78">
        <f t="shared" si="13"/>
        <v>5056</v>
      </c>
      <c r="BW219" s="78">
        <v>1576</v>
      </c>
      <c r="BX219" s="78">
        <v>15002.104371372099</v>
      </c>
      <c r="BY219" s="402">
        <v>7.3360000000000003</v>
      </c>
      <c r="BZ219" s="78">
        <v>105800</v>
      </c>
      <c r="CA219" s="78">
        <v>11578</v>
      </c>
      <c r="CB219" s="78">
        <v>2152</v>
      </c>
      <c r="CC219" s="78">
        <v>3508</v>
      </c>
      <c r="CD219" s="78">
        <v>2219</v>
      </c>
      <c r="CE219" s="78">
        <v>1221</v>
      </c>
      <c r="CF219" s="78">
        <v>1484.39260312945</v>
      </c>
      <c r="CG219" s="78">
        <v>775.95448079658604</v>
      </c>
      <c r="CH219" s="78">
        <v>303.92034139402602</v>
      </c>
      <c r="CI219" s="78">
        <v>3269.4652999999998</v>
      </c>
      <c r="CJ219" s="78">
        <v>1709.0871</v>
      </c>
      <c r="CK219" s="78">
        <v>669.40309999999999</v>
      </c>
      <c r="CL219" s="78">
        <v>52431</v>
      </c>
    </row>
    <row r="220" spans="1:90" customFormat="1" x14ac:dyDescent="0.35">
      <c r="A220" s="72">
        <v>547</v>
      </c>
      <c r="B220" s="72" t="s">
        <v>180</v>
      </c>
      <c r="C220" s="72">
        <v>8</v>
      </c>
      <c r="D220" s="78">
        <v>2992000000</v>
      </c>
      <c r="E220" s="78">
        <v>301700000</v>
      </c>
      <c r="F220" s="78">
        <v>307300000</v>
      </c>
      <c r="G220" s="78">
        <v>27056</v>
      </c>
      <c r="H220" s="78">
        <v>1</v>
      </c>
      <c r="I220" s="78">
        <f t="shared" si="11"/>
        <v>307.3</v>
      </c>
      <c r="J220" s="78">
        <v>5261</v>
      </c>
      <c r="K220" s="78">
        <v>6221</v>
      </c>
      <c r="L220" s="78">
        <v>2023</v>
      </c>
      <c r="M220" s="78">
        <v>2828</v>
      </c>
      <c r="N220" s="78">
        <f t="shared" si="12"/>
        <v>1607.5</v>
      </c>
      <c r="O220" s="78">
        <v>384.33333333333297</v>
      </c>
      <c r="P220" s="78">
        <v>24</v>
      </c>
      <c r="Q220" s="78">
        <v>1406.3333333333301</v>
      </c>
      <c r="R220" s="78">
        <v>4213</v>
      </c>
      <c r="S220" s="78">
        <v>1895</v>
      </c>
      <c r="T220" s="78">
        <v>0</v>
      </c>
      <c r="U220" s="78">
        <v>821</v>
      </c>
      <c r="V220" s="78">
        <v>12342</v>
      </c>
      <c r="W220" s="78">
        <v>22680</v>
      </c>
      <c r="X220" s="78">
        <v>6330</v>
      </c>
      <c r="Y220" s="78">
        <v>771.58</v>
      </c>
      <c r="Z220" s="78">
        <v>463.2</v>
      </c>
      <c r="AA220" s="78">
        <v>0</v>
      </c>
      <c r="AB220" s="399">
        <v>0</v>
      </c>
      <c r="AC220" s="399">
        <v>0</v>
      </c>
      <c r="AD220" s="78">
        <v>1151</v>
      </c>
      <c r="AE220" s="78">
        <v>1461.77</v>
      </c>
      <c r="AF220" s="78">
        <v>77</v>
      </c>
      <c r="AG220" s="78">
        <v>0</v>
      </c>
      <c r="AH220" s="78">
        <v>101</v>
      </c>
      <c r="AI220" s="78">
        <v>4</v>
      </c>
      <c r="AJ220" s="78">
        <v>125.24</v>
      </c>
      <c r="AK220" s="78">
        <v>5.16</v>
      </c>
      <c r="AL220" s="78">
        <v>105</v>
      </c>
      <c r="AM220" s="78">
        <v>12205</v>
      </c>
      <c r="AN220" s="78">
        <v>15134.2</v>
      </c>
      <c r="AO220" s="78">
        <v>0</v>
      </c>
      <c r="AP220" s="78">
        <v>0</v>
      </c>
      <c r="AQ220" s="78">
        <v>0</v>
      </c>
      <c r="AR220" s="78">
        <v>0</v>
      </c>
      <c r="AS220" s="78">
        <v>510</v>
      </c>
      <c r="AT220" s="78">
        <v>0</v>
      </c>
      <c r="AU220" s="400">
        <v>1.4603700000000001E-4</v>
      </c>
      <c r="AV220" s="400">
        <v>6.9047100000000001E-4</v>
      </c>
      <c r="AW220" s="78">
        <v>29804.61</v>
      </c>
      <c r="AX220" s="78">
        <v>0</v>
      </c>
      <c r="AY220" s="78">
        <v>1198.8800000000001</v>
      </c>
      <c r="AZ220" s="78">
        <v>58089.320130293199</v>
      </c>
      <c r="BA220" s="78">
        <v>2</v>
      </c>
      <c r="BB220" s="78">
        <v>2.58</v>
      </c>
      <c r="BC220" s="78">
        <v>2895</v>
      </c>
      <c r="BD220" s="78">
        <v>1</v>
      </c>
      <c r="BE220" s="78">
        <v>0</v>
      </c>
      <c r="BF220" s="78">
        <v>0</v>
      </c>
      <c r="BG220" s="78">
        <v>0</v>
      </c>
      <c r="BH220" s="78">
        <v>0</v>
      </c>
      <c r="BI220" s="78">
        <v>0</v>
      </c>
      <c r="BJ220" s="78">
        <v>0</v>
      </c>
      <c r="BK220" s="78">
        <v>0</v>
      </c>
      <c r="BL220" s="78">
        <v>0</v>
      </c>
      <c r="BM220" s="78">
        <v>410.358</v>
      </c>
      <c r="BN220" s="78">
        <v>48</v>
      </c>
      <c r="BO220" s="78">
        <v>41</v>
      </c>
      <c r="BP220" s="78">
        <v>9577.9599999999991</v>
      </c>
      <c r="BQ220" s="78">
        <v>2238</v>
      </c>
      <c r="BR220" s="78">
        <v>227.28990736792201</v>
      </c>
      <c r="BS220" s="78">
        <v>325</v>
      </c>
      <c r="BT220" s="78">
        <v>121.333333333333</v>
      </c>
      <c r="BU220" s="78">
        <v>95</v>
      </c>
      <c r="BV220" s="78">
        <f t="shared" si="13"/>
        <v>1021.999999999997</v>
      </c>
      <c r="BW220" s="78">
        <v>281</v>
      </c>
      <c r="BX220" s="78">
        <v>4697.7176406359504</v>
      </c>
      <c r="BY220" s="402">
        <v>0.505</v>
      </c>
      <c r="BZ220" s="78">
        <v>20835</v>
      </c>
      <c r="CA220" s="78">
        <v>3460</v>
      </c>
      <c r="CB220" s="78">
        <v>738</v>
      </c>
      <c r="CC220" s="78">
        <v>840</v>
      </c>
      <c r="CD220" s="78">
        <v>763</v>
      </c>
      <c r="CE220" s="78">
        <v>427</v>
      </c>
      <c r="CF220" s="78">
        <v>289.89000409668199</v>
      </c>
      <c r="CG220" s="78">
        <v>184.65505940188399</v>
      </c>
      <c r="CH220" s="78">
        <v>73.361532158951306</v>
      </c>
      <c r="CI220" s="78">
        <v>763.30679999999995</v>
      </c>
      <c r="CJ220" s="78">
        <v>486.21359999999999</v>
      </c>
      <c r="CK220" s="78">
        <v>193.16759999999999</v>
      </c>
      <c r="CL220" s="78">
        <v>40239</v>
      </c>
    </row>
    <row r="221" spans="1:90" customFormat="1" x14ac:dyDescent="0.35">
      <c r="A221" s="72">
        <v>1916</v>
      </c>
      <c r="B221" s="72" t="s">
        <v>181</v>
      </c>
      <c r="C221" s="72">
        <v>8</v>
      </c>
      <c r="D221" s="78">
        <v>8639200000</v>
      </c>
      <c r="E221" s="78">
        <v>620200000</v>
      </c>
      <c r="F221" s="78">
        <v>645400000</v>
      </c>
      <c r="G221" s="78">
        <v>76534</v>
      </c>
      <c r="H221" s="78">
        <v>2</v>
      </c>
      <c r="I221" s="78">
        <f t="shared" si="11"/>
        <v>645.4</v>
      </c>
      <c r="J221" s="78">
        <v>14857</v>
      </c>
      <c r="K221" s="78">
        <v>17567</v>
      </c>
      <c r="L221" s="78">
        <v>5831</v>
      </c>
      <c r="M221" s="78">
        <v>10710</v>
      </c>
      <c r="N221" s="78">
        <f t="shared" si="12"/>
        <v>6993.5</v>
      </c>
      <c r="O221" s="78">
        <v>1844.6666666666699</v>
      </c>
      <c r="P221" s="78">
        <v>35</v>
      </c>
      <c r="Q221" s="78">
        <v>4673.6666666666697</v>
      </c>
      <c r="R221" s="78">
        <v>15131</v>
      </c>
      <c r="S221" s="78">
        <v>6390</v>
      </c>
      <c r="T221" s="78">
        <v>0</v>
      </c>
      <c r="U221" s="78">
        <v>2947</v>
      </c>
      <c r="V221" s="78">
        <v>37647</v>
      </c>
      <c r="W221" s="78">
        <v>67660</v>
      </c>
      <c r="X221" s="78">
        <v>34360</v>
      </c>
      <c r="Y221" s="78">
        <v>602.91999999999996</v>
      </c>
      <c r="Z221" s="78">
        <v>3788</v>
      </c>
      <c r="AA221" s="78">
        <v>0</v>
      </c>
      <c r="AB221" s="399">
        <v>0</v>
      </c>
      <c r="AC221" s="399">
        <v>0</v>
      </c>
      <c r="AD221" s="78">
        <v>3252</v>
      </c>
      <c r="AE221" s="78">
        <v>3772.32</v>
      </c>
      <c r="AF221" s="78">
        <v>310</v>
      </c>
      <c r="AG221" s="78">
        <v>0</v>
      </c>
      <c r="AH221" s="78">
        <v>236</v>
      </c>
      <c r="AI221" s="78">
        <v>17</v>
      </c>
      <c r="AJ221" s="78">
        <v>250.16</v>
      </c>
      <c r="AK221" s="78">
        <v>20.91</v>
      </c>
      <c r="AL221" s="78">
        <v>253</v>
      </c>
      <c r="AM221" s="78">
        <v>37165</v>
      </c>
      <c r="AN221" s="78">
        <v>39394.9</v>
      </c>
      <c r="AO221" s="78">
        <v>0</v>
      </c>
      <c r="AP221" s="78">
        <v>0</v>
      </c>
      <c r="AQ221" s="78">
        <v>0</v>
      </c>
      <c r="AR221" s="78">
        <v>0</v>
      </c>
      <c r="AS221" s="78">
        <v>6047</v>
      </c>
      <c r="AT221" s="78">
        <v>0</v>
      </c>
      <c r="AU221" s="400">
        <v>3.6292170000000001E-3</v>
      </c>
      <c r="AV221" s="400">
        <v>6.4129119999999998E-3</v>
      </c>
      <c r="AW221" s="78">
        <v>108112.985</v>
      </c>
      <c r="AX221" s="78">
        <v>0</v>
      </c>
      <c r="AY221" s="78">
        <v>3032.24</v>
      </c>
      <c r="AZ221" s="78">
        <v>99446.930263896706</v>
      </c>
      <c r="BA221" s="78">
        <v>4</v>
      </c>
      <c r="BB221" s="78">
        <v>4.92</v>
      </c>
      <c r="BC221" s="78">
        <v>7909</v>
      </c>
      <c r="BD221" s="78">
        <v>1</v>
      </c>
      <c r="BE221" s="78">
        <v>0</v>
      </c>
      <c r="BF221" s="78">
        <v>0</v>
      </c>
      <c r="BG221" s="78">
        <v>0</v>
      </c>
      <c r="BH221" s="78">
        <v>0</v>
      </c>
      <c r="BI221" s="78">
        <v>0</v>
      </c>
      <c r="BJ221" s="78">
        <v>0</v>
      </c>
      <c r="BK221" s="78">
        <v>0</v>
      </c>
      <c r="BL221" s="78">
        <v>0</v>
      </c>
      <c r="BM221" s="78">
        <v>1812.5540000000001</v>
      </c>
      <c r="BN221" s="78">
        <v>97</v>
      </c>
      <c r="BO221" s="78">
        <v>160</v>
      </c>
      <c r="BP221" s="78">
        <v>29011.17</v>
      </c>
      <c r="BQ221" s="78">
        <v>6633.9</v>
      </c>
      <c r="BR221" s="78">
        <v>511.96363332756499</v>
      </c>
      <c r="BS221" s="78">
        <v>1135</v>
      </c>
      <c r="BT221" s="78">
        <v>532</v>
      </c>
      <c r="BU221" s="78">
        <v>479.66666666666703</v>
      </c>
      <c r="BV221" s="78">
        <f t="shared" si="13"/>
        <v>2829</v>
      </c>
      <c r="BW221" s="78">
        <v>710</v>
      </c>
      <c r="BX221" s="78">
        <v>12374.307325157401</v>
      </c>
      <c r="BY221" s="402">
        <v>4.4660000000000002</v>
      </c>
      <c r="BZ221" s="78">
        <v>58967</v>
      </c>
      <c r="CA221" s="78">
        <v>9287</v>
      </c>
      <c r="CB221" s="78">
        <v>2449</v>
      </c>
      <c r="CC221" s="78">
        <v>2773</v>
      </c>
      <c r="CD221" s="78">
        <v>2300</v>
      </c>
      <c r="CE221" s="78">
        <v>1327</v>
      </c>
      <c r="CF221" s="78">
        <v>1158.7776940670001</v>
      </c>
      <c r="CG221" s="78">
        <v>782.99350195075999</v>
      </c>
      <c r="CH221" s="78">
        <v>344.92359747073903</v>
      </c>
      <c r="CI221" s="78">
        <v>2135.5944</v>
      </c>
      <c r="CJ221" s="78">
        <v>1443.0347999999999</v>
      </c>
      <c r="CK221" s="78">
        <v>635.68439999999998</v>
      </c>
      <c r="CL221" s="78">
        <v>107836</v>
      </c>
    </row>
    <row r="222" spans="1:90" customFormat="1" x14ac:dyDescent="0.35">
      <c r="A222" s="72">
        <v>553</v>
      </c>
      <c r="B222" s="72" t="s">
        <v>186</v>
      </c>
      <c r="C222" s="72">
        <v>8</v>
      </c>
      <c r="D222" s="78">
        <v>2533600000</v>
      </c>
      <c r="E222" s="78">
        <v>408800000</v>
      </c>
      <c r="F222" s="78">
        <v>416850000</v>
      </c>
      <c r="G222" s="78">
        <v>22955</v>
      </c>
      <c r="H222" s="78">
        <v>2</v>
      </c>
      <c r="I222" s="78">
        <f t="shared" si="11"/>
        <v>416.85</v>
      </c>
      <c r="J222" s="78">
        <v>4359</v>
      </c>
      <c r="K222" s="78">
        <v>5230</v>
      </c>
      <c r="L222" s="78">
        <v>1703</v>
      </c>
      <c r="M222" s="78">
        <v>2905</v>
      </c>
      <c r="N222" s="78">
        <f t="shared" si="12"/>
        <v>1868.6</v>
      </c>
      <c r="O222" s="78">
        <v>237</v>
      </c>
      <c r="P222" s="78">
        <v>14</v>
      </c>
      <c r="Q222" s="78">
        <v>1041</v>
      </c>
      <c r="R222" s="78">
        <v>3398</v>
      </c>
      <c r="S222" s="78">
        <v>510</v>
      </c>
      <c r="T222" s="78">
        <v>0</v>
      </c>
      <c r="U222" s="78">
        <v>706</v>
      </c>
      <c r="V222" s="78">
        <v>10370</v>
      </c>
      <c r="W222" s="78">
        <v>21200</v>
      </c>
      <c r="X222" s="78">
        <v>5440</v>
      </c>
      <c r="Y222" s="78">
        <v>298.98</v>
      </c>
      <c r="Z222" s="78">
        <v>1186.4000000000001</v>
      </c>
      <c r="AA222" s="78">
        <v>0</v>
      </c>
      <c r="AB222" s="399">
        <v>0</v>
      </c>
      <c r="AC222" s="399">
        <v>0</v>
      </c>
      <c r="AD222" s="78">
        <v>1569</v>
      </c>
      <c r="AE222" s="78">
        <v>1725.9</v>
      </c>
      <c r="AF222" s="78">
        <v>36</v>
      </c>
      <c r="AG222" s="78">
        <v>0</v>
      </c>
      <c r="AH222" s="78">
        <v>116</v>
      </c>
      <c r="AI222" s="78">
        <v>17</v>
      </c>
      <c r="AJ222" s="78">
        <v>132.24</v>
      </c>
      <c r="AK222" s="78">
        <v>18.190000000000001</v>
      </c>
      <c r="AL222" s="78">
        <v>133</v>
      </c>
      <c r="AM222" s="78">
        <v>10364</v>
      </c>
      <c r="AN222" s="78">
        <v>11814.96</v>
      </c>
      <c r="AO222" s="78">
        <v>0</v>
      </c>
      <c r="AP222" s="78">
        <v>0</v>
      </c>
      <c r="AQ222" s="78">
        <v>0</v>
      </c>
      <c r="AR222" s="78">
        <v>0</v>
      </c>
      <c r="AS222" s="78">
        <v>1325</v>
      </c>
      <c r="AT222" s="78">
        <v>0</v>
      </c>
      <c r="AU222" s="400">
        <v>2.9625000000000002E-4</v>
      </c>
      <c r="AV222" s="400">
        <v>4.2545499999999998E-4</v>
      </c>
      <c r="AW222" s="78">
        <v>17038.416000000001</v>
      </c>
      <c r="AX222" s="78">
        <v>0</v>
      </c>
      <c r="AY222" s="78">
        <v>1183.5999999999999</v>
      </c>
      <c r="AZ222" s="78">
        <v>20577.977570093499</v>
      </c>
      <c r="BA222" s="78">
        <v>3</v>
      </c>
      <c r="BB222" s="78">
        <v>3.21</v>
      </c>
      <c r="BC222" s="78">
        <v>2643</v>
      </c>
      <c r="BD222" s="78">
        <v>1</v>
      </c>
      <c r="BE222" s="78">
        <v>0</v>
      </c>
      <c r="BF222" s="78">
        <v>0</v>
      </c>
      <c r="BG222" s="78">
        <v>0</v>
      </c>
      <c r="BH222" s="78">
        <v>0</v>
      </c>
      <c r="BI222" s="78">
        <v>0</v>
      </c>
      <c r="BJ222" s="78">
        <v>0</v>
      </c>
      <c r="BK222" s="78">
        <v>0</v>
      </c>
      <c r="BL222" s="78">
        <v>0</v>
      </c>
      <c r="BM222" s="78">
        <v>366.15600000000001</v>
      </c>
      <c r="BN222" s="78">
        <v>55</v>
      </c>
      <c r="BO222" s="78">
        <v>29</v>
      </c>
      <c r="BP222" s="78">
        <v>7465.71</v>
      </c>
      <c r="BQ222" s="78">
        <v>1698.78</v>
      </c>
      <c r="BR222" s="78">
        <v>140.97363335204901</v>
      </c>
      <c r="BS222" s="78">
        <v>262</v>
      </c>
      <c r="BT222" s="78">
        <v>65.6666666666667</v>
      </c>
      <c r="BU222" s="78">
        <v>54.3333333333333</v>
      </c>
      <c r="BV222" s="78">
        <f t="shared" si="13"/>
        <v>804</v>
      </c>
      <c r="BW222" s="78">
        <v>167</v>
      </c>
      <c r="BX222" s="78">
        <v>3677.8339912280699</v>
      </c>
      <c r="BY222" s="402">
        <v>0.13800000000000001</v>
      </c>
      <c r="BZ222" s="78">
        <v>17725</v>
      </c>
      <c r="CA222" s="78">
        <v>2902</v>
      </c>
      <c r="CB222" s="78">
        <v>625</v>
      </c>
      <c r="CC222" s="78">
        <v>633</v>
      </c>
      <c r="CD222" s="78">
        <v>606</v>
      </c>
      <c r="CE222" s="78">
        <v>331</v>
      </c>
      <c r="CF222" s="78">
        <v>323.27284832111098</v>
      </c>
      <c r="CG222" s="78">
        <v>210.406812041683</v>
      </c>
      <c r="CH222" s="78">
        <v>84.379081435739096</v>
      </c>
      <c r="CI222" s="78">
        <v>724.55129999999997</v>
      </c>
      <c r="CJ222" s="78">
        <v>471.5847</v>
      </c>
      <c r="CK222" s="78">
        <v>189.11879999999999</v>
      </c>
      <c r="CL222" s="78">
        <v>0</v>
      </c>
    </row>
    <row r="223" spans="1:90" customFormat="1" x14ac:dyDescent="0.35">
      <c r="A223" s="72">
        <v>556</v>
      </c>
      <c r="B223" s="72" t="s">
        <v>194</v>
      </c>
      <c r="C223" s="72">
        <v>8</v>
      </c>
      <c r="D223" s="78">
        <v>2718800000</v>
      </c>
      <c r="E223" s="78">
        <v>302050000</v>
      </c>
      <c r="F223" s="78">
        <v>303800000</v>
      </c>
      <c r="G223" s="78">
        <v>33213</v>
      </c>
      <c r="H223" s="78">
        <v>1</v>
      </c>
      <c r="I223" s="78">
        <f t="shared" si="11"/>
        <v>303.8</v>
      </c>
      <c r="J223" s="78">
        <v>6362</v>
      </c>
      <c r="K223" s="78">
        <v>7658</v>
      </c>
      <c r="L223" s="78">
        <v>2408</v>
      </c>
      <c r="M223" s="78">
        <v>4646</v>
      </c>
      <c r="N223" s="78">
        <f t="shared" si="12"/>
        <v>3122.3999999999996</v>
      </c>
      <c r="O223" s="78">
        <v>794</v>
      </c>
      <c r="P223" s="78">
        <v>33</v>
      </c>
      <c r="Q223" s="78">
        <v>2285</v>
      </c>
      <c r="R223" s="78">
        <v>5158</v>
      </c>
      <c r="S223" s="78">
        <v>5115</v>
      </c>
      <c r="T223" s="78">
        <v>0</v>
      </c>
      <c r="U223" s="78">
        <v>1160</v>
      </c>
      <c r="V223" s="78">
        <v>15305</v>
      </c>
      <c r="W223" s="78">
        <v>31570</v>
      </c>
      <c r="X223" s="78">
        <v>12670</v>
      </c>
      <c r="Y223" s="78">
        <v>110.88</v>
      </c>
      <c r="Z223" s="78">
        <v>738.4</v>
      </c>
      <c r="AA223" s="78">
        <v>0</v>
      </c>
      <c r="AB223" s="399">
        <v>0</v>
      </c>
      <c r="AC223" s="399">
        <v>0</v>
      </c>
      <c r="AD223" s="78">
        <v>845</v>
      </c>
      <c r="AE223" s="78">
        <v>1047.8</v>
      </c>
      <c r="AF223" s="78">
        <v>167</v>
      </c>
      <c r="AG223" s="78">
        <v>0</v>
      </c>
      <c r="AH223" s="78">
        <v>109</v>
      </c>
      <c r="AI223" s="78">
        <v>3</v>
      </c>
      <c r="AJ223" s="78">
        <v>135.16</v>
      </c>
      <c r="AK223" s="78">
        <v>3.66</v>
      </c>
      <c r="AL223" s="78">
        <v>112</v>
      </c>
      <c r="AM223" s="78">
        <v>15236</v>
      </c>
      <c r="AN223" s="78">
        <v>18892.64</v>
      </c>
      <c r="AO223" s="78">
        <v>14</v>
      </c>
      <c r="AP223" s="78">
        <v>0</v>
      </c>
      <c r="AQ223" s="78">
        <v>0</v>
      </c>
      <c r="AR223" s="78">
        <v>3750</v>
      </c>
      <c r="AS223" s="78">
        <v>2422</v>
      </c>
      <c r="AT223" s="78">
        <v>2422</v>
      </c>
      <c r="AU223" s="400">
        <v>4.9686200000000004E-4</v>
      </c>
      <c r="AV223" s="400">
        <v>2.250578E-3</v>
      </c>
      <c r="AW223" s="78">
        <v>30258.696</v>
      </c>
      <c r="AX223" s="78">
        <v>0</v>
      </c>
      <c r="AY223" s="78">
        <v>674.56</v>
      </c>
      <c r="AZ223" s="78">
        <v>43056.125454545399</v>
      </c>
      <c r="BA223" s="78">
        <v>1</v>
      </c>
      <c r="BB223" s="78">
        <v>1.22</v>
      </c>
      <c r="BC223" s="78">
        <v>2904</v>
      </c>
      <c r="BD223" s="78">
        <v>1</v>
      </c>
      <c r="BE223" s="78">
        <v>0</v>
      </c>
      <c r="BF223" s="78">
        <v>0</v>
      </c>
      <c r="BG223" s="78">
        <v>0</v>
      </c>
      <c r="BH223" s="78">
        <v>0</v>
      </c>
      <c r="BI223" s="78">
        <v>0</v>
      </c>
      <c r="BJ223" s="78">
        <v>0</v>
      </c>
      <c r="BK223" s="78">
        <v>0</v>
      </c>
      <c r="BL223" s="78">
        <v>0</v>
      </c>
      <c r="BM223" s="78">
        <v>1017.92</v>
      </c>
      <c r="BN223" s="78">
        <v>141</v>
      </c>
      <c r="BO223" s="78">
        <v>140</v>
      </c>
      <c r="BP223" s="78">
        <v>10037.94</v>
      </c>
      <c r="BQ223" s="78">
        <v>2258.66</v>
      </c>
      <c r="BR223" s="78">
        <v>219.28627694728601</v>
      </c>
      <c r="BS223" s="78">
        <v>488</v>
      </c>
      <c r="BT223" s="78">
        <v>291</v>
      </c>
      <c r="BU223" s="78">
        <v>227.333333333333</v>
      </c>
      <c r="BV223" s="78">
        <f t="shared" si="13"/>
        <v>1491</v>
      </c>
      <c r="BW223" s="78">
        <v>376</v>
      </c>
      <c r="BX223" s="78">
        <v>5871.5086340332</v>
      </c>
      <c r="BY223" s="402">
        <v>2.3140000000000001</v>
      </c>
      <c r="BZ223" s="78">
        <v>25555</v>
      </c>
      <c r="CA223" s="78">
        <v>4460</v>
      </c>
      <c r="CB223" s="78">
        <v>790</v>
      </c>
      <c r="CC223" s="78">
        <v>944</v>
      </c>
      <c r="CD223" s="78">
        <v>829</v>
      </c>
      <c r="CE223" s="78">
        <v>405</v>
      </c>
      <c r="CF223" s="78">
        <v>572.79522184300299</v>
      </c>
      <c r="CG223" s="78">
        <v>329.94644263586201</v>
      </c>
      <c r="CH223" s="78">
        <v>117.633079548438</v>
      </c>
      <c r="CI223" s="78">
        <v>1288.7745</v>
      </c>
      <c r="CJ223" s="78">
        <v>742.37099999999998</v>
      </c>
      <c r="CK223" s="78">
        <v>264.67140000000001</v>
      </c>
      <c r="CL223" s="78">
        <v>27556</v>
      </c>
    </row>
    <row r="224" spans="1:90" customFormat="1" x14ac:dyDescent="0.35">
      <c r="A224" s="72">
        <v>1842</v>
      </c>
      <c r="B224" s="72" t="s">
        <v>202</v>
      </c>
      <c r="C224" s="72">
        <v>8</v>
      </c>
      <c r="D224" s="78">
        <v>2221200000</v>
      </c>
      <c r="E224" s="78">
        <v>330750000</v>
      </c>
      <c r="F224" s="78">
        <v>341950000</v>
      </c>
      <c r="G224" s="78">
        <v>19341</v>
      </c>
      <c r="H224" s="78">
        <v>3</v>
      </c>
      <c r="I224" s="78">
        <f t="shared" si="11"/>
        <v>341.95</v>
      </c>
      <c r="J224" s="78">
        <v>4049</v>
      </c>
      <c r="K224" s="78">
        <v>3672</v>
      </c>
      <c r="L224" s="78">
        <v>1172</v>
      </c>
      <c r="M224" s="78">
        <v>1576</v>
      </c>
      <c r="N224" s="78">
        <f t="shared" si="12"/>
        <v>779.9</v>
      </c>
      <c r="O224" s="78">
        <v>143.666666666667</v>
      </c>
      <c r="P224" s="78">
        <v>10</v>
      </c>
      <c r="Q224" s="78">
        <v>639.66666666666697</v>
      </c>
      <c r="R224" s="78">
        <v>2088</v>
      </c>
      <c r="S224" s="78">
        <v>655</v>
      </c>
      <c r="T224" s="78">
        <v>0</v>
      </c>
      <c r="U224" s="78">
        <v>460</v>
      </c>
      <c r="V224" s="78">
        <v>7955</v>
      </c>
      <c r="W224" s="78">
        <v>9810</v>
      </c>
      <c r="X224" s="78">
        <v>610</v>
      </c>
      <c r="Y224" s="78">
        <v>0</v>
      </c>
      <c r="Z224" s="78">
        <v>0</v>
      </c>
      <c r="AA224" s="78">
        <v>0</v>
      </c>
      <c r="AB224" s="399">
        <v>0</v>
      </c>
      <c r="AC224" s="399">
        <v>0</v>
      </c>
      <c r="AD224" s="78">
        <v>4722</v>
      </c>
      <c r="AE224" s="78">
        <v>6280.26</v>
      </c>
      <c r="AF224" s="78">
        <v>216</v>
      </c>
      <c r="AG224" s="78">
        <v>0</v>
      </c>
      <c r="AH224" s="78">
        <v>81</v>
      </c>
      <c r="AI224" s="78">
        <v>34</v>
      </c>
      <c r="AJ224" s="78">
        <v>100.44</v>
      </c>
      <c r="AK224" s="78">
        <v>45.9</v>
      </c>
      <c r="AL224" s="78">
        <v>115</v>
      </c>
      <c r="AM224" s="78">
        <v>7961</v>
      </c>
      <c r="AN224" s="78">
        <v>9871.64</v>
      </c>
      <c r="AO224" s="78">
        <v>0</v>
      </c>
      <c r="AP224" s="78">
        <v>0</v>
      </c>
      <c r="AQ224" s="78">
        <v>0</v>
      </c>
      <c r="AR224" s="78">
        <v>0</v>
      </c>
      <c r="AS224" s="78">
        <v>0</v>
      </c>
      <c r="AT224" s="78">
        <v>0</v>
      </c>
      <c r="AU224" s="400">
        <v>1.6998E-4</v>
      </c>
      <c r="AV224" s="400">
        <v>6.9238000000000004E-5</v>
      </c>
      <c r="AW224" s="78">
        <v>10540.364</v>
      </c>
      <c r="AX224" s="78">
        <v>0</v>
      </c>
      <c r="AY224" s="78">
        <v>4055.17</v>
      </c>
      <c r="AZ224" s="78">
        <v>37783.062594167699</v>
      </c>
      <c r="BA224" s="78">
        <v>12</v>
      </c>
      <c r="BB224" s="78">
        <v>16.2</v>
      </c>
      <c r="BC224" s="78">
        <v>2304</v>
      </c>
      <c r="BD224" s="78">
        <v>1</v>
      </c>
      <c r="BE224" s="78">
        <v>0</v>
      </c>
      <c r="BF224" s="78">
        <v>0</v>
      </c>
      <c r="BG224" s="78">
        <v>0</v>
      </c>
      <c r="BH224" s="78">
        <v>0</v>
      </c>
      <c r="BI224" s="78">
        <v>0</v>
      </c>
      <c r="BJ224" s="78">
        <v>0</v>
      </c>
      <c r="BK224" s="78">
        <v>0</v>
      </c>
      <c r="BL224" s="78">
        <v>0</v>
      </c>
      <c r="BM224" s="78">
        <v>202.45</v>
      </c>
      <c r="BN224" s="78">
        <v>32</v>
      </c>
      <c r="BO224" s="78">
        <v>22</v>
      </c>
      <c r="BP224" s="78">
        <v>6813.84</v>
      </c>
      <c r="BQ224" s="78">
        <v>1857.24</v>
      </c>
      <c r="BR224" s="78">
        <v>104.72860397268801</v>
      </c>
      <c r="BS224" s="78">
        <v>196</v>
      </c>
      <c r="BT224" s="78">
        <v>47.3333333333333</v>
      </c>
      <c r="BU224" s="78">
        <v>30.3333333333333</v>
      </c>
      <c r="BV224" s="78">
        <f t="shared" si="13"/>
        <v>496</v>
      </c>
      <c r="BW224" s="78">
        <v>115</v>
      </c>
      <c r="BX224" s="78">
        <v>2079.7035882626001</v>
      </c>
      <c r="BY224" s="402">
        <v>0.1</v>
      </c>
      <c r="BZ224" s="78">
        <v>15669</v>
      </c>
      <c r="CA224" s="78">
        <v>2025</v>
      </c>
      <c r="CB224" s="78">
        <v>475</v>
      </c>
      <c r="CC224" s="78">
        <v>342</v>
      </c>
      <c r="CD224" s="78">
        <v>351</v>
      </c>
      <c r="CE224" s="78">
        <v>215</v>
      </c>
      <c r="CF224" s="78">
        <v>119.713327471423</v>
      </c>
      <c r="CG224" s="78">
        <v>73.9636352217058</v>
      </c>
      <c r="CH224" s="78">
        <v>34.2877779173471</v>
      </c>
      <c r="CI224" s="78">
        <v>348.0256</v>
      </c>
      <c r="CJ224" s="78">
        <v>215.024</v>
      </c>
      <c r="CK224" s="78">
        <v>99.68</v>
      </c>
      <c r="CL224" s="78">
        <v>0</v>
      </c>
    </row>
    <row r="225" spans="1:90" customFormat="1" x14ac:dyDescent="0.35">
      <c r="A225" s="72">
        <v>1978</v>
      </c>
      <c r="B225" s="72" t="s">
        <v>206</v>
      </c>
      <c r="C225" s="72">
        <v>8</v>
      </c>
      <c r="D225" s="78">
        <v>3902400000</v>
      </c>
      <c r="E225" s="78">
        <v>623000000</v>
      </c>
      <c r="F225" s="78">
        <v>676200000</v>
      </c>
      <c r="G225" s="78">
        <v>43909</v>
      </c>
      <c r="H225" s="78">
        <v>12</v>
      </c>
      <c r="I225" s="78">
        <f t="shared" si="11"/>
        <v>676.2</v>
      </c>
      <c r="J225" s="78">
        <v>10034</v>
      </c>
      <c r="K225" s="78">
        <v>8301</v>
      </c>
      <c r="L225" s="78">
        <v>2542</v>
      </c>
      <c r="M225" s="78">
        <v>3931</v>
      </c>
      <c r="N225" s="78">
        <f t="shared" si="12"/>
        <v>2201.6999999999998</v>
      </c>
      <c r="O225" s="78">
        <v>329</v>
      </c>
      <c r="P225" s="78">
        <v>53</v>
      </c>
      <c r="Q225" s="78">
        <v>1566</v>
      </c>
      <c r="R225" s="78">
        <v>4316</v>
      </c>
      <c r="S225" s="78">
        <v>630</v>
      </c>
      <c r="T225" s="78">
        <v>0</v>
      </c>
      <c r="U225" s="78">
        <v>869</v>
      </c>
      <c r="V225" s="78">
        <v>17125</v>
      </c>
      <c r="W225" s="78">
        <v>28680</v>
      </c>
      <c r="X225" s="78">
        <v>1420</v>
      </c>
      <c r="Y225" s="78">
        <v>0</v>
      </c>
      <c r="Z225" s="78">
        <v>0</v>
      </c>
      <c r="AA225" s="78">
        <v>0</v>
      </c>
      <c r="AB225" s="399">
        <v>0</v>
      </c>
      <c r="AC225" s="399">
        <v>0</v>
      </c>
      <c r="AD225" s="78">
        <v>18146</v>
      </c>
      <c r="AE225" s="78">
        <v>26674.62</v>
      </c>
      <c r="AF225" s="78">
        <v>1012</v>
      </c>
      <c r="AG225" s="78">
        <v>0</v>
      </c>
      <c r="AH225" s="78">
        <v>241</v>
      </c>
      <c r="AI225" s="78">
        <v>116</v>
      </c>
      <c r="AJ225" s="78">
        <v>344.63</v>
      </c>
      <c r="AK225" s="78">
        <v>171.68</v>
      </c>
      <c r="AL225" s="78">
        <v>356</v>
      </c>
      <c r="AM225" s="78">
        <v>17293</v>
      </c>
      <c r="AN225" s="78">
        <v>24728.99</v>
      </c>
      <c r="AO225" s="78">
        <v>5</v>
      </c>
      <c r="AP225" s="78">
        <v>0</v>
      </c>
      <c r="AQ225" s="78">
        <v>0</v>
      </c>
      <c r="AR225" s="78">
        <v>2450</v>
      </c>
      <c r="AS225" s="78">
        <v>892</v>
      </c>
      <c r="AT225" s="78">
        <v>0</v>
      </c>
      <c r="AU225" s="400">
        <v>5.0770299999999997E-4</v>
      </c>
      <c r="AV225" s="400">
        <v>1.75212E-4</v>
      </c>
      <c r="AW225" s="78">
        <v>6761.5630000000001</v>
      </c>
      <c r="AX225" s="78">
        <v>0</v>
      </c>
      <c r="AY225" s="78">
        <v>15495.27</v>
      </c>
      <c r="AZ225" s="78">
        <v>100087.423249295</v>
      </c>
      <c r="BA225" s="78">
        <v>28</v>
      </c>
      <c r="BB225" s="78">
        <v>41.44</v>
      </c>
      <c r="BC225" s="78">
        <v>5208</v>
      </c>
      <c r="BD225" s="78">
        <v>1</v>
      </c>
      <c r="BE225" s="78">
        <v>0</v>
      </c>
      <c r="BF225" s="78">
        <v>0</v>
      </c>
      <c r="BG225" s="78">
        <v>0</v>
      </c>
      <c r="BH225" s="78">
        <v>0</v>
      </c>
      <c r="BI225" s="78">
        <v>0</v>
      </c>
      <c r="BJ225" s="78">
        <v>0</v>
      </c>
      <c r="BK225" s="78">
        <v>0</v>
      </c>
      <c r="BL225" s="78">
        <v>0</v>
      </c>
      <c r="BM225" s="78">
        <v>511.73399999999998</v>
      </c>
      <c r="BN225" s="78">
        <v>245</v>
      </c>
      <c r="BO225" s="78">
        <v>76</v>
      </c>
      <c r="BP225" s="78">
        <v>13100.1</v>
      </c>
      <c r="BQ225" s="78">
        <v>3654.12</v>
      </c>
      <c r="BR225" s="78">
        <v>471.44387227990302</v>
      </c>
      <c r="BS225" s="78">
        <v>355</v>
      </c>
      <c r="BT225" s="78">
        <v>121.666666666667</v>
      </c>
      <c r="BU225" s="78">
        <v>84.6666666666667</v>
      </c>
      <c r="BV225" s="78">
        <f t="shared" si="13"/>
        <v>1237</v>
      </c>
      <c r="BW225" s="78">
        <v>337</v>
      </c>
      <c r="BX225" s="78">
        <v>5872.8612877924197</v>
      </c>
      <c r="BY225" s="402">
        <v>0.222</v>
      </c>
      <c r="BZ225" s="78">
        <v>35608</v>
      </c>
      <c r="CA225" s="78">
        <v>4934</v>
      </c>
      <c r="CB225" s="78">
        <v>825</v>
      </c>
      <c r="CC225" s="78">
        <v>818</v>
      </c>
      <c r="CD225" s="78">
        <v>779</v>
      </c>
      <c r="CE225" s="78">
        <v>437</v>
      </c>
      <c r="CF225" s="78">
        <v>375.84099924825102</v>
      </c>
      <c r="CG225" s="78">
        <v>215.42106054472899</v>
      </c>
      <c r="CH225" s="78">
        <v>78.300208176718897</v>
      </c>
      <c r="CI225" s="78">
        <v>1081.0224000000001</v>
      </c>
      <c r="CJ225" s="78">
        <v>619.61040000000003</v>
      </c>
      <c r="CK225" s="78">
        <v>225.21299999999999</v>
      </c>
      <c r="CL225" s="78">
        <v>2920</v>
      </c>
    </row>
    <row r="226" spans="1:90" customFormat="1" x14ac:dyDescent="0.35">
      <c r="A226" s="72">
        <v>569</v>
      </c>
      <c r="B226" s="72" t="s">
        <v>213</v>
      </c>
      <c r="C226" s="72">
        <v>8</v>
      </c>
      <c r="D226" s="78">
        <v>3025200000</v>
      </c>
      <c r="E226" s="78">
        <v>376250000</v>
      </c>
      <c r="F226" s="78">
        <v>401800000</v>
      </c>
      <c r="G226" s="78">
        <v>28811</v>
      </c>
      <c r="H226" s="78">
        <v>4</v>
      </c>
      <c r="I226" s="78">
        <f t="shared" si="11"/>
        <v>401.8</v>
      </c>
      <c r="J226" s="78">
        <v>5512</v>
      </c>
      <c r="K226" s="78">
        <v>5950</v>
      </c>
      <c r="L226" s="78">
        <v>1854</v>
      </c>
      <c r="M226" s="78">
        <v>2832</v>
      </c>
      <c r="N226" s="78">
        <f t="shared" si="12"/>
        <v>1618.5</v>
      </c>
      <c r="O226" s="78">
        <v>230.333333333333</v>
      </c>
      <c r="P226" s="78">
        <v>22</v>
      </c>
      <c r="Q226" s="78">
        <v>1363.3333333333301</v>
      </c>
      <c r="R226" s="78">
        <v>3252</v>
      </c>
      <c r="S226" s="78">
        <v>770</v>
      </c>
      <c r="T226" s="78">
        <v>0</v>
      </c>
      <c r="U226" s="78">
        <v>678</v>
      </c>
      <c r="V226" s="78">
        <v>12435</v>
      </c>
      <c r="W226" s="78">
        <v>22110</v>
      </c>
      <c r="X226" s="78">
        <v>1990</v>
      </c>
      <c r="Y226" s="78">
        <v>0</v>
      </c>
      <c r="Z226" s="78">
        <v>200.8</v>
      </c>
      <c r="AA226" s="78">
        <v>0</v>
      </c>
      <c r="AB226" s="399">
        <v>0</v>
      </c>
      <c r="AC226" s="399">
        <v>0</v>
      </c>
      <c r="AD226" s="78">
        <v>7807</v>
      </c>
      <c r="AE226" s="78">
        <v>10461.379999999999</v>
      </c>
      <c r="AF226" s="78">
        <v>1310</v>
      </c>
      <c r="AG226" s="78">
        <v>0</v>
      </c>
      <c r="AH226" s="78">
        <v>154</v>
      </c>
      <c r="AI226" s="78">
        <v>57</v>
      </c>
      <c r="AJ226" s="78">
        <v>201.74</v>
      </c>
      <c r="AK226" s="78">
        <v>76.95</v>
      </c>
      <c r="AL226" s="78">
        <v>211</v>
      </c>
      <c r="AM226" s="78">
        <v>12135</v>
      </c>
      <c r="AN226" s="78">
        <v>15896.85</v>
      </c>
      <c r="AO226" s="78">
        <v>0</v>
      </c>
      <c r="AP226" s="78">
        <v>0</v>
      </c>
      <c r="AQ226" s="78">
        <v>0</v>
      </c>
      <c r="AR226" s="78">
        <v>0</v>
      </c>
      <c r="AS226" s="78">
        <v>0</v>
      </c>
      <c r="AT226" s="78">
        <v>0</v>
      </c>
      <c r="AU226" s="400">
        <v>1.5621100000000001E-4</v>
      </c>
      <c r="AV226" s="400">
        <v>1.2901300000000001E-4</v>
      </c>
      <c r="AW226" s="78">
        <v>6103.9049999999997</v>
      </c>
      <c r="AX226" s="78">
        <v>0</v>
      </c>
      <c r="AY226" s="78">
        <v>13203.02</v>
      </c>
      <c r="AZ226" s="78">
        <v>106969.930803993</v>
      </c>
      <c r="BA226" s="78">
        <v>15</v>
      </c>
      <c r="BB226" s="78">
        <v>20.25</v>
      </c>
      <c r="BC226" s="78">
        <v>3670</v>
      </c>
      <c r="BD226" s="78">
        <v>1</v>
      </c>
      <c r="BE226" s="78">
        <v>0</v>
      </c>
      <c r="BF226" s="78">
        <v>0</v>
      </c>
      <c r="BG226" s="78">
        <v>0</v>
      </c>
      <c r="BH226" s="78">
        <v>0</v>
      </c>
      <c r="BI226" s="78">
        <v>0</v>
      </c>
      <c r="BJ226" s="78">
        <v>0</v>
      </c>
      <c r="BK226" s="78">
        <v>0</v>
      </c>
      <c r="BL226" s="78">
        <v>0</v>
      </c>
      <c r="BM226" s="78">
        <v>308.67200000000003</v>
      </c>
      <c r="BN226" s="78">
        <v>54</v>
      </c>
      <c r="BO226" s="78">
        <v>53</v>
      </c>
      <c r="BP226" s="78">
        <v>9092.16</v>
      </c>
      <c r="BQ226" s="78">
        <v>2296.5</v>
      </c>
      <c r="BR226" s="78">
        <v>127.65714109074899</v>
      </c>
      <c r="BS226" s="78">
        <v>258</v>
      </c>
      <c r="BT226" s="78">
        <v>74.6666666666667</v>
      </c>
      <c r="BU226" s="78">
        <v>47.6666666666667</v>
      </c>
      <c r="BV226" s="78">
        <f t="shared" si="13"/>
        <v>1132.999999999997</v>
      </c>
      <c r="BW226" s="78">
        <v>546</v>
      </c>
      <c r="BX226" s="78">
        <v>4175.1595305295496</v>
      </c>
      <c r="BY226" s="402">
        <v>0.14699999999999999</v>
      </c>
      <c r="BZ226" s="78">
        <v>22861</v>
      </c>
      <c r="CA226" s="78">
        <v>3529</v>
      </c>
      <c r="CB226" s="78">
        <v>567</v>
      </c>
      <c r="CC226" s="78">
        <v>591</v>
      </c>
      <c r="CD226" s="78">
        <v>553</v>
      </c>
      <c r="CE226" s="78">
        <v>264</v>
      </c>
      <c r="CF226" s="78">
        <v>279.686402966625</v>
      </c>
      <c r="CG226" s="78">
        <v>165.117676143387</v>
      </c>
      <c r="CH226" s="78">
        <v>49.615327564894898</v>
      </c>
      <c r="CI226" s="78">
        <v>733.95</v>
      </c>
      <c r="CJ226" s="78">
        <v>433.3</v>
      </c>
      <c r="CK226" s="78">
        <v>130.19999999999999</v>
      </c>
      <c r="CL226" s="78">
        <v>175930</v>
      </c>
    </row>
    <row r="227" spans="1:90" customFormat="1" x14ac:dyDescent="0.35">
      <c r="A227" s="72">
        <v>1930</v>
      </c>
      <c r="B227" s="72" t="s">
        <v>216</v>
      </c>
      <c r="C227" s="72">
        <v>8</v>
      </c>
      <c r="D227" s="78">
        <v>6308400000</v>
      </c>
      <c r="E227" s="78">
        <v>822500000</v>
      </c>
      <c r="F227" s="78">
        <v>847700000</v>
      </c>
      <c r="G227" s="78">
        <v>85219</v>
      </c>
      <c r="H227" s="78">
        <v>4</v>
      </c>
      <c r="I227" s="78">
        <f t="shared" si="11"/>
        <v>847.7</v>
      </c>
      <c r="J227" s="78">
        <v>16063</v>
      </c>
      <c r="K227" s="78">
        <v>17039</v>
      </c>
      <c r="L227" s="78">
        <v>5005</v>
      </c>
      <c r="M227" s="78">
        <v>11563</v>
      </c>
      <c r="N227" s="78">
        <f t="shared" si="12"/>
        <v>7626.9</v>
      </c>
      <c r="O227" s="78">
        <v>2372.6666666666702</v>
      </c>
      <c r="P227" s="78">
        <v>29</v>
      </c>
      <c r="Q227" s="78">
        <v>6599.6666666666697</v>
      </c>
      <c r="R227" s="78">
        <v>12998</v>
      </c>
      <c r="S227" s="78">
        <v>8810</v>
      </c>
      <c r="T227" s="78">
        <v>0</v>
      </c>
      <c r="U227" s="78">
        <v>3902</v>
      </c>
      <c r="V227" s="78">
        <v>39449</v>
      </c>
      <c r="W227" s="78">
        <v>88720</v>
      </c>
      <c r="X227" s="78">
        <v>69430</v>
      </c>
      <c r="Y227" s="78">
        <v>1590.94</v>
      </c>
      <c r="Z227" s="78">
        <v>3444</v>
      </c>
      <c r="AA227" s="78">
        <v>0</v>
      </c>
      <c r="AB227" s="399">
        <v>0</v>
      </c>
      <c r="AC227" s="399">
        <v>0</v>
      </c>
      <c r="AD227" s="78">
        <v>7338</v>
      </c>
      <c r="AE227" s="78">
        <v>9172.5</v>
      </c>
      <c r="AF227" s="78">
        <v>1041</v>
      </c>
      <c r="AG227" s="78">
        <v>0</v>
      </c>
      <c r="AH227" s="78">
        <v>310</v>
      </c>
      <c r="AI227" s="78">
        <v>36</v>
      </c>
      <c r="AJ227" s="78">
        <v>406.1</v>
      </c>
      <c r="AK227" s="78">
        <v>44.28</v>
      </c>
      <c r="AL227" s="78">
        <v>345</v>
      </c>
      <c r="AM227" s="78">
        <v>39361</v>
      </c>
      <c r="AN227" s="78">
        <v>51562.91</v>
      </c>
      <c r="AO227" s="78">
        <v>5</v>
      </c>
      <c r="AP227" s="78">
        <v>0</v>
      </c>
      <c r="AQ227" s="78">
        <v>0</v>
      </c>
      <c r="AR227" s="78">
        <v>0</v>
      </c>
      <c r="AS227" s="78">
        <v>0</v>
      </c>
      <c r="AT227" s="78">
        <v>0</v>
      </c>
      <c r="AU227" s="400">
        <v>3.1035399999999999E-4</v>
      </c>
      <c r="AV227" s="400">
        <v>2.02177E-3</v>
      </c>
      <c r="AW227" s="78">
        <v>80335.801000000007</v>
      </c>
      <c r="AX227" s="78">
        <v>0</v>
      </c>
      <c r="AY227" s="78">
        <v>5198.75</v>
      </c>
      <c r="AZ227" s="78">
        <v>102913.206379043</v>
      </c>
      <c r="BA227" s="78">
        <v>6</v>
      </c>
      <c r="BB227" s="78">
        <v>7.38</v>
      </c>
      <c r="BC227" s="78">
        <v>6241</v>
      </c>
      <c r="BD227" s="78">
        <v>1</v>
      </c>
      <c r="BE227" s="78">
        <v>0</v>
      </c>
      <c r="BF227" s="78">
        <v>0</v>
      </c>
      <c r="BG227" s="78">
        <v>0</v>
      </c>
      <c r="BH227" s="78">
        <v>0</v>
      </c>
      <c r="BI227" s="78">
        <v>0</v>
      </c>
      <c r="BJ227" s="78">
        <v>0</v>
      </c>
      <c r="BK227" s="78">
        <v>0</v>
      </c>
      <c r="BL227" s="78">
        <v>0</v>
      </c>
      <c r="BM227" s="78">
        <v>2554.0169999999998</v>
      </c>
      <c r="BN227" s="78">
        <v>480</v>
      </c>
      <c r="BO227" s="78">
        <v>247</v>
      </c>
      <c r="BP227" s="78">
        <v>25852.62</v>
      </c>
      <c r="BQ227" s="78">
        <v>5876.98</v>
      </c>
      <c r="BR227" s="78">
        <v>560.01254099776804</v>
      </c>
      <c r="BS227" s="78">
        <v>1579</v>
      </c>
      <c r="BT227" s="78">
        <v>784.33333333333303</v>
      </c>
      <c r="BU227" s="78">
        <v>768.66666666666697</v>
      </c>
      <c r="BV227" s="78">
        <f t="shared" si="13"/>
        <v>4227</v>
      </c>
      <c r="BW227" s="78">
        <v>1258</v>
      </c>
      <c r="BX227" s="78">
        <v>17156.317179145499</v>
      </c>
      <c r="BY227" s="402">
        <v>6.3639999999999999</v>
      </c>
      <c r="BZ227" s="78">
        <v>68180</v>
      </c>
      <c r="CA227" s="78">
        <v>10340</v>
      </c>
      <c r="CB227" s="78">
        <v>1694</v>
      </c>
      <c r="CC227" s="78">
        <v>2352</v>
      </c>
      <c r="CD227" s="78">
        <v>1796</v>
      </c>
      <c r="CE227" s="78">
        <v>920</v>
      </c>
      <c r="CF227" s="78">
        <v>1249.8032316252099</v>
      </c>
      <c r="CG227" s="78">
        <v>690.395180508625</v>
      </c>
      <c r="CH227" s="78">
        <v>238.33456975178501</v>
      </c>
      <c r="CI227" s="78">
        <v>2974.0949999999998</v>
      </c>
      <c r="CJ227" s="78">
        <v>1642.8993</v>
      </c>
      <c r="CK227" s="78">
        <v>567.15300000000002</v>
      </c>
      <c r="CL227" s="78">
        <v>54385</v>
      </c>
    </row>
    <row r="228" spans="1:90" customFormat="1" x14ac:dyDescent="0.35">
      <c r="A228" s="72">
        <v>575</v>
      </c>
      <c r="B228" s="72" t="s">
        <v>221</v>
      </c>
      <c r="C228" s="72">
        <v>8</v>
      </c>
      <c r="D228" s="78">
        <v>6088000000</v>
      </c>
      <c r="E228" s="78">
        <v>850500000</v>
      </c>
      <c r="F228" s="78">
        <v>908250000</v>
      </c>
      <c r="G228" s="78">
        <v>43508</v>
      </c>
      <c r="H228" s="78">
        <v>4</v>
      </c>
      <c r="I228" s="78">
        <f t="shared" si="11"/>
        <v>908.25</v>
      </c>
      <c r="J228" s="78">
        <v>7855</v>
      </c>
      <c r="K228" s="78">
        <v>9580</v>
      </c>
      <c r="L228" s="78">
        <v>3023</v>
      </c>
      <c r="M228" s="78">
        <v>5548</v>
      </c>
      <c r="N228" s="78">
        <f t="shared" si="12"/>
        <v>3328.7</v>
      </c>
      <c r="O228" s="78">
        <v>446</v>
      </c>
      <c r="P228" s="78">
        <v>34</v>
      </c>
      <c r="Q228" s="78">
        <v>2420</v>
      </c>
      <c r="R228" s="78">
        <v>7303</v>
      </c>
      <c r="S228" s="78">
        <v>1110</v>
      </c>
      <c r="T228" s="78">
        <v>0</v>
      </c>
      <c r="U228" s="78">
        <v>1329</v>
      </c>
      <c r="V228" s="78">
        <v>20679</v>
      </c>
      <c r="W228" s="78">
        <v>36770</v>
      </c>
      <c r="X228" s="78">
        <v>9640</v>
      </c>
      <c r="Y228" s="78">
        <v>678.16</v>
      </c>
      <c r="Z228" s="78">
        <v>1792.8</v>
      </c>
      <c r="AA228" s="78">
        <v>0</v>
      </c>
      <c r="AB228" s="399">
        <v>0</v>
      </c>
      <c r="AC228" s="399">
        <v>0</v>
      </c>
      <c r="AD228" s="78">
        <v>5838</v>
      </c>
      <c r="AE228" s="78">
        <v>5838</v>
      </c>
      <c r="AF228" s="78">
        <v>102</v>
      </c>
      <c r="AG228" s="78">
        <v>1554</v>
      </c>
      <c r="AH228" s="78">
        <v>237</v>
      </c>
      <c r="AI228" s="78">
        <v>38</v>
      </c>
      <c r="AJ228" s="78">
        <v>237</v>
      </c>
      <c r="AK228" s="78">
        <v>38</v>
      </c>
      <c r="AL228" s="78">
        <v>275</v>
      </c>
      <c r="AM228" s="78">
        <v>22193</v>
      </c>
      <c r="AN228" s="78">
        <v>22193</v>
      </c>
      <c r="AO228" s="78">
        <v>0</v>
      </c>
      <c r="AP228" s="78">
        <v>0</v>
      </c>
      <c r="AQ228" s="78">
        <v>0</v>
      </c>
      <c r="AR228" s="78">
        <v>0</v>
      </c>
      <c r="AS228" s="78">
        <v>2742</v>
      </c>
      <c r="AT228" s="78">
        <v>0</v>
      </c>
      <c r="AU228" s="400">
        <v>6.3022600000000001E-4</v>
      </c>
      <c r="AV228" s="400">
        <v>6.9664399999999995E-4</v>
      </c>
      <c r="AW228" s="78">
        <v>30981.428</v>
      </c>
      <c r="AX228" s="78">
        <v>0</v>
      </c>
      <c r="AY228" s="78">
        <v>1871</v>
      </c>
      <c r="AZ228" s="78">
        <v>13704.287542087501</v>
      </c>
      <c r="BA228" s="78">
        <v>7</v>
      </c>
      <c r="BB228" s="78">
        <v>7</v>
      </c>
      <c r="BC228" s="78">
        <v>5722</v>
      </c>
      <c r="BD228" s="78">
        <v>1</v>
      </c>
      <c r="BE228" s="78">
        <v>0</v>
      </c>
      <c r="BF228" s="78">
        <v>0</v>
      </c>
      <c r="BG228" s="78">
        <v>0</v>
      </c>
      <c r="BH228" s="78">
        <v>0</v>
      </c>
      <c r="BI228" s="78">
        <v>0</v>
      </c>
      <c r="BJ228" s="78">
        <v>0</v>
      </c>
      <c r="BK228" s="78">
        <v>0</v>
      </c>
      <c r="BL228" s="78">
        <v>0</v>
      </c>
      <c r="BM228" s="78">
        <v>730.51499999999999</v>
      </c>
      <c r="BN228" s="78">
        <v>78</v>
      </c>
      <c r="BO228" s="78">
        <v>81</v>
      </c>
      <c r="BP228" s="78">
        <v>14760</v>
      </c>
      <c r="BQ228" s="78">
        <v>3336.66</v>
      </c>
      <c r="BR228" s="78">
        <v>226.35018087063099</v>
      </c>
      <c r="BS228" s="78">
        <v>516</v>
      </c>
      <c r="BT228" s="78">
        <v>108.333333333333</v>
      </c>
      <c r="BU228" s="78">
        <v>76.6666666666667</v>
      </c>
      <c r="BV228" s="78">
        <f t="shared" si="13"/>
        <v>1974</v>
      </c>
      <c r="BW228" s="78">
        <v>784</v>
      </c>
      <c r="BX228" s="78">
        <v>6218.6828288107499</v>
      </c>
      <c r="BY228" s="402">
        <v>0.379</v>
      </c>
      <c r="BZ228" s="78">
        <v>33928</v>
      </c>
      <c r="CA228" s="78">
        <v>5554</v>
      </c>
      <c r="CB228" s="78">
        <v>1003</v>
      </c>
      <c r="CC228" s="78">
        <v>1241</v>
      </c>
      <c r="CD228" s="78">
        <v>1015</v>
      </c>
      <c r="CE228" s="78">
        <v>540</v>
      </c>
      <c r="CF228" s="78">
        <v>510.11168837020699</v>
      </c>
      <c r="CG228" s="78">
        <v>303.12723381246298</v>
      </c>
      <c r="CH228" s="78">
        <v>106.49200198260699</v>
      </c>
      <c r="CI228" s="78">
        <v>1234.2229</v>
      </c>
      <c r="CJ228" s="78">
        <v>733.42089999999996</v>
      </c>
      <c r="CK228" s="78">
        <v>257.65899999999999</v>
      </c>
      <c r="CL228" s="78">
        <v>366686</v>
      </c>
    </row>
    <row r="229" spans="1:90" customFormat="1" x14ac:dyDescent="0.35">
      <c r="A229" s="72">
        <v>579</v>
      </c>
      <c r="B229" s="72" t="s">
        <v>224</v>
      </c>
      <c r="C229" s="72">
        <v>8</v>
      </c>
      <c r="D229" s="78">
        <v>3792000000</v>
      </c>
      <c r="E229" s="78">
        <v>308000000</v>
      </c>
      <c r="F229" s="78">
        <v>313600000</v>
      </c>
      <c r="G229" s="78">
        <v>24840</v>
      </c>
      <c r="H229" s="78">
        <v>1</v>
      </c>
      <c r="I229" s="78">
        <f t="shared" si="11"/>
        <v>313.60000000000002</v>
      </c>
      <c r="J229" s="78">
        <v>5515</v>
      </c>
      <c r="K229" s="78">
        <v>5060</v>
      </c>
      <c r="L229" s="78">
        <v>1667</v>
      </c>
      <c r="M229" s="78">
        <v>2230</v>
      </c>
      <c r="N229" s="78">
        <f t="shared" si="12"/>
        <v>1133.5</v>
      </c>
      <c r="O229" s="78">
        <v>300.33333333333297</v>
      </c>
      <c r="P229" s="78">
        <v>11</v>
      </c>
      <c r="Q229" s="78">
        <v>980.33333333333303</v>
      </c>
      <c r="R229" s="78">
        <v>3660</v>
      </c>
      <c r="S229" s="78">
        <v>940</v>
      </c>
      <c r="T229" s="78">
        <v>0</v>
      </c>
      <c r="U229" s="78">
        <v>743</v>
      </c>
      <c r="V229" s="78">
        <v>11117</v>
      </c>
      <c r="W229" s="78">
        <v>20450</v>
      </c>
      <c r="X229" s="78">
        <v>5400</v>
      </c>
      <c r="Y229" s="78">
        <v>1736.92</v>
      </c>
      <c r="Z229" s="78">
        <v>1564</v>
      </c>
      <c r="AA229" s="78">
        <v>0</v>
      </c>
      <c r="AB229" s="399">
        <v>0</v>
      </c>
      <c r="AC229" s="399">
        <v>0</v>
      </c>
      <c r="AD229" s="78">
        <v>728</v>
      </c>
      <c r="AE229" s="78">
        <v>728</v>
      </c>
      <c r="AF229" s="78">
        <v>69</v>
      </c>
      <c r="AG229" s="78">
        <v>0</v>
      </c>
      <c r="AH229" s="78">
        <v>91</v>
      </c>
      <c r="AI229" s="78">
        <v>3</v>
      </c>
      <c r="AJ229" s="78">
        <v>91</v>
      </c>
      <c r="AK229" s="78">
        <v>3</v>
      </c>
      <c r="AL229" s="78">
        <v>94</v>
      </c>
      <c r="AM229" s="78">
        <v>10965</v>
      </c>
      <c r="AN229" s="78">
        <v>10965</v>
      </c>
      <c r="AO229" s="78">
        <v>0</v>
      </c>
      <c r="AP229" s="78">
        <v>0</v>
      </c>
      <c r="AQ229" s="78">
        <v>0</v>
      </c>
      <c r="AR229" s="78">
        <v>0</v>
      </c>
      <c r="AS229" s="78">
        <v>1027</v>
      </c>
      <c r="AT229" s="78">
        <v>0</v>
      </c>
      <c r="AU229" s="400">
        <v>2.5899099999999997E-4</v>
      </c>
      <c r="AV229" s="400">
        <v>3.4362999999999999E-4</v>
      </c>
      <c r="AW229" s="78">
        <v>19188.75</v>
      </c>
      <c r="AX229" s="78">
        <v>0</v>
      </c>
      <c r="AY229" s="78">
        <v>665</v>
      </c>
      <c r="AZ229" s="78">
        <v>20725.972396486799</v>
      </c>
      <c r="BA229" s="78">
        <v>1</v>
      </c>
      <c r="BB229" s="78">
        <v>1</v>
      </c>
      <c r="BC229" s="78">
        <v>2675</v>
      </c>
      <c r="BD229" s="78">
        <v>1</v>
      </c>
      <c r="BE229" s="78">
        <v>0</v>
      </c>
      <c r="BF229" s="78">
        <v>0</v>
      </c>
      <c r="BG229" s="78">
        <v>0</v>
      </c>
      <c r="BH229" s="78">
        <v>0</v>
      </c>
      <c r="BI229" s="78">
        <v>0</v>
      </c>
      <c r="BJ229" s="78">
        <v>0</v>
      </c>
      <c r="BK229" s="78">
        <v>0</v>
      </c>
      <c r="BL229" s="78">
        <v>0</v>
      </c>
      <c r="BM229" s="78">
        <v>341.93</v>
      </c>
      <c r="BN229" s="78">
        <v>12</v>
      </c>
      <c r="BO229" s="78">
        <v>25</v>
      </c>
      <c r="BP229" s="78">
        <v>10449.81</v>
      </c>
      <c r="BQ229" s="78">
        <v>2882.88</v>
      </c>
      <c r="BR229" s="78">
        <v>229.217532532533</v>
      </c>
      <c r="BS229" s="78">
        <v>292</v>
      </c>
      <c r="BT229" s="78">
        <v>84.3333333333333</v>
      </c>
      <c r="BU229" s="78">
        <v>71</v>
      </c>
      <c r="BV229" s="78">
        <f t="shared" si="13"/>
        <v>680</v>
      </c>
      <c r="BW229" s="78">
        <v>239</v>
      </c>
      <c r="BX229" s="78">
        <v>2925.6406779661002</v>
      </c>
      <c r="BY229" s="402">
        <v>0.40400000000000003</v>
      </c>
      <c r="BZ229" s="78">
        <v>19780</v>
      </c>
      <c r="CA229" s="78">
        <v>2688</v>
      </c>
      <c r="CB229" s="78">
        <v>705</v>
      </c>
      <c r="CC229" s="78">
        <v>642</v>
      </c>
      <c r="CD229" s="78">
        <v>617</v>
      </c>
      <c r="CE229" s="78">
        <v>380</v>
      </c>
      <c r="CF229" s="78">
        <v>177.183675330597</v>
      </c>
      <c r="CG229" s="78">
        <v>115.262425900593</v>
      </c>
      <c r="CH229" s="78">
        <v>56.442407660738702</v>
      </c>
      <c r="CI229" s="78">
        <v>336.62959999999998</v>
      </c>
      <c r="CJ229" s="78">
        <v>218.98599999999999</v>
      </c>
      <c r="CK229" s="78">
        <v>107.23439999999999</v>
      </c>
      <c r="CL229" s="78">
        <v>29186</v>
      </c>
    </row>
    <row r="230" spans="1:90" customFormat="1" x14ac:dyDescent="0.35">
      <c r="A230" s="72">
        <v>590</v>
      </c>
      <c r="B230" s="72" t="s">
        <v>243</v>
      </c>
      <c r="C230" s="72">
        <v>8</v>
      </c>
      <c r="D230" s="78">
        <v>2722400000</v>
      </c>
      <c r="E230" s="78">
        <v>400400000</v>
      </c>
      <c r="F230" s="78">
        <v>406000000</v>
      </c>
      <c r="G230" s="78">
        <v>32136</v>
      </c>
      <c r="H230" s="78">
        <v>1</v>
      </c>
      <c r="I230" s="78">
        <f t="shared" si="11"/>
        <v>406</v>
      </c>
      <c r="J230" s="78">
        <v>6326</v>
      </c>
      <c r="K230" s="78">
        <v>7177</v>
      </c>
      <c r="L230" s="78">
        <v>2457</v>
      </c>
      <c r="M230" s="78">
        <v>3631</v>
      </c>
      <c r="N230" s="78">
        <f t="shared" si="12"/>
        <v>2187.1999999999998</v>
      </c>
      <c r="O230" s="78">
        <v>497</v>
      </c>
      <c r="P230" s="78">
        <v>52</v>
      </c>
      <c r="Q230" s="78">
        <v>1793</v>
      </c>
      <c r="R230" s="78">
        <v>4475</v>
      </c>
      <c r="S230" s="78">
        <v>2000</v>
      </c>
      <c r="T230" s="78">
        <v>0</v>
      </c>
      <c r="U230" s="78">
        <v>1098</v>
      </c>
      <c r="V230" s="78">
        <v>14260</v>
      </c>
      <c r="W230" s="78">
        <v>29960</v>
      </c>
      <c r="X230" s="78">
        <v>12690</v>
      </c>
      <c r="Y230" s="78">
        <v>277.2</v>
      </c>
      <c r="Z230" s="78">
        <v>2475.1999999999998</v>
      </c>
      <c r="AA230" s="78">
        <v>0</v>
      </c>
      <c r="AB230" s="399">
        <v>0</v>
      </c>
      <c r="AC230" s="399">
        <v>0</v>
      </c>
      <c r="AD230" s="78">
        <v>935</v>
      </c>
      <c r="AE230" s="78">
        <v>1309</v>
      </c>
      <c r="AF230" s="78">
        <v>144</v>
      </c>
      <c r="AG230" s="78">
        <v>0</v>
      </c>
      <c r="AH230" s="78">
        <v>126</v>
      </c>
      <c r="AI230" s="78">
        <v>6</v>
      </c>
      <c r="AJ230" s="78">
        <v>175.14</v>
      </c>
      <c r="AK230" s="78">
        <v>8.4</v>
      </c>
      <c r="AL230" s="78">
        <v>132</v>
      </c>
      <c r="AM230" s="78">
        <v>14438</v>
      </c>
      <c r="AN230" s="78">
        <v>20068.82</v>
      </c>
      <c r="AO230" s="78">
        <v>0</v>
      </c>
      <c r="AP230" s="78">
        <v>0</v>
      </c>
      <c r="AQ230" s="78">
        <v>0</v>
      </c>
      <c r="AR230" s="78">
        <v>0</v>
      </c>
      <c r="AS230" s="78">
        <v>1239</v>
      </c>
      <c r="AT230" s="78">
        <v>0</v>
      </c>
      <c r="AU230" s="400">
        <v>1.0791E-4</v>
      </c>
      <c r="AV230" s="400">
        <v>6.3495999999999995E-4</v>
      </c>
      <c r="AW230" s="78">
        <v>27720.959999999999</v>
      </c>
      <c r="AX230" s="78">
        <v>0</v>
      </c>
      <c r="AY230" s="78">
        <v>1099</v>
      </c>
      <c r="AZ230" s="78">
        <v>84351.7879518072</v>
      </c>
      <c r="BA230" s="78">
        <v>1</v>
      </c>
      <c r="BB230" s="78">
        <v>1.4</v>
      </c>
      <c r="BC230" s="78">
        <v>2888</v>
      </c>
      <c r="BD230" s="78">
        <v>1</v>
      </c>
      <c r="BE230" s="78">
        <v>0</v>
      </c>
      <c r="BF230" s="78">
        <v>0</v>
      </c>
      <c r="BG230" s="78">
        <v>0</v>
      </c>
      <c r="BH230" s="78">
        <v>0</v>
      </c>
      <c r="BI230" s="78">
        <v>0</v>
      </c>
      <c r="BJ230" s="78">
        <v>0</v>
      </c>
      <c r="BK230" s="78">
        <v>0</v>
      </c>
      <c r="BL230" s="78">
        <v>0</v>
      </c>
      <c r="BM230" s="78">
        <v>588.31799999999998</v>
      </c>
      <c r="BN230" s="78">
        <v>102</v>
      </c>
      <c r="BO230" s="78">
        <v>86</v>
      </c>
      <c r="BP230" s="78">
        <v>10134.719999999999</v>
      </c>
      <c r="BQ230" s="78">
        <v>2379.17</v>
      </c>
      <c r="BR230" s="78">
        <v>327.36096362575398</v>
      </c>
      <c r="BS230" s="78">
        <v>468</v>
      </c>
      <c r="BT230" s="78">
        <v>167</v>
      </c>
      <c r="BU230" s="78">
        <v>143</v>
      </c>
      <c r="BV230" s="78">
        <f t="shared" si="13"/>
        <v>1296</v>
      </c>
      <c r="BW230" s="78">
        <v>334</v>
      </c>
      <c r="BX230" s="78">
        <v>5800.4036915453698</v>
      </c>
      <c r="BY230" s="402">
        <v>0.92100000000000004</v>
      </c>
      <c r="BZ230" s="78">
        <v>24959</v>
      </c>
      <c r="CA230" s="78">
        <v>3937</v>
      </c>
      <c r="CB230" s="78">
        <v>783</v>
      </c>
      <c r="CC230" s="78">
        <v>821</v>
      </c>
      <c r="CD230" s="78">
        <v>825</v>
      </c>
      <c r="CE230" s="78">
        <v>407</v>
      </c>
      <c r="CF230" s="78">
        <v>369.48197811331198</v>
      </c>
      <c r="CG230" s="78">
        <v>255.56215542318901</v>
      </c>
      <c r="CH230" s="78">
        <v>89.681562543288507</v>
      </c>
      <c r="CI230" s="78">
        <v>1003.1607</v>
      </c>
      <c r="CJ230" s="78">
        <v>693.86310000000003</v>
      </c>
      <c r="CK230" s="78">
        <v>243.4896</v>
      </c>
      <c r="CL230" s="78">
        <v>5475</v>
      </c>
    </row>
    <row r="231" spans="1:90" customFormat="1" x14ac:dyDescent="0.35">
      <c r="A231" s="72">
        <v>1926</v>
      </c>
      <c r="B231" s="72" t="s">
        <v>246</v>
      </c>
      <c r="C231" s="72">
        <v>8</v>
      </c>
      <c r="D231" s="78">
        <v>5876800000</v>
      </c>
      <c r="E231" s="78">
        <v>651000000</v>
      </c>
      <c r="F231" s="78">
        <v>671650000</v>
      </c>
      <c r="G231" s="78">
        <v>55308</v>
      </c>
      <c r="H231" s="78">
        <v>3</v>
      </c>
      <c r="I231" s="78">
        <f t="shared" si="11"/>
        <v>671.65</v>
      </c>
      <c r="J231" s="78">
        <v>13444</v>
      </c>
      <c r="K231" s="78">
        <v>8227</v>
      </c>
      <c r="L231" s="78">
        <v>2702</v>
      </c>
      <c r="M231" s="78">
        <v>4158</v>
      </c>
      <c r="N231" s="78">
        <f t="shared" si="12"/>
        <v>1990.7999999999997</v>
      </c>
      <c r="O231" s="78">
        <v>480</v>
      </c>
      <c r="P231" s="78">
        <v>27</v>
      </c>
      <c r="Q231" s="78">
        <v>2359</v>
      </c>
      <c r="R231" s="78">
        <v>5386</v>
      </c>
      <c r="S231" s="78">
        <v>4315</v>
      </c>
      <c r="T231" s="78">
        <v>0</v>
      </c>
      <c r="U231" s="78">
        <v>1652</v>
      </c>
      <c r="V231" s="78">
        <v>22185</v>
      </c>
      <c r="W231" s="78">
        <v>36400</v>
      </c>
      <c r="X231" s="78">
        <v>6160</v>
      </c>
      <c r="Y231" s="78">
        <v>632.98</v>
      </c>
      <c r="Z231" s="78">
        <v>1076.8</v>
      </c>
      <c r="AA231" s="78">
        <v>0</v>
      </c>
      <c r="AB231" s="399">
        <v>0</v>
      </c>
      <c r="AC231" s="399">
        <v>136</v>
      </c>
      <c r="AD231" s="78">
        <v>3695</v>
      </c>
      <c r="AE231" s="78">
        <v>4914.3500000000004</v>
      </c>
      <c r="AF231" s="78">
        <v>167</v>
      </c>
      <c r="AG231" s="78">
        <v>0</v>
      </c>
      <c r="AH231" s="78">
        <v>221</v>
      </c>
      <c r="AI231" s="78">
        <v>21</v>
      </c>
      <c r="AJ231" s="78">
        <v>289.51</v>
      </c>
      <c r="AK231" s="78">
        <v>28.14</v>
      </c>
      <c r="AL231" s="78">
        <v>242</v>
      </c>
      <c r="AM231" s="78">
        <v>21672</v>
      </c>
      <c r="AN231" s="78">
        <v>28390.32</v>
      </c>
      <c r="AO231" s="78">
        <v>0</v>
      </c>
      <c r="AP231" s="78">
        <v>0</v>
      </c>
      <c r="AQ231" s="78">
        <v>0</v>
      </c>
      <c r="AR231" s="78">
        <v>0</v>
      </c>
      <c r="AS231" s="78">
        <v>0</v>
      </c>
      <c r="AT231" s="78">
        <v>0</v>
      </c>
      <c r="AU231" s="400">
        <v>1.7387899999999999E-4</v>
      </c>
      <c r="AV231" s="400">
        <v>2.0177899999999999E-4</v>
      </c>
      <c r="AW231" s="78">
        <v>32789.735999999997</v>
      </c>
      <c r="AX231" s="78">
        <v>0</v>
      </c>
      <c r="AY231" s="78">
        <v>4810.6099999999997</v>
      </c>
      <c r="AZ231" s="78">
        <v>147519.26768513699</v>
      </c>
      <c r="BA231" s="78">
        <v>8</v>
      </c>
      <c r="BB231" s="78">
        <v>10.72</v>
      </c>
      <c r="BC231" s="78">
        <v>5846</v>
      </c>
      <c r="BD231" s="78">
        <v>1</v>
      </c>
      <c r="BE231" s="78">
        <v>0</v>
      </c>
      <c r="BF231" s="78">
        <v>0</v>
      </c>
      <c r="BG231" s="78">
        <v>0</v>
      </c>
      <c r="BH231" s="78">
        <v>0</v>
      </c>
      <c r="BI231" s="78">
        <v>0</v>
      </c>
      <c r="BJ231" s="78">
        <v>0</v>
      </c>
      <c r="BK231" s="78">
        <v>0</v>
      </c>
      <c r="BL231" s="78">
        <v>0</v>
      </c>
      <c r="BM231" s="78">
        <v>981.41200000000003</v>
      </c>
      <c r="BN231" s="78">
        <v>76</v>
      </c>
      <c r="BO231" s="78">
        <v>96</v>
      </c>
      <c r="BP231" s="78">
        <v>17639.02</v>
      </c>
      <c r="BQ231" s="78">
        <v>5921.05</v>
      </c>
      <c r="BR231" s="78">
        <v>528.53728775834702</v>
      </c>
      <c r="BS231" s="78">
        <v>740</v>
      </c>
      <c r="BT231" s="78">
        <v>191</v>
      </c>
      <c r="BU231" s="78">
        <v>147.666666666667</v>
      </c>
      <c r="BV231" s="78">
        <f t="shared" si="13"/>
        <v>1879</v>
      </c>
      <c r="BW231" s="78">
        <v>689</v>
      </c>
      <c r="BX231" s="78">
        <v>5728.4718160902603</v>
      </c>
      <c r="BY231" s="402">
        <v>0.29099999999999998</v>
      </c>
      <c r="BZ231" s="78">
        <v>47081</v>
      </c>
      <c r="CA231" s="78">
        <v>4561</v>
      </c>
      <c r="CB231" s="78">
        <v>964</v>
      </c>
      <c r="CC231" s="78">
        <v>861</v>
      </c>
      <c r="CD231" s="78">
        <v>819</v>
      </c>
      <c r="CE231" s="78">
        <v>476</v>
      </c>
      <c r="CF231" s="78">
        <v>253.25930232558099</v>
      </c>
      <c r="CG231" s="78">
        <v>165.07325581395301</v>
      </c>
      <c r="CH231" s="78">
        <v>63.0162790697674</v>
      </c>
      <c r="CI231" s="78">
        <v>871.76340000000005</v>
      </c>
      <c r="CJ231" s="78">
        <v>568.21140000000003</v>
      </c>
      <c r="CK231" s="78">
        <v>216.91319999999999</v>
      </c>
      <c r="CL231" s="78">
        <v>165710</v>
      </c>
    </row>
    <row r="232" spans="1:90" customFormat="1" x14ac:dyDescent="0.35">
      <c r="A232" s="72">
        <v>597</v>
      </c>
      <c r="B232" s="72" t="s">
        <v>256</v>
      </c>
      <c r="C232" s="72">
        <v>8</v>
      </c>
      <c r="D232" s="78">
        <v>3959600000</v>
      </c>
      <c r="E232" s="78">
        <v>823550000</v>
      </c>
      <c r="F232" s="78">
        <v>827050000</v>
      </c>
      <c r="G232" s="78">
        <v>46189</v>
      </c>
      <c r="H232" s="78">
        <v>1</v>
      </c>
      <c r="I232" s="78">
        <f t="shared" si="11"/>
        <v>827.05</v>
      </c>
      <c r="J232" s="78">
        <v>8430</v>
      </c>
      <c r="K232" s="78">
        <v>11411</v>
      </c>
      <c r="L232" s="78">
        <v>3879</v>
      </c>
      <c r="M232" s="78">
        <v>6529</v>
      </c>
      <c r="N232" s="78">
        <f t="shared" si="12"/>
        <v>4425.2</v>
      </c>
      <c r="O232" s="78">
        <v>845.66666666666697</v>
      </c>
      <c r="P232" s="78">
        <v>43</v>
      </c>
      <c r="Q232" s="78">
        <v>2597.6666666666702</v>
      </c>
      <c r="R232" s="78">
        <v>7122</v>
      </c>
      <c r="S232" s="78">
        <v>3415</v>
      </c>
      <c r="T232" s="78">
        <v>0</v>
      </c>
      <c r="U232" s="78">
        <v>1612</v>
      </c>
      <c r="V232" s="78">
        <v>21291</v>
      </c>
      <c r="W232" s="78">
        <v>44540</v>
      </c>
      <c r="X232" s="78">
        <v>19040</v>
      </c>
      <c r="Y232" s="78">
        <v>540.54</v>
      </c>
      <c r="Z232" s="78">
        <v>1739.2</v>
      </c>
      <c r="AA232" s="78">
        <v>0</v>
      </c>
      <c r="AB232" s="399">
        <v>0</v>
      </c>
      <c r="AC232" s="399">
        <v>0</v>
      </c>
      <c r="AD232" s="78">
        <v>2350</v>
      </c>
      <c r="AE232" s="78">
        <v>3196</v>
      </c>
      <c r="AF232" s="78">
        <v>176</v>
      </c>
      <c r="AG232" s="78">
        <v>0</v>
      </c>
      <c r="AH232" s="78">
        <v>214</v>
      </c>
      <c r="AI232" s="78">
        <v>11</v>
      </c>
      <c r="AJ232" s="78">
        <v>291.04000000000002</v>
      </c>
      <c r="AK232" s="78">
        <v>15.07</v>
      </c>
      <c r="AL232" s="78">
        <v>225</v>
      </c>
      <c r="AM232" s="78">
        <v>21038</v>
      </c>
      <c r="AN232" s="78">
        <v>28611.68</v>
      </c>
      <c r="AO232" s="78">
        <v>0</v>
      </c>
      <c r="AP232" s="78">
        <v>0</v>
      </c>
      <c r="AQ232" s="78">
        <v>0</v>
      </c>
      <c r="AR232" s="78">
        <v>0</v>
      </c>
      <c r="AS232" s="78">
        <v>2380</v>
      </c>
      <c r="AT232" s="78">
        <v>0</v>
      </c>
      <c r="AU232" s="400">
        <v>7.2109300000000002E-4</v>
      </c>
      <c r="AV232" s="400">
        <v>2.511381E-3</v>
      </c>
      <c r="AW232" s="78">
        <v>36059.131999999998</v>
      </c>
      <c r="AX232" s="78">
        <v>0</v>
      </c>
      <c r="AY232" s="78">
        <v>2155.6</v>
      </c>
      <c r="AZ232" s="78">
        <v>96115.542201108503</v>
      </c>
      <c r="BA232" s="78">
        <v>4</v>
      </c>
      <c r="BB232" s="78">
        <v>5.48</v>
      </c>
      <c r="BC232" s="78">
        <v>4600</v>
      </c>
      <c r="BD232" s="78">
        <v>1</v>
      </c>
      <c r="BE232" s="78">
        <v>0</v>
      </c>
      <c r="BF232" s="78">
        <v>0</v>
      </c>
      <c r="BG232" s="78">
        <v>0</v>
      </c>
      <c r="BH232" s="78">
        <v>0</v>
      </c>
      <c r="BI232" s="78">
        <v>0</v>
      </c>
      <c r="BJ232" s="78">
        <v>0</v>
      </c>
      <c r="BK232" s="78">
        <v>0</v>
      </c>
      <c r="BL232" s="78">
        <v>0</v>
      </c>
      <c r="BM232" s="78">
        <v>935.73</v>
      </c>
      <c r="BN232" s="78">
        <v>218</v>
      </c>
      <c r="BO232" s="78">
        <v>130</v>
      </c>
      <c r="BP232" s="78">
        <v>14146.04</v>
      </c>
      <c r="BQ232" s="78">
        <v>3015.04</v>
      </c>
      <c r="BR232" s="78">
        <v>317.09290661368198</v>
      </c>
      <c r="BS232" s="78">
        <v>644</v>
      </c>
      <c r="BT232" s="78">
        <v>276.66666666666703</v>
      </c>
      <c r="BU232" s="78">
        <v>246.333333333333</v>
      </c>
      <c r="BV232" s="78">
        <f t="shared" si="13"/>
        <v>1752.0000000000032</v>
      </c>
      <c r="BW232" s="78">
        <v>436</v>
      </c>
      <c r="BX232" s="78">
        <v>9020.9241608096709</v>
      </c>
      <c r="BY232" s="402">
        <v>2.1640000000000001</v>
      </c>
      <c r="BZ232" s="78">
        <v>34778</v>
      </c>
      <c r="CA232" s="78">
        <v>6046</v>
      </c>
      <c r="CB232" s="78">
        <v>1486</v>
      </c>
      <c r="CC232" s="78">
        <v>1280</v>
      </c>
      <c r="CD232" s="78">
        <v>1352</v>
      </c>
      <c r="CE232" s="78">
        <v>734</v>
      </c>
      <c r="CF232" s="78">
        <v>780.16288620591297</v>
      </c>
      <c r="CG232" s="78">
        <v>562.87837246886602</v>
      </c>
      <c r="CH232" s="78">
        <v>222.96377982697999</v>
      </c>
      <c r="CI232" s="78">
        <v>1680.5479</v>
      </c>
      <c r="CJ232" s="78">
        <v>1212.4956</v>
      </c>
      <c r="CK232" s="78">
        <v>480.286</v>
      </c>
      <c r="CL232" s="78">
        <v>27783</v>
      </c>
    </row>
    <row r="233" spans="1:90" customFormat="1" x14ac:dyDescent="0.35">
      <c r="A233" s="72">
        <v>603</v>
      </c>
      <c r="B233" s="72" t="s">
        <v>258</v>
      </c>
      <c r="C233" s="72">
        <v>8</v>
      </c>
      <c r="D233" s="78">
        <v>5482000000</v>
      </c>
      <c r="E233" s="78">
        <v>807450000</v>
      </c>
      <c r="F233" s="78">
        <v>809550000</v>
      </c>
      <c r="G233" s="78">
        <v>54450</v>
      </c>
      <c r="H233" s="78">
        <v>2</v>
      </c>
      <c r="I233" s="78">
        <f t="shared" si="11"/>
        <v>809.55</v>
      </c>
      <c r="J233" s="78">
        <v>10557</v>
      </c>
      <c r="K233" s="78">
        <v>11842</v>
      </c>
      <c r="L233" s="78">
        <v>3709</v>
      </c>
      <c r="M233" s="78">
        <v>8895</v>
      </c>
      <c r="N233" s="78">
        <f t="shared" si="12"/>
        <v>6183.1</v>
      </c>
      <c r="O233" s="78">
        <v>1379.3333333333301</v>
      </c>
      <c r="P233" s="78">
        <v>53</v>
      </c>
      <c r="Q233" s="78">
        <v>3723.3333333333298</v>
      </c>
      <c r="R233" s="78">
        <v>11107</v>
      </c>
      <c r="S233" s="78">
        <v>7115</v>
      </c>
      <c r="T233" s="78">
        <v>0</v>
      </c>
      <c r="U233" s="78">
        <v>2352</v>
      </c>
      <c r="V233" s="78">
        <v>27423</v>
      </c>
      <c r="W233" s="78">
        <v>39600</v>
      </c>
      <c r="X233" s="78">
        <v>11520</v>
      </c>
      <c r="Y233" s="78">
        <v>1318.92</v>
      </c>
      <c r="Z233" s="78">
        <v>1721.6</v>
      </c>
      <c r="AA233" s="78">
        <v>0</v>
      </c>
      <c r="AB233" s="399">
        <v>2263</v>
      </c>
      <c r="AC233" s="399">
        <v>0</v>
      </c>
      <c r="AD233" s="78">
        <v>1399</v>
      </c>
      <c r="AE233" s="78">
        <v>1440.97</v>
      </c>
      <c r="AF233" s="78">
        <v>50</v>
      </c>
      <c r="AG233" s="78">
        <v>0</v>
      </c>
      <c r="AH233" s="78">
        <v>192</v>
      </c>
      <c r="AI233" s="78">
        <v>8</v>
      </c>
      <c r="AJ233" s="78">
        <v>195.84</v>
      </c>
      <c r="AK233" s="78">
        <v>8.24</v>
      </c>
      <c r="AL233" s="78">
        <v>199</v>
      </c>
      <c r="AM233" s="78">
        <v>27119</v>
      </c>
      <c r="AN233" s="78">
        <v>27661.38</v>
      </c>
      <c r="AO233" s="78">
        <v>0</v>
      </c>
      <c r="AP233" s="78">
        <v>0</v>
      </c>
      <c r="AQ233" s="78">
        <v>0</v>
      </c>
      <c r="AR233" s="78">
        <v>0</v>
      </c>
      <c r="AS233" s="78">
        <v>4042</v>
      </c>
      <c r="AT233" s="78">
        <v>0</v>
      </c>
      <c r="AU233" s="400">
        <v>2.4989299999999999E-3</v>
      </c>
      <c r="AV233" s="400">
        <v>7.041121E-3</v>
      </c>
      <c r="AW233" s="78">
        <v>85451.968999999997</v>
      </c>
      <c r="AX233" s="78">
        <v>0</v>
      </c>
      <c r="AY233" s="78">
        <v>1223.6400000000001</v>
      </c>
      <c r="AZ233" s="78">
        <v>47065.242236024897</v>
      </c>
      <c r="BA233" s="78">
        <v>2</v>
      </c>
      <c r="BB233" s="78">
        <v>2.06</v>
      </c>
      <c r="BC233" s="78">
        <v>6208</v>
      </c>
      <c r="BD233" s="78">
        <v>1</v>
      </c>
      <c r="BE233" s="78">
        <v>0</v>
      </c>
      <c r="BF233" s="78">
        <v>0</v>
      </c>
      <c r="BG233" s="78">
        <v>0</v>
      </c>
      <c r="BH233" s="78">
        <v>0</v>
      </c>
      <c r="BI233" s="78">
        <v>0</v>
      </c>
      <c r="BJ233" s="78">
        <v>0</v>
      </c>
      <c r="BK233" s="78">
        <v>0</v>
      </c>
      <c r="BL233" s="78">
        <v>0</v>
      </c>
      <c r="BM233" s="78">
        <v>1889.703</v>
      </c>
      <c r="BN233" s="78">
        <v>145</v>
      </c>
      <c r="BO233" s="78">
        <v>185</v>
      </c>
      <c r="BP233" s="78">
        <v>17999.599999999999</v>
      </c>
      <c r="BQ233" s="78">
        <v>3877.02</v>
      </c>
      <c r="BR233" s="78">
        <v>421.86554572055599</v>
      </c>
      <c r="BS233" s="78">
        <v>934</v>
      </c>
      <c r="BT233" s="78">
        <v>475</v>
      </c>
      <c r="BU233" s="78">
        <v>448.66666666666703</v>
      </c>
      <c r="BV233" s="78">
        <f t="shared" si="13"/>
        <v>2344</v>
      </c>
      <c r="BW233" s="78">
        <v>593</v>
      </c>
      <c r="BX233" s="78">
        <v>9562.5960311968101</v>
      </c>
      <c r="BY233" s="402">
        <v>3.4460000000000002</v>
      </c>
      <c r="BZ233" s="78">
        <v>42608</v>
      </c>
      <c r="CA233" s="78">
        <v>6261</v>
      </c>
      <c r="CB233" s="78">
        <v>1872</v>
      </c>
      <c r="CC233" s="78">
        <v>1838</v>
      </c>
      <c r="CD233" s="78">
        <v>1517</v>
      </c>
      <c r="CE233" s="78">
        <v>1001</v>
      </c>
      <c r="CF233" s="78">
        <v>942.31912312400902</v>
      </c>
      <c r="CG233" s="78">
        <v>611.49283528153705</v>
      </c>
      <c r="CH233" s="78">
        <v>309.85039640104702</v>
      </c>
      <c r="CI233" s="78">
        <v>1840.4249</v>
      </c>
      <c r="CJ233" s="78">
        <v>1194.2945999999999</v>
      </c>
      <c r="CK233" s="78">
        <v>605.16269999999997</v>
      </c>
      <c r="CL233" s="78">
        <v>44982</v>
      </c>
    </row>
    <row r="234" spans="1:90" customFormat="1" x14ac:dyDescent="0.35">
      <c r="A234" s="72">
        <v>599</v>
      </c>
      <c r="B234" s="72" t="s">
        <v>262</v>
      </c>
      <c r="C234" s="72">
        <v>8</v>
      </c>
      <c r="D234" s="78">
        <v>56538000000</v>
      </c>
      <c r="E234" s="78">
        <v>22893150000</v>
      </c>
      <c r="F234" s="78">
        <v>22915200000</v>
      </c>
      <c r="G234" s="78">
        <v>651157</v>
      </c>
      <c r="H234" s="78">
        <v>7</v>
      </c>
      <c r="I234" s="78">
        <f t="shared" si="11"/>
        <v>22915.200000000001</v>
      </c>
      <c r="J234" s="78">
        <v>122805</v>
      </c>
      <c r="K234" s="78">
        <v>100144</v>
      </c>
      <c r="L234" s="78">
        <v>31090</v>
      </c>
      <c r="M234" s="78">
        <v>124428</v>
      </c>
      <c r="N234" s="78">
        <f t="shared" si="12"/>
        <v>92051.9</v>
      </c>
      <c r="O234" s="78">
        <v>35220</v>
      </c>
      <c r="P234" s="78">
        <v>395</v>
      </c>
      <c r="Q234" s="78">
        <v>64323</v>
      </c>
      <c r="R234" s="78">
        <v>158909</v>
      </c>
      <c r="S234" s="78">
        <v>180560</v>
      </c>
      <c r="T234" s="78">
        <v>50328.6</v>
      </c>
      <c r="U234" s="78">
        <v>34200</v>
      </c>
      <c r="V234" s="78">
        <v>338532</v>
      </c>
      <c r="W234" s="78">
        <v>738440</v>
      </c>
      <c r="X234" s="78">
        <v>1447400</v>
      </c>
      <c r="Y234" s="78">
        <v>20902.722399999999</v>
      </c>
      <c r="Z234" s="78">
        <v>26662.400000000001</v>
      </c>
      <c r="AA234" s="78">
        <v>4891.8999999999996</v>
      </c>
      <c r="AB234" s="399">
        <v>0</v>
      </c>
      <c r="AC234" s="399">
        <v>0</v>
      </c>
      <c r="AD234" s="78">
        <v>21818</v>
      </c>
      <c r="AE234" s="78">
        <v>25527.06</v>
      </c>
      <c r="AF234" s="78">
        <v>7587</v>
      </c>
      <c r="AG234" s="78">
        <v>3012</v>
      </c>
      <c r="AH234" s="78">
        <v>1876</v>
      </c>
      <c r="AI234" s="78">
        <v>442</v>
      </c>
      <c r="AJ234" s="78">
        <v>2476.3200000000002</v>
      </c>
      <c r="AK234" s="78">
        <v>472.94</v>
      </c>
      <c r="AL234" s="78">
        <v>2319</v>
      </c>
      <c r="AM234" s="78">
        <v>323761</v>
      </c>
      <c r="AN234" s="78">
        <v>427364.52</v>
      </c>
      <c r="AO234" s="78">
        <v>25</v>
      </c>
      <c r="AP234" s="78">
        <v>0</v>
      </c>
      <c r="AQ234" s="78">
        <v>0</v>
      </c>
      <c r="AR234" s="78">
        <v>12900</v>
      </c>
      <c r="AS234" s="78">
        <v>152086</v>
      </c>
      <c r="AT234" s="78">
        <v>143539</v>
      </c>
      <c r="AU234" s="400">
        <v>0.17663910499999999</v>
      </c>
      <c r="AV234" s="400">
        <v>0.18705828599999999</v>
      </c>
      <c r="AW234" s="78">
        <v>1293101.4339999999</v>
      </c>
      <c r="AX234" s="78">
        <v>192314.03400000001</v>
      </c>
      <c r="AY234" s="78">
        <v>14951.43</v>
      </c>
      <c r="AZ234" s="78">
        <v>654486.85812242795</v>
      </c>
      <c r="BA234" s="78">
        <v>11</v>
      </c>
      <c r="BB234" s="78">
        <v>11.77</v>
      </c>
      <c r="BC234" s="78">
        <v>79067</v>
      </c>
      <c r="BD234" s="78">
        <v>1</v>
      </c>
      <c r="BE234" s="78">
        <v>0</v>
      </c>
      <c r="BF234" s="78">
        <v>0</v>
      </c>
      <c r="BG234" s="78">
        <v>1</v>
      </c>
      <c r="BH234" s="78">
        <v>0</v>
      </c>
      <c r="BI234" s="78">
        <v>0</v>
      </c>
      <c r="BJ234" s="78">
        <v>0</v>
      </c>
      <c r="BK234" s="78">
        <v>0</v>
      </c>
      <c r="BL234" s="78">
        <v>0</v>
      </c>
      <c r="BM234" s="78">
        <v>34262.595000000001</v>
      </c>
      <c r="BN234" s="78">
        <v>3055</v>
      </c>
      <c r="BO234" s="78">
        <v>5347</v>
      </c>
      <c r="BP234" s="78">
        <v>177272.82</v>
      </c>
      <c r="BQ234" s="78">
        <v>36082.800000000003</v>
      </c>
      <c r="BR234" s="78">
        <v>4026.3459759017301</v>
      </c>
      <c r="BS234" s="78">
        <v>14106</v>
      </c>
      <c r="BT234" s="78">
        <v>10183.333333333299</v>
      </c>
      <c r="BU234" s="78">
        <v>9914.3333333333303</v>
      </c>
      <c r="BV234" s="78">
        <f t="shared" si="13"/>
        <v>29103</v>
      </c>
      <c r="BW234" s="78">
        <v>8376</v>
      </c>
      <c r="BX234" s="78">
        <v>93114.9115831081</v>
      </c>
      <c r="BY234" s="402">
        <v>107.292</v>
      </c>
      <c r="BZ234" s="78">
        <v>551013</v>
      </c>
      <c r="CA234" s="78">
        <v>56000</v>
      </c>
      <c r="CB234" s="78">
        <v>13054</v>
      </c>
      <c r="CC234" s="78">
        <v>19918</v>
      </c>
      <c r="CD234" s="78">
        <v>13520</v>
      </c>
      <c r="CE234" s="78">
        <v>7238</v>
      </c>
      <c r="CF234" s="78">
        <v>10964.5370245335</v>
      </c>
      <c r="CG234" s="78">
        <v>6511.5088407806998</v>
      </c>
      <c r="CH234" s="78">
        <v>2731.7516785530102</v>
      </c>
      <c r="CI234" s="78">
        <v>21530.281200000001</v>
      </c>
      <c r="CJ234" s="78">
        <v>12786.186600000001</v>
      </c>
      <c r="CK234" s="78">
        <v>5364.1463999999996</v>
      </c>
      <c r="CL234" s="78">
        <v>647621</v>
      </c>
    </row>
    <row r="235" spans="1:90" customFormat="1" x14ac:dyDescent="0.35">
      <c r="A235" s="72">
        <v>606</v>
      </c>
      <c r="B235" s="72" t="s">
        <v>267</v>
      </c>
      <c r="C235" s="72">
        <v>8</v>
      </c>
      <c r="D235" s="78">
        <v>5835200000</v>
      </c>
      <c r="E235" s="78">
        <v>1108100000</v>
      </c>
      <c r="F235" s="78">
        <v>1131550000</v>
      </c>
      <c r="G235" s="78">
        <v>78730</v>
      </c>
      <c r="H235" s="78">
        <v>1</v>
      </c>
      <c r="I235" s="78">
        <f t="shared" si="11"/>
        <v>1131.55</v>
      </c>
      <c r="J235" s="78">
        <v>14858</v>
      </c>
      <c r="K235" s="78">
        <v>13685</v>
      </c>
      <c r="L235" s="78">
        <v>4077</v>
      </c>
      <c r="M235" s="78">
        <v>13706</v>
      </c>
      <c r="N235" s="78">
        <f t="shared" si="12"/>
        <v>9939</v>
      </c>
      <c r="O235" s="78">
        <v>2513</v>
      </c>
      <c r="P235" s="78">
        <v>65</v>
      </c>
      <c r="Q235" s="78">
        <v>6095</v>
      </c>
      <c r="R235" s="78">
        <v>15686</v>
      </c>
      <c r="S235" s="78">
        <v>16600</v>
      </c>
      <c r="T235" s="78">
        <v>854</v>
      </c>
      <c r="U235" s="78">
        <v>3802</v>
      </c>
      <c r="V235" s="78">
        <v>38358</v>
      </c>
      <c r="W235" s="78">
        <v>77680</v>
      </c>
      <c r="X235" s="78">
        <v>51580</v>
      </c>
      <c r="Y235" s="78">
        <v>1467.46</v>
      </c>
      <c r="Z235" s="78">
        <v>3190.4</v>
      </c>
      <c r="AA235" s="78">
        <v>347.3</v>
      </c>
      <c r="AB235" s="399">
        <v>0</v>
      </c>
      <c r="AC235" s="399">
        <v>524.09999999999991</v>
      </c>
      <c r="AD235" s="78">
        <v>1784</v>
      </c>
      <c r="AE235" s="78">
        <v>2444.08</v>
      </c>
      <c r="AF235" s="78">
        <v>202</v>
      </c>
      <c r="AG235" s="78">
        <v>0</v>
      </c>
      <c r="AH235" s="78">
        <v>262</v>
      </c>
      <c r="AI235" s="78">
        <v>18</v>
      </c>
      <c r="AJ235" s="78">
        <v>361.56</v>
      </c>
      <c r="AK235" s="78">
        <v>24.3</v>
      </c>
      <c r="AL235" s="78">
        <v>280</v>
      </c>
      <c r="AM235" s="78">
        <v>37670</v>
      </c>
      <c r="AN235" s="78">
        <v>51984.6</v>
      </c>
      <c r="AO235" s="78">
        <v>33</v>
      </c>
      <c r="AP235" s="78">
        <v>0</v>
      </c>
      <c r="AQ235" s="78">
        <v>0</v>
      </c>
      <c r="AR235" s="78">
        <v>6850</v>
      </c>
      <c r="AS235" s="78">
        <v>13298</v>
      </c>
      <c r="AT235" s="78">
        <v>13298</v>
      </c>
      <c r="AU235" s="400">
        <v>1.3840837E-2</v>
      </c>
      <c r="AV235" s="400">
        <v>1.9156579E-2</v>
      </c>
      <c r="AW235" s="78">
        <v>124273.33</v>
      </c>
      <c r="AX235" s="78">
        <v>0</v>
      </c>
      <c r="AY235" s="78">
        <v>2192</v>
      </c>
      <c r="AZ235" s="78">
        <v>228863.273615307</v>
      </c>
      <c r="BA235" s="78">
        <v>2</v>
      </c>
      <c r="BB235" s="78">
        <v>2.7</v>
      </c>
      <c r="BC235" s="78">
        <v>8064</v>
      </c>
      <c r="BD235" s="78">
        <v>1</v>
      </c>
      <c r="BE235" s="78">
        <v>0</v>
      </c>
      <c r="BF235" s="78">
        <v>0</v>
      </c>
      <c r="BG235" s="78">
        <v>0</v>
      </c>
      <c r="BH235" s="78">
        <v>0</v>
      </c>
      <c r="BI235" s="78">
        <v>0</v>
      </c>
      <c r="BJ235" s="78">
        <v>0</v>
      </c>
      <c r="BK235" s="78">
        <v>0</v>
      </c>
      <c r="BL235" s="78">
        <v>0</v>
      </c>
      <c r="BM235" s="78">
        <v>3209.328</v>
      </c>
      <c r="BN235" s="78">
        <v>445</v>
      </c>
      <c r="BO235" s="78">
        <v>720</v>
      </c>
      <c r="BP235" s="78">
        <v>21785.96</v>
      </c>
      <c r="BQ235" s="78">
        <v>4693.68</v>
      </c>
      <c r="BR235" s="78">
        <v>434.57920661422401</v>
      </c>
      <c r="BS235" s="78">
        <v>1437</v>
      </c>
      <c r="BT235" s="78">
        <v>806</v>
      </c>
      <c r="BU235" s="78">
        <v>794.66666666666697</v>
      </c>
      <c r="BV235" s="78">
        <f t="shared" si="13"/>
        <v>3582</v>
      </c>
      <c r="BW235" s="78">
        <v>897</v>
      </c>
      <c r="BX235" s="78">
        <v>11937.962763625201</v>
      </c>
      <c r="BY235" s="402">
        <v>6.3940000000000001</v>
      </c>
      <c r="BZ235" s="78">
        <v>65045</v>
      </c>
      <c r="CA235" s="78">
        <v>7876</v>
      </c>
      <c r="CB235" s="78">
        <v>1732</v>
      </c>
      <c r="CC235" s="78">
        <v>2255</v>
      </c>
      <c r="CD235" s="78">
        <v>1717</v>
      </c>
      <c r="CE235" s="78">
        <v>901</v>
      </c>
      <c r="CF235" s="78">
        <v>1356.9492168834599</v>
      </c>
      <c r="CG235" s="78">
        <v>791.53172285638402</v>
      </c>
      <c r="CH235" s="78">
        <v>317.40422086541002</v>
      </c>
      <c r="CI235" s="78">
        <v>2821.9641000000001</v>
      </c>
      <c r="CJ235" s="78">
        <v>1646.1</v>
      </c>
      <c r="CK235" s="78">
        <v>660.08609999999999</v>
      </c>
      <c r="CL235" s="78">
        <v>66794</v>
      </c>
    </row>
    <row r="236" spans="1:90" customFormat="1" x14ac:dyDescent="0.35">
      <c r="A236" s="72">
        <v>518</v>
      </c>
      <c r="B236" s="72" t="s">
        <v>270</v>
      </c>
      <c r="C236" s="72">
        <v>8</v>
      </c>
      <c r="D236" s="78">
        <v>56106400000</v>
      </c>
      <c r="E236" s="78">
        <v>9882950000</v>
      </c>
      <c r="F236" s="78">
        <v>10008950000</v>
      </c>
      <c r="G236" s="78">
        <v>545838</v>
      </c>
      <c r="H236" s="78">
        <v>3</v>
      </c>
      <c r="I236" s="78">
        <f t="shared" si="11"/>
        <v>10008.950000000001</v>
      </c>
      <c r="J236" s="78">
        <v>110207</v>
      </c>
      <c r="K236" s="78">
        <v>79838</v>
      </c>
      <c r="L236" s="78">
        <v>23712</v>
      </c>
      <c r="M236" s="78">
        <v>91705</v>
      </c>
      <c r="N236" s="78">
        <f t="shared" si="12"/>
        <v>64884</v>
      </c>
      <c r="O236" s="78">
        <v>24839</v>
      </c>
      <c r="P236" s="78">
        <v>1077</v>
      </c>
      <c r="Q236" s="78">
        <v>50999</v>
      </c>
      <c r="R236" s="78">
        <v>128868</v>
      </c>
      <c r="S236" s="78">
        <v>139775</v>
      </c>
      <c r="T236" s="78">
        <v>30607.4</v>
      </c>
      <c r="U236" s="78">
        <v>24749</v>
      </c>
      <c r="V236" s="78">
        <v>276707</v>
      </c>
      <c r="W236" s="78">
        <v>608260</v>
      </c>
      <c r="X236" s="78">
        <v>1009680</v>
      </c>
      <c r="Y236" s="78">
        <v>13070.72</v>
      </c>
      <c r="Z236" s="78">
        <v>21320.799999999999</v>
      </c>
      <c r="AA236" s="78">
        <v>3337.5</v>
      </c>
      <c r="AB236" s="399">
        <v>0</v>
      </c>
      <c r="AC236" s="399">
        <v>3612.5999999999985</v>
      </c>
      <c r="AD236" s="78">
        <v>8241</v>
      </c>
      <c r="AE236" s="78">
        <v>8405.82</v>
      </c>
      <c r="AF236" s="78">
        <v>356</v>
      </c>
      <c r="AG236" s="78">
        <v>1216</v>
      </c>
      <c r="AH236" s="78">
        <v>1528</v>
      </c>
      <c r="AI236" s="78">
        <v>24</v>
      </c>
      <c r="AJ236" s="78">
        <v>1558.56</v>
      </c>
      <c r="AK236" s="78">
        <v>24</v>
      </c>
      <c r="AL236" s="78">
        <v>1552</v>
      </c>
      <c r="AM236" s="78">
        <v>268210</v>
      </c>
      <c r="AN236" s="78">
        <v>273574.2</v>
      </c>
      <c r="AO236" s="78">
        <v>0</v>
      </c>
      <c r="AP236" s="78">
        <v>0</v>
      </c>
      <c r="AQ236" s="78">
        <v>130</v>
      </c>
      <c r="AR236" s="78">
        <v>9850</v>
      </c>
      <c r="AS236" s="78">
        <v>130270</v>
      </c>
      <c r="AT236" s="78">
        <v>116262</v>
      </c>
      <c r="AU236" s="400">
        <v>0.11285255199999999</v>
      </c>
      <c r="AV236" s="400">
        <v>0.10392003900000001</v>
      </c>
      <c r="AW236" s="78">
        <v>1324689.19</v>
      </c>
      <c r="AX236" s="78">
        <v>412775.19</v>
      </c>
      <c r="AY236" s="78">
        <v>6047.58</v>
      </c>
      <c r="AZ236" s="78">
        <v>407414.70224031602</v>
      </c>
      <c r="BA236" s="78">
        <v>3</v>
      </c>
      <c r="BB236" s="78">
        <v>3</v>
      </c>
      <c r="BC236" s="78">
        <v>73091</v>
      </c>
      <c r="BD236" s="78">
        <v>1</v>
      </c>
      <c r="BE236" s="78">
        <v>0</v>
      </c>
      <c r="BF236" s="78">
        <v>1</v>
      </c>
      <c r="BG236" s="78">
        <v>0</v>
      </c>
      <c r="BH236" s="78">
        <v>0</v>
      </c>
      <c r="BI236" s="78">
        <v>0</v>
      </c>
      <c r="BJ236" s="78">
        <v>0</v>
      </c>
      <c r="BK236" s="78">
        <v>0</v>
      </c>
      <c r="BL236" s="78">
        <v>0</v>
      </c>
      <c r="BM236" s="78">
        <v>25127.196</v>
      </c>
      <c r="BN236" s="78">
        <v>1767</v>
      </c>
      <c r="BO236" s="78">
        <v>4161</v>
      </c>
      <c r="BP236" s="78">
        <v>163666.66</v>
      </c>
      <c r="BQ236" s="78">
        <v>36400.050000000003</v>
      </c>
      <c r="BR236" s="78">
        <v>4511.1901409984603</v>
      </c>
      <c r="BS236" s="78">
        <v>9703</v>
      </c>
      <c r="BT236" s="78">
        <v>6697.3333333333303</v>
      </c>
      <c r="BU236" s="78">
        <v>6309</v>
      </c>
      <c r="BV236" s="78">
        <f t="shared" si="13"/>
        <v>26160</v>
      </c>
      <c r="BW236" s="78">
        <v>6265</v>
      </c>
      <c r="BX236" s="78">
        <v>75488.112688362395</v>
      </c>
      <c r="BY236" s="402">
        <v>72.683000000000007</v>
      </c>
      <c r="BZ236" s="78">
        <v>466000</v>
      </c>
      <c r="CA236" s="78">
        <v>46581</v>
      </c>
      <c r="CB236" s="78">
        <v>9545</v>
      </c>
      <c r="CC236" s="78">
        <v>16866</v>
      </c>
      <c r="CD236" s="78">
        <v>10616</v>
      </c>
      <c r="CE236" s="78">
        <v>5085</v>
      </c>
      <c r="CF236" s="78">
        <v>7790.3860855299999</v>
      </c>
      <c r="CG236" s="78">
        <v>4177.3867939301299</v>
      </c>
      <c r="CH236" s="78">
        <v>1633.65143730659</v>
      </c>
      <c r="CI236" s="78">
        <v>15921.163200000001</v>
      </c>
      <c r="CJ236" s="78">
        <v>8537.2991999999995</v>
      </c>
      <c r="CK236" s="78">
        <v>3338.6831999999999</v>
      </c>
      <c r="CL236" s="78">
        <v>547158</v>
      </c>
    </row>
    <row r="237" spans="1:90" customFormat="1" x14ac:dyDescent="0.35">
      <c r="A237" s="72">
        <v>610</v>
      </c>
      <c r="B237" s="72" t="s">
        <v>276</v>
      </c>
      <c r="C237" s="72">
        <v>8</v>
      </c>
      <c r="D237" s="78">
        <v>1876000000</v>
      </c>
      <c r="E237" s="78">
        <v>484400000</v>
      </c>
      <c r="F237" s="78">
        <v>486500000</v>
      </c>
      <c r="G237" s="78">
        <v>25220</v>
      </c>
      <c r="H237" s="78">
        <v>1</v>
      </c>
      <c r="I237" s="78">
        <f t="shared" si="11"/>
        <v>486.5</v>
      </c>
      <c r="J237" s="78">
        <v>5437</v>
      </c>
      <c r="K237" s="78">
        <v>5100</v>
      </c>
      <c r="L237" s="78">
        <v>1688</v>
      </c>
      <c r="M237" s="78">
        <v>3360</v>
      </c>
      <c r="N237" s="78">
        <f t="shared" si="12"/>
        <v>2210.3000000000002</v>
      </c>
      <c r="O237" s="78">
        <v>448.66666666666703</v>
      </c>
      <c r="P237" s="78">
        <v>47</v>
      </c>
      <c r="Q237" s="78">
        <v>2117.6666666666702</v>
      </c>
      <c r="R237" s="78">
        <v>3516</v>
      </c>
      <c r="S237" s="78">
        <v>1430</v>
      </c>
      <c r="T237" s="78">
        <v>0</v>
      </c>
      <c r="U237" s="78">
        <v>654</v>
      </c>
      <c r="V237" s="78">
        <v>11329</v>
      </c>
      <c r="W237" s="78">
        <v>24740</v>
      </c>
      <c r="X237" s="78">
        <v>9340</v>
      </c>
      <c r="Y237" s="78">
        <v>1005.54</v>
      </c>
      <c r="Z237" s="78">
        <v>279.2</v>
      </c>
      <c r="AA237" s="78">
        <v>0</v>
      </c>
      <c r="AB237" s="399">
        <v>0</v>
      </c>
      <c r="AC237" s="399">
        <v>0</v>
      </c>
      <c r="AD237" s="78">
        <v>1283</v>
      </c>
      <c r="AE237" s="78">
        <v>1988.65</v>
      </c>
      <c r="AF237" s="78">
        <v>118</v>
      </c>
      <c r="AG237" s="78">
        <v>0</v>
      </c>
      <c r="AH237" s="78">
        <v>112</v>
      </c>
      <c r="AI237" s="78">
        <v>6</v>
      </c>
      <c r="AJ237" s="78">
        <v>160.16</v>
      </c>
      <c r="AK237" s="78">
        <v>10.08</v>
      </c>
      <c r="AL237" s="78">
        <v>118</v>
      </c>
      <c r="AM237" s="78">
        <v>11497</v>
      </c>
      <c r="AN237" s="78">
        <v>16440.71</v>
      </c>
      <c r="AO237" s="78">
        <v>0</v>
      </c>
      <c r="AP237" s="78">
        <v>0</v>
      </c>
      <c r="AQ237" s="78">
        <v>0</v>
      </c>
      <c r="AR237" s="78">
        <v>0</v>
      </c>
      <c r="AS237" s="78">
        <v>3255</v>
      </c>
      <c r="AT237" s="78">
        <v>0</v>
      </c>
      <c r="AU237" s="400">
        <v>6.9931099999999999E-4</v>
      </c>
      <c r="AV237" s="400">
        <v>1.142985E-3</v>
      </c>
      <c r="AW237" s="78">
        <v>18498.672999999999</v>
      </c>
      <c r="AX237" s="78">
        <v>0</v>
      </c>
      <c r="AY237" s="78">
        <v>1150.0999999999999</v>
      </c>
      <c r="AZ237" s="78">
        <v>54297.705924339803</v>
      </c>
      <c r="BA237" s="78">
        <v>1</v>
      </c>
      <c r="BB237" s="78">
        <v>1.68</v>
      </c>
      <c r="BC237" s="78">
        <v>2353</v>
      </c>
      <c r="BD237" s="78">
        <v>1</v>
      </c>
      <c r="BE237" s="78">
        <v>0</v>
      </c>
      <c r="BF237" s="78">
        <v>0</v>
      </c>
      <c r="BG237" s="78">
        <v>0</v>
      </c>
      <c r="BH237" s="78">
        <v>0</v>
      </c>
      <c r="BI237" s="78">
        <v>0</v>
      </c>
      <c r="BJ237" s="78">
        <v>0</v>
      </c>
      <c r="BK237" s="78">
        <v>0</v>
      </c>
      <c r="BL237" s="78">
        <v>0</v>
      </c>
      <c r="BM237" s="78">
        <v>549.13699999999994</v>
      </c>
      <c r="BN237" s="78">
        <v>117</v>
      </c>
      <c r="BO237" s="78">
        <v>92</v>
      </c>
      <c r="BP237" s="78">
        <v>6466.6</v>
      </c>
      <c r="BQ237" s="78">
        <v>1690.31</v>
      </c>
      <c r="BR237" s="78">
        <v>348.87986582809202</v>
      </c>
      <c r="BS237" s="78">
        <v>324</v>
      </c>
      <c r="BT237" s="78">
        <v>149</v>
      </c>
      <c r="BU237" s="78">
        <v>135.666666666667</v>
      </c>
      <c r="BV237" s="78">
        <f t="shared" si="13"/>
        <v>1669.0000000000032</v>
      </c>
      <c r="BW237" s="78">
        <v>780</v>
      </c>
      <c r="BX237" s="78">
        <v>4358.4062015503896</v>
      </c>
      <c r="BY237" s="402">
        <v>1.0649999999999999</v>
      </c>
      <c r="BZ237" s="78">
        <v>20120</v>
      </c>
      <c r="CA237" s="78">
        <v>2691</v>
      </c>
      <c r="CB237" s="78">
        <v>721</v>
      </c>
      <c r="CC237" s="78">
        <v>525</v>
      </c>
      <c r="CD237" s="78">
        <v>565</v>
      </c>
      <c r="CE237" s="78">
        <v>365</v>
      </c>
      <c r="CF237" s="78">
        <v>309.907245368357</v>
      </c>
      <c r="CG237" s="78">
        <v>216.473671392537</v>
      </c>
      <c r="CH237" s="78">
        <v>95.356075497955999</v>
      </c>
      <c r="CI237" s="78">
        <v>776.50040000000001</v>
      </c>
      <c r="CJ237" s="78">
        <v>542.39419999999996</v>
      </c>
      <c r="CK237" s="78">
        <v>238.92320000000001</v>
      </c>
      <c r="CL237" s="78">
        <v>220816</v>
      </c>
    </row>
    <row r="238" spans="1:90" customFormat="1" x14ac:dyDescent="0.35">
      <c r="A238" s="72">
        <v>1525</v>
      </c>
      <c r="B238" s="72" t="s">
        <v>293</v>
      </c>
      <c r="C238" s="72">
        <v>8</v>
      </c>
      <c r="D238" s="78">
        <v>4509200000</v>
      </c>
      <c r="E238" s="78">
        <v>534450000</v>
      </c>
      <c r="F238" s="78">
        <v>556500000</v>
      </c>
      <c r="G238" s="78">
        <v>37440</v>
      </c>
      <c r="H238" s="78">
        <v>2</v>
      </c>
      <c r="I238" s="78">
        <f t="shared" si="11"/>
        <v>556.5</v>
      </c>
      <c r="J238" s="78">
        <v>7545</v>
      </c>
      <c r="K238" s="78">
        <v>7310</v>
      </c>
      <c r="L238" s="78">
        <v>2415</v>
      </c>
      <c r="M238" s="78">
        <v>3907</v>
      </c>
      <c r="N238" s="78">
        <f t="shared" si="12"/>
        <v>2279.1999999999998</v>
      </c>
      <c r="O238" s="78">
        <v>300</v>
      </c>
      <c r="P238" s="78">
        <v>34</v>
      </c>
      <c r="Q238" s="78">
        <v>1497</v>
      </c>
      <c r="R238" s="78">
        <v>4871</v>
      </c>
      <c r="S238" s="78">
        <v>1155</v>
      </c>
      <c r="T238" s="78">
        <v>0</v>
      </c>
      <c r="U238" s="78">
        <v>1050</v>
      </c>
      <c r="V238" s="78">
        <v>16406</v>
      </c>
      <c r="W238" s="78">
        <v>34980</v>
      </c>
      <c r="X238" s="78">
        <v>13380</v>
      </c>
      <c r="Y238" s="78">
        <v>318.32</v>
      </c>
      <c r="Z238" s="78">
        <v>1803.2</v>
      </c>
      <c r="AA238" s="78">
        <v>0</v>
      </c>
      <c r="AB238" s="399">
        <v>0</v>
      </c>
      <c r="AC238" s="399">
        <v>80.399999999999636</v>
      </c>
      <c r="AD238" s="78">
        <v>2835</v>
      </c>
      <c r="AE238" s="78">
        <v>3033.45</v>
      </c>
      <c r="AF238" s="78">
        <v>514</v>
      </c>
      <c r="AG238" s="78">
        <v>0</v>
      </c>
      <c r="AH238" s="78">
        <v>189</v>
      </c>
      <c r="AI238" s="78">
        <v>24</v>
      </c>
      <c r="AJ238" s="78">
        <v>196.56</v>
      </c>
      <c r="AK238" s="78">
        <v>26.4</v>
      </c>
      <c r="AL238" s="78">
        <v>213</v>
      </c>
      <c r="AM238" s="78">
        <v>16278</v>
      </c>
      <c r="AN238" s="78">
        <v>16929.12</v>
      </c>
      <c r="AO238" s="78">
        <v>0</v>
      </c>
      <c r="AP238" s="78">
        <v>0</v>
      </c>
      <c r="AQ238" s="78">
        <v>0</v>
      </c>
      <c r="AR238" s="78">
        <v>0</v>
      </c>
      <c r="AS238" s="78">
        <v>1524</v>
      </c>
      <c r="AT238" s="78">
        <v>0</v>
      </c>
      <c r="AU238" s="400">
        <v>3.3695699999999998E-4</v>
      </c>
      <c r="AV238" s="400">
        <v>3.8505499999999998E-4</v>
      </c>
      <c r="AW238" s="78">
        <v>22821.756000000001</v>
      </c>
      <c r="AX238" s="78">
        <v>0</v>
      </c>
      <c r="AY238" s="78">
        <v>3051.64</v>
      </c>
      <c r="AZ238" s="78">
        <v>51364.907494774598</v>
      </c>
      <c r="BA238" s="78">
        <v>7</v>
      </c>
      <c r="BB238" s="78">
        <v>7.7</v>
      </c>
      <c r="BC238" s="78">
        <v>4194</v>
      </c>
      <c r="BD238" s="78">
        <v>1</v>
      </c>
      <c r="BE238" s="78">
        <v>0</v>
      </c>
      <c r="BF238" s="78">
        <v>0</v>
      </c>
      <c r="BG238" s="78">
        <v>0</v>
      </c>
      <c r="BH238" s="78">
        <v>0</v>
      </c>
      <c r="BI238" s="78">
        <v>0</v>
      </c>
      <c r="BJ238" s="78">
        <v>0</v>
      </c>
      <c r="BK238" s="78">
        <v>0</v>
      </c>
      <c r="BL238" s="78">
        <v>0</v>
      </c>
      <c r="BM238" s="78">
        <v>430.065</v>
      </c>
      <c r="BN238" s="78">
        <v>48</v>
      </c>
      <c r="BO238" s="78">
        <v>51</v>
      </c>
      <c r="BP238" s="78">
        <v>13331.64</v>
      </c>
      <c r="BQ238" s="78">
        <v>3578.13</v>
      </c>
      <c r="BR238" s="78">
        <v>261.89619004450299</v>
      </c>
      <c r="BS238" s="78">
        <v>447</v>
      </c>
      <c r="BT238" s="78">
        <v>85</v>
      </c>
      <c r="BU238" s="78">
        <v>51.3333333333333</v>
      </c>
      <c r="BV238" s="78">
        <f t="shared" si="13"/>
        <v>1197</v>
      </c>
      <c r="BW238" s="78">
        <v>313</v>
      </c>
      <c r="BX238" s="78">
        <v>4694.1987318205101</v>
      </c>
      <c r="BY238" s="402">
        <v>0.19400000000000001</v>
      </c>
      <c r="BZ238" s="78">
        <v>30130</v>
      </c>
      <c r="CA238" s="78">
        <v>3973</v>
      </c>
      <c r="CB238" s="78">
        <v>922</v>
      </c>
      <c r="CC238" s="78">
        <v>788</v>
      </c>
      <c r="CD238" s="78">
        <v>730</v>
      </c>
      <c r="CE238" s="78">
        <v>429</v>
      </c>
      <c r="CF238" s="78">
        <v>333.240938690257</v>
      </c>
      <c r="CG238" s="78">
        <v>216.46659294753701</v>
      </c>
      <c r="CH238" s="78">
        <v>88.350853913257197</v>
      </c>
      <c r="CI238" s="78">
        <v>717.80799999999999</v>
      </c>
      <c r="CJ238" s="78">
        <v>466.27359999999999</v>
      </c>
      <c r="CK238" s="78">
        <v>190.30959999999999</v>
      </c>
      <c r="CL238" s="78">
        <v>46485</v>
      </c>
    </row>
    <row r="239" spans="1:90" customFormat="1" x14ac:dyDescent="0.35">
      <c r="A239" s="72">
        <v>622</v>
      </c>
      <c r="B239" s="72" t="s">
        <v>318</v>
      </c>
      <c r="C239" s="72">
        <v>8</v>
      </c>
      <c r="D239" s="78">
        <v>5696000000</v>
      </c>
      <c r="E239" s="78">
        <v>963900000</v>
      </c>
      <c r="F239" s="78">
        <v>983150000</v>
      </c>
      <c r="G239" s="78">
        <v>73397</v>
      </c>
      <c r="H239" s="78">
        <v>1</v>
      </c>
      <c r="I239" s="78">
        <f t="shared" si="11"/>
        <v>983.15</v>
      </c>
      <c r="J239" s="78">
        <v>14056</v>
      </c>
      <c r="K239" s="78">
        <v>15566</v>
      </c>
      <c r="L239" s="78">
        <v>4985</v>
      </c>
      <c r="M239" s="78">
        <v>12505</v>
      </c>
      <c r="N239" s="78">
        <f t="shared" si="12"/>
        <v>8921</v>
      </c>
      <c r="O239" s="78">
        <v>2422</v>
      </c>
      <c r="P239" s="78">
        <v>45</v>
      </c>
      <c r="Q239" s="78">
        <v>5865</v>
      </c>
      <c r="R239" s="78">
        <v>13897</v>
      </c>
      <c r="S239" s="78">
        <v>11470</v>
      </c>
      <c r="T239" s="78">
        <v>0</v>
      </c>
      <c r="U239" s="78">
        <v>3328</v>
      </c>
      <c r="V239" s="78">
        <v>35905</v>
      </c>
      <c r="W239" s="78">
        <v>73850</v>
      </c>
      <c r="X239" s="78">
        <v>52590</v>
      </c>
      <c r="Y239" s="78">
        <v>1135.22</v>
      </c>
      <c r="Z239" s="78">
        <v>3248</v>
      </c>
      <c r="AA239" s="78">
        <v>105</v>
      </c>
      <c r="AB239" s="399">
        <v>0</v>
      </c>
      <c r="AC239" s="399">
        <v>0</v>
      </c>
      <c r="AD239" s="78">
        <v>2336</v>
      </c>
      <c r="AE239" s="78">
        <v>3153.6</v>
      </c>
      <c r="AF239" s="78">
        <v>333</v>
      </c>
      <c r="AG239" s="78">
        <v>0</v>
      </c>
      <c r="AH239" s="78">
        <v>233</v>
      </c>
      <c r="AI239" s="78">
        <v>12</v>
      </c>
      <c r="AJ239" s="78">
        <v>323.87</v>
      </c>
      <c r="AK239" s="78">
        <v>15.72</v>
      </c>
      <c r="AL239" s="78">
        <v>246</v>
      </c>
      <c r="AM239" s="78">
        <v>35840</v>
      </c>
      <c r="AN239" s="78">
        <v>49817.599999999999</v>
      </c>
      <c r="AO239" s="78">
        <v>10</v>
      </c>
      <c r="AP239" s="78">
        <v>0</v>
      </c>
      <c r="AQ239" s="78">
        <v>0</v>
      </c>
      <c r="AR239" s="78">
        <v>0</v>
      </c>
      <c r="AS239" s="78">
        <v>6938</v>
      </c>
      <c r="AT239" s="78">
        <v>6540</v>
      </c>
      <c r="AU239" s="400">
        <v>3.1864559999999998E-3</v>
      </c>
      <c r="AV239" s="400">
        <v>1.1512477E-2</v>
      </c>
      <c r="AW239" s="78">
        <v>100136.96000000001</v>
      </c>
      <c r="AX239" s="78">
        <v>0</v>
      </c>
      <c r="AY239" s="78">
        <v>2150.5500000000002</v>
      </c>
      <c r="AZ239" s="78">
        <v>149724.105039341</v>
      </c>
      <c r="BA239" s="78">
        <v>1</v>
      </c>
      <c r="BB239" s="78">
        <v>1.31</v>
      </c>
      <c r="BC239" s="78">
        <v>6147</v>
      </c>
      <c r="BD239" s="78">
        <v>1</v>
      </c>
      <c r="BE239" s="78">
        <v>0</v>
      </c>
      <c r="BF239" s="78">
        <v>0</v>
      </c>
      <c r="BG239" s="78">
        <v>0</v>
      </c>
      <c r="BH239" s="78">
        <v>0</v>
      </c>
      <c r="BI239" s="78">
        <v>0</v>
      </c>
      <c r="BJ239" s="78">
        <v>0</v>
      </c>
      <c r="BK239" s="78">
        <v>0</v>
      </c>
      <c r="BL239" s="78">
        <v>0</v>
      </c>
      <c r="BM239" s="78">
        <v>2867.424</v>
      </c>
      <c r="BN239" s="78">
        <v>377</v>
      </c>
      <c r="BO239" s="78">
        <v>415</v>
      </c>
      <c r="BP239" s="78">
        <v>20830.2</v>
      </c>
      <c r="BQ239" s="78">
        <v>4634.67</v>
      </c>
      <c r="BR239" s="78">
        <v>505.29371569839299</v>
      </c>
      <c r="BS239" s="78">
        <v>1355</v>
      </c>
      <c r="BT239" s="78">
        <v>800.33333333333303</v>
      </c>
      <c r="BU239" s="78">
        <v>729</v>
      </c>
      <c r="BV239" s="78">
        <f t="shared" si="13"/>
        <v>3443</v>
      </c>
      <c r="BW239" s="78">
        <v>1005</v>
      </c>
      <c r="BX239" s="78">
        <v>12508.752961714799</v>
      </c>
      <c r="BY239" s="402">
        <v>6.7530000000000001</v>
      </c>
      <c r="BZ239" s="78">
        <v>57831</v>
      </c>
      <c r="CA239" s="78">
        <v>8451</v>
      </c>
      <c r="CB239" s="78">
        <v>2130</v>
      </c>
      <c r="CC239" s="78">
        <v>2261</v>
      </c>
      <c r="CD239" s="78">
        <v>1962</v>
      </c>
      <c r="CE239" s="78">
        <v>1183</v>
      </c>
      <c r="CF239" s="78">
        <v>1359.3075055803599</v>
      </c>
      <c r="CG239" s="78">
        <v>876.41855468749998</v>
      </c>
      <c r="CH239" s="78">
        <v>396.267633928571</v>
      </c>
      <c r="CI239" s="78">
        <v>2869.2094000000002</v>
      </c>
      <c r="CJ239" s="78">
        <v>1849.9333999999999</v>
      </c>
      <c r="CK239" s="78">
        <v>836.43679999999995</v>
      </c>
      <c r="CL239" s="78">
        <v>45549</v>
      </c>
    </row>
    <row r="240" spans="1:90" customFormat="1" x14ac:dyDescent="0.35">
      <c r="A240" s="72">
        <v>626</v>
      </c>
      <c r="B240" s="72" t="s">
        <v>322</v>
      </c>
      <c r="C240" s="72">
        <v>8</v>
      </c>
      <c r="D240" s="78">
        <v>3348400000</v>
      </c>
      <c r="E240" s="78">
        <v>207550000</v>
      </c>
      <c r="F240" s="78">
        <v>212800000</v>
      </c>
      <c r="G240" s="78">
        <v>25596</v>
      </c>
      <c r="H240" s="78">
        <v>1</v>
      </c>
      <c r="I240" s="78">
        <f t="shared" si="11"/>
        <v>212.8</v>
      </c>
      <c r="J240" s="78">
        <v>5438</v>
      </c>
      <c r="K240" s="78">
        <v>5976</v>
      </c>
      <c r="L240" s="78">
        <v>1975</v>
      </c>
      <c r="M240" s="78">
        <v>2689</v>
      </c>
      <c r="N240" s="78">
        <f t="shared" si="12"/>
        <v>1536.3999999999999</v>
      </c>
      <c r="O240" s="78">
        <v>308.66666666666703</v>
      </c>
      <c r="P240" s="78">
        <v>3</v>
      </c>
      <c r="Q240" s="78">
        <v>1083.6666666666699</v>
      </c>
      <c r="R240" s="78">
        <v>3776</v>
      </c>
      <c r="S240" s="78">
        <v>1210</v>
      </c>
      <c r="T240" s="78">
        <v>0</v>
      </c>
      <c r="U240" s="78">
        <v>834</v>
      </c>
      <c r="V240" s="78">
        <v>11561</v>
      </c>
      <c r="W240" s="78">
        <v>20230</v>
      </c>
      <c r="X240" s="78">
        <v>4890</v>
      </c>
      <c r="Y240" s="78">
        <v>0</v>
      </c>
      <c r="Z240" s="78">
        <v>0</v>
      </c>
      <c r="AA240" s="78">
        <v>0</v>
      </c>
      <c r="AB240" s="399">
        <v>0</v>
      </c>
      <c r="AC240" s="399">
        <v>0</v>
      </c>
      <c r="AD240" s="78">
        <v>1112</v>
      </c>
      <c r="AE240" s="78">
        <v>1145.3599999999999</v>
      </c>
      <c r="AF240" s="78">
        <v>44</v>
      </c>
      <c r="AG240" s="78">
        <v>0</v>
      </c>
      <c r="AH240" s="78">
        <v>100</v>
      </c>
      <c r="AI240" s="78">
        <v>3</v>
      </c>
      <c r="AJ240" s="78">
        <v>105</v>
      </c>
      <c r="AK240" s="78">
        <v>3.03</v>
      </c>
      <c r="AL240" s="78">
        <v>103</v>
      </c>
      <c r="AM240" s="78">
        <v>11526</v>
      </c>
      <c r="AN240" s="78">
        <v>12102.3</v>
      </c>
      <c r="AO240" s="78">
        <v>0</v>
      </c>
      <c r="AP240" s="78">
        <v>0</v>
      </c>
      <c r="AQ240" s="78">
        <v>0</v>
      </c>
      <c r="AR240" s="78">
        <v>0</v>
      </c>
      <c r="AS240" s="78">
        <v>891</v>
      </c>
      <c r="AT240" s="78">
        <v>0</v>
      </c>
      <c r="AU240" s="400">
        <v>2.69614E-4</v>
      </c>
      <c r="AV240" s="400">
        <v>5.9376000000000003E-4</v>
      </c>
      <c r="AW240" s="78">
        <v>21392.256000000001</v>
      </c>
      <c r="AX240" s="78">
        <v>0</v>
      </c>
      <c r="AY240" s="78">
        <v>1095.92</v>
      </c>
      <c r="AZ240" s="78">
        <v>32430.3091349481</v>
      </c>
      <c r="BA240" s="78">
        <v>1</v>
      </c>
      <c r="BB240" s="78">
        <v>1.01</v>
      </c>
      <c r="BC240" s="78">
        <v>2825</v>
      </c>
      <c r="BD240" s="78">
        <v>1</v>
      </c>
      <c r="BE240" s="78">
        <v>0</v>
      </c>
      <c r="BF240" s="78">
        <v>0</v>
      </c>
      <c r="BG240" s="78">
        <v>0</v>
      </c>
      <c r="BH240" s="78">
        <v>0</v>
      </c>
      <c r="BI240" s="78">
        <v>0</v>
      </c>
      <c r="BJ240" s="78">
        <v>0</v>
      </c>
      <c r="BK240" s="78">
        <v>0</v>
      </c>
      <c r="BL240" s="78">
        <v>0</v>
      </c>
      <c r="BM240" s="78">
        <v>478.54399999999998</v>
      </c>
      <c r="BN240" s="78">
        <v>43</v>
      </c>
      <c r="BO240" s="78">
        <v>34</v>
      </c>
      <c r="BP240" s="78">
        <v>9990.25</v>
      </c>
      <c r="BQ240" s="78">
        <v>2506.56</v>
      </c>
      <c r="BR240" s="78">
        <v>285.10504518663998</v>
      </c>
      <c r="BS240" s="78">
        <v>327</v>
      </c>
      <c r="BT240" s="78">
        <v>105</v>
      </c>
      <c r="BU240" s="78">
        <v>84</v>
      </c>
      <c r="BV240" s="78">
        <f t="shared" si="13"/>
        <v>775.00000000000296</v>
      </c>
      <c r="BW240" s="78">
        <v>210</v>
      </c>
      <c r="BX240" s="78">
        <v>3837.0593006005001</v>
      </c>
      <c r="BY240" s="402">
        <v>0.34799999999999998</v>
      </c>
      <c r="BZ240" s="78">
        <v>19620</v>
      </c>
      <c r="CA240" s="78">
        <v>3125</v>
      </c>
      <c r="CB240" s="78">
        <v>876</v>
      </c>
      <c r="CC240" s="78">
        <v>701</v>
      </c>
      <c r="CD240" s="78">
        <v>696</v>
      </c>
      <c r="CE240" s="78">
        <v>390</v>
      </c>
      <c r="CF240" s="78">
        <v>263.93128578865202</v>
      </c>
      <c r="CG240" s="78">
        <v>174.88780149227799</v>
      </c>
      <c r="CH240" s="78">
        <v>84.644629533229207</v>
      </c>
      <c r="CI240" s="78">
        <v>537.17399999999998</v>
      </c>
      <c r="CJ240" s="78">
        <v>355.94560000000001</v>
      </c>
      <c r="CK240" s="78">
        <v>172.27549999999999</v>
      </c>
      <c r="CL240" s="78">
        <v>0</v>
      </c>
    </row>
    <row r="241" spans="1:90" customFormat="1" x14ac:dyDescent="0.35">
      <c r="A241" s="72">
        <v>627</v>
      </c>
      <c r="B241" s="72" t="s">
        <v>328</v>
      </c>
      <c r="C241" s="72">
        <v>8</v>
      </c>
      <c r="D241" s="78">
        <v>2630000000</v>
      </c>
      <c r="E241" s="78">
        <v>562450000</v>
      </c>
      <c r="F241" s="78">
        <v>568400000</v>
      </c>
      <c r="G241" s="78">
        <v>29291</v>
      </c>
      <c r="H241" s="78">
        <v>1</v>
      </c>
      <c r="I241" s="78">
        <f t="shared" si="11"/>
        <v>568.4</v>
      </c>
      <c r="J241" s="78">
        <v>6263</v>
      </c>
      <c r="K241" s="78">
        <v>5748</v>
      </c>
      <c r="L241" s="78">
        <v>1757</v>
      </c>
      <c r="M241" s="78">
        <v>3181</v>
      </c>
      <c r="N241" s="78">
        <f t="shared" si="12"/>
        <v>1943.8</v>
      </c>
      <c r="O241" s="78">
        <v>330.66666666666703</v>
      </c>
      <c r="P241" s="78">
        <v>5</v>
      </c>
      <c r="Q241" s="78">
        <v>1474.6666666666699</v>
      </c>
      <c r="R241" s="78">
        <v>3499</v>
      </c>
      <c r="S241" s="78">
        <v>1870</v>
      </c>
      <c r="T241" s="78">
        <v>0</v>
      </c>
      <c r="U241" s="78">
        <v>741</v>
      </c>
      <c r="V241" s="78">
        <v>12456</v>
      </c>
      <c r="W241" s="78">
        <v>27680</v>
      </c>
      <c r="X241" s="78">
        <v>8900</v>
      </c>
      <c r="Y241" s="78">
        <v>0</v>
      </c>
      <c r="Z241" s="78">
        <v>723.2</v>
      </c>
      <c r="AA241" s="78">
        <v>0</v>
      </c>
      <c r="AB241" s="399">
        <v>0</v>
      </c>
      <c r="AC241" s="399">
        <v>0</v>
      </c>
      <c r="AD241" s="78">
        <v>2777</v>
      </c>
      <c r="AE241" s="78">
        <v>3860.03</v>
      </c>
      <c r="AF241" s="78">
        <v>163</v>
      </c>
      <c r="AG241" s="78">
        <v>0</v>
      </c>
      <c r="AH241" s="78">
        <v>134</v>
      </c>
      <c r="AI241" s="78">
        <v>53</v>
      </c>
      <c r="AJ241" s="78">
        <v>187.6</v>
      </c>
      <c r="AK241" s="78">
        <v>73.67</v>
      </c>
      <c r="AL241" s="78">
        <v>188</v>
      </c>
      <c r="AM241" s="78">
        <v>12372</v>
      </c>
      <c r="AN241" s="78">
        <v>17320.8</v>
      </c>
      <c r="AO241" s="78">
        <v>0</v>
      </c>
      <c r="AP241" s="78">
        <v>0</v>
      </c>
      <c r="AQ241" s="78">
        <v>0</v>
      </c>
      <c r="AR241" s="78">
        <v>0</v>
      </c>
      <c r="AS241" s="78">
        <v>1491</v>
      </c>
      <c r="AT241" s="78">
        <v>0</v>
      </c>
      <c r="AU241" s="400">
        <v>1.8527100000000001E-4</v>
      </c>
      <c r="AV241" s="400">
        <v>7.0727699999999997E-4</v>
      </c>
      <c r="AW241" s="78">
        <v>19374.552</v>
      </c>
      <c r="AX241" s="78">
        <v>0</v>
      </c>
      <c r="AY241" s="78">
        <v>5005.3900000000003</v>
      </c>
      <c r="AZ241" s="78">
        <v>139412.50708503401</v>
      </c>
      <c r="BA241" s="78">
        <v>3</v>
      </c>
      <c r="BB241" s="78">
        <v>4.17</v>
      </c>
      <c r="BC241" s="78">
        <v>3108</v>
      </c>
      <c r="BD241" s="78">
        <v>1</v>
      </c>
      <c r="BE241" s="78">
        <v>0</v>
      </c>
      <c r="BF241" s="78">
        <v>0</v>
      </c>
      <c r="BG241" s="78">
        <v>0</v>
      </c>
      <c r="BH241" s="78">
        <v>0</v>
      </c>
      <c r="BI241" s="78">
        <v>0</v>
      </c>
      <c r="BJ241" s="78">
        <v>0</v>
      </c>
      <c r="BK241" s="78">
        <v>0</v>
      </c>
      <c r="BL241" s="78">
        <v>0</v>
      </c>
      <c r="BM241" s="78">
        <v>494.77699999999999</v>
      </c>
      <c r="BN241" s="78">
        <v>86</v>
      </c>
      <c r="BO241" s="78">
        <v>56</v>
      </c>
      <c r="BP241" s="78">
        <v>8895.7800000000007</v>
      </c>
      <c r="BQ241" s="78">
        <v>2322.1999999999998</v>
      </c>
      <c r="BR241" s="78">
        <v>227.055992681877</v>
      </c>
      <c r="BS241" s="78">
        <v>283</v>
      </c>
      <c r="BT241" s="78">
        <v>104.333333333333</v>
      </c>
      <c r="BU241" s="78">
        <v>88.6666666666667</v>
      </c>
      <c r="BV241" s="78">
        <f t="shared" si="13"/>
        <v>1144.000000000003</v>
      </c>
      <c r="BW241" s="78">
        <v>384</v>
      </c>
      <c r="BX241" s="78">
        <v>4114.0221175307197</v>
      </c>
      <c r="BY241" s="402">
        <v>0.214</v>
      </c>
      <c r="BZ241" s="78">
        <v>23543</v>
      </c>
      <c r="CA241" s="78">
        <v>3328</v>
      </c>
      <c r="CB241" s="78">
        <v>663</v>
      </c>
      <c r="CC241" s="78">
        <v>608</v>
      </c>
      <c r="CD241" s="78">
        <v>591</v>
      </c>
      <c r="CE241" s="78">
        <v>343</v>
      </c>
      <c r="CF241" s="78">
        <v>312.65454251535698</v>
      </c>
      <c r="CG241" s="78">
        <v>192.30611057226</v>
      </c>
      <c r="CH241" s="78">
        <v>76.985289363077896</v>
      </c>
      <c r="CI241" s="78">
        <v>796.995</v>
      </c>
      <c r="CJ241" s="78">
        <v>490.21199999999999</v>
      </c>
      <c r="CK241" s="78">
        <v>196.245</v>
      </c>
      <c r="CL241" s="78">
        <v>21170</v>
      </c>
    </row>
    <row r="242" spans="1:90" customFormat="1" x14ac:dyDescent="0.35">
      <c r="A242" s="72">
        <v>629</v>
      </c>
      <c r="B242" s="72" t="s">
        <v>330</v>
      </c>
      <c r="C242" s="72">
        <v>8</v>
      </c>
      <c r="D242" s="78">
        <v>5828800000</v>
      </c>
      <c r="E242" s="78">
        <v>390600000</v>
      </c>
      <c r="F242" s="78">
        <v>399700000</v>
      </c>
      <c r="G242" s="78">
        <v>26305</v>
      </c>
      <c r="H242" s="78">
        <v>1</v>
      </c>
      <c r="I242" s="78">
        <f t="shared" si="11"/>
        <v>399.7</v>
      </c>
      <c r="J242" s="78">
        <v>5579</v>
      </c>
      <c r="K242" s="78">
        <v>6746</v>
      </c>
      <c r="L242" s="78">
        <v>2384</v>
      </c>
      <c r="M242" s="78">
        <v>2737</v>
      </c>
      <c r="N242" s="78">
        <f t="shared" si="12"/>
        <v>1502.3999999999999</v>
      </c>
      <c r="O242" s="78">
        <v>393.66666666666703</v>
      </c>
      <c r="P242" s="78">
        <v>9</v>
      </c>
      <c r="Q242" s="78">
        <v>1073.6666666666699</v>
      </c>
      <c r="R242" s="78">
        <v>4050</v>
      </c>
      <c r="S242" s="78">
        <v>1040</v>
      </c>
      <c r="T242" s="78">
        <v>0</v>
      </c>
      <c r="U242" s="78">
        <v>864</v>
      </c>
      <c r="V242" s="78">
        <v>11954</v>
      </c>
      <c r="W242" s="78">
        <v>20470</v>
      </c>
      <c r="X242" s="78">
        <v>4800</v>
      </c>
      <c r="Y242" s="78">
        <v>0</v>
      </c>
      <c r="Z242" s="78">
        <v>1503.2</v>
      </c>
      <c r="AA242" s="78">
        <v>0</v>
      </c>
      <c r="AB242" s="399">
        <v>0</v>
      </c>
      <c r="AC242" s="399">
        <v>0</v>
      </c>
      <c r="AD242" s="78">
        <v>5120</v>
      </c>
      <c r="AE242" s="78">
        <v>5120</v>
      </c>
      <c r="AF242" s="78">
        <v>175</v>
      </c>
      <c r="AG242" s="78">
        <v>945</v>
      </c>
      <c r="AH242" s="78">
        <v>133</v>
      </c>
      <c r="AI242" s="78">
        <v>16</v>
      </c>
      <c r="AJ242" s="78">
        <v>133</v>
      </c>
      <c r="AK242" s="78">
        <v>16</v>
      </c>
      <c r="AL242" s="78">
        <v>149</v>
      </c>
      <c r="AM242" s="78">
        <v>12346</v>
      </c>
      <c r="AN242" s="78">
        <v>12346</v>
      </c>
      <c r="AO242" s="78">
        <v>0</v>
      </c>
      <c r="AP242" s="78">
        <v>0</v>
      </c>
      <c r="AQ242" s="78">
        <v>0</v>
      </c>
      <c r="AR242" s="78">
        <v>0</v>
      </c>
      <c r="AS242" s="78">
        <v>1617</v>
      </c>
      <c r="AT242" s="78">
        <v>0</v>
      </c>
      <c r="AU242" s="400">
        <v>7.3021800000000003E-4</v>
      </c>
      <c r="AV242" s="400">
        <v>4.3625000000000001E-4</v>
      </c>
      <c r="AW242" s="78">
        <v>17839.97</v>
      </c>
      <c r="AX242" s="78">
        <v>0</v>
      </c>
      <c r="AY242" s="78">
        <v>2891</v>
      </c>
      <c r="AZ242" s="78">
        <v>14362.1822474032</v>
      </c>
      <c r="BA242" s="78">
        <v>2</v>
      </c>
      <c r="BB242" s="78">
        <v>2</v>
      </c>
      <c r="BC242" s="78">
        <v>3392</v>
      </c>
      <c r="BD242" s="78">
        <v>1</v>
      </c>
      <c r="BE242" s="78">
        <v>0</v>
      </c>
      <c r="BF242" s="78">
        <v>0</v>
      </c>
      <c r="BG242" s="78">
        <v>0</v>
      </c>
      <c r="BH242" s="78">
        <v>0</v>
      </c>
      <c r="BI242" s="78">
        <v>0</v>
      </c>
      <c r="BJ242" s="78">
        <v>0</v>
      </c>
      <c r="BK242" s="78">
        <v>0</v>
      </c>
      <c r="BL242" s="78">
        <v>0</v>
      </c>
      <c r="BM242" s="78">
        <v>557.9</v>
      </c>
      <c r="BN242" s="78">
        <v>24</v>
      </c>
      <c r="BO242" s="78">
        <v>20</v>
      </c>
      <c r="BP242" s="78">
        <v>11183.13</v>
      </c>
      <c r="BQ242" s="78">
        <v>2898.36</v>
      </c>
      <c r="BR242" s="78">
        <v>150.816138788318</v>
      </c>
      <c r="BS242" s="78">
        <v>386</v>
      </c>
      <c r="BT242" s="78">
        <v>123.666666666667</v>
      </c>
      <c r="BU242" s="78">
        <v>113.666666666667</v>
      </c>
      <c r="BV242" s="78">
        <f t="shared" si="13"/>
        <v>680.00000000000296</v>
      </c>
      <c r="BW242" s="78">
        <v>161</v>
      </c>
      <c r="BX242" s="78">
        <v>3738.0377475105902</v>
      </c>
      <c r="BY242" s="402">
        <v>0.58499999999999996</v>
      </c>
      <c r="BZ242" s="78">
        <v>19559</v>
      </c>
      <c r="CA242" s="78">
        <v>3239</v>
      </c>
      <c r="CB242" s="78">
        <v>1123</v>
      </c>
      <c r="CC242" s="78">
        <v>773</v>
      </c>
      <c r="CD242" s="78">
        <v>791</v>
      </c>
      <c r="CE242" s="78">
        <v>547</v>
      </c>
      <c r="CF242" s="78">
        <v>254.57806577029001</v>
      </c>
      <c r="CG242" s="78">
        <v>193.975830228414</v>
      </c>
      <c r="CH242" s="78">
        <v>97.109606350234898</v>
      </c>
      <c r="CI242" s="78">
        <v>200.4136</v>
      </c>
      <c r="CJ242" s="78">
        <v>152.70519999999999</v>
      </c>
      <c r="CK242" s="78">
        <v>76.448400000000007</v>
      </c>
      <c r="CL242" s="78">
        <v>18034</v>
      </c>
    </row>
    <row r="243" spans="1:90" customFormat="1" x14ac:dyDescent="0.35">
      <c r="A243" s="72">
        <v>1783</v>
      </c>
      <c r="B243" s="72" t="s">
        <v>340</v>
      </c>
      <c r="C243" s="72">
        <v>8</v>
      </c>
      <c r="D243" s="78">
        <v>11138400000</v>
      </c>
      <c r="E243" s="78">
        <v>3012800000</v>
      </c>
      <c r="F243" s="78">
        <v>3049200000</v>
      </c>
      <c r="G243" s="78">
        <v>110375</v>
      </c>
      <c r="H243" s="78">
        <v>1</v>
      </c>
      <c r="I243" s="78">
        <f t="shared" si="11"/>
        <v>3049.2</v>
      </c>
      <c r="J243" s="78">
        <v>22332</v>
      </c>
      <c r="K243" s="78">
        <v>21403</v>
      </c>
      <c r="L243" s="78">
        <v>6950</v>
      </c>
      <c r="M243" s="78">
        <v>12219</v>
      </c>
      <c r="N243" s="78">
        <f t="shared" si="12"/>
        <v>7659.5999999999995</v>
      </c>
      <c r="O243" s="78">
        <v>1174.6666666666699</v>
      </c>
      <c r="P243" s="78">
        <v>91</v>
      </c>
      <c r="Q243" s="78">
        <v>5057.6666666666697</v>
      </c>
      <c r="R243" s="78">
        <v>14385</v>
      </c>
      <c r="S243" s="78">
        <v>4950</v>
      </c>
      <c r="T243" s="78">
        <v>0</v>
      </c>
      <c r="U243" s="78">
        <v>2859</v>
      </c>
      <c r="V243" s="78">
        <v>47862</v>
      </c>
      <c r="W243" s="78">
        <v>111490</v>
      </c>
      <c r="X243" s="78">
        <v>98280</v>
      </c>
      <c r="Y243" s="78">
        <v>1665.64</v>
      </c>
      <c r="Z243" s="78">
        <v>3321.6</v>
      </c>
      <c r="AA243" s="78">
        <v>0</v>
      </c>
      <c r="AB243" s="399">
        <v>0</v>
      </c>
      <c r="AC243" s="399">
        <v>0</v>
      </c>
      <c r="AD243" s="78">
        <v>8070</v>
      </c>
      <c r="AE243" s="78">
        <v>8877</v>
      </c>
      <c r="AF243" s="78">
        <v>231</v>
      </c>
      <c r="AG243" s="78">
        <v>773</v>
      </c>
      <c r="AH243" s="78">
        <v>663</v>
      </c>
      <c r="AI243" s="78">
        <v>112</v>
      </c>
      <c r="AJ243" s="78">
        <v>722.67</v>
      </c>
      <c r="AK243" s="78">
        <v>125.44</v>
      </c>
      <c r="AL243" s="78">
        <v>774</v>
      </c>
      <c r="AM243" s="78">
        <v>45594</v>
      </c>
      <c r="AN243" s="78">
        <v>49697.46</v>
      </c>
      <c r="AO243" s="78">
        <v>5</v>
      </c>
      <c r="AP243" s="78">
        <v>0</v>
      </c>
      <c r="AQ243" s="78">
        <v>0</v>
      </c>
      <c r="AR243" s="78">
        <v>0</v>
      </c>
      <c r="AS243" s="78">
        <v>4323</v>
      </c>
      <c r="AT243" s="78">
        <v>1048</v>
      </c>
      <c r="AU243" s="400">
        <v>1.1044729999999999E-3</v>
      </c>
      <c r="AV243" s="400">
        <v>1.0410599999999999E-3</v>
      </c>
      <c r="AW243" s="78">
        <v>65108.232000000004</v>
      </c>
      <c r="AX243" s="78">
        <v>0</v>
      </c>
      <c r="AY243" s="78">
        <v>6311.8</v>
      </c>
      <c r="AZ243" s="78">
        <v>110515.943862185</v>
      </c>
      <c r="BA243" s="78">
        <v>6</v>
      </c>
      <c r="BB243" s="78">
        <v>6.72</v>
      </c>
      <c r="BC243" s="78">
        <v>14970</v>
      </c>
      <c r="BD243" s="78">
        <v>1</v>
      </c>
      <c r="BE243" s="78">
        <v>0</v>
      </c>
      <c r="BF243" s="78">
        <v>0</v>
      </c>
      <c r="BG243" s="78">
        <v>0</v>
      </c>
      <c r="BH243" s="78">
        <v>0</v>
      </c>
      <c r="BI243" s="78">
        <v>0</v>
      </c>
      <c r="BJ243" s="78">
        <v>0</v>
      </c>
      <c r="BK243" s="78">
        <v>0</v>
      </c>
      <c r="BL243" s="78">
        <v>0</v>
      </c>
      <c r="BM243" s="78">
        <v>2054.5439999999999</v>
      </c>
      <c r="BN243" s="78">
        <v>486</v>
      </c>
      <c r="BO243" s="78">
        <v>259</v>
      </c>
      <c r="BP243" s="78">
        <v>33067.54</v>
      </c>
      <c r="BQ243" s="78">
        <v>9164.9</v>
      </c>
      <c r="BR243" s="78">
        <v>815.180519596865</v>
      </c>
      <c r="BS243" s="78">
        <v>1180</v>
      </c>
      <c r="BT243" s="78">
        <v>429.33333333333297</v>
      </c>
      <c r="BU243" s="78">
        <v>321.66666666666703</v>
      </c>
      <c r="BV243" s="78">
        <f t="shared" si="13"/>
        <v>3883</v>
      </c>
      <c r="BW243" s="78">
        <v>1131</v>
      </c>
      <c r="BX243" s="78">
        <v>15029.936005451</v>
      </c>
      <c r="BY243" s="402">
        <v>1.337</v>
      </c>
      <c r="BZ243" s="78">
        <v>88972</v>
      </c>
      <c r="CA243" s="78">
        <v>12061</v>
      </c>
      <c r="CB243" s="78">
        <v>2392</v>
      </c>
      <c r="CC243" s="78">
        <v>2129</v>
      </c>
      <c r="CD243" s="78">
        <v>2066</v>
      </c>
      <c r="CE243" s="78">
        <v>1132</v>
      </c>
      <c r="CF243" s="78">
        <v>1217.1294907224601</v>
      </c>
      <c r="CG243" s="78">
        <v>766.56478484011097</v>
      </c>
      <c r="CH243" s="78">
        <v>274.33712330569801</v>
      </c>
      <c r="CI243" s="78">
        <v>3006.6750000000002</v>
      </c>
      <c r="CJ243" s="78">
        <v>1893.645</v>
      </c>
      <c r="CK243" s="78">
        <v>677.69500000000005</v>
      </c>
      <c r="CL243" s="78">
        <v>256723</v>
      </c>
    </row>
    <row r="244" spans="1:90" customFormat="1" x14ac:dyDescent="0.35">
      <c r="A244" s="72">
        <v>614</v>
      </c>
      <c r="B244" s="72" t="s">
        <v>342</v>
      </c>
      <c r="C244" s="72">
        <v>8</v>
      </c>
      <c r="D244" s="78">
        <v>1955600000</v>
      </c>
      <c r="E244" s="78">
        <v>172200000</v>
      </c>
      <c r="F244" s="78">
        <v>183750000</v>
      </c>
      <c r="G244" s="78">
        <v>14731</v>
      </c>
      <c r="H244" s="78">
        <v>2</v>
      </c>
      <c r="I244" s="78">
        <f t="shared" si="11"/>
        <v>183.75</v>
      </c>
      <c r="J244" s="78">
        <v>2378</v>
      </c>
      <c r="K244" s="78">
        <v>3940</v>
      </c>
      <c r="L244" s="78">
        <v>1261</v>
      </c>
      <c r="M244" s="78">
        <v>1577</v>
      </c>
      <c r="N244" s="78">
        <f t="shared" si="12"/>
        <v>861.8</v>
      </c>
      <c r="O244" s="78">
        <v>125.333333333333</v>
      </c>
      <c r="P244" s="78">
        <v>3</v>
      </c>
      <c r="Q244" s="78">
        <v>569.33333333333303</v>
      </c>
      <c r="R244" s="78">
        <v>2082</v>
      </c>
      <c r="S244" s="78">
        <v>320</v>
      </c>
      <c r="T244" s="78">
        <v>0</v>
      </c>
      <c r="U244" s="78">
        <v>383</v>
      </c>
      <c r="V244" s="78">
        <v>6779</v>
      </c>
      <c r="W244" s="78">
        <v>11770</v>
      </c>
      <c r="X244" s="78">
        <v>880</v>
      </c>
      <c r="Y244" s="78">
        <v>595.12</v>
      </c>
      <c r="Z244" s="78">
        <v>0</v>
      </c>
      <c r="AA244" s="78">
        <v>0</v>
      </c>
      <c r="AB244" s="399">
        <v>0</v>
      </c>
      <c r="AC244" s="399">
        <v>0</v>
      </c>
      <c r="AD244" s="78">
        <v>5320</v>
      </c>
      <c r="AE244" s="78">
        <v>5852</v>
      </c>
      <c r="AF244" s="78">
        <v>519</v>
      </c>
      <c r="AG244" s="78">
        <v>3909</v>
      </c>
      <c r="AH244" s="78">
        <v>76</v>
      </c>
      <c r="AI244" s="78">
        <v>34</v>
      </c>
      <c r="AJ244" s="78">
        <v>80.56</v>
      </c>
      <c r="AK244" s="78">
        <v>37.4</v>
      </c>
      <c r="AL244" s="78">
        <v>110</v>
      </c>
      <c r="AM244" s="78">
        <v>7152</v>
      </c>
      <c r="AN244" s="78">
        <v>7581.12</v>
      </c>
      <c r="AO244" s="78">
        <v>0</v>
      </c>
      <c r="AP244" s="78">
        <v>0</v>
      </c>
      <c r="AQ244" s="78">
        <v>0</v>
      </c>
      <c r="AR244" s="78">
        <v>0</v>
      </c>
      <c r="AS244" s="78">
        <v>0</v>
      </c>
      <c r="AT244" s="78">
        <v>0</v>
      </c>
      <c r="AU244" s="400">
        <v>1.92802E-4</v>
      </c>
      <c r="AV244" s="400">
        <v>6.8749000000000002E-5</v>
      </c>
      <c r="AW244" s="78">
        <v>4391.3280000000004</v>
      </c>
      <c r="AX244" s="78">
        <v>0</v>
      </c>
      <c r="AY244" s="78">
        <v>1961.3</v>
      </c>
      <c r="AZ244" s="78">
        <v>6707.5371981503704</v>
      </c>
      <c r="BA244" s="78">
        <v>6</v>
      </c>
      <c r="BB244" s="78">
        <v>6.6</v>
      </c>
      <c r="BC244" s="78">
        <v>1861</v>
      </c>
      <c r="BD244" s="78">
        <v>1</v>
      </c>
      <c r="BE244" s="78">
        <v>0</v>
      </c>
      <c r="BF244" s="78">
        <v>0</v>
      </c>
      <c r="BG244" s="78">
        <v>0</v>
      </c>
      <c r="BH244" s="78">
        <v>0</v>
      </c>
      <c r="BI244" s="78">
        <v>0</v>
      </c>
      <c r="BJ244" s="78">
        <v>0</v>
      </c>
      <c r="BK244" s="78">
        <v>0</v>
      </c>
      <c r="BL244" s="78">
        <v>0</v>
      </c>
      <c r="BM244" s="78">
        <v>206.886</v>
      </c>
      <c r="BN244" s="78">
        <v>30</v>
      </c>
      <c r="BO244" s="78">
        <v>23</v>
      </c>
      <c r="BP244" s="78">
        <v>6267.92</v>
      </c>
      <c r="BQ244" s="78">
        <v>1274.9100000000001</v>
      </c>
      <c r="BR244" s="78">
        <v>70.958455223880605</v>
      </c>
      <c r="BS244" s="78">
        <v>141</v>
      </c>
      <c r="BT244" s="78">
        <v>39.3333333333333</v>
      </c>
      <c r="BU244" s="78">
        <v>24.6666666666667</v>
      </c>
      <c r="BV244" s="78">
        <f t="shared" si="13"/>
        <v>444</v>
      </c>
      <c r="BW244" s="78">
        <v>115</v>
      </c>
      <c r="BX244" s="78">
        <v>2527.8984192533799</v>
      </c>
      <c r="BY244" s="402">
        <v>7.0999999999999994E-2</v>
      </c>
      <c r="BZ244" s="78">
        <v>10791</v>
      </c>
      <c r="CA244" s="78">
        <v>2155</v>
      </c>
      <c r="CB244" s="78">
        <v>524</v>
      </c>
      <c r="CC244" s="78">
        <v>390</v>
      </c>
      <c r="CD244" s="78">
        <v>427</v>
      </c>
      <c r="CE244" s="78">
        <v>305</v>
      </c>
      <c r="CF244" s="78">
        <v>157.24958053691299</v>
      </c>
      <c r="CG244" s="78">
        <v>102.54359619686799</v>
      </c>
      <c r="CH244" s="78">
        <v>50.368064876957497</v>
      </c>
      <c r="CI244" s="78">
        <v>323.77050000000003</v>
      </c>
      <c r="CJ244" s="78">
        <v>211.13310000000001</v>
      </c>
      <c r="CK244" s="78">
        <v>103.7058</v>
      </c>
      <c r="CL244" s="78">
        <v>10426</v>
      </c>
    </row>
    <row r="245" spans="1:90" customFormat="1" x14ac:dyDescent="0.35">
      <c r="A245" s="72">
        <v>637</v>
      </c>
      <c r="B245" s="72" t="s">
        <v>358</v>
      </c>
      <c r="C245" s="72">
        <v>8</v>
      </c>
      <c r="D245" s="78">
        <v>10794000000</v>
      </c>
      <c r="E245" s="78">
        <v>1357650000</v>
      </c>
      <c r="F245" s="78">
        <v>1376900000</v>
      </c>
      <c r="G245" s="78">
        <v>125285</v>
      </c>
      <c r="H245" s="78">
        <v>1</v>
      </c>
      <c r="I245" s="78">
        <f t="shared" si="11"/>
        <v>1376.9</v>
      </c>
      <c r="J245" s="78">
        <v>25469</v>
      </c>
      <c r="K245" s="78">
        <v>23996</v>
      </c>
      <c r="L245" s="78">
        <v>6728</v>
      </c>
      <c r="M245" s="78">
        <v>15620</v>
      </c>
      <c r="N245" s="78">
        <f t="shared" si="12"/>
        <v>9947.4</v>
      </c>
      <c r="O245" s="78">
        <v>2956.6666666666702</v>
      </c>
      <c r="P245" s="78">
        <v>134</v>
      </c>
      <c r="Q245" s="78">
        <v>8888.6666666666697</v>
      </c>
      <c r="R245" s="78">
        <v>19243</v>
      </c>
      <c r="S245" s="78">
        <v>16650</v>
      </c>
      <c r="T245" s="78">
        <v>0</v>
      </c>
      <c r="U245" s="78">
        <v>5869</v>
      </c>
      <c r="V245" s="78">
        <v>56670</v>
      </c>
      <c r="W245" s="78">
        <v>135080</v>
      </c>
      <c r="X245" s="78">
        <v>134220</v>
      </c>
      <c r="Y245" s="78">
        <v>3431.9495999999999</v>
      </c>
      <c r="Z245" s="78">
        <v>5999.2</v>
      </c>
      <c r="AA245" s="78">
        <v>0</v>
      </c>
      <c r="AB245" s="399">
        <v>0</v>
      </c>
      <c r="AC245" s="399">
        <v>0</v>
      </c>
      <c r="AD245" s="78">
        <v>3449</v>
      </c>
      <c r="AE245" s="78">
        <v>4104.3100000000004</v>
      </c>
      <c r="AF245" s="78">
        <v>256</v>
      </c>
      <c r="AG245" s="78">
        <v>0</v>
      </c>
      <c r="AH245" s="78">
        <v>431</v>
      </c>
      <c r="AI245" s="78">
        <v>16</v>
      </c>
      <c r="AJ245" s="78">
        <v>512.89</v>
      </c>
      <c r="AK245" s="78">
        <v>19.2</v>
      </c>
      <c r="AL245" s="78">
        <v>447</v>
      </c>
      <c r="AM245" s="78">
        <v>56726</v>
      </c>
      <c r="AN245" s="78">
        <v>67503.94</v>
      </c>
      <c r="AO245" s="78">
        <v>0</v>
      </c>
      <c r="AP245" s="78">
        <v>0</v>
      </c>
      <c r="AQ245" s="78">
        <v>0</v>
      </c>
      <c r="AR245" s="78">
        <v>0</v>
      </c>
      <c r="AS245" s="78">
        <v>0</v>
      </c>
      <c r="AT245" s="78">
        <v>0</v>
      </c>
      <c r="AU245" s="400">
        <v>2.10132E-4</v>
      </c>
      <c r="AV245" s="400">
        <v>2.9735289999999999E-3</v>
      </c>
      <c r="AW245" s="78">
        <v>143119.698</v>
      </c>
      <c r="AX245" s="78">
        <v>0</v>
      </c>
      <c r="AY245" s="78">
        <v>3196.34</v>
      </c>
      <c r="AZ245" s="78">
        <v>111062.362753036</v>
      </c>
      <c r="BA245" s="78">
        <v>1</v>
      </c>
      <c r="BB245" s="78">
        <v>1.2</v>
      </c>
      <c r="BC245" s="78">
        <v>11765</v>
      </c>
      <c r="BD245" s="78">
        <v>1</v>
      </c>
      <c r="BE245" s="78">
        <v>0</v>
      </c>
      <c r="BF245" s="78">
        <v>0</v>
      </c>
      <c r="BG245" s="78">
        <v>0</v>
      </c>
      <c r="BH245" s="78">
        <v>0</v>
      </c>
      <c r="BI245" s="78">
        <v>0</v>
      </c>
      <c r="BJ245" s="78">
        <v>0</v>
      </c>
      <c r="BK245" s="78">
        <v>0</v>
      </c>
      <c r="BL245" s="78">
        <v>0</v>
      </c>
      <c r="BM245" s="78">
        <v>4278.7920000000004</v>
      </c>
      <c r="BN245" s="78">
        <v>362</v>
      </c>
      <c r="BO245" s="78">
        <v>380</v>
      </c>
      <c r="BP245" s="78">
        <v>39218.9</v>
      </c>
      <c r="BQ245" s="78">
        <v>9084.6</v>
      </c>
      <c r="BR245" s="78">
        <v>1140.51717547915</v>
      </c>
      <c r="BS245" s="78">
        <v>2394</v>
      </c>
      <c r="BT245" s="78">
        <v>1104</v>
      </c>
      <c r="BU245" s="78">
        <v>1049.6666666666699</v>
      </c>
      <c r="BV245" s="78">
        <f t="shared" si="13"/>
        <v>5932</v>
      </c>
      <c r="BW245" s="78">
        <v>1544</v>
      </c>
      <c r="BX245" s="78">
        <v>22230.226102894099</v>
      </c>
      <c r="BY245" s="402">
        <v>6.7450000000000001</v>
      </c>
      <c r="BZ245" s="78">
        <v>101289</v>
      </c>
      <c r="CA245" s="78">
        <v>15015</v>
      </c>
      <c r="CB245" s="78">
        <v>2253</v>
      </c>
      <c r="CC245" s="78">
        <v>3533</v>
      </c>
      <c r="CD245" s="78">
        <v>2515</v>
      </c>
      <c r="CE245" s="78">
        <v>1234</v>
      </c>
      <c r="CF245" s="78">
        <v>1684.1453583894499</v>
      </c>
      <c r="CG245" s="78">
        <v>811.03418185664395</v>
      </c>
      <c r="CH245" s="78">
        <v>296.53163276099099</v>
      </c>
      <c r="CI245" s="78">
        <v>4092.2644</v>
      </c>
      <c r="CJ245" s="78">
        <v>1970.7125000000001</v>
      </c>
      <c r="CK245" s="78">
        <v>720.53510000000006</v>
      </c>
      <c r="CL245" s="78">
        <v>48382</v>
      </c>
    </row>
    <row r="246" spans="1:90" customFormat="1" x14ac:dyDescent="0.35">
      <c r="A246" s="72">
        <v>638</v>
      </c>
      <c r="B246" s="72" t="s">
        <v>359</v>
      </c>
      <c r="C246" s="72">
        <v>8</v>
      </c>
      <c r="D246" s="78">
        <v>1020400000</v>
      </c>
      <c r="E246" s="78">
        <v>294000000</v>
      </c>
      <c r="F246" s="78">
        <v>300650000</v>
      </c>
      <c r="G246" s="78">
        <v>8605</v>
      </c>
      <c r="H246" s="78">
        <v>2</v>
      </c>
      <c r="I246" s="78">
        <f t="shared" si="11"/>
        <v>300.64999999999998</v>
      </c>
      <c r="J246" s="78">
        <v>1664</v>
      </c>
      <c r="K246" s="78">
        <v>1785</v>
      </c>
      <c r="L246" s="78">
        <v>580</v>
      </c>
      <c r="M246" s="78">
        <v>857</v>
      </c>
      <c r="N246" s="78">
        <f t="shared" si="12"/>
        <v>473.79999999999995</v>
      </c>
      <c r="O246" s="78">
        <v>51.3333333333333</v>
      </c>
      <c r="P246" s="78">
        <v>5</v>
      </c>
      <c r="Q246" s="78">
        <v>523.33333333333303</v>
      </c>
      <c r="R246" s="78">
        <v>963</v>
      </c>
      <c r="S246" s="78">
        <v>320</v>
      </c>
      <c r="T246" s="78">
        <v>0</v>
      </c>
      <c r="U246" s="78">
        <v>231</v>
      </c>
      <c r="V246" s="78">
        <v>3867</v>
      </c>
      <c r="W246" s="78">
        <v>4110</v>
      </c>
      <c r="X246" s="78">
        <v>160</v>
      </c>
      <c r="Y246" s="78">
        <v>0</v>
      </c>
      <c r="Z246" s="78">
        <v>0</v>
      </c>
      <c r="AA246" s="78">
        <v>0</v>
      </c>
      <c r="AB246" s="399">
        <v>0</v>
      </c>
      <c r="AC246" s="399">
        <v>0</v>
      </c>
      <c r="AD246" s="78">
        <v>2119</v>
      </c>
      <c r="AE246" s="78">
        <v>2818.27</v>
      </c>
      <c r="AF246" s="78">
        <v>76</v>
      </c>
      <c r="AG246" s="78">
        <v>0</v>
      </c>
      <c r="AH246" s="78">
        <v>74</v>
      </c>
      <c r="AI246" s="78">
        <v>13</v>
      </c>
      <c r="AJ246" s="78">
        <v>96.2</v>
      </c>
      <c r="AK246" s="78">
        <v>17.29</v>
      </c>
      <c r="AL246" s="78">
        <v>87</v>
      </c>
      <c r="AM246" s="78">
        <v>3832</v>
      </c>
      <c r="AN246" s="78">
        <v>4981.6000000000004</v>
      </c>
      <c r="AO246" s="78">
        <v>0</v>
      </c>
      <c r="AP246" s="78">
        <v>0</v>
      </c>
      <c r="AQ246" s="78">
        <v>0</v>
      </c>
      <c r="AR246" s="78">
        <v>0</v>
      </c>
      <c r="AS246" s="78">
        <v>0</v>
      </c>
      <c r="AT246" s="78">
        <v>0</v>
      </c>
      <c r="AU246" s="400">
        <v>9.7362999999999996E-5</v>
      </c>
      <c r="AV246" s="400">
        <v>4.3390999999999998E-5</v>
      </c>
      <c r="AW246" s="78">
        <v>2893.16</v>
      </c>
      <c r="AX246" s="78">
        <v>0</v>
      </c>
      <c r="AY246" s="78">
        <v>1846.04</v>
      </c>
      <c r="AZ246" s="78">
        <v>14943.2195444191</v>
      </c>
      <c r="BA246" s="78">
        <v>4</v>
      </c>
      <c r="BB246" s="78">
        <v>5.32</v>
      </c>
      <c r="BC246" s="78">
        <v>1096</v>
      </c>
      <c r="BD246" s="78">
        <v>1</v>
      </c>
      <c r="BE246" s="78">
        <v>0</v>
      </c>
      <c r="BF246" s="78">
        <v>0</v>
      </c>
      <c r="BG246" s="78">
        <v>0</v>
      </c>
      <c r="BH246" s="78">
        <v>0</v>
      </c>
      <c r="BI246" s="78">
        <v>0</v>
      </c>
      <c r="BJ246" s="78">
        <v>0</v>
      </c>
      <c r="BK246" s="78">
        <v>0</v>
      </c>
      <c r="BL246" s="78">
        <v>0</v>
      </c>
      <c r="BM246" s="78">
        <v>96.512</v>
      </c>
      <c r="BN246" s="78">
        <v>10</v>
      </c>
      <c r="BO246" s="78">
        <v>9</v>
      </c>
      <c r="BP246" s="78">
        <v>2644.04</v>
      </c>
      <c r="BQ246" s="78">
        <v>585.28</v>
      </c>
      <c r="BR246" s="78">
        <v>76.725616519173997</v>
      </c>
      <c r="BS246" s="78">
        <v>98</v>
      </c>
      <c r="BT246" s="78">
        <v>21.3333333333333</v>
      </c>
      <c r="BU246" s="78">
        <v>15.6666666666667</v>
      </c>
      <c r="BV246" s="78">
        <f t="shared" si="13"/>
        <v>471.99999999999972</v>
      </c>
      <c r="BW246" s="78">
        <v>294</v>
      </c>
      <c r="BX246" s="78">
        <v>1272.9289940828401</v>
      </c>
      <c r="BY246" s="402">
        <v>4.3999999999999997E-2</v>
      </c>
      <c r="BZ246" s="78">
        <v>6820</v>
      </c>
      <c r="CA246" s="78">
        <v>1008</v>
      </c>
      <c r="CB246" s="78">
        <v>197</v>
      </c>
      <c r="CC246" s="78">
        <v>194</v>
      </c>
      <c r="CD246" s="78">
        <v>178</v>
      </c>
      <c r="CE246" s="78">
        <v>97</v>
      </c>
      <c r="CF246" s="78">
        <v>74.309446764091902</v>
      </c>
      <c r="CG246" s="78">
        <v>46.737056367432103</v>
      </c>
      <c r="CH246" s="78">
        <v>16.073590814196201</v>
      </c>
      <c r="CI246" s="78">
        <v>199.05119999999999</v>
      </c>
      <c r="CJ246" s="78">
        <v>125.1936</v>
      </c>
      <c r="CK246" s="78">
        <v>43.055999999999997</v>
      </c>
      <c r="CL246" s="78">
        <v>115705</v>
      </c>
    </row>
    <row r="247" spans="1:90" customFormat="1" x14ac:dyDescent="0.35">
      <c r="A247" s="72">
        <v>1892</v>
      </c>
      <c r="B247" s="72" t="s">
        <v>360</v>
      </c>
      <c r="C247" s="72">
        <v>8</v>
      </c>
      <c r="D247" s="78">
        <v>4213600000</v>
      </c>
      <c r="E247" s="78">
        <v>704900000</v>
      </c>
      <c r="F247" s="78">
        <v>715050000</v>
      </c>
      <c r="G247" s="78">
        <v>43885</v>
      </c>
      <c r="H247" s="78">
        <v>4</v>
      </c>
      <c r="I247" s="78">
        <f t="shared" si="11"/>
        <v>715.05</v>
      </c>
      <c r="J247" s="78">
        <v>9582</v>
      </c>
      <c r="K247" s="78">
        <v>8137</v>
      </c>
      <c r="L247" s="78">
        <v>2474</v>
      </c>
      <c r="M247" s="78">
        <v>4319</v>
      </c>
      <c r="N247" s="78">
        <f t="shared" si="12"/>
        <v>2463.5</v>
      </c>
      <c r="O247" s="78">
        <v>527.66666666666697</v>
      </c>
      <c r="P247" s="78">
        <v>27</v>
      </c>
      <c r="Q247" s="78">
        <v>1996.6666666666699</v>
      </c>
      <c r="R247" s="78">
        <v>4788</v>
      </c>
      <c r="S247" s="78">
        <v>2520</v>
      </c>
      <c r="T247" s="78">
        <v>0</v>
      </c>
      <c r="U247" s="78">
        <v>1288</v>
      </c>
      <c r="V247" s="78">
        <v>18352</v>
      </c>
      <c r="W247" s="78">
        <v>30080</v>
      </c>
      <c r="X247" s="78">
        <v>3990</v>
      </c>
      <c r="Y247" s="78">
        <v>0</v>
      </c>
      <c r="Z247" s="78">
        <v>634.4</v>
      </c>
      <c r="AA247" s="78">
        <v>0</v>
      </c>
      <c r="AB247" s="399">
        <v>0</v>
      </c>
      <c r="AC247" s="399">
        <v>107.69999999999993</v>
      </c>
      <c r="AD247" s="78">
        <v>5809</v>
      </c>
      <c r="AE247" s="78">
        <v>8016.42</v>
      </c>
      <c r="AF247" s="78">
        <v>596</v>
      </c>
      <c r="AG247" s="78">
        <v>0</v>
      </c>
      <c r="AH247" s="78">
        <v>219</v>
      </c>
      <c r="AI247" s="78">
        <v>43</v>
      </c>
      <c r="AJ247" s="78">
        <v>317.55</v>
      </c>
      <c r="AK247" s="78">
        <v>57.62</v>
      </c>
      <c r="AL247" s="78">
        <v>262</v>
      </c>
      <c r="AM247" s="78">
        <v>18555</v>
      </c>
      <c r="AN247" s="78">
        <v>26904.75</v>
      </c>
      <c r="AO247" s="78">
        <v>0</v>
      </c>
      <c r="AP247" s="78">
        <v>0</v>
      </c>
      <c r="AQ247" s="78">
        <v>0</v>
      </c>
      <c r="AR247" s="78">
        <v>0</v>
      </c>
      <c r="AS247" s="78">
        <v>0</v>
      </c>
      <c r="AT247" s="78">
        <v>0</v>
      </c>
      <c r="AU247" s="400">
        <v>2.5454699999999999E-4</v>
      </c>
      <c r="AV247" s="400">
        <v>4.1769300000000001E-4</v>
      </c>
      <c r="AW247" s="78">
        <v>21709.35</v>
      </c>
      <c r="AX247" s="78">
        <v>0</v>
      </c>
      <c r="AY247" s="78">
        <v>6428.04</v>
      </c>
      <c r="AZ247" s="78">
        <v>105351.13264637</v>
      </c>
      <c r="BA247" s="78">
        <v>12</v>
      </c>
      <c r="BB247" s="78">
        <v>16.079999999999998</v>
      </c>
      <c r="BC247" s="78">
        <v>5380</v>
      </c>
      <c r="BD247" s="78">
        <v>1</v>
      </c>
      <c r="BE247" s="78">
        <v>0</v>
      </c>
      <c r="BF247" s="78">
        <v>0</v>
      </c>
      <c r="BG247" s="78">
        <v>0</v>
      </c>
      <c r="BH247" s="78">
        <v>0</v>
      </c>
      <c r="BI247" s="78">
        <v>0</v>
      </c>
      <c r="BJ247" s="78">
        <v>0</v>
      </c>
      <c r="BK247" s="78">
        <v>0</v>
      </c>
      <c r="BL247" s="78">
        <v>0</v>
      </c>
      <c r="BM247" s="78">
        <v>709.06799999999998</v>
      </c>
      <c r="BN247" s="78">
        <v>94</v>
      </c>
      <c r="BO247" s="78">
        <v>96</v>
      </c>
      <c r="BP247" s="78">
        <v>14277.6</v>
      </c>
      <c r="BQ247" s="78">
        <v>4091.78</v>
      </c>
      <c r="BR247" s="78">
        <v>348.42707544877902</v>
      </c>
      <c r="BS247" s="78">
        <v>567</v>
      </c>
      <c r="BT247" s="78">
        <v>181</v>
      </c>
      <c r="BU247" s="78">
        <v>127.666666666667</v>
      </c>
      <c r="BV247" s="78">
        <f t="shared" si="13"/>
        <v>1469.000000000003</v>
      </c>
      <c r="BW247" s="78">
        <v>481</v>
      </c>
      <c r="BX247" s="78">
        <v>5619.3571535475403</v>
      </c>
      <c r="BY247" s="402">
        <v>0.48799999999999999</v>
      </c>
      <c r="BZ247" s="78">
        <v>35748</v>
      </c>
      <c r="CA247" s="78">
        <v>4820</v>
      </c>
      <c r="CB247" s="78">
        <v>843</v>
      </c>
      <c r="CC247" s="78">
        <v>903</v>
      </c>
      <c r="CD247" s="78">
        <v>792</v>
      </c>
      <c r="CE247" s="78">
        <v>408</v>
      </c>
      <c r="CF247" s="78">
        <v>381.440878469415</v>
      </c>
      <c r="CG247" s="78">
        <v>225.17359202371301</v>
      </c>
      <c r="CH247" s="78">
        <v>74.217003503098894</v>
      </c>
      <c r="CI247" s="78">
        <v>978.25649999999996</v>
      </c>
      <c r="CJ247" s="78">
        <v>577.48800000000006</v>
      </c>
      <c r="CK247" s="78">
        <v>190.33949999999999</v>
      </c>
      <c r="CL247" s="78">
        <v>31390</v>
      </c>
    </row>
    <row r="248" spans="1:90" customFormat="1" x14ac:dyDescent="0.35">
      <c r="A248" s="72">
        <v>642</v>
      </c>
      <c r="B248" s="72" t="s">
        <v>364</v>
      </c>
      <c r="C248" s="72">
        <v>8</v>
      </c>
      <c r="D248" s="78">
        <v>3541200000</v>
      </c>
      <c r="E248" s="78">
        <v>645050000</v>
      </c>
      <c r="F248" s="78">
        <v>652400000</v>
      </c>
      <c r="G248" s="78">
        <v>44737</v>
      </c>
      <c r="H248" s="78">
        <v>2</v>
      </c>
      <c r="I248" s="78">
        <f t="shared" si="11"/>
        <v>652.4</v>
      </c>
      <c r="J248" s="78">
        <v>8703</v>
      </c>
      <c r="K248" s="78">
        <v>10157</v>
      </c>
      <c r="L248" s="78">
        <v>3465</v>
      </c>
      <c r="M248" s="78">
        <v>6477</v>
      </c>
      <c r="N248" s="78">
        <f t="shared" si="12"/>
        <v>4416.7</v>
      </c>
      <c r="O248" s="78">
        <v>1105</v>
      </c>
      <c r="P248" s="78">
        <v>84</v>
      </c>
      <c r="Q248" s="78">
        <v>3215</v>
      </c>
      <c r="R248" s="78">
        <v>6926</v>
      </c>
      <c r="S248" s="78">
        <v>4480</v>
      </c>
      <c r="T248" s="78">
        <v>0</v>
      </c>
      <c r="U248" s="78">
        <v>1869</v>
      </c>
      <c r="V248" s="78">
        <v>20667</v>
      </c>
      <c r="W248" s="78">
        <v>42490</v>
      </c>
      <c r="X248" s="78">
        <v>21540</v>
      </c>
      <c r="Y248" s="78">
        <v>562.32000000000005</v>
      </c>
      <c r="Z248" s="78">
        <v>2572</v>
      </c>
      <c r="AA248" s="78">
        <v>0</v>
      </c>
      <c r="AB248" s="399">
        <v>0</v>
      </c>
      <c r="AC248" s="399">
        <v>0</v>
      </c>
      <c r="AD248" s="78">
        <v>2028</v>
      </c>
      <c r="AE248" s="78">
        <v>2717.52</v>
      </c>
      <c r="AF248" s="78">
        <v>249</v>
      </c>
      <c r="AG248" s="78">
        <v>0</v>
      </c>
      <c r="AH248" s="78">
        <v>189</v>
      </c>
      <c r="AI248" s="78">
        <v>42</v>
      </c>
      <c r="AJ248" s="78">
        <v>253.26</v>
      </c>
      <c r="AK248" s="78">
        <v>55.86</v>
      </c>
      <c r="AL248" s="78">
        <v>231</v>
      </c>
      <c r="AM248" s="78">
        <v>20603</v>
      </c>
      <c r="AN248" s="78">
        <v>27608.02</v>
      </c>
      <c r="AO248" s="78">
        <v>0</v>
      </c>
      <c r="AP248" s="78">
        <v>0</v>
      </c>
      <c r="AQ248" s="78">
        <v>0</v>
      </c>
      <c r="AR248" s="78">
        <v>0</v>
      </c>
      <c r="AS248" s="78">
        <v>2450</v>
      </c>
      <c r="AT248" s="78">
        <v>0</v>
      </c>
      <c r="AU248" s="400">
        <v>3.7453299999999997E-4</v>
      </c>
      <c r="AV248" s="400">
        <v>2.1429280000000001E-3</v>
      </c>
      <c r="AW248" s="78">
        <v>42689.415999999997</v>
      </c>
      <c r="AX248" s="78">
        <v>0</v>
      </c>
      <c r="AY248" s="78">
        <v>1721.9</v>
      </c>
      <c r="AZ248" s="78">
        <v>75006.875458937197</v>
      </c>
      <c r="BA248" s="78">
        <v>3</v>
      </c>
      <c r="BB248" s="78">
        <v>3.99</v>
      </c>
      <c r="BC248" s="78">
        <v>4312</v>
      </c>
      <c r="BD248" s="78">
        <v>1</v>
      </c>
      <c r="BE248" s="78">
        <v>0</v>
      </c>
      <c r="BF248" s="78">
        <v>0</v>
      </c>
      <c r="BG248" s="78">
        <v>0</v>
      </c>
      <c r="BH248" s="78">
        <v>0</v>
      </c>
      <c r="BI248" s="78">
        <v>0</v>
      </c>
      <c r="BJ248" s="78">
        <v>0</v>
      </c>
      <c r="BK248" s="78">
        <v>0</v>
      </c>
      <c r="BL248" s="78">
        <v>0</v>
      </c>
      <c r="BM248" s="78">
        <v>1435.9949999999999</v>
      </c>
      <c r="BN248" s="78">
        <v>219</v>
      </c>
      <c r="BO248" s="78">
        <v>159</v>
      </c>
      <c r="BP248" s="78">
        <v>13508.54</v>
      </c>
      <c r="BQ248" s="78">
        <v>2951.18</v>
      </c>
      <c r="BR248" s="78">
        <v>470.02428886344097</v>
      </c>
      <c r="BS248" s="78">
        <v>770</v>
      </c>
      <c r="BT248" s="78">
        <v>420.33333333333297</v>
      </c>
      <c r="BU248" s="78">
        <v>394.66666666666703</v>
      </c>
      <c r="BV248" s="78">
        <f t="shared" si="13"/>
        <v>2110</v>
      </c>
      <c r="BW248" s="78">
        <v>479</v>
      </c>
      <c r="BX248" s="78">
        <v>8378.6741602634502</v>
      </c>
      <c r="BY248" s="402">
        <v>2.84</v>
      </c>
      <c r="BZ248" s="78">
        <v>34580</v>
      </c>
      <c r="CA248" s="78">
        <v>5353</v>
      </c>
      <c r="CB248" s="78">
        <v>1339</v>
      </c>
      <c r="CC248" s="78">
        <v>1190</v>
      </c>
      <c r="CD248" s="78">
        <v>1210</v>
      </c>
      <c r="CE248" s="78">
        <v>711</v>
      </c>
      <c r="CF248" s="78">
        <v>722.64697859534999</v>
      </c>
      <c r="CG248" s="78">
        <v>513.20583410182996</v>
      </c>
      <c r="CH248" s="78">
        <v>209.65551618696301</v>
      </c>
      <c r="CI248" s="78">
        <v>1540.8841</v>
      </c>
      <c r="CJ248" s="78">
        <v>1094.2973999999999</v>
      </c>
      <c r="CK248" s="78">
        <v>447.04379999999998</v>
      </c>
      <c r="CL248" s="78">
        <v>23814</v>
      </c>
    </row>
    <row r="249" spans="1:90" customFormat="1" x14ac:dyDescent="0.35">
      <c r="A249" s="72">
        <v>654</v>
      </c>
      <c r="B249" s="72" t="s">
        <v>57</v>
      </c>
      <c r="C249" s="72">
        <v>9</v>
      </c>
      <c r="D249" s="78">
        <v>1789600000</v>
      </c>
      <c r="E249" s="78">
        <v>789250000</v>
      </c>
      <c r="F249" s="78">
        <v>819700000</v>
      </c>
      <c r="G249" s="78">
        <v>22739</v>
      </c>
      <c r="H249" s="78">
        <v>6</v>
      </c>
      <c r="I249" s="78">
        <f t="shared" si="11"/>
        <v>819.7</v>
      </c>
      <c r="J249" s="78">
        <v>4725</v>
      </c>
      <c r="K249" s="78">
        <v>4681</v>
      </c>
      <c r="L249" s="78">
        <v>1467</v>
      </c>
      <c r="M249" s="78">
        <v>2658</v>
      </c>
      <c r="N249" s="78">
        <f t="shared" si="12"/>
        <v>1638.1999999999998</v>
      </c>
      <c r="O249" s="78">
        <v>216</v>
      </c>
      <c r="P249" s="78">
        <v>24</v>
      </c>
      <c r="Q249" s="78">
        <v>1173</v>
      </c>
      <c r="R249" s="78">
        <v>2810</v>
      </c>
      <c r="S249" s="78">
        <v>325</v>
      </c>
      <c r="T249" s="78">
        <v>0</v>
      </c>
      <c r="U249" s="78">
        <v>548</v>
      </c>
      <c r="V249" s="78">
        <v>9761</v>
      </c>
      <c r="W249" s="78">
        <v>18040</v>
      </c>
      <c r="X249" s="78">
        <v>5250</v>
      </c>
      <c r="Y249" s="78">
        <v>0</v>
      </c>
      <c r="Z249" s="78">
        <v>0</v>
      </c>
      <c r="AA249" s="78">
        <v>0</v>
      </c>
      <c r="AB249" s="399">
        <v>0</v>
      </c>
      <c r="AC249" s="399">
        <v>0</v>
      </c>
      <c r="AD249" s="78">
        <v>14140</v>
      </c>
      <c r="AE249" s="78">
        <v>15836.8</v>
      </c>
      <c r="AF249" s="78">
        <v>279</v>
      </c>
      <c r="AG249" s="78">
        <v>5033</v>
      </c>
      <c r="AH249" s="78">
        <v>119</v>
      </c>
      <c r="AI249" s="78">
        <v>165</v>
      </c>
      <c r="AJ249" s="78">
        <v>133.28</v>
      </c>
      <c r="AK249" s="78">
        <v>184.8</v>
      </c>
      <c r="AL249" s="78">
        <v>285</v>
      </c>
      <c r="AM249" s="78">
        <v>10198</v>
      </c>
      <c r="AN249" s="78">
        <v>11421.76</v>
      </c>
      <c r="AO249" s="78">
        <v>0</v>
      </c>
      <c r="AP249" s="78">
        <v>0</v>
      </c>
      <c r="AQ249" s="78">
        <v>0</v>
      </c>
      <c r="AR249" s="78">
        <v>0</v>
      </c>
      <c r="AS249" s="78">
        <v>0</v>
      </c>
      <c r="AT249" s="78">
        <v>0</v>
      </c>
      <c r="AU249" s="400">
        <v>6.57707E-4</v>
      </c>
      <c r="AV249" s="400">
        <v>2.03131E-4</v>
      </c>
      <c r="AW249" s="78">
        <v>3263.36</v>
      </c>
      <c r="AX249" s="78">
        <v>0</v>
      </c>
      <c r="AY249" s="78">
        <v>2542.4</v>
      </c>
      <c r="AZ249" s="78">
        <v>5750.9373798460401</v>
      </c>
      <c r="BA249" s="78">
        <v>18</v>
      </c>
      <c r="BB249" s="78">
        <v>20.16</v>
      </c>
      <c r="BC249" s="78">
        <v>2551</v>
      </c>
      <c r="BD249" s="78">
        <v>1</v>
      </c>
      <c r="BE249" s="78">
        <v>0</v>
      </c>
      <c r="BF249" s="78">
        <v>0</v>
      </c>
      <c r="BG249" s="78">
        <v>0</v>
      </c>
      <c r="BH249" s="78">
        <v>0</v>
      </c>
      <c r="BI249" s="78">
        <v>0</v>
      </c>
      <c r="BJ249" s="78">
        <v>0</v>
      </c>
      <c r="BK249" s="78">
        <v>0</v>
      </c>
      <c r="BL249" s="78">
        <v>0</v>
      </c>
      <c r="BM249" s="78">
        <v>359.1</v>
      </c>
      <c r="BN249" s="78">
        <v>120</v>
      </c>
      <c r="BO249" s="78">
        <v>45</v>
      </c>
      <c r="BP249" s="78">
        <v>6558.45</v>
      </c>
      <c r="BQ249" s="78">
        <v>1570.4</v>
      </c>
      <c r="BR249" s="78">
        <v>180.09896839332799</v>
      </c>
      <c r="BS249" s="78">
        <v>215</v>
      </c>
      <c r="BT249" s="78">
        <v>64.6666666666667</v>
      </c>
      <c r="BU249" s="78">
        <v>50.3333333333333</v>
      </c>
      <c r="BV249" s="78">
        <f t="shared" si="13"/>
        <v>957</v>
      </c>
      <c r="BW249" s="78">
        <v>267</v>
      </c>
      <c r="BX249" s="78">
        <v>3519.5583771929801</v>
      </c>
      <c r="BY249" s="402">
        <v>0.218</v>
      </c>
      <c r="BZ249" s="78">
        <v>18058</v>
      </c>
      <c r="CA249" s="78">
        <v>2655</v>
      </c>
      <c r="CB249" s="78">
        <v>559</v>
      </c>
      <c r="CC249" s="78">
        <v>484</v>
      </c>
      <c r="CD249" s="78">
        <v>447</v>
      </c>
      <c r="CE249" s="78">
        <v>286</v>
      </c>
      <c r="CF249" s="78">
        <v>259.27189645028398</v>
      </c>
      <c r="CG249" s="78">
        <v>159.193586977839</v>
      </c>
      <c r="CH249" s="78">
        <v>64.898293783094701</v>
      </c>
      <c r="CI249" s="78">
        <v>706.125</v>
      </c>
      <c r="CJ249" s="78">
        <v>433.5625</v>
      </c>
      <c r="CK249" s="78">
        <v>176.75</v>
      </c>
      <c r="CL249" s="78">
        <v>0</v>
      </c>
    </row>
    <row r="250" spans="1:90" customFormat="1" x14ac:dyDescent="0.35">
      <c r="A250" s="72">
        <v>664</v>
      </c>
      <c r="B250" s="72" t="s">
        <v>116</v>
      </c>
      <c r="C250" s="72">
        <v>9</v>
      </c>
      <c r="D250" s="78">
        <v>3336800000</v>
      </c>
      <c r="E250" s="78">
        <v>773500000</v>
      </c>
      <c r="F250" s="78">
        <v>810250000</v>
      </c>
      <c r="G250" s="78">
        <v>38082</v>
      </c>
      <c r="H250" s="78">
        <v>3</v>
      </c>
      <c r="I250" s="78">
        <f t="shared" si="11"/>
        <v>810.25</v>
      </c>
      <c r="J250" s="78">
        <v>6838</v>
      </c>
      <c r="K250" s="78">
        <v>9015</v>
      </c>
      <c r="L250" s="78">
        <v>2854</v>
      </c>
      <c r="M250" s="78">
        <v>5959</v>
      </c>
      <c r="N250" s="78">
        <f t="shared" si="12"/>
        <v>4052.8999999999996</v>
      </c>
      <c r="O250" s="78">
        <v>713</v>
      </c>
      <c r="P250" s="78">
        <v>37</v>
      </c>
      <c r="Q250" s="78">
        <v>2923</v>
      </c>
      <c r="R250" s="78">
        <v>6845</v>
      </c>
      <c r="S250" s="78">
        <v>1490</v>
      </c>
      <c r="T250" s="78">
        <v>0</v>
      </c>
      <c r="U250" s="78">
        <v>1173</v>
      </c>
      <c r="V250" s="78">
        <v>18606</v>
      </c>
      <c r="W250" s="78">
        <v>43050</v>
      </c>
      <c r="X250" s="78">
        <v>50620</v>
      </c>
      <c r="Y250" s="78">
        <v>3358.66</v>
      </c>
      <c r="Z250" s="78">
        <v>4380.8</v>
      </c>
      <c r="AA250" s="78">
        <v>0</v>
      </c>
      <c r="AB250" s="399">
        <v>0</v>
      </c>
      <c r="AC250" s="399">
        <v>0</v>
      </c>
      <c r="AD250" s="78">
        <v>9268</v>
      </c>
      <c r="AE250" s="78">
        <v>10750.88</v>
      </c>
      <c r="AF250" s="78">
        <v>616</v>
      </c>
      <c r="AG250" s="78">
        <v>307</v>
      </c>
      <c r="AH250" s="78">
        <v>226</v>
      </c>
      <c r="AI250" s="78">
        <v>44</v>
      </c>
      <c r="AJ250" s="78">
        <v>275.72000000000003</v>
      </c>
      <c r="AK250" s="78">
        <v>50.6</v>
      </c>
      <c r="AL250" s="78">
        <v>271</v>
      </c>
      <c r="AM250" s="78">
        <v>19061</v>
      </c>
      <c r="AN250" s="78">
        <v>23254.42</v>
      </c>
      <c r="AO250" s="78">
        <v>21</v>
      </c>
      <c r="AP250" s="78">
        <v>0</v>
      </c>
      <c r="AQ250" s="78">
        <v>0</v>
      </c>
      <c r="AR250" s="78">
        <v>2350</v>
      </c>
      <c r="AS250" s="78">
        <v>2371</v>
      </c>
      <c r="AT250" s="78">
        <v>2371</v>
      </c>
      <c r="AU250" s="400">
        <v>1.723544E-3</v>
      </c>
      <c r="AV250" s="400">
        <v>1.8454540000000001E-3</v>
      </c>
      <c r="AW250" s="78">
        <v>25408.312999999998</v>
      </c>
      <c r="AX250" s="78">
        <v>0</v>
      </c>
      <c r="AY250" s="78">
        <v>2973.08</v>
      </c>
      <c r="AZ250" s="78">
        <v>16701.985374342399</v>
      </c>
      <c r="BA250" s="78">
        <v>7</v>
      </c>
      <c r="BB250" s="78">
        <v>8.0500000000000007</v>
      </c>
      <c r="BC250" s="78">
        <v>4590</v>
      </c>
      <c r="BD250" s="78">
        <v>1</v>
      </c>
      <c r="BE250" s="78">
        <v>0</v>
      </c>
      <c r="BF250" s="78">
        <v>0</v>
      </c>
      <c r="BG250" s="78">
        <v>0</v>
      </c>
      <c r="BH250" s="78">
        <v>0</v>
      </c>
      <c r="BI250" s="78">
        <v>0</v>
      </c>
      <c r="BJ250" s="78">
        <v>0</v>
      </c>
      <c r="BK250" s="78">
        <v>0</v>
      </c>
      <c r="BL250" s="78">
        <v>0</v>
      </c>
      <c r="BM250" s="78">
        <v>690.63800000000003</v>
      </c>
      <c r="BN250" s="78">
        <v>121</v>
      </c>
      <c r="BO250" s="78">
        <v>85</v>
      </c>
      <c r="BP250" s="78">
        <v>11732.16</v>
      </c>
      <c r="BQ250" s="78">
        <v>2514.6</v>
      </c>
      <c r="BR250" s="78">
        <v>305.54848255271497</v>
      </c>
      <c r="BS250" s="78">
        <v>446</v>
      </c>
      <c r="BT250" s="78">
        <v>156.666666666667</v>
      </c>
      <c r="BU250" s="78">
        <v>143</v>
      </c>
      <c r="BV250" s="78">
        <f t="shared" si="13"/>
        <v>2210</v>
      </c>
      <c r="BW250" s="78">
        <v>701</v>
      </c>
      <c r="BX250" s="78">
        <v>7844.0039964943098</v>
      </c>
      <c r="BY250" s="402">
        <v>1.7949999999999999</v>
      </c>
      <c r="BZ250" s="78">
        <v>29067</v>
      </c>
      <c r="CA250" s="78">
        <v>4894</v>
      </c>
      <c r="CB250" s="78">
        <v>1267</v>
      </c>
      <c r="CC250" s="78">
        <v>1087</v>
      </c>
      <c r="CD250" s="78">
        <v>925</v>
      </c>
      <c r="CE250" s="78">
        <v>660</v>
      </c>
      <c r="CF250" s="78">
        <v>639.15940401867704</v>
      </c>
      <c r="CG250" s="78">
        <v>404.41822569644802</v>
      </c>
      <c r="CH250" s="78">
        <v>186.47464980851001</v>
      </c>
      <c r="CI250" s="78">
        <v>1350.2952</v>
      </c>
      <c r="CJ250" s="78">
        <v>854.37840000000006</v>
      </c>
      <c r="CK250" s="78">
        <v>393.94839999999999</v>
      </c>
      <c r="CL250" s="78">
        <v>95475</v>
      </c>
    </row>
    <row r="251" spans="1:90" customFormat="1" x14ac:dyDescent="0.35">
      <c r="A251" s="72">
        <v>677</v>
      </c>
      <c r="B251" s="72" t="s">
        <v>161</v>
      </c>
      <c r="C251" s="72">
        <v>9</v>
      </c>
      <c r="D251" s="78">
        <v>2242400000</v>
      </c>
      <c r="E251" s="78">
        <v>294350000</v>
      </c>
      <c r="F251" s="78">
        <v>339150000</v>
      </c>
      <c r="G251" s="78">
        <v>27556</v>
      </c>
      <c r="H251" s="78">
        <v>4</v>
      </c>
      <c r="I251" s="78">
        <f t="shared" si="11"/>
        <v>339.15</v>
      </c>
      <c r="J251" s="78">
        <v>4530</v>
      </c>
      <c r="K251" s="78">
        <v>6944</v>
      </c>
      <c r="L251" s="78">
        <v>2243</v>
      </c>
      <c r="M251" s="78">
        <v>3873</v>
      </c>
      <c r="N251" s="78">
        <f t="shared" si="12"/>
        <v>2491.6999999999998</v>
      </c>
      <c r="O251" s="78">
        <v>291</v>
      </c>
      <c r="P251" s="78">
        <v>18</v>
      </c>
      <c r="Q251" s="78">
        <v>1866</v>
      </c>
      <c r="R251" s="78">
        <v>4210</v>
      </c>
      <c r="S251" s="78">
        <v>440</v>
      </c>
      <c r="T251" s="78">
        <v>0</v>
      </c>
      <c r="U251" s="78">
        <v>716</v>
      </c>
      <c r="V251" s="78">
        <v>13255</v>
      </c>
      <c r="W251" s="78">
        <v>26990</v>
      </c>
      <c r="X251" s="78">
        <v>21140</v>
      </c>
      <c r="Y251" s="78">
        <v>384.54</v>
      </c>
      <c r="Z251" s="78">
        <v>1001.6</v>
      </c>
      <c r="AA251" s="78">
        <v>0</v>
      </c>
      <c r="AB251" s="399">
        <v>0</v>
      </c>
      <c r="AC251" s="399">
        <v>0</v>
      </c>
      <c r="AD251" s="78">
        <v>20124</v>
      </c>
      <c r="AE251" s="78">
        <v>20928.96</v>
      </c>
      <c r="AF251" s="78">
        <v>341</v>
      </c>
      <c r="AG251" s="78">
        <v>4717</v>
      </c>
      <c r="AH251" s="78">
        <v>204</v>
      </c>
      <c r="AI251" s="78">
        <v>88</v>
      </c>
      <c r="AJ251" s="78">
        <v>208.08</v>
      </c>
      <c r="AK251" s="78">
        <v>91.52</v>
      </c>
      <c r="AL251" s="78">
        <v>291</v>
      </c>
      <c r="AM251" s="78">
        <v>13813</v>
      </c>
      <c r="AN251" s="78">
        <v>14089.26</v>
      </c>
      <c r="AO251" s="78">
        <v>15</v>
      </c>
      <c r="AP251" s="78">
        <v>0</v>
      </c>
      <c r="AQ251" s="78">
        <v>0</v>
      </c>
      <c r="AR251" s="78">
        <v>4550</v>
      </c>
      <c r="AS251" s="78">
        <v>874</v>
      </c>
      <c r="AT251" s="78">
        <v>874</v>
      </c>
      <c r="AU251" s="400">
        <v>1.272037E-3</v>
      </c>
      <c r="AV251" s="400">
        <v>3.3927099999999998E-4</v>
      </c>
      <c r="AW251" s="78">
        <v>7003.1909999999998</v>
      </c>
      <c r="AX251" s="78">
        <v>0</v>
      </c>
      <c r="AY251" s="78">
        <v>3114.8</v>
      </c>
      <c r="AZ251" s="78">
        <v>4754.2010652333302</v>
      </c>
      <c r="BA251" s="78">
        <v>16</v>
      </c>
      <c r="BB251" s="78">
        <v>16.64</v>
      </c>
      <c r="BC251" s="78">
        <v>2611</v>
      </c>
      <c r="BD251" s="78">
        <v>1</v>
      </c>
      <c r="BE251" s="78">
        <v>0</v>
      </c>
      <c r="BF251" s="78">
        <v>0</v>
      </c>
      <c r="BG251" s="78">
        <v>0</v>
      </c>
      <c r="BH251" s="78">
        <v>0</v>
      </c>
      <c r="BI251" s="78">
        <v>0</v>
      </c>
      <c r="BJ251" s="78">
        <v>0</v>
      </c>
      <c r="BK251" s="78">
        <v>0</v>
      </c>
      <c r="BL251" s="78">
        <v>0</v>
      </c>
      <c r="BM251" s="78">
        <v>394.11</v>
      </c>
      <c r="BN251" s="78">
        <v>55</v>
      </c>
      <c r="BO251" s="78">
        <v>55</v>
      </c>
      <c r="BP251" s="78">
        <v>8487.56</v>
      </c>
      <c r="BQ251" s="78">
        <v>1811.25</v>
      </c>
      <c r="BR251" s="78">
        <v>107.53097750194</v>
      </c>
      <c r="BS251" s="78">
        <v>250</v>
      </c>
      <c r="BT251" s="78">
        <v>74.3333333333333</v>
      </c>
      <c r="BU251" s="78">
        <v>49</v>
      </c>
      <c r="BV251" s="78">
        <f t="shared" si="13"/>
        <v>1575</v>
      </c>
      <c r="BW251" s="78">
        <v>499</v>
      </c>
      <c r="BX251" s="78">
        <v>4142.9310681587003</v>
      </c>
      <c r="BY251" s="402">
        <v>0.45700000000000002</v>
      </c>
      <c r="BZ251" s="78">
        <v>20612</v>
      </c>
      <c r="CA251" s="78">
        <v>3827</v>
      </c>
      <c r="CB251" s="78">
        <v>874</v>
      </c>
      <c r="CC251" s="78">
        <v>715</v>
      </c>
      <c r="CD251" s="78">
        <v>726</v>
      </c>
      <c r="CE251" s="78">
        <v>446</v>
      </c>
      <c r="CF251" s="78">
        <v>415.97482082096599</v>
      </c>
      <c r="CG251" s="78">
        <v>272.38594078042399</v>
      </c>
      <c r="CH251" s="78">
        <v>112.92291319771201</v>
      </c>
      <c r="CI251" s="78">
        <v>1044.8486</v>
      </c>
      <c r="CJ251" s="78">
        <v>684.18100000000004</v>
      </c>
      <c r="CK251" s="78">
        <v>283.64060000000001</v>
      </c>
      <c r="CL251" s="78">
        <v>109681</v>
      </c>
    </row>
    <row r="252" spans="1:90" customFormat="1" x14ac:dyDescent="0.35">
      <c r="A252" s="72">
        <v>678</v>
      </c>
      <c r="B252" s="72" t="s">
        <v>165</v>
      </c>
      <c r="C252" s="72">
        <v>9</v>
      </c>
      <c r="D252" s="78">
        <v>1100400000</v>
      </c>
      <c r="E252" s="78">
        <v>160300000</v>
      </c>
      <c r="F252" s="78">
        <v>169750000</v>
      </c>
      <c r="G252" s="78">
        <v>12695</v>
      </c>
      <c r="H252" s="78">
        <v>2</v>
      </c>
      <c r="I252" s="78">
        <f t="shared" si="11"/>
        <v>169.75</v>
      </c>
      <c r="J252" s="78">
        <v>2762</v>
      </c>
      <c r="K252" s="78">
        <v>2690</v>
      </c>
      <c r="L252" s="78">
        <v>850</v>
      </c>
      <c r="M252" s="78">
        <v>1242</v>
      </c>
      <c r="N252" s="78">
        <f t="shared" si="12"/>
        <v>677.1</v>
      </c>
      <c r="O252" s="78">
        <v>79.3333333333333</v>
      </c>
      <c r="P252" s="78">
        <v>12</v>
      </c>
      <c r="Q252" s="78">
        <v>513.33333333333303</v>
      </c>
      <c r="R252" s="78">
        <v>1438</v>
      </c>
      <c r="S252" s="78">
        <v>230</v>
      </c>
      <c r="T252" s="78">
        <v>0</v>
      </c>
      <c r="U252" s="78">
        <v>297</v>
      </c>
      <c r="V252" s="78">
        <v>5373</v>
      </c>
      <c r="W252" s="78">
        <v>12370</v>
      </c>
      <c r="X252" s="78">
        <v>6000</v>
      </c>
      <c r="Y252" s="78">
        <v>456.54</v>
      </c>
      <c r="Z252" s="78">
        <v>302.39999999999998</v>
      </c>
      <c r="AA252" s="78">
        <v>0</v>
      </c>
      <c r="AB252" s="399">
        <v>0</v>
      </c>
      <c r="AC252" s="399">
        <v>378</v>
      </c>
      <c r="AD252" s="78">
        <v>3706</v>
      </c>
      <c r="AE252" s="78">
        <v>4373.08</v>
      </c>
      <c r="AF252" s="78">
        <v>110</v>
      </c>
      <c r="AG252" s="78">
        <v>1146</v>
      </c>
      <c r="AH252" s="78">
        <v>91</v>
      </c>
      <c r="AI252" s="78">
        <v>28</v>
      </c>
      <c r="AJ252" s="78">
        <v>105.56</v>
      </c>
      <c r="AK252" s="78">
        <v>33.04</v>
      </c>
      <c r="AL252" s="78">
        <v>119</v>
      </c>
      <c r="AM252" s="78">
        <v>5649</v>
      </c>
      <c r="AN252" s="78">
        <v>6552.84</v>
      </c>
      <c r="AO252" s="78">
        <v>0</v>
      </c>
      <c r="AP252" s="78">
        <v>0</v>
      </c>
      <c r="AQ252" s="78">
        <v>0</v>
      </c>
      <c r="AR252" s="78">
        <v>0</v>
      </c>
      <c r="AS252" s="78">
        <v>0</v>
      </c>
      <c r="AT252" s="78">
        <v>0</v>
      </c>
      <c r="AU252" s="400">
        <v>2.8052699999999998E-4</v>
      </c>
      <c r="AV252" s="400">
        <v>8.8933999999999999E-5</v>
      </c>
      <c r="AW252" s="78">
        <v>3643.605</v>
      </c>
      <c r="AX252" s="78">
        <v>0</v>
      </c>
      <c r="AY252" s="78">
        <v>823.64</v>
      </c>
      <c r="AZ252" s="78">
        <v>4852.0449685534604</v>
      </c>
      <c r="BA252" s="78">
        <v>4</v>
      </c>
      <c r="BB252" s="78">
        <v>4.72</v>
      </c>
      <c r="BC252" s="78">
        <v>1439</v>
      </c>
      <c r="BD252" s="78">
        <v>1</v>
      </c>
      <c r="BE252" s="78">
        <v>0</v>
      </c>
      <c r="BF252" s="78">
        <v>0</v>
      </c>
      <c r="BG252" s="78">
        <v>0</v>
      </c>
      <c r="BH252" s="78">
        <v>0</v>
      </c>
      <c r="BI252" s="78">
        <v>0</v>
      </c>
      <c r="BJ252" s="78">
        <v>0</v>
      </c>
      <c r="BK252" s="78">
        <v>0</v>
      </c>
      <c r="BL252" s="78">
        <v>0</v>
      </c>
      <c r="BM252" s="78">
        <v>187.816</v>
      </c>
      <c r="BN252" s="78">
        <v>35</v>
      </c>
      <c r="BO252" s="78">
        <v>30</v>
      </c>
      <c r="BP252" s="78">
        <v>3795.12</v>
      </c>
      <c r="BQ252" s="78">
        <v>999.6</v>
      </c>
      <c r="BR252" s="78">
        <v>116.647668536461</v>
      </c>
      <c r="BS252" s="78">
        <v>140</v>
      </c>
      <c r="BT252" s="78">
        <v>34.6666666666667</v>
      </c>
      <c r="BU252" s="78">
        <v>25.3333333333333</v>
      </c>
      <c r="BV252" s="78">
        <f t="shared" si="13"/>
        <v>433.99999999999972</v>
      </c>
      <c r="BW252" s="78">
        <v>104</v>
      </c>
      <c r="BX252" s="78">
        <v>1915.2222135314801</v>
      </c>
      <c r="BY252" s="402">
        <v>6.3E-2</v>
      </c>
      <c r="BZ252" s="78">
        <v>10005</v>
      </c>
      <c r="CA252" s="78">
        <v>1494</v>
      </c>
      <c r="CB252" s="78">
        <v>346</v>
      </c>
      <c r="CC252" s="78">
        <v>247</v>
      </c>
      <c r="CD252" s="78">
        <v>246</v>
      </c>
      <c r="CE252" s="78">
        <v>174</v>
      </c>
      <c r="CF252" s="78">
        <v>108.95448751991501</v>
      </c>
      <c r="CG252" s="78">
        <v>65.684333510355799</v>
      </c>
      <c r="CH252" s="78">
        <v>28.886723313860902</v>
      </c>
      <c r="CI252" s="78">
        <v>373.87169999999998</v>
      </c>
      <c r="CJ252" s="78">
        <v>225.39240000000001</v>
      </c>
      <c r="CK252" s="78">
        <v>99.1233</v>
      </c>
      <c r="CL252" s="78">
        <v>0</v>
      </c>
    </row>
    <row r="253" spans="1:90" customFormat="1" x14ac:dyDescent="0.35">
      <c r="A253" s="72">
        <v>687</v>
      </c>
      <c r="B253" s="72" t="s">
        <v>200</v>
      </c>
      <c r="C253" s="72">
        <v>9</v>
      </c>
      <c r="D253" s="78">
        <v>3853200000</v>
      </c>
      <c r="E253" s="78">
        <v>688450000</v>
      </c>
      <c r="F253" s="78">
        <v>721700000</v>
      </c>
      <c r="G253" s="78">
        <v>48822</v>
      </c>
      <c r="H253" s="78">
        <v>2</v>
      </c>
      <c r="I253" s="78">
        <f t="shared" si="11"/>
        <v>721.7</v>
      </c>
      <c r="J253" s="78">
        <v>9532</v>
      </c>
      <c r="K253" s="78">
        <v>10948</v>
      </c>
      <c r="L253" s="78">
        <v>3588</v>
      </c>
      <c r="M253" s="78">
        <v>7407</v>
      </c>
      <c r="N253" s="78">
        <f t="shared" si="12"/>
        <v>5000.2</v>
      </c>
      <c r="O253" s="78">
        <v>1334.6666666666699</v>
      </c>
      <c r="P253" s="78">
        <v>39</v>
      </c>
      <c r="Q253" s="78">
        <v>3636.6666666666702</v>
      </c>
      <c r="R253" s="78">
        <v>9340</v>
      </c>
      <c r="S253" s="78">
        <v>2570</v>
      </c>
      <c r="T253" s="78">
        <v>0</v>
      </c>
      <c r="U253" s="78">
        <v>1718</v>
      </c>
      <c r="V253" s="78">
        <v>23900</v>
      </c>
      <c r="W253" s="78">
        <v>54660</v>
      </c>
      <c r="X253" s="78">
        <v>69140</v>
      </c>
      <c r="Y253" s="78">
        <v>1684.38</v>
      </c>
      <c r="Z253" s="78">
        <v>3427.2</v>
      </c>
      <c r="AA253" s="78">
        <v>0</v>
      </c>
      <c r="AB253" s="399">
        <v>0</v>
      </c>
      <c r="AC253" s="399">
        <v>0</v>
      </c>
      <c r="AD253" s="78">
        <v>4837</v>
      </c>
      <c r="AE253" s="78">
        <v>5223.96</v>
      </c>
      <c r="AF253" s="78">
        <v>467</v>
      </c>
      <c r="AG253" s="78">
        <v>0</v>
      </c>
      <c r="AH253" s="78">
        <v>253</v>
      </c>
      <c r="AI253" s="78">
        <v>27</v>
      </c>
      <c r="AJ253" s="78">
        <v>283.36</v>
      </c>
      <c r="AK253" s="78">
        <v>28.62</v>
      </c>
      <c r="AL253" s="78">
        <v>280</v>
      </c>
      <c r="AM253" s="78">
        <v>24068</v>
      </c>
      <c r="AN253" s="78">
        <v>26956.16</v>
      </c>
      <c r="AO253" s="78">
        <v>0</v>
      </c>
      <c r="AP253" s="78">
        <v>0</v>
      </c>
      <c r="AQ253" s="78">
        <v>77</v>
      </c>
      <c r="AR253" s="78">
        <v>8700</v>
      </c>
      <c r="AS253" s="78">
        <v>4287</v>
      </c>
      <c r="AT253" s="78">
        <v>4287</v>
      </c>
      <c r="AU253" s="400">
        <v>3.8971890000000001E-3</v>
      </c>
      <c r="AV253" s="400">
        <v>2.3647749999999999E-3</v>
      </c>
      <c r="AW253" s="78">
        <v>41878.32</v>
      </c>
      <c r="AX253" s="78">
        <v>0</v>
      </c>
      <c r="AY253" s="78">
        <v>1815.48</v>
      </c>
      <c r="AZ253" s="78">
        <v>22874.5429411765</v>
      </c>
      <c r="BA253" s="78">
        <v>5</v>
      </c>
      <c r="BB253" s="78">
        <v>5.3</v>
      </c>
      <c r="BC253" s="78">
        <v>4780</v>
      </c>
      <c r="BD253" s="78">
        <v>1</v>
      </c>
      <c r="BE253" s="78">
        <v>0</v>
      </c>
      <c r="BF253" s="78">
        <v>0</v>
      </c>
      <c r="BG253" s="78">
        <v>0</v>
      </c>
      <c r="BH253" s="78">
        <v>0</v>
      </c>
      <c r="BI253" s="78">
        <v>0</v>
      </c>
      <c r="BJ253" s="78">
        <v>0</v>
      </c>
      <c r="BK253" s="78">
        <v>0</v>
      </c>
      <c r="BL253" s="78">
        <v>0</v>
      </c>
      <c r="BM253" s="78">
        <v>1286.82</v>
      </c>
      <c r="BN253" s="78">
        <v>196</v>
      </c>
      <c r="BO253" s="78">
        <v>186</v>
      </c>
      <c r="BP253" s="78">
        <v>14522.76</v>
      </c>
      <c r="BQ253" s="78">
        <v>3084.6</v>
      </c>
      <c r="BR253" s="78">
        <v>404.38302941598499</v>
      </c>
      <c r="BS253" s="78">
        <v>647</v>
      </c>
      <c r="BT253" s="78">
        <v>389</v>
      </c>
      <c r="BU253" s="78">
        <v>365</v>
      </c>
      <c r="BV253" s="78">
        <f t="shared" si="13"/>
        <v>2302</v>
      </c>
      <c r="BW253" s="78">
        <v>692</v>
      </c>
      <c r="BX253" s="78">
        <v>7226.8709179301304</v>
      </c>
      <c r="BY253" s="402">
        <v>3.431</v>
      </c>
      <c r="BZ253" s="78">
        <v>37874</v>
      </c>
      <c r="CA253" s="78">
        <v>6029</v>
      </c>
      <c r="CB253" s="78">
        <v>1331</v>
      </c>
      <c r="CC253" s="78">
        <v>1505</v>
      </c>
      <c r="CD253" s="78">
        <v>1247</v>
      </c>
      <c r="CE253" s="78">
        <v>707</v>
      </c>
      <c r="CF253" s="78">
        <v>780.73589828818399</v>
      </c>
      <c r="CG253" s="78">
        <v>510.86470832640902</v>
      </c>
      <c r="CH253" s="78">
        <v>196.94987535316599</v>
      </c>
      <c r="CI253" s="78">
        <v>1763.2536</v>
      </c>
      <c r="CJ253" s="78">
        <v>1153.7628</v>
      </c>
      <c r="CK253" s="78">
        <v>444.80160000000001</v>
      </c>
      <c r="CL253" s="78">
        <v>168902</v>
      </c>
    </row>
    <row r="254" spans="1:90" customFormat="1" x14ac:dyDescent="0.35">
      <c r="A254" s="72">
        <v>1695</v>
      </c>
      <c r="B254" s="72" t="s">
        <v>218</v>
      </c>
      <c r="C254" s="72">
        <v>9</v>
      </c>
      <c r="D254" s="78">
        <v>1061600000</v>
      </c>
      <c r="E254" s="78">
        <v>178500000</v>
      </c>
      <c r="F254" s="78">
        <v>199150000</v>
      </c>
      <c r="G254" s="78">
        <v>7392</v>
      </c>
      <c r="H254" s="78">
        <v>5</v>
      </c>
      <c r="I254" s="78">
        <f t="shared" si="11"/>
        <v>199.15</v>
      </c>
      <c r="J254" s="78">
        <v>1109</v>
      </c>
      <c r="K254" s="78">
        <v>2080</v>
      </c>
      <c r="L254" s="78">
        <v>664</v>
      </c>
      <c r="M254" s="78">
        <v>1136</v>
      </c>
      <c r="N254" s="78">
        <f t="shared" si="12"/>
        <v>510</v>
      </c>
      <c r="O254" s="78">
        <v>98.3333333333333</v>
      </c>
      <c r="P254" s="78">
        <v>3</v>
      </c>
      <c r="Q254" s="78">
        <v>427.33333333333297</v>
      </c>
      <c r="R254" s="78">
        <v>1341</v>
      </c>
      <c r="S254" s="78">
        <v>105</v>
      </c>
      <c r="T254" s="78">
        <v>0</v>
      </c>
      <c r="U254" s="78">
        <v>201</v>
      </c>
      <c r="V254" s="78">
        <v>3703</v>
      </c>
      <c r="W254" s="78">
        <v>5210</v>
      </c>
      <c r="X254" s="78">
        <v>420</v>
      </c>
      <c r="Y254" s="78">
        <v>89.96</v>
      </c>
      <c r="Z254" s="78">
        <v>0</v>
      </c>
      <c r="AA254" s="78">
        <v>0</v>
      </c>
      <c r="AB254" s="399">
        <v>0</v>
      </c>
      <c r="AC254" s="399">
        <v>0</v>
      </c>
      <c r="AD254" s="78">
        <v>8598</v>
      </c>
      <c r="AE254" s="78">
        <v>9457.7999999999993</v>
      </c>
      <c r="AF254" s="78">
        <v>721</v>
      </c>
      <c r="AG254" s="78">
        <v>2840</v>
      </c>
      <c r="AH254" s="78">
        <v>69</v>
      </c>
      <c r="AI254" s="78">
        <v>33</v>
      </c>
      <c r="AJ254" s="78">
        <v>75.209999999999994</v>
      </c>
      <c r="AK254" s="78">
        <v>36.630000000000003</v>
      </c>
      <c r="AL254" s="78">
        <v>102</v>
      </c>
      <c r="AM254" s="78">
        <v>6260</v>
      </c>
      <c r="AN254" s="78">
        <v>6823.4</v>
      </c>
      <c r="AO254" s="78">
        <v>0</v>
      </c>
      <c r="AP254" s="78">
        <v>0</v>
      </c>
      <c r="AQ254" s="78">
        <v>0</v>
      </c>
      <c r="AR254" s="78">
        <v>0</v>
      </c>
      <c r="AS254" s="78">
        <v>0</v>
      </c>
      <c r="AT254" s="78">
        <v>0</v>
      </c>
      <c r="AU254" s="400">
        <v>5.3019199999999997E-4</v>
      </c>
      <c r="AV254" s="400">
        <v>1.0336900000000001E-4</v>
      </c>
      <c r="AW254" s="78">
        <v>1439.8</v>
      </c>
      <c r="AX254" s="78">
        <v>0</v>
      </c>
      <c r="AY254" s="78">
        <v>1811.7</v>
      </c>
      <c r="AZ254" s="78">
        <v>1615.07148835712</v>
      </c>
      <c r="BA254" s="78">
        <v>12</v>
      </c>
      <c r="BB254" s="78">
        <v>13.32</v>
      </c>
      <c r="BC254" s="78">
        <v>1084</v>
      </c>
      <c r="BD254" s="78">
        <v>1</v>
      </c>
      <c r="BE254" s="78">
        <v>0</v>
      </c>
      <c r="BF254" s="78">
        <v>0</v>
      </c>
      <c r="BG254" s="78">
        <v>0</v>
      </c>
      <c r="BH254" s="78">
        <v>0</v>
      </c>
      <c r="BI254" s="78">
        <v>0</v>
      </c>
      <c r="BJ254" s="78">
        <v>0</v>
      </c>
      <c r="BK254" s="78">
        <v>0</v>
      </c>
      <c r="BL254" s="78">
        <v>0</v>
      </c>
      <c r="BM254" s="78">
        <v>112.009</v>
      </c>
      <c r="BN254" s="78">
        <v>32</v>
      </c>
      <c r="BO254" s="78">
        <v>16</v>
      </c>
      <c r="BP254" s="78">
        <v>2296.3200000000002</v>
      </c>
      <c r="BQ254" s="78">
        <v>337.61</v>
      </c>
      <c r="BR254" s="78">
        <v>60.454257820927701</v>
      </c>
      <c r="BS254" s="78">
        <v>53</v>
      </c>
      <c r="BT254" s="78">
        <v>24.3333333333333</v>
      </c>
      <c r="BU254" s="78">
        <v>19.6666666666667</v>
      </c>
      <c r="BV254" s="78">
        <f t="shared" si="13"/>
        <v>328.99999999999966</v>
      </c>
      <c r="BW254" s="78">
        <v>51</v>
      </c>
      <c r="BX254" s="78">
        <v>1328.1324137931001</v>
      </c>
      <c r="BY254" s="402">
        <v>0.19500000000000001</v>
      </c>
      <c r="BZ254" s="78">
        <v>5312</v>
      </c>
      <c r="CA254" s="78">
        <v>1199</v>
      </c>
      <c r="CB254" s="78">
        <v>217</v>
      </c>
      <c r="CC254" s="78">
        <v>256</v>
      </c>
      <c r="CD254" s="78">
        <v>226</v>
      </c>
      <c r="CE254" s="78">
        <v>89</v>
      </c>
      <c r="CF254" s="78">
        <v>60.0431309904153</v>
      </c>
      <c r="CG254" s="78">
        <v>36.091054313099001</v>
      </c>
      <c r="CH254" s="78">
        <v>10.8354632587859</v>
      </c>
      <c r="CI254" s="78">
        <v>355.0129</v>
      </c>
      <c r="CJ254" s="78">
        <v>213.3931</v>
      </c>
      <c r="CK254" s="78">
        <v>64.066100000000006</v>
      </c>
      <c r="CL254" s="78">
        <v>0</v>
      </c>
    </row>
    <row r="255" spans="1:90" customFormat="1" x14ac:dyDescent="0.35">
      <c r="A255" s="72">
        <v>703</v>
      </c>
      <c r="B255" s="72" t="s">
        <v>250</v>
      </c>
      <c r="C255" s="72">
        <v>9</v>
      </c>
      <c r="D255" s="78">
        <v>1529600000</v>
      </c>
      <c r="E255" s="78">
        <v>352800000</v>
      </c>
      <c r="F255" s="78">
        <v>370300000</v>
      </c>
      <c r="G255" s="78">
        <v>22730</v>
      </c>
      <c r="H255" s="78">
        <v>5</v>
      </c>
      <c r="I255" s="78">
        <f t="shared" si="11"/>
        <v>370.3</v>
      </c>
      <c r="J255" s="78">
        <v>5617</v>
      </c>
      <c r="K255" s="78">
        <v>3914</v>
      </c>
      <c r="L255" s="78">
        <v>1223</v>
      </c>
      <c r="M255" s="78">
        <v>2616</v>
      </c>
      <c r="N255" s="78">
        <f t="shared" si="12"/>
        <v>1679.3</v>
      </c>
      <c r="O255" s="78">
        <v>238.333333333333</v>
      </c>
      <c r="P255" s="78">
        <v>19</v>
      </c>
      <c r="Q255" s="78">
        <v>1012.33333333333</v>
      </c>
      <c r="R255" s="78">
        <v>2779</v>
      </c>
      <c r="S255" s="78">
        <v>535</v>
      </c>
      <c r="T255" s="78">
        <v>0</v>
      </c>
      <c r="U255" s="78">
        <v>497</v>
      </c>
      <c r="V255" s="78">
        <v>9251</v>
      </c>
      <c r="W255" s="78">
        <v>21090</v>
      </c>
      <c r="X255" s="78">
        <v>5360</v>
      </c>
      <c r="Y255" s="78">
        <v>138.6</v>
      </c>
      <c r="Z255" s="78">
        <v>699.2</v>
      </c>
      <c r="AA255" s="78">
        <v>0</v>
      </c>
      <c r="AB255" s="399">
        <v>0</v>
      </c>
      <c r="AC255" s="399">
        <v>0</v>
      </c>
      <c r="AD255" s="78">
        <v>10175</v>
      </c>
      <c r="AE255" s="78">
        <v>12210</v>
      </c>
      <c r="AF255" s="78">
        <v>1187</v>
      </c>
      <c r="AG255" s="78">
        <v>10000</v>
      </c>
      <c r="AH255" s="78">
        <v>128</v>
      </c>
      <c r="AI255" s="78">
        <v>65</v>
      </c>
      <c r="AJ255" s="78">
        <v>160</v>
      </c>
      <c r="AK255" s="78">
        <v>77.349999999999994</v>
      </c>
      <c r="AL255" s="78">
        <v>193</v>
      </c>
      <c r="AM255" s="78">
        <v>9367</v>
      </c>
      <c r="AN255" s="78">
        <v>11708.75</v>
      </c>
      <c r="AO255" s="78">
        <v>0</v>
      </c>
      <c r="AP255" s="78">
        <v>0</v>
      </c>
      <c r="AQ255" s="78">
        <v>0</v>
      </c>
      <c r="AR255" s="78">
        <v>0</v>
      </c>
      <c r="AS255" s="78">
        <v>822</v>
      </c>
      <c r="AT255" s="78">
        <v>0</v>
      </c>
      <c r="AU255" s="400">
        <v>6.4446999999999996E-4</v>
      </c>
      <c r="AV255" s="400">
        <v>2.5352799999999999E-4</v>
      </c>
      <c r="AW255" s="78">
        <v>4852.1059999999998</v>
      </c>
      <c r="AX255" s="78">
        <v>0</v>
      </c>
      <c r="AY255" s="78">
        <v>3070.8</v>
      </c>
      <c r="AZ255" s="78">
        <v>9830.5949656750599</v>
      </c>
      <c r="BA255" s="78">
        <v>12</v>
      </c>
      <c r="BB255" s="78">
        <v>14.28</v>
      </c>
      <c r="BC255" s="78">
        <v>2453</v>
      </c>
      <c r="BD255" s="78">
        <v>1</v>
      </c>
      <c r="BE255" s="78">
        <v>0</v>
      </c>
      <c r="BF255" s="78">
        <v>0</v>
      </c>
      <c r="BG255" s="78">
        <v>0</v>
      </c>
      <c r="BH255" s="78">
        <v>0</v>
      </c>
      <c r="BI255" s="78">
        <v>0</v>
      </c>
      <c r="BJ255" s="78">
        <v>0</v>
      </c>
      <c r="BK255" s="78">
        <v>0</v>
      </c>
      <c r="BL255" s="78">
        <v>0</v>
      </c>
      <c r="BM255" s="78">
        <v>410.041</v>
      </c>
      <c r="BN255" s="78">
        <v>218</v>
      </c>
      <c r="BO255" s="78">
        <v>101</v>
      </c>
      <c r="BP255" s="78">
        <v>5798.4</v>
      </c>
      <c r="BQ255" s="78">
        <v>1649.82</v>
      </c>
      <c r="BR255" s="78">
        <v>350.79065824581301</v>
      </c>
      <c r="BS255" s="78">
        <v>201</v>
      </c>
      <c r="BT255" s="78">
        <v>87.3333333333333</v>
      </c>
      <c r="BU255" s="78">
        <v>60</v>
      </c>
      <c r="BV255" s="78">
        <f t="shared" si="13"/>
        <v>773.99999999999693</v>
      </c>
      <c r="BW255" s="78">
        <v>163</v>
      </c>
      <c r="BX255" s="78">
        <v>3480.6026633741999</v>
      </c>
      <c r="BY255" s="402">
        <v>0.34699999999999998</v>
      </c>
      <c r="BZ255" s="78">
        <v>18816</v>
      </c>
      <c r="CA255" s="78">
        <v>2166</v>
      </c>
      <c r="CB255" s="78">
        <v>525</v>
      </c>
      <c r="CC255" s="78">
        <v>434</v>
      </c>
      <c r="CD255" s="78">
        <v>401</v>
      </c>
      <c r="CE255" s="78">
        <v>236</v>
      </c>
      <c r="CF255" s="78">
        <v>240.232945446781</v>
      </c>
      <c r="CG255" s="78">
        <v>146.29110707804</v>
      </c>
      <c r="CH255" s="78">
        <v>64.181637664140098</v>
      </c>
      <c r="CI255" s="78">
        <v>651.10599999999999</v>
      </c>
      <c r="CJ255" s="78">
        <v>396.49439999999998</v>
      </c>
      <c r="CK255" s="78">
        <v>173.9522</v>
      </c>
      <c r="CL255" s="78">
        <v>7938</v>
      </c>
    </row>
    <row r="256" spans="1:90" customFormat="1" x14ac:dyDescent="0.35">
      <c r="A256" s="72">
        <v>1676</v>
      </c>
      <c r="B256" s="72" t="s">
        <v>269</v>
      </c>
      <c r="C256" s="72">
        <v>9</v>
      </c>
      <c r="D256" s="78">
        <v>3996400000</v>
      </c>
      <c r="E256" s="78">
        <v>630000000</v>
      </c>
      <c r="F256" s="78">
        <v>731500000</v>
      </c>
      <c r="G256" s="78">
        <v>33839</v>
      </c>
      <c r="H256" s="78">
        <v>9</v>
      </c>
      <c r="I256" s="78">
        <f t="shared" si="11"/>
        <v>731.5</v>
      </c>
      <c r="J256" s="78">
        <v>5824</v>
      </c>
      <c r="K256" s="78">
        <v>9251</v>
      </c>
      <c r="L256" s="78">
        <v>2982</v>
      </c>
      <c r="M256" s="78">
        <v>4764</v>
      </c>
      <c r="N256" s="78">
        <f t="shared" si="12"/>
        <v>2564.5</v>
      </c>
      <c r="O256" s="78">
        <v>434</v>
      </c>
      <c r="P256" s="78">
        <v>64</v>
      </c>
      <c r="Q256" s="78">
        <v>1867</v>
      </c>
      <c r="R256" s="78">
        <v>5233</v>
      </c>
      <c r="S256" s="78">
        <v>480</v>
      </c>
      <c r="T256" s="78">
        <v>0</v>
      </c>
      <c r="U256" s="78">
        <v>853</v>
      </c>
      <c r="V256" s="78">
        <v>15906</v>
      </c>
      <c r="W256" s="78">
        <v>33090</v>
      </c>
      <c r="X256" s="78">
        <v>5720</v>
      </c>
      <c r="Y256" s="78">
        <v>158.4</v>
      </c>
      <c r="Z256" s="78">
        <v>654.4</v>
      </c>
      <c r="AA256" s="78">
        <v>0</v>
      </c>
      <c r="AB256" s="399">
        <v>0</v>
      </c>
      <c r="AC256" s="399">
        <v>0</v>
      </c>
      <c r="AD256" s="78">
        <v>22869</v>
      </c>
      <c r="AE256" s="78">
        <v>24012.45</v>
      </c>
      <c r="AF256" s="78">
        <v>7328</v>
      </c>
      <c r="AG256" s="78">
        <v>10000</v>
      </c>
      <c r="AH256" s="78">
        <v>245</v>
      </c>
      <c r="AI256" s="78">
        <v>111</v>
      </c>
      <c r="AJ256" s="78">
        <v>259.7</v>
      </c>
      <c r="AK256" s="78">
        <v>116.55</v>
      </c>
      <c r="AL256" s="78">
        <v>356</v>
      </c>
      <c r="AM256" s="78">
        <v>21995</v>
      </c>
      <c r="AN256" s="78">
        <v>23314.7</v>
      </c>
      <c r="AO256" s="78">
        <v>10</v>
      </c>
      <c r="AP256" s="78">
        <v>46</v>
      </c>
      <c r="AQ256" s="78">
        <v>0</v>
      </c>
      <c r="AR256" s="78">
        <v>6500</v>
      </c>
      <c r="AS256" s="78">
        <v>2425</v>
      </c>
      <c r="AT256" s="78">
        <v>1819</v>
      </c>
      <c r="AU256" s="400">
        <v>2.0994310000000001E-3</v>
      </c>
      <c r="AV256" s="400">
        <v>5.4060000000000002E-4</v>
      </c>
      <c r="AW256" s="78">
        <v>10601.59</v>
      </c>
      <c r="AX256" s="78">
        <v>0</v>
      </c>
      <c r="AY256" s="78">
        <v>7763.7</v>
      </c>
      <c r="AZ256" s="78">
        <v>9417.8138159419796</v>
      </c>
      <c r="BA256" s="78">
        <v>24</v>
      </c>
      <c r="BB256" s="78">
        <v>25.2</v>
      </c>
      <c r="BC256" s="78">
        <v>4769</v>
      </c>
      <c r="BD256" s="78">
        <v>1</v>
      </c>
      <c r="BE256" s="78">
        <v>0</v>
      </c>
      <c r="BF256" s="78">
        <v>0</v>
      </c>
      <c r="BG256" s="78">
        <v>0</v>
      </c>
      <c r="BH256" s="78">
        <v>0</v>
      </c>
      <c r="BI256" s="78">
        <v>0</v>
      </c>
      <c r="BJ256" s="78">
        <v>0</v>
      </c>
      <c r="BK256" s="78">
        <v>0</v>
      </c>
      <c r="BL256" s="78">
        <v>0</v>
      </c>
      <c r="BM256" s="78">
        <v>570.75199999999995</v>
      </c>
      <c r="BN256" s="78">
        <v>160</v>
      </c>
      <c r="BO256" s="78">
        <v>105</v>
      </c>
      <c r="BP256" s="78">
        <v>11017.78</v>
      </c>
      <c r="BQ256" s="78">
        <v>2086.92</v>
      </c>
      <c r="BR256" s="78">
        <v>243.21366513056799</v>
      </c>
      <c r="BS256" s="78">
        <v>314</v>
      </c>
      <c r="BT256" s="78">
        <v>134.666666666667</v>
      </c>
      <c r="BU256" s="78">
        <v>103</v>
      </c>
      <c r="BV256" s="78">
        <f t="shared" si="13"/>
        <v>1433</v>
      </c>
      <c r="BW256" s="78">
        <v>310</v>
      </c>
      <c r="BX256" s="78">
        <v>6893.7433103407402</v>
      </c>
      <c r="BY256" s="402">
        <v>0.875</v>
      </c>
      <c r="BZ256" s="78">
        <v>24588</v>
      </c>
      <c r="CA256" s="78">
        <v>5065</v>
      </c>
      <c r="CB256" s="78">
        <v>1204</v>
      </c>
      <c r="CC256" s="78">
        <v>1004</v>
      </c>
      <c r="CD256" s="78">
        <v>934</v>
      </c>
      <c r="CE256" s="78">
        <v>588</v>
      </c>
      <c r="CF256" s="78">
        <v>364.70816094566902</v>
      </c>
      <c r="CG256" s="78">
        <v>229.92471016139999</v>
      </c>
      <c r="CH256" s="78">
        <v>99.688451920891097</v>
      </c>
      <c r="CI256" s="78">
        <v>1309.6936000000001</v>
      </c>
      <c r="CJ256" s="78">
        <v>825.67639999999994</v>
      </c>
      <c r="CK256" s="78">
        <v>357.98849999999999</v>
      </c>
      <c r="CL256" s="78">
        <v>19845</v>
      </c>
    </row>
    <row r="257" spans="1:90" customFormat="1" x14ac:dyDescent="0.35">
      <c r="A257" s="72">
        <v>1714</v>
      </c>
      <c r="B257" s="72" t="s">
        <v>277</v>
      </c>
      <c r="C257" s="72">
        <v>9</v>
      </c>
      <c r="D257" s="78">
        <v>3271200000</v>
      </c>
      <c r="E257" s="78">
        <v>437850000</v>
      </c>
      <c r="F257" s="78">
        <v>494550000</v>
      </c>
      <c r="G257" s="78">
        <v>23210</v>
      </c>
      <c r="H257" s="78">
        <v>10</v>
      </c>
      <c r="I257" s="78">
        <f t="shared" si="11"/>
        <v>494.55</v>
      </c>
      <c r="J257" s="78">
        <v>3560</v>
      </c>
      <c r="K257" s="78">
        <v>6646</v>
      </c>
      <c r="L257" s="78">
        <v>2105</v>
      </c>
      <c r="M257" s="78">
        <v>3788</v>
      </c>
      <c r="N257" s="78">
        <f t="shared" si="12"/>
        <v>1981.1</v>
      </c>
      <c r="O257" s="78">
        <v>277.66666666666703</v>
      </c>
      <c r="P257" s="78">
        <v>18</v>
      </c>
      <c r="Q257" s="78">
        <v>1294.6666666666699</v>
      </c>
      <c r="R257" s="78">
        <v>4215</v>
      </c>
      <c r="S257" s="78">
        <v>380</v>
      </c>
      <c r="T257" s="78">
        <v>0</v>
      </c>
      <c r="U257" s="78">
        <v>629</v>
      </c>
      <c r="V257" s="78">
        <v>11487</v>
      </c>
      <c r="W257" s="78">
        <v>20730</v>
      </c>
      <c r="X257" s="78">
        <v>8180</v>
      </c>
      <c r="Y257" s="78">
        <v>0</v>
      </c>
      <c r="Z257" s="78">
        <v>611.20000000000005</v>
      </c>
      <c r="AA257" s="78">
        <v>0</v>
      </c>
      <c r="AB257" s="399">
        <v>0</v>
      </c>
      <c r="AC257" s="399">
        <v>0</v>
      </c>
      <c r="AD257" s="78">
        <v>27859</v>
      </c>
      <c r="AE257" s="78">
        <v>28416.18</v>
      </c>
      <c r="AF257" s="78">
        <v>482</v>
      </c>
      <c r="AG257" s="78">
        <v>2376</v>
      </c>
      <c r="AH257" s="78">
        <v>203</v>
      </c>
      <c r="AI257" s="78">
        <v>120</v>
      </c>
      <c r="AJ257" s="78">
        <v>207.06</v>
      </c>
      <c r="AK257" s="78">
        <v>122.4</v>
      </c>
      <c r="AL257" s="78">
        <v>323</v>
      </c>
      <c r="AM257" s="78">
        <v>18069</v>
      </c>
      <c r="AN257" s="78">
        <v>18430.38</v>
      </c>
      <c r="AO257" s="78">
        <v>24</v>
      </c>
      <c r="AP257" s="78">
        <v>0</v>
      </c>
      <c r="AQ257" s="78">
        <v>0</v>
      </c>
      <c r="AR257" s="78">
        <v>7800</v>
      </c>
      <c r="AS257" s="78">
        <v>1274</v>
      </c>
      <c r="AT257" s="78">
        <v>0</v>
      </c>
      <c r="AU257" s="400">
        <v>1.3058499999999999E-3</v>
      </c>
      <c r="AV257" s="400">
        <v>5.7956200000000005E-4</v>
      </c>
      <c r="AW257" s="78">
        <v>7787.7389999999996</v>
      </c>
      <c r="AX257" s="78">
        <v>0</v>
      </c>
      <c r="AY257" s="78">
        <v>5469.24</v>
      </c>
      <c r="AZ257" s="78">
        <v>4479.0607388588996</v>
      </c>
      <c r="BA257" s="78">
        <v>24</v>
      </c>
      <c r="BB257" s="78">
        <v>24.48</v>
      </c>
      <c r="BC257" s="78">
        <v>3101</v>
      </c>
      <c r="BD257" s="78">
        <v>1</v>
      </c>
      <c r="BE257" s="78">
        <v>0</v>
      </c>
      <c r="BF257" s="78">
        <v>0</v>
      </c>
      <c r="BG257" s="78">
        <v>0</v>
      </c>
      <c r="BH257" s="78">
        <v>0</v>
      </c>
      <c r="BI257" s="78">
        <v>0</v>
      </c>
      <c r="BJ257" s="78">
        <v>0</v>
      </c>
      <c r="BK257" s="78">
        <v>0</v>
      </c>
      <c r="BL257" s="78">
        <v>0</v>
      </c>
      <c r="BM257" s="78">
        <v>402.28</v>
      </c>
      <c r="BN257" s="78">
        <v>93</v>
      </c>
      <c r="BO257" s="78">
        <v>39</v>
      </c>
      <c r="BP257" s="78">
        <v>7330.7</v>
      </c>
      <c r="BQ257" s="78">
        <v>1352.34</v>
      </c>
      <c r="BR257" s="78">
        <v>88.958199608610599</v>
      </c>
      <c r="BS257" s="78">
        <v>197</v>
      </c>
      <c r="BT257" s="78">
        <v>59.6666666666667</v>
      </c>
      <c r="BU257" s="78">
        <v>51.3333333333333</v>
      </c>
      <c r="BV257" s="78">
        <f t="shared" si="13"/>
        <v>1017.000000000003</v>
      </c>
      <c r="BW257" s="78">
        <v>212</v>
      </c>
      <c r="BX257" s="78">
        <v>4441.9966133584203</v>
      </c>
      <c r="BY257" s="402">
        <v>0.48</v>
      </c>
      <c r="BZ257" s="78">
        <v>16564</v>
      </c>
      <c r="CA257" s="78">
        <v>3658</v>
      </c>
      <c r="CB257" s="78">
        <v>883</v>
      </c>
      <c r="CC257" s="78">
        <v>785</v>
      </c>
      <c r="CD257" s="78">
        <v>758</v>
      </c>
      <c r="CE257" s="78">
        <v>502</v>
      </c>
      <c r="CF257" s="78">
        <v>251.62568487464699</v>
      </c>
      <c r="CG257" s="78">
        <v>162.81661962477199</v>
      </c>
      <c r="CH257" s="78">
        <v>75.323244230449902</v>
      </c>
      <c r="CI257" s="78">
        <v>1076.8140000000001</v>
      </c>
      <c r="CJ257" s="78">
        <v>696.76199999999994</v>
      </c>
      <c r="CK257" s="78">
        <v>322.34039999999999</v>
      </c>
      <c r="CL257" s="78">
        <v>17596</v>
      </c>
    </row>
    <row r="258" spans="1:90" customFormat="1" x14ac:dyDescent="0.35">
      <c r="A258" s="72">
        <v>715</v>
      </c>
      <c r="B258" s="72" t="s">
        <v>290</v>
      </c>
      <c r="C258" s="72">
        <v>9</v>
      </c>
      <c r="D258" s="78">
        <v>3869200000</v>
      </c>
      <c r="E258" s="78">
        <v>1415050000</v>
      </c>
      <c r="F258" s="78">
        <v>1468250000</v>
      </c>
      <c r="G258" s="78">
        <v>54426</v>
      </c>
      <c r="H258" s="78">
        <v>9</v>
      </c>
      <c r="I258" s="78">
        <f t="shared" si="11"/>
        <v>1468.25</v>
      </c>
      <c r="J258" s="78">
        <v>9393</v>
      </c>
      <c r="K258" s="78">
        <v>13764</v>
      </c>
      <c r="L258" s="78">
        <v>4540</v>
      </c>
      <c r="M258" s="78">
        <v>8432</v>
      </c>
      <c r="N258" s="78">
        <f t="shared" si="12"/>
        <v>5721.2</v>
      </c>
      <c r="O258" s="78">
        <v>1056.3333333333301</v>
      </c>
      <c r="P258" s="78">
        <v>49</v>
      </c>
      <c r="Q258" s="78">
        <v>4072.3333333333298</v>
      </c>
      <c r="R258" s="78">
        <v>9446</v>
      </c>
      <c r="S258" s="78">
        <v>2785</v>
      </c>
      <c r="T258" s="78">
        <v>0</v>
      </c>
      <c r="U258" s="78">
        <v>1804</v>
      </c>
      <c r="V258" s="78">
        <v>26379</v>
      </c>
      <c r="W258" s="78">
        <v>55380</v>
      </c>
      <c r="X258" s="78">
        <v>50680</v>
      </c>
      <c r="Y258" s="78">
        <v>1189.92</v>
      </c>
      <c r="Z258" s="78">
        <v>1935.2</v>
      </c>
      <c r="AA258" s="78">
        <v>0</v>
      </c>
      <c r="AB258" s="399">
        <v>0</v>
      </c>
      <c r="AC258" s="399">
        <v>0</v>
      </c>
      <c r="AD258" s="78">
        <v>25003</v>
      </c>
      <c r="AE258" s="78">
        <v>25003</v>
      </c>
      <c r="AF258" s="78">
        <v>1280</v>
      </c>
      <c r="AG258" s="78">
        <v>5492</v>
      </c>
      <c r="AH258" s="78">
        <v>316</v>
      </c>
      <c r="AI258" s="78">
        <v>199</v>
      </c>
      <c r="AJ258" s="78">
        <v>319.16000000000003</v>
      </c>
      <c r="AK258" s="78">
        <v>199</v>
      </c>
      <c r="AL258" s="78">
        <v>515</v>
      </c>
      <c r="AM258" s="78">
        <v>27108</v>
      </c>
      <c r="AN258" s="78">
        <v>27379.08</v>
      </c>
      <c r="AO258" s="78">
        <v>13</v>
      </c>
      <c r="AP258" s="78">
        <v>0</v>
      </c>
      <c r="AQ258" s="78">
        <v>0</v>
      </c>
      <c r="AR258" s="78">
        <v>3000</v>
      </c>
      <c r="AS258" s="78">
        <v>3331</v>
      </c>
      <c r="AT258" s="78">
        <v>1539</v>
      </c>
      <c r="AU258" s="400">
        <v>2.6003659999999998E-3</v>
      </c>
      <c r="AV258" s="400">
        <v>1.7233699999999999E-3</v>
      </c>
      <c r="AW258" s="78">
        <v>23611.067999999999</v>
      </c>
      <c r="AX258" s="78">
        <v>0</v>
      </c>
      <c r="AY258" s="78">
        <v>5177</v>
      </c>
      <c r="AZ258" s="78">
        <v>10927.4436708138</v>
      </c>
      <c r="BA258" s="78">
        <v>26</v>
      </c>
      <c r="BB258" s="78">
        <v>26</v>
      </c>
      <c r="BC258" s="78">
        <v>4696</v>
      </c>
      <c r="BD258" s="78">
        <v>1</v>
      </c>
      <c r="BE258" s="78">
        <v>0</v>
      </c>
      <c r="BF258" s="78">
        <v>0</v>
      </c>
      <c r="BG258" s="78">
        <v>0</v>
      </c>
      <c r="BH258" s="78">
        <v>0</v>
      </c>
      <c r="BI258" s="78">
        <v>0</v>
      </c>
      <c r="BJ258" s="78">
        <v>0</v>
      </c>
      <c r="BK258" s="78">
        <v>0</v>
      </c>
      <c r="BL258" s="78">
        <v>0</v>
      </c>
      <c r="BM258" s="78">
        <v>1286.8409999999999</v>
      </c>
      <c r="BN258" s="78">
        <v>254</v>
      </c>
      <c r="BO258" s="78">
        <v>195</v>
      </c>
      <c r="BP258" s="78">
        <v>16440.32</v>
      </c>
      <c r="BQ258" s="78">
        <v>3319.48</v>
      </c>
      <c r="BR258" s="78">
        <v>414.24171624266103</v>
      </c>
      <c r="BS258" s="78">
        <v>668</v>
      </c>
      <c r="BT258" s="78">
        <v>308</v>
      </c>
      <c r="BU258" s="78">
        <v>286.66666666666703</v>
      </c>
      <c r="BV258" s="78">
        <f t="shared" si="13"/>
        <v>3016</v>
      </c>
      <c r="BW258" s="78">
        <v>633</v>
      </c>
      <c r="BX258" s="78">
        <v>10682.327581014501</v>
      </c>
      <c r="BY258" s="402">
        <v>2.4500000000000002</v>
      </c>
      <c r="BZ258" s="78">
        <v>40662</v>
      </c>
      <c r="CA258" s="78">
        <v>7555</v>
      </c>
      <c r="CB258" s="78">
        <v>1669</v>
      </c>
      <c r="CC258" s="78">
        <v>1668</v>
      </c>
      <c r="CD258" s="78">
        <v>1526</v>
      </c>
      <c r="CE258" s="78">
        <v>812</v>
      </c>
      <c r="CF258" s="78">
        <v>994.47743839456996</v>
      </c>
      <c r="CG258" s="78">
        <v>647.29675372583699</v>
      </c>
      <c r="CH258" s="78">
        <v>240.388328168806</v>
      </c>
      <c r="CI258" s="78">
        <v>2289.5608000000002</v>
      </c>
      <c r="CJ258" s="78">
        <v>1490.2553</v>
      </c>
      <c r="CK258" s="78">
        <v>553.44010000000003</v>
      </c>
      <c r="CL258" s="78">
        <v>34772</v>
      </c>
    </row>
    <row r="259" spans="1:90" customFormat="1" x14ac:dyDescent="0.35">
      <c r="A259" s="72">
        <v>716</v>
      </c>
      <c r="B259" s="72" t="s">
        <v>294</v>
      </c>
      <c r="C259" s="72">
        <v>9</v>
      </c>
      <c r="D259" s="78">
        <v>1788000000</v>
      </c>
      <c r="E259" s="78">
        <v>304150000</v>
      </c>
      <c r="F259" s="78">
        <v>346850000</v>
      </c>
      <c r="G259" s="78">
        <v>25757</v>
      </c>
      <c r="H259" s="78">
        <v>7</v>
      </c>
      <c r="I259" s="78">
        <f t="shared" si="11"/>
        <v>346.85</v>
      </c>
      <c r="J259" s="78">
        <v>5685</v>
      </c>
      <c r="K259" s="78">
        <v>4991</v>
      </c>
      <c r="L259" s="78">
        <v>1591</v>
      </c>
      <c r="M259" s="78">
        <v>3194</v>
      </c>
      <c r="N259" s="78">
        <f t="shared" si="12"/>
        <v>2054.6</v>
      </c>
      <c r="O259" s="78">
        <v>327.66666666666703</v>
      </c>
      <c r="P259" s="78">
        <v>32</v>
      </c>
      <c r="Q259" s="78">
        <v>1433.6666666666699</v>
      </c>
      <c r="R259" s="78">
        <v>3121</v>
      </c>
      <c r="S259" s="78">
        <v>540</v>
      </c>
      <c r="T259" s="78">
        <v>0</v>
      </c>
      <c r="U259" s="78">
        <v>609</v>
      </c>
      <c r="V259" s="78">
        <v>10778</v>
      </c>
      <c r="W259" s="78">
        <v>22910</v>
      </c>
      <c r="X259" s="78">
        <v>2620</v>
      </c>
      <c r="Y259" s="78">
        <v>152.36000000000001</v>
      </c>
      <c r="Z259" s="78">
        <v>232.8</v>
      </c>
      <c r="AA259" s="78">
        <v>0</v>
      </c>
      <c r="AB259" s="399">
        <v>0</v>
      </c>
      <c r="AC259" s="399">
        <v>0</v>
      </c>
      <c r="AD259" s="78">
        <v>14685</v>
      </c>
      <c r="AE259" s="78">
        <v>17915.7</v>
      </c>
      <c r="AF259" s="78">
        <v>1549</v>
      </c>
      <c r="AG259" s="78">
        <v>9166</v>
      </c>
      <c r="AH259" s="78">
        <v>161</v>
      </c>
      <c r="AI259" s="78">
        <v>67</v>
      </c>
      <c r="AJ259" s="78">
        <v>210.91</v>
      </c>
      <c r="AK259" s="78">
        <v>81.739999999999995</v>
      </c>
      <c r="AL259" s="78">
        <v>228</v>
      </c>
      <c r="AM259" s="78">
        <v>11394</v>
      </c>
      <c r="AN259" s="78">
        <v>14926.14</v>
      </c>
      <c r="AO259" s="78">
        <v>16</v>
      </c>
      <c r="AP259" s="78">
        <v>0</v>
      </c>
      <c r="AQ259" s="78">
        <v>0</v>
      </c>
      <c r="AR259" s="78">
        <v>1300</v>
      </c>
      <c r="AS259" s="78">
        <v>1288</v>
      </c>
      <c r="AT259" s="78">
        <v>669</v>
      </c>
      <c r="AU259" s="400">
        <v>9.7933099999999995E-4</v>
      </c>
      <c r="AV259" s="400">
        <v>2.2477799999999999E-4</v>
      </c>
      <c r="AW259" s="78">
        <v>5491.9080000000004</v>
      </c>
      <c r="AX259" s="78">
        <v>0</v>
      </c>
      <c r="AY259" s="78">
        <v>4393.22</v>
      </c>
      <c r="AZ259" s="78">
        <v>13861.276945916001</v>
      </c>
      <c r="BA259" s="78">
        <v>10</v>
      </c>
      <c r="BB259" s="78">
        <v>12.2</v>
      </c>
      <c r="BC259" s="78">
        <v>2775</v>
      </c>
      <c r="BD259" s="78">
        <v>1</v>
      </c>
      <c r="BE259" s="78">
        <v>0</v>
      </c>
      <c r="BF259" s="78">
        <v>0</v>
      </c>
      <c r="BG259" s="78">
        <v>0</v>
      </c>
      <c r="BH259" s="78">
        <v>0</v>
      </c>
      <c r="BI259" s="78">
        <v>0</v>
      </c>
      <c r="BJ259" s="78">
        <v>0</v>
      </c>
      <c r="BK259" s="78">
        <v>0</v>
      </c>
      <c r="BL259" s="78">
        <v>0</v>
      </c>
      <c r="BM259" s="78">
        <v>517.33500000000004</v>
      </c>
      <c r="BN259" s="78">
        <v>172</v>
      </c>
      <c r="BO259" s="78">
        <v>40</v>
      </c>
      <c r="BP259" s="78">
        <v>6511.86</v>
      </c>
      <c r="BQ259" s="78">
        <v>1743.38</v>
      </c>
      <c r="BR259" s="78">
        <v>352.80067437134898</v>
      </c>
      <c r="BS259" s="78">
        <v>237</v>
      </c>
      <c r="BT259" s="78">
        <v>96.3333333333333</v>
      </c>
      <c r="BU259" s="78">
        <v>83</v>
      </c>
      <c r="BV259" s="78">
        <f t="shared" si="13"/>
        <v>1106.000000000003</v>
      </c>
      <c r="BW259" s="78">
        <v>261</v>
      </c>
      <c r="BX259" s="78">
        <v>4561.3269123351402</v>
      </c>
      <c r="BY259" s="402">
        <v>0.505</v>
      </c>
      <c r="BZ259" s="78">
        <v>20766</v>
      </c>
      <c r="CA259" s="78">
        <v>2836</v>
      </c>
      <c r="CB259" s="78">
        <v>564</v>
      </c>
      <c r="CC259" s="78">
        <v>573</v>
      </c>
      <c r="CD259" s="78">
        <v>501</v>
      </c>
      <c r="CE259" s="78">
        <v>310</v>
      </c>
      <c r="CF259" s="78">
        <v>309.253905564332</v>
      </c>
      <c r="CG259" s="78">
        <v>191.50300157977901</v>
      </c>
      <c r="CH259" s="78">
        <v>76.817588204318099</v>
      </c>
      <c r="CI259" s="78">
        <v>870.36249999999995</v>
      </c>
      <c r="CJ259" s="78">
        <v>538.96500000000003</v>
      </c>
      <c r="CK259" s="78">
        <v>216.19499999999999</v>
      </c>
      <c r="CL259" s="78">
        <v>7938</v>
      </c>
    </row>
    <row r="260" spans="1:90" customFormat="1" x14ac:dyDescent="0.35">
      <c r="A260" s="72">
        <v>717</v>
      </c>
      <c r="B260" s="72" t="s">
        <v>312</v>
      </c>
      <c r="C260" s="72">
        <v>9</v>
      </c>
      <c r="D260" s="78">
        <v>3259200000</v>
      </c>
      <c r="E260" s="78">
        <v>443450000</v>
      </c>
      <c r="F260" s="78">
        <v>523950000</v>
      </c>
      <c r="G260" s="78">
        <v>21880</v>
      </c>
      <c r="H260" s="78">
        <v>10</v>
      </c>
      <c r="I260" s="78">
        <f t="shared" si="11"/>
        <v>523.95000000000005</v>
      </c>
      <c r="J260" s="78">
        <v>3996</v>
      </c>
      <c r="K260" s="78">
        <v>5922</v>
      </c>
      <c r="L260" s="78">
        <v>1876</v>
      </c>
      <c r="M260" s="78">
        <v>2427</v>
      </c>
      <c r="N260" s="78">
        <f t="shared" si="12"/>
        <v>922.8</v>
      </c>
      <c r="O260" s="78">
        <v>178.333333333333</v>
      </c>
      <c r="P260" s="78">
        <v>9</v>
      </c>
      <c r="Q260" s="78">
        <v>829.33333333333303</v>
      </c>
      <c r="R260" s="78">
        <v>2903</v>
      </c>
      <c r="S260" s="78">
        <v>220</v>
      </c>
      <c r="T260" s="78">
        <v>0</v>
      </c>
      <c r="U260" s="78">
        <v>401</v>
      </c>
      <c r="V260" s="78">
        <v>9787</v>
      </c>
      <c r="W260" s="78">
        <v>15710</v>
      </c>
      <c r="X260" s="78">
        <v>3290</v>
      </c>
      <c r="Y260" s="78">
        <v>0</v>
      </c>
      <c r="Z260" s="78">
        <v>0</v>
      </c>
      <c r="AA260" s="78">
        <v>0</v>
      </c>
      <c r="AB260" s="399">
        <v>0</v>
      </c>
      <c r="AC260" s="399">
        <v>0</v>
      </c>
      <c r="AD260" s="78">
        <v>13297</v>
      </c>
      <c r="AE260" s="78">
        <v>14360.76</v>
      </c>
      <c r="AF260" s="78">
        <v>1194</v>
      </c>
      <c r="AG260" s="78">
        <v>6164</v>
      </c>
      <c r="AH260" s="78">
        <v>163</v>
      </c>
      <c r="AI260" s="78">
        <v>72</v>
      </c>
      <c r="AJ260" s="78">
        <v>179.3</v>
      </c>
      <c r="AK260" s="78">
        <v>77.760000000000005</v>
      </c>
      <c r="AL260" s="78">
        <v>235</v>
      </c>
      <c r="AM260" s="78">
        <v>15042</v>
      </c>
      <c r="AN260" s="78">
        <v>16546.2</v>
      </c>
      <c r="AO260" s="78">
        <v>14</v>
      </c>
      <c r="AP260" s="78">
        <v>0</v>
      </c>
      <c r="AQ260" s="78">
        <v>0</v>
      </c>
      <c r="AR260" s="78">
        <v>3200</v>
      </c>
      <c r="AS260" s="78">
        <v>591</v>
      </c>
      <c r="AT260" s="78">
        <v>0</v>
      </c>
      <c r="AU260" s="400">
        <v>7.0332599999999999E-4</v>
      </c>
      <c r="AV260" s="400">
        <v>2.5701400000000002E-4</v>
      </c>
      <c r="AW260" s="78">
        <v>5174.4480000000003</v>
      </c>
      <c r="AX260" s="78">
        <v>0</v>
      </c>
      <c r="AY260" s="78">
        <v>2973.24</v>
      </c>
      <c r="AZ260" s="78">
        <v>5852.5640466496498</v>
      </c>
      <c r="BA260" s="78">
        <v>14</v>
      </c>
      <c r="BB260" s="78">
        <v>15.12</v>
      </c>
      <c r="BC260" s="78">
        <v>3004</v>
      </c>
      <c r="BD260" s="78">
        <v>1</v>
      </c>
      <c r="BE260" s="78">
        <v>0</v>
      </c>
      <c r="BF260" s="78">
        <v>0</v>
      </c>
      <c r="BG260" s="78">
        <v>0</v>
      </c>
      <c r="BH260" s="78">
        <v>0</v>
      </c>
      <c r="BI260" s="78">
        <v>0</v>
      </c>
      <c r="BJ260" s="78">
        <v>0</v>
      </c>
      <c r="BK260" s="78">
        <v>0</v>
      </c>
      <c r="BL260" s="78">
        <v>0</v>
      </c>
      <c r="BM260" s="78">
        <v>287.71199999999999</v>
      </c>
      <c r="BN260" s="78">
        <v>59</v>
      </c>
      <c r="BO260" s="78">
        <v>26</v>
      </c>
      <c r="BP260" s="78">
        <v>6804</v>
      </c>
      <c r="BQ260" s="78">
        <v>1387.57</v>
      </c>
      <c r="BR260" s="78">
        <v>121.00707692307699</v>
      </c>
      <c r="BS260" s="78">
        <v>149</v>
      </c>
      <c r="BT260" s="78">
        <v>42</v>
      </c>
      <c r="BU260" s="78">
        <v>34.3333333333333</v>
      </c>
      <c r="BV260" s="78">
        <f t="shared" si="13"/>
        <v>651</v>
      </c>
      <c r="BW260" s="78">
        <v>170</v>
      </c>
      <c r="BX260" s="78">
        <v>3150.2790931989898</v>
      </c>
      <c r="BY260" s="402">
        <v>0.10199999999999999</v>
      </c>
      <c r="BZ260" s="78">
        <v>15958</v>
      </c>
      <c r="CA260" s="78">
        <v>3374</v>
      </c>
      <c r="CB260" s="78">
        <v>672</v>
      </c>
      <c r="CC260" s="78">
        <v>666</v>
      </c>
      <c r="CD260" s="78">
        <v>574</v>
      </c>
      <c r="CE260" s="78">
        <v>301</v>
      </c>
      <c r="CF260" s="78">
        <v>125.518468288791</v>
      </c>
      <c r="CG260" s="78">
        <v>74.476745113681702</v>
      </c>
      <c r="CH260" s="78">
        <v>28.158835261268401</v>
      </c>
      <c r="CI260" s="78">
        <v>819.423</v>
      </c>
      <c r="CJ260" s="78">
        <v>486.20699999999999</v>
      </c>
      <c r="CK260" s="78">
        <v>183.8295</v>
      </c>
      <c r="CL260" s="78">
        <v>44982</v>
      </c>
    </row>
    <row r="261" spans="1:90" customFormat="1" x14ac:dyDescent="0.35">
      <c r="A261" s="72">
        <v>718</v>
      </c>
      <c r="B261" s="72" t="s">
        <v>320</v>
      </c>
      <c r="C261" s="72">
        <v>9</v>
      </c>
      <c r="D261" s="78">
        <v>3064400000</v>
      </c>
      <c r="E261" s="78">
        <v>791000000</v>
      </c>
      <c r="F261" s="78">
        <v>826350000</v>
      </c>
      <c r="G261" s="78">
        <v>44360</v>
      </c>
      <c r="H261" s="78">
        <v>1</v>
      </c>
      <c r="I261" s="78">
        <f t="shared" si="11"/>
        <v>826.35</v>
      </c>
      <c r="J261" s="78">
        <v>7690</v>
      </c>
      <c r="K261" s="78">
        <v>10592</v>
      </c>
      <c r="L261" s="78">
        <v>3330</v>
      </c>
      <c r="M261" s="78">
        <v>7680</v>
      </c>
      <c r="N261" s="78">
        <f t="shared" si="12"/>
        <v>5344.6</v>
      </c>
      <c r="O261" s="78">
        <v>1805</v>
      </c>
      <c r="P261" s="78">
        <v>29</v>
      </c>
      <c r="Q261" s="78">
        <v>4142</v>
      </c>
      <c r="R261" s="78">
        <v>9890</v>
      </c>
      <c r="S261" s="78">
        <v>3580</v>
      </c>
      <c r="T261" s="78">
        <v>0</v>
      </c>
      <c r="U261" s="78">
        <v>1782</v>
      </c>
      <c r="V261" s="78">
        <v>22932</v>
      </c>
      <c r="W261" s="78">
        <v>49980</v>
      </c>
      <c r="X261" s="78">
        <v>66860</v>
      </c>
      <c r="Y261" s="78">
        <v>43.56</v>
      </c>
      <c r="Z261" s="78">
        <v>1165.5999999999999</v>
      </c>
      <c r="AA261" s="78">
        <v>0</v>
      </c>
      <c r="AB261" s="399">
        <v>0</v>
      </c>
      <c r="AC261" s="399">
        <v>0</v>
      </c>
      <c r="AD261" s="78">
        <v>3436</v>
      </c>
      <c r="AE261" s="78">
        <v>3779.6</v>
      </c>
      <c r="AF261" s="78">
        <v>517</v>
      </c>
      <c r="AG261" s="78">
        <v>10000</v>
      </c>
      <c r="AH261" s="78">
        <v>193</v>
      </c>
      <c r="AI261" s="78">
        <v>105</v>
      </c>
      <c r="AJ261" s="78">
        <v>221.95</v>
      </c>
      <c r="AK261" s="78">
        <v>112.35</v>
      </c>
      <c r="AL261" s="78">
        <v>298</v>
      </c>
      <c r="AM261" s="78">
        <v>23354</v>
      </c>
      <c r="AN261" s="78">
        <v>26857.1</v>
      </c>
      <c r="AO261" s="78">
        <v>16</v>
      </c>
      <c r="AP261" s="78">
        <v>0</v>
      </c>
      <c r="AQ261" s="78">
        <v>0</v>
      </c>
      <c r="AR261" s="78">
        <v>3200</v>
      </c>
      <c r="AS261" s="78">
        <v>6521</v>
      </c>
      <c r="AT261" s="78">
        <v>5750</v>
      </c>
      <c r="AU261" s="400">
        <v>3.673599E-3</v>
      </c>
      <c r="AV261" s="400">
        <v>5.5830760000000002E-3</v>
      </c>
      <c r="AW261" s="78">
        <v>45587.008000000002</v>
      </c>
      <c r="AX261" s="78">
        <v>0</v>
      </c>
      <c r="AY261" s="78">
        <v>1261.7</v>
      </c>
      <c r="AZ261" s="78">
        <v>19639.371616493801</v>
      </c>
      <c r="BA261" s="78">
        <v>3</v>
      </c>
      <c r="BB261" s="78">
        <v>3.21</v>
      </c>
      <c r="BC261" s="78">
        <v>3487</v>
      </c>
      <c r="BD261" s="78">
        <v>1</v>
      </c>
      <c r="BE261" s="78">
        <v>0</v>
      </c>
      <c r="BF261" s="78">
        <v>0</v>
      </c>
      <c r="BG261" s="78">
        <v>0</v>
      </c>
      <c r="BH261" s="78">
        <v>0</v>
      </c>
      <c r="BI261" s="78">
        <v>0</v>
      </c>
      <c r="BJ261" s="78">
        <v>0</v>
      </c>
      <c r="BK261" s="78">
        <v>0</v>
      </c>
      <c r="BL261" s="78">
        <v>0</v>
      </c>
      <c r="BM261" s="78">
        <v>1222.71</v>
      </c>
      <c r="BN261" s="78">
        <v>213</v>
      </c>
      <c r="BO261" s="78">
        <v>148</v>
      </c>
      <c r="BP261" s="78">
        <v>12734.94</v>
      </c>
      <c r="BQ261" s="78">
        <v>2437.0500000000002</v>
      </c>
      <c r="BR261" s="78">
        <v>321.32963470319601</v>
      </c>
      <c r="BS261" s="78">
        <v>666</v>
      </c>
      <c r="BT261" s="78">
        <v>451.33333333333297</v>
      </c>
      <c r="BU261" s="78">
        <v>429.66666666666703</v>
      </c>
      <c r="BV261" s="78">
        <f t="shared" si="13"/>
        <v>2337</v>
      </c>
      <c r="BW261" s="78">
        <v>526</v>
      </c>
      <c r="BX261" s="78">
        <v>7980.5010660115804</v>
      </c>
      <c r="BY261" s="402">
        <v>5.0030000000000001</v>
      </c>
      <c r="BZ261" s="78">
        <v>33768</v>
      </c>
      <c r="CA261" s="78">
        <v>5947</v>
      </c>
      <c r="CB261" s="78">
        <v>1315</v>
      </c>
      <c r="CC261" s="78">
        <v>1613</v>
      </c>
      <c r="CD261" s="78">
        <v>1280</v>
      </c>
      <c r="CE261" s="78">
        <v>717</v>
      </c>
      <c r="CF261" s="78">
        <v>872.38225571636599</v>
      </c>
      <c r="CG261" s="78">
        <v>529.79142759270405</v>
      </c>
      <c r="CH261" s="78">
        <v>221.757189346579</v>
      </c>
      <c r="CI261" s="78">
        <v>2091.6444000000001</v>
      </c>
      <c r="CJ261" s="78">
        <v>1270.2405000000001</v>
      </c>
      <c r="CK261" s="78">
        <v>531.69029999999998</v>
      </c>
      <c r="CL261" s="78">
        <v>3544</v>
      </c>
    </row>
    <row r="262" spans="1:90" customFormat="1" x14ac:dyDescent="0.35">
      <c r="A262" s="72">
        <v>1723</v>
      </c>
      <c r="B262" s="72" t="s">
        <v>21</v>
      </c>
      <c r="C262" s="72">
        <v>10</v>
      </c>
      <c r="D262" s="78">
        <v>1087200000</v>
      </c>
      <c r="E262" s="78">
        <v>172550000</v>
      </c>
      <c r="F262" s="78">
        <v>209650000</v>
      </c>
      <c r="G262" s="78">
        <v>10203</v>
      </c>
      <c r="H262" s="78">
        <v>2</v>
      </c>
      <c r="I262" s="78">
        <f t="shared" ref="I262:I325" si="14">F262/1000000</f>
        <v>209.65</v>
      </c>
      <c r="J262" s="78">
        <v>1874</v>
      </c>
      <c r="K262" s="78">
        <v>2364</v>
      </c>
      <c r="L262" s="78">
        <v>751</v>
      </c>
      <c r="M262" s="78">
        <v>958</v>
      </c>
      <c r="N262" s="78">
        <f t="shared" ref="N262:N325" si="15">IF(M262-0.1*AM262&lt;=0,0,M262-0.1*AM262)</f>
        <v>498</v>
      </c>
      <c r="O262" s="78">
        <v>83.3333333333333</v>
      </c>
      <c r="P262" s="78">
        <v>9</v>
      </c>
      <c r="Q262" s="78">
        <v>409.33333333333297</v>
      </c>
      <c r="R262" s="78">
        <v>1075</v>
      </c>
      <c r="S262" s="78">
        <v>120</v>
      </c>
      <c r="T262" s="78">
        <v>0</v>
      </c>
      <c r="U262" s="78">
        <v>234</v>
      </c>
      <c r="V262" s="78">
        <v>4325</v>
      </c>
      <c r="W262" s="78">
        <v>6180</v>
      </c>
      <c r="X262" s="78">
        <v>340</v>
      </c>
      <c r="Y262" s="78">
        <v>0</v>
      </c>
      <c r="Z262" s="78">
        <v>0</v>
      </c>
      <c r="AA262" s="78">
        <v>0</v>
      </c>
      <c r="AB262" s="399">
        <v>0</v>
      </c>
      <c r="AC262" s="399">
        <v>0</v>
      </c>
      <c r="AD262" s="78">
        <v>9298</v>
      </c>
      <c r="AE262" s="78">
        <v>9298</v>
      </c>
      <c r="AF262" s="78">
        <v>54</v>
      </c>
      <c r="AG262" s="78">
        <v>0</v>
      </c>
      <c r="AH262" s="78">
        <v>57</v>
      </c>
      <c r="AI262" s="78">
        <v>98</v>
      </c>
      <c r="AJ262" s="78">
        <v>57</v>
      </c>
      <c r="AK262" s="78">
        <v>98</v>
      </c>
      <c r="AL262" s="78">
        <v>155</v>
      </c>
      <c r="AM262" s="78">
        <v>4600</v>
      </c>
      <c r="AN262" s="78">
        <v>4600</v>
      </c>
      <c r="AO262" s="78">
        <v>0</v>
      </c>
      <c r="AP262" s="78">
        <v>0</v>
      </c>
      <c r="AQ262" s="78">
        <v>0</v>
      </c>
      <c r="AR262" s="78">
        <v>0</v>
      </c>
      <c r="AS262" s="78">
        <v>0</v>
      </c>
      <c r="AT262" s="78">
        <v>0</v>
      </c>
      <c r="AU262" s="400">
        <v>7.2244999999999997E-5</v>
      </c>
      <c r="AV262" s="400">
        <v>2.7603999999999999E-5</v>
      </c>
      <c r="AW262" s="78">
        <v>1430.6</v>
      </c>
      <c r="AX262" s="78">
        <v>0</v>
      </c>
      <c r="AY262" s="78">
        <v>755</v>
      </c>
      <c r="AZ262" s="78">
        <v>823.70241659538101</v>
      </c>
      <c r="BA262" s="78">
        <v>8</v>
      </c>
      <c r="BB262" s="78">
        <v>8</v>
      </c>
      <c r="BC262" s="78">
        <v>1511</v>
      </c>
      <c r="BD262" s="78">
        <v>1</v>
      </c>
      <c r="BE262" s="78">
        <v>0</v>
      </c>
      <c r="BF262" s="78">
        <v>0</v>
      </c>
      <c r="BG262" s="78">
        <v>0</v>
      </c>
      <c r="BH262" s="78">
        <v>0</v>
      </c>
      <c r="BI262" s="78">
        <v>0</v>
      </c>
      <c r="BJ262" s="78">
        <v>0</v>
      </c>
      <c r="BK262" s="78">
        <v>0</v>
      </c>
      <c r="BL262" s="78">
        <v>0</v>
      </c>
      <c r="BM262" s="78">
        <v>159.29</v>
      </c>
      <c r="BN262" s="78">
        <v>20</v>
      </c>
      <c r="BO262" s="78">
        <v>10</v>
      </c>
      <c r="BP262" s="78">
        <v>3293.16</v>
      </c>
      <c r="BQ262" s="78">
        <v>730.8</v>
      </c>
      <c r="BR262" s="78">
        <v>31.872736566186099</v>
      </c>
      <c r="BS262" s="78">
        <v>86</v>
      </c>
      <c r="BT262" s="78">
        <v>28</v>
      </c>
      <c r="BU262" s="78">
        <v>15.6666666666667</v>
      </c>
      <c r="BV262" s="78">
        <f t="shared" ref="BV262:BV325" si="16">Q262-O262</f>
        <v>325.99999999999966</v>
      </c>
      <c r="BW262" s="78">
        <v>76</v>
      </c>
      <c r="BX262" s="78">
        <v>1652.8679042270201</v>
      </c>
      <c r="BY262" s="402">
        <v>5.0999999999999997E-2</v>
      </c>
      <c r="BZ262" s="78">
        <v>7839</v>
      </c>
      <c r="CA262" s="78">
        <v>1379</v>
      </c>
      <c r="CB262" s="78">
        <v>234</v>
      </c>
      <c r="CC262" s="78">
        <v>206</v>
      </c>
      <c r="CD262" s="78">
        <v>157</v>
      </c>
      <c r="CE262" s="78">
        <v>109</v>
      </c>
      <c r="CF262" s="78">
        <v>83.793913043478298</v>
      </c>
      <c r="CG262" s="78">
        <v>51.207391304347802</v>
      </c>
      <c r="CH262" s="78">
        <v>16.455652173912998</v>
      </c>
      <c r="CI262" s="78">
        <v>280.88459999999998</v>
      </c>
      <c r="CJ262" s="78">
        <v>171.65170000000001</v>
      </c>
      <c r="CK262" s="78">
        <v>55.160800000000002</v>
      </c>
      <c r="CL262" s="78">
        <v>0</v>
      </c>
    </row>
    <row r="263" spans="1:90" customFormat="1" x14ac:dyDescent="0.35">
      <c r="A263" s="72">
        <v>1959</v>
      </c>
      <c r="B263" s="72" t="s">
        <v>22</v>
      </c>
      <c r="C263" s="72">
        <v>10</v>
      </c>
      <c r="D263" s="78">
        <v>4825600000</v>
      </c>
      <c r="E263" s="78">
        <v>696850000</v>
      </c>
      <c r="F263" s="78">
        <v>744450000</v>
      </c>
      <c r="G263" s="78">
        <v>55967</v>
      </c>
      <c r="H263" s="78">
        <v>11</v>
      </c>
      <c r="I263" s="78">
        <f t="shared" si="14"/>
        <v>744.45</v>
      </c>
      <c r="J263" s="78">
        <v>11971</v>
      </c>
      <c r="K263" s="78">
        <v>11085</v>
      </c>
      <c r="L263" s="78">
        <v>3445</v>
      </c>
      <c r="M263" s="78">
        <v>5795</v>
      </c>
      <c r="N263" s="78">
        <f t="shared" si="15"/>
        <v>3531.1</v>
      </c>
      <c r="O263" s="78">
        <v>510.66666666666703</v>
      </c>
      <c r="P263" s="78">
        <v>52</v>
      </c>
      <c r="Q263" s="78">
        <v>2516.6666666666702</v>
      </c>
      <c r="R263" s="78">
        <v>6066</v>
      </c>
      <c r="S263" s="78">
        <v>715</v>
      </c>
      <c r="T263" s="78">
        <v>0</v>
      </c>
      <c r="U263" s="78">
        <v>1227</v>
      </c>
      <c r="V263" s="78">
        <v>23078</v>
      </c>
      <c r="W263" s="78">
        <v>45070</v>
      </c>
      <c r="X263" s="78">
        <v>4890</v>
      </c>
      <c r="Y263" s="78">
        <v>104.94</v>
      </c>
      <c r="Z263" s="78">
        <v>1653.6</v>
      </c>
      <c r="AA263" s="78">
        <v>0</v>
      </c>
      <c r="AB263" s="399">
        <v>0</v>
      </c>
      <c r="AC263" s="399">
        <v>0</v>
      </c>
      <c r="AD263" s="78">
        <v>19960</v>
      </c>
      <c r="AE263" s="78">
        <v>22155.599999999999</v>
      </c>
      <c r="AF263" s="78">
        <v>2704</v>
      </c>
      <c r="AG263" s="78">
        <v>0</v>
      </c>
      <c r="AH263" s="78">
        <v>330</v>
      </c>
      <c r="AI263" s="78">
        <v>107</v>
      </c>
      <c r="AJ263" s="78">
        <v>382.8</v>
      </c>
      <c r="AK263" s="78">
        <v>117.7</v>
      </c>
      <c r="AL263" s="78">
        <v>437</v>
      </c>
      <c r="AM263" s="78">
        <v>22639</v>
      </c>
      <c r="AN263" s="78">
        <v>26261.24</v>
      </c>
      <c r="AO263" s="78">
        <v>6</v>
      </c>
      <c r="AP263" s="78">
        <v>0</v>
      </c>
      <c r="AQ263" s="78">
        <v>0</v>
      </c>
      <c r="AR263" s="78">
        <v>1700</v>
      </c>
      <c r="AS263" s="78">
        <v>669</v>
      </c>
      <c r="AT263" s="78">
        <v>0</v>
      </c>
      <c r="AU263" s="400">
        <v>5.2329999999999998E-4</v>
      </c>
      <c r="AV263" s="400">
        <v>1.9591199999999999E-4</v>
      </c>
      <c r="AW263" s="78">
        <v>11387.416999999999</v>
      </c>
      <c r="AX263" s="78">
        <v>0</v>
      </c>
      <c r="AY263" s="78">
        <v>9390.6</v>
      </c>
      <c r="AZ263" s="78">
        <v>29872.065225026501</v>
      </c>
      <c r="BA263" s="78">
        <v>24</v>
      </c>
      <c r="BB263" s="78">
        <v>26.4</v>
      </c>
      <c r="BC263" s="78">
        <v>7015</v>
      </c>
      <c r="BD263" s="78">
        <v>1</v>
      </c>
      <c r="BE263" s="78">
        <v>0</v>
      </c>
      <c r="BF263" s="78">
        <v>0</v>
      </c>
      <c r="BG263" s="78">
        <v>0</v>
      </c>
      <c r="BH263" s="78">
        <v>0</v>
      </c>
      <c r="BI263" s="78">
        <v>0</v>
      </c>
      <c r="BJ263" s="78">
        <v>0</v>
      </c>
      <c r="BK263" s="78">
        <v>0</v>
      </c>
      <c r="BL263" s="78">
        <v>0</v>
      </c>
      <c r="BM263" s="78">
        <v>730.23099999999999</v>
      </c>
      <c r="BN263" s="78">
        <v>324</v>
      </c>
      <c r="BO263" s="78">
        <v>117</v>
      </c>
      <c r="BP263" s="78">
        <v>16097.04</v>
      </c>
      <c r="BQ263" s="78">
        <v>4244.88</v>
      </c>
      <c r="BR263" s="78">
        <v>560.24792330217394</v>
      </c>
      <c r="BS263" s="78">
        <v>473</v>
      </c>
      <c r="BT263" s="78">
        <v>169.333333333333</v>
      </c>
      <c r="BU263" s="78">
        <v>128</v>
      </c>
      <c r="BV263" s="78">
        <f t="shared" si="16"/>
        <v>2006.0000000000032</v>
      </c>
      <c r="BW263" s="78">
        <v>511</v>
      </c>
      <c r="BX263" s="78">
        <v>9035.4783620409507</v>
      </c>
      <c r="BY263" s="402">
        <v>0.32500000000000001</v>
      </c>
      <c r="BZ263" s="78">
        <v>44882</v>
      </c>
      <c r="CA263" s="78">
        <v>6509</v>
      </c>
      <c r="CB263" s="78">
        <v>1131</v>
      </c>
      <c r="CC263" s="78">
        <v>1053</v>
      </c>
      <c r="CD263" s="78">
        <v>1077</v>
      </c>
      <c r="CE263" s="78">
        <v>549</v>
      </c>
      <c r="CF263" s="78">
        <v>601.904452493485</v>
      </c>
      <c r="CG263" s="78">
        <v>352.34572640134297</v>
      </c>
      <c r="CH263" s="78">
        <v>113.86116877953999</v>
      </c>
      <c r="CI263" s="78">
        <v>1587.2067</v>
      </c>
      <c r="CJ263" s="78">
        <v>929.12670000000003</v>
      </c>
      <c r="CK263" s="78">
        <v>300.24900000000002</v>
      </c>
      <c r="CL263" s="78">
        <v>39268</v>
      </c>
    </row>
    <row r="264" spans="1:90" customFormat="1" x14ac:dyDescent="0.35">
      <c r="A264" s="72">
        <v>743</v>
      </c>
      <c r="B264" s="72" t="s">
        <v>31</v>
      </c>
      <c r="C264" s="72">
        <v>10</v>
      </c>
      <c r="D264" s="78">
        <v>1685600000</v>
      </c>
      <c r="E264" s="78">
        <v>273700000</v>
      </c>
      <c r="F264" s="78">
        <v>308000000</v>
      </c>
      <c r="G264" s="78">
        <v>16721</v>
      </c>
      <c r="H264" s="78">
        <v>2</v>
      </c>
      <c r="I264" s="78">
        <f t="shared" si="14"/>
        <v>308</v>
      </c>
      <c r="J264" s="78">
        <v>3119</v>
      </c>
      <c r="K264" s="78">
        <v>3776</v>
      </c>
      <c r="L264" s="78">
        <v>1225</v>
      </c>
      <c r="M264" s="78">
        <v>2168</v>
      </c>
      <c r="N264" s="78">
        <f t="shared" si="15"/>
        <v>1474.9</v>
      </c>
      <c r="O264" s="78">
        <v>201.666666666667</v>
      </c>
      <c r="P264" s="78">
        <v>14</v>
      </c>
      <c r="Q264" s="78">
        <v>951.66666666666697</v>
      </c>
      <c r="R264" s="78">
        <v>2303</v>
      </c>
      <c r="S264" s="78">
        <v>280</v>
      </c>
      <c r="T264" s="78">
        <v>0</v>
      </c>
      <c r="U264" s="78">
        <v>380</v>
      </c>
      <c r="V264" s="78">
        <v>7409</v>
      </c>
      <c r="W264" s="78">
        <v>16180</v>
      </c>
      <c r="X264" s="78">
        <v>7940</v>
      </c>
      <c r="Y264" s="78">
        <v>0</v>
      </c>
      <c r="Z264" s="78">
        <v>762.4</v>
      </c>
      <c r="AA264" s="78">
        <v>0</v>
      </c>
      <c r="AB264" s="399">
        <v>0</v>
      </c>
      <c r="AC264" s="399">
        <v>0</v>
      </c>
      <c r="AD264" s="78">
        <v>7024</v>
      </c>
      <c r="AE264" s="78">
        <v>7024</v>
      </c>
      <c r="AF264" s="78">
        <v>110</v>
      </c>
      <c r="AG264" s="78">
        <v>0</v>
      </c>
      <c r="AH264" s="78">
        <v>106</v>
      </c>
      <c r="AI264" s="78">
        <v>102</v>
      </c>
      <c r="AJ264" s="78">
        <v>106</v>
      </c>
      <c r="AK264" s="78">
        <v>102</v>
      </c>
      <c r="AL264" s="78">
        <v>208</v>
      </c>
      <c r="AM264" s="78">
        <v>6931</v>
      </c>
      <c r="AN264" s="78">
        <v>6931</v>
      </c>
      <c r="AO264" s="78">
        <v>0</v>
      </c>
      <c r="AP264" s="78">
        <v>0</v>
      </c>
      <c r="AQ264" s="78">
        <v>0</v>
      </c>
      <c r="AR264" s="78">
        <v>0</v>
      </c>
      <c r="AS264" s="78">
        <v>538</v>
      </c>
      <c r="AT264" s="78">
        <v>0</v>
      </c>
      <c r="AU264" s="400">
        <v>1.2217599999999999E-4</v>
      </c>
      <c r="AV264" s="400">
        <v>7.5828000000000007E-5</v>
      </c>
      <c r="AW264" s="78">
        <v>6612.174</v>
      </c>
      <c r="AX264" s="78">
        <v>0</v>
      </c>
      <c r="AY264" s="78">
        <v>1003</v>
      </c>
      <c r="AZ264" s="78">
        <v>2350.8779086066702</v>
      </c>
      <c r="BA264" s="78">
        <v>2</v>
      </c>
      <c r="BB264" s="78">
        <v>2</v>
      </c>
      <c r="BC264" s="78">
        <v>2206</v>
      </c>
      <c r="BD264" s="78">
        <v>1</v>
      </c>
      <c r="BE264" s="78">
        <v>0</v>
      </c>
      <c r="BF264" s="78">
        <v>0</v>
      </c>
      <c r="BG264" s="78">
        <v>0</v>
      </c>
      <c r="BH264" s="78">
        <v>0</v>
      </c>
      <c r="BI264" s="78">
        <v>0</v>
      </c>
      <c r="BJ264" s="78">
        <v>0</v>
      </c>
      <c r="BK264" s="78">
        <v>0</v>
      </c>
      <c r="BL264" s="78">
        <v>0</v>
      </c>
      <c r="BM264" s="78">
        <v>268.23399999999998</v>
      </c>
      <c r="BN264" s="78">
        <v>30</v>
      </c>
      <c r="BO264" s="78">
        <v>39</v>
      </c>
      <c r="BP264" s="78">
        <v>4868.12</v>
      </c>
      <c r="BQ264" s="78">
        <v>1178.5999999999999</v>
      </c>
      <c r="BR264" s="78">
        <v>46.864024544734797</v>
      </c>
      <c r="BS264" s="78">
        <v>147</v>
      </c>
      <c r="BT264" s="78">
        <v>56</v>
      </c>
      <c r="BU264" s="78">
        <v>35.3333333333333</v>
      </c>
      <c r="BV264" s="78">
        <f t="shared" si="16"/>
        <v>750</v>
      </c>
      <c r="BW264" s="78">
        <v>175</v>
      </c>
      <c r="BX264" s="78">
        <v>2255.2836505086798</v>
      </c>
      <c r="BY264" s="402">
        <v>0.26700000000000002</v>
      </c>
      <c r="BZ264" s="78">
        <v>12945</v>
      </c>
      <c r="CA264" s="78">
        <v>2207</v>
      </c>
      <c r="CB264" s="78">
        <v>344</v>
      </c>
      <c r="CC264" s="78">
        <v>387</v>
      </c>
      <c r="CD264" s="78">
        <v>390</v>
      </c>
      <c r="CE264" s="78">
        <v>158</v>
      </c>
      <c r="CF264" s="78">
        <v>282.80797864665999</v>
      </c>
      <c r="CG264" s="78">
        <v>171.94044149473399</v>
      </c>
      <c r="CH264" s="78">
        <v>45.113086134756898</v>
      </c>
      <c r="CI264" s="78">
        <v>586.62059999999997</v>
      </c>
      <c r="CJ264" s="78">
        <v>356.65120000000002</v>
      </c>
      <c r="CK264" s="78">
        <v>93.576800000000006</v>
      </c>
      <c r="CL264" s="78">
        <v>3650</v>
      </c>
    </row>
    <row r="265" spans="1:90" customFormat="1" x14ac:dyDescent="0.35">
      <c r="A265" s="72">
        <v>744</v>
      </c>
      <c r="B265" s="72" t="s">
        <v>32</v>
      </c>
      <c r="C265" s="72">
        <v>10</v>
      </c>
      <c r="D265" s="78">
        <v>692800000</v>
      </c>
      <c r="E265" s="78">
        <v>164850000</v>
      </c>
      <c r="F265" s="78">
        <v>190750000</v>
      </c>
      <c r="G265" s="78">
        <v>6859</v>
      </c>
      <c r="H265" s="78">
        <v>1</v>
      </c>
      <c r="I265" s="78">
        <f t="shared" si="14"/>
        <v>190.75</v>
      </c>
      <c r="J265" s="78">
        <v>1158</v>
      </c>
      <c r="K265" s="78">
        <v>1849</v>
      </c>
      <c r="L265" s="78">
        <v>628</v>
      </c>
      <c r="M265" s="78">
        <v>957</v>
      </c>
      <c r="N265" s="78">
        <f t="shared" si="15"/>
        <v>575</v>
      </c>
      <c r="O265" s="78">
        <v>64</v>
      </c>
      <c r="P265" s="78">
        <v>5</v>
      </c>
      <c r="Q265" s="78">
        <v>347</v>
      </c>
      <c r="R265" s="78">
        <v>1001</v>
      </c>
      <c r="S265" s="78">
        <v>125</v>
      </c>
      <c r="T265" s="78">
        <v>0</v>
      </c>
      <c r="U265" s="78">
        <v>189</v>
      </c>
      <c r="V265" s="78">
        <v>3147</v>
      </c>
      <c r="W265" s="78">
        <v>4930</v>
      </c>
      <c r="X265" s="78">
        <v>450</v>
      </c>
      <c r="Y265" s="78">
        <v>0</v>
      </c>
      <c r="Z265" s="78">
        <v>152</v>
      </c>
      <c r="AA265" s="78">
        <v>0</v>
      </c>
      <c r="AB265" s="399">
        <v>0</v>
      </c>
      <c r="AC265" s="399">
        <v>0</v>
      </c>
      <c r="AD265" s="78">
        <v>7610</v>
      </c>
      <c r="AE265" s="78">
        <v>7610</v>
      </c>
      <c r="AF265" s="78">
        <v>18</v>
      </c>
      <c r="AG265" s="78">
        <v>0</v>
      </c>
      <c r="AH265" s="78">
        <v>51</v>
      </c>
      <c r="AI265" s="78">
        <v>85</v>
      </c>
      <c r="AJ265" s="78">
        <v>51</v>
      </c>
      <c r="AK265" s="78">
        <v>85</v>
      </c>
      <c r="AL265" s="78">
        <v>136</v>
      </c>
      <c r="AM265" s="78">
        <v>3820</v>
      </c>
      <c r="AN265" s="78">
        <v>3820</v>
      </c>
      <c r="AO265" s="78">
        <v>0</v>
      </c>
      <c r="AP265" s="78">
        <v>0</v>
      </c>
      <c r="AQ265" s="78">
        <v>0</v>
      </c>
      <c r="AR265" s="78">
        <v>0</v>
      </c>
      <c r="AS265" s="78">
        <v>0</v>
      </c>
      <c r="AT265" s="78">
        <v>0</v>
      </c>
      <c r="AU265" s="400">
        <v>9.7893000000000006E-5</v>
      </c>
      <c r="AV265" s="400">
        <v>3.1458000000000003E-5</v>
      </c>
      <c r="AW265" s="78">
        <v>1310.26</v>
      </c>
      <c r="AX265" s="78">
        <v>0</v>
      </c>
      <c r="AY265" s="78">
        <v>397</v>
      </c>
      <c r="AZ265" s="78">
        <v>356.97732039853202</v>
      </c>
      <c r="BA265" s="78">
        <v>5</v>
      </c>
      <c r="BB265" s="78">
        <v>5</v>
      </c>
      <c r="BC265" s="78">
        <v>1057</v>
      </c>
      <c r="BD265" s="78">
        <v>2</v>
      </c>
      <c r="BE265" s="78">
        <v>0</v>
      </c>
      <c r="BF265" s="78">
        <v>0</v>
      </c>
      <c r="BG265" s="78">
        <v>0</v>
      </c>
      <c r="BH265" s="78">
        <v>0</v>
      </c>
      <c r="BI265" s="78">
        <v>0</v>
      </c>
      <c r="BJ265" s="78">
        <v>0</v>
      </c>
      <c r="BK265" s="78">
        <v>0</v>
      </c>
      <c r="BL265" s="78">
        <v>0</v>
      </c>
      <c r="BM265" s="78">
        <v>130.85400000000001</v>
      </c>
      <c r="BN265" s="78">
        <v>3</v>
      </c>
      <c r="BO265" s="78">
        <v>13</v>
      </c>
      <c r="BP265" s="78">
        <v>1999.4</v>
      </c>
      <c r="BQ265" s="78">
        <v>338.13</v>
      </c>
      <c r="BR265" s="78">
        <v>47.395705583756303</v>
      </c>
      <c r="BS265" s="78">
        <v>75</v>
      </c>
      <c r="BT265" s="78">
        <v>22</v>
      </c>
      <c r="BU265" s="78">
        <v>13.3333333333333</v>
      </c>
      <c r="BV265" s="78">
        <f t="shared" si="16"/>
        <v>283</v>
      </c>
      <c r="BW265" s="78">
        <v>60</v>
      </c>
      <c r="BX265" s="78">
        <v>1636.22261428363</v>
      </c>
      <c r="BY265" s="402">
        <v>0.14899999999999999</v>
      </c>
      <c r="BZ265" s="78">
        <v>5010</v>
      </c>
      <c r="CA265" s="78">
        <v>1023</v>
      </c>
      <c r="CB265" s="78">
        <v>198</v>
      </c>
      <c r="CC265" s="78">
        <v>210</v>
      </c>
      <c r="CD265" s="78">
        <v>186</v>
      </c>
      <c r="CE265" s="78">
        <v>82</v>
      </c>
      <c r="CF265" s="78">
        <v>95.582460732984302</v>
      </c>
      <c r="CG265" s="78">
        <v>60.811518324607299</v>
      </c>
      <c r="CH265" s="78">
        <v>19.869109947643999</v>
      </c>
      <c r="CI265" s="78">
        <v>292.79849999999999</v>
      </c>
      <c r="CJ265" s="78">
        <v>186.28440000000001</v>
      </c>
      <c r="CK265" s="78">
        <v>60.865200000000002</v>
      </c>
      <c r="CL265" s="78">
        <v>0</v>
      </c>
    </row>
    <row r="266" spans="1:90" customFormat="1" x14ac:dyDescent="0.35">
      <c r="A266" s="72">
        <v>1724</v>
      </c>
      <c r="B266" s="72" t="s">
        <v>41</v>
      </c>
      <c r="C266" s="72">
        <v>10</v>
      </c>
      <c r="D266" s="78">
        <v>1946800000</v>
      </c>
      <c r="E266" s="78">
        <v>303800000</v>
      </c>
      <c r="F266" s="78">
        <v>351050000</v>
      </c>
      <c r="G266" s="78">
        <v>18635</v>
      </c>
      <c r="H266" s="78">
        <v>5</v>
      </c>
      <c r="I266" s="78">
        <f t="shared" si="14"/>
        <v>351.05</v>
      </c>
      <c r="J266" s="78">
        <v>3379</v>
      </c>
      <c r="K266" s="78">
        <v>4159</v>
      </c>
      <c r="L266" s="78">
        <v>1382</v>
      </c>
      <c r="M266" s="78">
        <v>1891</v>
      </c>
      <c r="N266" s="78">
        <f t="shared" si="15"/>
        <v>1010.1999999999999</v>
      </c>
      <c r="O266" s="78">
        <v>126.333333333333</v>
      </c>
      <c r="P266" s="78">
        <v>28</v>
      </c>
      <c r="Q266" s="78">
        <v>887.33333333333303</v>
      </c>
      <c r="R266" s="78">
        <v>2195</v>
      </c>
      <c r="S266" s="78">
        <v>200</v>
      </c>
      <c r="T266" s="78">
        <v>0</v>
      </c>
      <c r="U266" s="78">
        <v>438</v>
      </c>
      <c r="V266" s="78">
        <v>8040</v>
      </c>
      <c r="W266" s="78">
        <v>14670</v>
      </c>
      <c r="X266" s="78">
        <v>3380</v>
      </c>
      <c r="Y266" s="78">
        <v>0</v>
      </c>
      <c r="Z266" s="78">
        <v>0</v>
      </c>
      <c r="AA266" s="78">
        <v>0</v>
      </c>
      <c r="AB266" s="399">
        <v>0</v>
      </c>
      <c r="AC266" s="399">
        <v>0</v>
      </c>
      <c r="AD266" s="78">
        <v>10105</v>
      </c>
      <c r="AE266" s="78">
        <v>10105</v>
      </c>
      <c r="AF266" s="78">
        <v>71</v>
      </c>
      <c r="AG266" s="78">
        <v>0</v>
      </c>
      <c r="AH266" s="78">
        <v>158</v>
      </c>
      <c r="AI266" s="78">
        <v>77</v>
      </c>
      <c r="AJ266" s="78">
        <v>158</v>
      </c>
      <c r="AK266" s="78">
        <v>77</v>
      </c>
      <c r="AL266" s="78">
        <v>236</v>
      </c>
      <c r="AM266" s="78">
        <v>8808</v>
      </c>
      <c r="AN266" s="78">
        <v>8808</v>
      </c>
      <c r="AO266" s="78">
        <v>0</v>
      </c>
      <c r="AP266" s="78">
        <v>0</v>
      </c>
      <c r="AQ266" s="78">
        <v>0</v>
      </c>
      <c r="AR266" s="78">
        <v>0</v>
      </c>
      <c r="AS266" s="78">
        <v>0</v>
      </c>
      <c r="AT266" s="78">
        <v>0</v>
      </c>
      <c r="AU266" s="400">
        <v>1.2627999999999999E-4</v>
      </c>
      <c r="AV266" s="400">
        <v>6.2057999999999994E-5</v>
      </c>
      <c r="AW266" s="78">
        <v>4448.04</v>
      </c>
      <c r="AX266" s="78">
        <v>0</v>
      </c>
      <c r="AY266" s="78">
        <v>690</v>
      </c>
      <c r="AZ266" s="78">
        <v>1263.5760613207599</v>
      </c>
      <c r="BA266" s="78">
        <v>9</v>
      </c>
      <c r="BB266" s="78">
        <v>9</v>
      </c>
      <c r="BC266" s="78">
        <v>2599</v>
      </c>
      <c r="BD266" s="78">
        <v>1</v>
      </c>
      <c r="BE266" s="78">
        <v>0</v>
      </c>
      <c r="BF266" s="78">
        <v>0</v>
      </c>
      <c r="BG266" s="78">
        <v>0</v>
      </c>
      <c r="BH266" s="78">
        <v>0</v>
      </c>
      <c r="BI266" s="78">
        <v>0</v>
      </c>
      <c r="BJ266" s="78">
        <v>0</v>
      </c>
      <c r="BK266" s="78">
        <v>0</v>
      </c>
      <c r="BL266" s="78">
        <v>0</v>
      </c>
      <c r="BM266" s="78">
        <v>246.667</v>
      </c>
      <c r="BN266" s="78">
        <v>42</v>
      </c>
      <c r="BO266" s="78">
        <v>27</v>
      </c>
      <c r="BP266" s="78">
        <v>5739.99</v>
      </c>
      <c r="BQ266" s="78">
        <v>1312.79</v>
      </c>
      <c r="BR266" s="78">
        <v>98.408454994705295</v>
      </c>
      <c r="BS266" s="78">
        <v>191</v>
      </c>
      <c r="BT266" s="78">
        <v>37.3333333333333</v>
      </c>
      <c r="BU266" s="78">
        <v>27</v>
      </c>
      <c r="BV266" s="78">
        <f t="shared" si="16"/>
        <v>761</v>
      </c>
      <c r="BW266" s="78">
        <v>173</v>
      </c>
      <c r="BX266" s="78">
        <v>2984.1396246822801</v>
      </c>
      <c r="BY266" s="402">
        <v>9.5000000000000001E-2</v>
      </c>
      <c r="BZ266" s="78">
        <v>14476</v>
      </c>
      <c r="CA266" s="78">
        <v>2340</v>
      </c>
      <c r="CB266" s="78">
        <v>437</v>
      </c>
      <c r="CC266" s="78">
        <v>353</v>
      </c>
      <c r="CD266" s="78">
        <v>416</v>
      </c>
      <c r="CE266" s="78">
        <v>217</v>
      </c>
      <c r="CF266" s="78">
        <v>158.503224341508</v>
      </c>
      <c r="CG266" s="78">
        <v>106.2040417802</v>
      </c>
      <c r="CH266" s="78">
        <v>35.324886466848298</v>
      </c>
      <c r="CI266" s="78">
        <v>558.46619999999996</v>
      </c>
      <c r="CJ266" s="78">
        <v>374.19659999999999</v>
      </c>
      <c r="CK266" s="78">
        <v>124.4628</v>
      </c>
      <c r="CL266" s="78">
        <v>0</v>
      </c>
    </row>
    <row r="267" spans="1:90" customFormat="1" x14ac:dyDescent="0.35">
      <c r="A267" s="72">
        <v>748</v>
      </c>
      <c r="B267" s="72" t="s">
        <v>44</v>
      </c>
      <c r="C267" s="72">
        <v>10</v>
      </c>
      <c r="D267" s="78">
        <v>5687200000</v>
      </c>
      <c r="E267" s="78">
        <v>1160600000</v>
      </c>
      <c r="F267" s="78">
        <v>1223250000</v>
      </c>
      <c r="G267" s="78">
        <v>67496</v>
      </c>
      <c r="H267" s="78">
        <v>2</v>
      </c>
      <c r="I267" s="78">
        <f t="shared" si="14"/>
        <v>1223.25</v>
      </c>
      <c r="J267" s="78">
        <v>12347</v>
      </c>
      <c r="K267" s="78">
        <v>14654</v>
      </c>
      <c r="L267" s="78">
        <v>4606</v>
      </c>
      <c r="M267" s="78">
        <v>9772</v>
      </c>
      <c r="N267" s="78">
        <f t="shared" si="15"/>
        <v>6619.9</v>
      </c>
      <c r="O267" s="78">
        <v>1727</v>
      </c>
      <c r="P267" s="78">
        <v>52</v>
      </c>
      <c r="Q267" s="78">
        <v>5758</v>
      </c>
      <c r="R267" s="78">
        <v>10597</v>
      </c>
      <c r="S267" s="78">
        <v>8090</v>
      </c>
      <c r="T267" s="78">
        <v>0</v>
      </c>
      <c r="U267" s="78">
        <v>2263</v>
      </c>
      <c r="V267" s="78">
        <v>31851</v>
      </c>
      <c r="W267" s="78">
        <v>74100</v>
      </c>
      <c r="X267" s="78">
        <v>84420</v>
      </c>
      <c r="Y267" s="78">
        <v>2467.56</v>
      </c>
      <c r="Z267" s="78">
        <v>4208.8</v>
      </c>
      <c r="AA267" s="78">
        <v>0</v>
      </c>
      <c r="AB267" s="399">
        <v>0</v>
      </c>
      <c r="AC267" s="399">
        <v>0</v>
      </c>
      <c r="AD267" s="78">
        <v>7989</v>
      </c>
      <c r="AE267" s="78">
        <v>8308.56</v>
      </c>
      <c r="AF267" s="78">
        <v>1324</v>
      </c>
      <c r="AG267" s="78">
        <v>0</v>
      </c>
      <c r="AH267" s="78">
        <v>346</v>
      </c>
      <c r="AI267" s="78">
        <v>105</v>
      </c>
      <c r="AJ267" s="78">
        <v>349.46</v>
      </c>
      <c r="AK267" s="78">
        <v>110.25</v>
      </c>
      <c r="AL267" s="78">
        <v>451</v>
      </c>
      <c r="AM267" s="78">
        <v>31521</v>
      </c>
      <c r="AN267" s="78">
        <v>31836.21</v>
      </c>
      <c r="AO267" s="78">
        <v>39</v>
      </c>
      <c r="AP267" s="78">
        <v>0</v>
      </c>
      <c r="AQ267" s="78">
        <v>0</v>
      </c>
      <c r="AR267" s="78">
        <v>1100</v>
      </c>
      <c r="AS267" s="78">
        <v>4083</v>
      </c>
      <c r="AT267" s="78">
        <v>4083</v>
      </c>
      <c r="AU267" s="400">
        <v>1.541239E-3</v>
      </c>
      <c r="AV267" s="400">
        <v>1.7147130000000001E-3</v>
      </c>
      <c r="AW267" s="78">
        <v>58660.580999999998</v>
      </c>
      <c r="AX267" s="78">
        <v>0</v>
      </c>
      <c r="AY267" s="78">
        <v>1993.68</v>
      </c>
      <c r="AZ267" s="78">
        <v>18278.203801138199</v>
      </c>
      <c r="BA267" s="78">
        <v>8</v>
      </c>
      <c r="BB267" s="78">
        <v>8.4</v>
      </c>
      <c r="BC267" s="78">
        <v>6508</v>
      </c>
      <c r="BD267" s="78">
        <v>1</v>
      </c>
      <c r="BE267" s="78">
        <v>0</v>
      </c>
      <c r="BF267" s="78">
        <v>0</v>
      </c>
      <c r="BG267" s="78">
        <v>0</v>
      </c>
      <c r="BH267" s="78">
        <v>0</v>
      </c>
      <c r="BI267" s="78">
        <v>0</v>
      </c>
      <c r="BJ267" s="78">
        <v>0</v>
      </c>
      <c r="BK267" s="78">
        <v>0</v>
      </c>
      <c r="BL267" s="78">
        <v>0</v>
      </c>
      <c r="BM267" s="78">
        <v>1938.479</v>
      </c>
      <c r="BN267" s="78">
        <v>221</v>
      </c>
      <c r="BO267" s="78">
        <v>350</v>
      </c>
      <c r="BP267" s="78">
        <v>19790.55</v>
      </c>
      <c r="BQ267" s="78">
        <v>4442.76</v>
      </c>
      <c r="BR267" s="78">
        <v>549.92960865241196</v>
      </c>
      <c r="BS267" s="78">
        <v>856</v>
      </c>
      <c r="BT267" s="78">
        <v>514.66666666666697</v>
      </c>
      <c r="BU267" s="78">
        <v>428.33333333333297</v>
      </c>
      <c r="BV267" s="78">
        <f t="shared" si="16"/>
        <v>4031</v>
      </c>
      <c r="BW267" s="78">
        <v>997</v>
      </c>
      <c r="BX267" s="78">
        <v>14045.221434793701</v>
      </c>
      <c r="BY267" s="402">
        <v>5.3330000000000002</v>
      </c>
      <c r="BZ267" s="78">
        <v>52842</v>
      </c>
      <c r="CA267" s="78">
        <v>8489</v>
      </c>
      <c r="CB267" s="78">
        <v>1559</v>
      </c>
      <c r="CC267" s="78">
        <v>1854</v>
      </c>
      <c r="CD267" s="78">
        <v>1581</v>
      </c>
      <c r="CE267" s="78">
        <v>744</v>
      </c>
      <c r="CF267" s="78">
        <v>1095.6510992671599</v>
      </c>
      <c r="CG267" s="78">
        <v>648.94803464357096</v>
      </c>
      <c r="CH267" s="78">
        <v>211.905685098823</v>
      </c>
      <c r="CI267" s="78">
        <v>2426.9484000000002</v>
      </c>
      <c r="CJ267" s="78">
        <v>1437.4680000000001</v>
      </c>
      <c r="CK267" s="78">
        <v>469.38679999999999</v>
      </c>
      <c r="CL267" s="78">
        <v>100313</v>
      </c>
    </row>
    <row r="268" spans="1:90" customFormat="1" x14ac:dyDescent="0.35">
      <c r="A268" s="72">
        <v>1721</v>
      </c>
      <c r="B268" s="72" t="s">
        <v>46</v>
      </c>
      <c r="C268" s="72">
        <v>10</v>
      </c>
      <c r="D268" s="78">
        <v>3124400000</v>
      </c>
      <c r="E268" s="78">
        <v>368550000</v>
      </c>
      <c r="F268" s="78">
        <v>424550000</v>
      </c>
      <c r="G268" s="78">
        <v>31240</v>
      </c>
      <c r="H268" s="78">
        <v>4</v>
      </c>
      <c r="I268" s="78">
        <f t="shared" si="14"/>
        <v>424.55</v>
      </c>
      <c r="J268" s="78">
        <v>6121</v>
      </c>
      <c r="K268" s="78">
        <v>6577</v>
      </c>
      <c r="L268" s="78">
        <v>2062</v>
      </c>
      <c r="M268" s="78">
        <v>3264</v>
      </c>
      <c r="N268" s="78">
        <f t="shared" si="15"/>
        <v>1971.1</v>
      </c>
      <c r="O268" s="78">
        <v>281.66666666666703</v>
      </c>
      <c r="P268" s="78">
        <v>53</v>
      </c>
      <c r="Q268" s="78">
        <v>1747.6666666666699</v>
      </c>
      <c r="R268" s="78">
        <v>3396</v>
      </c>
      <c r="S268" s="78">
        <v>495</v>
      </c>
      <c r="T268" s="78">
        <v>0</v>
      </c>
      <c r="U268" s="78">
        <v>736</v>
      </c>
      <c r="V268" s="78">
        <v>13134</v>
      </c>
      <c r="W268" s="78">
        <v>25200</v>
      </c>
      <c r="X268" s="78">
        <v>6340</v>
      </c>
      <c r="Y268" s="78">
        <v>0</v>
      </c>
      <c r="Z268" s="78">
        <v>861.6</v>
      </c>
      <c r="AA268" s="78">
        <v>0</v>
      </c>
      <c r="AB268" s="399">
        <v>0</v>
      </c>
      <c r="AC268" s="399">
        <v>18.799999999999955</v>
      </c>
      <c r="AD268" s="78">
        <v>8971</v>
      </c>
      <c r="AE268" s="78">
        <v>8971</v>
      </c>
      <c r="AF268" s="78">
        <v>70</v>
      </c>
      <c r="AG268" s="78">
        <v>0</v>
      </c>
      <c r="AH268" s="78">
        <v>183</v>
      </c>
      <c r="AI268" s="78">
        <v>152</v>
      </c>
      <c r="AJ268" s="78">
        <v>183</v>
      </c>
      <c r="AK268" s="78">
        <v>152</v>
      </c>
      <c r="AL268" s="78">
        <v>335</v>
      </c>
      <c r="AM268" s="78">
        <v>12929</v>
      </c>
      <c r="AN268" s="78">
        <v>12929</v>
      </c>
      <c r="AO268" s="78">
        <v>0</v>
      </c>
      <c r="AP268" s="78">
        <v>0</v>
      </c>
      <c r="AQ268" s="78">
        <v>0</v>
      </c>
      <c r="AR268" s="78">
        <v>0</v>
      </c>
      <c r="AS268" s="78">
        <v>0</v>
      </c>
      <c r="AT268" s="78">
        <v>0</v>
      </c>
      <c r="AU268" s="400">
        <v>1.39025E-4</v>
      </c>
      <c r="AV268" s="400">
        <v>9.2204E-5</v>
      </c>
      <c r="AW268" s="78">
        <v>8817.5779999999995</v>
      </c>
      <c r="AX268" s="78">
        <v>0</v>
      </c>
      <c r="AY268" s="78">
        <v>1115</v>
      </c>
      <c r="AZ268" s="78">
        <v>3852.7375290343998</v>
      </c>
      <c r="BA268" s="78">
        <v>8</v>
      </c>
      <c r="BB268" s="78">
        <v>8</v>
      </c>
      <c r="BC268" s="78">
        <v>3812</v>
      </c>
      <c r="BD268" s="78">
        <v>1</v>
      </c>
      <c r="BE268" s="78">
        <v>0</v>
      </c>
      <c r="BF268" s="78">
        <v>0</v>
      </c>
      <c r="BG268" s="78">
        <v>0</v>
      </c>
      <c r="BH268" s="78">
        <v>0</v>
      </c>
      <c r="BI268" s="78">
        <v>0</v>
      </c>
      <c r="BJ268" s="78">
        <v>0</v>
      </c>
      <c r="BK268" s="78">
        <v>0</v>
      </c>
      <c r="BL268" s="78">
        <v>0</v>
      </c>
      <c r="BM268" s="78">
        <v>446.83300000000003</v>
      </c>
      <c r="BN268" s="78">
        <v>72</v>
      </c>
      <c r="BO268" s="78">
        <v>43</v>
      </c>
      <c r="BP268" s="78">
        <v>9231.58</v>
      </c>
      <c r="BQ268" s="78">
        <v>2406.96</v>
      </c>
      <c r="BR268" s="78">
        <v>155.75769869869899</v>
      </c>
      <c r="BS268" s="78">
        <v>306</v>
      </c>
      <c r="BT268" s="78">
        <v>91.6666666666667</v>
      </c>
      <c r="BU268" s="78">
        <v>65.6666666666667</v>
      </c>
      <c r="BV268" s="78">
        <f t="shared" si="16"/>
        <v>1466.000000000003</v>
      </c>
      <c r="BW268" s="78">
        <v>331</v>
      </c>
      <c r="BX268" s="78">
        <v>4836.4704018697703</v>
      </c>
      <c r="BY268" s="402">
        <v>0.17199999999999999</v>
      </c>
      <c r="BZ268" s="78">
        <v>24663</v>
      </c>
      <c r="CA268" s="78">
        <v>3730</v>
      </c>
      <c r="CB268" s="78">
        <v>785</v>
      </c>
      <c r="CC268" s="78">
        <v>600</v>
      </c>
      <c r="CD268" s="78">
        <v>558</v>
      </c>
      <c r="CE268" s="78">
        <v>325</v>
      </c>
      <c r="CF268" s="78">
        <v>325.34050583958498</v>
      </c>
      <c r="CG268" s="78">
        <v>194.99086549617101</v>
      </c>
      <c r="CH268" s="78">
        <v>67.385428107355594</v>
      </c>
      <c r="CI268" s="78">
        <v>854.66700000000003</v>
      </c>
      <c r="CJ268" s="78">
        <v>512.23950000000002</v>
      </c>
      <c r="CK268" s="78">
        <v>177.02099999999999</v>
      </c>
      <c r="CL268" s="78">
        <v>9790</v>
      </c>
    </row>
    <row r="269" spans="1:90" customFormat="1" x14ac:dyDescent="0.35">
      <c r="A269" s="72">
        <v>753</v>
      </c>
      <c r="B269" s="72" t="s">
        <v>47</v>
      </c>
      <c r="C269" s="72">
        <v>10</v>
      </c>
      <c r="D269" s="78">
        <v>3081600000</v>
      </c>
      <c r="E269" s="78">
        <v>480550000</v>
      </c>
      <c r="F269" s="78">
        <v>492800000</v>
      </c>
      <c r="G269" s="78">
        <v>29988</v>
      </c>
      <c r="H269" s="78">
        <v>1</v>
      </c>
      <c r="I269" s="78">
        <f t="shared" si="14"/>
        <v>492.8</v>
      </c>
      <c r="J269" s="78">
        <v>5809</v>
      </c>
      <c r="K269" s="78">
        <v>5770</v>
      </c>
      <c r="L269" s="78">
        <v>1908</v>
      </c>
      <c r="M269" s="78">
        <v>3109</v>
      </c>
      <c r="N269" s="78">
        <f t="shared" si="15"/>
        <v>1834.6999999999998</v>
      </c>
      <c r="O269" s="78">
        <v>413.66666666666703</v>
      </c>
      <c r="P269" s="78">
        <v>37</v>
      </c>
      <c r="Q269" s="78">
        <v>1619.6666666666699</v>
      </c>
      <c r="R269" s="78">
        <v>3779</v>
      </c>
      <c r="S269" s="78">
        <v>1275</v>
      </c>
      <c r="T269" s="78">
        <v>0</v>
      </c>
      <c r="U269" s="78">
        <v>911</v>
      </c>
      <c r="V269" s="78">
        <v>12932</v>
      </c>
      <c r="W269" s="78">
        <v>29720</v>
      </c>
      <c r="X269" s="78">
        <v>18300</v>
      </c>
      <c r="Y269" s="78">
        <v>0</v>
      </c>
      <c r="Z269" s="78">
        <v>1611.2</v>
      </c>
      <c r="AA269" s="78">
        <v>0</v>
      </c>
      <c r="AB269" s="399">
        <v>0</v>
      </c>
      <c r="AC269" s="399">
        <v>0</v>
      </c>
      <c r="AD269" s="78">
        <v>3430</v>
      </c>
      <c r="AE269" s="78">
        <v>3430</v>
      </c>
      <c r="AF269" s="78">
        <v>80</v>
      </c>
      <c r="AG269" s="78">
        <v>0</v>
      </c>
      <c r="AH269" s="78">
        <v>182</v>
      </c>
      <c r="AI269" s="78">
        <v>46</v>
      </c>
      <c r="AJ269" s="78">
        <v>182</v>
      </c>
      <c r="AK269" s="78">
        <v>46</v>
      </c>
      <c r="AL269" s="78">
        <v>228</v>
      </c>
      <c r="AM269" s="78">
        <v>12743</v>
      </c>
      <c r="AN269" s="78">
        <v>12743</v>
      </c>
      <c r="AO269" s="78">
        <v>0</v>
      </c>
      <c r="AP269" s="78">
        <v>0</v>
      </c>
      <c r="AQ269" s="78">
        <v>0</v>
      </c>
      <c r="AR269" s="78">
        <v>0</v>
      </c>
      <c r="AS269" s="78">
        <v>0</v>
      </c>
      <c r="AT269" s="78">
        <v>0</v>
      </c>
      <c r="AU269" s="400">
        <v>7.6761999999999995E-5</v>
      </c>
      <c r="AV269" s="400">
        <v>2.15054E-4</v>
      </c>
      <c r="AW269" s="78">
        <v>17954.886999999999</v>
      </c>
      <c r="AX269" s="78">
        <v>0</v>
      </c>
      <c r="AY269" s="78">
        <v>477</v>
      </c>
      <c r="AZ269" s="78">
        <v>4075.2923076923098</v>
      </c>
      <c r="BA269" s="78">
        <v>2</v>
      </c>
      <c r="BB269" s="78">
        <v>2</v>
      </c>
      <c r="BC269" s="78">
        <v>3174</v>
      </c>
      <c r="BD269" s="78">
        <v>1</v>
      </c>
      <c r="BE269" s="78">
        <v>0</v>
      </c>
      <c r="BF269" s="78">
        <v>0</v>
      </c>
      <c r="BG269" s="78">
        <v>0</v>
      </c>
      <c r="BH269" s="78">
        <v>0</v>
      </c>
      <c r="BI269" s="78">
        <v>0</v>
      </c>
      <c r="BJ269" s="78">
        <v>0</v>
      </c>
      <c r="BK269" s="78">
        <v>0</v>
      </c>
      <c r="BL269" s="78">
        <v>0</v>
      </c>
      <c r="BM269" s="78">
        <v>400.82100000000003</v>
      </c>
      <c r="BN269" s="78">
        <v>40</v>
      </c>
      <c r="BO269" s="78">
        <v>47</v>
      </c>
      <c r="BP269" s="78">
        <v>9886.0300000000007</v>
      </c>
      <c r="BQ269" s="78">
        <v>2483.44</v>
      </c>
      <c r="BR269" s="78">
        <v>215.97633549564199</v>
      </c>
      <c r="BS269" s="78">
        <v>367</v>
      </c>
      <c r="BT269" s="78">
        <v>123.666666666667</v>
      </c>
      <c r="BU269" s="78">
        <v>109</v>
      </c>
      <c r="BV269" s="78">
        <f t="shared" si="16"/>
        <v>1206.000000000003</v>
      </c>
      <c r="BW269" s="78">
        <v>238</v>
      </c>
      <c r="BX269" s="78">
        <v>5184.35110291405</v>
      </c>
      <c r="BY269" s="402">
        <v>0.58399999999999996</v>
      </c>
      <c r="BZ269" s="78">
        <v>24218</v>
      </c>
      <c r="CA269" s="78">
        <v>3258</v>
      </c>
      <c r="CB269" s="78">
        <v>604</v>
      </c>
      <c r="CC269" s="78">
        <v>618</v>
      </c>
      <c r="CD269" s="78">
        <v>611</v>
      </c>
      <c r="CE269" s="78">
        <v>334</v>
      </c>
      <c r="CF269" s="78">
        <v>284.06678960998198</v>
      </c>
      <c r="CG269" s="78">
        <v>188.32202777995801</v>
      </c>
      <c r="CH269" s="78">
        <v>69.396955191085297</v>
      </c>
      <c r="CI269" s="78">
        <v>729.02350000000001</v>
      </c>
      <c r="CJ269" s="78">
        <v>483.30599999999998</v>
      </c>
      <c r="CK269" s="78">
        <v>178.09899999999999</v>
      </c>
      <c r="CL269" s="78">
        <v>8760</v>
      </c>
    </row>
    <row r="270" spans="1:90" customFormat="1" x14ac:dyDescent="0.35">
      <c r="A270" s="72">
        <v>1728</v>
      </c>
      <c r="B270" s="72" t="s">
        <v>50</v>
      </c>
      <c r="C270" s="72">
        <v>10</v>
      </c>
      <c r="D270" s="78">
        <v>2134000000</v>
      </c>
      <c r="E270" s="78">
        <v>427700000</v>
      </c>
      <c r="F270" s="78">
        <v>460250000</v>
      </c>
      <c r="G270" s="78">
        <v>20390</v>
      </c>
      <c r="H270" s="78">
        <v>4</v>
      </c>
      <c r="I270" s="78">
        <f t="shared" si="14"/>
        <v>460.25</v>
      </c>
      <c r="J270" s="78">
        <v>3826</v>
      </c>
      <c r="K270" s="78">
        <v>4429</v>
      </c>
      <c r="L270" s="78">
        <v>1495</v>
      </c>
      <c r="M270" s="78">
        <v>2299</v>
      </c>
      <c r="N270" s="78">
        <f t="shared" si="15"/>
        <v>1360.1999999999998</v>
      </c>
      <c r="O270" s="78">
        <v>138.333333333333</v>
      </c>
      <c r="P270" s="78">
        <v>23</v>
      </c>
      <c r="Q270" s="78">
        <v>1072.3333333333301</v>
      </c>
      <c r="R270" s="78">
        <v>2560</v>
      </c>
      <c r="S270" s="78">
        <v>270</v>
      </c>
      <c r="T270" s="78">
        <v>0</v>
      </c>
      <c r="U270" s="78">
        <v>490</v>
      </c>
      <c r="V270" s="78">
        <v>8906</v>
      </c>
      <c r="W270" s="78">
        <v>18230</v>
      </c>
      <c r="X270" s="78">
        <v>4570</v>
      </c>
      <c r="Y270" s="78">
        <v>661.32</v>
      </c>
      <c r="Z270" s="78">
        <v>1641.6</v>
      </c>
      <c r="AA270" s="78">
        <v>0</v>
      </c>
      <c r="AB270" s="399">
        <v>0</v>
      </c>
      <c r="AC270" s="399">
        <v>0</v>
      </c>
      <c r="AD270" s="78">
        <v>7531</v>
      </c>
      <c r="AE270" s="78">
        <v>7531</v>
      </c>
      <c r="AF270" s="78">
        <v>32</v>
      </c>
      <c r="AG270" s="78">
        <v>0</v>
      </c>
      <c r="AH270" s="78">
        <v>174</v>
      </c>
      <c r="AI270" s="78">
        <v>87</v>
      </c>
      <c r="AJ270" s="78">
        <v>174</v>
      </c>
      <c r="AK270" s="78">
        <v>87</v>
      </c>
      <c r="AL270" s="78">
        <v>261</v>
      </c>
      <c r="AM270" s="78">
        <v>9388</v>
      </c>
      <c r="AN270" s="78">
        <v>9388</v>
      </c>
      <c r="AO270" s="78">
        <v>0</v>
      </c>
      <c r="AP270" s="78">
        <v>0</v>
      </c>
      <c r="AQ270" s="78">
        <v>0</v>
      </c>
      <c r="AR270" s="78">
        <v>0</v>
      </c>
      <c r="AS270" s="78">
        <v>0</v>
      </c>
      <c r="AT270" s="78">
        <v>0</v>
      </c>
      <c r="AU270" s="400">
        <v>1.09221E-4</v>
      </c>
      <c r="AV270" s="400">
        <v>7.9597000000000004E-5</v>
      </c>
      <c r="AW270" s="78">
        <v>6458.9440000000004</v>
      </c>
      <c r="AX270" s="78">
        <v>0</v>
      </c>
      <c r="AY270" s="78">
        <v>630</v>
      </c>
      <c r="AZ270" s="78">
        <v>1698.4926616422099</v>
      </c>
      <c r="BA270" s="78">
        <v>9</v>
      </c>
      <c r="BB270" s="78">
        <v>9</v>
      </c>
      <c r="BC270" s="78">
        <v>2582</v>
      </c>
      <c r="BD270" s="78">
        <v>1</v>
      </c>
      <c r="BE270" s="78">
        <v>0</v>
      </c>
      <c r="BF270" s="78">
        <v>0</v>
      </c>
      <c r="BG270" s="78">
        <v>0</v>
      </c>
      <c r="BH270" s="78">
        <v>0</v>
      </c>
      <c r="BI270" s="78">
        <v>0</v>
      </c>
      <c r="BJ270" s="78">
        <v>0</v>
      </c>
      <c r="BK270" s="78">
        <v>0</v>
      </c>
      <c r="BL270" s="78">
        <v>0</v>
      </c>
      <c r="BM270" s="78">
        <v>263.99400000000003</v>
      </c>
      <c r="BN270" s="78">
        <v>63</v>
      </c>
      <c r="BO270" s="78">
        <v>58</v>
      </c>
      <c r="BP270" s="78">
        <v>6055</v>
      </c>
      <c r="BQ270" s="78">
        <v>1420.71</v>
      </c>
      <c r="BR270" s="78">
        <v>136.36103125</v>
      </c>
      <c r="BS270" s="78">
        <v>186</v>
      </c>
      <c r="BT270" s="78">
        <v>42.3333333333333</v>
      </c>
      <c r="BU270" s="78">
        <v>30.6666666666667</v>
      </c>
      <c r="BV270" s="78">
        <f t="shared" si="16"/>
        <v>933.99999999999704</v>
      </c>
      <c r="BW270" s="78">
        <v>221</v>
      </c>
      <c r="BX270" s="78">
        <v>3356.3910780669098</v>
      </c>
      <c r="BY270" s="402">
        <v>0.104</v>
      </c>
      <c r="BZ270" s="78">
        <v>15961</v>
      </c>
      <c r="CA270" s="78">
        <v>2447</v>
      </c>
      <c r="CB270" s="78">
        <v>487</v>
      </c>
      <c r="CC270" s="78">
        <v>436</v>
      </c>
      <c r="CD270" s="78">
        <v>444</v>
      </c>
      <c r="CE270" s="78">
        <v>228</v>
      </c>
      <c r="CF270" s="78">
        <v>212.25958670643399</v>
      </c>
      <c r="CG270" s="78">
        <v>139.960928845334</v>
      </c>
      <c r="CH270" s="78">
        <v>45.349659139326803</v>
      </c>
      <c r="CI270" s="78">
        <v>624.23649999999998</v>
      </c>
      <c r="CJ270" s="78">
        <v>411.61259999999999</v>
      </c>
      <c r="CK270" s="78">
        <v>133.36930000000001</v>
      </c>
      <c r="CL270" s="78">
        <v>33099</v>
      </c>
    </row>
    <row r="271" spans="1:90" customFormat="1" x14ac:dyDescent="0.35">
      <c r="A271" s="72">
        <v>755</v>
      </c>
      <c r="B271" s="72" t="s">
        <v>54</v>
      </c>
      <c r="C271" s="72">
        <v>10</v>
      </c>
      <c r="D271" s="78">
        <v>981200000</v>
      </c>
      <c r="E271" s="78">
        <v>143150000</v>
      </c>
      <c r="F271" s="78">
        <v>171850000</v>
      </c>
      <c r="G271" s="78">
        <v>10785</v>
      </c>
      <c r="H271" s="78">
        <v>1</v>
      </c>
      <c r="I271" s="78">
        <f t="shared" si="14"/>
        <v>171.85</v>
      </c>
      <c r="J271" s="78">
        <v>2176</v>
      </c>
      <c r="K271" s="78">
        <v>2022</v>
      </c>
      <c r="L271" s="78">
        <v>629</v>
      </c>
      <c r="M271" s="78">
        <v>1085</v>
      </c>
      <c r="N271" s="78">
        <f t="shared" si="15"/>
        <v>641.79999999999995</v>
      </c>
      <c r="O271" s="78">
        <v>77.6666666666667</v>
      </c>
      <c r="P271" s="78">
        <v>19</v>
      </c>
      <c r="Q271" s="78">
        <v>656.66666666666697</v>
      </c>
      <c r="R271" s="78">
        <v>1062</v>
      </c>
      <c r="S271" s="78">
        <v>110</v>
      </c>
      <c r="T271" s="78">
        <v>0</v>
      </c>
      <c r="U271" s="78">
        <v>225</v>
      </c>
      <c r="V271" s="78">
        <v>4465</v>
      </c>
      <c r="W271" s="78">
        <v>9180</v>
      </c>
      <c r="X271" s="78">
        <v>2120</v>
      </c>
      <c r="Y271" s="78">
        <v>0</v>
      </c>
      <c r="Z271" s="78">
        <v>0</v>
      </c>
      <c r="AA271" s="78">
        <v>0</v>
      </c>
      <c r="AB271" s="399">
        <v>0</v>
      </c>
      <c r="AC271" s="399">
        <v>0</v>
      </c>
      <c r="AD271" s="78">
        <v>3451</v>
      </c>
      <c r="AE271" s="78">
        <v>3451</v>
      </c>
      <c r="AF271" s="78">
        <v>1</v>
      </c>
      <c r="AG271" s="78">
        <v>0</v>
      </c>
      <c r="AH271" s="78">
        <v>69</v>
      </c>
      <c r="AI271" s="78">
        <v>78</v>
      </c>
      <c r="AJ271" s="78">
        <v>69</v>
      </c>
      <c r="AK271" s="78">
        <v>78</v>
      </c>
      <c r="AL271" s="78">
        <v>147</v>
      </c>
      <c r="AM271" s="78">
        <v>4432</v>
      </c>
      <c r="AN271" s="78">
        <v>4432</v>
      </c>
      <c r="AO271" s="78">
        <v>0</v>
      </c>
      <c r="AP271" s="78">
        <v>0</v>
      </c>
      <c r="AQ271" s="78">
        <v>0</v>
      </c>
      <c r="AR271" s="78">
        <v>0</v>
      </c>
      <c r="AS271" s="78">
        <v>0</v>
      </c>
      <c r="AT271" s="78">
        <v>0</v>
      </c>
      <c r="AU271" s="400">
        <v>5.3584000000000001E-5</v>
      </c>
      <c r="AV271" s="400">
        <v>2.7067E-5</v>
      </c>
      <c r="AW271" s="78">
        <v>2379.9839999999999</v>
      </c>
      <c r="AX271" s="78">
        <v>0</v>
      </c>
      <c r="AY271" s="78">
        <v>165</v>
      </c>
      <c r="AZ271" s="78">
        <v>515.50550405562001</v>
      </c>
      <c r="BA271" s="78">
        <v>6</v>
      </c>
      <c r="BB271" s="78">
        <v>6</v>
      </c>
      <c r="BC271" s="78">
        <v>1368</v>
      </c>
      <c r="BD271" s="78">
        <v>1</v>
      </c>
      <c r="BE271" s="78">
        <v>0</v>
      </c>
      <c r="BF271" s="78">
        <v>0</v>
      </c>
      <c r="BG271" s="78">
        <v>0</v>
      </c>
      <c r="BH271" s="78">
        <v>0</v>
      </c>
      <c r="BI271" s="78">
        <v>0</v>
      </c>
      <c r="BJ271" s="78">
        <v>0</v>
      </c>
      <c r="BK271" s="78">
        <v>0</v>
      </c>
      <c r="BL271" s="78">
        <v>0</v>
      </c>
      <c r="BM271" s="78">
        <v>176.256</v>
      </c>
      <c r="BN271" s="78">
        <v>55</v>
      </c>
      <c r="BO271" s="78">
        <v>5</v>
      </c>
      <c r="BP271" s="78">
        <v>2710.5</v>
      </c>
      <c r="BQ271" s="78">
        <v>708.04</v>
      </c>
      <c r="BR271" s="78">
        <v>28.902489250435799</v>
      </c>
      <c r="BS271" s="78">
        <v>110</v>
      </c>
      <c r="BT271" s="78">
        <v>24</v>
      </c>
      <c r="BU271" s="78">
        <v>17</v>
      </c>
      <c r="BV271" s="78">
        <f t="shared" si="16"/>
        <v>579.00000000000023</v>
      </c>
      <c r="BW271" s="78">
        <v>153</v>
      </c>
      <c r="BX271" s="78">
        <v>1467.2407820173801</v>
      </c>
      <c r="BY271" s="402">
        <v>5.6000000000000001E-2</v>
      </c>
      <c r="BZ271" s="78">
        <v>8763</v>
      </c>
      <c r="CA271" s="78">
        <v>1187</v>
      </c>
      <c r="CB271" s="78">
        <v>206</v>
      </c>
      <c r="CC271" s="78">
        <v>174</v>
      </c>
      <c r="CD271" s="78">
        <v>186</v>
      </c>
      <c r="CE271" s="78">
        <v>101</v>
      </c>
      <c r="CF271" s="78">
        <v>96.443772563176907</v>
      </c>
      <c r="CG271" s="78">
        <v>61.110018050541498</v>
      </c>
      <c r="CH271" s="78">
        <v>17.666877256317701</v>
      </c>
      <c r="CI271" s="78">
        <v>299.16719999999998</v>
      </c>
      <c r="CJ271" s="78">
        <v>189.5624</v>
      </c>
      <c r="CK271" s="78">
        <v>54.802399999999999</v>
      </c>
      <c r="CL271" s="78">
        <v>7670</v>
      </c>
    </row>
    <row r="272" spans="1:90" customFormat="1" x14ac:dyDescent="0.35">
      <c r="A272" s="72">
        <v>756</v>
      </c>
      <c r="B272" s="72" t="s">
        <v>58</v>
      </c>
      <c r="C272" s="72">
        <v>10</v>
      </c>
      <c r="D272" s="78">
        <v>2523600000</v>
      </c>
      <c r="E272" s="78">
        <v>489300000</v>
      </c>
      <c r="F272" s="78">
        <v>524650000</v>
      </c>
      <c r="G272" s="78">
        <v>29365</v>
      </c>
      <c r="H272" s="78">
        <v>6</v>
      </c>
      <c r="I272" s="78">
        <f t="shared" si="14"/>
        <v>524.65</v>
      </c>
      <c r="J272" s="78">
        <v>5154</v>
      </c>
      <c r="K272" s="78">
        <v>6803</v>
      </c>
      <c r="L272" s="78">
        <v>2066</v>
      </c>
      <c r="M272" s="78">
        <v>3551</v>
      </c>
      <c r="N272" s="78">
        <f t="shared" si="15"/>
        <v>2245.5</v>
      </c>
      <c r="O272" s="78">
        <v>319</v>
      </c>
      <c r="P272" s="78">
        <v>68</v>
      </c>
      <c r="Q272" s="78">
        <v>1849</v>
      </c>
      <c r="R272" s="78">
        <v>3701</v>
      </c>
      <c r="S272" s="78">
        <v>815</v>
      </c>
      <c r="T272" s="78">
        <v>0</v>
      </c>
      <c r="U272" s="78">
        <v>730</v>
      </c>
      <c r="V272" s="78">
        <v>13322</v>
      </c>
      <c r="W272" s="78">
        <v>27870</v>
      </c>
      <c r="X272" s="78">
        <v>11710</v>
      </c>
      <c r="Y272" s="78">
        <v>419.76</v>
      </c>
      <c r="Z272" s="78">
        <v>2168.8000000000002</v>
      </c>
      <c r="AA272" s="78">
        <v>0</v>
      </c>
      <c r="AB272" s="399">
        <v>0</v>
      </c>
      <c r="AC272" s="399">
        <v>199.69999999999982</v>
      </c>
      <c r="AD272" s="78">
        <v>11135</v>
      </c>
      <c r="AE272" s="78">
        <v>11135</v>
      </c>
      <c r="AF272" s="78">
        <v>250</v>
      </c>
      <c r="AG272" s="78">
        <v>0</v>
      </c>
      <c r="AH272" s="78">
        <v>184</v>
      </c>
      <c r="AI272" s="78">
        <v>139</v>
      </c>
      <c r="AJ272" s="78">
        <v>184</v>
      </c>
      <c r="AK272" s="78">
        <v>139</v>
      </c>
      <c r="AL272" s="78">
        <v>323</v>
      </c>
      <c r="AM272" s="78">
        <v>13055</v>
      </c>
      <c r="AN272" s="78">
        <v>13055</v>
      </c>
      <c r="AO272" s="78">
        <v>0</v>
      </c>
      <c r="AP272" s="78">
        <v>0</v>
      </c>
      <c r="AQ272" s="78">
        <v>0</v>
      </c>
      <c r="AR272" s="78">
        <v>0</v>
      </c>
      <c r="AS272" s="78">
        <v>736</v>
      </c>
      <c r="AT272" s="78">
        <v>0</v>
      </c>
      <c r="AU272" s="400">
        <v>2.3918100000000001E-4</v>
      </c>
      <c r="AV272" s="400">
        <v>1.3863100000000001E-4</v>
      </c>
      <c r="AW272" s="78">
        <v>8694.6299999999992</v>
      </c>
      <c r="AX272" s="78">
        <v>0</v>
      </c>
      <c r="AY272" s="78">
        <v>1166</v>
      </c>
      <c r="AZ272" s="78">
        <v>3007.42995169082</v>
      </c>
      <c r="BA272" s="78">
        <v>13</v>
      </c>
      <c r="BB272" s="78">
        <v>13</v>
      </c>
      <c r="BC272" s="78">
        <v>3007</v>
      </c>
      <c r="BD272" s="78">
        <v>1</v>
      </c>
      <c r="BE272" s="78">
        <v>0</v>
      </c>
      <c r="BF272" s="78">
        <v>0</v>
      </c>
      <c r="BG272" s="78">
        <v>0</v>
      </c>
      <c r="BH272" s="78">
        <v>0</v>
      </c>
      <c r="BI272" s="78">
        <v>0</v>
      </c>
      <c r="BJ272" s="78">
        <v>0</v>
      </c>
      <c r="BK272" s="78">
        <v>0</v>
      </c>
      <c r="BL272" s="78">
        <v>0</v>
      </c>
      <c r="BM272" s="78">
        <v>381.39600000000002</v>
      </c>
      <c r="BN272" s="78">
        <v>75</v>
      </c>
      <c r="BO272" s="78">
        <v>57</v>
      </c>
      <c r="BP272" s="78">
        <v>8760.5</v>
      </c>
      <c r="BQ272" s="78">
        <v>1921.65</v>
      </c>
      <c r="BR272" s="78">
        <v>149.94633550792199</v>
      </c>
      <c r="BS272" s="78">
        <v>292</v>
      </c>
      <c r="BT272" s="78">
        <v>81.6666666666667</v>
      </c>
      <c r="BU272" s="78">
        <v>64.6666666666667</v>
      </c>
      <c r="BV272" s="78">
        <f t="shared" si="16"/>
        <v>1530</v>
      </c>
      <c r="BW272" s="78">
        <v>352</v>
      </c>
      <c r="BX272" s="78">
        <v>5750.9531395148797</v>
      </c>
      <c r="BY272" s="402">
        <v>0.28999999999999998</v>
      </c>
      <c r="BZ272" s="78">
        <v>22562</v>
      </c>
      <c r="CA272" s="78">
        <v>3946</v>
      </c>
      <c r="CB272" s="78">
        <v>791</v>
      </c>
      <c r="CC272" s="78">
        <v>663</v>
      </c>
      <c r="CD272" s="78">
        <v>607</v>
      </c>
      <c r="CE272" s="78">
        <v>337</v>
      </c>
      <c r="CF272" s="78">
        <v>394.403025660666</v>
      </c>
      <c r="CG272" s="78">
        <v>231.86013021830701</v>
      </c>
      <c r="CH272" s="78">
        <v>83.593489084641902</v>
      </c>
      <c r="CI272" s="78">
        <v>960.07910000000004</v>
      </c>
      <c r="CJ272" s="78">
        <v>564.4076</v>
      </c>
      <c r="CK272" s="78">
        <v>203.48820000000001</v>
      </c>
      <c r="CL272" s="78">
        <v>21131</v>
      </c>
    </row>
    <row r="273" spans="1:90" customFormat="1" x14ac:dyDescent="0.35">
      <c r="A273" s="72">
        <v>757</v>
      </c>
      <c r="B273" s="72" t="s">
        <v>59</v>
      </c>
      <c r="C273" s="72">
        <v>10</v>
      </c>
      <c r="D273" s="78">
        <v>2932800000</v>
      </c>
      <c r="E273" s="78">
        <v>448350000</v>
      </c>
      <c r="F273" s="78">
        <v>467950000</v>
      </c>
      <c r="G273" s="78">
        <v>30801</v>
      </c>
      <c r="H273" s="78">
        <v>2</v>
      </c>
      <c r="I273" s="78">
        <f t="shared" si="14"/>
        <v>467.95</v>
      </c>
      <c r="J273" s="78">
        <v>5926</v>
      </c>
      <c r="K273" s="78">
        <v>6860</v>
      </c>
      <c r="L273" s="78">
        <v>2096</v>
      </c>
      <c r="M273" s="78">
        <v>3940</v>
      </c>
      <c r="N273" s="78">
        <f t="shared" si="15"/>
        <v>2564.3999999999996</v>
      </c>
      <c r="O273" s="78">
        <v>425</v>
      </c>
      <c r="P273" s="78">
        <v>101</v>
      </c>
      <c r="Q273" s="78">
        <v>2148</v>
      </c>
      <c r="R273" s="78">
        <v>4659</v>
      </c>
      <c r="S273" s="78">
        <v>1505</v>
      </c>
      <c r="T273" s="78">
        <v>0</v>
      </c>
      <c r="U273" s="78">
        <v>935</v>
      </c>
      <c r="V273" s="78">
        <v>14262</v>
      </c>
      <c r="W273" s="78">
        <v>29950</v>
      </c>
      <c r="X273" s="78">
        <v>17740</v>
      </c>
      <c r="Y273" s="78">
        <v>951.16</v>
      </c>
      <c r="Z273" s="78">
        <v>1698.4</v>
      </c>
      <c r="AA273" s="78">
        <v>0</v>
      </c>
      <c r="AB273" s="399">
        <v>0</v>
      </c>
      <c r="AC273" s="399">
        <v>0</v>
      </c>
      <c r="AD273" s="78">
        <v>6365</v>
      </c>
      <c r="AE273" s="78">
        <v>6365</v>
      </c>
      <c r="AF273" s="78">
        <v>120</v>
      </c>
      <c r="AG273" s="78">
        <v>0</v>
      </c>
      <c r="AH273" s="78">
        <v>179</v>
      </c>
      <c r="AI273" s="78">
        <v>54</v>
      </c>
      <c r="AJ273" s="78">
        <v>179</v>
      </c>
      <c r="AK273" s="78">
        <v>54</v>
      </c>
      <c r="AL273" s="78">
        <v>233</v>
      </c>
      <c r="AM273" s="78">
        <v>13756</v>
      </c>
      <c r="AN273" s="78">
        <v>13756</v>
      </c>
      <c r="AO273" s="78">
        <v>0</v>
      </c>
      <c r="AP273" s="78">
        <v>0</v>
      </c>
      <c r="AQ273" s="78">
        <v>0</v>
      </c>
      <c r="AR273" s="78">
        <v>0</v>
      </c>
      <c r="AS273" s="78">
        <v>1588</v>
      </c>
      <c r="AT273" s="78">
        <v>0</v>
      </c>
      <c r="AU273" s="400">
        <v>3.6101999999999998E-4</v>
      </c>
      <c r="AV273" s="400">
        <v>3.91364E-4</v>
      </c>
      <c r="AW273" s="78">
        <v>16754.808000000001</v>
      </c>
      <c r="AX273" s="78">
        <v>0</v>
      </c>
      <c r="AY273" s="78">
        <v>1551</v>
      </c>
      <c r="AZ273" s="78">
        <v>7366.5922898997696</v>
      </c>
      <c r="BA273" s="78">
        <v>4</v>
      </c>
      <c r="BB273" s="78">
        <v>4</v>
      </c>
      <c r="BC273" s="78">
        <v>3391</v>
      </c>
      <c r="BD273" s="78">
        <v>1</v>
      </c>
      <c r="BE273" s="78">
        <v>0</v>
      </c>
      <c r="BF273" s="78">
        <v>0</v>
      </c>
      <c r="BG273" s="78">
        <v>0</v>
      </c>
      <c r="BH273" s="78">
        <v>0</v>
      </c>
      <c r="BI273" s="78">
        <v>0</v>
      </c>
      <c r="BJ273" s="78">
        <v>0</v>
      </c>
      <c r="BK273" s="78">
        <v>0</v>
      </c>
      <c r="BL273" s="78">
        <v>0</v>
      </c>
      <c r="BM273" s="78">
        <v>651.86</v>
      </c>
      <c r="BN273" s="78">
        <v>80</v>
      </c>
      <c r="BO273" s="78">
        <v>81</v>
      </c>
      <c r="BP273" s="78">
        <v>9116.69</v>
      </c>
      <c r="BQ273" s="78">
        <v>2141.6999999999998</v>
      </c>
      <c r="BR273" s="78">
        <v>287.04594601654298</v>
      </c>
      <c r="BS273" s="78">
        <v>348</v>
      </c>
      <c r="BT273" s="78">
        <v>128.666666666667</v>
      </c>
      <c r="BU273" s="78">
        <v>112.333333333333</v>
      </c>
      <c r="BV273" s="78">
        <f t="shared" si="16"/>
        <v>1723</v>
      </c>
      <c r="BW273" s="78">
        <v>365</v>
      </c>
      <c r="BX273" s="78">
        <v>4997.1209015513696</v>
      </c>
      <c r="BY273" s="402">
        <v>0.69</v>
      </c>
      <c r="BZ273" s="78">
        <v>23941</v>
      </c>
      <c r="CA273" s="78">
        <v>4018</v>
      </c>
      <c r="CB273" s="78">
        <v>746</v>
      </c>
      <c r="CC273" s="78">
        <v>807</v>
      </c>
      <c r="CD273" s="78">
        <v>675</v>
      </c>
      <c r="CE273" s="78">
        <v>364</v>
      </c>
      <c r="CF273" s="78">
        <v>453.93384704856101</v>
      </c>
      <c r="CG273" s="78">
        <v>249.80343123000901</v>
      </c>
      <c r="CH273" s="78">
        <v>89.108985170107601</v>
      </c>
      <c r="CI273" s="78">
        <v>1074.809</v>
      </c>
      <c r="CJ273" s="78">
        <v>591.476</v>
      </c>
      <c r="CK273" s="78">
        <v>210.98920000000001</v>
      </c>
      <c r="CL273" s="78">
        <v>79025</v>
      </c>
    </row>
    <row r="274" spans="1:90" customFormat="1" x14ac:dyDescent="0.35">
      <c r="A274" s="72">
        <v>758</v>
      </c>
      <c r="B274" s="72" t="s">
        <v>60</v>
      </c>
      <c r="C274" s="72">
        <v>10</v>
      </c>
      <c r="D274" s="78">
        <v>19842800000</v>
      </c>
      <c r="E274" s="78">
        <v>3214400000</v>
      </c>
      <c r="F274" s="78">
        <v>3260950000</v>
      </c>
      <c r="G274" s="78">
        <v>184069</v>
      </c>
      <c r="H274" s="78">
        <v>1</v>
      </c>
      <c r="I274" s="78">
        <f t="shared" si="14"/>
        <v>3260.95</v>
      </c>
      <c r="J274" s="78">
        <v>34583</v>
      </c>
      <c r="K274" s="78">
        <v>34190</v>
      </c>
      <c r="L274" s="78">
        <v>11038</v>
      </c>
      <c r="M274" s="78">
        <v>25871</v>
      </c>
      <c r="N274" s="78">
        <f t="shared" si="15"/>
        <v>17212.5</v>
      </c>
      <c r="O274" s="78">
        <v>4657</v>
      </c>
      <c r="P274" s="78">
        <v>148</v>
      </c>
      <c r="Q274" s="78">
        <v>12481</v>
      </c>
      <c r="R274" s="78">
        <v>37657</v>
      </c>
      <c r="S274" s="78">
        <v>14870</v>
      </c>
      <c r="T274" s="78">
        <v>0</v>
      </c>
      <c r="U274" s="78">
        <v>6278</v>
      </c>
      <c r="V274" s="78">
        <v>91082</v>
      </c>
      <c r="W274" s="78">
        <v>205430</v>
      </c>
      <c r="X274" s="78">
        <v>289060</v>
      </c>
      <c r="Y274" s="78">
        <v>7109.9924000000001</v>
      </c>
      <c r="Z274" s="78">
        <v>9171.2000000000007</v>
      </c>
      <c r="AA274" s="78">
        <v>0</v>
      </c>
      <c r="AB274" s="399">
        <v>0</v>
      </c>
      <c r="AC274" s="399">
        <v>0</v>
      </c>
      <c r="AD274" s="78">
        <v>12559</v>
      </c>
      <c r="AE274" s="78">
        <v>12559</v>
      </c>
      <c r="AF274" s="78">
        <v>309</v>
      </c>
      <c r="AG274" s="78">
        <v>0</v>
      </c>
      <c r="AH274" s="78">
        <v>918</v>
      </c>
      <c r="AI274" s="78">
        <v>118</v>
      </c>
      <c r="AJ274" s="78">
        <v>918</v>
      </c>
      <c r="AK274" s="78">
        <v>118</v>
      </c>
      <c r="AL274" s="78">
        <v>1036</v>
      </c>
      <c r="AM274" s="78">
        <v>86585</v>
      </c>
      <c r="AN274" s="78">
        <v>86585</v>
      </c>
      <c r="AO274" s="78">
        <v>0</v>
      </c>
      <c r="AP274" s="78">
        <v>42</v>
      </c>
      <c r="AQ274" s="78">
        <v>0</v>
      </c>
      <c r="AR274" s="78">
        <v>0</v>
      </c>
      <c r="AS274" s="78">
        <v>12005</v>
      </c>
      <c r="AT274" s="78">
        <v>9613</v>
      </c>
      <c r="AU274" s="400">
        <v>5.6601309999999997E-3</v>
      </c>
      <c r="AV274" s="400">
        <v>7.3612529999999999E-3</v>
      </c>
      <c r="AW274" s="78">
        <v>189274.81</v>
      </c>
      <c r="AX274" s="78">
        <v>0</v>
      </c>
      <c r="AY274" s="78">
        <v>3439</v>
      </c>
      <c r="AZ274" s="78">
        <v>49192.826468759697</v>
      </c>
      <c r="BA274" s="78">
        <v>6</v>
      </c>
      <c r="BB274" s="78">
        <v>6</v>
      </c>
      <c r="BC274" s="78">
        <v>23332</v>
      </c>
      <c r="BD274" s="78">
        <v>1</v>
      </c>
      <c r="BE274" s="78">
        <v>0</v>
      </c>
      <c r="BF274" s="78">
        <v>0</v>
      </c>
      <c r="BG274" s="78">
        <v>0</v>
      </c>
      <c r="BH274" s="78">
        <v>0</v>
      </c>
      <c r="BI274" s="78">
        <v>0</v>
      </c>
      <c r="BJ274" s="78">
        <v>0</v>
      </c>
      <c r="BK274" s="78">
        <v>0</v>
      </c>
      <c r="BL274" s="78">
        <v>0</v>
      </c>
      <c r="BM274" s="78">
        <v>4426.6239999999998</v>
      </c>
      <c r="BN274" s="78">
        <v>498</v>
      </c>
      <c r="BO274" s="78">
        <v>648</v>
      </c>
      <c r="BP274" s="78">
        <v>58311.66</v>
      </c>
      <c r="BQ274" s="78">
        <v>13793.88</v>
      </c>
      <c r="BR274" s="78">
        <v>1412.49713651365</v>
      </c>
      <c r="BS274" s="78">
        <v>2425</v>
      </c>
      <c r="BT274" s="78">
        <v>1231</v>
      </c>
      <c r="BU274" s="78">
        <v>1064</v>
      </c>
      <c r="BV274" s="78">
        <f t="shared" si="16"/>
        <v>7824</v>
      </c>
      <c r="BW274" s="78">
        <v>2151</v>
      </c>
      <c r="BX274" s="78">
        <v>27702.738376814399</v>
      </c>
      <c r="BY274" s="402">
        <v>10.393000000000001</v>
      </c>
      <c r="BZ274" s="78">
        <v>149879</v>
      </c>
      <c r="CA274" s="78">
        <v>18851</v>
      </c>
      <c r="CB274" s="78">
        <v>4301</v>
      </c>
      <c r="CC274" s="78">
        <v>4788</v>
      </c>
      <c r="CD274" s="78">
        <v>4033</v>
      </c>
      <c r="CE274" s="78">
        <v>2167</v>
      </c>
      <c r="CF274" s="78">
        <v>2386.1135011838101</v>
      </c>
      <c r="CG274" s="78">
        <v>1506.25526938846</v>
      </c>
      <c r="CH274" s="78">
        <v>583.85531558584</v>
      </c>
      <c r="CI274" s="78">
        <v>4936.8338999999996</v>
      </c>
      <c r="CJ274" s="78">
        <v>3116.4200999999998</v>
      </c>
      <c r="CK274" s="78">
        <v>1207.9881</v>
      </c>
      <c r="CL274" s="78">
        <v>178728</v>
      </c>
    </row>
    <row r="275" spans="1:90" customFormat="1" x14ac:dyDescent="0.35">
      <c r="A275" s="72">
        <v>1706</v>
      </c>
      <c r="B275" s="72" t="s">
        <v>71</v>
      </c>
      <c r="C275" s="72">
        <v>10</v>
      </c>
      <c r="D275" s="78">
        <v>1935200000</v>
      </c>
      <c r="E275" s="78">
        <v>337400000</v>
      </c>
      <c r="F275" s="78">
        <v>373800000</v>
      </c>
      <c r="G275" s="78">
        <v>21138</v>
      </c>
      <c r="H275" s="78">
        <v>4</v>
      </c>
      <c r="I275" s="78">
        <f t="shared" si="14"/>
        <v>373.8</v>
      </c>
      <c r="J275" s="78">
        <v>3730</v>
      </c>
      <c r="K275" s="78">
        <v>5001</v>
      </c>
      <c r="L275" s="78">
        <v>1595</v>
      </c>
      <c r="M275" s="78">
        <v>2516</v>
      </c>
      <c r="N275" s="78">
        <f t="shared" si="15"/>
        <v>1609.3</v>
      </c>
      <c r="O275" s="78">
        <v>272.66666666666703</v>
      </c>
      <c r="P275" s="78">
        <v>14</v>
      </c>
      <c r="Q275" s="78">
        <v>1203.6666666666699</v>
      </c>
      <c r="R275" s="78">
        <v>2592</v>
      </c>
      <c r="S275" s="78">
        <v>585</v>
      </c>
      <c r="T275" s="78">
        <v>0</v>
      </c>
      <c r="U275" s="78">
        <v>533</v>
      </c>
      <c r="V275" s="78">
        <v>9827</v>
      </c>
      <c r="W275" s="78">
        <v>18140</v>
      </c>
      <c r="X275" s="78">
        <v>5340</v>
      </c>
      <c r="Y275" s="78">
        <v>0</v>
      </c>
      <c r="Z275" s="78">
        <v>309.60000000000002</v>
      </c>
      <c r="AA275" s="78">
        <v>0</v>
      </c>
      <c r="AB275" s="399">
        <v>0</v>
      </c>
      <c r="AC275" s="399">
        <v>146.1</v>
      </c>
      <c r="AD275" s="78">
        <v>7652</v>
      </c>
      <c r="AE275" s="78">
        <v>7652</v>
      </c>
      <c r="AF275" s="78">
        <v>153</v>
      </c>
      <c r="AG275" s="78">
        <v>0</v>
      </c>
      <c r="AH275" s="78">
        <v>161</v>
      </c>
      <c r="AI275" s="78">
        <v>68</v>
      </c>
      <c r="AJ275" s="78">
        <v>161</v>
      </c>
      <c r="AK275" s="78">
        <v>68</v>
      </c>
      <c r="AL275" s="78">
        <v>229</v>
      </c>
      <c r="AM275" s="78">
        <v>9067</v>
      </c>
      <c r="AN275" s="78">
        <v>9067</v>
      </c>
      <c r="AO275" s="78">
        <v>0</v>
      </c>
      <c r="AP275" s="78">
        <v>0</v>
      </c>
      <c r="AQ275" s="78">
        <v>0</v>
      </c>
      <c r="AR275" s="78">
        <v>0</v>
      </c>
      <c r="AS275" s="78">
        <v>0</v>
      </c>
      <c r="AT275" s="78">
        <v>0</v>
      </c>
      <c r="AU275" s="400">
        <v>1.6137500000000001E-4</v>
      </c>
      <c r="AV275" s="400">
        <v>1.0402400000000001E-4</v>
      </c>
      <c r="AW275" s="78">
        <v>5349.53</v>
      </c>
      <c r="AX275" s="78">
        <v>0</v>
      </c>
      <c r="AY275" s="78">
        <v>691</v>
      </c>
      <c r="AZ275" s="78">
        <v>1871.4103779628399</v>
      </c>
      <c r="BA275" s="78">
        <v>10</v>
      </c>
      <c r="BB275" s="78">
        <v>10</v>
      </c>
      <c r="BC275" s="78">
        <v>2458</v>
      </c>
      <c r="BD275" s="78">
        <v>1</v>
      </c>
      <c r="BE275" s="78">
        <v>0</v>
      </c>
      <c r="BF275" s="78">
        <v>0</v>
      </c>
      <c r="BG275" s="78">
        <v>0</v>
      </c>
      <c r="BH275" s="78">
        <v>0</v>
      </c>
      <c r="BI275" s="78">
        <v>0</v>
      </c>
      <c r="BJ275" s="78">
        <v>0</v>
      </c>
      <c r="BK275" s="78">
        <v>0</v>
      </c>
      <c r="BL275" s="78">
        <v>0</v>
      </c>
      <c r="BM275" s="78">
        <v>350.62</v>
      </c>
      <c r="BN275" s="78">
        <v>42</v>
      </c>
      <c r="BO275" s="78">
        <v>31</v>
      </c>
      <c r="BP275" s="78">
        <v>6138.24</v>
      </c>
      <c r="BQ275" s="78">
        <v>1354.56</v>
      </c>
      <c r="BR275" s="78">
        <v>117.346115998697</v>
      </c>
      <c r="BS275" s="78">
        <v>204</v>
      </c>
      <c r="BT275" s="78">
        <v>88</v>
      </c>
      <c r="BU275" s="78">
        <v>60.6666666666667</v>
      </c>
      <c r="BV275" s="78">
        <f t="shared" si="16"/>
        <v>931.00000000000296</v>
      </c>
      <c r="BW275" s="78">
        <v>179</v>
      </c>
      <c r="BX275" s="78">
        <v>3763.4740508806299</v>
      </c>
      <c r="BY275" s="402">
        <v>0.38600000000000001</v>
      </c>
      <c r="BZ275" s="78">
        <v>16137</v>
      </c>
      <c r="CA275" s="78">
        <v>2899</v>
      </c>
      <c r="CB275" s="78">
        <v>507</v>
      </c>
      <c r="CC275" s="78">
        <v>511</v>
      </c>
      <c r="CD275" s="78">
        <v>462</v>
      </c>
      <c r="CE275" s="78">
        <v>238</v>
      </c>
      <c r="CF275" s="78">
        <v>306.34739164001297</v>
      </c>
      <c r="CG275" s="78">
        <v>189.204124848351</v>
      </c>
      <c r="CH275" s="78">
        <v>53.956898643432197</v>
      </c>
      <c r="CI275" s="78">
        <v>748.56619999999998</v>
      </c>
      <c r="CJ275" s="78">
        <v>462.32420000000002</v>
      </c>
      <c r="CK275" s="78">
        <v>131.84479999999999</v>
      </c>
      <c r="CL275" s="78">
        <v>0</v>
      </c>
    </row>
    <row r="276" spans="1:90" customFormat="1" x14ac:dyDescent="0.35">
      <c r="A276" s="72">
        <v>1684</v>
      </c>
      <c r="B276" s="72" t="s">
        <v>72</v>
      </c>
      <c r="C276" s="72">
        <v>10</v>
      </c>
      <c r="D276" s="78">
        <v>2087200000</v>
      </c>
      <c r="E276" s="78">
        <v>422450000</v>
      </c>
      <c r="F276" s="78">
        <v>444150000</v>
      </c>
      <c r="G276" s="78">
        <v>25130</v>
      </c>
      <c r="H276" s="78">
        <v>3</v>
      </c>
      <c r="I276" s="78">
        <f t="shared" si="14"/>
        <v>444.15</v>
      </c>
      <c r="J276" s="78">
        <v>4577</v>
      </c>
      <c r="K276" s="78">
        <v>5414</v>
      </c>
      <c r="L276" s="78">
        <v>1733</v>
      </c>
      <c r="M276" s="78">
        <v>3338</v>
      </c>
      <c r="N276" s="78">
        <f t="shared" si="15"/>
        <v>2212.1</v>
      </c>
      <c r="O276" s="78">
        <v>403.33333333333297</v>
      </c>
      <c r="P276" s="78">
        <v>54</v>
      </c>
      <c r="Q276" s="78">
        <v>2039.3333333333301</v>
      </c>
      <c r="R276" s="78">
        <v>3513</v>
      </c>
      <c r="S276" s="78">
        <v>1800</v>
      </c>
      <c r="T276" s="78">
        <v>0</v>
      </c>
      <c r="U276" s="78">
        <v>759</v>
      </c>
      <c r="V276" s="78">
        <v>11317</v>
      </c>
      <c r="W276" s="78">
        <v>25370</v>
      </c>
      <c r="X276" s="78">
        <v>14360</v>
      </c>
      <c r="Y276" s="78">
        <v>205.92</v>
      </c>
      <c r="Z276" s="78">
        <v>780.8</v>
      </c>
      <c r="AA276" s="78">
        <v>0</v>
      </c>
      <c r="AB276" s="399">
        <v>0</v>
      </c>
      <c r="AC276" s="399">
        <v>0</v>
      </c>
      <c r="AD276" s="78">
        <v>5119</v>
      </c>
      <c r="AE276" s="78">
        <v>5119</v>
      </c>
      <c r="AF276" s="78">
        <v>588</v>
      </c>
      <c r="AG276" s="78">
        <v>0</v>
      </c>
      <c r="AH276" s="78">
        <v>148</v>
      </c>
      <c r="AI276" s="78">
        <v>75</v>
      </c>
      <c r="AJ276" s="78">
        <v>148</v>
      </c>
      <c r="AK276" s="78">
        <v>75</v>
      </c>
      <c r="AL276" s="78">
        <v>223</v>
      </c>
      <c r="AM276" s="78">
        <v>11259</v>
      </c>
      <c r="AN276" s="78">
        <v>11259</v>
      </c>
      <c r="AO276" s="78">
        <v>0</v>
      </c>
      <c r="AP276" s="78">
        <v>0</v>
      </c>
      <c r="AQ276" s="78">
        <v>0</v>
      </c>
      <c r="AR276" s="78">
        <v>0</v>
      </c>
      <c r="AS276" s="78">
        <v>0</v>
      </c>
      <c r="AT276" s="78">
        <v>0</v>
      </c>
      <c r="AU276" s="400">
        <v>1.6914100000000001E-4</v>
      </c>
      <c r="AV276" s="400">
        <v>1.9411E-4</v>
      </c>
      <c r="AW276" s="78">
        <v>9772.8119999999999</v>
      </c>
      <c r="AX276" s="78">
        <v>0</v>
      </c>
      <c r="AY276" s="78">
        <v>1071</v>
      </c>
      <c r="AZ276" s="78">
        <v>4716.0031540213804</v>
      </c>
      <c r="BA276" s="78">
        <v>6</v>
      </c>
      <c r="BB276" s="78">
        <v>6</v>
      </c>
      <c r="BC276" s="78">
        <v>2350</v>
      </c>
      <c r="BD276" s="78">
        <v>1</v>
      </c>
      <c r="BE276" s="78">
        <v>0</v>
      </c>
      <c r="BF276" s="78">
        <v>0</v>
      </c>
      <c r="BG276" s="78">
        <v>0</v>
      </c>
      <c r="BH276" s="78">
        <v>0</v>
      </c>
      <c r="BI276" s="78">
        <v>0</v>
      </c>
      <c r="BJ276" s="78">
        <v>0</v>
      </c>
      <c r="BK276" s="78">
        <v>0</v>
      </c>
      <c r="BL276" s="78">
        <v>0</v>
      </c>
      <c r="BM276" s="78">
        <v>453.12299999999999</v>
      </c>
      <c r="BN276" s="78">
        <v>82</v>
      </c>
      <c r="BO276" s="78">
        <v>71</v>
      </c>
      <c r="BP276" s="78">
        <v>7055.36</v>
      </c>
      <c r="BQ276" s="78">
        <v>1575.63</v>
      </c>
      <c r="BR276" s="78">
        <v>186.66428258602701</v>
      </c>
      <c r="BS276" s="78">
        <v>297</v>
      </c>
      <c r="BT276" s="78">
        <v>122.666666666667</v>
      </c>
      <c r="BU276" s="78">
        <v>110.666666666667</v>
      </c>
      <c r="BV276" s="78">
        <f t="shared" si="16"/>
        <v>1635.999999999997</v>
      </c>
      <c r="BW276" s="78">
        <v>351</v>
      </c>
      <c r="BX276" s="78">
        <v>4779.1250411134697</v>
      </c>
      <c r="BY276" s="402">
        <v>0.73399999999999999</v>
      </c>
      <c r="BZ276" s="78">
        <v>19716</v>
      </c>
      <c r="CA276" s="78">
        <v>3169</v>
      </c>
      <c r="CB276" s="78">
        <v>512</v>
      </c>
      <c r="CC276" s="78">
        <v>607</v>
      </c>
      <c r="CD276" s="78">
        <v>580</v>
      </c>
      <c r="CE276" s="78">
        <v>265</v>
      </c>
      <c r="CF276" s="78">
        <v>369.174518163247</v>
      </c>
      <c r="CG276" s="78">
        <v>228.69565680788699</v>
      </c>
      <c r="CH276" s="78">
        <v>69.748245847766199</v>
      </c>
      <c r="CI276" s="78">
        <v>913.00609999999995</v>
      </c>
      <c r="CJ276" s="78">
        <v>565.58759999999995</v>
      </c>
      <c r="CK276" s="78">
        <v>172.49449999999999</v>
      </c>
      <c r="CL276" s="78">
        <v>12729</v>
      </c>
    </row>
    <row r="277" spans="1:90" customFormat="1" x14ac:dyDescent="0.35">
      <c r="A277" s="72">
        <v>762</v>
      </c>
      <c r="B277" s="72" t="s">
        <v>83</v>
      </c>
      <c r="C277" s="72">
        <v>10</v>
      </c>
      <c r="D277" s="78">
        <v>3152800000</v>
      </c>
      <c r="E277" s="78">
        <v>513800000</v>
      </c>
      <c r="F277" s="78">
        <v>586250000</v>
      </c>
      <c r="G277" s="78">
        <v>32471</v>
      </c>
      <c r="H277" s="78">
        <v>3</v>
      </c>
      <c r="I277" s="78">
        <f t="shared" si="14"/>
        <v>586.25</v>
      </c>
      <c r="J277" s="78">
        <v>6108</v>
      </c>
      <c r="K277" s="78">
        <v>7041</v>
      </c>
      <c r="L277" s="78">
        <v>2309</v>
      </c>
      <c r="M277" s="78">
        <v>3973</v>
      </c>
      <c r="N277" s="78">
        <f t="shared" si="15"/>
        <v>2544.6999999999998</v>
      </c>
      <c r="O277" s="78">
        <v>412</v>
      </c>
      <c r="P277" s="78">
        <v>70</v>
      </c>
      <c r="Q277" s="78">
        <v>2199</v>
      </c>
      <c r="R277" s="78">
        <v>4145</v>
      </c>
      <c r="S277" s="78">
        <v>705</v>
      </c>
      <c r="T277" s="78">
        <v>0</v>
      </c>
      <c r="U277" s="78">
        <v>818</v>
      </c>
      <c r="V277" s="78">
        <v>14389</v>
      </c>
      <c r="W277" s="78">
        <v>31730</v>
      </c>
      <c r="X277" s="78">
        <v>22700</v>
      </c>
      <c r="Y277" s="78">
        <v>725.68</v>
      </c>
      <c r="Z277" s="78">
        <v>2324.8000000000002</v>
      </c>
      <c r="AA277" s="78">
        <v>0</v>
      </c>
      <c r="AB277" s="399">
        <v>0</v>
      </c>
      <c r="AC277" s="399">
        <v>0</v>
      </c>
      <c r="AD277" s="78">
        <v>11681</v>
      </c>
      <c r="AE277" s="78">
        <v>11681</v>
      </c>
      <c r="AF277" s="78">
        <v>155</v>
      </c>
      <c r="AG277" s="78">
        <v>0</v>
      </c>
      <c r="AH277" s="78">
        <v>219</v>
      </c>
      <c r="AI277" s="78">
        <v>188</v>
      </c>
      <c r="AJ277" s="78">
        <v>219</v>
      </c>
      <c r="AK277" s="78">
        <v>188</v>
      </c>
      <c r="AL277" s="78">
        <v>407</v>
      </c>
      <c r="AM277" s="78">
        <v>14283</v>
      </c>
      <c r="AN277" s="78">
        <v>14283</v>
      </c>
      <c r="AO277" s="78">
        <v>0</v>
      </c>
      <c r="AP277" s="78">
        <v>0</v>
      </c>
      <c r="AQ277" s="78">
        <v>0</v>
      </c>
      <c r="AR277" s="78">
        <v>0</v>
      </c>
      <c r="AS277" s="78">
        <v>720</v>
      </c>
      <c r="AT277" s="78">
        <v>0</v>
      </c>
      <c r="AU277" s="400">
        <v>2.331E-4</v>
      </c>
      <c r="AV277" s="400">
        <v>1.51934E-4</v>
      </c>
      <c r="AW277" s="78">
        <v>12669.021000000001</v>
      </c>
      <c r="AX277" s="78">
        <v>0</v>
      </c>
      <c r="AY277" s="78">
        <v>2233</v>
      </c>
      <c r="AZ277" s="78">
        <v>6126.0343866170997</v>
      </c>
      <c r="BA277" s="78">
        <v>6</v>
      </c>
      <c r="BB277" s="78">
        <v>6</v>
      </c>
      <c r="BC277" s="78">
        <v>3867</v>
      </c>
      <c r="BD277" s="78">
        <v>1</v>
      </c>
      <c r="BE277" s="78">
        <v>0</v>
      </c>
      <c r="BF277" s="78">
        <v>0</v>
      </c>
      <c r="BG277" s="78">
        <v>0</v>
      </c>
      <c r="BH277" s="78">
        <v>0</v>
      </c>
      <c r="BI277" s="78">
        <v>0</v>
      </c>
      <c r="BJ277" s="78">
        <v>0</v>
      </c>
      <c r="BK277" s="78">
        <v>0</v>
      </c>
      <c r="BL277" s="78">
        <v>0</v>
      </c>
      <c r="BM277" s="78">
        <v>604.69200000000001</v>
      </c>
      <c r="BN277" s="78">
        <v>91</v>
      </c>
      <c r="BO277" s="78">
        <v>55</v>
      </c>
      <c r="BP277" s="78">
        <v>8808.9599999999991</v>
      </c>
      <c r="BQ277" s="78">
        <v>2019.78</v>
      </c>
      <c r="BR277" s="78">
        <v>116.70192019644</v>
      </c>
      <c r="BS277" s="78">
        <v>342</v>
      </c>
      <c r="BT277" s="78">
        <v>106.666666666667</v>
      </c>
      <c r="BU277" s="78">
        <v>85.3333333333333</v>
      </c>
      <c r="BV277" s="78">
        <f t="shared" si="16"/>
        <v>1787</v>
      </c>
      <c r="BW277" s="78">
        <v>533</v>
      </c>
      <c r="BX277" s="78">
        <v>5615.4100414065897</v>
      </c>
      <c r="BY277" s="402">
        <v>0.50600000000000001</v>
      </c>
      <c r="BZ277" s="78">
        <v>25430</v>
      </c>
      <c r="CA277" s="78">
        <v>3982</v>
      </c>
      <c r="CB277" s="78">
        <v>750</v>
      </c>
      <c r="CC277" s="78">
        <v>697</v>
      </c>
      <c r="CD277" s="78">
        <v>760</v>
      </c>
      <c r="CE277" s="78">
        <v>381</v>
      </c>
      <c r="CF277" s="78">
        <v>425.45288804872899</v>
      </c>
      <c r="CG277" s="78">
        <v>277.57772176713598</v>
      </c>
      <c r="CH277" s="78">
        <v>93.535496744381405</v>
      </c>
      <c r="CI277" s="78">
        <v>1120.4495999999999</v>
      </c>
      <c r="CJ277" s="78">
        <v>731.0136</v>
      </c>
      <c r="CK277" s="78">
        <v>246.33</v>
      </c>
      <c r="CL277" s="78">
        <v>109673</v>
      </c>
    </row>
    <row r="278" spans="1:90" customFormat="1" x14ac:dyDescent="0.35">
      <c r="A278" s="72">
        <v>766</v>
      </c>
      <c r="B278" s="72" t="s">
        <v>89</v>
      </c>
      <c r="C278" s="72">
        <v>10</v>
      </c>
      <c r="D278" s="78">
        <v>2359200000</v>
      </c>
      <c r="E278" s="78">
        <v>316750000</v>
      </c>
      <c r="F278" s="78">
        <v>344050000</v>
      </c>
      <c r="G278" s="78">
        <v>26222</v>
      </c>
      <c r="H278" s="78">
        <v>2</v>
      </c>
      <c r="I278" s="78">
        <f t="shared" si="14"/>
        <v>344.05</v>
      </c>
      <c r="J278" s="78">
        <v>4931</v>
      </c>
      <c r="K278" s="78">
        <v>5590</v>
      </c>
      <c r="L278" s="78">
        <v>1749</v>
      </c>
      <c r="M278" s="78">
        <v>3117</v>
      </c>
      <c r="N278" s="78">
        <f t="shared" si="15"/>
        <v>1974.8</v>
      </c>
      <c r="O278" s="78">
        <v>289.33333333333297</v>
      </c>
      <c r="P278" s="78">
        <v>28</v>
      </c>
      <c r="Q278" s="78">
        <v>1436.3333333333301</v>
      </c>
      <c r="R278" s="78">
        <v>3240</v>
      </c>
      <c r="S278" s="78">
        <v>1315</v>
      </c>
      <c r="T278" s="78">
        <v>0</v>
      </c>
      <c r="U278" s="78">
        <v>735</v>
      </c>
      <c r="V278" s="78">
        <v>11620</v>
      </c>
      <c r="W278" s="78">
        <v>23930</v>
      </c>
      <c r="X278" s="78">
        <v>10120</v>
      </c>
      <c r="Y278" s="78">
        <v>0</v>
      </c>
      <c r="Z278" s="78">
        <v>1059.2</v>
      </c>
      <c r="AA278" s="78">
        <v>0</v>
      </c>
      <c r="AB278" s="399">
        <v>0</v>
      </c>
      <c r="AC278" s="399">
        <v>0</v>
      </c>
      <c r="AD278" s="78">
        <v>2925</v>
      </c>
      <c r="AE278" s="78">
        <v>2925</v>
      </c>
      <c r="AF278" s="78">
        <v>49</v>
      </c>
      <c r="AG278" s="78">
        <v>0</v>
      </c>
      <c r="AH278" s="78">
        <v>149</v>
      </c>
      <c r="AI278" s="78">
        <v>51</v>
      </c>
      <c r="AJ278" s="78">
        <v>149</v>
      </c>
      <c r="AK278" s="78">
        <v>51</v>
      </c>
      <c r="AL278" s="78">
        <v>200</v>
      </c>
      <c r="AM278" s="78">
        <v>11422</v>
      </c>
      <c r="AN278" s="78">
        <v>11422</v>
      </c>
      <c r="AO278" s="78">
        <v>0</v>
      </c>
      <c r="AP278" s="78">
        <v>0</v>
      </c>
      <c r="AQ278" s="78">
        <v>0</v>
      </c>
      <c r="AR278" s="78">
        <v>0</v>
      </c>
      <c r="AS278" s="78">
        <v>1346</v>
      </c>
      <c r="AT278" s="78">
        <v>0</v>
      </c>
      <c r="AU278" s="400">
        <v>2.5246600000000002E-4</v>
      </c>
      <c r="AV278" s="400">
        <v>2.0193899999999999E-4</v>
      </c>
      <c r="AW278" s="78">
        <v>13694.977999999999</v>
      </c>
      <c r="AX278" s="78">
        <v>0</v>
      </c>
      <c r="AY278" s="78">
        <v>642</v>
      </c>
      <c r="AZ278" s="78">
        <v>5660.56624075319</v>
      </c>
      <c r="BA278" s="78">
        <v>3</v>
      </c>
      <c r="BB278" s="78">
        <v>3</v>
      </c>
      <c r="BC278" s="78">
        <v>2731</v>
      </c>
      <c r="BD278" s="78">
        <v>1</v>
      </c>
      <c r="BE278" s="78">
        <v>0</v>
      </c>
      <c r="BF278" s="78">
        <v>0</v>
      </c>
      <c r="BG278" s="78">
        <v>0</v>
      </c>
      <c r="BH278" s="78">
        <v>0</v>
      </c>
      <c r="BI278" s="78">
        <v>0</v>
      </c>
      <c r="BJ278" s="78">
        <v>0</v>
      </c>
      <c r="BK278" s="78">
        <v>0</v>
      </c>
      <c r="BL278" s="78">
        <v>0</v>
      </c>
      <c r="BM278" s="78">
        <v>374.75599999999997</v>
      </c>
      <c r="BN278" s="78">
        <v>112</v>
      </c>
      <c r="BO278" s="78">
        <v>68</v>
      </c>
      <c r="BP278" s="78">
        <v>7591.52</v>
      </c>
      <c r="BQ278" s="78">
        <v>1898.11</v>
      </c>
      <c r="BR278" s="78">
        <v>212.50827710843399</v>
      </c>
      <c r="BS278" s="78">
        <v>277</v>
      </c>
      <c r="BT278" s="78">
        <v>82</v>
      </c>
      <c r="BU278" s="78">
        <v>66</v>
      </c>
      <c r="BV278" s="78">
        <f t="shared" si="16"/>
        <v>1146.999999999997</v>
      </c>
      <c r="BW278" s="78">
        <v>270</v>
      </c>
      <c r="BX278" s="78">
        <v>4866.6163817127999</v>
      </c>
      <c r="BY278" s="402">
        <v>0.44</v>
      </c>
      <c r="BZ278" s="78">
        <v>20632</v>
      </c>
      <c r="CA278" s="78">
        <v>3210</v>
      </c>
      <c r="CB278" s="78">
        <v>631</v>
      </c>
      <c r="CC278" s="78">
        <v>608</v>
      </c>
      <c r="CD278" s="78">
        <v>549</v>
      </c>
      <c r="CE278" s="78">
        <v>306</v>
      </c>
      <c r="CF278" s="78">
        <v>332.82174750481499</v>
      </c>
      <c r="CG278" s="78">
        <v>201.249098231483</v>
      </c>
      <c r="CH278" s="78">
        <v>68.639082472421705</v>
      </c>
      <c r="CI278" s="78">
        <v>849.69500000000005</v>
      </c>
      <c r="CJ278" s="78">
        <v>513.78959999999995</v>
      </c>
      <c r="CK278" s="78">
        <v>175.23580000000001</v>
      </c>
      <c r="CL278" s="78">
        <v>20433</v>
      </c>
    </row>
    <row r="279" spans="1:90" customFormat="1" x14ac:dyDescent="0.35">
      <c r="A279" s="72">
        <v>1719</v>
      </c>
      <c r="B279" s="72" t="s">
        <v>92</v>
      </c>
      <c r="C279" s="72">
        <v>10</v>
      </c>
      <c r="D279" s="78">
        <v>2462800000</v>
      </c>
      <c r="E279" s="78">
        <v>304150000</v>
      </c>
      <c r="F279" s="78">
        <v>334600000</v>
      </c>
      <c r="G279" s="78">
        <v>27272</v>
      </c>
      <c r="H279" s="78">
        <v>5</v>
      </c>
      <c r="I279" s="78">
        <f t="shared" si="14"/>
        <v>334.6</v>
      </c>
      <c r="J279" s="78">
        <v>4771</v>
      </c>
      <c r="K279" s="78">
        <v>6208</v>
      </c>
      <c r="L279" s="78">
        <v>1937</v>
      </c>
      <c r="M279" s="78">
        <v>3018</v>
      </c>
      <c r="N279" s="78">
        <f t="shared" si="15"/>
        <v>1823.2</v>
      </c>
      <c r="O279" s="78">
        <v>176.666666666667</v>
      </c>
      <c r="P279" s="78">
        <v>29</v>
      </c>
      <c r="Q279" s="78">
        <v>1339.6666666666699</v>
      </c>
      <c r="R279" s="78">
        <v>3272</v>
      </c>
      <c r="S279" s="78">
        <v>390</v>
      </c>
      <c r="T279" s="78">
        <v>0</v>
      </c>
      <c r="U279" s="78">
        <v>637</v>
      </c>
      <c r="V279" s="78">
        <v>12131</v>
      </c>
      <c r="W279" s="78">
        <v>19310</v>
      </c>
      <c r="X279" s="78">
        <v>2660</v>
      </c>
      <c r="Y279" s="78">
        <v>0</v>
      </c>
      <c r="Z279" s="78">
        <v>411.2</v>
      </c>
      <c r="AA279" s="78">
        <v>0</v>
      </c>
      <c r="AB279" s="399">
        <v>0</v>
      </c>
      <c r="AC279" s="399">
        <v>0</v>
      </c>
      <c r="AD279" s="78">
        <v>9472</v>
      </c>
      <c r="AE279" s="78">
        <v>9472</v>
      </c>
      <c r="AF279" s="78">
        <v>2471</v>
      </c>
      <c r="AG279" s="78">
        <v>0</v>
      </c>
      <c r="AH279" s="78">
        <v>154</v>
      </c>
      <c r="AI279" s="78">
        <v>56</v>
      </c>
      <c r="AJ279" s="78">
        <v>154</v>
      </c>
      <c r="AK279" s="78">
        <v>56</v>
      </c>
      <c r="AL279" s="78">
        <v>211</v>
      </c>
      <c r="AM279" s="78">
        <v>11948</v>
      </c>
      <c r="AN279" s="78">
        <v>11948</v>
      </c>
      <c r="AO279" s="78">
        <v>0</v>
      </c>
      <c r="AP279" s="78">
        <v>0</v>
      </c>
      <c r="AQ279" s="78">
        <v>0</v>
      </c>
      <c r="AR279" s="78">
        <v>0</v>
      </c>
      <c r="AS279" s="78">
        <v>1237</v>
      </c>
      <c r="AT279" s="78">
        <v>0</v>
      </c>
      <c r="AU279" s="400">
        <v>2.5231400000000001E-4</v>
      </c>
      <c r="AV279" s="400">
        <v>1.0967999999999999E-4</v>
      </c>
      <c r="AW279" s="78">
        <v>9379.18</v>
      </c>
      <c r="AX279" s="78">
        <v>0</v>
      </c>
      <c r="AY279" s="78">
        <v>4758</v>
      </c>
      <c r="AZ279" s="78">
        <v>11097.874905802601</v>
      </c>
      <c r="BA279" s="78">
        <v>7</v>
      </c>
      <c r="BB279" s="78">
        <v>7</v>
      </c>
      <c r="BC279" s="78">
        <v>3188</v>
      </c>
      <c r="BD279" s="78">
        <v>1</v>
      </c>
      <c r="BE279" s="78">
        <v>0</v>
      </c>
      <c r="BF279" s="78">
        <v>0</v>
      </c>
      <c r="BG279" s="78">
        <v>0</v>
      </c>
      <c r="BH279" s="78">
        <v>0</v>
      </c>
      <c r="BI279" s="78">
        <v>0</v>
      </c>
      <c r="BJ279" s="78">
        <v>0</v>
      </c>
      <c r="BK279" s="78">
        <v>0</v>
      </c>
      <c r="BL279" s="78">
        <v>0</v>
      </c>
      <c r="BM279" s="78">
        <v>324.428</v>
      </c>
      <c r="BN279" s="78">
        <v>100</v>
      </c>
      <c r="BO279" s="78">
        <v>42</v>
      </c>
      <c r="BP279" s="78">
        <v>8375.76</v>
      </c>
      <c r="BQ279" s="78">
        <v>1937.59</v>
      </c>
      <c r="BR279" s="78">
        <v>140.71065905265701</v>
      </c>
      <c r="BS279" s="78">
        <v>271</v>
      </c>
      <c r="BT279" s="78">
        <v>54.6666666666667</v>
      </c>
      <c r="BU279" s="78">
        <v>39.3333333333333</v>
      </c>
      <c r="BV279" s="78">
        <f t="shared" si="16"/>
        <v>1163.000000000003</v>
      </c>
      <c r="BW279" s="78">
        <v>380</v>
      </c>
      <c r="BX279" s="78">
        <v>5007.4003683241299</v>
      </c>
      <c r="BY279" s="402">
        <v>0.13900000000000001</v>
      </c>
      <c r="BZ279" s="78">
        <v>21064</v>
      </c>
      <c r="CA279" s="78">
        <v>3689</v>
      </c>
      <c r="CB279" s="78">
        <v>582</v>
      </c>
      <c r="CC279" s="78">
        <v>611</v>
      </c>
      <c r="CD279" s="78">
        <v>602</v>
      </c>
      <c r="CE279" s="78">
        <v>302</v>
      </c>
      <c r="CF279" s="78">
        <v>336.01325744894501</v>
      </c>
      <c r="CG279" s="78">
        <v>189.52246401071301</v>
      </c>
      <c r="CH279" s="78">
        <v>62.105992634750599</v>
      </c>
      <c r="CI279" s="78">
        <v>874.19399999999996</v>
      </c>
      <c r="CJ279" s="78">
        <v>493.07400000000001</v>
      </c>
      <c r="CK279" s="78">
        <v>161.57900000000001</v>
      </c>
      <c r="CL279" s="78">
        <v>97820</v>
      </c>
    </row>
    <row r="280" spans="1:90" customFormat="1" x14ac:dyDescent="0.35">
      <c r="A280" s="72">
        <v>770</v>
      </c>
      <c r="B280" s="72" t="s">
        <v>100</v>
      </c>
      <c r="C280" s="72">
        <v>10</v>
      </c>
      <c r="D280" s="78">
        <v>2148400000</v>
      </c>
      <c r="E280" s="78">
        <v>315700000</v>
      </c>
      <c r="F280" s="78">
        <v>347900000</v>
      </c>
      <c r="G280" s="78">
        <v>19313</v>
      </c>
      <c r="H280" s="78">
        <v>4</v>
      </c>
      <c r="I280" s="78">
        <f t="shared" si="14"/>
        <v>347.9</v>
      </c>
      <c r="J280" s="78">
        <v>3528</v>
      </c>
      <c r="K280" s="78">
        <v>4354</v>
      </c>
      <c r="L280" s="78">
        <v>1493</v>
      </c>
      <c r="M280" s="78">
        <v>1919</v>
      </c>
      <c r="N280" s="78">
        <f t="shared" si="15"/>
        <v>1036.6999999999998</v>
      </c>
      <c r="O280" s="78">
        <v>129.333333333333</v>
      </c>
      <c r="P280" s="78">
        <v>20</v>
      </c>
      <c r="Q280" s="78">
        <v>1154.3333333333301</v>
      </c>
      <c r="R280" s="78">
        <v>2383</v>
      </c>
      <c r="S280" s="78">
        <v>240</v>
      </c>
      <c r="T280" s="78">
        <v>0</v>
      </c>
      <c r="U280" s="78">
        <v>416</v>
      </c>
      <c r="V280" s="78">
        <v>8565</v>
      </c>
      <c r="W280" s="78">
        <v>15510</v>
      </c>
      <c r="X280" s="78">
        <v>4750</v>
      </c>
      <c r="Y280" s="78">
        <v>408.28</v>
      </c>
      <c r="Z280" s="78">
        <v>939.2</v>
      </c>
      <c r="AA280" s="78">
        <v>0</v>
      </c>
      <c r="AB280" s="399">
        <v>0</v>
      </c>
      <c r="AC280" s="399">
        <v>0</v>
      </c>
      <c r="AD280" s="78">
        <v>8246</v>
      </c>
      <c r="AE280" s="78">
        <v>8246</v>
      </c>
      <c r="AF280" s="78">
        <v>87</v>
      </c>
      <c r="AG280" s="78">
        <v>0</v>
      </c>
      <c r="AH280" s="78">
        <v>129</v>
      </c>
      <c r="AI280" s="78">
        <v>88</v>
      </c>
      <c r="AJ280" s="78">
        <v>129</v>
      </c>
      <c r="AK280" s="78">
        <v>88</v>
      </c>
      <c r="AL280" s="78">
        <v>217</v>
      </c>
      <c r="AM280" s="78">
        <v>8823</v>
      </c>
      <c r="AN280" s="78">
        <v>8823</v>
      </c>
      <c r="AO280" s="78">
        <v>0</v>
      </c>
      <c r="AP280" s="78">
        <v>0</v>
      </c>
      <c r="AQ280" s="78">
        <v>0</v>
      </c>
      <c r="AR280" s="78">
        <v>0</v>
      </c>
      <c r="AS280" s="78">
        <v>0</v>
      </c>
      <c r="AT280" s="78">
        <v>0</v>
      </c>
      <c r="AU280" s="400">
        <v>9.4083E-5</v>
      </c>
      <c r="AV280" s="400">
        <v>5.6078000000000001E-5</v>
      </c>
      <c r="AW280" s="78">
        <v>5046.7560000000003</v>
      </c>
      <c r="AX280" s="78">
        <v>0</v>
      </c>
      <c r="AY280" s="78">
        <v>514</v>
      </c>
      <c r="AZ280" s="78">
        <v>1191.2734909396399</v>
      </c>
      <c r="BA280" s="78">
        <v>11</v>
      </c>
      <c r="BB280" s="78">
        <v>11</v>
      </c>
      <c r="BC280" s="78">
        <v>2467</v>
      </c>
      <c r="BD280" s="78">
        <v>1</v>
      </c>
      <c r="BE280" s="78">
        <v>0</v>
      </c>
      <c r="BF280" s="78">
        <v>0</v>
      </c>
      <c r="BG280" s="78">
        <v>0</v>
      </c>
      <c r="BH280" s="78">
        <v>0</v>
      </c>
      <c r="BI280" s="78">
        <v>0</v>
      </c>
      <c r="BJ280" s="78">
        <v>0</v>
      </c>
      <c r="BK280" s="78">
        <v>0</v>
      </c>
      <c r="BL280" s="78">
        <v>0</v>
      </c>
      <c r="BM280" s="78">
        <v>271.65600000000001</v>
      </c>
      <c r="BN280" s="78">
        <v>30</v>
      </c>
      <c r="BO280" s="78">
        <v>23</v>
      </c>
      <c r="BP280" s="78">
        <v>6250.86</v>
      </c>
      <c r="BQ280" s="78">
        <v>1437.59</v>
      </c>
      <c r="BR280" s="78">
        <v>103.99318602188499</v>
      </c>
      <c r="BS280" s="78">
        <v>159</v>
      </c>
      <c r="BT280" s="78">
        <v>47.6666666666667</v>
      </c>
      <c r="BU280" s="78">
        <v>22.3333333333333</v>
      </c>
      <c r="BV280" s="78">
        <f t="shared" si="16"/>
        <v>1024.999999999997</v>
      </c>
      <c r="BW280" s="78">
        <v>418</v>
      </c>
      <c r="BX280" s="78">
        <v>2934.6462271062301</v>
      </c>
      <c r="BY280" s="402">
        <v>9.7000000000000003E-2</v>
      </c>
      <c r="BZ280" s="78">
        <v>14959</v>
      </c>
      <c r="CA280" s="78">
        <v>2352</v>
      </c>
      <c r="CB280" s="78">
        <v>509</v>
      </c>
      <c r="CC280" s="78">
        <v>389</v>
      </c>
      <c r="CD280" s="78">
        <v>440</v>
      </c>
      <c r="CE280" s="78">
        <v>243</v>
      </c>
      <c r="CF280" s="78">
        <v>160.857112093392</v>
      </c>
      <c r="CG280" s="78">
        <v>115.267222033322</v>
      </c>
      <c r="CH280" s="78">
        <v>41.242400544032598</v>
      </c>
      <c r="CI280" s="78">
        <v>479.15</v>
      </c>
      <c r="CJ280" s="78">
        <v>343.35</v>
      </c>
      <c r="CK280" s="78">
        <v>122.85</v>
      </c>
      <c r="CL280" s="78">
        <v>121910</v>
      </c>
    </row>
    <row r="281" spans="1:90" customFormat="1" x14ac:dyDescent="0.35">
      <c r="A281" s="72">
        <v>772</v>
      </c>
      <c r="B281" s="72" t="s">
        <v>102</v>
      </c>
      <c r="C281" s="72">
        <v>10</v>
      </c>
      <c r="D281" s="78">
        <v>24324400000</v>
      </c>
      <c r="E281" s="78">
        <v>5673500000</v>
      </c>
      <c r="F281" s="78">
        <v>5776050000</v>
      </c>
      <c r="G281" s="78">
        <v>234394</v>
      </c>
      <c r="H281" s="78">
        <v>1</v>
      </c>
      <c r="I281" s="78">
        <f t="shared" si="14"/>
        <v>5776.05</v>
      </c>
      <c r="J281" s="78">
        <v>39853</v>
      </c>
      <c r="K281" s="78">
        <v>39097</v>
      </c>
      <c r="L281" s="78">
        <v>12894</v>
      </c>
      <c r="M281" s="78">
        <v>37999</v>
      </c>
      <c r="N281" s="78">
        <f t="shared" si="15"/>
        <v>26389.5</v>
      </c>
      <c r="O281" s="78">
        <v>6725</v>
      </c>
      <c r="P281" s="78">
        <v>471</v>
      </c>
      <c r="Q281" s="78">
        <v>18789</v>
      </c>
      <c r="R281" s="78">
        <v>58471</v>
      </c>
      <c r="S281" s="78">
        <v>26970</v>
      </c>
      <c r="T281" s="78">
        <v>0</v>
      </c>
      <c r="U281" s="78">
        <v>8214</v>
      </c>
      <c r="V281" s="78">
        <v>123446</v>
      </c>
      <c r="W281" s="78">
        <v>274100</v>
      </c>
      <c r="X281" s="78">
        <v>535150</v>
      </c>
      <c r="Y281" s="78">
        <v>6819.2078000000001</v>
      </c>
      <c r="Z281" s="78">
        <v>11368</v>
      </c>
      <c r="AA281" s="78">
        <v>0</v>
      </c>
      <c r="AB281" s="399">
        <v>0</v>
      </c>
      <c r="AC281" s="399">
        <v>0</v>
      </c>
      <c r="AD281" s="78">
        <v>8750</v>
      </c>
      <c r="AE281" s="78">
        <v>8750</v>
      </c>
      <c r="AF281" s="78">
        <v>141</v>
      </c>
      <c r="AG281" s="78">
        <v>0</v>
      </c>
      <c r="AH281" s="78">
        <v>1110</v>
      </c>
      <c r="AI281" s="78">
        <v>125</v>
      </c>
      <c r="AJ281" s="78">
        <v>1110</v>
      </c>
      <c r="AK281" s="78">
        <v>125</v>
      </c>
      <c r="AL281" s="78">
        <v>1235</v>
      </c>
      <c r="AM281" s="78">
        <v>116095</v>
      </c>
      <c r="AN281" s="78">
        <v>116095</v>
      </c>
      <c r="AO281" s="78">
        <v>9</v>
      </c>
      <c r="AP281" s="78">
        <v>0</v>
      </c>
      <c r="AQ281" s="78">
        <v>0</v>
      </c>
      <c r="AR281" s="78">
        <v>0</v>
      </c>
      <c r="AS281" s="78">
        <v>19215</v>
      </c>
      <c r="AT281" s="78">
        <v>18701</v>
      </c>
      <c r="AU281" s="400">
        <v>9.5433710000000001E-3</v>
      </c>
      <c r="AV281" s="400">
        <v>1.5647069999999999E-2</v>
      </c>
      <c r="AW281" s="78">
        <v>311134.59999999998</v>
      </c>
      <c r="AX281" s="78">
        <v>0</v>
      </c>
      <c r="AY281" s="78">
        <v>1725</v>
      </c>
      <c r="AZ281" s="78">
        <v>45476.285007310798</v>
      </c>
      <c r="BA281" s="78">
        <v>3</v>
      </c>
      <c r="BB281" s="78">
        <v>3</v>
      </c>
      <c r="BC281" s="78">
        <v>26709</v>
      </c>
      <c r="BD281" s="78">
        <v>1</v>
      </c>
      <c r="BE281" s="78">
        <v>0</v>
      </c>
      <c r="BF281" s="78">
        <v>0</v>
      </c>
      <c r="BG281" s="78">
        <v>0</v>
      </c>
      <c r="BH281" s="78">
        <v>0</v>
      </c>
      <c r="BI281" s="78">
        <v>0</v>
      </c>
      <c r="BJ281" s="78">
        <v>0</v>
      </c>
      <c r="BK281" s="78">
        <v>0</v>
      </c>
      <c r="BL281" s="78">
        <v>0</v>
      </c>
      <c r="BM281" s="78">
        <v>6615.598</v>
      </c>
      <c r="BN281" s="78">
        <v>689</v>
      </c>
      <c r="BO281" s="78">
        <v>897</v>
      </c>
      <c r="BP281" s="78">
        <v>71378.2</v>
      </c>
      <c r="BQ281" s="78">
        <v>14183.11</v>
      </c>
      <c r="BR281" s="78">
        <v>1576.5276168698899</v>
      </c>
      <c r="BS281" s="78">
        <v>3117</v>
      </c>
      <c r="BT281" s="78">
        <v>1775.6666666666699</v>
      </c>
      <c r="BU281" s="78">
        <v>1692.6666666666699</v>
      </c>
      <c r="BV281" s="78">
        <f t="shared" si="16"/>
        <v>12064</v>
      </c>
      <c r="BW281" s="78">
        <v>2934</v>
      </c>
      <c r="BX281" s="78">
        <v>32440.845201820001</v>
      </c>
      <c r="BY281" s="402">
        <v>16.401</v>
      </c>
      <c r="BZ281" s="78">
        <v>195297</v>
      </c>
      <c r="CA281" s="78">
        <v>20809</v>
      </c>
      <c r="CB281" s="78">
        <v>5394</v>
      </c>
      <c r="CC281" s="78">
        <v>5926</v>
      </c>
      <c r="CD281" s="78">
        <v>4849</v>
      </c>
      <c r="CE281" s="78">
        <v>2962</v>
      </c>
      <c r="CF281" s="78">
        <v>3098.00159782936</v>
      </c>
      <c r="CG281" s="78">
        <v>2078.9729704121601</v>
      </c>
      <c r="CH281" s="78">
        <v>923.78593393341703</v>
      </c>
      <c r="CI281" s="78">
        <v>6565.0892999999996</v>
      </c>
      <c r="CJ281" s="78">
        <v>4405.6282000000001</v>
      </c>
      <c r="CK281" s="78">
        <v>1957.6288</v>
      </c>
      <c r="CL281" s="78">
        <v>340061</v>
      </c>
    </row>
    <row r="282" spans="1:90" customFormat="1" x14ac:dyDescent="0.35">
      <c r="A282" s="72">
        <v>777</v>
      </c>
      <c r="B282" s="72" t="s">
        <v>109</v>
      </c>
      <c r="C282" s="72">
        <v>10</v>
      </c>
      <c r="D282" s="78">
        <v>4064400000</v>
      </c>
      <c r="E282" s="78">
        <v>750400000</v>
      </c>
      <c r="F282" s="78">
        <v>791350000</v>
      </c>
      <c r="G282" s="78">
        <v>43878</v>
      </c>
      <c r="H282" s="78">
        <v>1</v>
      </c>
      <c r="I282" s="78">
        <f t="shared" si="14"/>
        <v>791.35</v>
      </c>
      <c r="J282" s="78">
        <v>8883</v>
      </c>
      <c r="K282" s="78">
        <v>9022</v>
      </c>
      <c r="L282" s="78">
        <v>2813</v>
      </c>
      <c r="M282" s="78">
        <v>5152</v>
      </c>
      <c r="N282" s="78">
        <f t="shared" si="15"/>
        <v>3234.8999999999996</v>
      </c>
      <c r="O282" s="78">
        <v>680.33333333333303</v>
      </c>
      <c r="P282" s="78">
        <v>34</v>
      </c>
      <c r="Q282" s="78">
        <v>2771.3333333333298</v>
      </c>
      <c r="R282" s="78">
        <v>5722</v>
      </c>
      <c r="S282" s="78">
        <v>2775</v>
      </c>
      <c r="T282" s="78">
        <v>0</v>
      </c>
      <c r="U282" s="78">
        <v>1392</v>
      </c>
      <c r="V282" s="78">
        <v>19400</v>
      </c>
      <c r="W282" s="78">
        <v>46790</v>
      </c>
      <c r="X282" s="78">
        <v>37850</v>
      </c>
      <c r="Y282" s="78">
        <v>344.52</v>
      </c>
      <c r="Z282" s="78">
        <v>2591.1999999999998</v>
      </c>
      <c r="AA282" s="78">
        <v>0</v>
      </c>
      <c r="AB282" s="399">
        <v>0</v>
      </c>
      <c r="AC282" s="399">
        <v>0</v>
      </c>
      <c r="AD282" s="78">
        <v>5529</v>
      </c>
      <c r="AE282" s="78">
        <v>5584.29</v>
      </c>
      <c r="AF282" s="78">
        <v>63</v>
      </c>
      <c r="AG282" s="78">
        <v>0</v>
      </c>
      <c r="AH282" s="78">
        <v>249</v>
      </c>
      <c r="AI282" s="78">
        <v>92</v>
      </c>
      <c r="AJ282" s="78">
        <v>249</v>
      </c>
      <c r="AK282" s="78">
        <v>92.92</v>
      </c>
      <c r="AL282" s="78">
        <v>341</v>
      </c>
      <c r="AM282" s="78">
        <v>19171</v>
      </c>
      <c r="AN282" s="78">
        <v>19171</v>
      </c>
      <c r="AO282" s="78">
        <v>0</v>
      </c>
      <c r="AP282" s="78">
        <v>0</v>
      </c>
      <c r="AQ282" s="78">
        <v>0</v>
      </c>
      <c r="AR282" s="78">
        <v>0</v>
      </c>
      <c r="AS282" s="78">
        <v>542</v>
      </c>
      <c r="AT282" s="78">
        <v>0</v>
      </c>
      <c r="AU282" s="400">
        <v>1.68302E-4</v>
      </c>
      <c r="AV282" s="400">
        <v>2.28271E-4</v>
      </c>
      <c r="AW282" s="78">
        <v>31996.399000000001</v>
      </c>
      <c r="AX282" s="78">
        <v>0</v>
      </c>
      <c r="AY282" s="78">
        <v>995.86</v>
      </c>
      <c r="AZ282" s="78">
        <v>8352.9839270386292</v>
      </c>
      <c r="BA282" s="78">
        <v>3</v>
      </c>
      <c r="BB282" s="78">
        <v>3.03</v>
      </c>
      <c r="BC282" s="78">
        <v>4330</v>
      </c>
      <c r="BD282" s="78">
        <v>1</v>
      </c>
      <c r="BE282" s="78">
        <v>0</v>
      </c>
      <c r="BF282" s="78">
        <v>0</v>
      </c>
      <c r="BG282" s="78">
        <v>0</v>
      </c>
      <c r="BH282" s="78">
        <v>0</v>
      </c>
      <c r="BI282" s="78">
        <v>0</v>
      </c>
      <c r="BJ282" s="78">
        <v>0</v>
      </c>
      <c r="BK282" s="78">
        <v>0</v>
      </c>
      <c r="BL282" s="78">
        <v>0</v>
      </c>
      <c r="BM282" s="78">
        <v>950.48099999999999</v>
      </c>
      <c r="BN282" s="78">
        <v>154</v>
      </c>
      <c r="BO282" s="78">
        <v>91</v>
      </c>
      <c r="BP282" s="78">
        <v>13027.89</v>
      </c>
      <c r="BQ282" s="78">
        <v>3380.15</v>
      </c>
      <c r="BR282" s="78">
        <v>365.40794554244297</v>
      </c>
      <c r="BS282" s="78">
        <v>581</v>
      </c>
      <c r="BT282" s="78">
        <v>223.666666666667</v>
      </c>
      <c r="BU282" s="78">
        <v>176.666666666667</v>
      </c>
      <c r="BV282" s="78">
        <f t="shared" si="16"/>
        <v>2090.9999999999968</v>
      </c>
      <c r="BW282" s="78">
        <v>481</v>
      </c>
      <c r="BX282" s="78">
        <v>7916.8846657833401</v>
      </c>
      <c r="BY282" s="402">
        <v>1.464</v>
      </c>
      <c r="BZ282" s="78">
        <v>34856</v>
      </c>
      <c r="CA282" s="78">
        <v>5341</v>
      </c>
      <c r="CB282" s="78">
        <v>868</v>
      </c>
      <c r="CC282" s="78">
        <v>1081</v>
      </c>
      <c r="CD282" s="78">
        <v>875</v>
      </c>
      <c r="CE282" s="78">
        <v>425</v>
      </c>
      <c r="CF282" s="78">
        <v>549.75244901152803</v>
      </c>
      <c r="CG282" s="78">
        <v>309.467769026133</v>
      </c>
      <c r="CH282" s="78">
        <v>99.387413280475698</v>
      </c>
      <c r="CI282" s="78">
        <v>1412.9946</v>
      </c>
      <c r="CJ282" s="78">
        <v>795.4058</v>
      </c>
      <c r="CK282" s="78">
        <v>255.44929999999999</v>
      </c>
      <c r="CL282" s="78">
        <v>39403</v>
      </c>
    </row>
    <row r="283" spans="1:90" customFormat="1" x14ac:dyDescent="0.35">
      <c r="A283" s="72">
        <v>779</v>
      </c>
      <c r="B283" s="72" t="s">
        <v>110</v>
      </c>
      <c r="C283" s="72">
        <v>10</v>
      </c>
      <c r="D283" s="78">
        <v>1846800000</v>
      </c>
      <c r="E283" s="78">
        <v>409500000</v>
      </c>
      <c r="F283" s="78">
        <v>424900000</v>
      </c>
      <c r="G283" s="78">
        <v>21544</v>
      </c>
      <c r="H283" s="78">
        <v>2</v>
      </c>
      <c r="I283" s="78">
        <f t="shared" si="14"/>
        <v>424.9</v>
      </c>
      <c r="J283" s="78">
        <v>4119</v>
      </c>
      <c r="K283" s="78">
        <v>4543</v>
      </c>
      <c r="L283" s="78">
        <v>1438</v>
      </c>
      <c r="M283" s="78">
        <v>2742</v>
      </c>
      <c r="N283" s="78">
        <f t="shared" si="15"/>
        <v>1769.6</v>
      </c>
      <c r="O283" s="78">
        <v>323.33333333333297</v>
      </c>
      <c r="P283" s="78">
        <v>41</v>
      </c>
      <c r="Q283" s="78">
        <v>1306.3333333333301</v>
      </c>
      <c r="R283" s="78">
        <v>2835</v>
      </c>
      <c r="S283" s="78">
        <v>530</v>
      </c>
      <c r="T283" s="78">
        <v>0</v>
      </c>
      <c r="U283" s="78">
        <v>652</v>
      </c>
      <c r="V283" s="78">
        <v>9715</v>
      </c>
      <c r="W283" s="78">
        <v>20150</v>
      </c>
      <c r="X283" s="78">
        <v>6920</v>
      </c>
      <c r="Y283" s="78">
        <v>0</v>
      </c>
      <c r="Z283" s="78">
        <v>1273.5999999999999</v>
      </c>
      <c r="AA283" s="78">
        <v>0</v>
      </c>
      <c r="AB283" s="399">
        <v>0</v>
      </c>
      <c r="AC283" s="399">
        <v>0</v>
      </c>
      <c r="AD283" s="78">
        <v>2658</v>
      </c>
      <c r="AE283" s="78">
        <v>2658</v>
      </c>
      <c r="AF283" s="78">
        <v>306</v>
      </c>
      <c r="AG283" s="78">
        <v>0</v>
      </c>
      <c r="AH283" s="78">
        <v>148</v>
      </c>
      <c r="AI283" s="78">
        <v>43</v>
      </c>
      <c r="AJ283" s="78">
        <v>148</v>
      </c>
      <c r="AK283" s="78">
        <v>43</v>
      </c>
      <c r="AL283" s="78">
        <v>191</v>
      </c>
      <c r="AM283" s="78">
        <v>9724</v>
      </c>
      <c r="AN283" s="78">
        <v>9724</v>
      </c>
      <c r="AO283" s="78">
        <v>13</v>
      </c>
      <c r="AP283" s="78">
        <v>0</v>
      </c>
      <c r="AQ283" s="78">
        <v>0</v>
      </c>
      <c r="AR283" s="78">
        <v>3600</v>
      </c>
      <c r="AS283" s="78">
        <v>1532</v>
      </c>
      <c r="AT283" s="78">
        <v>537</v>
      </c>
      <c r="AU283" s="400">
        <v>3.0082299999999998E-4</v>
      </c>
      <c r="AV283" s="400">
        <v>1.6282199999999999E-4</v>
      </c>
      <c r="AW283" s="78">
        <v>10599.16</v>
      </c>
      <c r="AX283" s="78">
        <v>0</v>
      </c>
      <c r="AY283" s="78">
        <v>1093</v>
      </c>
      <c r="AZ283" s="78">
        <v>7944.5317139001299</v>
      </c>
      <c r="BA283" s="78">
        <v>2</v>
      </c>
      <c r="BB283" s="78">
        <v>2</v>
      </c>
      <c r="BC283" s="78">
        <v>2400</v>
      </c>
      <c r="BD283" s="78">
        <v>1</v>
      </c>
      <c r="BE283" s="78">
        <v>0</v>
      </c>
      <c r="BF283" s="78">
        <v>0</v>
      </c>
      <c r="BG283" s="78">
        <v>0</v>
      </c>
      <c r="BH283" s="78">
        <v>0</v>
      </c>
      <c r="BI283" s="78">
        <v>0</v>
      </c>
      <c r="BJ283" s="78">
        <v>0</v>
      </c>
      <c r="BK283" s="78">
        <v>0</v>
      </c>
      <c r="BL283" s="78">
        <v>0</v>
      </c>
      <c r="BM283" s="78">
        <v>387.18599999999998</v>
      </c>
      <c r="BN283" s="78">
        <v>197</v>
      </c>
      <c r="BO283" s="78">
        <v>53</v>
      </c>
      <c r="BP283" s="78">
        <v>6287.95</v>
      </c>
      <c r="BQ283" s="78">
        <v>1545.05</v>
      </c>
      <c r="BR283" s="78">
        <v>197.03367499273901</v>
      </c>
      <c r="BS283" s="78">
        <v>255</v>
      </c>
      <c r="BT283" s="78">
        <v>77</v>
      </c>
      <c r="BU283" s="78">
        <v>70.6666666666667</v>
      </c>
      <c r="BV283" s="78">
        <f t="shared" si="16"/>
        <v>982.99999999999704</v>
      </c>
      <c r="BW283" s="78">
        <v>209</v>
      </c>
      <c r="BX283" s="78">
        <v>4042.6417290262598</v>
      </c>
      <c r="BY283" s="402">
        <v>0.499</v>
      </c>
      <c r="BZ283" s="78">
        <v>17001</v>
      </c>
      <c r="CA283" s="78">
        <v>2663</v>
      </c>
      <c r="CB283" s="78">
        <v>442</v>
      </c>
      <c r="CC283" s="78">
        <v>549</v>
      </c>
      <c r="CD283" s="78">
        <v>477</v>
      </c>
      <c r="CE283" s="78">
        <v>211</v>
      </c>
      <c r="CF283" s="78">
        <v>305.73097490744499</v>
      </c>
      <c r="CG283" s="78">
        <v>171.60970793912</v>
      </c>
      <c r="CH283" s="78">
        <v>49.135335252982301</v>
      </c>
      <c r="CI283" s="78">
        <v>754.65599999999995</v>
      </c>
      <c r="CJ283" s="78">
        <v>423.59559999999999</v>
      </c>
      <c r="CK283" s="78">
        <v>121.28400000000001</v>
      </c>
      <c r="CL283" s="78">
        <v>56933</v>
      </c>
    </row>
    <row r="284" spans="1:90" customFormat="1" x14ac:dyDescent="0.35">
      <c r="A284" s="72">
        <v>1771</v>
      </c>
      <c r="B284" s="72" t="s">
        <v>111</v>
      </c>
      <c r="C284" s="72">
        <v>10</v>
      </c>
      <c r="D284" s="78">
        <v>3923600000</v>
      </c>
      <c r="E284" s="78">
        <v>411950000</v>
      </c>
      <c r="F284" s="78">
        <v>432600000</v>
      </c>
      <c r="G284" s="78">
        <v>39726</v>
      </c>
      <c r="H284" s="78">
        <v>2</v>
      </c>
      <c r="I284" s="78">
        <f t="shared" si="14"/>
        <v>432.6</v>
      </c>
      <c r="J284" s="78">
        <v>7497</v>
      </c>
      <c r="K284" s="78">
        <v>8752</v>
      </c>
      <c r="L284" s="78">
        <v>2957</v>
      </c>
      <c r="M284" s="78">
        <v>5074</v>
      </c>
      <c r="N284" s="78">
        <f t="shared" si="15"/>
        <v>3280</v>
      </c>
      <c r="O284" s="78">
        <v>724</v>
      </c>
      <c r="P284" s="78">
        <v>68</v>
      </c>
      <c r="Q284" s="78">
        <v>2576</v>
      </c>
      <c r="R284" s="78">
        <v>5852</v>
      </c>
      <c r="S284" s="78">
        <v>1750</v>
      </c>
      <c r="T284" s="78">
        <v>0</v>
      </c>
      <c r="U284" s="78">
        <v>1285</v>
      </c>
      <c r="V284" s="78">
        <v>18016</v>
      </c>
      <c r="W284" s="78">
        <v>36200</v>
      </c>
      <c r="X284" s="78">
        <v>18150</v>
      </c>
      <c r="Y284" s="78">
        <v>310.86</v>
      </c>
      <c r="Z284" s="78">
        <v>879.2</v>
      </c>
      <c r="AA284" s="78">
        <v>0</v>
      </c>
      <c r="AB284" s="399">
        <v>0</v>
      </c>
      <c r="AC284" s="399">
        <v>0</v>
      </c>
      <c r="AD284" s="78">
        <v>3101</v>
      </c>
      <c r="AE284" s="78">
        <v>3101</v>
      </c>
      <c r="AF284" s="78">
        <v>37</v>
      </c>
      <c r="AG284" s="78">
        <v>0</v>
      </c>
      <c r="AH284" s="78">
        <v>226</v>
      </c>
      <c r="AI284" s="78">
        <v>23</v>
      </c>
      <c r="AJ284" s="78">
        <v>226</v>
      </c>
      <c r="AK284" s="78">
        <v>23</v>
      </c>
      <c r="AL284" s="78">
        <v>250</v>
      </c>
      <c r="AM284" s="78">
        <v>17940</v>
      </c>
      <c r="AN284" s="78">
        <v>17940</v>
      </c>
      <c r="AO284" s="78">
        <v>0</v>
      </c>
      <c r="AP284" s="78">
        <v>0</v>
      </c>
      <c r="AQ284" s="78">
        <v>0</v>
      </c>
      <c r="AR284" s="78">
        <v>0</v>
      </c>
      <c r="AS284" s="78">
        <v>1074</v>
      </c>
      <c r="AT284" s="78">
        <v>0</v>
      </c>
      <c r="AU284" s="400">
        <v>2.8959599999999998E-4</v>
      </c>
      <c r="AV284" s="400">
        <v>5.5208099999999995E-4</v>
      </c>
      <c r="AW284" s="78">
        <v>24272.82</v>
      </c>
      <c r="AX284" s="78">
        <v>0</v>
      </c>
      <c r="AY284" s="78">
        <v>466</v>
      </c>
      <c r="AZ284" s="78">
        <v>5899.3996175908196</v>
      </c>
      <c r="BA284" s="78">
        <v>2</v>
      </c>
      <c r="BB284" s="78">
        <v>2</v>
      </c>
      <c r="BC284" s="78">
        <v>3955</v>
      </c>
      <c r="BD284" s="78">
        <v>1</v>
      </c>
      <c r="BE284" s="78">
        <v>0</v>
      </c>
      <c r="BF284" s="78">
        <v>0</v>
      </c>
      <c r="BG284" s="78">
        <v>0</v>
      </c>
      <c r="BH284" s="78">
        <v>0</v>
      </c>
      <c r="BI284" s="78">
        <v>0</v>
      </c>
      <c r="BJ284" s="78">
        <v>0</v>
      </c>
      <c r="BK284" s="78">
        <v>0</v>
      </c>
      <c r="BL284" s="78">
        <v>0</v>
      </c>
      <c r="BM284" s="78">
        <v>922.13099999999997</v>
      </c>
      <c r="BN284" s="78">
        <v>103</v>
      </c>
      <c r="BO284" s="78">
        <v>130</v>
      </c>
      <c r="BP284" s="78">
        <v>12422.9</v>
      </c>
      <c r="BQ284" s="78">
        <v>2827.44</v>
      </c>
      <c r="BR284" s="78">
        <v>317.13368657685402</v>
      </c>
      <c r="BS284" s="78">
        <v>507</v>
      </c>
      <c r="BT284" s="78">
        <v>223.666666666667</v>
      </c>
      <c r="BU284" s="78">
        <v>202.666666666667</v>
      </c>
      <c r="BV284" s="78">
        <f t="shared" si="16"/>
        <v>1852</v>
      </c>
      <c r="BW284" s="78">
        <v>397</v>
      </c>
      <c r="BX284" s="78">
        <v>7316.7275565096597</v>
      </c>
      <c r="BY284" s="402">
        <v>1.3740000000000001</v>
      </c>
      <c r="BZ284" s="78">
        <v>30974</v>
      </c>
      <c r="CA284" s="78">
        <v>4831</v>
      </c>
      <c r="CB284" s="78">
        <v>964</v>
      </c>
      <c r="CC284" s="78">
        <v>1005</v>
      </c>
      <c r="CD284" s="78">
        <v>1014</v>
      </c>
      <c r="CE284" s="78">
        <v>526</v>
      </c>
      <c r="CF284" s="78">
        <v>544.83835005574099</v>
      </c>
      <c r="CG284" s="78">
        <v>372.24526198439202</v>
      </c>
      <c r="CH284" s="78">
        <v>128.16499442586399</v>
      </c>
      <c r="CI284" s="78">
        <v>1281.1020000000001</v>
      </c>
      <c r="CJ284" s="78">
        <v>875.27639999999997</v>
      </c>
      <c r="CK284" s="78">
        <v>301.35989999999998</v>
      </c>
      <c r="CL284" s="78">
        <v>12427</v>
      </c>
    </row>
    <row r="285" spans="1:90" customFormat="1" x14ac:dyDescent="0.35">
      <c r="A285" s="72">
        <v>1652</v>
      </c>
      <c r="B285" s="72" t="s">
        <v>112</v>
      </c>
      <c r="C285" s="72">
        <v>10</v>
      </c>
      <c r="D285" s="78">
        <v>2921600000</v>
      </c>
      <c r="E285" s="78">
        <v>415450000</v>
      </c>
      <c r="F285" s="78">
        <v>466900000</v>
      </c>
      <c r="G285" s="78">
        <v>30723</v>
      </c>
      <c r="H285" s="78">
        <v>4</v>
      </c>
      <c r="I285" s="78">
        <f t="shared" si="14"/>
        <v>466.9</v>
      </c>
      <c r="J285" s="78">
        <v>6023</v>
      </c>
      <c r="K285" s="78">
        <v>6082</v>
      </c>
      <c r="L285" s="78">
        <v>1830</v>
      </c>
      <c r="M285" s="78">
        <v>3818</v>
      </c>
      <c r="N285" s="78">
        <f t="shared" si="15"/>
        <v>2492.8000000000002</v>
      </c>
      <c r="O285" s="78">
        <v>373.66666666666703</v>
      </c>
      <c r="P285" s="78">
        <v>52</v>
      </c>
      <c r="Q285" s="78">
        <v>1994.6666666666699</v>
      </c>
      <c r="R285" s="78">
        <v>3885</v>
      </c>
      <c r="S285" s="78">
        <v>485</v>
      </c>
      <c r="T285" s="78">
        <v>0</v>
      </c>
      <c r="U285" s="78">
        <v>808</v>
      </c>
      <c r="V285" s="78">
        <v>13254</v>
      </c>
      <c r="W285" s="78">
        <v>26240</v>
      </c>
      <c r="X285" s="78">
        <v>11380</v>
      </c>
      <c r="Y285" s="78">
        <v>372.24</v>
      </c>
      <c r="Z285" s="78">
        <v>1622.4</v>
      </c>
      <c r="AA285" s="78">
        <v>0</v>
      </c>
      <c r="AB285" s="399">
        <v>0</v>
      </c>
      <c r="AC285" s="399">
        <v>0</v>
      </c>
      <c r="AD285" s="78">
        <v>12208</v>
      </c>
      <c r="AE285" s="78">
        <v>12208</v>
      </c>
      <c r="AF285" s="78">
        <v>126</v>
      </c>
      <c r="AG285" s="78">
        <v>0</v>
      </c>
      <c r="AH285" s="78">
        <v>192</v>
      </c>
      <c r="AI285" s="78">
        <v>177</v>
      </c>
      <c r="AJ285" s="78">
        <v>192</v>
      </c>
      <c r="AK285" s="78">
        <v>177</v>
      </c>
      <c r="AL285" s="78">
        <v>369</v>
      </c>
      <c r="AM285" s="78">
        <v>13252</v>
      </c>
      <c r="AN285" s="78">
        <v>13252</v>
      </c>
      <c r="AO285" s="78">
        <v>8</v>
      </c>
      <c r="AP285" s="78">
        <v>0</v>
      </c>
      <c r="AQ285" s="78">
        <v>0</v>
      </c>
      <c r="AR285" s="78">
        <v>0</v>
      </c>
      <c r="AS285" s="78">
        <v>663</v>
      </c>
      <c r="AT285" s="78">
        <v>663</v>
      </c>
      <c r="AU285" s="400">
        <v>2.2607899999999999E-4</v>
      </c>
      <c r="AV285" s="400">
        <v>1.18987E-4</v>
      </c>
      <c r="AW285" s="78">
        <v>10310.056</v>
      </c>
      <c r="AX285" s="78">
        <v>0</v>
      </c>
      <c r="AY285" s="78">
        <v>1068</v>
      </c>
      <c r="AZ285" s="78">
        <v>2660.3019296254301</v>
      </c>
      <c r="BA285" s="78">
        <v>11</v>
      </c>
      <c r="BB285" s="78">
        <v>11</v>
      </c>
      <c r="BC285" s="78">
        <v>3511</v>
      </c>
      <c r="BD285" s="78">
        <v>1</v>
      </c>
      <c r="BE285" s="78">
        <v>0</v>
      </c>
      <c r="BF285" s="78">
        <v>0</v>
      </c>
      <c r="BG285" s="78">
        <v>0</v>
      </c>
      <c r="BH285" s="78">
        <v>0</v>
      </c>
      <c r="BI285" s="78">
        <v>0</v>
      </c>
      <c r="BJ285" s="78">
        <v>0</v>
      </c>
      <c r="BK285" s="78">
        <v>0</v>
      </c>
      <c r="BL285" s="78">
        <v>0</v>
      </c>
      <c r="BM285" s="78">
        <v>548.09299999999996</v>
      </c>
      <c r="BN285" s="78">
        <v>120</v>
      </c>
      <c r="BO285" s="78">
        <v>70</v>
      </c>
      <c r="BP285" s="78">
        <v>8616.9599999999991</v>
      </c>
      <c r="BQ285" s="78">
        <v>2133.9499999999998</v>
      </c>
      <c r="BR285" s="78">
        <v>169.017721500721</v>
      </c>
      <c r="BS285" s="78">
        <v>330</v>
      </c>
      <c r="BT285" s="78">
        <v>110.666666666667</v>
      </c>
      <c r="BU285" s="78">
        <v>78.3333333333333</v>
      </c>
      <c r="BV285" s="78">
        <f t="shared" si="16"/>
        <v>1621.000000000003</v>
      </c>
      <c r="BW285" s="78">
        <v>390</v>
      </c>
      <c r="BX285" s="78">
        <v>4573.4455374913796</v>
      </c>
      <c r="BY285" s="402">
        <v>0.60699999999999998</v>
      </c>
      <c r="BZ285" s="78">
        <v>24641</v>
      </c>
      <c r="CA285" s="78">
        <v>3644</v>
      </c>
      <c r="CB285" s="78">
        <v>608</v>
      </c>
      <c r="CC285" s="78">
        <v>648</v>
      </c>
      <c r="CD285" s="78">
        <v>599</v>
      </c>
      <c r="CE285" s="78">
        <v>365</v>
      </c>
      <c r="CF285" s="78">
        <v>402.36184726833699</v>
      </c>
      <c r="CG285" s="78">
        <v>233.62945970419599</v>
      </c>
      <c r="CH285" s="78">
        <v>89.162933896770298</v>
      </c>
      <c r="CI285" s="78">
        <v>1003.6188</v>
      </c>
      <c r="CJ285" s="78">
        <v>582.74639999999999</v>
      </c>
      <c r="CK285" s="78">
        <v>222.4008</v>
      </c>
      <c r="CL285" s="78">
        <v>46248</v>
      </c>
    </row>
    <row r="286" spans="1:90" customFormat="1" x14ac:dyDescent="0.35">
      <c r="A286" s="72">
        <v>784</v>
      </c>
      <c r="B286" s="72" t="s">
        <v>114</v>
      </c>
      <c r="C286" s="72">
        <v>10</v>
      </c>
      <c r="D286" s="78">
        <v>2333600000</v>
      </c>
      <c r="E286" s="78">
        <v>584850000</v>
      </c>
      <c r="F286" s="78">
        <v>609700000</v>
      </c>
      <c r="G286" s="78">
        <v>26431</v>
      </c>
      <c r="H286" s="78">
        <v>2</v>
      </c>
      <c r="I286" s="78">
        <f t="shared" si="14"/>
        <v>609.70000000000005</v>
      </c>
      <c r="J286" s="78">
        <v>5101</v>
      </c>
      <c r="K286" s="78">
        <v>5611</v>
      </c>
      <c r="L286" s="78">
        <v>1787</v>
      </c>
      <c r="M286" s="78">
        <v>3249</v>
      </c>
      <c r="N286" s="78">
        <f t="shared" si="15"/>
        <v>2094.1999999999998</v>
      </c>
      <c r="O286" s="78">
        <v>452.33333333333297</v>
      </c>
      <c r="P286" s="78">
        <v>22</v>
      </c>
      <c r="Q286" s="78">
        <v>1600.3333333333301</v>
      </c>
      <c r="R286" s="78">
        <v>3276</v>
      </c>
      <c r="S286" s="78">
        <v>1600</v>
      </c>
      <c r="T286" s="78">
        <v>0</v>
      </c>
      <c r="U286" s="78">
        <v>795</v>
      </c>
      <c r="V286" s="78">
        <v>11808</v>
      </c>
      <c r="W286" s="78">
        <v>21070</v>
      </c>
      <c r="X286" s="78">
        <v>5390</v>
      </c>
      <c r="Y286" s="78">
        <v>0</v>
      </c>
      <c r="Z286" s="78">
        <v>0</v>
      </c>
      <c r="AA286" s="78">
        <v>0</v>
      </c>
      <c r="AB286" s="399">
        <v>0</v>
      </c>
      <c r="AC286" s="399">
        <v>0</v>
      </c>
      <c r="AD286" s="78">
        <v>6538</v>
      </c>
      <c r="AE286" s="78">
        <v>6538</v>
      </c>
      <c r="AF286" s="78">
        <v>28</v>
      </c>
      <c r="AG286" s="78">
        <v>0</v>
      </c>
      <c r="AH286" s="78">
        <v>178</v>
      </c>
      <c r="AI286" s="78">
        <v>70</v>
      </c>
      <c r="AJ286" s="78">
        <v>178</v>
      </c>
      <c r="AK286" s="78">
        <v>70</v>
      </c>
      <c r="AL286" s="78">
        <v>248</v>
      </c>
      <c r="AM286" s="78">
        <v>11548</v>
      </c>
      <c r="AN286" s="78">
        <v>11548</v>
      </c>
      <c r="AO286" s="78">
        <v>0</v>
      </c>
      <c r="AP286" s="78">
        <v>0</v>
      </c>
      <c r="AQ286" s="78">
        <v>0</v>
      </c>
      <c r="AR286" s="78">
        <v>0</v>
      </c>
      <c r="AS286" s="78">
        <v>0</v>
      </c>
      <c r="AT286" s="78">
        <v>0</v>
      </c>
      <c r="AU286" s="400">
        <v>1.98715E-4</v>
      </c>
      <c r="AV286" s="400">
        <v>1.15251E-4</v>
      </c>
      <c r="AW286" s="78">
        <v>12483.388000000001</v>
      </c>
      <c r="AX286" s="78">
        <v>0</v>
      </c>
      <c r="AY286" s="78">
        <v>530</v>
      </c>
      <c r="AZ286" s="78">
        <v>2133.4800487359098</v>
      </c>
      <c r="BA286" s="78">
        <v>7</v>
      </c>
      <c r="BB286" s="78">
        <v>7</v>
      </c>
      <c r="BC286" s="78">
        <v>2741</v>
      </c>
      <c r="BD286" s="78">
        <v>1</v>
      </c>
      <c r="BE286" s="78">
        <v>0</v>
      </c>
      <c r="BF286" s="78">
        <v>0</v>
      </c>
      <c r="BG286" s="78">
        <v>0</v>
      </c>
      <c r="BH286" s="78">
        <v>0</v>
      </c>
      <c r="BI286" s="78">
        <v>0</v>
      </c>
      <c r="BJ286" s="78">
        <v>0</v>
      </c>
      <c r="BK286" s="78">
        <v>0</v>
      </c>
      <c r="BL286" s="78">
        <v>0</v>
      </c>
      <c r="BM286" s="78">
        <v>566.21100000000001</v>
      </c>
      <c r="BN286" s="78">
        <v>74</v>
      </c>
      <c r="BO286" s="78">
        <v>107</v>
      </c>
      <c r="BP286" s="78">
        <v>7504</v>
      </c>
      <c r="BQ286" s="78">
        <v>1838.2</v>
      </c>
      <c r="BR286" s="78">
        <v>175.36515535408</v>
      </c>
      <c r="BS286" s="78">
        <v>348</v>
      </c>
      <c r="BT286" s="78">
        <v>145.333333333333</v>
      </c>
      <c r="BU286" s="78">
        <v>130</v>
      </c>
      <c r="BV286" s="78">
        <f t="shared" si="16"/>
        <v>1147.999999999997</v>
      </c>
      <c r="BW286" s="78">
        <v>239</v>
      </c>
      <c r="BX286" s="78">
        <v>5079.28</v>
      </c>
      <c r="BY286" s="402">
        <v>0.85099999999999998</v>
      </c>
      <c r="BZ286" s="78">
        <v>20820</v>
      </c>
      <c r="CA286" s="78">
        <v>3303</v>
      </c>
      <c r="CB286" s="78">
        <v>521</v>
      </c>
      <c r="CC286" s="78">
        <v>607</v>
      </c>
      <c r="CD286" s="78">
        <v>565</v>
      </c>
      <c r="CE286" s="78">
        <v>248</v>
      </c>
      <c r="CF286" s="78">
        <v>356.52902667128501</v>
      </c>
      <c r="CG286" s="78">
        <v>214.17130239002401</v>
      </c>
      <c r="CH286" s="78">
        <v>62.564859715968097</v>
      </c>
      <c r="CI286" s="78">
        <v>883.12720000000002</v>
      </c>
      <c r="CJ286" s="78">
        <v>530.50519999999995</v>
      </c>
      <c r="CK286" s="78">
        <v>154.97399999999999</v>
      </c>
      <c r="CL286" s="78">
        <v>9125</v>
      </c>
    </row>
    <row r="287" spans="1:90" customFormat="1" x14ac:dyDescent="0.35">
      <c r="A287" s="72">
        <v>785</v>
      </c>
      <c r="B287" s="72" t="s">
        <v>117</v>
      </c>
      <c r="C287" s="72">
        <v>10</v>
      </c>
      <c r="D287" s="78">
        <v>2434000000</v>
      </c>
      <c r="E287" s="78">
        <v>243250000</v>
      </c>
      <c r="F287" s="78">
        <v>257250000</v>
      </c>
      <c r="G287" s="78">
        <v>23904</v>
      </c>
      <c r="H287" s="78">
        <v>2</v>
      </c>
      <c r="I287" s="78">
        <f t="shared" si="14"/>
        <v>257.25</v>
      </c>
      <c r="J287" s="78">
        <v>4796</v>
      </c>
      <c r="K287" s="78">
        <v>5546</v>
      </c>
      <c r="L287" s="78">
        <v>1695</v>
      </c>
      <c r="M287" s="78">
        <v>2588</v>
      </c>
      <c r="N287" s="78">
        <f t="shared" si="15"/>
        <v>1541.8999999999999</v>
      </c>
      <c r="O287" s="78">
        <v>275</v>
      </c>
      <c r="P287" s="78">
        <v>47</v>
      </c>
      <c r="Q287" s="78">
        <v>1272</v>
      </c>
      <c r="R287" s="78">
        <v>2889</v>
      </c>
      <c r="S287" s="78">
        <v>700</v>
      </c>
      <c r="T287" s="78">
        <v>0</v>
      </c>
      <c r="U287" s="78">
        <v>682</v>
      </c>
      <c r="V287" s="78">
        <v>10574</v>
      </c>
      <c r="W287" s="78">
        <v>19190</v>
      </c>
      <c r="X287" s="78">
        <v>5390</v>
      </c>
      <c r="Y287" s="78">
        <v>1705.78</v>
      </c>
      <c r="Z287" s="78">
        <v>1188.8</v>
      </c>
      <c r="AA287" s="78">
        <v>0</v>
      </c>
      <c r="AB287" s="399">
        <v>0</v>
      </c>
      <c r="AC287" s="399">
        <v>0</v>
      </c>
      <c r="AD287" s="78">
        <v>4297</v>
      </c>
      <c r="AE287" s="78">
        <v>4297</v>
      </c>
      <c r="AF287" s="78">
        <v>41</v>
      </c>
      <c r="AG287" s="78">
        <v>0</v>
      </c>
      <c r="AH287" s="78">
        <v>137</v>
      </c>
      <c r="AI287" s="78">
        <v>31</v>
      </c>
      <c r="AJ287" s="78">
        <v>137</v>
      </c>
      <c r="AK287" s="78">
        <v>31</v>
      </c>
      <c r="AL287" s="78">
        <v>168</v>
      </c>
      <c r="AM287" s="78">
        <v>10461</v>
      </c>
      <c r="AN287" s="78">
        <v>10461</v>
      </c>
      <c r="AO287" s="78">
        <v>0</v>
      </c>
      <c r="AP287" s="78">
        <v>0</v>
      </c>
      <c r="AQ287" s="78">
        <v>0</v>
      </c>
      <c r="AR287" s="78">
        <v>0</v>
      </c>
      <c r="AS287" s="78">
        <v>891</v>
      </c>
      <c r="AT287" s="78">
        <v>0</v>
      </c>
      <c r="AU287" s="400">
        <v>1.16285E-4</v>
      </c>
      <c r="AV287" s="400">
        <v>1.0025400000000001E-4</v>
      </c>
      <c r="AW287" s="78">
        <v>12312.597</v>
      </c>
      <c r="AX287" s="78">
        <v>0</v>
      </c>
      <c r="AY287" s="78">
        <v>403</v>
      </c>
      <c r="AZ287" s="78">
        <v>2220.6804979253102</v>
      </c>
      <c r="BA287" s="78">
        <v>3</v>
      </c>
      <c r="BB287" s="78">
        <v>3</v>
      </c>
      <c r="BC287" s="78">
        <v>2603</v>
      </c>
      <c r="BD287" s="78">
        <v>1</v>
      </c>
      <c r="BE287" s="78">
        <v>0</v>
      </c>
      <c r="BF287" s="78">
        <v>0</v>
      </c>
      <c r="BG287" s="78">
        <v>0</v>
      </c>
      <c r="BH287" s="78">
        <v>0</v>
      </c>
      <c r="BI287" s="78">
        <v>0</v>
      </c>
      <c r="BJ287" s="78">
        <v>0</v>
      </c>
      <c r="BK287" s="78">
        <v>0</v>
      </c>
      <c r="BL287" s="78">
        <v>0</v>
      </c>
      <c r="BM287" s="78">
        <v>426.84399999999999</v>
      </c>
      <c r="BN287" s="78">
        <v>37</v>
      </c>
      <c r="BO287" s="78">
        <v>47</v>
      </c>
      <c r="BP287" s="78">
        <v>7542.08</v>
      </c>
      <c r="BQ287" s="78">
        <v>1848</v>
      </c>
      <c r="BR287" s="78">
        <v>170.39032570659501</v>
      </c>
      <c r="BS287" s="78">
        <v>246</v>
      </c>
      <c r="BT287" s="78">
        <v>75</v>
      </c>
      <c r="BU287" s="78">
        <v>74.6666666666667</v>
      </c>
      <c r="BV287" s="78">
        <f t="shared" si="16"/>
        <v>997</v>
      </c>
      <c r="BW287" s="78">
        <v>223</v>
      </c>
      <c r="BX287" s="78">
        <v>4658.4719606606996</v>
      </c>
      <c r="BY287" s="402">
        <v>0.28399999999999997</v>
      </c>
      <c r="BZ287" s="78">
        <v>18358</v>
      </c>
      <c r="CA287" s="78">
        <v>3336</v>
      </c>
      <c r="CB287" s="78">
        <v>515</v>
      </c>
      <c r="CC287" s="78">
        <v>598</v>
      </c>
      <c r="CD287" s="78">
        <v>512</v>
      </c>
      <c r="CE287" s="78">
        <v>275</v>
      </c>
      <c r="CF287" s="78">
        <v>293.02143198546997</v>
      </c>
      <c r="CG287" s="78">
        <v>165.67207723927001</v>
      </c>
      <c r="CH287" s="78">
        <v>52.767440971226499</v>
      </c>
      <c r="CI287" s="78">
        <v>782.27800000000002</v>
      </c>
      <c r="CJ287" s="78">
        <v>442.29399999999998</v>
      </c>
      <c r="CK287" s="78">
        <v>140.87299999999999</v>
      </c>
      <c r="CL287" s="78">
        <v>27828</v>
      </c>
    </row>
    <row r="288" spans="1:90" customFormat="1" x14ac:dyDescent="0.35">
      <c r="A288" s="72">
        <v>786</v>
      </c>
      <c r="B288" s="72" t="s">
        <v>121</v>
      </c>
      <c r="C288" s="72">
        <v>10</v>
      </c>
      <c r="D288" s="78">
        <v>1005600000</v>
      </c>
      <c r="E288" s="78">
        <v>139650000</v>
      </c>
      <c r="F288" s="78">
        <v>155400000</v>
      </c>
      <c r="G288" s="78">
        <v>12436</v>
      </c>
      <c r="H288" s="78">
        <v>1</v>
      </c>
      <c r="I288" s="78">
        <f t="shared" si="14"/>
        <v>155.4</v>
      </c>
      <c r="J288" s="78">
        <v>2222</v>
      </c>
      <c r="K288" s="78">
        <v>2829</v>
      </c>
      <c r="L288" s="78">
        <v>864</v>
      </c>
      <c r="M288" s="78">
        <v>1414</v>
      </c>
      <c r="N288" s="78">
        <f t="shared" si="15"/>
        <v>851</v>
      </c>
      <c r="O288" s="78">
        <v>147.333333333333</v>
      </c>
      <c r="P288" s="78">
        <v>21</v>
      </c>
      <c r="Q288" s="78">
        <v>813.33333333333303</v>
      </c>
      <c r="R288" s="78">
        <v>1690</v>
      </c>
      <c r="S288" s="78">
        <v>315</v>
      </c>
      <c r="T288" s="78">
        <v>0</v>
      </c>
      <c r="U288" s="78">
        <v>341</v>
      </c>
      <c r="V288" s="78">
        <v>5879</v>
      </c>
      <c r="W288" s="78">
        <v>11000</v>
      </c>
      <c r="X288" s="78">
        <v>2850</v>
      </c>
      <c r="Y288" s="78">
        <v>406.89600000000002</v>
      </c>
      <c r="Z288" s="78">
        <v>543.20000000000005</v>
      </c>
      <c r="AA288" s="78">
        <v>0</v>
      </c>
      <c r="AB288" s="399">
        <v>0</v>
      </c>
      <c r="AC288" s="399">
        <v>0</v>
      </c>
      <c r="AD288" s="78">
        <v>2713</v>
      </c>
      <c r="AE288" s="78">
        <v>2713</v>
      </c>
      <c r="AF288" s="78">
        <v>90</v>
      </c>
      <c r="AG288" s="78">
        <v>0</v>
      </c>
      <c r="AH288" s="78">
        <v>63</v>
      </c>
      <c r="AI288" s="78">
        <v>25</v>
      </c>
      <c r="AJ288" s="78">
        <v>63</v>
      </c>
      <c r="AK288" s="78">
        <v>25</v>
      </c>
      <c r="AL288" s="78">
        <v>88</v>
      </c>
      <c r="AM288" s="78">
        <v>5630</v>
      </c>
      <c r="AN288" s="78">
        <v>5630</v>
      </c>
      <c r="AO288" s="78">
        <v>8</v>
      </c>
      <c r="AP288" s="78">
        <v>0</v>
      </c>
      <c r="AQ288" s="78">
        <v>0</v>
      </c>
      <c r="AR288" s="78">
        <v>2950</v>
      </c>
      <c r="AS288" s="78">
        <v>0</v>
      </c>
      <c r="AT288" s="78">
        <v>0</v>
      </c>
      <c r="AU288" s="400">
        <v>1.5497899999999999E-4</v>
      </c>
      <c r="AV288" s="400">
        <v>8.1524000000000001E-5</v>
      </c>
      <c r="AW288" s="78">
        <v>3586.31</v>
      </c>
      <c r="AX288" s="78">
        <v>0</v>
      </c>
      <c r="AY288" s="78">
        <v>545</v>
      </c>
      <c r="AZ288" s="78">
        <v>2417.9878701391399</v>
      </c>
      <c r="BA288" s="78">
        <v>3</v>
      </c>
      <c r="BB288" s="78">
        <v>3</v>
      </c>
      <c r="BC288" s="78">
        <v>1215</v>
      </c>
      <c r="BD288" s="78">
        <v>1</v>
      </c>
      <c r="BE288" s="78">
        <v>0</v>
      </c>
      <c r="BF288" s="78">
        <v>0</v>
      </c>
      <c r="BG288" s="78">
        <v>0</v>
      </c>
      <c r="BH288" s="78">
        <v>0</v>
      </c>
      <c r="BI288" s="78">
        <v>0</v>
      </c>
      <c r="BJ288" s="78">
        <v>0</v>
      </c>
      <c r="BK288" s="78">
        <v>0</v>
      </c>
      <c r="BL288" s="78">
        <v>0</v>
      </c>
      <c r="BM288" s="78">
        <v>186.648</v>
      </c>
      <c r="BN288" s="78">
        <v>34</v>
      </c>
      <c r="BO288" s="78">
        <v>41</v>
      </c>
      <c r="BP288" s="78">
        <v>3509.88</v>
      </c>
      <c r="BQ288" s="78">
        <v>786.56</v>
      </c>
      <c r="BR288" s="78">
        <v>94.649403508771897</v>
      </c>
      <c r="BS288" s="78">
        <v>130</v>
      </c>
      <c r="BT288" s="78">
        <v>48.6666666666667</v>
      </c>
      <c r="BU288" s="78">
        <v>37</v>
      </c>
      <c r="BV288" s="78">
        <f t="shared" si="16"/>
        <v>666</v>
      </c>
      <c r="BW288" s="78">
        <v>182</v>
      </c>
      <c r="BX288" s="78">
        <v>2146.9260145798298</v>
      </c>
      <c r="BY288" s="402">
        <v>0.17100000000000001</v>
      </c>
      <c r="BZ288" s="78">
        <v>9607</v>
      </c>
      <c r="CA288" s="78">
        <v>1664</v>
      </c>
      <c r="CB288" s="78">
        <v>301</v>
      </c>
      <c r="CC288" s="78">
        <v>336</v>
      </c>
      <c r="CD288" s="78">
        <v>284</v>
      </c>
      <c r="CE288" s="78">
        <v>125</v>
      </c>
      <c r="CF288" s="78">
        <v>151.00337477797501</v>
      </c>
      <c r="CG288" s="78">
        <v>84.797690941385397</v>
      </c>
      <c r="CH288" s="78">
        <v>25.847424511545299</v>
      </c>
      <c r="CI288" s="78">
        <v>452.64690000000002</v>
      </c>
      <c r="CJ288" s="78">
        <v>254.1891</v>
      </c>
      <c r="CK288" s="78">
        <v>77.480099999999993</v>
      </c>
      <c r="CL288" s="78">
        <v>173010</v>
      </c>
    </row>
    <row r="289" spans="1:90" customFormat="1" x14ac:dyDescent="0.35">
      <c r="A289" s="72">
        <v>788</v>
      </c>
      <c r="B289" s="72" t="s">
        <v>125</v>
      </c>
      <c r="C289" s="72">
        <v>10</v>
      </c>
      <c r="D289" s="78">
        <v>1584000000</v>
      </c>
      <c r="E289" s="78">
        <v>159250000</v>
      </c>
      <c r="F289" s="78">
        <v>193550000</v>
      </c>
      <c r="G289" s="78">
        <v>14370</v>
      </c>
      <c r="H289" s="78">
        <v>3</v>
      </c>
      <c r="I289" s="78">
        <f t="shared" si="14"/>
        <v>193.55</v>
      </c>
      <c r="J289" s="78">
        <v>2506</v>
      </c>
      <c r="K289" s="78">
        <v>3327</v>
      </c>
      <c r="L289" s="78">
        <v>1066</v>
      </c>
      <c r="M289" s="78">
        <v>1311</v>
      </c>
      <c r="N289" s="78">
        <f t="shared" si="15"/>
        <v>653.79999999999995</v>
      </c>
      <c r="O289" s="78">
        <v>90</v>
      </c>
      <c r="P289" s="78">
        <v>20</v>
      </c>
      <c r="Q289" s="78">
        <v>839</v>
      </c>
      <c r="R289" s="78">
        <v>1637</v>
      </c>
      <c r="S289" s="78">
        <v>195</v>
      </c>
      <c r="T289" s="78">
        <v>0</v>
      </c>
      <c r="U289" s="78">
        <v>315</v>
      </c>
      <c r="V289" s="78">
        <v>6397</v>
      </c>
      <c r="W289" s="78">
        <v>8650</v>
      </c>
      <c r="X289" s="78">
        <v>700</v>
      </c>
      <c r="Y289" s="78">
        <v>0</v>
      </c>
      <c r="Z289" s="78">
        <v>0</v>
      </c>
      <c r="AA289" s="78">
        <v>0</v>
      </c>
      <c r="AB289" s="399">
        <v>0</v>
      </c>
      <c r="AC289" s="399">
        <v>0</v>
      </c>
      <c r="AD289" s="78">
        <v>5758</v>
      </c>
      <c r="AE289" s="78">
        <v>5758</v>
      </c>
      <c r="AF289" s="78">
        <v>98</v>
      </c>
      <c r="AG289" s="78">
        <v>0</v>
      </c>
      <c r="AH289" s="78">
        <v>83</v>
      </c>
      <c r="AI289" s="78">
        <v>62</v>
      </c>
      <c r="AJ289" s="78">
        <v>83</v>
      </c>
      <c r="AK289" s="78">
        <v>62</v>
      </c>
      <c r="AL289" s="78">
        <v>145</v>
      </c>
      <c r="AM289" s="78">
        <v>6572</v>
      </c>
      <c r="AN289" s="78">
        <v>6572</v>
      </c>
      <c r="AO289" s="78">
        <v>0</v>
      </c>
      <c r="AP289" s="78">
        <v>0</v>
      </c>
      <c r="AQ289" s="78">
        <v>0</v>
      </c>
      <c r="AR289" s="78">
        <v>0</v>
      </c>
      <c r="AS289" s="78">
        <v>0</v>
      </c>
      <c r="AT289" s="78">
        <v>0</v>
      </c>
      <c r="AU289" s="400">
        <v>1.13755E-4</v>
      </c>
      <c r="AV289" s="400">
        <v>3.8544999999999998E-5</v>
      </c>
      <c r="AW289" s="78">
        <v>2484.2159999999999</v>
      </c>
      <c r="AX289" s="78">
        <v>0</v>
      </c>
      <c r="AY289" s="78">
        <v>966</v>
      </c>
      <c r="AZ289" s="78">
        <v>2370.4610655737702</v>
      </c>
      <c r="BA289" s="78">
        <v>6</v>
      </c>
      <c r="BB289" s="78">
        <v>6</v>
      </c>
      <c r="BC289" s="78">
        <v>1984</v>
      </c>
      <c r="BD289" s="78">
        <v>1</v>
      </c>
      <c r="BE289" s="78">
        <v>0</v>
      </c>
      <c r="BF289" s="78">
        <v>0</v>
      </c>
      <c r="BG289" s="78">
        <v>0</v>
      </c>
      <c r="BH289" s="78">
        <v>0</v>
      </c>
      <c r="BI289" s="78">
        <v>0</v>
      </c>
      <c r="BJ289" s="78">
        <v>0</v>
      </c>
      <c r="BK289" s="78">
        <v>0</v>
      </c>
      <c r="BL289" s="78">
        <v>0</v>
      </c>
      <c r="BM289" s="78">
        <v>165.39599999999999</v>
      </c>
      <c r="BN289" s="78">
        <v>30</v>
      </c>
      <c r="BO289" s="78">
        <v>21</v>
      </c>
      <c r="BP289" s="78">
        <v>4670.4799999999996</v>
      </c>
      <c r="BQ289" s="78">
        <v>1095.2</v>
      </c>
      <c r="BR289" s="78">
        <v>51.005578947368399</v>
      </c>
      <c r="BS289" s="78">
        <v>124</v>
      </c>
      <c r="BT289" s="78">
        <v>23.3333333333333</v>
      </c>
      <c r="BU289" s="78">
        <v>22</v>
      </c>
      <c r="BV289" s="78">
        <f t="shared" si="16"/>
        <v>749</v>
      </c>
      <c r="BW289" s="78">
        <v>342</v>
      </c>
      <c r="BX289" s="78">
        <v>2190.2734765762598</v>
      </c>
      <c r="BY289" s="402">
        <v>7.2999999999999995E-2</v>
      </c>
      <c r="BZ289" s="78">
        <v>11043</v>
      </c>
      <c r="CA289" s="78">
        <v>1959</v>
      </c>
      <c r="CB289" s="78">
        <v>302</v>
      </c>
      <c r="CC289" s="78">
        <v>322</v>
      </c>
      <c r="CD289" s="78">
        <v>292</v>
      </c>
      <c r="CE289" s="78">
        <v>161</v>
      </c>
      <c r="CF289" s="78">
        <v>111.122124163116</v>
      </c>
      <c r="CG289" s="78">
        <v>69.339409616555102</v>
      </c>
      <c r="CH289" s="78">
        <v>22.881010346926399</v>
      </c>
      <c r="CI289" s="78">
        <v>363.13670000000002</v>
      </c>
      <c r="CJ289" s="78">
        <v>226.59469999999999</v>
      </c>
      <c r="CK289" s="78">
        <v>74.772999999999996</v>
      </c>
      <c r="CL289" s="78">
        <v>224110</v>
      </c>
    </row>
    <row r="290" spans="1:90" customFormat="1" x14ac:dyDescent="0.35">
      <c r="A290" s="72">
        <v>1655</v>
      </c>
      <c r="B290" s="72" t="s">
        <v>128</v>
      </c>
      <c r="C290" s="72">
        <v>10</v>
      </c>
      <c r="D290" s="78">
        <v>2748800000</v>
      </c>
      <c r="E290" s="78">
        <v>567350000</v>
      </c>
      <c r="F290" s="78">
        <v>606200000</v>
      </c>
      <c r="G290" s="78">
        <v>30284</v>
      </c>
      <c r="H290" s="78">
        <v>5</v>
      </c>
      <c r="I290" s="78">
        <f t="shared" si="14"/>
        <v>606.20000000000005</v>
      </c>
      <c r="J290" s="78">
        <v>5417</v>
      </c>
      <c r="K290" s="78">
        <v>7173</v>
      </c>
      <c r="L290" s="78">
        <v>2320</v>
      </c>
      <c r="M290" s="78">
        <v>3739</v>
      </c>
      <c r="N290" s="78">
        <f t="shared" si="15"/>
        <v>2371.1999999999998</v>
      </c>
      <c r="O290" s="78">
        <v>432</v>
      </c>
      <c r="P290" s="78">
        <v>17</v>
      </c>
      <c r="Q290" s="78">
        <v>1897</v>
      </c>
      <c r="R290" s="78">
        <v>3773</v>
      </c>
      <c r="S290" s="78">
        <v>1715</v>
      </c>
      <c r="T290" s="78">
        <v>0</v>
      </c>
      <c r="U290" s="78">
        <v>857</v>
      </c>
      <c r="V290" s="78">
        <v>13564</v>
      </c>
      <c r="W290" s="78">
        <v>26040</v>
      </c>
      <c r="X290" s="78">
        <v>4850</v>
      </c>
      <c r="Y290" s="78">
        <v>0</v>
      </c>
      <c r="Z290" s="78">
        <v>969.6</v>
      </c>
      <c r="AA290" s="78">
        <v>0</v>
      </c>
      <c r="AB290" s="399">
        <v>0</v>
      </c>
      <c r="AC290" s="399">
        <v>0</v>
      </c>
      <c r="AD290" s="78">
        <v>7448</v>
      </c>
      <c r="AE290" s="78">
        <v>7448</v>
      </c>
      <c r="AF290" s="78">
        <v>74</v>
      </c>
      <c r="AG290" s="78">
        <v>0</v>
      </c>
      <c r="AH290" s="78">
        <v>191</v>
      </c>
      <c r="AI290" s="78">
        <v>101</v>
      </c>
      <c r="AJ290" s="78">
        <v>191</v>
      </c>
      <c r="AK290" s="78">
        <v>101</v>
      </c>
      <c r="AL290" s="78">
        <v>293</v>
      </c>
      <c r="AM290" s="78">
        <v>13678</v>
      </c>
      <c r="AN290" s="78">
        <v>13678</v>
      </c>
      <c r="AO290" s="78">
        <v>10</v>
      </c>
      <c r="AP290" s="78">
        <v>0</v>
      </c>
      <c r="AQ290" s="78">
        <v>0</v>
      </c>
      <c r="AR290" s="78">
        <v>0</v>
      </c>
      <c r="AS290" s="78">
        <v>1296</v>
      </c>
      <c r="AT290" s="78">
        <v>616</v>
      </c>
      <c r="AU290" s="400">
        <v>2.9650100000000001E-4</v>
      </c>
      <c r="AV290" s="400">
        <v>1.6897E-4</v>
      </c>
      <c r="AW290" s="78">
        <v>10326.89</v>
      </c>
      <c r="AX290" s="78">
        <v>0</v>
      </c>
      <c r="AY290" s="78">
        <v>977</v>
      </c>
      <c r="AZ290" s="78">
        <v>4142.8125498537602</v>
      </c>
      <c r="BA290" s="78">
        <v>9</v>
      </c>
      <c r="BB290" s="78">
        <v>9</v>
      </c>
      <c r="BC290" s="78">
        <v>3354</v>
      </c>
      <c r="BD290" s="78">
        <v>1</v>
      </c>
      <c r="BE290" s="78">
        <v>0</v>
      </c>
      <c r="BF290" s="78">
        <v>0</v>
      </c>
      <c r="BG290" s="78">
        <v>0</v>
      </c>
      <c r="BH290" s="78">
        <v>0</v>
      </c>
      <c r="BI290" s="78">
        <v>0</v>
      </c>
      <c r="BJ290" s="78">
        <v>0</v>
      </c>
      <c r="BK290" s="78">
        <v>0</v>
      </c>
      <c r="BL290" s="78">
        <v>0</v>
      </c>
      <c r="BM290" s="78">
        <v>612.12099999999998</v>
      </c>
      <c r="BN290" s="78">
        <v>125</v>
      </c>
      <c r="BO290" s="78">
        <v>127</v>
      </c>
      <c r="BP290" s="78">
        <v>9041.07</v>
      </c>
      <c r="BQ290" s="78">
        <v>2044.17</v>
      </c>
      <c r="BR290" s="78">
        <v>156.316240679462</v>
      </c>
      <c r="BS290" s="78">
        <v>339</v>
      </c>
      <c r="BT290" s="78">
        <v>136</v>
      </c>
      <c r="BU290" s="78">
        <v>121</v>
      </c>
      <c r="BV290" s="78">
        <f t="shared" si="16"/>
        <v>1465</v>
      </c>
      <c r="BW290" s="78">
        <v>302</v>
      </c>
      <c r="BX290" s="78">
        <v>6922.29212691263</v>
      </c>
      <c r="BY290" s="402">
        <v>0.80900000000000005</v>
      </c>
      <c r="BZ290" s="78">
        <v>23111</v>
      </c>
      <c r="CA290" s="78">
        <v>4079</v>
      </c>
      <c r="CB290" s="78">
        <v>774</v>
      </c>
      <c r="CC290" s="78">
        <v>682</v>
      </c>
      <c r="CD290" s="78">
        <v>683</v>
      </c>
      <c r="CE290" s="78">
        <v>327</v>
      </c>
      <c r="CF290" s="78">
        <v>421.261587951455</v>
      </c>
      <c r="CG290" s="78">
        <v>255.010615587074</v>
      </c>
      <c r="CH290" s="78">
        <v>79.224915923380607</v>
      </c>
      <c r="CI290" s="78">
        <v>1063.125</v>
      </c>
      <c r="CJ290" s="78">
        <v>643.5625</v>
      </c>
      <c r="CK290" s="78">
        <v>199.9375</v>
      </c>
      <c r="CL290" s="78">
        <v>8354</v>
      </c>
    </row>
    <row r="291" spans="1:90" customFormat="1" x14ac:dyDescent="0.35">
      <c r="A291" s="72">
        <v>1658</v>
      </c>
      <c r="B291" s="72" t="s">
        <v>140</v>
      </c>
      <c r="C291" s="72">
        <v>10</v>
      </c>
      <c r="D291" s="78">
        <v>1939200000</v>
      </c>
      <c r="E291" s="78">
        <v>237650000</v>
      </c>
      <c r="F291" s="78">
        <v>287350000</v>
      </c>
      <c r="G291" s="78">
        <v>16152</v>
      </c>
      <c r="H291" s="78">
        <v>2</v>
      </c>
      <c r="I291" s="78">
        <f t="shared" si="14"/>
        <v>287.35000000000002</v>
      </c>
      <c r="J291" s="78">
        <v>2863</v>
      </c>
      <c r="K291" s="78">
        <v>3952</v>
      </c>
      <c r="L291" s="78">
        <v>1305</v>
      </c>
      <c r="M291" s="78">
        <v>1587</v>
      </c>
      <c r="N291" s="78">
        <f t="shared" si="15"/>
        <v>866.09999999999991</v>
      </c>
      <c r="O291" s="78">
        <v>131.333333333333</v>
      </c>
      <c r="P291" s="78">
        <v>18</v>
      </c>
      <c r="Q291" s="78">
        <v>845.33333333333303</v>
      </c>
      <c r="R291" s="78">
        <v>1920</v>
      </c>
      <c r="S291" s="78">
        <v>260</v>
      </c>
      <c r="T291" s="78">
        <v>0</v>
      </c>
      <c r="U291" s="78">
        <v>347</v>
      </c>
      <c r="V291" s="78">
        <v>7159</v>
      </c>
      <c r="W291" s="78">
        <v>11490</v>
      </c>
      <c r="X291" s="78">
        <v>2110</v>
      </c>
      <c r="Y291" s="78">
        <v>2307.8200000000002</v>
      </c>
      <c r="Z291" s="78">
        <v>0</v>
      </c>
      <c r="AA291" s="78">
        <v>0</v>
      </c>
      <c r="AB291" s="399">
        <v>0</v>
      </c>
      <c r="AC291" s="399">
        <v>0</v>
      </c>
      <c r="AD291" s="78">
        <v>10394</v>
      </c>
      <c r="AE291" s="78">
        <v>10394</v>
      </c>
      <c r="AF291" s="78">
        <v>110</v>
      </c>
      <c r="AG291" s="78">
        <v>0</v>
      </c>
      <c r="AH291" s="78">
        <v>108</v>
      </c>
      <c r="AI291" s="78">
        <v>64</v>
      </c>
      <c r="AJ291" s="78">
        <v>108</v>
      </c>
      <c r="AK291" s="78">
        <v>64</v>
      </c>
      <c r="AL291" s="78">
        <v>172</v>
      </c>
      <c r="AM291" s="78">
        <v>7209</v>
      </c>
      <c r="AN291" s="78">
        <v>7209</v>
      </c>
      <c r="AO291" s="78">
        <v>0</v>
      </c>
      <c r="AP291" s="78">
        <v>0</v>
      </c>
      <c r="AQ291" s="78">
        <v>0</v>
      </c>
      <c r="AR291" s="78">
        <v>0</v>
      </c>
      <c r="AS291" s="78">
        <v>0</v>
      </c>
      <c r="AT291" s="78">
        <v>0</v>
      </c>
      <c r="AU291" s="400">
        <v>9.9848999999999999E-5</v>
      </c>
      <c r="AV291" s="400">
        <v>5.0760999999999997E-5</v>
      </c>
      <c r="AW291" s="78">
        <v>4195.6379999999999</v>
      </c>
      <c r="AX291" s="78">
        <v>0</v>
      </c>
      <c r="AY291" s="78">
        <v>1368</v>
      </c>
      <c r="AZ291" s="78">
        <v>2103.5734958111202</v>
      </c>
      <c r="BA291" s="78">
        <v>7</v>
      </c>
      <c r="BB291" s="78">
        <v>7</v>
      </c>
      <c r="BC291" s="78">
        <v>2171</v>
      </c>
      <c r="BD291" s="78">
        <v>1</v>
      </c>
      <c r="BE291" s="78">
        <v>0</v>
      </c>
      <c r="BF291" s="78">
        <v>0</v>
      </c>
      <c r="BG291" s="78">
        <v>0</v>
      </c>
      <c r="BH291" s="78">
        <v>0</v>
      </c>
      <c r="BI291" s="78">
        <v>0</v>
      </c>
      <c r="BJ291" s="78">
        <v>0</v>
      </c>
      <c r="BK291" s="78">
        <v>0</v>
      </c>
      <c r="BL291" s="78">
        <v>0</v>
      </c>
      <c r="BM291" s="78">
        <v>186.095</v>
      </c>
      <c r="BN291" s="78">
        <v>46</v>
      </c>
      <c r="BO291" s="78">
        <v>21</v>
      </c>
      <c r="BP291" s="78">
        <v>5500.71</v>
      </c>
      <c r="BQ291" s="78">
        <v>1246.5899999999999</v>
      </c>
      <c r="BR291" s="78">
        <v>66.961589614740404</v>
      </c>
      <c r="BS291" s="78">
        <v>140</v>
      </c>
      <c r="BT291" s="78">
        <v>28.3333333333333</v>
      </c>
      <c r="BU291" s="78">
        <v>21.6666666666667</v>
      </c>
      <c r="BV291" s="78">
        <f t="shared" si="16"/>
        <v>714</v>
      </c>
      <c r="BW291" s="78">
        <v>252</v>
      </c>
      <c r="BX291" s="78">
        <v>2663.3195088950101</v>
      </c>
      <c r="BY291" s="402">
        <v>0.08</v>
      </c>
      <c r="BZ291" s="78">
        <v>12200</v>
      </c>
      <c r="CA291" s="78">
        <v>2171</v>
      </c>
      <c r="CB291" s="78">
        <v>476</v>
      </c>
      <c r="CC291" s="78">
        <v>359</v>
      </c>
      <c r="CD291" s="78">
        <v>362</v>
      </c>
      <c r="CE291" s="78">
        <v>221</v>
      </c>
      <c r="CF291" s="78">
        <v>150.53728672492699</v>
      </c>
      <c r="CG291" s="78">
        <v>101.159134415314</v>
      </c>
      <c r="CH291" s="78">
        <v>39.0459841864336</v>
      </c>
      <c r="CI291" s="78">
        <v>399.83229999999998</v>
      </c>
      <c r="CJ291" s="78">
        <v>268.68220000000002</v>
      </c>
      <c r="CK291" s="78">
        <v>103.7075</v>
      </c>
      <c r="CL291" s="78">
        <v>191625</v>
      </c>
    </row>
    <row r="292" spans="1:90" customFormat="1" x14ac:dyDescent="0.35">
      <c r="A292" s="72">
        <v>794</v>
      </c>
      <c r="B292" s="72" t="s">
        <v>144</v>
      </c>
      <c r="C292" s="72">
        <v>10</v>
      </c>
      <c r="D292" s="78">
        <v>7588000000</v>
      </c>
      <c r="E292" s="78">
        <v>1469650000</v>
      </c>
      <c r="F292" s="78">
        <v>1482600000</v>
      </c>
      <c r="G292" s="78">
        <v>92423</v>
      </c>
      <c r="H292" s="78">
        <v>1</v>
      </c>
      <c r="I292" s="78">
        <f t="shared" si="14"/>
        <v>1482.6</v>
      </c>
      <c r="J292" s="78">
        <v>18754</v>
      </c>
      <c r="K292" s="78">
        <v>16052</v>
      </c>
      <c r="L292" s="78">
        <v>5061</v>
      </c>
      <c r="M292" s="78">
        <v>13809</v>
      </c>
      <c r="N292" s="78">
        <f t="shared" si="15"/>
        <v>9715.2999999999993</v>
      </c>
      <c r="O292" s="78">
        <v>2492.6666666666702</v>
      </c>
      <c r="P292" s="78">
        <v>240</v>
      </c>
      <c r="Q292" s="78">
        <v>8287.6666666666697</v>
      </c>
      <c r="R292" s="78">
        <v>14226</v>
      </c>
      <c r="S292" s="78">
        <v>8765</v>
      </c>
      <c r="T292" s="78">
        <v>0</v>
      </c>
      <c r="U292" s="78">
        <v>3337</v>
      </c>
      <c r="V292" s="78">
        <v>41674</v>
      </c>
      <c r="W292" s="78">
        <v>106570</v>
      </c>
      <c r="X292" s="78">
        <v>145880</v>
      </c>
      <c r="Y292" s="78">
        <v>3135.88</v>
      </c>
      <c r="Z292" s="78">
        <v>4098.3999999999996</v>
      </c>
      <c r="AA292" s="78">
        <v>0</v>
      </c>
      <c r="AB292" s="399">
        <v>0</v>
      </c>
      <c r="AC292" s="399">
        <v>0</v>
      </c>
      <c r="AD292" s="78">
        <v>5313</v>
      </c>
      <c r="AE292" s="78">
        <v>5313</v>
      </c>
      <c r="AF292" s="78">
        <v>162</v>
      </c>
      <c r="AG292" s="78">
        <v>0</v>
      </c>
      <c r="AH292" s="78">
        <v>503</v>
      </c>
      <c r="AI292" s="78">
        <v>85</v>
      </c>
      <c r="AJ292" s="78">
        <v>503</v>
      </c>
      <c r="AK292" s="78">
        <v>85</v>
      </c>
      <c r="AL292" s="78">
        <v>588</v>
      </c>
      <c r="AM292" s="78">
        <v>40937</v>
      </c>
      <c r="AN292" s="78">
        <v>40937</v>
      </c>
      <c r="AO292" s="78">
        <v>10</v>
      </c>
      <c r="AP292" s="78">
        <v>0</v>
      </c>
      <c r="AQ292" s="78">
        <v>0</v>
      </c>
      <c r="AR292" s="78">
        <v>0</v>
      </c>
      <c r="AS292" s="78">
        <v>4770</v>
      </c>
      <c r="AT292" s="78">
        <v>4770</v>
      </c>
      <c r="AU292" s="400">
        <v>1.2117849999999999E-3</v>
      </c>
      <c r="AV292" s="400">
        <v>1.999514E-3</v>
      </c>
      <c r="AW292" s="78">
        <v>72008.183000000005</v>
      </c>
      <c r="AX292" s="78">
        <v>0</v>
      </c>
      <c r="AY292" s="78">
        <v>1460</v>
      </c>
      <c r="AZ292" s="78">
        <v>24646.133333333299</v>
      </c>
      <c r="BA292" s="78">
        <v>1</v>
      </c>
      <c r="BB292" s="78">
        <v>1</v>
      </c>
      <c r="BC292" s="78">
        <v>8731</v>
      </c>
      <c r="BD292" s="78">
        <v>1</v>
      </c>
      <c r="BE292" s="78">
        <v>0</v>
      </c>
      <c r="BF292" s="78">
        <v>0</v>
      </c>
      <c r="BG292" s="78">
        <v>0</v>
      </c>
      <c r="BH292" s="78">
        <v>0</v>
      </c>
      <c r="BI292" s="78">
        <v>0</v>
      </c>
      <c r="BJ292" s="78">
        <v>0</v>
      </c>
      <c r="BK292" s="78">
        <v>0</v>
      </c>
      <c r="BL292" s="78">
        <v>0</v>
      </c>
      <c r="BM292" s="78">
        <v>2925.6239999999998</v>
      </c>
      <c r="BN292" s="78">
        <v>511</v>
      </c>
      <c r="BO292" s="78">
        <v>459</v>
      </c>
      <c r="BP292" s="78">
        <v>25056.97</v>
      </c>
      <c r="BQ292" s="78">
        <v>6096.72</v>
      </c>
      <c r="BR292" s="78">
        <v>823.683639257295</v>
      </c>
      <c r="BS292" s="78">
        <v>1321</v>
      </c>
      <c r="BT292" s="78">
        <v>729</v>
      </c>
      <c r="BU292" s="78">
        <v>618</v>
      </c>
      <c r="BV292" s="78">
        <f t="shared" si="16"/>
        <v>5795</v>
      </c>
      <c r="BW292" s="78">
        <v>1141</v>
      </c>
      <c r="BX292" s="78">
        <v>15601.8797338403</v>
      </c>
      <c r="BY292" s="402">
        <v>6.7889999999999997</v>
      </c>
      <c r="BZ292" s="78">
        <v>76371</v>
      </c>
      <c r="CA292" s="78">
        <v>9455</v>
      </c>
      <c r="CB292" s="78">
        <v>1536</v>
      </c>
      <c r="CC292" s="78">
        <v>2252</v>
      </c>
      <c r="CD292" s="78">
        <v>1781</v>
      </c>
      <c r="CE292" s="78">
        <v>851</v>
      </c>
      <c r="CF292" s="78">
        <v>1418.71811319833</v>
      </c>
      <c r="CG292" s="78">
        <v>830.86853702029896</v>
      </c>
      <c r="CH292" s="78">
        <v>267.46325084886502</v>
      </c>
      <c r="CI292" s="78">
        <v>3113.3424</v>
      </c>
      <c r="CJ292" s="78">
        <v>1823.3208</v>
      </c>
      <c r="CK292" s="78">
        <v>586.94159999999999</v>
      </c>
      <c r="CL292" s="78">
        <v>17521</v>
      </c>
    </row>
    <row r="293" spans="1:90" customFormat="1" x14ac:dyDescent="0.35">
      <c r="A293" s="72">
        <v>797</v>
      </c>
      <c r="B293" s="72" t="s">
        <v>149</v>
      </c>
      <c r="C293" s="72">
        <v>10</v>
      </c>
      <c r="D293" s="78">
        <v>4426400000</v>
      </c>
      <c r="E293" s="78">
        <v>534450000</v>
      </c>
      <c r="F293" s="78">
        <v>563850000</v>
      </c>
      <c r="G293" s="78">
        <v>44692</v>
      </c>
      <c r="H293" s="78">
        <v>2</v>
      </c>
      <c r="I293" s="78">
        <f t="shared" si="14"/>
        <v>563.85</v>
      </c>
      <c r="J293" s="78">
        <v>8531</v>
      </c>
      <c r="K293" s="78">
        <v>9268</v>
      </c>
      <c r="L293" s="78">
        <v>2949</v>
      </c>
      <c r="M293" s="78">
        <v>5093</v>
      </c>
      <c r="N293" s="78">
        <f t="shared" si="15"/>
        <v>3166.6</v>
      </c>
      <c r="O293" s="78">
        <v>504</v>
      </c>
      <c r="P293" s="78">
        <v>63</v>
      </c>
      <c r="Q293" s="78">
        <v>2525</v>
      </c>
      <c r="R293" s="78">
        <v>5594</v>
      </c>
      <c r="S293" s="78">
        <v>1950</v>
      </c>
      <c r="T293" s="78">
        <v>0</v>
      </c>
      <c r="U293" s="78">
        <v>1157</v>
      </c>
      <c r="V293" s="78">
        <v>19529</v>
      </c>
      <c r="W293" s="78">
        <v>45620</v>
      </c>
      <c r="X293" s="78">
        <v>32690</v>
      </c>
      <c r="Y293" s="78">
        <v>182.16</v>
      </c>
      <c r="Z293" s="78">
        <v>912.8</v>
      </c>
      <c r="AA293" s="78">
        <v>0</v>
      </c>
      <c r="AB293" s="399">
        <v>0</v>
      </c>
      <c r="AC293" s="399">
        <v>0</v>
      </c>
      <c r="AD293" s="78">
        <v>7880</v>
      </c>
      <c r="AE293" s="78">
        <v>7880</v>
      </c>
      <c r="AF293" s="78">
        <v>242</v>
      </c>
      <c r="AG293" s="78">
        <v>0</v>
      </c>
      <c r="AH293" s="78">
        <v>284</v>
      </c>
      <c r="AI293" s="78">
        <v>60</v>
      </c>
      <c r="AJ293" s="78">
        <v>284</v>
      </c>
      <c r="AK293" s="78">
        <v>60</v>
      </c>
      <c r="AL293" s="78">
        <v>343</v>
      </c>
      <c r="AM293" s="78">
        <v>19264</v>
      </c>
      <c r="AN293" s="78">
        <v>19264</v>
      </c>
      <c r="AO293" s="78">
        <v>16</v>
      </c>
      <c r="AP293" s="78">
        <v>0</v>
      </c>
      <c r="AQ293" s="78">
        <v>0</v>
      </c>
      <c r="AR293" s="78">
        <v>6900</v>
      </c>
      <c r="AS293" s="78">
        <v>1162</v>
      </c>
      <c r="AT293" s="78">
        <v>0</v>
      </c>
      <c r="AU293" s="400">
        <v>3.7964100000000001E-4</v>
      </c>
      <c r="AV293" s="400">
        <v>2.0282000000000001E-4</v>
      </c>
      <c r="AW293" s="78">
        <v>21036.288</v>
      </c>
      <c r="AX293" s="78">
        <v>0</v>
      </c>
      <c r="AY293" s="78">
        <v>1638</v>
      </c>
      <c r="AZ293" s="78">
        <v>9013.2351637527699</v>
      </c>
      <c r="BA293" s="78">
        <v>3</v>
      </c>
      <c r="BB293" s="78">
        <v>3</v>
      </c>
      <c r="BC293" s="78">
        <v>5359</v>
      </c>
      <c r="BD293" s="78">
        <v>1</v>
      </c>
      <c r="BE293" s="78">
        <v>0</v>
      </c>
      <c r="BF293" s="78">
        <v>0</v>
      </c>
      <c r="BG293" s="78">
        <v>0</v>
      </c>
      <c r="BH293" s="78">
        <v>0</v>
      </c>
      <c r="BI293" s="78">
        <v>0</v>
      </c>
      <c r="BJ293" s="78">
        <v>0</v>
      </c>
      <c r="BK293" s="78">
        <v>0</v>
      </c>
      <c r="BL293" s="78">
        <v>0</v>
      </c>
      <c r="BM293" s="78">
        <v>801.91399999999999</v>
      </c>
      <c r="BN293" s="78">
        <v>168</v>
      </c>
      <c r="BO293" s="78">
        <v>70</v>
      </c>
      <c r="BP293" s="78">
        <v>13557.45</v>
      </c>
      <c r="BQ293" s="78">
        <v>3364.2</v>
      </c>
      <c r="BR293" s="78">
        <v>296.01181062553599</v>
      </c>
      <c r="BS293" s="78">
        <v>480</v>
      </c>
      <c r="BT293" s="78">
        <v>140.666666666667</v>
      </c>
      <c r="BU293" s="78">
        <v>117</v>
      </c>
      <c r="BV293" s="78">
        <f t="shared" si="16"/>
        <v>2021</v>
      </c>
      <c r="BW293" s="78">
        <v>457</v>
      </c>
      <c r="BX293" s="78">
        <v>7645.0812643027102</v>
      </c>
      <c r="BY293" s="402">
        <v>0.55000000000000004</v>
      </c>
      <c r="BZ293" s="78">
        <v>35424</v>
      </c>
      <c r="CA293" s="78">
        <v>5364</v>
      </c>
      <c r="CB293" s="78">
        <v>955</v>
      </c>
      <c r="CC293" s="78">
        <v>959</v>
      </c>
      <c r="CD293" s="78">
        <v>937</v>
      </c>
      <c r="CE293" s="78">
        <v>482</v>
      </c>
      <c r="CF293" s="78">
        <v>524.86263496677702</v>
      </c>
      <c r="CG293" s="78">
        <v>324.97758513289</v>
      </c>
      <c r="CH293" s="78">
        <v>105.860174418605</v>
      </c>
      <c r="CI293" s="78">
        <v>1325.095</v>
      </c>
      <c r="CJ293" s="78">
        <v>820.45500000000004</v>
      </c>
      <c r="CK293" s="78">
        <v>267.26</v>
      </c>
      <c r="CL293" s="78">
        <v>1144</v>
      </c>
    </row>
    <row r="294" spans="1:90" customFormat="1" x14ac:dyDescent="0.35">
      <c r="A294" s="72">
        <v>798</v>
      </c>
      <c r="B294" s="72" t="s">
        <v>151</v>
      </c>
      <c r="C294" s="72">
        <v>10</v>
      </c>
      <c r="D294" s="78">
        <v>1707600000</v>
      </c>
      <c r="E294" s="78">
        <v>259700000</v>
      </c>
      <c r="F294" s="78">
        <v>304850000</v>
      </c>
      <c r="G294" s="78">
        <v>15518</v>
      </c>
      <c r="H294" s="78">
        <v>2</v>
      </c>
      <c r="I294" s="78">
        <f t="shared" si="14"/>
        <v>304.85000000000002</v>
      </c>
      <c r="J294" s="78">
        <v>2885</v>
      </c>
      <c r="K294" s="78">
        <v>3524</v>
      </c>
      <c r="L294" s="78">
        <v>1220</v>
      </c>
      <c r="M294" s="78">
        <v>1600</v>
      </c>
      <c r="N294" s="78">
        <f t="shared" si="15"/>
        <v>869.9</v>
      </c>
      <c r="O294" s="78">
        <v>108.333333333333</v>
      </c>
      <c r="P294" s="78">
        <v>13</v>
      </c>
      <c r="Q294" s="78">
        <v>690.33333333333303</v>
      </c>
      <c r="R294" s="78">
        <v>1847</v>
      </c>
      <c r="S294" s="78">
        <v>185</v>
      </c>
      <c r="T294" s="78">
        <v>0</v>
      </c>
      <c r="U294" s="78">
        <v>319</v>
      </c>
      <c r="V294" s="78">
        <v>6715</v>
      </c>
      <c r="W294" s="78">
        <v>11910</v>
      </c>
      <c r="X294" s="78">
        <v>1630</v>
      </c>
      <c r="Y294" s="78">
        <v>0</v>
      </c>
      <c r="Z294" s="78">
        <v>0</v>
      </c>
      <c r="AA294" s="78">
        <v>0</v>
      </c>
      <c r="AB294" s="399">
        <v>0</v>
      </c>
      <c r="AC294" s="399">
        <v>0</v>
      </c>
      <c r="AD294" s="78">
        <v>9483</v>
      </c>
      <c r="AE294" s="78">
        <v>9483</v>
      </c>
      <c r="AF294" s="78">
        <v>168</v>
      </c>
      <c r="AG294" s="78">
        <v>0</v>
      </c>
      <c r="AH294" s="78">
        <v>105</v>
      </c>
      <c r="AI294" s="78">
        <v>94</v>
      </c>
      <c r="AJ294" s="78">
        <v>105</v>
      </c>
      <c r="AK294" s="78">
        <v>94</v>
      </c>
      <c r="AL294" s="78">
        <v>199</v>
      </c>
      <c r="AM294" s="78">
        <v>7301</v>
      </c>
      <c r="AN294" s="78">
        <v>7301</v>
      </c>
      <c r="AO294" s="78">
        <v>0</v>
      </c>
      <c r="AP294" s="78">
        <v>0</v>
      </c>
      <c r="AQ294" s="78">
        <v>0</v>
      </c>
      <c r="AR294" s="78">
        <v>0</v>
      </c>
      <c r="AS294" s="78">
        <v>0</v>
      </c>
      <c r="AT294" s="78">
        <v>0</v>
      </c>
      <c r="AU294" s="400">
        <v>1.2509899999999999E-4</v>
      </c>
      <c r="AV294" s="400">
        <v>4.1677000000000001E-5</v>
      </c>
      <c r="AW294" s="78">
        <v>4271.085</v>
      </c>
      <c r="AX294" s="78">
        <v>0</v>
      </c>
      <c r="AY294" s="78">
        <v>1177</v>
      </c>
      <c r="AZ294" s="78">
        <v>1892.5174593306399</v>
      </c>
      <c r="BA294" s="78">
        <v>9</v>
      </c>
      <c r="BB294" s="78">
        <v>9</v>
      </c>
      <c r="BC294" s="78">
        <v>2118</v>
      </c>
      <c r="BD294" s="78">
        <v>1</v>
      </c>
      <c r="BE294" s="78">
        <v>0</v>
      </c>
      <c r="BF294" s="78">
        <v>0</v>
      </c>
      <c r="BG294" s="78">
        <v>0</v>
      </c>
      <c r="BH294" s="78">
        <v>0</v>
      </c>
      <c r="BI294" s="78">
        <v>0</v>
      </c>
      <c r="BJ294" s="78">
        <v>0</v>
      </c>
      <c r="BK294" s="78">
        <v>0</v>
      </c>
      <c r="BL294" s="78">
        <v>0</v>
      </c>
      <c r="BM294" s="78">
        <v>187.52500000000001</v>
      </c>
      <c r="BN294" s="78">
        <v>19</v>
      </c>
      <c r="BO294" s="78">
        <v>39</v>
      </c>
      <c r="BP294" s="78">
        <v>4970.3999999999996</v>
      </c>
      <c r="BQ294" s="78">
        <v>1146.26</v>
      </c>
      <c r="BR294" s="78">
        <v>61.316408450704202</v>
      </c>
      <c r="BS294" s="78">
        <v>122</v>
      </c>
      <c r="BT294" s="78">
        <v>37.3333333333333</v>
      </c>
      <c r="BU294" s="78">
        <v>20.3333333333333</v>
      </c>
      <c r="BV294" s="78">
        <f t="shared" si="16"/>
        <v>582</v>
      </c>
      <c r="BW294" s="78">
        <v>153</v>
      </c>
      <c r="BX294" s="78">
        <v>2581.5297091430798</v>
      </c>
      <c r="BY294" s="402">
        <v>7.8E-2</v>
      </c>
      <c r="BZ294" s="78">
        <v>11994</v>
      </c>
      <c r="CA294" s="78">
        <v>1973</v>
      </c>
      <c r="CB294" s="78">
        <v>331</v>
      </c>
      <c r="CC294" s="78">
        <v>353</v>
      </c>
      <c r="CD294" s="78">
        <v>385</v>
      </c>
      <c r="CE294" s="78">
        <v>153</v>
      </c>
      <c r="CF294" s="78">
        <v>138.68834406245699</v>
      </c>
      <c r="CG294" s="78">
        <v>95.318449527461993</v>
      </c>
      <c r="CH294" s="78">
        <v>24.6636488152308</v>
      </c>
      <c r="CI294" s="78">
        <v>434.05560000000003</v>
      </c>
      <c r="CJ294" s="78">
        <v>298.32</v>
      </c>
      <c r="CK294" s="78">
        <v>77.190299999999993</v>
      </c>
      <c r="CL294" s="78">
        <v>8760</v>
      </c>
    </row>
    <row r="295" spans="1:90" customFormat="1" x14ac:dyDescent="0.35">
      <c r="A295" s="72">
        <v>1659</v>
      </c>
      <c r="B295" s="72" t="s">
        <v>171</v>
      </c>
      <c r="C295" s="72">
        <v>10</v>
      </c>
      <c r="D295" s="78">
        <v>2215600000</v>
      </c>
      <c r="E295" s="78">
        <v>321300000</v>
      </c>
      <c r="F295" s="78">
        <v>353850000</v>
      </c>
      <c r="G295" s="78">
        <v>22523</v>
      </c>
      <c r="H295" s="78">
        <v>4</v>
      </c>
      <c r="I295" s="78">
        <f t="shared" si="14"/>
        <v>353.85</v>
      </c>
      <c r="J295" s="78">
        <v>4232</v>
      </c>
      <c r="K295" s="78">
        <v>5023</v>
      </c>
      <c r="L295" s="78">
        <v>1595</v>
      </c>
      <c r="M295" s="78">
        <v>2621</v>
      </c>
      <c r="N295" s="78">
        <f t="shared" si="15"/>
        <v>1665.3</v>
      </c>
      <c r="O295" s="78">
        <v>230</v>
      </c>
      <c r="P295" s="78">
        <v>27</v>
      </c>
      <c r="Q295" s="78">
        <v>1300</v>
      </c>
      <c r="R295" s="78">
        <v>2675</v>
      </c>
      <c r="S295" s="78">
        <v>330</v>
      </c>
      <c r="T295" s="78">
        <v>0</v>
      </c>
      <c r="U295" s="78">
        <v>531</v>
      </c>
      <c r="V295" s="78">
        <v>9755</v>
      </c>
      <c r="W295" s="78">
        <v>16560</v>
      </c>
      <c r="X295" s="78">
        <v>3380</v>
      </c>
      <c r="Y295" s="78">
        <v>0</v>
      </c>
      <c r="Z295" s="78">
        <v>429.6</v>
      </c>
      <c r="AA295" s="78">
        <v>0</v>
      </c>
      <c r="AB295" s="399">
        <v>0</v>
      </c>
      <c r="AC295" s="399">
        <v>112.39999999999998</v>
      </c>
      <c r="AD295" s="78">
        <v>5535</v>
      </c>
      <c r="AE295" s="78">
        <v>5535</v>
      </c>
      <c r="AF295" s="78">
        <v>82</v>
      </c>
      <c r="AG295" s="78">
        <v>0</v>
      </c>
      <c r="AH295" s="78">
        <v>143</v>
      </c>
      <c r="AI295" s="78">
        <v>87</v>
      </c>
      <c r="AJ295" s="78">
        <v>143</v>
      </c>
      <c r="AK295" s="78">
        <v>87</v>
      </c>
      <c r="AL295" s="78">
        <v>230</v>
      </c>
      <c r="AM295" s="78">
        <v>9557</v>
      </c>
      <c r="AN295" s="78">
        <v>9557</v>
      </c>
      <c r="AO295" s="78">
        <v>0</v>
      </c>
      <c r="AP295" s="78">
        <v>0</v>
      </c>
      <c r="AQ295" s="78">
        <v>0</v>
      </c>
      <c r="AR295" s="78">
        <v>0</v>
      </c>
      <c r="AS295" s="78">
        <v>0</v>
      </c>
      <c r="AT295" s="78">
        <v>0</v>
      </c>
      <c r="AU295" s="400">
        <v>1.6757E-4</v>
      </c>
      <c r="AV295" s="400">
        <v>8.5952999999999995E-5</v>
      </c>
      <c r="AW295" s="78">
        <v>6040.0240000000003</v>
      </c>
      <c r="AX295" s="78">
        <v>0</v>
      </c>
      <c r="AY295" s="78">
        <v>1220</v>
      </c>
      <c r="AZ295" s="78">
        <v>4891.9458785828701</v>
      </c>
      <c r="BA295" s="78">
        <v>7</v>
      </c>
      <c r="BB295" s="78">
        <v>7</v>
      </c>
      <c r="BC295" s="78">
        <v>2566</v>
      </c>
      <c r="BD295" s="78">
        <v>1</v>
      </c>
      <c r="BE295" s="78">
        <v>0</v>
      </c>
      <c r="BF295" s="78">
        <v>0</v>
      </c>
      <c r="BG295" s="78">
        <v>0</v>
      </c>
      <c r="BH295" s="78">
        <v>0</v>
      </c>
      <c r="BI295" s="78">
        <v>0</v>
      </c>
      <c r="BJ295" s="78">
        <v>0</v>
      </c>
      <c r="BK295" s="78">
        <v>0</v>
      </c>
      <c r="BL295" s="78">
        <v>0</v>
      </c>
      <c r="BM295" s="78">
        <v>368.18400000000003</v>
      </c>
      <c r="BN295" s="78">
        <v>60</v>
      </c>
      <c r="BO295" s="78">
        <v>37</v>
      </c>
      <c r="BP295" s="78">
        <v>6549.48</v>
      </c>
      <c r="BQ295" s="78">
        <v>1547.7</v>
      </c>
      <c r="BR295" s="78">
        <v>116.38905563480699</v>
      </c>
      <c r="BS295" s="78">
        <v>219</v>
      </c>
      <c r="BT295" s="78">
        <v>75</v>
      </c>
      <c r="BU295" s="78">
        <v>53.3333333333333</v>
      </c>
      <c r="BV295" s="78">
        <f t="shared" si="16"/>
        <v>1070</v>
      </c>
      <c r="BW295" s="78">
        <v>245</v>
      </c>
      <c r="BX295" s="78">
        <v>3968.5177056374</v>
      </c>
      <c r="BY295" s="402">
        <v>0.123</v>
      </c>
      <c r="BZ295" s="78">
        <v>17500</v>
      </c>
      <c r="CA295" s="78">
        <v>2913</v>
      </c>
      <c r="CB295" s="78">
        <v>515</v>
      </c>
      <c r="CC295" s="78">
        <v>489</v>
      </c>
      <c r="CD295" s="78">
        <v>517</v>
      </c>
      <c r="CE295" s="78">
        <v>245</v>
      </c>
      <c r="CF295" s="78">
        <v>299.53444595584398</v>
      </c>
      <c r="CG295" s="78">
        <v>185.05269436015499</v>
      </c>
      <c r="CH295" s="78">
        <v>58.199246625510099</v>
      </c>
      <c r="CI295" s="78">
        <v>758.76660000000004</v>
      </c>
      <c r="CJ295" s="78">
        <v>468.76679999999999</v>
      </c>
      <c r="CK295" s="78">
        <v>147.42760000000001</v>
      </c>
      <c r="CL295" s="78">
        <v>0</v>
      </c>
    </row>
    <row r="296" spans="1:90" customFormat="1" x14ac:dyDescent="0.35">
      <c r="A296" s="72">
        <v>1685</v>
      </c>
      <c r="B296" s="72" t="s">
        <v>172</v>
      </c>
      <c r="C296" s="72">
        <v>10</v>
      </c>
      <c r="D296" s="78">
        <v>1629600000</v>
      </c>
      <c r="E296" s="78">
        <v>195650000</v>
      </c>
      <c r="F296" s="78">
        <v>227500000</v>
      </c>
      <c r="G296" s="78">
        <v>15730</v>
      </c>
      <c r="H296" s="78">
        <v>3</v>
      </c>
      <c r="I296" s="78">
        <f t="shared" si="14"/>
        <v>227.5</v>
      </c>
      <c r="J296" s="78">
        <v>3000</v>
      </c>
      <c r="K296" s="78">
        <v>3458</v>
      </c>
      <c r="L296" s="78">
        <v>1070</v>
      </c>
      <c r="M296" s="78">
        <v>1596</v>
      </c>
      <c r="N296" s="78">
        <f t="shared" si="15"/>
        <v>920.59999999999991</v>
      </c>
      <c r="O296" s="78">
        <v>143</v>
      </c>
      <c r="P296" s="78">
        <v>22</v>
      </c>
      <c r="Q296" s="78">
        <v>908</v>
      </c>
      <c r="R296" s="78">
        <v>1771</v>
      </c>
      <c r="S296" s="78">
        <v>200</v>
      </c>
      <c r="T296" s="78">
        <v>0</v>
      </c>
      <c r="U296" s="78">
        <v>337</v>
      </c>
      <c r="V296" s="78">
        <v>6689</v>
      </c>
      <c r="W296" s="78">
        <v>12340</v>
      </c>
      <c r="X296" s="78">
        <v>1940</v>
      </c>
      <c r="Y296" s="78">
        <v>532.84</v>
      </c>
      <c r="Z296" s="78">
        <v>0</v>
      </c>
      <c r="AA296" s="78">
        <v>0</v>
      </c>
      <c r="AB296" s="399">
        <v>0</v>
      </c>
      <c r="AC296" s="399">
        <v>0</v>
      </c>
      <c r="AD296" s="78">
        <v>7036</v>
      </c>
      <c r="AE296" s="78">
        <v>7036</v>
      </c>
      <c r="AF296" s="78">
        <v>35</v>
      </c>
      <c r="AG296" s="78">
        <v>0</v>
      </c>
      <c r="AH296" s="78">
        <v>104</v>
      </c>
      <c r="AI296" s="78">
        <v>85</v>
      </c>
      <c r="AJ296" s="78">
        <v>104</v>
      </c>
      <c r="AK296" s="78">
        <v>85</v>
      </c>
      <c r="AL296" s="78">
        <v>189</v>
      </c>
      <c r="AM296" s="78">
        <v>6754</v>
      </c>
      <c r="AN296" s="78">
        <v>6754</v>
      </c>
      <c r="AO296" s="78">
        <v>0</v>
      </c>
      <c r="AP296" s="78">
        <v>0</v>
      </c>
      <c r="AQ296" s="78">
        <v>0</v>
      </c>
      <c r="AR296" s="78">
        <v>0</v>
      </c>
      <c r="AS296" s="78">
        <v>0</v>
      </c>
      <c r="AT296" s="78">
        <v>0</v>
      </c>
      <c r="AU296" s="400">
        <v>1.0674400000000001E-4</v>
      </c>
      <c r="AV296" s="400">
        <v>4.6297000000000001E-5</v>
      </c>
      <c r="AW296" s="78">
        <v>3275.69</v>
      </c>
      <c r="AX296" s="78">
        <v>0</v>
      </c>
      <c r="AY296" s="78">
        <v>490</v>
      </c>
      <c r="AZ296" s="78">
        <v>1090.0438410408699</v>
      </c>
      <c r="BA296" s="78">
        <v>6</v>
      </c>
      <c r="BB296" s="78">
        <v>6</v>
      </c>
      <c r="BC296" s="78">
        <v>1909</v>
      </c>
      <c r="BD296" s="78">
        <v>1</v>
      </c>
      <c r="BE296" s="78">
        <v>0</v>
      </c>
      <c r="BF296" s="78">
        <v>0</v>
      </c>
      <c r="BG296" s="78">
        <v>0</v>
      </c>
      <c r="BH296" s="78">
        <v>0</v>
      </c>
      <c r="BI296" s="78">
        <v>0</v>
      </c>
      <c r="BJ296" s="78">
        <v>0</v>
      </c>
      <c r="BK296" s="78">
        <v>0</v>
      </c>
      <c r="BL296" s="78">
        <v>0</v>
      </c>
      <c r="BM296" s="78">
        <v>219</v>
      </c>
      <c r="BN296" s="78">
        <v>27</v>
      </c>
      <c r="BO296" s="78">
        <v>21</v>
      </c>
      <c r="BP296" s="78">
        <v>4416</v>
      </c>
      <c r="BQ296" s="78">
        <v>1131.8399999999999</v>
      </c>
      <c r="BR296" s="78">
        <v>103.11977030352701</v>
      </c>
      <c r="BS296" s="78">
        <v>149</v>
      </c>
      <c r="BT296" s="78">
        <v>47</v>
      </c>
      <c r="BU296" s="78">
        <v>28.6666666666667</v>
      </c>
      <c r="BV296" s="78">
        <f t="shared" si="16"/>
        <v>765</v>
      </c>
      <c r="BW296" s="78">
        <v>190</v>
      </c>
      <c r="BX296" s="78">
        <v>2585.5586064782001</v>
      </c>
      <c r="BY296" s="402">
        <v>0.11600000000000001</v>
      </c>
      <c r="BZ296" s="78">
        <v>12272</v>
      </c>
      <c r="CA296" s="78">
        <v>2039</v>
      </c>
      <c r="CB296" s="78">
        <v>349</v>
      </c>
      <c r="CC296" s="78">
        <v>358</v>
      </c>
      <c r="CD296" s="78">
        <v>308</v>
      </c>
      <c r="CE296" s="78">
        <v>169</v>
      </c>
      <c r="CF296" s="78">
        <v>160.02137992300899</v>
      </c>
      <c r="CG296" s="78">
        <v>92.005478235119895</v>
      </c>
      <c r="CH296" s="78">
        <v>29.441753035238399</v>
      </c>
      <c r="CI296" s="78">
        <v>509.16379999999998</v>
      </c>
      <c r="CJ296" s="78">
        <v>292.7475</v>
      </c>
      <c r="CK296" s="78">
        <v>93.679199999999994</v>
      </c>
      <c r="CL296" s="78">
        <v>17464</v>
      </c>
    </row>
    <row r="297" spans="1:90" customFormat="1" x14ac:dyDescent="0.35">
      <c r="A297" s="72">
        <v>809</v>
      </c>
      <c r="B297" s="72" t="s">
        <v>188</v>
      </c>
      <c r="C297" s="72">
        <v>10</v>
      </c>
      <c r="D297" s="78">
        <v>2192800000</v>
      </c>
      <c r="E297" s="78">
        <v>355250000</v>
      </c>
      <c r="F297" s="78">
        <v>379400000</v>
      </c>
      <c r="G297" s="78">
        <v>23408</v>
      </c>
      <c r="H297" s="78">
        <v>2</v>
      </c>
      <c r="I297" s="78">
        <f t="shared" si="14"/>
        <v>379.4</v>
      </c>
      <c r="J297" s="78">
        <v>4272</v>
      </c>
      <c r="K297" s="78">
        <v>5277</v>
      </c>
      <c r="L297" s="78">
        <v>1685</v>
      </c>
      <c r="M297" s="78">
        <v>2910</v>
      </c>
      <c r="N297" s="78">
        <f t="shared" si="15"/>
        <v>1836.3999999999999</v>
      </c>
      <c r="O297" s="78">
        <v>236.666666666667</v>
      </c>
      <c r="P297" s="78">
        <v>35</v>
      </c>
      <c r="Q297" s="78">
        <v>1374.6666666666699</v>
      </c>
      <c r="R297" s="78">
        <v>2998</v>
      </c>
      <c r="S297" s="78">
        <v>605</v>
      </c>
      <c r="T297" s="78">
        <v>0</v>
      </c>
      <c r="U297" s="78">
        <v>637</v>
      </c>
      <c r="V297" s="78">
        <v>10412</v>
      </c>
      <c r="W297" s="78">
        <v>18490</v>
      </c>
      <c r="X297" s="78">
        <v>5100</v>
      </c>
      <c r="Y297" s="78">
        <v>0</v>
      </c>
      <c r="Z297" s="78">
        <v>267.2</v>
      </c>
      <c r="AA297" s="78">
        <v>0</v>
      </c>
      <c r="AB297" s="399">
        <v>0</v>
      </c>
      <c r="AC297" s="399">
        <v>0</v>
      </c>
      <c r="AD297" s="78">
        <v>4991</v>
      </c>
      <c r="AE297" s="78">
        <v>4991</v>
      </c>
      <c r="AF297" s="78">
        <v>80</v>
      </c>
      <c r="AG297" s="78">
        <v>0</v>
      </c>
      <c r="AH297" s="78">
        <v>135</v>
      </c>
      <c r="AI297" s="78">
        <v>37</v>
      </c>
      <c r="AJ297" s="78">
        <v>135</v>
      </c>
      <c r="AK297" s="78">
        <v>37</v>
      </c>
      <c r="AL297" s="78">
        <v>172</v>
      </c>
      <c r="AM297" s="78">
        <v>10736</v>
      </c>
      <c r="AN297" s="78">
        <v>10736</v>
      </c>
      <c r="AO297" s="78">
        <v>0</v>
      </c>
      <c r="AP297" s="78">
        <v>0</v>
      </c>
      <c r="AQ297" s="78">
        <v>0</v>
      </c>
      <c r="AR297" s="78">
        <v>0</v>
      </c>
      <c r="AS297" s="78">
        <v>1032</v>
      </c>
      <c r="AT297" s="78">
        <v>0</v>
      </c>
      <c r="AU297" s="400">
        <v>1.93668E-4</v>
      </c>
      <c r="AV297" s="400">
        <v>1.16977E-4</v>
      </c>
      <c r="AW297" s="78">
        <v>11466.048000000001</v>
      </c>
      <c r="AX297" s="78">
        <v>0</v>
      </c>
      <c r="AY297" s="78">
        <v>520</v>
      </c>
      <c r="AZ297" s="78">
        <v>2400.3470715835101</v>
      </c>
      <c r="BA297" s="78">
        <v>6</v>
      </c>
      <c r="BB297" s="78">
        <v>6</v>
      </c>
      <c r="BC297" s="78">
        <v>2606</v>
      </c>
      <c r="BD297" s="78">
        <v>1</v>
      </c>
      <c r="BE297" s="78">
        <v>0</v>
      </c>
      <c r="BF297" s="78">
        <v>0</v>
      </c>
      <c r="BG297" s="78">
        <v>0</v>
      </c>
      <c r="BH297" s="78">
        <v>0</v>
      </c>
      <c r="BI297" s="78">
        <v>0</v>
      </c>
      <c r="BJ297" s="78">
        <v>0</v>
      </c>
      <c r="BK297" s="78">
        <v>0</v>
      </c>
      <c r="BL297" s="78">
        <v>0</v>
      </c>
      <c r="BM297" s="78">
        <v>354.57600000000002</v>
      </c>
      <c r="BN297" s="78">
        <v>86</v>
      </c>
      <c r="BO297" s="78">
        <v>48</v>
      </c>
      <c r="BP297" s="78">
        <v>6987.63</v>
      </c>
      <c r="BQ297" s="78">
        <v>1613.3</v>
      </c>
      <c r="BR297" s="78">
        <v>231.305341040462</v>
      </c>
      <c r="BS297" s="78">
        <v>242</v>
      </c>
      <c r="BT297" s="78">
        <v>75.6666666666667</v>
      </c>
      <c r="BU297" s="78">
        <v>77.3333333333333</v>
      </c>
      <c r="BV297" s="78">
        <f t="shared" si="16"/>
        <v>1138.000000000003</v>
      </c>
      <c r="BW297" s="78">
        <v>234</v>
      </c>
      <c r="BX297" s="78">
        <v>5035.1835246709798</v>
      </c>
      <c r="BY297" s="402">
        <v>0.14799999999999999</v>
      </c>
      <c r="BZ297" s="78">
        <v>18131</v>
      </c>
      <c r="CA297" s="78">
        <v>2992</v>
      </c>
      <c r="CB297" s="78">
        <v>600</v>
      </c>
      <c r="CC297" s="78">
        <v>545</v>
      </c>
      <c r="CD297" s="78">
        <v>554</v>
      </c>
      <c r="CE297" s="78">
        <v>312</v>
      </c>
      <c r="CF297" s="78">
        <v>307.37805514157998</v>
      </c>
      <c r="CG297" s="78">
        <v>194.997764530551</v>
      </c>
      <c r="CH297" s="78">
        <v>67.565014903129693</v>
      </c>
      <c r="CI297" s="78">
        <v>779.35889999999995</v>
      </c>
      <c r="CJ297" s="78">
        <v>494.41800000000001</v>
      </c>
      <c r="CK297" s="78">
        <v>171.3115</v>
      </c>
      <c r="CL297" s="78">
        <v>14600</v>
      </c>
    </row>
    <row r="298" spans="1:90" customFormat="1" x14ac:dyDescent="0.35">
      <c r="A298" s="72">
        <v>1948</v>
      </c>
      <c r="B298" s="72" t="s">
        <v>198</v>
      </c>
      <c r="C298" s="72">
        <v>10</v>
      </c>
      <c r="D298" s="78">
        <v>7753200000</v>
      </c>
      <c r="E298" s="78">
        <v>1529150000</v>
      </c>
      <c r="F298" s="78">
        <v>1688050000</v>
      </c>
      <c r="G298" s="78">
        <v>81194</v>
      </c>
      <c r="H298" s="78">
        <v>6</v>
      </c>
      <c r="I298" s="78">
        <f t="shared" si="14"/>
        <v>1688.05</v>
      </c>
      <c r="J298" s="78">
        <v>15492</v>
      </c>
      <c r="K298" s="78">
        <v>16906</v>
      </c>
      <c r="L298" s="78">
        <v>5361</v>
      </c>
      <c r="M298" s="78">
        <v>9241</v>
      </c>
      <c r="N298" s="78">
        <f t="shared" si="15"/>
        <v>5741.6</v>
      </c>
      <c r="O298" s="78">
        <v>844</v>
      </c>
      <c r="P298" s="78">
        <v>148</v>
      </c>
      <c r="Q298" s="78">
        <v>5181</v>
      </c>
      <c r="R298" s="78">
        <v>10430</v>
      </c>
      <c r="S298" s="78">
        <v>3470</v>
      </c>
      <c r="T298" s="78">
        <v>0</v>
      </c>
      <c r="U298" s="78">
        <v>2225</v>
      </c>
      <c r="V298" s="78">
        <v>35528</v>
      </c>
      <c r="W298" s="78">
        <v>76970</v>
      </c>
      <c r="X298" s="78">
        <v>46870</v>
      </c>
      <c r="Y298" s="78">
        <v>1743.02</v>
      </c>
      <c r="Z298" s="78">
        <v>3350.4</v>
      </c>
      <c r="AA298" s="78">
        <v>0</v>
      </c>
      <c r="AB298" s="399">
        <v>0</v>
      </c>
      <c r="AC298" s="399">
        <v>0</v>
      </c>
      <c r="AD298" s="78">
        <v>18401</v>
      </c>
      <c r="AE298" s="78">
        <v>18401</v>
      </c>
      <c r="AF298" s="78">
        <v>151</v>
      </c>
      <c r="AG298" s="78">
        <v>0</v>
      </c>
      <c r="AH298" s="78">
        <v>528</v>
      </c>
      <c r="AI298" s="78">
        <v>339</v>
      </c>
      <c r="AJ298" s="78">
        <v>528</v>
      </c>
      <c r="AK298" s="78">
        <v>339</v>
      </c>
      <c r="AL298" s="78">
        <v>868</v>
      </c>
      <c r="AM298" s="78">
        <v>34994</v>
      </c>
      <c r="AN298" s="78">
        <v>34994</v>
      </c>
      <c r="AO298" s="78">
        <v>0</v>
      </c>
      <c r="AP298" s="78">
        <v>0</v>
      </c>
      <c r="AQ298" s="78">
        <v>0</v>
      </c>
      <c r="AR298" s="78">
        <v>0</v>
      </c>
      <c r="AS298" s="78">
        <v>1732</v>
      </c>
      <c r="AT298" s="78">
        <v>0</v>
      </c>
      <c r="AU298" s="400">
        <v>4.7864099999999997E-4</v>
      </c>
      <c r="AV298" s="400">
        <v>3.5838999999999999E-4</v>
      </c>
      <c r="AW298" s="78">
        <v>34644.06</v>
      </c>
      <c r="AX298" s="78">
        <v>0</v>
      </c>
      <c r="AY298" s="78">
        <v>2896</v>
      </c>
      <c r="AZ298" s="78">
        <v>12674.526951272101</v>
      </c>
      <c r="BA298" s="78">
        <v>19</v>
      </c>
      <c r="BB298" s="78">
        <v>19</v>
      </c>
      <c r="BC298" s="78">
        <v>9924</v>
      </c>
      <c r="BD298" s="78">
        <v>1</v>
      </c>
      <c r="BE298" s="78">
        <v>0</v>
      </c>
      <c r="BF298" s="78">
        <v>0</v>
      </c>
      <c r="BG298" s="78">
        <v>0</v>
      </c>
      <c r="BH298" s="78">
        <v>0</v>
      </c>
      <c r="BI298" s="78">
        <v>0</v>
      </c>
      <c r="BJ298" s="78">
        <v>0</v>
      </c>
      <c r="BK298" s="78">
        <v>0</v>
      </c>
      <c r="BL298" s="78">
        <v>0</v>
      </c>
      <c r="BM298" s="78">
        <v>1425.2639999999999</v>
      </c>
      <c r="BN298" s="78">
        <v>177</v>
      </c>
      <c r="BO298" s="78">
        <v>165</v>
      </c>
      <c r="BP298" s="78">
        <v>23887.11</v>
      </c>
      <c r="BQ298" s="78">
        <v>5851.4</v>
      </c>
      <c r="BR298" s="78">
        <v>552.91037167862498</v>
      </c>
      <c r="BS298" s="78">
        <v>883</v>
      </c>
      <c r="BT298" s="78">
        <v>274</v>
      </c>
      <c r="BU298" s="78">
        <v>209.666666666667</v>
      </c>
      <c r="BV298" s="78">
        <f t="shared" si="16"/>
        <v>4337</v>
      </c>
      <c r="BW298" s="78">
        <v>842</v>
      </c>
      <c r="BX298" s="78">
        <v>13366.5930186228</v>
      </c>
      <c r="BY298" s="402">
        <v>0.621</v>
      </c>
      <c r="BZ298" s="78">
        <v>64288</v>
      </c>
      <c r="CA298" s="78">
        <v>9719</v>
      </c>
      <c r="CB298" s="78">
        <v>1826</v>
      </c>
      <c r="CC298" s="78">
        <v>1745</v>
      </c>
      <c r="CD298" s="78">
        <v>1673</v>
      </c>
      <c r="CE298" s="78">
        <v>881</v>
      </c>
      <c r="CF298" s="78">
        <v>951.30013145110604</v>
      </c>
      <c r="CG298" s="78">
        <v>580.65732411270506</v>
      </c>
      <c r="CH298" s="78">
        <v>194.591575698691</v>
      </c>
      <c r="CI298" s="78">
        <v>2492.5601999999999</v>
      </c>
      <c r="CJ298" s="78">
        <v>1521.4160999999999</v>
      </c>
      <c r="CK298" s="78">
        <v>509.8614</v>
      </c>
      <c r="CL298" s="78">
        <v>33953</v>
      </c>
    </row>
    <row r="299" spans="1:90" customFormat="1" x14ac:dyDescent="0.35">
      <c r="A299" s="72">
        <v>815</v>
      </c>
      <c r="B299" s="72" t="s">
        <v>204</v>
      </c>
      <c r="C299" s="72">
        <v>10</v>
      </c>
      <c r="D299" s="78">
        <v>970800000</v>
      </c>
      <c r="E299" s="78">
        <v>145950000</v>
      </c>
      <c r="F299" s="78">
        <v>168350000</v>
      </c>
      <c r="G299" s="78">
        <v>10939</v>
      </c>
      <c r="H299" s="78">
        <v>3</v>
      </c>
      <c r="I299" s="78">
        <f t="shared" si="14"/>
        <v>168.35</v>
      </c>
      <c r="J299" s="78">
        <v>1920</v>
      </c>
      <c r="K299" s="78">
        <v>2395</v>
      </c>
      <c r="L299" s="78">
        <v>745</v>
      </c>
      <c r="M299" s="78">
        <v>1350</v>
      </c>
      <c r="N299" s="78">
        <f t="shared" si="15"/>
        <v>883.5</v>
      </c>
      <c r="O299" s="78">
        <v>102.666666666667</v>
      </c>
      <c r="P299" s="78">
        <v>17</v>
      </c>
      <c r="Q299" s="78">
        <v>724.66666666666697</v>
      </c>
      <c r="R299" s="78">
        <v>1217</v>
      </c>
      <c r="S299" s="78">
        <v>125</v>
      </c>
      <c r="T299" s="78">
        <v>0</v>
      </c>
      <c r="U299" s="78">
        <v>228</v>
      </c>
      <c r="V299" s="78">
        <v>4685</v>
      </c>
      <c r="W299" s="78">
        <v>8450</v>
      </c>
      <c r="X299" s="78">
        <v>1180</v>
      </c>
      <c r="Y299" s="78">
        <v>0</v>
      </c>
      <c r="Z299" s="78">
        <v>352</v>
      </c>
      <c r="AA299" s="78">
        <v>0</v>
      </c>
      <c r="AB299" s="399">
        <v>0</v>
      </c>
      <c r="AC299" s="399">
        <v>0</v>
      </c>
      <c r="AD299" s="78">
        <v>5221</v>
      </c>
      <c r="AE299" s="78">
        <v>5221</v>
      </c>
      <c r="AF299" s="78">
        <v>97</v>
      </c>
      <c r="AG299" s="78">
        <v>0</v>
      </c>
      <c r="AH299" s="78">
        <v>75</v>
      </c>
      <c r="AI299" s="78">
        <v>67</v>
      </c>
      <c r="AJ299" s="78">
        <v>75</v>
      </c>
      <c r="AK299" s="78">
        <v>67</v>
      </c>
      <c r="AL299" s="78">
        <v>142</v>
      </c>
      <c r="AM299" s="78">
        <v>4665</v>
      </c>
      <c r="AN299" s="78">
        <v>4665</v>
      </c>
      <c r="AO299" s="78">
        <v>0</v>
      </c>
      <c r="AP299" s="78">
        <v>0</v>
      </c>
      <c r="AQ299" s="78">
        <v>0</v>
      </c>
      <c r="AR299" s="78">
        <v>0</v>
      </c>
      <c r="AS299" s="78">
        <v>0</v>
      </c>
      <c r="AT299" s="78">
        <v>0</v>
      </c>
      <c r="AU299" s="400">
        <v>1.1184900000000001E-4</v>
      </c>
      <c r="AV299" s="400">
        <v>4.4675000000000002E-5</v>
      </c>
      <c r="AW299" s="78">
        <v>1483.47</v>
      </c>
      <c r="AX299" s="78">
        <v>0</v>
      </c>
      <c r="AY299" s="78">
        <v>758</v>
      </c>
      <c r="AZ299" s="78">
        <v>1559.18804061677</v>
      </c>
      <c r="BA299" s="78">
        <v>6</v>
      </c>
      <c r="BB299" s="78">
        <v>6</v>
      </c>
      <c r="BC299" s="78">
        <v>1295</v>
      </c>
      <c r="BD299" s="78">
        <v>1</v>
      </c>
      <c r="BE299" s="78">
        <v>0</v>
      </c>
      <c r="BF299" s="78">
        <v>0</v>
      </c>
      <c r="BG299" s="78">
        <v>0</v>
      </c>
      <c r="BH299" s="78">
        <v>0</v>
      </c>
      <c r="BI299" s="78">
        <v>0</v>
      </c>
      <c r="BJ299" s="78">
        <v>0</v>
      </c>
      <c r="BK299" s="78">
        <v>0</v>
      </c>
      <c r="BL299" s="78">
        <v>0</v>
      </c>
      <c r="BM299" s="78">
        <v>153.6</v>
      </c>
      <c r="BN299" s="78">
        <v>35</v>
      </c>
      <c r="BO299" s="78">
        <v>9</v>
      </c>
      <c r="BP299" s="78">
        <v>3101.48</v>
      </c>
      <c r="BQ299" s="78">
        <v>675.2</v>
      </c>
      <c r="BR299" s="78">
        <v>51.987692307692299</v>
      </c>
      <c r="BS299" s="78">
        <v>98</v>
      </c>
      <c r="BT299" s="78">
        <v>28</v>
      </c>
      <c r="BU299" s="78">
        <v>16.6666666666667</v>
      </c>
      <c r="BV299" s="78">
        <f t="shared" si="16"/>
        <v>622</v>
      </c>
      <c r="BW299" s="78">
        <v>129</v>
      </c>
      <c r="BX299" s="78">
        <v>2198.7279515196001</v>
      </c>
      <c r="BY299" s="402">
        <v>9.9000000000000005E-2</v>
      </c>
      <c r="BZ299" s="78">
        <v>8544</v>
      </c>
      <c r="CA299" s="78">
        <v>1379</v>
      </c>
      <c r="CB299" s="78">
        <v>271</v>
      </c>
      <c r="CC299" s="78">
        <v>216</v>
      </c>
      <c r="CD299" s="78">
        <v>218</v>
      </c>
      <c r="CE299" s="78">
        <v>119</v>
      </c>
      <c r="CF299" s="78">
        <v>154.92025723472699</v>
      </c>
      <c r="CG299" s="78">
        <v>88.2553054662379</v>
      </c>
      <c r="CH299" s="78">
        <v>33.9006430868167</v>
      </c>
      <c r="CI299" s="78">
        <v>370.63580000000002</v>
      </c>
      <c r="CJ299" s="78">
        <v>211.1446</v>
      </c>
      <c r="CK299" s="78">
        <v>81.104900000000001</v>
      </c>
      <c r="CL299" s="78">
        <v>3969</v>
      </c>
    </row>
    <row r="300" spans="1:90" customFormat="1" x14ac:dyDescent="0.35">
      <c r="A300" s="72">
        <v>1709</v>
      </c>
      <c r="B300" s="72" t="s">
        <v>205</v>
      </c>
      <c r="C300" s="72">
        <v>10</v>
      </c>
      <c r="D300" s="78">
        <v>3174400000</v>
      </c>
      <c r="E300" s="78">
        <v>1909600000</v>
      </c>
      <c r="F300" s="78">
        <v>1951950000</v>
      </c>
      <c r="G300" s="78">
        <v>37129</v>
      </c>
      <c r="H300" s="78">
        <v>7</v>
      </c>
      <c r="I300" s="78">
        <f t="shared" si="14"/>
        <v>1951.95</v>
      </c>
      <c r="J300" s="78">
        <v>6845</v>
      </c>
      <c r="K300" s="78">
        <v>8115</v>
      </c>
      <c r="L300" s="78">
        <v>2535</v>
      </c>
      <c r="M300" s="78">
        <v>4563</v>
      </c>
      <c r="N300" s="78">
        <f t="shared" si="15"/>
        <v>2899.8999999999996</v>
      </c>
      <c r="O300" s="78">
        <v>484.66666666666703</v>
      </c>
      <c r="P300" s="78">
        <v>26</v>
      </c>
      <c r="Q300" s="78">
        <v>2023.6666666666699</v>
      </c>
      <c r="R300" s="78">
        <v>5014</v>
      </c>
      <c r="S300" s="78">
        <v>1185</v>
      </c>
      <c r="T300" s="78">
        <v>0</v>
      </c>
      <c r="U300" s="78">
        <v>1047</v>
      </c>
      <c r="V300" s="78">
        <v>16685</v>
      </c>
      <c r="W300" s="78">
        <v>30070</v>
      </c>
      <c r="X300" s="78">
        <v>4780</v>
      </c>
      <c r="Y300" s="78">
        <v>215.82</v>
      </c>
      <c r="Z300" s="78">
        <v>842.4</v>
      </c>
      <c r="AA300" s="78">
        <v>0</v>
      </c>
      <c r="AB300" s="399">
        <v>0</v>
      </c>
      <c r="AC300" s="399">
        <v>397.4</v>
      </c>
      <c r="AD300" s="78">
        <v>15922</v>
      </c>
      <c r="AE300" s="78">
        <v>16877.32</v>
      </c>
      <c r="AF300" s="78">
        <v>2481</v>
      </c>
      <c r="AG300" s="78">
        <v>0</v>
      </c>
      <c r="AH300" s="78">
        <v>201</v>
      </c>
      <c r="AI300" s="78">
        <v>314</v>
      </c>
      <c r="AJ300" s="78">
        <v>219.09</v>
      </c>
      <c r="AK300" s="78">
        <v>329.7</v>
      </c>
      <c r="AL300" s="78">
        <v>515</v>
      </c>
      <c r="AM300" s="78">
        <v>16631</v>
      </c>
      <c r="AN300" s="78">
        <v>18127.79</v>
      </c>
      <c r="AO300" s="78">
        <v>27</v>
      </c>
      <c r="AP300" s="78">
        <v>0</v>
      </c>
      <c r="AQ300" s="78">
        <v>0</v>
      </c>
      <c r="AR300" s="78">
        <v>12350</v>
      </c>
      <c r="AS300" s="78">
        <v>1513</v>
      </c>
      <c r="AT300" s="78">
        <v>1513</v>
      </c>
      <c r="AU300" s="400">
        <v>4.8159199999999998E-4</v>
      </c>
      <c r="AV300" s="400">
        <v>1.94336E-4</v>
      </c>
      <c r="AW300" s="78">
        <v>12406.726000000001</v>
      </c>
      <c r="AX300" s="78">
        <v>0</v>
      </c>
      <c r="AY300" s="78">
        <v>3803.28</v>
      </c>
      <c r="AZ300" s="78">
        <v>10085.659177308</v>
      </c>
      <c r="BA300" s="78">
        <v>20</v>
      </c>
      <c r="BB300" s="78">
        <v>21</v>
      </c>
      <c r="BC300" s="78">
        <v>4489</v>
      </c>
      <c r="BD300" s="78">
        <v>1</v>
      </c>
      <c r="BE300" s="78">
        <v>0</v>
      </c>
      <c r="BF300" s="78">
        <v>0</v>
      </c>
      <c r="BG300" s="78">
        <v>0</v>
      </c>
      <c r="BH300" s="78">
        <v>0</v>
      </c>
      <c r="BI300" s="78">
        <v>0</v>
      </c>
      <c r="BJ300" s="78">
        <v>0</v>
      </c>
      <c r="BK300" s="78">
        <v>0</v>
      </c>
      <c r="BL300" s="78">
        <v>0</v>
      </c>
      <c r="BM300" s="78">
        <v>602.36</v>
      </c>
      <c r="BN300" s="78">
        <v>142</v>
      </c>
      <c r="BO300" s="78">
        <v>68</v>
      </c>
      <c r="BP300" s="78">
        <v>11599.27</v>
      </c>
      <c r="BQ300" s="78">
        <v>2649.28</v>
      </c>
      <c r="BR300" s="78">
        <v>304.61216807909602</v>
      </c>
      <c r="BS300" s="78">
        <v>410</v>
      </c>
      <c r="BT300" s="78">
        <v>145.333333333333</v>
      </c>
      <c r="BU300" s="78">
        <v>125.666666666667</v>
      </c>
      <c r="BV300" s="78">
        <f t="shared" si="16"/>
        <v>1539.000000000003</v>
      </c>
      <c r="BW300" s="78">
        <v>302</v>
      </c>
      <c r="BX300" s="78">
        <v>7403.1776391331396</v>
      </c>
      <c r="BY300" s="402">
        <v>0.72699999999999998</v>
      </c>
      <c r="BZ300" s="78">
        <v>29014</v>
      </c>
      <c r="CA300" s="78">
        <v>4738</v>
      </c>
      <c r="CB300" s="78">
        <v>842</v>
      </c>
      <c r="CC300" s="78">
        <v>918</v>
      </c>
      <c r="CD300" s="78">
        <v>871</v>
      </c>
      <c r="CE300" s="78">
        <v>399</v>
      </c>
      <c r="CF300" s="78">
        <v>503.74668390355299</v>
      </c>
      <c r="CG300" s="78">
        <v>300.608959172629</v>
      </c>
      <c r="CH300" s="78">
        <v>102.702248812459</v>
      </c>
      <c r="CI300" s="78">
        <v>1220.3136</v>
      </c>
      <c r="CJ300" s="78">
        <v>728.21759999999995</v>
      </c>
      <c r="CK300" s="78">
        <v>248.7936</v>
      </c>
      <c r="CL300" s="78">
        <v>26592</v>
      </c>
    </row>
    <row r="301" spans="1:90" customFormat="1" x14ac:dyDescent="0.35">
      <c r="A301" s="72">
        <v>820</v>
      </c>
      <c r="B301" s="72" t="s">
        <v>222</v>
      </c>
      <c r="C301" s="72">
        <v>10</v>
      </c>
      <c r="D301" s="78">
        <v>2815600000</v>
      </c>
      <c r="E301" s="78">
        <v>233100000</v>
      </c>
      <c r="F301" s="78">
        <v>248500000</v>
      </c>
      <c r="G301" s="78">
        <v>23383</v>
      </c>
      <c r="H301" s="78">
        <v>2</v>
      </c>
      <c r="I301" s="78">
        <f t="shared" si="14"/>
        <v>248.5</v>
      </c>
      <c r="J301" s="78">
        <v>4366</v>
      </c>
      <c r="K301" s="78">
        <v>6056</v>
      </c>
      <c r="L301" s="78">
        <v>2058</v>
      </c>
      <c r="M301" s="78">
        <v>2068</v>
      </c>
      <c r="N301" s="78">
        <f t="shared" si="15"/>
        <v>1035</v>
      </c>
      <c r="O301" s="78">
        <v>344.33333333333297</v>
      </c>
      <c r="P301" s="78">
        <v>23</v>
      </c>
      <c r="Q301" s="78">
        <v>1070.3333333333301</v>
      </c>
      <c r="R301" s="78">
        <v>2895</v>
      </c>
      <c r="S301" s="78">
        <v>460</v>
      </c>
      <c r="T301" s="78">
        <v>0</v>
      </c>
      <c r="U301" s="78">
        <v>654</v>
      </c>
      <c r="V301" s="78">
        <v>10269</v>
      </c>
      <c r="W301" s="78">
        <v>19490</v>
      </c>
      <c r="X301" s="78">
        <v>7360</v>
      </c>
      <c r="Y301" s="78">
        <v>0</v>
      </c>
      <c r="Z301" s="78">
        <v>497.6</v>
      </c>
      <c r="AA301" s="78">
        <v>0</v>
      </c>
      <c r="AB301" s="399">
        <v>0</v>
      </c>
      <c r="AC301" s="399">
        <v>41.199999999999932</v>
      </c>
      <c r="AD301" s="78">
        <v>3362</v>
      </c>
      <c r="AE301" s="78">
        <v>3362</v>
      </c>
      <c r="AF301" s="78">
        <v>32</v>
      </c>
      <c r="AG301" s="78">
        <v>0</v>
      </c>
      <c r="AH301" s="78">
        <v>146</v>
      </c>
      <c r="AI301" s="78">
        <v>28</v>
      </c>
      <c r="AJ301" s="78">
        <v>146</v>
      </c>
      <c r="AK301" s="78">
        <v>28</v>
      </c>
      <c r="AL301" s="78">
        <v>175</v>
      </c>
      <c r="AM301" s="78">
        <v>10330</v>
      </c>
      <c r="AN301" s="78">
        <v>10330</v>
      </c>
      <c r="AO301" s="78">
        <v>0</v>
      </c>
      <c r="AP301" s="78">
        <v>0</v>
      </c>
      <c r="AQ301" s="78">
        <v>0</v>
      </c>
      <c r="AR301" s="78">
        <v>0</v>
      </c>
      <c r="AS301" s="78">
        <v>0</v>
      </c>
      <c r="AT301" s="78">
        <v>0</v>
      </c>
      <c r="AU301" s="400">
        <v>8.1248999999999994E-5</v>
      </c>
      <c r="AV301" s="400">
        <v>6.7951E-5</v>
      </c>
      <c r="AW301" s="78">
        <v>11497.29</v>
      </c>
      <c r="AX301" s="78">
        <v>0</v>
      </c>
      <c r="AY301" s="78">
        <v>515</v>
      </c>
      <c r="AZ301" s="78">
        <v>3548.0981143193899</v>
      </c>
      <c r="BA301" s="78">
        <v>3</v>
      </c>
      <c r="BB301" s="78">
        <v>3</v>
      </c>
      <c r="BC301" s="78">
        <v>3001</v>
      </c>
      <c r="BD301" s="78">
        <v>1</v>
      </c>
      <c r="BE301" s="78">
        <v>0</v>
      </c>
      <c r="BF301" s="78">
        <v>0</v>
      </c>
      <c r="BG301" s="78">
        <v>0</v>
      </c>
      <c r="BH301" s="78">
        <v>0</v>
      </c>
      <c r="BI301" s="78">
        <v>0</v>
      </c>
      <c r="BJ301" s="78">
        <v>0</v>
      </c>
      <c r="BK301" s="78">
        <v>0</v>
      </c>
      <c r="BL301" s="78">
        <v>0</v>
      </c>
      <c r="BM301" s="78">
        <v>349.28</v>
      </c>
      <c r="BN301" s="78">
        <v>20</v>
      </c>
      <c r="BO301" s="78">
        <v>38</v>
      </c>
      <c r="BP301" s="78">
        <v>8825.2800000000007</v>
      </c>
      <c r="BQ301" s="78">
        <v>2005.28</v>
      </c>
      <c r="BR301" s="78">
        <v>141.00404207573601</v>
      </c>
      <c r="BS301" s="78">
        <v>261</v>
      </c>
      <c r="BT301" s="78">
        <v>108</v>
      </c>
      <c r="BU301" s="78">
        <v>72</v>
      </c>
      <c r="BV301" s="78">
        <f t="shared" si="16"/>
        <v>725.99999999999704</v>
      </c>
      <c r="BW301" s="78">
        <v>172</v>
      </c>
      <c r="BX301" s="78">
        <v>3883.3973276977499</v>
      </c>
      <c r="BY301" s="402">
        <v>0.50700000000000001</v>
      </c>
      <c r="BZ301" s="78">
        <v>17327</v>
      </c>
      <c r="CA301" s="78">
        <v>3399</v>
      </c>
      <c r="CB301" s="78">
        <v>599</v>
      </c>
      <c r="CC301" s="78">
        <v>582</v>
      </c>
      <c r="CD301" s="78">
        <v>591</v>
      </c>
      <c r="CE301" s="78">
        <v>301</v>
      </c>
      <c r="CF301" s="78">
        <v>205.39690222652499</v>
      </c>
      <c r="CG301" s="78">
        <v>136.16311713456</v>
      </c>
      <c r="CH301" s="78">
        <v>40.979186834462702</v>
      </c>
      <c r="CI301" s="78">
        <v>606.79999999999995</v>
      </c>
      <c r="CJ301" s="78">
        <v>402.26400000000001</v>
      </c>
      <c r="CK301" s="78">
        <v>121.06399999999999</v>
      </c>
      <c r="CL301" s="78">
        <v>10585</v>
      </c>
    </row>
    <row r="302" spans="1:90" customFormat="1" x14ac:dyDescent="0.35">
      <c r="A302" s="72">
        <v>823</v>
      </c>
      <c r="B302" s="72" t="s">
        <v>225</v>
      </c>
      <c r="C302" s="72">
        <v>10</v>
      </c>
      <c r="D302" s="78">
        <v>2102400000</v>
      </c>
      <c r="E302" s="78">
        <v>515900000</v>
      </c>
      <c r="F302" s="78">
        <v>551250000</v>
      </c>
      <c r="G302" s="78">
        <v>18714</v>
      </c>
      <c r="H302" s="78">
        <v>2</v>
      </c>
      <c r="I302" s="78">
        <f t="shared" si="14"/>
        <v>551.25</v>
      </c>
      <c r="J302" s="78">
        <v>3388</v>
      </c>
      <c r="K302" s="78">
        <v>4037</v>
      </c>
      <c r="L302" s="78">
        <v>1186</v>
      </c>
      <c r="M302" s="78">
        <v>1915</v>
      </c>
      <c r="N302" s="78">
        <f t="shared" si="15"/>
        <v>1094.0999999999999</v>
      </c>
      <c r="O302" s="78">
        <v>123</v>
      </c>
      <c r="P302" s="78">
        <v>24</v>
      </c>
      <c r="Q302" s="78">
        <v>857</v>
      </c>
      <c r="R302" s="78">
        <v>2124</v>
      </c>
      <c r="S302" s="78">
        <v>235</v>
      </c>
      <c r="T302" s="78">
        <v>0</v>
      </c>
      <c r="U302" s="78">
        <v>406</v>
      </c>
      <c r="V302" s="78">
        <v>7956</v>
      </c>
      <c r="W302" s="78">
        <v>14550</v>
      </c>
      <c r="X302" s="78">
        <v>3060</v>
      </c>
      <c r="Y302" s="78">
        <v>0</v>
      </c>
      <c r="Z302" s="78">
        <v>783.2</v>
      </c>
      <c r="AA302" s="78">
        <v>0</v>
      </c>
      <c r="AB302" s="399">
        <v>0</v>
      </c>
      <c r="AC302" s="399">
        <v>0</v>
      </c>
      <c r="AD302" s="78">
        <v>10176</v>
      </c>
      <c r="AE302" s="78">
        <v>10176</v>
      </c>
      <c r="AF302" s="78">
        <v>108</v>
      </c>
      <c r="AG302" s="78">
        <v>0</v>
      </c>
      <c r="AH302" s="78">
        <v>130</v>
      </c>
      <c r="AI302" s="78">
        <v>99</v>
      </c>
      <c r="AJ302" s="78">
        <v>130</v>
      </c>
      <c r="AK302" s="78">
        <v>99</v>
      </c>
      <c r="AL302" s="78">
        <v>229</v>
      </c>
      <c r="AM302" s="78">
        <v>8209</v>
      </c>
      <c r="AN302" s="78">
        <v>8209</v>
      </c>
      <c r="AO302" s="78">
        <v>10</v>
      </c>
      <c r="AP302" s="78">
        <v>0</v>
      </c>
      <c r="AQ302" s="78">
        <v>0</v>
      </c>
      <c r="AR302" s="78">
        <v>0</v>
      </c>
      <c r="AS302" s="78">
        <v>0</v>
      </c>
      <c r="AT302" s="78">
        <v>0</v>
      </c>
      <c r="AU302" s="400">
        <v>1.8325500000000001E-4</v>
      </c>
      <c r="AV302" s="400">
        <v>5.5822000000000002E-5</v>
      </c>
      <c r="AW302" s="78">
        <v>5048.5349999999999</v>
      </c>
      <c r="AX302" s="78">
        <v>0</v>
      </c>
      <c r="AY302" s="78">
        <v>1299</v>
      </c>
      <c r="AZ302" s="78">
        <v>2363.81621936989</v>
      </c>
      <c r="BA302" s="78">
        <v>9</v>
      </c>
      <c r="BB302" s="78">
        <v>9</v>
      </c>
      <c r="BC302" s="78">
        <v>2638</v>
      </c>
      <c r="BD302" s="78">
        <v>1</v>
      </c>
      <c r="BE302" s="78">
        <v>0</v>
      </c>
      <c r="BF302" s="78">
        <v>0</v>
      </c>
      <c r="BG302" s="78">
        <v>0</v>
      </c>
      <c r="BH302" s="78">
        <v>0</v>
      </c>
      <c r="BI302" s="78">
        <v>0</v>
      </c>
      <c r="BJ302" s="78">
        <v>0</v>
      </c>
      <c r="BK302" s="78">
        <v>0</v>
      </c>
      <c r="BL302" s="78">
        <v>0</v>
      </c>
      <c r="BM302" s="78">
        <v>199.892</v>
      </c>
      <c r="BN302" s="78">
        <v>24</v>
      </c>
      <c r="BO302" s="78">
        <v>36</v>
      </c>
      <c r="BP302" s="78">
        <v>5862.64</v>
      </c>
      <c r="BQ302" s="78">
        <v>1383.75</v>
      </c>
      <c r="BR302" s="78">
        <v>77.018666666666704</v>
      </c>
      <c r="BS302" s="78">
        <v>170</v>
      </c>
      <c r="BT302" s="78">
        <v>41</v>
      </c>
      <c r="BU302" s="78">
        <v>25.6666666666667</v>
      </c>
      <c r="BV302" s="78">
        <f t="shared" si="16"/>
        <v>734</v>
      </c>
      <c r="BW302" s="78">
        <v>118</v>
      </c>
      <c r="BX302" s="78">
        <v>2886.2750018794</v>
      </c>
      <c r="BY302" s="402">
        <v>9.6000000000000002E-2</v>
      </c>
      <c r="BZ302" s="78">
        <v>14677</v>
      </c>
      <c r="CA302" s="78">
        <v>2367</v>
      </c>
      <c r="CB302" s="78">
        <v>484</v>
      </c>
      <c r="CC302" s="78">
        <v>407</v>
      </c>
      <c r="CD302" s="78">
        <v>381</v>
      </c>
      <c r="CE302" s="78">
        <v>194</v>
      </c>
      <c r="CF302" s="78">
        <v>186.992605676696</v>
      </c>
      <c r="CG302" s="78">
        <v>102.89258131319301</v>
      </c>
      <c r="CH302" s="78">
        <v>36.518869533438902</v>
      </c>
      <c r="CI302" s="78">
        <v>518.4085</v>
      </c>
      <c r="CJ302" s="78">
        <v>285.25400000000002</v>
      </c>
      <c r="CK302" s="78">
        <v>101.24299999999999</v>
      </c>
      <c r="CL302" s="78">
        <v>4593</v>
      </c>
    </row>
    <row r="303" spans="1:90" customFormat="1" x14ac:dyDescent="0.35">
      <c r="A303" s="72">
        <v>824</v>
      </c>
      <c r="B303" s="72" t="s">
        <v>226</v>
      </c>
      <c r="C303" s="72">
        <v>10</v>
      </c>
      <c r="D303" s="78">
        <v>3223200000</v>
      </c>
      <c r="E303" s="78">
        <v>382900000</v>
      </c>
      <c r="F303" s="78">
        <v>414050000</v>
      </c>
      <c r="G303" s="78">
        <v>26245</v>
      </c>
      <c r="H303" s="78">
        <v>3</v>
      </c>
      <c r="I303" s="78">
        <f t="shared" si="14"/>
        <v>414.05</v>
      </c>
      <c r="J303" s="78">
        <v>4847</v>
      </c>
      <c r="K303" s="78">
        <v>6368</v>
      </c>
      <c r="L303" s="78">
        <v>2173</v>
      </c>
      <c r="M303" s="78">
        <v>3104</v>
      </c>
      <c r="N303" s="78">
        <f t="shared" si="15"/>
        <v>1896.8999999999999</v>
      </c>
      <c r="O303" s="78">
        <v>263.66666666666703</v>
      </c>
      <c r="P303" s="78">
        <v>26</v>
      </c>
      <c r="Q303" s="78">
        <v>1338.6666666666699</v>
      </c>
      <c r="R303" s="78">
        <v>3501</v>
      </c>
      <c r="S303" s="78">
        <v>695</v>
      </c>
      <c r="T303" s="78">
        <v>0</v>
      </c>
      <c r="U303" s="78">
        <v>728</v>
      </c>
      <c r="V303" s="78">
        <v>12063</v>
      </c>
      <c r="W303" s="78">
        <v>23550</v>
      </c>
      <c r="X303" s="78">
        <v>8640</v>
      </c>
      <c r="Y303" s="78">
        <v>604.79999999999995</v>
      </c>
      <c r="Z303" s="78">
        <v>1299.2</v>
      </c>
      <c r="AA303" s="78">
        <v>0</v>
      </c>
      <c r="AB303" s="399">
        <v>0</v>
      </c>
      <c r="AC303" s="399">
        <v>43.299999999999955</v>
      </c>
      <c r="AD303" s="78">
        <v>6384</v>
      </c>
      <c r="AE303" s="78">
        <v>6384</v>
      </c>
      <c r="AF303" s="78">
        <v>129</v>
      </c>
      <c r="AG303" s="78">
        <v>0</v>
      </c>
      <c r="AH303" s="78">
        <v>167</v>
      </c>
      <c r="AI303" s="78">
        <v>59</v>
      </c>
      <c r="AJ303" s="78">
        <v>167</v>
      </c>
      <c r="AK303" s="78">
        <v>59</v>
      </c>
      <c r="AL303" s="78">
        <v>227</v>
      </c>
      <c r="AM303" s="78">
        <v>12071</v>
      </c>
      <c r="AN303" s="78">
        <v>12071</v>
      </c>
      <c r="AO303" s="78">
        <v>10</v>
      </c>
      <c r="AP303" s="78">
        <v>0</v>
      </c>
      <c r="AQ303" s="78">
        <v>0</v>
      </c>
      <c r="AR303" s="78">
        <v>0</v>
      </c>
      <c r="AS303" s="78">
        <v>1176</v>
      </c>
      <c r="AT303" s="78">
        <v>1176</v>
      </c>
      <c r="AU303" s="400">
        <v>2.37082E-4</v>
      </c>
      <c r="AV303" s="400">
        <v>1.3608700000000001E-4</v>
      </c>
      <c r="AW303" s="78">
        <v>12155.496999999999</v>
      </c>
      <c r="AX303" s="78">
        <v>0</v>
      </c>
      <c r="AY303" s="78">
        <v>1181</v>
      </c>
      <c r="AZ303" s="78">
        <v>4758.9966221403301</v>
      </c>
      <c r="BA303" s="78">
        <v>3</v>
      </c>
      <c r="BB303" s="78">
        <v>3</v>
      </c>
      <c r="BC303" s="78">
        <v>3901</v>
      </c>
      <c r="BD303" s="78">
        <v>1</v>
      </c>
      <c r="BE303" s="78">
        <v>0</v>
      </c>
      <c r="BF303" s="78">
        <v>0</v>
      </c>
      <c r="BG303" s="78">
        <v>0</v>
      </c>
      <c r="BH303" s="78">
        <v>0</v>
      </c>
      <c r="BI303" s="78">
        <v>0</v>
      </c>
      <c r="BJ303" s="78">
        <v>0</v>
      </c>
      <c r="BK303" s="78">
        <v>0</v>
      </c>
      <c r="BL303" s="78">
        <v>0</v>
      </c>
      <c r="BM303" s="78">
        <v>465.31200000000001</v>
      </c>
      <c r="BN303" s="78">
        <v>61</v>
      </c>
      <c r="BO303" s="78">
        <v>82</v>
      </c>
      <c r="BP303" s="78">
        <v>8780.4599999999991</v>
      </c>
      <c r="BQ303" s="78">
        <v>2029.72</v>
      </c>
      <c r="BR303" s="78">
        <v>146.77710256410299</v>
      </c>
      <c r="BS303" s="78">
        <v>297</v>
      </c>
      <c r="BT303" s="78">
        <v>84.6666666666667</v>
      </c>
      <c r="BU303" s="78">
        <v>55.3333333333333</v>
      </c>
      <c r="BV303" s="78">
        <f t="shared" si="16"/>
        <v>1075.000000000003</v>
      </c>
      <c r="BW303" s="78">
        <v>297</v>
      </c>
      <c r="BX303" s="78">
        <v>5123.6986993113997</v>
      </c>
      <c r="BY303" s="402">
        <v>0.23599999999999999</v>
      </c>
      <c r="BZ303" s="78">
        <v>19877</v>
      </c>
      <c r="CA303" s="78">
        <v>3403</v>
      </c>
      <c r="CB303" s="78">
        <v>792</v>
      </c>
      <c r="CC303" s="78">
        <v>668</v>
      </c>
      <c r="CD303" s="78">
        <v>676</v>
      </c>
      <c r="CE303" s="78">
        <v>373</v>
      </c>
      <c r="CF303" s="78">
        <v>315.233319526137</v>
      </c>
      <c r="CG303" s="78">
        <v>229.589172396653</v>
      </c>
      <c r="CH303" s="78">
        <v>76.529724132217694</v>
      </c>
      <c r="CI303" s="78">
        <v>689.26160000000004</v>
      </c>
      <c r="CJ303" s="78">
        <v>501.99959999999999</v>
      </c>
      <c r="CK303" s="78">
        <v>167.33320000000001</v>
      </c>
      <c r="CL303" s="78">
        <v>51738</v>
      </c>
    </row>
    <row r="304" spans="1:90" customFormat="1" x14ac:dyDescent="0.35">
      <c r="A304" s="72">
        <v>826</v>
      </c>
      <c r="B304" s="72" t="s">
        <v>233</v>
      </c>
      <c r="C304" s="72">
        <v>10</v>
      </c>
      <c r="D304" s="78">
        <v>5261600000</v>
      </c>
      <c r="E304" s="78">
        <v>1084300000</v>
      </c>
      <c r="F304" s="78">
        <v>1114050000</v>
      </c>
      <c r="G304" s="78">
        <v>55982</v>
      </c>
      <c r="H304" s="78">
        <v>2</v>
      </c>
      <c r="I304" s="78">
        <f t="shared" si="14"/>
        <v>1114.05</v>
      </c>
      <c r="J304" s="78">
        <v>10447</v>
      </c>
      <c r="K304" s="78">
        <v>12555</v>
      </c>
      <c r="L304" s="78">
        <v>3979</v>
      </c>
      <c r="M304" s="78">
        <v>7362</v>
      </c>
      <c r="N304" s="78">
        <f t="shared" si="15"/>
        <v>4765.7</v>
      </c>
      <c r="O304" s="78">
        <v>932.33333333333303</v>
      </c>
      <c r="P304" s="78">
        <v>80</v>
      </c>
      <c r="Q304" s="78">
        <v>3579.3333333333298</v>
      </c>
      <c r="R304" s="78">
        <v>8086</v>
      </c>
      <c r="S304" s="78">
        <v>4465</v>
      </c>
      <c r="T304" s="78">
        <v>0</v>
      </c>
      <c r="U304" s="78">
        <v>1894</v>
      </c>
      <c r="V304" s="78">
        <v>25512</v>
      </c>
      <c r="W304" s="78">
        <v>56890</v>
      </c>
      <c r="X304" s="78">
        <v>46060</v>
      </c>
      <c r="Y304" s="78">
        <v>1698.6</v>
      </c>
      <c r="Z304" s="78">
        <v>1880</v>
      </c>
      <c r="AA304" s="78">
        <v>0</v>
      </c>
      <c r="AB304" s="399">
        <v>0</v>
      </c>
      <c r="AC304" s="399">
        <v>0</v>
      </c>
      <c r="AD304" s="78">
        <v>7142</v>
      </c>
      <c r="AE304" s="78">
        <v>7142</v>
      </c>
      <c r="AF304" s="78">
        <v>167</v>
      </c>
      <c r="AG304" s="78">
        <v>0</v>
      </c>
      <c r="AH304" s="78">
        <v>323</v>
      </c>
      <c r="AI304" s="78">
        <v>132</v>
      </c>
      <c r="AJ304" s="78">
        <v>323</v>
      </c>
      <c r="AK304" s="78">
        <v>132</v>
      </c>
      <c r="AL304" s="78">
        <v>455</v>
      </c>
      <c r="AM304" s="78">
        <v>25963</v>
      </c>
      <c r="AN304" s="78">
        <v>25963</v>
      </c>
      <c r="AO304" s="78">
        <v>10</v>
      </c>
      <c r="AP304" s="78">
        <v>0</v>
      </c>
      <c r="AQ304" s="78">
        <v>0</v>
      </c>
      <c r="AR304" s="78">
        <v>0</v>
      </c>
      <c r="AS304" s="78">
        <v>1991</v>
      </c>
      <c r="AT304" s="78">
        <v>1991</v>
      </c>
      <c r="AU304" s="400">
        <v>4.02929E-4</v>
      </c>
      <c r="AV304" s="400">
        <v>8.4261600000000002E-4</v>
      </c>
      <c r="AW304" s="78">
        <v>39983.019999999997</v>
      </c>
      <c r="AX304" s="78">
        <v>0</v>
      </c>
      <c r="AY304" s="78">
        <v>1348</v>
      </c>
      <c r="AZ304" s="78">
        <v>10324.7689150363</v>
      </c>
      <c r="BA304" s="78">
        <v>7</v>
      </c>
      <c r="BB304" s="78">
        <v>7</v>
      </c>
      <c r="BC304" s="78">
        <v>6306</v>
      </c>
      <c r="BD304" s="78">
        <v>1</v>
      </c>
      <c r="BE304" s="78">
        <v>0</v>
      </c>
      <c r="BF304" s="78">
        <v>0</v>
      </c>
      <c r="BG304" s="78">
        <v>0</v>
      </c>
      <c r="BH304" s="78">
        <v>0</v>
      </c>
      <c r="BI304" s="78">
        <v>0</v>
      </c>
      <c r="BJ304" s="78">
        <v>0</v>
      </c>
      <c r="BK304" s="78">
        <v>0</v>
      </c>
      <c r="BL304" s="78">
        <v>0</v>
      </c>
      <c r="BM304" s="78">
        <v>1284.981</v>
      </c>
      <c r="BN304" s="78">
        <v>198</v>
      </c>
      <c r="BO304" s="78">
        <v>153</v>
      </c>
      <c r="BP304" s="78">
        <v>17538.5</v>
      </c>
      <c r="BQ304" s="78">
        <v>3949.44</v>
      </c>
      <c r="BR304" s="78">
        <v>510.92435831381698</v>
      </c>
      <c r="BS304" s="78">
        <v>702</v>
      </c>
      <c r="BT304" s="78">
        <v>288.66666666666703</v>
      </c>
      <c r="BU304" s="78">
        <v>236.666666666667</v>
      </c>
      <c r="BV304" s="78">
        <f t="shared" si="16"/>
        <v>2646.9999999999968</v>
      </c>
      <c r="BW304" s="78">
        <v>568</v>
      </c>
      <c r="BX304" s="78">
        <v>10842.969335443</v>
      </c>
      <c r="BY304" s="402">
        <v>1.5509999999999999</v>
      </c>
      <c r="BZ304" s="78">
        <v>43427</v>
      </c>
      <c r="CA304" s="78">
        <v>7339</v>
      </c>
      <c r="CB304" s="78">
        <v>1237</v>
      </c>
      <c r="CC304" s="78">
        <v>1496</v>
      </c>
      <c r="CD304" s="78">
        <v>1346</v>
      </c>
      <c r="CE304" s="78">
        <v>677</v>
      </c>
      <c r="CF304" s="78">
        <v>823.071247544583</v>
      </c>
      <c r="CG304" s="78">
        <v>498.90893194160901</v>
      </c>
      <c r="CH304" s="78">
        <v>171.25902630666701</v>
      </c>
      <c r="CI304" s="78">
        <v>1927.6715999999999</v>
      </c>
      <c r="CJ304" s="78">
        <v>1168.4682</v>
      </c>
      <c r="CK304" s="78">
        <v>401.0967</v>
      </c>
      <c r="CL304" s="78">
        <v>9030</v>
      </c>
    </row>
    <row r="305" spans="1:90" customFormat="1" x14ac:dyDescent="0.35">
      <c r="A305" s="72">
        <v>828</v>
      </c>
      <c r="B305" s="72" t="s">
        <v>238</v>
      </c>
      <c r="C305" s="72">
        <v>10</v>
      </c>
      <c r="D305" s="78">
        <v>8082000000</v>
      </c>
      <c r="E305" s="78">
        <v>1223600000</v>
      </c>
      <c r="F305" s="78">
        <v>1316700000</v>
      </c>
      <c r="G305" s="78">
        <v>91915</v>
      </c>
      <c r="H305" s="78">
        <v>6</v>
      </c>
      <c r="I305" s="78">
        <f t="shared" si="14"/>
        <v>1316.7</v>
      </c>
      <c r="J305" s="78">
        <v>17214</v>
      </c>
      <c r="K305" s="78">
        <v>18396</v>
      </c>
      <c r="L305" s="78">
        <v>5816</v>
      </c>
      <c r="M305" s="78">
        <v>12367</v>
      </c>
      <c r="N305" s="78">
        <f t="shared" si="15"/>
        <v>8298.7000000000007</v>
      </c>
      <c r="O305" s="78">
        <v>1598.3333333333301</v>
      </c>
      <c r="P305" s="78">
        <v>373</v>
      </c>
      <c r="Q305" s="78">
        <v>7857.3333333333303</v>
      </c>
      <c r="R305" s="78">
        <v>13630</v>
      </c>
      <c r="S305" s="78">
        <v>6450</v>
      </c>
      <c r="T305" s="78">
        <v>0</v>
      </c>
      <c r="U305" s="78">
        <v>2895</v>
      </c>
      <c r="V305" s="78">
        <v>41411</v>
      </c>
      <c r="W305" s="78">
        <v>96000</v>
      </c>
      <c r="X305" s="78">
        <v>98550</v>
      </c>
      <c r="Y305" s="78">
        <v>3171.44</v>
      </c>
      <c r="Z305" s="78">
        <v>4557.6000000000004</v>
      </c>
      <c r="AA305" s="78">
        <v>0</v>
      </c>
      <c r="AB305" s="399">
        <v>0</v>
      </c>
      <c r="AC305" s="399">
        <v>0</v>
      </c>
      <c r="AD305" s="78">
        <v>16206</v>
      </c>
      <c r="AE305" s="78">
        <v>16206</v>
      </c>
      <c r="AF305" s="78">
        <v>886</v>
      </c>
      <c r="AG305" s="78">
        <v>0</v>
      </c>
      <c r="AH305" s="78">
        <v>571</v>
      </c>
      <c r="AI305" s="78">
        <v>194</v>
      </c>
      <c r="AJ305" s="78">
        <v>571</v>
      </c>
      <c r="AK305" s="78">
        <v>194</v>
      </c>
      <c r="AL305" s="78">
        <v>766</v>
      </c>
      <c r="AM305" s="78">
        <v>40683</v>
      </c>
      <c r="AN305" s="78">
        <v>40683</v>
      </c>
      <c r="AO305" s="78">
        <v>10</v>
      </c>
      <c r="AP305" s="78">
        <v>0</v>
      </c>
      <c r="AQ305" s="78">
        <v>0</v>
      </c>
      <c r="AR305" s="78">
        <v>1400</v>
      </c>
      <c r="AS305" s="78">
        <v>2590</v>
      </c>
      <c r="AT305" s="78">
        <v>0</v>
      </c>
      <c r="AU305" s="400">
        <v>7.3687700000000004E-4</v>
      </c>
      <c r="AV305" s="400">
        <v>1.0370729999999999E-3</v>
      </c>
      <c r="AW305" s="78">
        <v>56834.150999999998</v>
      </c>
      <c r="AX305" s="78">
        <v>0</v>
      </c>
      <c r="AY305" s="78">
        <v>3436</v>
      </c>
      <c r="AZ305" s="78">
        <v>18509.912824713301</v>
      </c>
      <c r="BA305" s="78">
        <v>23</v>
      </c>
      <c r="BB305" s="78">
        <v>23</v>
      </c>
      <c r="BC305" s="78">
        <v>9852</v>
      </c>
      <c r="BD305" s="78">
        <v>1</v>
      </c>
      <c r="BE305" s="78">
        <v>0</v>
      </c>
      <c r="BF305" s="78">
        <v>0</v>
      </c>
      <c r="BG305" s="78">
        <v>0</v>
      </c>
      <c r="BH305" s="78">
        <v>0</v>
      </c>
      <c r="BI305" s="78">
        <v>0</v>
      </c>
      <c r="BJ305" s="78">
        <v>0</v>
      </c>
      <c r="BK305" s="78">
        <v>0</v>
      </c>
      <c r="BL305" s="78">
        <v>0</v>
      </c>
      <c r="BM305" s="78">
        <v>2117.3220000000001</v>
      </c>
      <c r="BN305" s="78">
        <v>368</v>
      </c>
      <c r="BO305" s="78">
        <v>278</v>
      </c>
      <c r="BP305" s="78">
        <v>27173.19</v>
      </c>
      <c r="BQ305" s="78">
        <v>6272</v>
      </c>
      <c r="BR305" s="78">
        <v>740.230523612262</v>
      </c>
      <c r="BS305" s="78">
        <v>1077</v>
      </c>
      <c r="BT305" s="78">
        <v>461.66666666666703</v>
      </c>
      <c r="BU305" s="78">
        <v>392.66666666666703</v>
      </c>
      <c r="BV305" s="78">
        <f t="shared" si="16"/>
        <v>6259</v>
      </c>
      <c r="BW305" s="78">
        <v>1377</v>
      </c>
      <c r="BX305" s="78">
        <v>16734.357417633499</v>
      </c>
      <c r="BY305" s="402">
        <v>3.32</v>
      </c>
      <c r="BZ305" s="78">
        <v>73519</v>
      </c>
      <c r="CA305" s="78">
        <v>10621</v>
      </c>
      <c r="CB305" s="78">
        <v>1959</v>
      </c>
      <c r="CC305" s="78">
        <v>2226</v>
      </c>
      <c r="CD305" s="78">
        <v>1980</v>
      </c>
      <c r="CE305" s="78">
        <v>1049</v>
      </c>
      <c r="CF305" s="78">
        <v>1331.40660472433</v>
      </c>
      <c r="CG305" s="78">
        <v>805.94262222550003</v>
      </c>
      <c r="CH305" s="78">
        <v>285.374266892805</v>
      </c>
      <c r="CI305" s="78">
        <v>3036.3604</v>
      </c>
      <c r="CJ305" s="78">
        <v>1838.0052000000001</v>
      </c>
      <c r="CK305" s="78">
        <v>650.81479999999999</v>
      </c>
      <c r="CL305" s="78">
        <v>21223</v>
      </c>
    </row>
    <row r="306" spans="1:90" customFormat="1" x14ac:dyDescent="0.35">
      <c r="A306" s="72">
        <v>1667</v>
      </c>
      <c r="B306" s="72" t="s">
        <v>253</v>
      </c>
      <c r="C306" s="72">
        <v>10</v>
      </c>
      <c r="D306" s="78">
        <v>1256800000</v>
      </c>
      <c r="E306" s="78">
        <v>173950000</v>
      </c>
      <c r="F306" s="78">
        <v>209650000</v>
      </c>
      <c r="G306" s="78">
        <v>13112</v>
      </c>
      <c r="H306" s="78">
        <v>3</v>
      </c>
      <c r="I306" s="78">
        <f t="shared" si="14"/>
        <v>209.65</v>
      </c>
      <c r="J306" s="78">
        <v>2630</v>
      </c>
      <c r="K306" s="78">
        <v>2659</v>
      </c>
      <c r="L306" s="78">
        <v>740</v>
      </c>
      <c r="M306" s="78">
        <v>1371</v>
      </c>
      <c r="N306" s="78">
        <f t="shared" si="15"/>
        <v>797.4</v>
      </c>
      <c r="O306" s="78">
        <v>88</v>
      </c>
      <c r="P306" s="78">
        <v>23</v>
      </c>
      <c r="Q306" s="78">
        <v>667</v>
      </c>
      <c r="R306" s="78">
        <v>1551</v>
      </c>
      <c r="S306" s="78">
        <v>140</v>
      </c>
      <c r="T306" s="78">
        <v>0</v>
      </c>
      <c r="U306" s="78">
        <v>286</v>
      </c>
      <c r="V306" s="78">
        <v>5562</v>
      </c>
      <c r="W306" s="78">
        <v>11720</v>
      </c>
      <c r="X306" s="78">
        <v>2560</v>
      </c>
      <c r="Y306" s="78">
        <v>0</v>
      </c>
      <c r="Z306" s="78">
        <v>0</v>
      </c>
      <c r="AA306" s="78">
        <v>0</v>
      </c>
      <c r="AB306" s="399">
        <v>0</v>
      </c>
      <c r="AC306" s="399">
        <v>0</v>
      </c>
      <c r="AD306" s="78">
        <v>7781</v>
      </c>
      <c r="AE306" s="78">
        <v>7781</v>
      </c>
      <c r="AF306" s="78">
        <v>86</v>
      </c>
      <c r="AG306" s="78">
        <v>0</v>
      </c>
      <c r="AH306" s="78">
        <v>83</v>
      </c>
      <c r="AI306" s="78">
        <v>99</v>
      </c>
      <c r="AJ306" s="78">
        <v>83</v>
      </c>
      <c r="AK306" s="78">
        <v>99</v>
      </c>
      <c r="AL306" s="78">
        <v>182</v>
      </c>
      <c r="AM306" s="78">
        <v>5736</v>
      </c>
      <c r="AN306" s="78">
        <v>5736</v>
      </c>
      <c r="AO306" s="78">
        <v>0</v>
      </c>
      <c r="AP306" s="78">
        <v>0</v>
      </c>
      <c r="AQ306" s="78">
        <v>0</v>
      </c>
      <c r="AR306" s="78">
        <v>0</v>
      </c>
      <c r="AS306" s="78">
        <v>0</v>
      </c>
      <c r="AT306" s="78">
        <v>0</v>
      </c>
      <c r="AU306" s="400">
        <v>8.0006999999999995E-5</v>
      </c>
      <c r="AV306" s="400">
        <v>4.1189999999999997E-5</v>
      </c>
      <c r="AW306" s="78">
        <v>3246.576</v>
      </c>
      <c r="AX306" s="78">
        <v>0</v>
      </c>
      <c r="AY306" s="78">
        <v>390</v>
      </c>
      <c r="AZ306" s="78">
        <v>650.01652472352896</v>
      </c>
      <c r="BA306" s="78">
        <v>8</v>
      </c>
      <c r="BB306" s="78">
        <v>8</v>
      </c>
      <c r="BC306" s="78">
        <v>1625</v>
      </c>
      <c r="BD306" s="78">
        <v>1</v>
      </c>
      <c r="BE306" s="78">
        <v>0</v>
      </c>
      <c r="BF306" s="78">
        <v>0</v>
      </c>
      <c r="BG306" s="78">
        <v>0</v>
      </c>
      <c r="BH306" s="78">
        <v>0</v>
      </c>
      <c r="BI306" s="78">
        <v>0</v>
      </c>
      <c r="BJ306" s="78">
        <v>0</v>
      </c>
      <c r="BK306" s="78">
        <v>0</v>
      </c>
      <c r="BL306" s="78">
        <v>0</v>
      </c>
      <c r="BM306" s="78">
        <v>231.44</v>
      </c>
      <c r="BN306" s="78">
        <v>33</v>
      </c>
      <c r="BO306" s="78">
        <v>29</v>
      </c>
      <c r="BP306" s="78">
        <v>3843.7</v>
      </c>
      <c r="BQ306" s="78">
        <v>973.41</v>
      </c>
      <c r="BR306" s="78">
        <v>98.164815553340006</v>
      </c>
      <c r="BS306" s="78">
        <v>119</v>
      </c>
      <c r="BT306" s="78">
        <v>24.3333333333333</v>
      </c>
      <c r="BU306" s="78">
        <v>18.3333333333333</v>
      </c>
      <c r="BV306" s="78">
        <f t="shared" si="16"/>
        <v>579</v>
      </c>
      <c r="BW306" s="78">
        <v>114</v>
      </c>
      <c r="BX306" s="78">
        <v>2294.9011944869799</v>
      </c>
      <c r="BY306" s="402">
        <v>6.6000000000000003E-2</v>
      </c>
      <c r="BZ306" s="78">
        <v>10453</v>
      </c>
      <c r="CA306" s="78">
        <v>1685</v>
      </c>
      <c r="CB306" s="78">
        <v>234</v>
      </c>
      <c r="CC306" s="78">
        <v>256</v>
      </c>
      <c r="CD306" s="78">
        <v>242</v>
      </c>
      <c r="CE306" s="78">
        <v>127</v>
      </c>
      <c r="CF306" s="78">
        <v>137.20951882845199</v>
      </c>
      <c r="CG306" s="78">
        <v>69.508368200836799</v>
      </c>
      <c r="CH306" s="78">
        <v>24.466945606694601</v>
      </c>
      <c r="CI306" s="78">
        <v>424.31130000000002</v>
      </c>
      <c r="CJ306" s="78">
        <v>214.95</v>
      </c>
      <c r="CK306" s="78">
        <v>75.662400000000005</v>
      </c>
      <c r="CL306" s="78">
        <v>0</v>
      </c>
    </row>
    <row r="307" spans="1:90" customFormat="1" x14ac:dyDescent="0.35">
      <c r="A307" s="72">
        <v>1674</v>
      </c>
      <c r="B307" s="72" t="s">
        <v>261</v>
      </c>
      <c r="C307" s="72">
        <v>10</v>
      </c>
      <c r="D307" s="78">
        <v>6270800000</v>
      </c>
      <c r="E307" s="78">
        <v>1309000000</v>
      </c>
      <c r="F307" s="78">
        <v>1395800000</v>
      </c>
      <c r="G307" s="78">
        <v>77251</v>
      </c>
      <c r="H307" s="78">
        <v>4</v>
      </c>
      <c r="I307" s="78">
        <f t="shared" si="14"/>
        <v>1395.8</v>
      </c>
      <c r="J307" s="78">
        <v>14087</v>
      </c>
      <c r="K307" s="78">
        <v>16691</v>
      </c>
      <c r="L307" s="78">
        <v>5416</v>
      </c>
      <c r="M307" s="78">
        <v>11341</v>
      </c>
      <c r="N307" s="78">
        <f t="shared" si="15"/>
        <v>7776.2999999999993</v>
      </c>
      <c r="O307" s="78">
        <v>1765.6666666666699</v>
      </c>
      <c r="P307" s="78">
        <v>75</v>
      </c>
      <c r="Q307" s="78">
        <v>5897.6666666666697</v>
      </c>
      <c r="R307" s="78">
        <v>12755</v>
      </c>
      <c r="S307" s="78">
        <v>7830</v>
      </c>
      <c r="T307" s="78">
        <v>0</v>
      </c>
      <c r="U307" s="78">
        <v>2590</v>
      </c>
      <c r="V307" s="78">
        <v>36526</v>
      </c>
      <c r="W307" s="78">
        <v>83400</v>
      </c>
      <c r="X307" s="78">
        <v>85550</v>
      </c>
      <c r="Y307" s="78">
        <v>2414.7199999999998</v>
      </c>
      <c r="Z307" s="78">
        <v>3366.4</v>
      </c>
      <c r="AA307" s="78">
        <v>0</v>
      </c>
      <c r="AB307" s="399">
        <v>0</v>
      </c>
      <c r="AC307" s="399">
        <v>0</v>
      </c>
      <c r="AD307" s="78">
        <v>10648</v>
      </c>
      <c r="AE307" s="78">
        <v>10648</v>
      </c>
      <c r="AF307" s="78">
        <v>69</v>
      </c>
      <c r="AG307" s="78">
        <v>0</v>
      </c>
      <c r="AH307" s="78">
        <v>461</v>
      </c>
      <c r="AI307" s="78">
        <v>118</v>
      </c>
      <c r="AJ307" s="78">
        <v>461</v>
      </c>
      <c r="AK307" s="78">
        <v>118</v>
      </c>
      <c r="AL307" s="78">
        <v>579</v>
      </c>
      <c r="AM307" s="78">
        <v>35647</v>
      </c>
      <c r="AN307" s="78">
        <v>35647</v>
      </c>
      <c r="AO307" s="78">
        <v>10</v>
      </c>
      <c r="AP307" s="78">
        <v>0</v>
      </c>
      <c r="AQ307" s="78">
        <v>0</v>
      </c>
      <c r="AR307" s="78">
        <v>0</v>
      </c>
      <c r="AS307" s="78">
        <v>3464</v>
      </c>
      <c r="AT307" s="78">
        <v>3464</v>
      </c>
      <c r="AU307" s="400">
        <v>1.117552E-3</v>
      </c>
      <c r="AV307" s="400">
        <v>1.6063830000000001E-3</v>
      </c>
      <c r="AW307" s="78">
        <v>61598.016000000003</v>
      </c>
      <c r="AX307" s="78">
        <v>0</v>
      </c>
      <c r="AY307" s="78">
        <v>1305</v>
      </c>
      <c r="AZ307" s="78">
        <v>9406.7887468507997</v>
      </c>
      <c r="BA307" s="78">
        <v>9</v>
      </c>
      <c r="BB307" s="78">
        <v>9</v>
      </c>
      <c r="BC307" s="78">
        <v>7723</v>
      </c>
      <c r="BD307" s="78">
        <v>1</v>
      </c>
      <c r="BE307" s="78">
        <v>0</v>
      </c>
      <c r="BF307" s="78">
        <v>0</v>
      </c>
      <c r="BG307" s="78">
        <v>0</v>
      </c>
      <c r="BH307" s="78">
        <v>0</v>
      </c>
      <c r="BI307" s="78">
        <v>0</v>
      </c>
      <c r="BJ307" s="78">
        <v>0</v>
      </c>
      <c r="BK307" s="78">
        <v>0</v>
      </c>
      <c r="BL307" s="78">
        <v>0</v>
      </c>
      <c r="BM307" s="78">
        <v>2127.1370000000002</v>
      </c>
      <c r="BN307" s="78">
        <v>224</v>
      </c>
      <c r="BO307" s="78">
        <v>313</v>
      </c>
      <c r="BP307" s="78">
        <v>22587.52</v>
      </c>
      <c r="BQ307" s="78">
        <v>4946.3599999999997</v>
      </c>
      <c r="BR307" s="78">
        <v>575.82369860279402</v>
      </c>
      <c r="BS307" s="78">
        <v>1020</v>
      </c>
      <c r="BT307" s="78">
        <v>552.33333333333303</v>
      </c>
      <c r="BU307" s="78">
        <v>461.66666666666703</v>
      </c>
      <c r="BV307" s="78">
        <f t="shared" si="16"/>
        <v>4132</v>
      </c>
      <c r="BW307" s="78">
        <v>1032</v>
      </c>
      <c r="BX307" s="78">
        <v>15012.7197808703</v>
      </c>
      <c r="BY307" s="402">
        <v>4.8179999999999996</v>
      </c>
      <c r="BZ307" s="78">
        <v>60560</v>
      </c>
      <c r="CA307" s="78">
        <v>9481</v>
      </c>
      <c r="CB307" s="78">
        <v>1794</v>
      </c>
      <c r="CC307" s="78">
        <v>2042</v>
      </c>
      <c r="CD307" s="78">
        <v>1863</v>
      </c>
      <c r="CE307" s="78">
        <v>859</v>
      </c>
      <c r="CF307" s="78">
        <v>1271.799281847</v>
      </c>
      <c r="CG307" s="78">
        <v>806.49089965495</v>
      </c>
      <c r="CH307" s="78">
        <v>259.37724633209001</v>
      </c>
      <c r="CI307" s="78">
        <v>2783.8249999999998</v>
      </c>
      <c r="CJ307" s="78">
        <v>1765.3175000000001</v>
      </c>
      <c r="CK307" s="78">
        <v>567.74749999999995</v>
      </c>
      <c r="CL307" s="78">
        <v>87296</v>
      </c>
    </row>
    <row r="308" spans="1:90" customFormat="1" x14ac:dyDescent="0.35">
      <c r="A308" s="72">
        <v>840</v>
      </c>
      <c r="B308" s="72" t="s">
        <v>264</v>
      </c>
      <c r="C308" s="72">
        <v>10</v>
      </c>
      <c r="D308" s="78">
        <v>2040800000</v>
      </c>
      <c r="E308" s="78">
        <v>274400000</v>
      </c>
      <c r="F308" s="78">
        <v>316050000</v>
      </c>
      <c r="G308" s="78">
        <v>22878</v>
      </c>
      <c r="H308" s="78">
        <v>2</v>
      </c>
      <c r="I308" s="78">
        <f t="shared" si="14"/>
        <v>316.05</v>
      </c>
      <c r="J308" s="78">
        <v>3591</v>
      </c>
      <c r="K308" s="78">
        <v>5144</v>
      </c>
      <c r="L308" s="78">
        <v>1644</v>
      </c>
      <c r="M308" s="78">
        <v>2930</v>
      </c>
      <c r="N308" s="78">
        <f t="shared" si="15"/>
        <v>1930</v>
      </c>
      <c r="O308" s="78">
        <v>306.33333333333297</v>
      </c>
      <c r="P308" s="78">
        <v>14</v>
      </c>
      <c r="Q308" s="78">
        <v>2003.3333333333301</v>
      </c>
      <c r="R308" s="78">
        <v>2779</v>
      </c>
      <c r="S308" s="78">
        <v>415</v>
      </c>
      <c r="T308" s="78">
        <v>0</v>
      </c>
      <c r="U308" s="78">
        <v>547</v>
      </c>
      <c r="V308" s="78">
        <v>10138</v>
      </c>
      <c r="W308" s="78">
        <v>21090</v>
      </c>
      <c r="X308" s="78">
        <v>9110</v>
      </c>
      <c r="Y308" s="78">
        <v>0</v>
      </c>
      <c r="Z308" s="78">
        <v>291.2</v>
      </c>
      <c r="AA308" s="78">
        <v>0</v>
      </c>
      <c r="AB308" s="399">
        <v>0</v>
      </c>
      <c r="AC308" s="399">
        <v>10.899999999999977</v>
      </c>
      <c r="AD308" s="78">
        <v>6438</v>
      </c>
      <c r="AE308" s="78">
        <v>6438</v>
      </c>
      <c r="AF308" s="78">
        <v>9</v>
      </c>
      <c r="AG308" s="78">
        <v>0</v>
      </c>
      <c r="AH308" s="78">
        <v>143</v>
      </c>
      <c r="AI308" s="78">
        <v>65</v>
      </c>
      <c r="AJ308" s="78">
        <v>143</v>
      </c>
      <c r="AK308" s="78">
        <v>65</v>
      </c>
      <c r="AL308" s="78">
        <v>208</v>
      </c>
      <c r="AM308" s="78">
        <v>10000</v>
      </c>
      <c r="AN308" s="78">
        <v>10000</v>
      </c>
      <c r="AO308" s="78">
        <v>0</v>
      </c>
      <c r="AP308" s="78">
        <v>0</v>
      </c>
      <c r="AQ308" s="78">
        <v>0</v>
      </c>
      <c r="AR308" s="78">
        <v>0</v>
      </c>
      <c r="AS308" s="78">
        <v>637</v>
      </c>
      <c r="AT308" s="78">
        <v>0</v>
      </c>
      <c r="AU308" s="400">
        <v>1.4663499999999999E-4</v>
      </c>
      <c r="AV308" s="400">
        <v>1.07153E-4</v>
      </c>
      <c r="AW308" s="78">
        <v>6710</v>
      </c>
      <c r="AX308" s="78">
        <v>0</v>
      </c>
      <c r="AY308" s="78">
        <v>230</v>
      </c>
      <c r="AZ308" s="78">
        <v>816.18427175430395</v>
      </c>
      <c r="BA308" s="78">
        <v>6</v>
      </c>
      <c r="BB308" s="78">
        <v>6</v>
      </c>
      <c r="BC308" s="78">
        <v>2718</v>
      </c>
      <c r="BD308" s="78">
        <v>1</v>
      </c>
      <c r="BE308" s="78">
        <v>0</v>
      </c>
      <c r="BF308" s="78">
        <v>0</v>
      </c>
      <c r="BG308" s="78">
        <v>0</v>
      </c>
      <c r="BH308" s="78">
        <v>0</v>
      </c>
      <c r="BI308" s="78">
        <v>0</v>
      </c>
      <c r="BJ308" s="78">
        <v>0</v>
      </c>
      <c r="BK308" s="78">
        <v>0</v>
      </c>
      <c r="BL308" s="78">
        <v>0</v>
      </c>
      <c r="BM308" s="78">
        <v>344.73599999999999</v>
      </c>
      <c r="BN308" s="78">
        <v>116</v>
      </c>
      <c r="BO308" s="78">
        <v>59</v>
      </c>
      <c r="BP308" s="78">
        <v>6452.55</v>
      </c>
      <c r="BQ308" s="78">
        <v>1413.75</v>
      </c>
      <c r="BR308" s="78">
        <v>111.72561971831</v>
      </c>
      <c r="BS308" s="78">
        <v>178</v>
      </c>
      <c r="BT308" s="78">
        <v>74.3333333333333</v>
      </c>
      <c r="BU308" s="78">
        <v>68.6666666666667</v>
      </c>
      <c r="BV308" s="78">
        <f t="shared" si="16"/>
        <v>1696.999999999997</v>
      </c>
      <c r="BW308" s="78">
        <v>224</v>
      </c>
      <c r="BX308" s="78">
        <v>5999.6065071770299</v>
      </c>
      <c r="BY308" s="402">
        <v>0.56599999999999995</v>
      </c>
      <c r="BZ308" s="78">
        <v>17734</v>
      </c>
      <c r="CA308" s="78">
        <v>3069</v>
      </c>
      <c r="CB308" s="78">
        <v>431</v>
      </c>
      <c r="CC308" s="78">
        <v>571</v>
      </c>
      <c r="CD308" s="78">
        <v>511</v>
      </c>
      <c r="CE308" s="78">
        <v>228</v>
      </c>
      <c r="CF308" s="78">
        <v>353.76900000000001</v>
      </c>
      <c r="CG308" s="78">
        <v>200.91300000000001</v>
      </c>
      <c r="CH308" s="78">
        <v>55.198</v>
      </c>
      <c r="CI308" s="78">
        <v>875.25750000000005</v>
      </c>
      <c r="CJ308" s="78">
        <v>497.07749999999999</v>
      </c>
      <c r="CK308" s="78">
        <v>136.565</v>
      </c>
      <c r="CL308" s="78">
        <v>7938</v>
      </c>
    </row>
    <row r="309" spans="1:90" customFormat="1" x14ac:dyDescent="0.35">
      <c r="A309" s="72">
        <v>796</v>
      </c>
      <c r="B309" s="72" t="s">
        <v>271</v>
      </c>
      <c r="C309" s="72">
        <v>10</v>
      </c>
      <c r="D309" s="78">
        <v>16920400000</v>
      </c>
      <c r="E309" s="78">
        <v>3183600000</v>
      </c>
      <c r="F309" s="78">
        <v>3274950000</v>
      </c>
      <c r="G309" s="78">
        <v>155111</v>
      </c>
      <c r="H309" s="78">
        <v>5</v>
      </c>
      <c r="I309" s="78">
        <f t="shared" si="14"/>
        <v>3274.95</v>
      </c>
      <c r="J309" s="78">
        <v>28658</v>
      </c>
      <c r="K309" s="78">
        <v>28209</v>
      </c>
      <c r="L309" s="78">
        <v>8569</v>
      </c>
      <c r="M309" s="78">
        <v>21814</v>
      </c>
      <c r="N309" s="78">
        <f t="shared" si="15"/>
        <v>14406.099999999999</v>
      </c>
      <c r="O309" s="78">
        <v>3530.6666666666702</v>
      </c>
      <c r="P309" s="78">
        <v>478</v>
      </c>
      <c r="Q309" s="78">
        <v>12408.666666666701</v>
      </c>
      <c r="R309" s="78">
        <v>29457</v>
      </c>
      <c r="S309" s="78">
        <v>12020</v>
      </c>
      <c r="T309" s="78">
        <v>0</v>
      </c>
      <c r="U309" s="78">
        <v>5230</v>
      </c>
      <c r="V309" s="78">
        <v>75620</v>
      </c>
      <c r="W309" s="78">
        <v>177970</v>
      </c>
      <c r="X309" s="78">
        <v>261660</v>
      </c>
      <c r="Y309" s="78">
        <v>4776.4799999999996</v>
      </c>
      <c r="Z309" s="78">
        <v>6754.4</v>
      </c>
      <c r="AA309" s="78">
        <v>0</v>
      </c>
      <c r="AB309" s="399">
        <v>0</v>
      </c>
      <c r="AC309" s="399">
        <v>0</v>
      </c>
      <c r="AD309" s="78">
        <v>10943</v>
      </c>
      <c r="AE309" s="78">
        <v>10943</v>
      </c>
      <c r="AF309" s="78">
        <v>839</v>
      </c>
      <c r="AG309" s="78">
        <v>0</v>
      </c>
      <c r="AH309" s="78">
        <v>782</v>
      </c>
      <c r="AI309" s="78">
        <v>90</v>
      </c>
      <c r="AJ309" s="78">
        <v>782</v>
      </c>
      <c r="AK309" s="78">
        <v>90</v>
      </c>
      <c r="AL309" s="78">
        <v>872</v>
      </c>
      <c r="AM309" s="78">
        <v>74079</v>
      </c>
      <c r="AN309" s="78">
        <v>74079</v>
      </c>
      <c r="AO309" s="78">
        <v>0</v>
      </c>
      <c r="AP309" s="78">
        <v>54</v>
      </c>
      <c r="AQ309" s="78">
        <v>0</v>
      </c>
      <c r="AR309" s="78">
        <v>7350</v>
      </c>
      <c r="AS309" s="78">
        <v>8390</v>
      </c>
      <c r="AT309" s="78">
        <v>8390</v>
      </c>
      <c r="AU309" s="400">
        <v>3.4843320000000001E-3</v>
      </c>
      <c r="AV309" s="400">
        <v>5.3910310000000001E-3</v>
      </c>
      <c r="AW309" s="78">
        <v>147046.815</v>
      </c>
      <c r="AX309" s="78">
        <v>0</v>
      </c>
      <c r="AY309" s="78">
        <v>5119</v>
      </c>
      <c r="AZ309" s="78">
        <v>67392.056442030196</v>
      </c>
      <c r="BA309" s="78">
        <v>9</v>
      </c>
      <c r="BB309" s="78">
        <v>9</v>
      </c>
      <c r="BC309" s="78">
        <v>21370</v>
      </c>
      <c r="BD309" s="78">
        <v>1</v>
      </c>
      <c r="BE309" s="78">
        <v>0</v>
      </c>
      <c r="BF309" s="78">
        <v>0</v>
      </c>
      <c r="BG309" s="78">
        <v>0</v>
      </c>
      <c r="BH309" s="78">
        <v>0</v>
      </c>
      <c r="BI309" s="78">
        <v>0</v>
      </c>
      <c r="BJ309" s="78">
        <v>0</v>
      </c>
      <c r="BK309" s="78">
        <v>0</v>
      </c>
      <c r="BL309" s="78">
        <v>0</v>
      </c>
      <c r="BM309" s="78">
        <v>3639.5659999999998</v>
      </c>
      <c r="BN309" s="78">
        <v>515</v>
      </c>
      <c r="BO309" s="78">
        <v>691</v>
      </c>
      <c r="BP309" s="78">
        <v>50651.519999999997</v>
      </c>
      <c r="BQ309" s="78">
        <v>11205.6</v>
      </c>
      <c r="BR309" s="78">
        <v>1384.8914250043999</v>
      </c>
      <c r="BS309" s="78">
        <v>1994</v>
      </c>
      <c r="BT309" s="78">
        <v>866.66666666666697</v>
      </c>
      <c r="BU309" s="78">
        <v>822</v>
      </c>
      <c r="BV309" s="78">
        <f t="shared" si="16"/>
        <v>8878.0000000000309</v>
      </c>
      <c r="BW309" s="78">
        <v>2293</v>
      </c>
      <c r="BX309" s="78">
        <v>24082.062808598901</v>
      </c>
      <c r="BY309" s="402">
        <v>7.2530000000000001</v>
      </c>
      <c r="BZ309" s="78">
        <v>126902</v>
      </c>
      <c r="CA309" s="78">
        <v>16650</v>
      </c>
      <c r="CB309" s="78">
        <v>2990</v>
      </c>
      <c r="CC309" s="78">
        <v>4425</v>
      </c>
      <c r="CD309" s="78">
        <v>3160</v>
      </c>
      <c r="CE309" s="78">
        <v>1558</v>
      </c>
      <c r="CF309" s="78">
        <v>2087.0457916548498</v>
      </c>
      <c r="CG309" s="78">
        <v>1146.7861566705801</v>
      </c>
      <c r="CH309" s="78">
        <v>399.82912296332302</v>
      </c>
      <c r="CI309" s="78">
        <v>4493.4884000000002</v>
      </c>
      <c r="CJ309" s="78">
        <v>2469.0738999999999</v>
      </c>
      <c r="CK309" s="78">
        <v>860.84720000000004</v>
      </c>
      <c r="CL309" s="78">
        <v>218253</v>
      </c>
    </row>
    <row r="310" spans="1:90" customFormat="1" x14ac:dyDescent="0.35">
      <c r="A310" s="72">
        <v>1702</v>
      </c>
      <c r="B310" s="72" t="s">
        <v>273</v>
      </c>
      <c r="C310" s="72">
        <v>10</v>
      </c>
      <c r="D310" s="78">
        <v>1064000000</v>
      </c>
      <c r="E310" s="78">
        <v>207550000</v>
      </c>
      <c r="F310" s="78">
        <v>252350000</v>
      </c>
      <c r="G310" s="78">
        <v>11664</v>
      </c>
      <c r="H310" s="78">
        <v>2</v>
      </c>
      <c r="I310" s="78">
        <f t="shared" si="14"/>
        <v>252.35</v>
      </c>
      <c r="J310" s="78">
        <v>2154</v>
      </c>
      <c r="K310" s="78">
        <v>2530</v>
      </c>
      <c r="L310" s="78">
        <v>782</v>
      </c>
      <c r="M310" s="78">
        <v>1230</v>
      </c>
      <c r="N310" s="78">
        <f t="shared" si="15"/>
        <v>726.8</v>
      </c>
      <c r="O310" s="78">
        <v>75</v>
      </c>
      <c r="P310" s="78">
        <v>23</v>
      </c>
      <c r="Q310" s="78">
        <v>746</v>
      </c>
      <c r="R310" s="78">
        <v>1254</v>
      </c>
      <c r="S310" s="78">
        <v>150</v>
      </c>
      <c r="T310" s="78">
        <v>0</v>
      </c>
      <c r="U310" s="78">
        <v>207</v>
      </c>
      <c r="V310" s="78">
        <v>5005</v>
      </c>
      <c r="W310" s="78">
        <v>9270</v>
      </c>
      <c r="X310" s="78">
        <v>1110</v>
      </c>
      <c r="Y310" s="78">
        <v>325.24</v>
      </c>
      <c r="Z310" s="78">
        <v>812.8</v>
      </c>
      <c r="AA310" s="78">
        <v>0</v>
      </c>
      <c r="AB310" s="399">
        <v>0</v>
      </c>
      <c r="AC310" s="399">
        <v>0</v>
      </c>
      <c r="AD310" s="78">
        <v>9926</v>
      </c>
      <c r="AE310" s="78">
        <v>9926</v>
      </c>
      <c r="AF310" s="78">
        <v>50</v>
      </c>
      <c r="AG310" s="78">
        <v>0</v>
      </c>
      <c r="AH310" s="78">
        <v>70</v>
      </c>
      <c r="AI310" s="78">
        <v>159</v>
      </c>
      <c r="AJ310" s="78">
        <v>70</v>
      </c>
      <c r="AK310" s="78">
        <v>159</v>
      </c>
      <c r="AL310" s="78">
        <v>229</v>
      </c>
      <c r="AM310" s="78">
        <v>5032</v>
      </c>
      <c r="AN310" s="78">
        <v>5032</v>
      </c>
      <c r="AO310" s="78">
        <v>0</v>
      </c>
      <c r="AP310" s="78">
        <v>0</v>
      </c>
      <c r="AQ310" s="78">
        <v>0</v>
      </c>
      <c r="AR310" s="78">
        <v>0</v>
      </c>
      <c r="AS310" s="78">
        <v>0</v>
      </c>
      <c r="AT310" s="78">
        <v>0</v>
      </c>
      <c r="AU310" s="400">
        <v>1.09211E-4</v>
      </c>
      <c r="AV310" s="400">
        <v>4.1091999999999999E-5</v>
      </c>
      <c r="AW310" s="78">
        <v>1373.7360000000001</v>
      </c>
      <c r="AX310" s="78">
        <v>0</v>
      </c>
      <c r="AY310" s="78">
        <v>731</v>
      </c>
      <c r="AZ310" s="78">
        <v>854.68965517241395</v>
      </c>
      <c r="BA310" s="78">
        <v>7</v>
      </c>
      <c r="BB310" s="78">
        <v>7</v>
      </c>
      <c r="BC310" s="78">
        <v>1531</v>
      </c>
      <c r="BD310" s="78">
        <v>1</v>
      </c>
      <c r="BE310" s="78">
        <v>0</v>
      </c>
      <c r="BF310" s="78">
        <v>0</v>
      </c>
      <c r="BG310" s="78">
        <v>0</v>
      </c>
      <c r="BH310" s="78">
        <v>0</v>
      </c>
      <c r="BI310" s="78">
        <v>0</v>
      </c>
      <c r="BJ310" s="78">
        <v>0</v>
      </c>
      <c r="BK310" s="78">
        <v>0</v>
      </c>
      <c r="BL310" s="78">
        <v>0</v>
      </c>
      <c r="BM310" s="78">
        <v>150.78</v>
      </c>
      <c r="BN310" s="78">
        <v>9</v>
      </c>
      <c r="BO310" s="78">
        <v>16</v>
      </c>
      <c r="BP310" s="78">
        <v>3238.17</v>
      </c>
      <c r="BQ310" s="78">
        <v>750.42</v>
      </c>
      <c r="BR310" s="78">
        <v>52.003714285714302</v>
      </c>
      <c r="BS310" s="78">
        <v>83</v>
      </c>
      <c r="BT310" s="78">
        <v>25.6666666666667</v>
      </c>
      <c r="BU310" s="78">
        <v>13</v>
      </c>
      <c r="BV310" s="78">
        <f t="shared" si="16"/>
        <v>671</v>
      </c>
      <c r="BW310" s="78">
        <v>263</v>
      </c>
      <c r="BX310" s="78">
        <v>1829.3766948130301</v>
      </c>
      <c r="BY310" s="402">
        <v>0.06</v>
      </c>
      <c r="BZ310" s="78">
        <v>9134</v>
      </c>
      <c r="CA310" s="78">
        <v>1383</v>
      </c>
      <c r="CB310" s="78">
        <v>365</v>
      </c>
      <c r="CC310" s="78">
        <v>206</v>
      </c>
      <c r="CD310" s="78">
        <v>239</v>
      </c>
      <c r="CE310" s="78">
        <v>165</v>
      </c>
      <c r="CF310" s="78">
        <v>117.137281399046</v>
      </c>
      <c r="CG310" s="78">
        <v>73.806597774244807</v>
      </c>
      <c r="CH310" s="78">
        <v>34.808982511923702</v>
      </c>
      <c r="CI310" s="78">
        <v>336.565</v>
      </c>
      <c r="CJ310" s="78">
        <v>212.065</v>
      </c>
      <c r="CK310" s="78">
        <v>100.015</v>
      </c>
      <c r="CL310" s="78">
        <v>46720</v>
      </c>
    </row>
    <row r="311" spans="1:90" customFormat="1" x14ac:dyDescent="0.35">
      <c r="A311" s="72">
        <v>845</v>
      </c>
      <c r="B311" s="72" t="s">
        <v>274</v>
      </c>
      <c r="C311" s="72">
        <v>10</v>
      </c>
      <c r="D311" s="78">
        <v>3200400000</v>
      </c>
      <c r="E311" s="78">
        <v>237650000</v>
      </c>
      <c r="F311" s="78">
        <v>265300000</v>
      </c>
      <c r="G311" s="78">
        <v>29208</v>
      </c>
      <c r="H311" s="78">
        <v>4</v>
      </c>
      <c r="I311" s="78">
        <f t="shared" si="14"/>
        <v>265.3</v>
      </c>
      <c r="J311" s="78">
        <v>5939</v>
      </c>
      <c r="K311" s="78">
        <v>6318</v>
      </c>
      <c r="L311" s="78">
        <v>2075</v>
      </c>
      <c r="M311" s="78">
        <v>2904</v>
      </c>
      <c r="N311" s="78">
        <f t="shared" si="15"/>
        <v>1674.6999999999998</v>
      </c>
      <c r="O311" s="78">
        <v>244.333333333333</v>
      </c>
      <c r="P311" s="78">
        <v>45</v>
      </c>
      <c r="Q311" s="78">
        <v>1628.3333333333301</v>
      </c>
      <c r="R311" s="78">
        <v>3329</v>
      </c>
      <c r="S311" s="78">
        <v>485</v>
      </c>
      <c r="T311" s="78">
        <v>0</v>
      </c>
      <c r="U311" s="78">
        <v>658</v>
      </c>
      <c r="V311" s="78">
        <v>12397</v>
      </c>
      <c r="W311" s="78">
        <v>23270</v>
      </c>
      <c r="X311" s="78">
        <v>4510</v>
      </c>
      <c r="Y311" s="78">
        <v>1148.7546</v>
      </c>
      <c r="Z311" s="78">
        <v>845.6</v>
      </c>
      <c r="AA311" s="78">
        <v>0</v>
      </c>
      <c r="AB311" s="399">
        <v>0</v>
      </c>
      <c r="AC311" s="399">
        <v>0</v>
      </c>
      <c r="AD311" s="78">
        <v>5835</v>
      </c>
      <c r="AE311" s="78">
        <v>5835</v>
      </c>
      <c r="AF311" s="78">
        <v>100</v>
      </c>
      <c r="AG311" s="78">
        <v>0</v>
      </c>
      <c r="AH311" s="78">
        <v>168</v>
      </c>
      <c r="AI311" s="78">
        <v>57</v>
      </c>
      <c r="AJ311" s="78">
        <v>168</v>
      </c>
      <c r="AK311" s="78">
        <v>57</v>
      </c>
      <c r="AL311" s="78">
        <v>225</v>
      </c>
      <c r="AM311" s="78">
        <v>12293</v>
      </c>
      <c r="AN311" s="78">
        <v>12293</v>
      </c>
      <c r="AO311" s="78">
        <v>0</v>
      </c>
      <c r="AP311" s="78">
        <v>0</v>
      </c>
      <c r="AQ311" s="78">
        <v>0</v>
      </c>
      <c r="AR311" s="78">
        <v>0</v>
      </c>
      <c r="AS311" s="78">
        <v>0</v>
      </c>
      <c r="AT311" s="78">
        <v>0</v>
      </c>
      <c r="AU311" s="400">
        <v>1.9521E-4</v>
      </c>
      <c r="AV311" s="400">
        <v>1.06859E-4</v>
      </c>
      <c r="AW311" s="78">
        <v>7732.2969999999996</v>
      </c>
      <c r="AX311" s="78">
        <v>0</v>
      </c>
      <c r="AY311" s="78">
        <v>1292</v>
      </c>
      <c r="AZ311" s="78">
        <v>6358.3379949452401</v>
      </c>
      <c r="BA311" s="78">
        <v>7</v>
      </c>
      <c r="BB311" s="78">
        <v>7</v>
      </c>
      <c r="BC311" s="78">
        <v>3798</v>
      </c>
      <c r="BD311" s="78">
        <v>1</v>
      </c>
      <c r="BE311" s="78">
        <v>0</v>
      </c>
      <c r="BF311" s="78">
        <v>0</v>
      </c>
      <c r="BG311" s="78">
        <v>0</v>
      </c>
      <c r="BH311" s="78">
        <v>0</v>
      </c>
      <c r="BI311" s="78">
        <v>0</v>
      </c>
      <c r="BJ311" s="78">
        <v>0</v>
      </c>
      <c r="BK311" s="78">
        <v>0</v>
      </c>
      <c r="BL311" s="78">
        <v>0</v>
      </c>
      <c r="BM311" s="78">
        <v>409.791</v>
      </c>
      <c r="BN311" s="78">
        <v>77</v>
      </c>
      <c r="BO311" s="78">
        <v>65</v>
      </c>
      <c r="BP311" s="78">
        <v>9353.76</v>
      </c>
      <c r="BQ311" s="78">
        <v>2490.1799999999998</v>
      </c>
      <c r="BR311" s="78">
        <v>185.63254394299301</v>
      </c>
      <c r="BS311" s="78">
        <v>270</v>
      </c>
      <c r="BT311" s="78">
        <v>66.3333333333333</v>
      </c>
      <c r="BU311" s="78">
        <v>41.3333333333333</v>
      </c>
      <c r="BV311" s="78">
        <f t="shared" si="16"/>
        <v>1383.999999999997</v>
      </c>
      <c r="BW311" s="78">
        <v>370</v>
      </c>
      <c r="BX311" s="78">
        <v>4694.96107895554</v>
      </c>
      <c r="BY311" s="402">
        <v>0.14599999999999999</v>
      </c>
      <c r="BZ311" s="78">
        <v>22890</v>
      </c>
      <c r="CA311" s="78">
        <v>3551</v>
      </c>
      <c r="CB311" s="78">
        <v>692</v>
      </c>
      <c r="CC311" s="78">
        <v>655</v>
      </c>
      <c r="CD311" s="78">
        <v>634</v>
      </c>
      <c r="CE311" s="78">
        <v>331</v>
      </c>
      <c r="CF311" s="78">
        <v>289.629236150655</v>
      </c>
      <c r="CG311" s="78">
        <v>186.774074676645</v>
      </c>
      <c r="CH311" s="78">
        <v>63.347880907833698</v>
      </c>
      <c r="CI311" s="78">
        <v>750.90319999999997</v>
      </c>
      <c r="CJ311" s="78">
        <v>484.23719999999997</v>
      </c>
      <c r="CK311" s="78">
        <v>164.238</v>
      </c>
      <c r="CL311" s="78">
        <v>124569</v>
      </c>
    </row>
    <row r="312" spans="1:90" customFormat="1" x14ac:dyDescent="0.35">
      <c r="A312" s="72">
        <v>847</v>
      </c>
      <c r="B312" s="72" t="s">
        <v>280</v>
      </c>
      <c r="C312" s="72">
        <v>10</v>
      </c>
      <c r="D312" s="78">
        <v>1926800000</v>
      </c>
      <c r="E312" s="78">
        <v>318850000</v>
      </c>
      <c r="F312" s="78">
        <v>352100000</v>
      </c>
      <c r="G312" s="78">
        <v>19368</v>
      </c>
      <c r="H312" s="78">
        <v>3</v>
      </c>
      <c r="I312" s="78">
        <f t="shared" si="14"/>
        <v>352.1</v>
      </c>
      <c r="J312" s="78">
        <v>3473</v>
      </c>
      <c r="K312" s="78">
        <v>3921</v>
      </c>
      <c r="L312" s="78">
        <v>1348</v>
      </c>
      <c r="M312" s="78">
        <v>2349</v>
      </c>
      <c r="N312" s="78">
        <f t="shared" si="15"/>
        <v>1531.9</v>
      </c>
      <c r="O312" s="78">
        <v>195</v>
      </c>
      <c r="P312" s="78">
        <v>17</v>
      </c>
      <c r="Q312" s="78">
        <v>1068</v>
      </c>
      <c r="R312" s="78">
        <v>2409</v>
      </c>
      <c r="S312" s="78">
        <v>250</v>
      </c>
      <c r="T312" s="78">
        <v>0</v>
      </c>
      <c r="U312" s="78">
        <v>394</v>
      </c>
      <c r="V312" s="78">
        <v>8439</v>
      </c>
      <c r="W312" s="78">
        <v>16650</v>
      </c>
      <c r="X312" s="78">
        <v>6170</v>
      </c>
      <c r="Y312" s="78">
        <v>326.7</v>
      </c>
      <c r="Z312" s="78">
        <v>514.4</v>
      </c>
      <c r="AA312" s="78">
        <v>0</v>
      </c>
      <c r="AB312" s="399">
        <v>0</v>
      </c>
      <c r="AC312" s="399">
        <v>0</v>
      </c>
      <c r="AD312" s="78">
        <v>8012</v>
      </c>
      <c r="AE312" s="78">
        <v>8012</v>
      </c>
      <c r="AF312" s="78">
        <v>138</v>
      </c>
      <c r="AG312" s="78">
        <v>0</v>
      </c>
      <c r="AH312" s="78">
        <v>128</v>
      </c>
      <c r="AI312" s="78">
        <v>133</v>
      </c>
      <c r="AJ312" s="78">
        <v>128</v>
      </c>
      <c r="AK312" s="78">
        <v>133</v>
      </c>
      <c r="AL312" s="78">
        <v>260</v>
      </c>
      <c r="AM312" s="78">
        <v>8171</v>
      </c>
      <c r="AN312" s="78">
        <v>8171</v>
      </c>
      <c r="AO312" s="78">
        <v>0</v>
      </c>
      <c r="AP312" s="78">
        <v>0</v>
      </c>
      <c r="AQ312" s="78">
        <v>0</v>
      </c>
      <c r="AR312" s="78">
        <v>0</v>
      </c>
      <c r="AS312" s="78">
        <v>0</v>
      </c>
      <c r="AT312" s="78">
        <v>0</v>
      </c>
      <c r="AU312" s="400">
        <v>1.2492100000000001E-4</v>
      </c>
      <c r="AV312" s="400">
        <v>7.0666000000000004E-5</v>
      </c>
      <c r="AW312" s="78">
        <v>5964.83</v>
      </c>
      <c r="AX312" s="78">
        <v>0</v>
      </c>
      <c r="AY312" s="78">
        <v>901</v>
      </c>
      <c r="AZ312" s="78">
        <v>2141.1739877300602</v>
      </c>
      <c r="BA312" s="78">
        <v>5</v>
      </c>
      <c r="BB312" s="78">
        <v>5</v>
      </c>
      <c r="BC312" s="78">
        <v>2640</v>
      </c>
      <c r="BD312" s="78">
        <v>1</v>
      </c>
      <c r="BE312" s="78">
        <v>0</v>
      </c>
      <c r="BF312" s="78">
        <v>0</v>
      </c>
      <c r="BG312" s="78">
        <v>0</v>
      </c>
      <c r="BH312" s="78">
        <v>0</v>
      </c>
      <c r="BI312" s="78">
        <v>0</v>
      </c>
      <c r="BJ312" s="78">
        <v>0</v>
      </c>
      <c r="BK312" s="78">
        <v>0</v>
      </c>
      <c r="BL312" s="78">
        <v>0</v>
      </c>
      <c r="BM312" s="78">
        <v>354.24599999999998</v>
      </c>
      <c r="BN312" s="78">
        <v>31</v>
      </c>
      <c r="BO312" s="78">
        <v>49</v>
      </c>
      <c r="BP312" s="78">
        <v>5485.96</v>
      </c>
      <c r="BQ312" s="78">
        <v>1282.48</v>
      </c>
      <c r="BR312" s="78">
        <v>50.9341875</v>
      </c>
      <c r="BS312" s="78">
        <v>154</v>
      </c>
      <c r="BT312" s="78">
        <v>60.6666666666667</v>
      </c>
      <c r="BU312" s="78">
        <v>33.6666666666667</v>
      </c>
      <c r="BV312" s="78">
        <f t="shared" si="16"/>
        <v>873</v>
      </c>
      <c r="BW312" s="78">
        <v>214</v>
      </c>
      <c r="BX312" s="78">
        <v>3024.5434468481499</v>
      </c>
      <c r="BY312" s="402">
        <v>0.128</v>
      </c>
      <c r="BZ312" s="78">
        <v>15447</v>
      </c>
      <c r="CA312" s="78">
        <v>2122</v>
      </c>
      <c r="CB312" s="78">
        <v>451</v>
      </c>
      <c r="CC312" s="78">
        <v>372</v>
      </c>
      <c r="CD312" s="78">
        <v>422</v>
      </c>
      <c r="CE312" s="78">
        <v>199</v>
      </c>
      <c r="CF312" s="78">
        <v>241.47438502019301</v>
      </c>
      <c r="CG312" s="78">
        <v>160.48297637988</v>
      </c>
      <c r="CH312" s="78">
        <v>52.3069514135357</v>
      </c>
      <c r="CI312" s="78">
        <v>588.74480000000005</v>
      </c>
      <c r="CJ312" s="78">
        <v>391.27760000000001</v>
      </c>
      <c r="CK312" s="78">
        <v>127.5309</v>
      </c>
      <c r="CL312" s="78">
        <v>0</v>
      </c>
    </row>
    <row r="313" spans="1:90" customFormat="1" x14ac:dyDescent="0.35">
      <c r="A313" s="72">
        <v>848</v>
      </c>
      <c r="B313" s="72" t="s">
        <v>281</v>
      </c>
      <c r="C313" s="72">
        <v>10</v>
      </c>
      <c r="D313" s="78">
        <v>2032400000</v>
      </c>
      <c r="E313" s="78">
        <v>460950000</v>
      </c>
      <c r="F313" s="78">
        <v>471100000</v>
      </c>
      <c r="G313" s="78">
        <v>17322</v>
      </c>
      <c r="H313" s="78">
        <v>1</v>
      </c>
      <c r="I313" s="78">
        <f t="shared" si="14"/>
        <v>471.1</v>
      </c>
      <c r="J313" s="78">
        <v>3552</v>
      </c>
      <c r="K313" s="78">
        <v>3886</v>
      </c>
      <c r="L313" s="78">
        <v>1515</v>
      </c>
      <c r="M313" s="78">
        <v>1599</v>
      </c>
      <c r="N313" s="78">
        <f t="shared" si="15"/>
        <v>876</v>
      </c>
      <c r="O313" s="78">
        <v>197</v>
      </c>
      <c r="P313" s="78">
        <v>16</v>
      </c>
      <c r="Q313" s="78">
        <v>795</v>
      </c>
      <c r="R313" s="78">
        <v>2086</v>
      </c>
      <c r="S313" s="78">
        <v>355</v>
      </c>
      <c r="T313" s="78">
        <v>0</v>
      </c>
      <c r="U313" s="78">
        <v>449</v>
      </c>
      <c r="V313" s="78">
        <v>7513</v>
      </c>
      <c r="W313" s="78">
        <v>15220</v>
      </c>
      <c r="X313" s="78">
        <v>5330</v>
      </c>
      <c r="Y313" s="78">
        <v>442.88</v>
      </c>
      <c r="Z313" s="78">
        <v>0</v>
      </c>
      <c r="AA313" s="78">
        <v>0</v>
      </c>
      <c r="AB313" s="399">
        <v>0</v>
      </c>
      <c r="AC313" s="399">
        <v>0</v>
      </c>
      <c r="AD313" s="78">
        <v>2594</v>
      </c>
      <c r="AE313" s="78">
        <v>2594</v>
      </c>
      <c r="AF313" s="78">
        <v>57</v>
      </c>
      <c r="AG313" s="78">
        <v>0</v>
      </c>
      <c r="AH313" s="78">
        <v>137</v>
      </c>
      <c r="AI313" s="78">
        <v>35</v>
      </c>
      <c r="AJ313" s="78">
        <v>137</v>
      </c>
      <c r="AK313" s="78">
        <v>35</v>
      </c>
      <c r="AL313" s="78">
        <v>172</v>
      </c>
      <c r="AM313" s="78">
        <v>7230</v>
      </c>
      <c r="AN313" s="78">
        <v>7230</v>
      </c>
      <c r="AO313" s="78">
        <v>0</v>
      </c>
      <c r="AP313" s="78">
        <v>0</v>
      </c>
      <c r="AQ313" s="78">
        <v>0</v>
      </c>
      <c r="AR313" s="78">
        <v>0</v>
      </c>
      <c r="AS313" s="78">
        <v>0</v>
      </c>
      <c r="AT313" s="78">
        <v>0</v>
      </c>
      <c r="AU313" s="400">
        <v>3.9898000000000003E-5</v>
      </c>
      <c r="AV313" s="400">
        <v>5.3606999999999997E-5</v>
      </c>
      <c r="AW313" s="78">
        <v>4967.01</v>
      </c>
      <c r="AX313" s="78">
        <v>0</v>
      </c>
      <c r="AY313" s="78">
        <v>560</v>
      </c>
      <c r="AZ313" s="78">
        <v>3659.11731422105</v>
      </c>
      <c r="BA313" s="78">
        <v>2</v>
      </c>
      <c r="BB313" s="78">
        <v>2</v>
      </c>
      <c r="BC313" s="78">
        <v>2231</v>
      </c>
      <c r="BD313" s="78">
        <v>1</v>
      </c>
      <c r="BE313" s="78">
        <v>0</v>
      </c>
      <c r="BF313" s="78">
        <v>0</v>
      </c>
      <c r="BG313" s="78">
        <v>0</v>
      </c>
      <c r="BH313" s="78">
        <v>0</v>
      </c>
      <c r="BI313" s="78">
        <v>0</v>
      </c>
      <c r="BJ313" s="78">
        <v>0</v>
      </c>
      <c r="BK313" s="78">
        <v>0</v>
      </c>
      <c r="BL313" s="78">
        <v>0</v>
      </c>
      <c r="BM313" s="78">
        <v>277.05599999999998</v>
      </c>
      <c r="BN313" s="78">
        <v>31</v>
      </c>
      <c r="BO313" s="78">
        <v>35</v>
      </c>
      <c r="BP313" s="78">
        <v>6174.4</v>
      </c>
      <c r="BQ313" s="78">
        <v>1562.62</v>
      </c>
      <c r="BR313" s="78">
        <v>106.475245119306</v>
      </c>
      <c r="BS313" s="78">
        <v>176</v>
      </c>
      <c r="BT313" s="78">
        <v>79.3333333333333</v>
      </c>
      <c r="BU313" s="78">
        <v>54</v>
      </c>
      <c r="BV313" s="78">
        <f t="shared" si="16"/>
        <v>598</v>
      </c>
      <c r="BW313" s="78">
        <v>200</v>
      </c>
      <c r="BX313" s="78">
        <v>2704.7897207761498</v>
      </c>
      <c r="BY313" s="402">
        <v>0.23799999999999999</v>
      </c>
      <c r="BZ313" s="78">
        <v>13436</v>
      </c>
      <c r="CA313" s="78">
        <v>1753</v>
      </c>
      <c r="CB313" s="78">
        <v>618</v>
      </c>
      <c r="CC313" s="78">
        <v>370</v>
      </c>
      <c r="CD313" s="78">
        <v>447</v>
      </c>
      <c r="CE313" s="78">
        <v>311</v>
      </c>
      <c r="CF313" s="78">
        <v>132.42987551867199</v>
      </c>
      <c r="CG313" s="78">
        <v>120.798340248963</v>
      </c>
      <c r="CH313" s="78">
        <v>53.674688796680499</v>
      </c>
      <c r="CI313" s="78">
        <v>332.81849999999997</v>
      </c>
      <c r="CJ313" s="78">
        <v>303.5865</v>
      </c>
      <c r="CK313" s="78">
        <v>134.89349999999999</v>
      </c>
      <c r="CL313" s="78">
        <v>64240</v>
      </c>
    </row>
    <row r="314" spans="1:90" customFormat="1" x14ac:dyDescent="0.35">
      <c r="A314" s="72">
        <v>851</v>
      </c>
      <c r="B314" s="72" t="s">
        <v>285</v>
      </c>
      <c r="C314" s="72">
        <v>10</v>
      </c>
      <c r="D314" s="78">
        <v>1903600000</v>
      </c>
      <c r="E314" s="78">
        <v>424550000</v>
      </c>
      <c r="F314" s="78">
        <v>468300000</v>
      </c>
      <c r="G314" s="78">
        <v>24416</v>
      </c>
      <c r="H314" s="78">
        <v>4</v>
      </c>
      <c r="I314" s="78">
        <f t="shared" si="14"/>
        <v>468.3</v>
      </c>
      <c r="J314" s="78">
        <v>4163</v>
      </c>
      <c r="K314" s="78">
        <v>5311</v>
      </c>
      <c r="L314" s="78">
        <v>1619</v>
      </c>
      <c r="M314" s="78">
        <v>3481</v>
      </c>
      <c r="N314" s="78">
        <f t="shared" si="15"/>
        <v>2424.6</v>
      </c>
      <c r="O314" s="78">
        <v>319.33333333333297</v>
      </c>
      <c r="P314" s="78">
        <v>10</v>
      </c>
      <c r="Q314" s="78">
        <v>1353.3333333333301</v>
      </c>
      <c r="R314" s="78">
        <v>3973</v>
      </c>
      <c r="S314" s="78">
        <v>470</v>
      </c>
      <c r="T314" s="78">
        <v>0</v>
      </c>
      <c r="U314" s="78">
        <v>642</v>
      </c>
      <c r="V314" s="78">
        <v>11561</v>
      </c>
      <c r="W314" s="78">
        <v>22510</v>
      </c>
      <c r="X314" s="78">
        <v>5070</v>
      </c>
      <c r="Y314" s="78">
        <v>0</v>
      </c>
      <c r="Z314" s="78">
        <v>464.8</v>
      </c>
      <c r="AA314" s="78">
        <v>0</v>
      </c>
      <c r="AB314" s="399">
        <v>0</v>
      </c>
      <c r="AC314" s="399">
        <v>166.29999999999995</v>
      </c>
      <c r="AD314" s="78">
        <v>14648</v>
      </c>
      <c r="AE314" s="78">
        <v>15380.4</v>
      </c>
      <c r="AF314" s="78">
        <v>1266</v>
      </c>
      <c r="AG314" s="78">
        <v>0</v>
      </c>
      <c r="AH314" s="78">
        <v>133</v>
      </c>
      <c r="AI314" s="78">
        <v>85</v>
      </c>
      <c r="AJ314" s="78">
        <v>144.97</v>
      </c>
      <c r="AK314" s="78">
        <v>89.25</v>
      </c>
      <c r="AL314" s="78">
        <v>219</v>
      </c>
      <c r="AM314" s="78">
        <v>10564</v>
      </c>
      <c r="AN314" s="78">
        <v>11514.76</v>
      </c>
      <c r="AO314" s="78">
        <v>8</v>
      </c>
      <c r="AP314" s="78">
        <v>0</v>
      </c>
      <c r="AQ314" s="78">
        <v>0</v>
      </c>
      <c r="AR314" s="78">
        <v>6200</v>
      </c>
      <c r="AS314" s="78">
        <v>1329</v>
      </c>
      <c r="AT314" s="78">
        <v>747</v>
      </c>
      <c r="AU314" s="400">
        <v>3.2956100000000002E-4</v>
      </c>
      <c r="AV314" s="400">
        <v>1.27284E-4</v>
      </c>
      <c r="AW314" s="78">
        <v>7669.4639999999999</v>
      </c>
      <c r="AX314" s="78">
        <v>0</v>
      </c>
      <c r="AY314" s="78">
        <v>3552.15</v>
      </c>
      <c r="AZ314" s="78">
        <v>6542.1041095890396</v>
      </c>
      <c r="BA314" s="78">
        <v>8</v>
      </c>
      <c r="BB314" s="78">
        <v>8.4</v>
      </c>
      <c r="BC314" s="78">
        <v>2533</v>
      </c>
      <c r="BD314" s="78">
        <v>1</v>
      </c>
      <c r="BE314" s="78">
        <v>0</v>
      </c>
      <c r="BF314" s="78">
        <v>0</v>
      </c>
      <c r="BG314" s="78">
        <v>0</v>
      </c>
      <c r="BH314" s="78">
        <v>0</v>
      </c>
      <c r="BI314" s="78">
        <v>0</v>
      </c>
      <c r="BJ314" s="78">
        <v>0</v>
      </c>
      <c r="BK314" s="78">
        <v>0</v>
      </c>
      <c r="BL314" s="78">
        <v>0</v>
      </c>
      <c r="BM314" s="78">
        <v>441.27800000000002</v>
      </c>
      <c r="BN314" s="78">
        <v>65</v>
      </c>
      <c r="BO314" s="78">
        <v>67</v>
      </c>
      <c r="BP314" s="78">
        <v>7315.75</v>
      </c>
      <c r="BQ314" s="78">
        <v>1570.8</v>
      </c>
      <c r="BR314" s="78">
        <v>152.70435579668799</v>
      </c>
      <c r="BS314" s="78">
        <v>224</v>
      </c>
      <c r="BT314" s="78">
        <v>105</v>
      </c>
      <c r="BU314" s="78">
        <v>78.6666666666667</v>
      </c>
      <c r="BV314" s="78">
        <f t="shared" si="16"/>
        <v>1033.999999999997</v>
      </c>
      <c r="BW314" s="78">
        <v>210</v>
      </c>
      <c r="BX314" s="78">
        <v>4856.6146850802297</v>
      </c>
      <c r="BY314" s="402">
        <v>0.68500000000000005</v>
      </c>
      <c r="BZ314" s="78">
        <v>19105</v>
      </c>
      <c r="CA314" s="78">
        <v>3087</v>
      </c>
      <c r="CB314" s="78">
        <v>605</v>
      </c>
      <c r="CC314" s="78">
        <v>575</v>
      </c>
      <c r="CD314" s="78">
        <v>550</v>
      </c>
      <c r="CE314" s="78">
        <v>269</v>
      </c>
      <c r="CF314" s="78">
        <v>429.88222264293802</v>
      </c>
      <c r="CG314" s="78">
        <v>250.17171525937101</v>
      </c>
      <c r="CH314" s="78">
        <v>88.363404013631197</v>
      </c>
      <c r="CI314" s="78">
        <v>886.49090000000001</v>
      </c>
      <c r="CJ314" s="78">
        <v>515.89700000000005</v>
      </c>
      <c r="CK314" s="78">
        <v>182.22049999999999</v>
      </c>
      <c r="CL314" s="78">
        <v>11907</v>
      </c>
    </row>
    <row r="315" spans="1:90" customFormat="1" x14ac:dyDescent="0.35">
      <c r="A315" s="72">
        <v>855</v>
      </c>
      <c r="B315" s="72" t="s">
        <v>296</v>
      </c>
      <c r="C315" s="72">
        <v>10</v>
      </c>
      <c r="D315" s="78">
        <v>18184400000</v>
      </c>
      <c r="E315" s="78">
        <v>4324250000</v>
      </c>
      <c r="F315" s="78">
        <v>4427150000</v>
      </c>
      <c r="G315" s="78">
        <v>219789</v>
      </c>
      <c r="H315" s="78">
        <v>2</v>
      </c>
      <c r="I315" s="78">
        <f t="shared" si="14"/>
        <v>4427.1499999999996</v>
      </c>
      <c r="J315" s="78">
        <v>39002</v>
      </c>
      <c r="K315" s="78">
        <v>37262</v>
      </c>
      <c r="L315" s="78">
        <v>11696</v>
      </c>
      <c r="M315" s="78">
        <v>35117</v>
      </c>
      <c r="N315" s="78">
        <f t="shared" si="15"/>
        <v>24690.799999999999</v>
      </c>
      <c r="O315" s="78">
        <v>6921.3333333333303</v>
      </c>
      <c r="P315" s="78">
        <v>364</v>
      </c>
      <c r="Q315" s="78">
        <v>18343.333333333299</v>
      </c>
      <c r="R315" s="78">
        <v>49696</v>
      </c>
      <c r="S315" s="78">
        <v>25145</v>
      </c>
      <c r="T315" s="78">
        <v>0</v>
      </c>
      <c r="U315" s="78">
        <v>7984</v>
      </c>
      <c r="V315" s="78">
        <v>112631</v>
      </c>
      <c r="W315" s="78">
        <v>247270</v>
      </c>
      <c r="X315" s="78">
        <v>382120</v>
      </c>
      <c r="Y315" s="78">
        <v>5550.56</v>
      </c>
      <c r="Z315" s="78">
        <v>8997.6</v>
      </c>
      <c r="AA315" s="78">
        <v>0</v>
      </c>
      <c r="AB315" s="399">
        <v>0</v>
      </c>
      <c r="AC315" s="399">
        <v>0</v>
      </c>
      <c r="AD315" s="78">
        <v>11605</v>
      </c>
      <c r="AE315" s="78">
        <v>11605</v>
      </c>
      <c r="AF315" s="78">
        <v>208</v>
      </c>
      <c r="AG315" s="78">
        <v>0</v>
      </c>
      <c r="AH315" s="78">
        <v>1056</v>
      </c>
      <c r="AI315" s="78">
        <v>222</v>
      </c>
      <c r="AJ315" s="78">
        <v>1056</v>
      </c>
      <c r="AK315" s="78">
        <v>222</v>
      </c>
      <c r="AL315" s="78">
        <v>1278</v>
      </c>
      <c r="AM315" s="78">
        <v>104262</v>
      </c>
      <c r="AN315" s="78">
        <v>104262</v>
      </c>
      <c r="AO315" s="78">
        <v>10</v>
      </c>
      <c r="AP315" s="78">
        <v>0</v>
      </c>
      <c r="AQ315" s="78">
        <v>0</v>
      </c>
      <c r="AR315" s="78">
        <v>0</v>
      </c>
      <c r="AS315" s="78">
        <v>16436</v>
      </c>
      <c r="AT315" s="78">
        <v>16436</v>
      </c>
      <c r="AU315" s="400">
        <v>8.6006940000000007E-3</v>
      </c>
      <c r="AV315" s="400">
        <v>1.1799999E-2</v>
      </c>
      <c r="AW315" s="78">
        <v>291829.33799999999</v>
      </c>
      <c r="AX315" s="78">
        <v>0</v>
      </c>
      <c r="AY315" s="78">
        <v>2649</v>
      </c>
      <c r="AZ315" s="78">
        <v>49286.469228815702</v>
      </c>
      <c r="BA315" s="78">
        <v>4</v>
      </c>
      <c r="BB315" s="78">
        <v>4</v>
      </c>
      <c r="BC315" s="78">
        <v>21720</v>
      </c>
      <c r="BD315" s="78">
        <v>1</v>
      </c>
      <c r="BE315" s="78">
        <v>0</v>
      </c>
      <c r="BF315" s="78">
        <v>0</v>
      </c>
      <c r="BG315" s="78">
        <v>0</v>
      </c>
      <c r="BH315" s="78">
        <v>0</v>
      </c>
      <c r="BI315" s="78">
        <v>0</v>
      </c>
      <c r="BJ315" s="78">
        <v>0</v>
      </c>
      <c r="BK315" s="78">
        <v>0</v>
      </c>
      <c r="BL315" s="78">
        <v>0</v>
      </c>
      <c r="BM315" s="78">
        <v>6591.3379999999997</v>
      </c>
      <c r="BN315" s="78">
        <v>803</v>
      </c>
      <c r="BO315" s="78">
        <v>864</v>
      </c>
      <c r="BP315" s="78">
        <v>57703.75</v>
      </c>
      <c r="BQ315" s="78">
        <v>12941.54</v>
      </c>
      <c r="BR315" s="78">
        <v>1674.6086477225199</v>
      </c>
      <c r="BS315" s="78">
        <v>3266</v>
      </c>
      <c r="BT315" s="78">
        <v>2027</v>
      </c>
      <c r="BU315" s="78">
        <v>1843</v>
      </c>
      <c r="BV315" s="78">
        <f t="shared" si="16"/>
        <v>11421.999999999969</v>
      </c>
      <c r="BW315" s="78">
        <v>3113</v>
      </c>
      <c r="BX315" s="78">
        <v>35123.224850892198</v>
      </c>
      <c r="BY315" s="402">
        <v>18.077000000000002</v>
      </c>
      <c r="BZ315" s="78">
        <v>182527</v>
      </c>
      <c r="CA315" s="78">
        <v>21507</v>
      </c>
      <c r="CB315" s="78">
        <v>4059</v>
      </c>
      <c r="CC315" s="78">
        <v>5658</v>
      </c>
      <c r="CD315" s="78">
        <v>4374</v>
      </c>
      <c r="CE315" s="78">
        <v>2036</v>
      </c>
      <c r="CF315" s="78">
        <v>3245.0752182002998</v>
      </c>
      <c r="CG315" s="78">
        <v>1893.80913084345</v>
      </c>
      <c r="CH315" s="78">
        <v>599.37863075713096</v>
      </c>
      <c r="CI315" s="78">
        <v>7325.6238000000003</v>
      </c>
      <c r="CJ315" s="78">
        <v>4275.1962000000003</v>
      </c>
      <c r="CK315" s="78">
        <v>1353.0726</v>
      </c>
      <c r="CL315" s="78">
        <v>591690</v>
      </c>
    </row>
    <row r="316" spans="1:90" customFormat="1" x14ac:dyDescent="0.35">
      <c r="A316" s="72">
        <v>856</v>
      </c>
      <c r="B316" s="72" t="s">
        <v>301</v>
      </c>
      <c r="C316" s="72">
        <v>10</v>
      </c>
      <c r="D316" s="78">
        <v>4194400000</v>
      </c>
      <c r="E316" s="78">
        <v>808150000</v>
      </c>
      <c r="F316" s="78">
        <v>848750000</v>
      </c>
      <c r="G316" s="78">
        <v>42119</v>
      </c>
      <c r="H316" s="78">
        <v>2</v>
      </c>
      <c r="I316" s="78">
        <f t="shared" si="14"/>
        <v>848.75</v>
      </c>
      <c r="J316" s="78">
        <v>7993</v>
      </c>
      <c r="K316" s="78">
        <v>9043</v>
      </c>
      <c r="L316" s="78">
        <v>2949</v>
      </c>
      <c r="M316" s="78">
        <v>5618</v>
      </c>
      <c r="N316" s="78">
        <f t="shared" si="15"/>
        <v>3695.5</v>
      </c>
      <c r="O316" s="78">
        <v>637</v>
      </c>
      <c r="P316" s="78">
        <v>69</v>
      </c>
      <c r="Q316" s="78">
        <v>3105</v>
      </c>
      <c r="R316" s="78">
        <v>6431</v>
      </c>
      <c r="S316" s="78">
        <v>2270</v>
      </c>
      <c r="T316" s="78">
        <v>0</v>
      </c>
      <c r="U316" s="78">
        <v>1333</v>
      </c>
      <c r="V316" s="78">
        <v>19264</v>
      </c>
      <c r="W316" s="78">
        <v>46600</v>
      </c>
      <c r="X316" s="78">
        <v>44040</v>
      </c>
      <c r="Y316" s="78">
        <v>530.14</v>
      </c>
      <c r="Z316" s="78">
        <v>2239.1999999999998</v>
      </c>
      <c r="AA316" s="78">
        <v>0</v>
      </c>
      <c r="AB316" s="399">
        <v>0</v>
      </c>
      <c r="AC316" s="399">
        <v>0</v>
      </c>
      <c r="AD316" s="78">
        <v>6699</v>
      </c>
      <c r="AE316" s="78">
        <v>6699</v>
      </c>
      <c r="AF316" s="78">
        <v>54</v>
      </c>
      <c r="AG316" s="78">
        <v>0</v>
      </c>
      <c r="AH316" s="78">
        <v>291</v>
      </c>
      <c r="AI316" s="78">
        <v>106</v>
      </c>
      <c r="AJ316" s="78">
        <v>291</v>
      </c>
      <c r="AK316" s="78">
        <v>106</v>
      </c>
      <c r="AL316" s="78">
        <v>396</v>
      </c>
      <c r="AM316" s="78">
        <v>19225</v>
      </c>
      <c r="AN316" s="78">
        <v>19225</v>
      </c>
      <c r="AO316" s="78">
        <v>0</v>
      </c>
      <c r="AP316" s="78">
        <v>0</v>
      </c>
      <c r="AQ316" s="78">
        <v>0</v>
      </c>
      <c r="AR316" s="78">
        <v>0</v>
      </c>
      <c r="AS316" s="78">
        <v>550</v>
      </c>
      <c r="AT316" s="78">
        <v>0</v>
      </c>
      <c r="AU316" s="400">
        <v>1.9106799999999999E-4</v>
      </c>
      <c r="AV316" s="400">
        <v>3.5193300000000002E-4</v>
      </c>
      <c r="AW316" s="78">
        <v>26492.05</v>
      </c>
      <c r="AX316" s="78">
        <v>0</v>
      </c>
      <c r="AY316" s="78">
        <v>613</v>
      </c>
      <c r="AZ316" s="78">
        <v>3823.32992743966</v>
      </c>
      <c r="BA316" s="78">
        <v>8</v>
      </c>
      <c r="BB316" s="78">
        <v>8</v>
      </c>
      <c r="BC316" s="78">
        <v>5068</v>
      </c>
      <c r="BD316" s="78">
        <v>1</v>
      </c>
      <c r="BE316" s="78">
        <v>0</v>
      </c>
      <c r="BF316" s="78">
        <v>0</v>
      </c>
      <c r="BG316" s="78">
        <v>0</v>
      </c>
      <c r="BH316" s="78">
        <v>0</v>
      </c>
      <c r="BI316" s="78">
        <v>0</v>
      </c>
      <c r="BJ316" s="78">
        <v>0</v>
      </c>
      <c r="BK316" s="78">
        <v>0</v>
      </c>
      <c r="BL316" s="78">
        <v>0</v>
      </c>
      <c r="BM316" s="78">
        <v>887.22299999999996</v>
      </c>
      <c r="BN316" s="78">
        <v>146</v>
      </c>
      <c r="BO316" s="78">
        <v>133</v>
      </c>
      <c r="BP316" s="78">
        <v>12732.32</v>
      </c>
      <c r="BQ316" s="78">
        <v>2957.46</v>
      </c>
      <c r="BR316" s="78">
        <v>334.182581683168</v>
      </c>
      <c r="BS316" s="78">
        <v>543</v>
      </c>
      <c r="BT316" s="78">
        <v>204.666666666667</v>
      </c>
      <c r="BU316" s="78">
        <v>174.666666666667</v>
      </c>
      <c r="BV316" s="78">
        <f t="shared" si="16"/>
        <v>2468</v>
      </c>
      <c r="BW316" s="78">
        <v>603</v>
      </c>
      <c r="BX316" s="78">
        <v>7011.2580546646896</v>
      </c>
      <c r="BY316" s="402">
        <v>1.2010000000000001</v>
      </c>
      <c r="BZ316" s="78">
        <v>33076</v>
      </c>
      <c r="CA316" s="78">
        <v>5136</v>
      </c>
      <c r="CB316" s="78">
        <v>958</v>
      </c>
      <c r="CC316" s="78">
        <v>1085</v>
      </c>
      <c r="CD316" s="78">
        <v>1014</v>
      </c>
      <c r="CE316" s="78">
        <v>445</v>
      </c>
      <c r="CF316" s="78">
        <v>603.58231469440796</v>
      </c>
      <c r="CG316" s="78">
        <v>376.95061118335502</v>
      </c>
      <c r="CH316" s="78">
        <v>119.755344603381</v>
      </c>
      <c r="CI316" s="78">
        <v>1398.242</v>
      </c>
      <c r="CJ316" s="78">
        <v>873.23329999999999</v>
      </c>
      <c r="CK316" s="78">
        <v>277.42189999999999</v>
      </c>
      <c r="CL316" s="78">
        <v>29838</v>
      </c>
    </row>
    <row r="317" spans="1:90" customFormat="1" x14ac:dyDescent="0.35">
      <c r="A317" s="72">
        <v>858</v>
      </c>
      <c r="B317" s="72" t="s">
        <v>309</v>
      </c>
      <c r="C317" s="72">
        <v>10</v>
      </c>
      <c r="D317" s="78">
        <v>3306000000</v>
      </c>
      <c r="E317" s="78">
        <v>435050000</v>
      </c>
      <c r="F317" s="78">
        <v>464100000</v>
      </c>
      <c r="G317" s="78">
        <v>31193</v>
      </c>
      <c r="H317" s="78">
        <v>1</v>
      </c>
      <c r="I317" s="78">
        <f t="shared" si="14"/>
        <v>464.1</v>
      </c>
      <c r="J317" s="78">
        <v>5168</v>
      </c>
      <c r="K317" s="78">
        <v>7949</v>
      </c>
      <c r="L317" s="78">
        <v>2749</v>
      </c>
      <c r="M317" s="78">
        <v>4607</v>
      </c>
      <c r="N317" s="78">
        <f t="shared" si="15"/>
        <v>3120.8999999999996</v>
      </c>
      <c r="O317" s="78">
        <v>518.33333333333303</v>
      </c>
      <c r="P317" s="78">
        <v>48</v>
      </c>
      <c r="Q317" s="78">
        <v>1923.3333333333301</v>
      </c>
      <c r="R317" s="78">
        <v>5036</v>
      </c>
      <c r="S317" s="78">
        <v>630</v>
      </c>
      <c r="T317" s="78">
        <v>0</v>
      </c>
      <c r="U317" s="78">
        <v>972</v>
      </c>
      <c r="V317" s="78">
        <v>14849</v>
      </c>
      <c r="W317" s="78">
        <v>31840</v>
      </c>
      <c r="X317" s="78">
        <v>22690</v>
      </c>
      <c r="Y317" s="78">
        <v>176.22</v>
      </c>
      <c r="Z317" s="78">
        <v>1966.4</v>
      </c>
      <c r="AA317" s="78">
        <v>0</v>
      </c>
      <c r="AB317" s="399">
        <v>0</v>
      </c>
      <c r="AC317" s="399">
        <v>0</v>
      </c>
      <c r="AD317" s="78">
        <v>5494</v>
      </c>
      <c r="AE317" s="78">
        <v>5494</v>
      </c>
      <c r="AF317" s="78">
        <v>156</v>
      </c>
      <c r="AG317" s="78">
        <v>0</v>
      </c>
      <c r="AH317" s="78">
        <v>182</v>
      </c>
      <c r="AI317" s="78">
        <v>53</v>
      </c>
      <c r="AJ317" s="78">
        <v>182</v>
      </c>
      <c r="AK317" s="78">
        <v>53</v>
      </c>
      <c r="AL317" s="78">
        <v>235</v>
      </c>
      <c r="AM317" s="78">
        <v>14861</v>
      </c>
      <c r="AN317" s="78">
        <v>14861</v>
      </c>
      <c r="AO317" s="78">
        <v>0</v>
      </c>
      <c r="AP317" s="78">
        <v>0</v>
      </c>
      <c r="AQ317" s="78">
        <v>0</v>
      </c>
      <c r="AR317" s="78">
        <v>0</v>
      </c>
      <c r="AS317" s="78">
        <v>1372</v>
      </c>
      <c r="AT317" s="78">
        <v>0</v>
      </c>
      <c r="AU317" s="400">
        <v>3.6847799999999999E-4</v>
      </c>
      <c r="AV317" s="400">
        <v>5.0010799999999998E-4</v>
      </c>
      <c r="AW317" s="78">
        <v>21964.558000000001</v>
      </c>
      <c r="AX317" s="78">
        <v>0</v>
      </c>
      <c r="AY317" s="78">
        <v>1315</v>
      </c>
      <c r="AZ317" s="78">
        <v>7259.9637168141599</v>
      </c>
      <c r="BA317" s="78">
        <v>3</v>
      </c>
      <c r="BB317" s="78">
        <v>3</v>
      </c>
      <c r="BC317" s="78">
        <v>3536</v>
      </c>
      <c r="BD317" s="78">
        <v>1</v>
      </c>
      <c r="BE317" s="78">
        <v>0</v>
      </c>
      <c r="BF317" s="78">
        <v>0</v>
      </c>
      <c r="BG317" s="78">
        <v>0</v>
      </c>
      <c r="BH317" s="78">
        <v>0</v>
      </c>
      <c r="BI317" s="78">
        <v>0</v>
      </c>
      <c r="BJ317" s="78">
        <v>0</v>
      </c>
      <c r="BK317" s="78">
        <v>0</v>
      </c>
      <c r="BL317" s="78">
        <v>0</v>
      </c>
      <c r="BM317" s="78">
        <v>583.98400000000004</v>
      </c>
      <c r="BN317" s="78">
        <v>86</v>
      </c>
      <c r="BO317" s="78">
        <v>43</v>
      </c>
      <c r="BP317" s="78">
        <v>9710.31</v>
      </c>
      <c r="BQ317" s="78">
        <v>2010</v>
      </c>
      <c r="BR317" s="78">
        <v>184.67548447621201</v>
      </c>
      <c r="BS317" s="78">
        <v>371</v>
      </c>
      <c r="BT317" s="78">
        <v>131</v>
      </c>
      <c r="BU317" s="78">
        <v>136.666666666667</v>
      </c>
      <c r="BV317" s="78">
        <f t="shared" si="16"/>
        <v>1404.999999999997</v>
      </c>
      <c r="BW317" s="78">
        <v>306</v>
      </c>
      <c r="BX317" s="78">
        <v>6239.4073244904603</v>
      </c>
      <c r="BY317" s="402">
        <v>0.995</v>
      </c>
      <c r="BZ317" s="78">
        <v>23244</v>
      </c>
      <c r="CA317" s="78">
        <v>4254</v>
      </c>
      <c r="CB317" s="78">
        <v>946</v>
      </c>
      <c r="CC317" s="78">
        <v>872</v>
      </c>
      <c r="CD317" s="78">
        <v>856</v>
      </c>
      <c r="CE317" s="78">
        <v>466</v>
      </c>
      <c r="CF317" s="78">
        <v>546.43575802435896</v>
      </c>
      <c r="CG317" s="78">
        <v>385.57111903640401</v>
      </c>
      <c r="CH317" s="78">
        <v>138.60399703922999</v>
      </c>
      <c r="CI317" s="78">
        <v>1178.9662000000001</v>
      </c>
      <c r="CJ317" s="78">
        <v>831.89160000000004</v>
      </c>
      <c r="CK317" s="78">
        <v>299.04599999999999</v>
      </c>
      <c r="CL317" s="78">
        <v>15347</v>
      </c>
    </row>
    <row r="318" spans="1:90" customFormat="1" x14ac:dyDescent="0.35">
      <c r="A318" s="72">
        <v>861</v>
      </c>
      <c r="B318" s="72" t="s">
        <v>313</v>
      </c>
      <c r="C318" s="72">
        <v>10</v>
      </c>
      <c r="D318" s="78">
        <v>5156800000</v>
      </c>
      <c r="E318" s="78">
        <v>967400000</v>
      </c>
      <c r="F318" s="78">
        <v>990500000</v>
      </c>
      <c r="G318" s="78">
        <v>45466</v>
      </c>
      <c r="H318" s="78">
        <v>1</v>
      </c>
      <c r="I318" s="78">
        <f t="shared" si="14"/>
        <v>990.5</v>
      </c>
      <c r="J318" s="78">
        <v>8489</v>
      </c>
      <c r="K318" s="78">
        <v>9844</v>
      </c>
      <c r="L318" s="78">
        <v>3258</v>
      </c>
      <c r="M318" s="78">
        <v>5212</v>
      </c>
      <c r="N318" s="78">
        <f t="shared" si="15"/>
        <v>3192.6</v>
      </c>
      <c r="O318" s="78">
        <v>516.66666666666697</v>
      </c>
      <c r="P318" s="78">
        <v>49</v>
      </c>
      <c r="Q318" s="78">
        <v>2791.6666666666702</v>
      </c>
      <c r="R318" s="78">
        <v>6420</v>
      </c>
      <c r="S318" s="78">
        <v>1310</v>
      </c>
      <c r="T318" s="78">
        <v>0</v>
      </c>
      <c r="U318" s="78">
        <v>1325</v>
      </c>
      <c r="V318" s="78">
        <v>20724</v>
      </c>
      <c r="W318" s="78">
        <v>46140</v>
      </c>
      <c r="X318" s="78">
        <v>35040</v>
      </c>
      <c r="Y318" s="78">
        <v>1165.28</v>
      </c>
      <c r="Z318" s="78">
        <v>1359.2</v>
      </c>
      <c r="AA318" s="78">
        <v>0</v>
      </c>
      <c r="AB318" s="399">
        <v>0</v>
      </c>
      <c r="AC318" s="399">
        <v>0</v>
      </c>
      <c r="AD318" s="78">
        <v>3168</v>
      </c>
      <c r="AE318" s="78">
        <v>3168</v>
      </c>
      <c r="AF318" s="78">
        <v>21</v>
      </c>
      <c r="AG318" s="78">
        <v>0</v>
      </c>
      <c r="AH318" s="78">
        <v>266</v>
      </c>
      <c r="AI318" s="78">
        <v>36</v>
      </c>
      <c r="AJ318" s="78">
        <v>266</v>
      </c>
      <c r="AK318" s="78">
        <v>36</v>
      </c>
      <c r="AL318" s="78">
        <v>302</v>
      </c>
      <c r="AM318" s="78">
        <v>20194</v>
      </c>
      <c r="AN318" s="78">
        <v>20194</v>
      </c>
      <c r="AO318" s="78">
        <v>0</v>
      </c>
      <c r="AP318" s="78">
        <v>0</v>
      </c>
      <c r="AQ318" s="78">
        <v>0</v>
      </c>
      <c r="AR318" s="78">
        <v>0</v>
      </c>
      <c r="AS318" s="78">
        <v>0</v>
      </c>
      <c r="AT318" s="78">
        <v>0</v>
      </c>
      <c r="AU318" s="400">
        <v>1.8201799999999999E-4</v>
      </c>
      <c r="AV318" s="400">
        <v>3.8190400000000002E-4</v>
      </c>
      <c r="AW318" s="78">
        <v>33946.114000000001</v>
      </c>
      <c r="AX318" s="78">
        <v>0</v>
      </c>
      <c r="AY318" s="78">
        <v>266</v>
      </c>
      <c r="AZ318" s="78">
        <v>3792.3976168077802</v>
      </c>
      <c r="BA318" s="78">
        <v>2</v>
      </c>
      <c r="BB318" s="78">
        <v>2</v>
      </c>
      <c r="BC318" s="78">
        <v>4543</v>
      </c>
      <c r="BD318" s="78">
        <v>1</v>
      </c>
      <c r="BE318" s="78">
        <v>0</v>
      </c>
      <c r="BF318" s="78">
        <v>0</v>
      </c>
      <c r="BG318" s="78">
        <v>0</v>
      </c>
      <c r="BH318" s="78">
        <v>0</v>
      </c>
      <c r="BI318" s="78">
        <v>0</v>
      </c>
      <c r="BJ318" s="78">
        <v>0</v>
      </c>
      <c r="BK318" s="78">
        <v>0</v>
      </c>
      <c r="BL318" s="78">
        <v>0</v>
      </c>
      <c r="BM318" s="78">
        <v>797.96600000000001</v>
      </c>
      <c r="BN318" s="78">
        <v>77</v>
      </c>
      <c r="BO318" s="78">
        <v>89</v>
      </c>
      <c r="BP318" s="78">
        <v>14613.87</v>
      </c>
      <c r="BQ318" s="78">
        <v>3595.25</v>
      </c>
      <c r="BR318" s="78">
        <v>303.05370803949199</v>
      </c>
      <c r="BS318" s="78">
        <v>461</v>
      </c>
      <c r="BT318" s="78">
        <v>149.333333333333</v>
      </c>
      <c r="BU318" s="78">
        <v>109.333333333333</v>
      </c>
      <c r="BV318" s="78">
        <f t="shared" si="16"/>
        <v>2275.0000000000032</v>
      </c>
      <c r="BW318" s="78">
        <v>784</v>
      </c>
      <c r="BX318" s="78">
        <v>7683.3598817742704</v>
      </c>
      <c r="BY318" s="402">
        <v>0.379</v>
      </c>
      <c r="BZ318" s="78">
        <v>35622</v>
      </c>
      <c r="CA318" s="78">
        <v>5467</v>
      </c>
      <c r="CB318" s="78">
        <v>1119</v>
      </c>
      <c r="CC318" s="78">
        <v>1116</v>
      </c>
      <c r="CD318" s="78">
        <v>999</v>
      </c>
      <c r="CE318" s="78">
        <v>602</v>
      </c>
      <c r="CF318" s="78">
        <v>517.60782410617003</v>
      </c>
      <c r="CG318" s="78">
        <v>348.918896701991</v>
      </c>
      <c r="CH318" s="78">
        <v>135.330573437655</v>
      </c>
      <c r="CI318" s="78">
        <v>1276.8599999999999</v>
      </c>
      <c r="CJ318" s="78">
        <v>860.73</v>
      </c>
      <c r="CK318" s="78">
        <v>333.84</v>
      </c>
      <c r="CL318" s="78">
        <v>152737</v>
      </c>
    </row>
    <row r="319" spans="1:90" customFormat="1" x14ac:dyDescent="0.35">
      <c r="A319" s="72">
        <v>865</v>
      </c>
      <c r="B319" s="72" t="s">
        <v>324</v>
      </c>
      <c r="C319" s="72">
        <v>10</v>
      </c>
      <c r="D319" s="78">
        <v>3578800000</v>
      </c>
      <c r="E319" s="78">
        <v>443800000</v>
      </c>
      <c r="F319" s="78">
        <v>493850000</v>
      </c>
      <c r="G319" s="78">
        <v>26558</v>
      </c>
      <c r="H319" s="78">
        <v>1</v>
      </c>
      <c r="I319" s="78">
        <f t="shared" si="14"/>
        <v>493.85</v>
      </c>
      <c r="J319" s="78">
        <v>5572</v>
      </c>
      <c r="K319" s="78">
        <v>5609</v>
      </c>
      <c r="L319" s="78">
        <v>1708</v>
      </c>
      <c r="M319" s="78">
        <v>3169</v>
      </c>
      <c r="N319" s="78">
        <f t="shared" si="15"/>
        <v>1971</v>
      </c>
      <c r="O319" s="78">
        <v>250.666666666667</v>
      </c>
      <c r="P319" s="78">
        <v>75</v>
      </c>
      <c r="Q319" s="78">
        <v>1626.6666666666699</v>
      </c>
      <c r="R319" s="78">
        <v>3790</v>
      </c>
      <c r="S319" s="78">
        <v>655</v>
      </c>
      <c r="T319" s="78">
        <v>0</v>
      </c>
      <c r="U319" s="78">
        <v>778</v>
      </c>
      <c r="V319" s="78">
        <v>12353</v>
      </c>
      <c r="W319" s="78">
        <v>25590</v>
      </c>
      <c r="X319" s="78">
        <v>13320</v>
      </c>
      <c r="Y319" s="78">
        <v>1858.7465999999999</v>
      </c>
      <c r="Z319" s="78">
        <v>1730.4</v>
      </c>
      <c r="AA319" s="78">
        <v>0</v>
      </c>
      <c r="AB319" s="399">
        <v>0</v>
      </c>
      <c r="AC319" s="399">
        <v>0</v>
      </c>
      <c r="AD319" s="78">
        <v>3368</v>
      </c>
      <c r="AE319" s="78">
        <v>3368</v>
      </c>
      <c r="AF319" s="78">
        <v>101</v>
      </c>
      <c r="AG319" s="78">
        <v>0</v>
      </c>
      <c r="AH319" s="78">
        <v>139</v>
      </c>
      <c r="AI319" s="78">
        <v>19</v>
      </c>
      <c r="AJ319" s="78">
        <v>139</v>
      </c>
      <c r="AK319" s="78">
        <v>19</v>
      </c>
      <c r="AL319" s="78">
        <v>158</v>
      </c>
      <c r="AM319" s="78">
        <v>11980</v>
      </c>
      <c r="AN319" s="78">
        <v>11980</v>
      </c>
      <c r="AO319" s="78">
        <v>0</v>
      </c>
      <c r="AP319" s="78">
        <v>0</v>
      </c>
      <c r="AQ319" s="78">
        <v>0</v>
      </c>
      <c r="AR319" s="78">
        <v>0</v>
      </c>
      <c r="AS319" s="78">
        <v>1311</v>
      </c>
      <c r="AT319" s="78">
        <v>0</v>
      </c>
      <c r="AU319" s="400">
        <v>3.47614E-4</v>
      </c>
      <c r="AV319" s="400">
        <v>2.0203699999999999E-4</v>
      </c>
      <c r="AW319" s="78">
        <v>15466.18</v>
      </c>
      <c r="AX319" s="78">
        <v>0</v>
      </c>
      <c r="AY319" s="78">
        <v>1014</v>
      </c>
      <c r="AZ319" s="78">
        <v>7762.9899106370704</v>
      </c>
      <c r="BA319" s="78">
        <v>3</v>
      </c>
      <c r="BB319" s="78">
        <v>3</v>
      </c>
      <c r="BC319" s="78">
        <v>3686</v>
      </c>
      <c r="BD319" s="78">
        <v>1</v>
      </c>
      <c r="BE319" s="78">
        <v>0</v>
      </c>
      <c r="BF319" s="78">
        <v>0</v>
      </c>
      <c r="BG319" s="78">
        <v>0</v>
      </c>
      <c r="BH319" s="78">
        <v>0</v>
      </c>
      <c r="BI319" s="78">
        <v>0</v>
      </c>
      <c r="BJ319" s="78">
        <v>0</v>
      </c>
      <c r="BK319" s="78">
        <v>0</v>
      </c>
      <c r="BL319" s="78">
        <v>0</v>
      </c>
      <c r="BM319" s="78">
        <v>434.61599999999999</v>
      </c>
      <c r="BN319" s="78">
        <v>45</v>
      </c>
      <c r="BO319" s="78">
        <v>44</v>
      </c>
      <c r="BP319" s="78">
        <v>9130.32</v>
      </c>
      <c r="BQ319" s="78">
        <v>2565.3000000000002</v>
      </c>
      <c r="BR319" s="78">
        <v>157.864306196841</v>
      </c>
      <c r="BS319" s="78">
        <v>310</v>
      </c>
      <c r="BT319" s="78">
        <v>61.3333333333333</v>
      </c>
      <c r="BU319" s="78">
        <v>53</v>
      </c>
      <c r="BV319" s="78">
        <f t="shared" si="16"/>
        <v>1376.000000000003</v>
      </c>
      <c r="BW319" s="78">
        <v>491</v>
      </c>
      <c r="BX319" s="78">
        <v>3893.2281345658398</v>
      </c>
      <c r="BY319" s="402">
        <v>0.13100000000000001</v>
      </c>
      <c r="BZ319" s="78">
        <v>20949</v>
      </c>
      <c r="CA319" s="78">
        <v>3124</v>
      </c>
      <c r="CB319" s="78">
        <v>777</v>
      </c>
      <c r="CC319" s="78">
        <v>723</v>
      </c>
      <c r="CD319" s="78">
        <v>615</v>
      </c>
      <c r="CE319" s="78">
        <v>349</v>
      </c>
      <c r="CF319" s="78">
        <v>315.39290484140201</v>
      </c>
      <c r="CG319" s="78">
        <v>186.570450751252</v>
      </c>
      <c r="CH319" s="78">
        <v>79.629716193656094</v>
      </c>
      <c r="CI319" s="78">
        <v>572.79960000000005</v>
      </c>
      <c r="CJ319" s="78">
        <v>338.83920000000001</v>
      </c>
      <c r="CK319" s="78">
        <v>144.61920000000001</v>
      </c>
      <c r="CL319" s="78">
        <v>167518</v>
      </c>
    </row>
    <row r="320" spans="1:90" customFormat="1" x14ac:dyDescent="0.35">
      <c r="A320" s="72">
        <v>866</v>
      </c>
      <c r="B320" s="72" t="s">
        <v>326</v>
      </c>
      <c r="C320" s="72">
        <v>10</v>
      </c>
      <c r="D320" s="78">
        <v>2178800000</v>
      </c>
      <c r="E320" s="78">
        <v>153300000</v>
      </c>
      <c r="F320" s="78">
        <v>159950000</v>
      </c>
      <c r="G320" s="78">
        <v>17456</v>
      </c>
      <c r="H320" s="78">
        <v>1</v>
      </c>
      <c r="I320" s="78">
        <f t="shared" si="14"/>
        <v>159.94999999999999</v>
      </c>
      <c r="J320" s="78">
        <v>3570</v>
      </c>
      <c r="K320" s="78">
        <v>4179</v>
      </c>
      <c r="L320" s="78">
        <v>1462</v>
      </c>
      <c r="M320" s="78">
        <v>1765</v>
      </c>
      <c r="N320" s="78">
        <f t="shared" si="15"/>
        <v>985.9</v>
      </c>
      <c r="O320" s="78">
        <v>185.666666666667</v>
      </c>
      <c r="P320" s="78">
        <v>19</v>
      </c>
      <c r="Q320" s="78">
        <v>716.66666666666697</v>
      </c>
      <c r="R320" s="78">
        <v>2322</v>
      </c>
      <c r="S320" s="78">
        <v>460</v>
      </c>
      <c r="T320" s="78">
        <v>0</v>
      </c>
      <c r="U320" s="78">
        <v>497</v>
      </c>
      <c r="V320" s="78">
        <v>7655</v>
      </c>
      <c r="W320" s="78">
        <v>14220</v>
      </c>
      <c r="X320" s="78">
        <v>4300</v>
      </c>
      <c r="Y320" s="78">
        <v>0</v>
      </c>
      <c r="Z320" s="78">
        <v>0</v>
      </c>
      <c r="AA320" s="78">
        <v>0</v>
      </c>
      <c r="AB320" s="399">
        <v>0</v>
      </c>
      <c r="AC320" s="399">
        <v>0</v>
      </c>
      <c r="AD320" s="78">
        <v>2241</v>
      </c>
      <c r="AE320" s="78">
        <v>2241</v>
      </c>
      <c r="AF320" s="78">
        <v>25</v>
      </c>
      <c r="AG320" s="78">
        <v>0</v>
      </c>
      <c r="AH320" s="78">
        <v>94</v>
      </c>
      <c r="AI320" s="78">
        <v>10</v>
      </c>
      <c r="AJ320" s="78">
        <v>94</v>
      </c>
      <c r="AK320" s="78">
        <v>10</v>
      </c>
      <c r="AL320" s="78">
        <v>105</v>
      </c>
      <c r="AM320" s="78">
        <v>7791</v>
      </c>
      <c r="AN320" s="78">
        <v>7791</v>
      </c>
      <c r="AO320" s="78">
        <v>0</v>
      </c>
      <c r="AP320" s="78">
        <v>0</v>
      </c>
      <c r="AQ320" s="78">
        <v>0</v>
      </c>
      <c r="AR320" s="78">
        <v>0</v>
      </c>
      <c r="AS320" s="78">
        <v>559</v>
      </c>
      <c r="AT320" s="78">
        <v>0</v>
      </c>
      <c r="AU320" s="400">
        <v>1.1101E-4</v>
      </c>
      <c r="AV320" s="400">
        <v>9.2660999999999999E-5</v>
      </c>
      <c r="AW320" s="78">
        <v>6622.35</v>
      </c>
      <c r="AX320" s="78">
        <v>0</v>
      </c>
      <c r="AY320" s="78">
        <v>339</v>
      </c>
      <c r="AZ320" s="78">
        <v>2611.4669020300098</v>
      </c>
      <c r="BA320" s="78">
        <v>1</v>
      </c>
      <c r="BB320" s="78">
        <v>1</v>
      </c>
      <c r="BC320" s="78">
        <v>2148</v>
      </c>
      <c r="BD320" s="78">
        <v>1</v>
      </c>
      <c r="BE320" s="78">
        <v>0</v>
      </c>
      <c r="BF320" s="78">
        <v>0</v>
      </c>
      <c r="BG320" s="78">
        <v>0</v>
      </c>
      <c r="BH320" s="78">
        <v>0</v>
      </c>
      <c r="BI320" s="78">
        <v>0</v>
      </c>
      <c r="BJ320" s="78">
        <v>0</v>
      </c>
      <c r="BK320" s="78">
        <v>0</v>
      </c>
      <c r="BL320" s="78">
        <v>0</v>
      </c>
      <c r="BM320" s="78">
        <v>282.02999999999997</v>
      </c>
      <c r="BN320" s="78">
        <v>18</v>
      </c>
      <c r="BO320" s="78">
        <v>14</v>
      </c>
      <c r="BP320" s="78">
        <v>6972.68</v>
      </c>
      <c r="BQ320" s="78">
        <v>1733.04</v>
      </c>
      <c r="BR320" s="78">
        <v>118.91124547429401</v>
      </c>
      <c r="BS320" s="78">
        <v>200</v>
      </c>
      <c r="BT320" s="78">
        <v>61</v>
      </c>
      <c r="BU320" s="78">
        <v>44</v>
      </c>
      <c r="BV320" s="78">
        <f t="shared" si="16"/>
        <v>531</v>
      </c>
      <c r="BW320" s="78">
        <v>98</v>
      </c>
      <c r="BX320" s="78">
        <v>2616.6895204963198</v>
      </c>
      <c r="BY320" s="402">
        <v>0.188</v>
      </c>
      <c r="BZ320" s="78">
        <v>13277</v>
      </c>
      <c r="CA320" s="78">
        <v>2138</v>
      </c>
      <c r="CB320" s="78">
        <v>579</v>
      </c>
      <c r="CC320" s="78">
        <v>412</v>
      </c>
      <c r="CD320" s="78">
        <v>483</v>
      </c>
      <c r="CE320" s="78">
        <v>296</v>
      </c>
      <c r="CF320" s="78">
        <v>166.404633551534</v>
      </c>
      <c r="CG320" s="78">
        <v>124.645295854191</v>
      </c>
      <c r="CH320" s="78">
        <v>54.793312796816799</v>
      </c>
      <c r="CI320" s="78">
        <v>342.952</v>
      </c>
      <c r="CJ320" s="78">
        <v>256.88799999999998</v>
      </c>
      <c r="CK320" s="78">
        <v>112.9264</v>
      </c>
      <c r="CL320" s="78">
        <v>0</v>
      </c>
    </row>
    <row r="321" spans="1:90" customFormat="1" x14ac:dyDescent="0.35">
      <c r="A321" s="72">
        <v>867</v>
      </c>
      <c r="B321" s="72" t="s">
        <v>327</v>
      </c>
      <c r="C321" s="72">
        <v>10</v>
      </c>
      <c r="D321" s="78">
        <v>4379600000</v>
      </c>
      <c r="E321" s="78">
        <v>1153600000</v>
      </c>
      <c r="F321" s="78">
        <v>1178100000</v>
      </c>
      <c r="G321" s="78">
        <v>48637</v>
      </c>
      <c r="H321" s="78">
        <v>2</v>
      </c>
      <c r="I321" s="78">
        <f t="shared" si="14"/>
        <v>1178.0999999999999</v>
      </c>
      <c r="J321" s="78">
        <v>9011</v>
      </c>
      <c r="K321" s="78">
        <v>10399</v>
      </c>
      <c r="L321" s="78">
        <v>3412</v>
      </c>
      <c r="M321" s="78">
        <v>7002</v>
      </c>
      <c r="N321" s="78">
        <f t="shared" si="15"/>
        <v>4800.7</v>
      </c>
      <c r="O321" s="78">
        <v>714.33333333333303</v>
      </c>
      <c r="P321" s="78">
        <v>101</v>
      </c>
      <c r="Q321" s="78">
        <v>3069.3333333333298</v>
      </c>
      <c r="R321" s="78">
        <v>7350</v>
      </c>
      <c r="S321" s="78">
        <v>2940</v>
      </c>
      <c r="T321" s="78">
        <v>0</v>
      </c>
      <c r="U321" s="78">
        <v>1477</v>
      </c>
      <c r="V321" s="78">
        <v>22341</v>
      </c>
      <c r="W321" s="78">
        <v>51460</v>
      </c>
      <c r="X321" s="78">
        <v>39810</v>
      </c>
      <c r="Y321" s="78">
        <v>764.28</v>
      </c>
      <c r="Z321" s="78">
        <v>3250.4</v>
      </c>
      <c r="AA321" s="78">
        <v>0</v>
      </c>
      <c r="AB321" s="399">
        <v>0</v>
      </c>
      <c r="AC321" s="399">
        <v>0</v>
      </c>
      <c r="AD321" s="78">
        <v>6449</v>
      </c>
      <c r="AE321" s="78">
        <v>6449</v>
      </c>
      <c r="AF321" s="78">
        <v>316</v>
      </c>
      <c r="AG321" s="78">
        <v>0</v>
      </c>
      <c r="AH321" s="78">
        <v>340</v>
      </c>
      <c r="AI321" s="78">
        <v>94</v>
      </c>
      <c r="AJ321" s="78">
        <v>340</v>
      </c>
      <c r="AK321" s="78">
        <v>94</v>
      </c>
      <c r="AL321" s="78">
        <v>434</v>
      </c>
      <c r="AM321" s="78">
        <v>22013</v>
      </c>
      <c r="AN321" s="78">
        <v>22013</v>
      </c>
      <c r="AO321" s="78">
        <v>0</v>
      </c>
      <c r="AP321" s="78">
        <v>0</v>
      </c>
      <c r="AQ321" s="78">
        <v>0</v>
      </c>
      <c r="AR321" s="78">
        <v>0</v>
      </c>
      <c r="AS321" s="78">
        <v>1316</v>
      </c>
      <c r="AT321" s="78">
        <v>0</v>
      </c>
      <c r="AU321" s="400">
        <v>6.2302500000000003E-4</v>
      </c>
      <c r="AV321" s="400">
        <v>6.6022499999999996E-4</v>
      </c>
      <c r="AW321" s="78">
        <v>28837.03</v>
      </c>
      <c r="AX321" s="78">
        <v>0</v>
      </c>
      <c r="AY321" s="78">
        <v>2209</v>
      </c>
      <c r="AZ321" s="78">
        <v>15881.616112342899</v>
      </c>
      <c r="BA321" s="78">
        <v>3</v>
      </c>
      <c r="BB321" s="78">
        <v>3</v>
      </c>
      <c r="BC321" s="78">
        <v>5805</v>
      </c>
      <c r="BD321" s="78">
        <v>1</v>
      </c>
      <c r="BE321" s="78">
        <v>0</v>
      </c>
      <c r="BF321" s="78">
        <v>0</v>
      </c>
      <c r="BG321" s="78">
        <v>0</v>
      </c>
      <c r="BH321" s="78">
        <v>0</v>
      </c>
      <c r="BI321" s="78">
        <v>0</v>
      </c>
      <c r="BJ321" s="78">
        <v>0</v>
      </c>
      <c r="BK321" s="78">
        <v>0</v>
      </c>
      <c r="BL321" s="78">
        <v>0</v>
      </c>
      <c r="BM321" s="78">
        <v>955.16600000000005</v>
      </c>
      <c r="BN321" s="78">
        <v>193</v>
      </c>
      <c r="BO321" s="78">
        <v>134</v>
      </c>
      <c r="BP321" s="78">
        <v>14403.84</v>
      </c>
      <c r="BQ321" s="78">
        <v>3331.84</v>
      </c>
      <c r="BR321" s="78">
        <v>354.83850221387399</v>
      </c>
      <c r="BS321" s="78">
        <v>586</v>
      </c>
      <c r="BT321" s="78">
        <v>211.333333333333</v>
      </c>
      <c r="BU321" s="78">
        <v>184.333333333333</v>
      </c>
      <c r="BV321" s="78">
        <f t="shared" si="16"/>
        <v>2354.9999999999968</v>
      </c>
      <c r="BW321" s="78">
        <v>511</v>
      </c>
      <c r="BX321" s="78">
        <v>9271.8818283582095</v>
      </c>
      <c r="BY321" s="402">
        <v>1.2470000000000001</v>
      </c>
      <c r="BZ321" s="78">
        <v>38238</v>
      </c>
      <c r="CA321" s="78">
        <v>5947</v>
      </c>
      <c r="CB321" s="78">
        <v>1040</v>
      </c>
      <c r="CC321" s="78">
        <v>1231</v>
      </c>
      <c r="CD321" s="78">
        <v>1129</v>
      </c>
      <c r="CE321" s="78">
        <v>502</v>
      </c>
      <c r="CF321" s="78">
        <v>792.30196247671802</v>
      </c>
      <c r="CG321" s="78">
        <v>495.924762640258</v>
      </c>
      <c r="CH321" s="78">
        <v>149.82423567891701</v>
      </c>
      <c r="CI321" s="78">
        <v>1704.6035999999999</v>
      </c>
      <c r="CJ321" s="78">
        <v>1066.9608000000001</v>
      </c>
      <c r="CK321" s="78">
        <v>322.34039999999999</v>
      </c>
      <c r="CL321" s="78">
        <v>24872</v>
      </c>
    </row>
    <row r="322" spans="1:90" customFormat="1" x14ac:dyDescent="0.35">
      <c r="A322" s="72">
        <v>873</v>
      </c>
      <c r="B322" s="72" t="s">
        <v>348</v>
      </c>
      <c r="C322" s="72">
        <v>10</v>
      </c>
      <c r="D322" s="78">
        <v>2000400000</v>
      </c>
      <c r="E322" s="78">
        <v>404600000</v>
      </c>
      <c r="F322" s="78">
        <v>434350000</v>
      </c>
      <c r="G322" s="78">
        <v>21876</v>
      </c>
      <c r="H322" s="78">
        <v>4</v>
      </c>
      <c r="I322" s="78">
        <f t="shared" si="14"/>
        <v>434.35</v>
      </c>
      <c r="J322" s="78">
        <v>3770</v>
      </c>
      <c r="K322" s="78">
        <v>5332</v>
      </c>
      <c r="L322" s="78">
        <v>1836</v>
      </c>
      <c r="M322" s="78">
        <v>2678</v>
      </c>
      <c r="N322" s="78">
        <f t="shared" si="15"/>
        <v>1630.2</v>
      </c>
      <c r="O322" s="78">
        <v>268.66666666666703</v>
      </c>
      <c r="P322" s="78">
        <v>13</v>
      </c>
      <c r="Q322" s="78">
        <v>1127.6666666666699</v>
      </c>
      <c r="R322" s="78">
        <v>2782</v>
      </c>
      <c r="S322" s="78">
        <v>415</v>
      </c>
      <c r="T322" s="78">
        <v>0</v>
      </c>
      <c r="U322" s="78">
        <v>631</v>
      </c>
      <c r="V322" s="78">
        <v>9941</v>
      </c>
      <c r="W322" s="78">
        <v>20030</v>
      </c>
      <c r="X322" s="78">
        <v>5710</v>
      </c>
      <c r="Y322" s="78">
        <v>176.46</v>
      </c>
      <c r="Z322" s="78">
        <v>503.2</v>
      </c>
      <c r="AA322" s="78">
        <v>0</v>
      </c>
      <c r="AB322" s="399">
        <v>0</v>
      </c>
      <c r="AC322" s="399">
        <v>148.29999999999995</v>
      </c>
      <c r="AD322" s="78">
        <v>9139</v>
      </c>
      <c r="AE322" s="78">
        <v>9687.34</v>
      </c>
      <c r="AF322" s="78">
        <v>58</v>
      </c>
      <c r="AG322" s="78">
        <v>0</v>
      </c>
      <c r="AH322" s="78">
        <v>157</v>
      </c>
      <c r="AI322" s="78">
        <v>61</v>
      </c>
      <c r="AJ322" s="78">
        <v>157</v>
      </c>
      <c r="AK322" s="78">
        <v>65.27</v>
      </c>
      <c r="AL322" s="78">
        <v>218</v>
      </c>
      <c r="AM322" s="78">
        <v>10478</v>
      </c>
      <c r="AN322" s="78">
        <v>10478</v>
      </c>
      <c r="AO322" s="78">
        <v>0</v>
      </c>
      <c r="AP322" s="78">
        <v>0</v>
      </c>
      <c r="AQ322" s="78">
        <v>0</v>
      </c>
      <c r="AR322" s="78">
        <v>0</v>
      </c>
      <c r="AS322" s="78">
        <v>0</v>
      </c>
      <c r="AT322" s="78">
        <v>0</v>
      </c>
      <c r="AU322" s="400">
        <v>1.8531600000000001E-4</v>
      </c>
      <c r="AV322" s="400">
        <v>1.19698E-4</v>
      </c>
      <c r="AW322" s="78">
        <v>6957.3919999999998</v>
      </c>
      <c r="AX322" s="78">
        <v>0</v>
      </c>
      <c r="AY322" s="78">
        <v>629.64</v>
      </c>
      <c r="AZ322" s="78">
        <v>1896.0310014135</v>
      </c>
      <c r="BA322" s="78">
        <v>6</v>
      </c>
      <c r="BB322" s="78">
        <v>6.42</v>
      </c>
      <c r="BC322" s="78">
        <v>2070</v>
      </c>
      <c r="BD322" s="78">
        <v>1</v>
      </c>
      <c r="BE322" s="78">
        <v>0</v>
      </c>
      <c r="BF322" s="78">
        <v>0</v>
      </c>
      <c r="BG322" s="78">
        <v>0</v>
      </c>
      <c r="BH322" s="78">
        <v>0</v>
      </c>
      <c r="BI322" s="78">
        <v>0</v>
      </c>
      <c r="BJ322" s="78">
        <v>0</v>
      </c>
      <c r="BK322" s="78">
        <v>0</v>
      </c>
      <c r="BL322" s="78">
        <v>0</v>
      </c>
      <c r="BM322" s="78">
        <v>392.08</v>
      </c>
      <c r="BN322" s="78">
        <v>89</v>
      </c>
      <c r="BO322" s="78">
        <v>54</v>
      </c>
      <c r="BP322" s="78">
        <v>6639.18</v>
      </c>
      <c r="BQ322" s="78">
        <v>1406.72</v>
      </c>
      <c r="BR322" s="78">
        <v>85.989720109522395</v>
      </c>
      <c r="BS322" s="78">
        <v>225</v>
      </c>
      <c r="BT322" s="78">
        <v>90</v>
      </c>
      <c r="BU322" s="78">
        <v>72.3333333333333</v>
      </c>
      <c r="BV322" s="78">
        <f t="shared" si="16"/>
        <v>859.00000000000296</v>
      </c>
      <c r="BW322" s="78">
        <v>204</v>
      </c>
      <c r="BX322" s="78">
        <v>4163.9834482758597</v>
      </c>
      <c r="BY322" s="402">
        <v>0.504</v>
      </c>
      <c r="BZ322" s="78">
        <v>16544</v>
      </c>
      <c r="CA322" s="78">
        <v>2982</v>
      </c>
      <c r="CB322" s="78">
        <v>514</v>
      </c>
      <c r="CC322" s="78">
        <v>532</v>
      </c>
      <c r="CD322" s="78">
        <v>530</v>
      </c>
      <c r="CE322" s="78">
        <v>249</v>
      </c>
      <c r="CF322" s="78">
        <v>281.60545905707198</v>
      </c>
      <c r="CG322" s="78">
        <v>188.41116625310201</v>
      </c>
      <c r="CH322" s="78">
        <v>50.097766749379701</v>
      </c>
      <c r="CI322" s="78">
        <v>805.99300000000005</v>
      </c>
      <c r="CJ322" s="78">
        <v>539.25829999999996</v>
      </c>
      <c r="CK322" s="78">
        <v>143.38659999999999</v>
      </c>
      <c r="CL322" s="78">
        <v>7938</v>
      </c>
    </row>
    <row r="323" spans="1:90" customFormat="1" x14ac:dyDescent="0.35">
      <c r="A323" s="72">
        <v>879</v>
      </c>
      <c r="B323" s="72" t="s">
        <v>361</v>
      </c>
      <c r="C323" s="72">
        <v>10</v>
      </c>
      <c r="D323" s="78">
        <v>2233200000</v>
      </c>
      <c r="E323" s="78">
        <v>282800000</v>
      </c>
      <c r="F323" s="78">
        <v>338100000</v>
      </c>
      <c r="G323" s="78">
        <v>21829</v>
      </c>
      <c r="H323" s="78">
        <v>2</v>
      </c>
      <c r="I323" s="78">
        <f t="shared" si="14"/>
        <v>338.1</v>
      </c>
      <c r="J323" s="78">
        <v>3547</v>
      </c>
      <c r="K323" s="78">
        <v>4866</v>
      </c>
      <c r="L323" s="78">
        <v>1474</v>
      </c>
      <c r="M323" s="78">
        <v>2681</v>
      </c>
      <c r="N323" s="78">
        <f t="shared" si="15"/>
        <v>1720.3</v>
      </c>
      <c r="O323" s="78">
        <v>190.666666666667</v>
      </c>
      <c r="P323" s="78">
        <v>13</v>
      </c>
      <c r="Q323" s="78">
        <v>1136.6666666666699</v>
      </c>
      <c r="R323" s="78">
        <v>2926</v>
      </c>
      <c r="S323" s="78">
        <v>470</v>
      </c>
      <c r="T323" s="78">
        <v>0</v>
      </c>
      <c r="U323" s="78">
        <v>486</v>
      </c>
      <c r="V323" s="78">
        <v>9933</v>
      </c>
      <c r="W323" s="78">
        <v>18310</v>
      </c>
      <c r="X323" s="78">
        <v>4830</v>
      </c>
      <c r="Y323" s="78">
        <v>522.46</v>
      </c>
      <c r="Z323" s="78">
        <v>241.6</v>
      </c>
      <c r="AA323" s="78">
        <v>0</v>
      </c>
      <c r="AB323" s="399">
        <v>0</v>
      </c>
      <c r="AC323" s="399">
        <v>0</v>
      </c>
      <c r="AD323" s="78">
        <v>12059</v>
      </c>
      <c r="AE323" s="78">
        <v>12059</v>
      </c>
      <c r="AF323" s="78">
        <v>61</v>
      </c>
      <c r="AG323" s="78">
        <v>0</v>
      </c>
      <c r="AH323" s="78">
        <v>108</v>
      </c>
      <c r="AI323" s="78">
        <v>138</v>
      </c>
      <c r="AJ323" s="78">
        <v>108</v>
      </c>
      <c r="AK323" s="78">
        <v>138</v>
      </c>
      <c r="AL323" s="78">
        <v>246</v>
      </c>
      <c r="AM323" s="78">
        <v>9607</v>
      </c>
      <c r="AN323" s="78">
        <v>9607</v>
      </c>
      <c r="AO323" s="78">
        <v>0</v>
      </c>
      <c r="AP323" s="78">
        <v>0</v>
      </c>
      <c r="AQ323" s="78">
        <v>0</v>
      </c>
      <c r="AR323" s="78">
        <v>0</v>
      </c>
      <c r="AS323" s="78">
        <v>0</v>
      </c>
      <c r="AT323" s="78">
        <v>0</v>
      </c>
      <c r="AU323" s="400">
        <v>2.1311799999999999E-4</v>
      </c>
      <c r="AV323" s="400">
        <v>9.6386999999999997E-5</v>
      </c>
      <c r="AW323" s="78">
        <v>5206.9939999999997</v>
      </c>
      <c r="AX323" s="78">
        <v>0</v>
      </c>
      <c r="AY323" s="78">
        <v>1462</v>
      </c>
      <c r="AZ323" s="78">
        <v>2633.16815181518</v>
      </c>
      <c r="BA323" s="78">
        <v>6</v>
      </c>
      <c r="BB323" s="78">
        <v>6</v>
      </c>
      <c r="BC323" s="78">
        <v>2709</v>
      </c>
      <c r="BD323" s="78">
        <v>1</v>
      </c>
      <c r="BE323" s="78">
        <v>0</v>
      </c>
      <c r="BF323" s="78">
        <v>0</v>
      </c>
      <c r="BG323" s="78">
        <v>0</v>
      </c>
      <c r="BH323" s="78">
        <v>0</v>
      </c>
      <c r="BI323" s="78">
        <v>0</v>
      </c>
      <c r="BJ323" s="78">
        <v>0</v>
      </c>
      <c r="BK323" s="78">
        <v>0</v>
      </c>
      <c r="BL323" s="78">
        <v>0</v>
      </c>
      <c r="BM323" s="78">
        <v>333.41800000000001</v>
      </c>
      <c r="BN323" s="78">
        <v>39</v>
      </c>
      <c r="BO323" s="78">
        <v>41</v>
      </c>
      <c r="BP323" s="78">
        <v>6460.68</v>
      </c>
      <c r="BQ323" s="78">
        <v>1453.43</v>
      </c>
      <c r="BR323" s="78">
        <v>92.075559092341607</v>
      </c>
      <c r="BS323" s="78">
        <v>179</v>
      </c>
      <c r="BT323" s="78">
        <v>68</v>
      </c>
      <c r="BU323" s="78">
        <v>45.3333333333333</v>
      </c>
      <c r="BV323" s="78">
        <f t="shared" si="16"/>
        <v>946.00000000000296</v>
      </c>
      <c r="BW323" s="78">
        <v>282</v>
      </c>
      <c r="BX323" s="78">
        <v>4400.3029909309698</v>
      </c>
      <c r="BY323" s="402">
        <v>0.161</v>
      </c>
      <c r="BZ323" s="78">
        <v>16963</v>
      </c>
      <c r="CA323" s="78">
        <v>2777</v>
      </c>
      <c r="CB323" s="78">
        <v>615</v>
      </c>
      <c r="CC323" s="78">
        <v>497</v>
      </c>
      <c r="CD323" s="78">
        <v>466</v>
      </c>
      <c r="CE323" s="78">
        <v>281</v>
      </c>
      <c r="CF323" s="78">
        <v>296.17739148537498</v>
      </c>
      <c r="CG323" s="78">
        <v>172.26278755074401</v>
      </c>
      <c r="CH323" s="78">
        <v>71.0897366503591</v>
      </c>
      <c r="CI323" s="78">
        <v>730.07560000000001</v>
      </c>
      <c r="CJ323" s="78">
        <v>424.6268</v>
      </c>
      <c r="CK323" s="78">
        <v>175.23580000000001</v>
      </c>
      <c r="CL323" s="78">
        <v>60225</v>
      </c>
    </row>
    <row r="324" spans="1:90" customFormat="1" x14ac:dyDescent="0.35">
      <c r="A324" s="72">
        <v>888</v>
      </c>
      <c r="B324" s="72" t="s">
        <v>36</v>
      </c>
      <c r="C324" s="72">
        <v>11</v>
      </c>
      <c r="D324" s="78">
        <v>1331200000</v>
      </c>
      <c r="E324" s="78">
        <v>272650000</v>
      </c>
      <c r="F324" s="78">
        <v>278950000</v>
      </c>
      <c r="G324" s="78">
        <v>15865</v>
      </c>
      <c r="H324" s="78">
        <v>2</v>
      </c>
      <c r="I324" s="78">
        <f t="shared" si="14"/>
        <v>278.95</v>
      </c>
      <c r="J324" s="78">
        <v>2427</v>
      </c>
      <c r="K324" s="78">
        <v>4106</v>
      </c>
      <c r="L324" s="78">
        <v>1373</v>
      </c>
      <c r="M324" s="78">
        <v>2195</v>
      </c>
      <c r="N324" s="78">
        <f t="shared" si="15"/>
        <v>1443.5</v>
      </c>
      <c r="O324" s="78">
        <v>247.333333333333</v>
      </c>
      <c r="P324" s="78">
        <v>9</v>
      </c>
      <c r="Q324" s="78">
        <v>1190.3333333333301</v>
      </c>
      <c r="R324" s="78">
        <v>2347</v>
      </c>
      <c r="S324" s="78">
        <v>455</v>
      </c>
      <c r="T324" s="78">
        <v>0</v>
      </c>
      <c r="U324" s="78">
        <v>502</v>
      </c>
      <c r="V324" s="78">
        <v>7460</v>
      </c>
      <c r="W324" s="78">
        <v>13460</v>
      </c>
      <c r="X324" s="78">
        <v>4760</v>
      </c>
      <c r="Y324" s="78">
        <v>0</v>
      </c>
      <c r="Z324" s="78">
        <v>0</v>
      </c>
      <c r="AA324" s="78">
        <v>0</v>
      </c>
      <c r="AB324" s="399">
        <v>0</v>
      </c>
      <c r="AC324" s="399">
        <v>0</v>
      </c>
      <c r="AD324" s="78">
        <v>2103</v>
      </c>
      <c r="AE324" s="78">
        <v>2103</v>
      </c>
      <c r="AF324" s="78">
        <v>0</v>
      </c>
      <c r="AG324" s="78">
        <v>0</v>
      </c>
      <c r="AH324" s="78">
        <v>99</v>
      </c>
      <c r="AI324" s="78">
        <v>30</v>
      </c>
      <c r="AJ324" s="78">
        <v>99</v>
      </c>
      <c r="AK324" s="78">
        <v>30</v>
      </c>
      <c r="AL324" s="78">
        <v>128</v>
      </c>
      <c r="AM324" s="78">
        <v>7515</v>
      </c>
      <c r="AN324" s="78">
        <v>7515</v>
      </c>
      <c r="AO324" s="78">
        <v>0</v>
      </c>
      <c r="AP324" s="78">
        <v>0</v>
      </c>
      <c r="AQ324" s="78">
        <v>0</v>
      </c>
      <c r="AR324" s="78">
        <v>0</v>
      </c>
      <c r="AS324" s="78">
        <v>644</v>
      </c>
      <c r="AT324" s="78">
        <v>0</v>
      </c>
      <c r="AU324" s="400">
        <v>3.9243999999999998E-4</v>
      </c>
      <c r="AV324" s="400">
        <v>5.1533299999999998E-4</v>
      </c>
      <c r="AW324" s="78">
        <v>6688.35</v>
      </c>
      <c r="AX324" s="78">
        <v>0</v>
      </c>
      <c r="AY324" s="78">
        <v>78</v>
      </c>
      <c r="AZ324" s="78">
        <v>588.430813124108</v>
      </c>
      <c r="BA324" s="78">
        <v>3</v>
      </c>
      <c r="BB324" s="78">
        <v>3</v>
      </c>
      <c r="BC324" s="78">
        <v>1759</v>
      </c>
      <c r="BD324" s="78">
        <v>1</v>
      </c>
      <c r="BE324" s="78">
        <v>0</v>
      </c>
      <c r="BF324" s="78">
        <v>0</v>
      </c>
      <c r="BG324" s="78">
        <v>0</v>
      </c>
      <c r="BH324" s="78">
        <v>0</v>
      </c>
      <c r="BI324" s="78">
        <v>0</v>
      </c>
      <c r="BJ324" s="78">
        <v>0</v>
      </c>
      <c r="BK324" s="78">
        <v>0</v>
      </c>
      <c r="BL324" s="78">
        <v>0</v>
      </c>
      <c r="BM324" s="78">
        <v>276.678</v>
      </c>
      <c r="BN324" s="78">
        <v>32</v>
      </c>
      <c r="BO324" s="78">
        <v>30</v>
      </c>
      <c r="BP324" s="78">
        <v>5050.8</v>
      </c>
      <c r="BQ324" s="78">
        <v>987.36</v>
      </c>
      <c r="BR324" s="78">
        <v>71.008515463917504</v>
      </c>
      <c r="BS324" s="78">
        <v>173</v>
      </c>
      <c r="BT324" s="78">
        <v>64.6666666666667</v>
      </c>
      <c r="BU324" s="78">
        <v>54</v>
      </c>
      <c r="BV324" s="78">
        <f t="shared" si="16"/>
        <v>942.99999999999704</v>
      </c>
      <c r="BW324" s="78">
        <v>174</v>
      </c>
      <c r="BX324" s="78">
        <v>3334.0702366752498</v>
      </c>
      <c r="BY324" s="402">
        <v>0.57199999999999995</v>
      </c>
      <c r="BZ324" s="78">
        <v>11759</v>
      </c>
      <c r="CA324" s="78">
        <v>2256</v>
      </c>
      <c r="CB324" s="78">
        <v>477</v>
      </c>
      <c r="CC324" s="78">
        <v>468</v>
      </c>
      <c r="CD324" s="78">
        <v>438</v>
      </c>
      <c r="CE324" s="78">
        <v>231</v>
      </c>
      <c r="CF324" s="78">
        <v>266.41842980705297</v>
      </c>
      <c r="CG324" s="78">
        <v>180.749634065203</v>
      </c>
      <c r="CH324" s="78">
        <v>67.997205588822396</v>
      </c>
      <c r="CI324" s="78">
        <v>617.63109999999995</v>
      </c>
      <c r="CJ324" s="78">
        <v>419.02730000000003</v>
      </c>
      <c r="CK324" s="78">
        <v>157.6362</v>
      </c>
      <c r="CL324" s="78">
        <v>0</v>
      </c>
    </row>
    <row r="325" spans="1:90" customFormat="1" x14ac:dyDescent="0.35">
      <c r="A325" s="72">
        <v>1954</v>
      </c>
      <c r="B325" s="72" t="s">
        <v>37</v>
      </c>
      <c r="C325" s="72">
        <v>11</v>
      </c>
      <c r="D325" s="78">
        <v>2991600000</v>
      </c>
      <c r="E325" s="78">
        <v>257950000</v>
      </c>
      <c r="F325" s="78">
        <v>291550000</v>
      </c>
      <c r="G325" s="78">
        <v>35938</v>
      </c>
      <c r="H325" s="78">
        <v>7</v>
      </c>
      <c r="I325" s="78">
        <f t="shared" si="14"/>
        <v>291.55</v>
      </c>
      <c r="J325" s="78">
        <v>5743</v>
      </c>
      <c r="K325" s="78">
        <v>9328</v>
      </c>
      <c r="L325" s="78">
        <v>3098</v>
      </c>
      <c r="M325" s="78">
        <v>4866</v>
      </c>
      <c r="N325" s="78">
        <f t="shared" si="15"/>
        <v>3189.5</v>
      </c>
      <c r="O325" s="78">
        <v>472.66666666666703</v>
      </c>
      <c r="P325" s="78">
        <v>34</v>
      </c>
      <c r="Q325" s="78">
        <v>2808.6666666666702</v>
      </c>
      <c r="R325" s="78">
        <v>4882</v>
      </c>
      <c r="S325" s="78">
        <v>615</v>
      </c>
      <c r="T325" s="78">
        <v>0</v>
      </c>
      <c r="U325" s="78">
        <v>1092</v>
      </c>
      <c r="V325" s="78">
        <v>16773</v>
      </c>
      <c r="W325" s="78">
        <v>25710</v>
      </c>
      <c r="X325" s="78">
        <v>4930</v>
      </c>
      <c r="Y325" s="78">
        <v>0</v>
      </c>
      <c r="Z325" s="78">
        <v>0</v>
      </c>
      <c r="AA325" s="78">
        <v>0</v>
      </c>
      <c r="AB325" s="399">
        <v>0</v>
      </c>
      <c r="AC325" s="399">
        <v>0</v>
      </c>
      <c r="AD325" s="78">
        <v>7831</v>
      </c>
      <c r="AE325" s="78">
        <v>7831</v>
      </c>
      <c r="AF325" s="78">
        <v>18</v>
      </c>
      <c r="AG325" s="78">
        <v>0</v>
      </c>
      <c r="AH325" s="78">
        <v>238</v>
      </c>
      <c r="AI325" s="78">
        <v>36</v>
      </c>
      <c r="AJ325" s="78">
        <v>238</v>
      </c>
      <c r="AK325" s="78">
        <v>36</v>
      </c>
      <c r="AL325" s="78">
        <v>274</v>
      </c>
      <c r="AM325" s="78">
        <v>16765</v>
      </c>
      <c r="AN325" s="78">
        <v>16765</v>
      </c>
      <c r="AO325" s="78">
        <v>0</v>
      </c>
      <c r="AP325" s="78">
        <v>0</v>
      </c>
      <c r="AQ325" s="78">
        <v>0</v>
      </c>
      <c r="AR325" s="78">
        <v>0</v>
      </c>
      <c r="AS325" s="78">
        <v>519</v>
      </c>
      <c r="AT325" s="78">
        <v>0</v>
      </c>
      <c r="AU325" s="400">
        <v>9.7348599999999997E-4</v>
      </c>
      <c r="AV325" s="400">
        <v>5.1974499999999995E-4</v>
      </c>
      <c r="AW325" s="78">
        <v>8365.7350000000006</v>
      </c>
      <c r="AX325" s="78">
        <v>0</v>
      </c>
      <c r="AY325" s="78">
        <v>463</v>
      </c>
      <c r="AZ325" s="78">
        <v>2119.9253408077502</v>
      </c>
      <c r="BA325" s="78">
        <v>12</v>
      </c>
      <c r="BB325" s="78">
        <v>12</v>
      </c>
      <c r="BC325" s="78">
        <v>3543</v>
      </c>
      <c r="BD325" s="78">
        <v>1</v>
      </c>
      <c r="BE325" s="78">
        <v>0</v>
      </c>
      <c r="BF325" s="78">
        <v>0</v>
      </c>
      <c r="BG325" s="78">
        <v>0</v>
      </c>
      <c r="BH325" s="78">
        <v>0</v>
      </c>
      <c r="BI325" s="78">
        <v>0</v>
      </c>
      <c r="BJ325" s="78">
        <v>0</v>
      </c>
      <c r="BK325" s="78">
        <v>0</v>
      </c>
      <c r="BL325" s="78">
        <v>0</v>
      </c>
      <c r="BM325" s="78">
        <v>597.27200000000005</v>
      </c>
      <c r="BN325" s="78">
        <v>55</v>
      </c>
      <c r="BO325" s="78">
        <v>53</v>
      </c>
      <c r="BP325" s="78">
        <v>11003.08</v>
      </c>
      <c r="BQ325" s="78">
        <v>2272.64</v>
      </c>
      <c r="BR325" s="78">
        <v>176.541873000941</v>
      </c>
      <c r="BS325" s="78">
        <v>336</v>
      </c>
      <c r="BT325" s="78">
        <v>135.666666666667</v>
      </c>
      <c r="BU325" s="78">
        <v>105</v>
      </c>
      <c r="BV325" s="78">
        <f t="shared" si="16"/>
        <v>2336.0000000000032</v>
      </c>
      <c r="BW325" s="78">
        <v>446</v>
      </c>
      <c r="BX325" s="78">
        <v>7387.1314938282003</v>
      </c>
      <c r="BY325" s="402">
        <v>0.875</v>
      </c>
      <c r="BZ325" s="78">
        <v>26610</v>
      </c>
      <c r="CA325" s="78">
        <v>5188</v>
      </c>
      <c r="CB325" s="78">
        <v>1042</v>
      </c>
      <c r="CC325" s="78">
        <v>879</v>
      </c>
      <c r="CD325" s="78">
        <v>996</v>
      </c>
      <c r="CE325" s="78">
        <v>477</v>
      </c>
      <c r="CF325" s="78">
        <v>593.95281837160803</v>
      </c>
      <c r="CG325" s="78">
        <v>397.046614971667</v>
      </c>
      <c r="CH325" s="78">
        <v>129.178079331942</v>
      </c>
      <c r="CI325" s="78">
        <v>1390.2266</v>
      </c>
      <c r="CJ325" s="78">
        <v>929.34109999999998</v>
      </c>
      <c r="CK325" s="78">
        <v>302.3587</v>
      </c>
      <c r="CL325" s="78">
        <v>13627</v>
      </c>
    </row>
    <row r="326" spans="1:90" customFormat="1" x14ac:dyDescent="0.35">
      <c r="A326" s="72">
        <v>889</v>
      </c>
      <c r="B326" s="72" t="s">
        <v>39</v>
      </c>
      <c r="C326" s="72">
        <v>11</v>
      </c>
      <c r="D326" s="78">
        <v>1070400000</v>
      </c>
      <c r="E326" s="78">
        <v>115150000</v>
      </c>
      <c r="F326" s="78">
        <v>123200000</v>
      </c>
      <c r="G326" s="78">
        <v>13482</v>
      </c>
      <c r="H326" s="78">
        <v>1</v>
      </c>
      <c r="I326" s="78">
        <f t="shared" ref="I326:I360" si="17">F326/1000000</f>
        <v>123.2</v>
      </c>
      <c r="J326" s="78">
        <v>2359</v>
      </c>
      <c r="K326" s="78">
        <v>3206</v>
      </c>
      <c r="L326" s="78">
        <v>997</v>
      </c>
      <c r="M326" s="78">
        <v>1834</v>
      </c>
      <c r="N326" s="78">
        <f t="shared" ref="N326:N360" si="18">IF(M326-0.1*AM326&lt;=0,0,M326-0.1*AM326)</f>
        <v>1185.6999999999998</v>
      </c>
      <c r="O326" s="78">
        <v>183.333333333333</v>
      </c>
      <c r="P326" s="78">
        <v>20</v>
      </c>
      <c r="Q326" s="78">
        <v>869.33333333333303</v>
      </c>
      <c r="R326" s="78">
        <v>1706</v>
      </c>
      <c r="S326" s="78">
        <v>600</v>
      </c>
      <c r="T326" s="78">
        <v>0</v>
      </c>
      <c r="U326" s="78">
        <v>365</v>
      </c>
      <c r="V326" s="78">
        <v>5982</v>
      </c>
      <c r="W326" s="78">
        <v>14060</v>
      </c>
      <c r="X326" s="78">
        <v>8960</v>
      </c>
      <c r="Y326" s="78">
        <v>0</v>
      </c>
      <c r="Z326" s="78">
        <v>327.2</v>
      </c>
      <c r="AA326" s="78">
        <v>0</v>
      </c>
      <c r="AB326" s="399">
        <v>0</v>
      </c>
      <c r="AC326" s="399">
        <v>109.79999999999995</v>
      </c>
      <c r="AD326" s="78">
        <v>2785</v>
      </c>
      <c r="AE326" s="78">
        <v>2785</v>
      </c>
      <c r="AF326" s="78">
        <v>131</v>
      </c>
      <c r="AG326" s="78">
        <v>0</v>
      </c>
      <c r="AH326" s="78">
        <v>95</v>
      </c>
      <c r="AI326" s="78">
        <v>16</v>
      </c>
      <c r="AJ326" s="78">
        <v>95</v>
      </c>
      <c r="AK326" s="78">
        <v>16</v>
      </c>
      <c r="AL326" s="78">
        <v>110</v>
      </c>
      <c r="AM326" s="78">
        <v>6483</v>
      </c>
      <c r="AN326" s="78">
        <v>6483</v>
      </c>
      <c r="AO326" s="78">
        <v>0</v>
      </c>
      <c r="AP326" s="78">
        <v>0</v>
      </c>
      <c r="AQ326" s="78">
        <v>0</v>
      </c>
      <c r="AR326" s="78">
        <v>0</v>
      </c>
      <c r="AS326" s="78">
        <v>0</v>
      </c>
      <c r="AT326" s="78">
        <v>0</v>
      </c>
      <c r="AU326" s="400">
        <v>2.4515099999999998E-4</v>
      </c>
      <c r="AV326" s="400">
        <v>1.3544699999999999E-4</v>
      </c>
      <c r="AW326" s="78">
        <v>4803.9030000000002</v>
      </c>
      <c r="AX326" s="78">
        <v>0</v>
      </c>
      <c r="AY326" s="78">
        <v>333</v>
      </c>
      <c r="AZ326" s="78">
        <v>1539.6111111111099</v>
      </c>
      <c r="BA326" s="78">
        <v>3</v>
      </c>
      <c r="BB326" s="78">
        <v>3</v>
      </c>
      <c r="BC326" s="78">
        <v>1115</v>
      </c>
      <c r="BD326" s="78">
        <v>1</v>
      </c>
      <c r="BE326" s="78">
        <v>0</v>
      </c>
      <c r="BF326" s="78">
        <v>0</v>
      </c>
      <c r="BG326" s="78">
        <v>0</v>
      </c>
      <c r="BH326" s="78">
        <v>0</v>
      </c>
      <c r="BI326" s="78">
        <v>0</v>
      </c>
      <c r="BJ326" s="78">
        <v>0</v>
      </c>
      <c r="BK326" s="78">
        <v>0</v>
      </c>
      <c r="BL326" s="78">
        <v>0</v>
      </c>
      <c r="BM326" s="78">
        <v>219.387</v>
      </c>
      <c r="BN326" s="78">
        <v>47</v>
      </c>
      <c r="BO326" s="78">
        <v>17</v>
      </c>
      <c r="BP326" s="78">
        <v>3654.9</v>
      </c>
      <c r="BQ326" s="78">
        <v>825.6</v>
      </c>
      <c r="BR326" s="78">
        <v>59.285603555982703</v>
      </c>
      <c r="BS326" s="78">
        <v>154</v>
      </c>
      <c r="BT326" s="78">
        <v>54.3333333333333</v>
      </c>
      <c r="BU326" s="78">
        <v>54</v>
      </c>
      <c r="BV326" s="78">
        <f t="shared" ref="BV326:BV360" si="19">Q326-O326</f>
        <v>686</v>
      </c>
      <c r="BW326" s="78">
        <v>181</v>
      </c>
      <c r="BX326" s="78">
        <v>2657.4269576152101</v>
      </c>
      <c r="BY326" s="402">
        <v>0.42199999999999999</v>
      </c>
      <c r="BZ326" s="78">
        <v>10276</v>
      </c>
      <c r="CA326" s="78">
        <v>1867</v>
      </c>
      <c r="CB326" s="78">
        <v>342</v>
      </c>
      <c r="CC326" s="78">
        <v>339</v>
      </c>
      <c r="CD326" s="78">
        <v>309</v>
      </c>
      <c r="CE326" s="78">
        <v>187</v>
      </c>
      <c r="CF326" s="78">
        <v>203.74360635508199</v>
      </c>
      <c r="CG326" s="78">
        <v>125.647987043036</v>
      </c>
      <c r="CH326" s="78">
        <v>46.272111676692901</v>
      </c>
      <c r="CI326" s="78">
        <v>565.35500000000002</v>
      </c>
      <c r="CJ326" s="78">
        <v>348.65249999999997</v>
      </c>
      <c r="CK326" s="78">
        <v>128.39750000000001</v>
      </c>
      <c r="CL326" s="78">
        <v>0</v>
      </c>
    </row>
    <row r="327" spans="1:90" customFormat="1" x14ac:dyDescent="0.35">
      <c r="A327" s="72">
        <v>893</v>
      </c>
      <c r="B327" s="72" t="s">
        <v>42</v>
      </c>
      <c r="C327" s="72">
        <v>11</v>
      </c>
      <c r="D327" s="78">
        <v>1077200000</v>
      </c>
      <c r="E327" s="78">
        <v>130900000</v>
      </c>
      <c r="F327" s="78">
        <v>144550000</v>
      </c>
      <c r="G327" s="78">
        <v>13085</v>
      </c>
      <c r="H327" s="78">
        <v>4</v>
      </c>
      <c r="I327" s="78">
        <f t="shared" si="17"/>
        <v>144.55000000000001</v>
      </c>
      <c r="J327" s="78">
        <v>2155</v>
      </c>
      <c r="K327" s="78">
        <v>3133</v>
      </c>
      <c r="L327" s="78">
        <v>954</v>
      </c>
      <c r="M327" s="78">
        <v>1740</v>
      </c>
      <c r="N327" s="78">
        <f t="shared" si="18"/>
        <v>1161.0999999999999</v>
      </c>
      <c r="O327" s="78">
        <v>169.333333333333</v>
      </c>
      <c r="P327" s="78">
        <v>18</v>
      </c>
      <c r="Q327" s="78">
        <v>938.33333333333303</v>
      </c>
      <c r="R327" s="78">
        <v>1590</v>
      </c>
      <c r="S327" s="78">
        <v>170</v>
      </c>
      <c r="T327" s="78">
        <v>0</v>
      </c>
      <c r="U327" s="78">
        <v>332</v>
      </c>
      <c r="V327" s="78">
        <v>5782</v>
      </c>
      <c r="W327" s="78">
        <v>11080</v>
      </c>
      <c r="X327" s="78">
        <v>1360</v>
      </c>
      <c r="Y327" s="78">
        <v>0</v>
      </c>
      <c r="Z327" s="78">
        <v>0</v>
      </c>
      <c r="AA327" s="78">
        <v>0</v>
      </c>
      <c r="AB327" s="399">
        <v>0</v>
      </c>
      <c r="AC327" s="399">
        <v>0</v>
      </c>
      <c r="AD327" s="78">
        <v>10292</v>
      </c>
      <c r="AE327" s="78">
        <v>10292</v>
      </c>
      <c r="AF327" s="78">
        <v>558</v>
      </c>
      <c r="AG327" s="78">
        <v>0</v>
      </c>
      <c r="AH327" s="78">
        <v>73</v>
      </c>
      <c r="AI327" s="78">
        <v>61</v>
      </c>
      <c r="AJ327" s="78">
        <v>73</v>
      </c>
      <c r="AK327" s="78">
        <v>61</v>
      </c>
      <c r="AL327" s="78">
        <v>134</v>
      </c>
      <c r="AM327" s="78">
        <v>5789</v>
      </c>
      <c r="AN327" s="78">
        <v>5789</v>
      </c>
      <c r="AO327" s="78">
        <v>0</v>
      </c>
      <c r="AP327" s="78">
        <v>0</v>
      </c>
      <c r="AQ327" s="78">
        <v>0</v>
      </c>
      <c r="AR327" s="78">
        <v>0</v>
      </c>
      <c r="AS327" s="78">
        <v>0</v>
      </c>
      <c r="AT327" s="78">
        <v>0</v>
      </c>
      <c r="AU327" s="400">
        <v>1.9296600000000001E-4</v>
      </c>
      <c r="AV327" s="400">
        <v>1.29309E-4</v>
      </c>
      <c r="AW327" s="78">
        <v>1823.5350000000001</v>
      </c>
      <c r="AX327" s="78">
        <v>0</v>
      </c>
      <c r="AY327" s="78">
        <v>1422</v>
      </c>
      <c r="AZ327" s="78">
        <v>1714.9188940092199</v>
      </c>
      <c r="BA327" s="78">
        <v>11</v>
      </c>
      <c r="BB327" s="78">
        <v>11</v>
      </c>
      <c r="BC327" s="78">
        <v>1251</v>
      </c>
      <c r="BD327" s="78">
        <v>1</v>
      </c>
      <c r="BE327" s="78">
        <v>0</v>
      </c>
      <c r="BF327" s="78">
        <v>0</v>
      </c>
      <c r="BG327" s="78">
        <v>0</v>
      </c>
      <c r="BH327" s="78">
        <v>0</v>
      </c>
      <c r="BI327" s="78">
        <v>0</v>
      </c>
      <c r="BJ327" s="78">
        <v>0</v>
      </c>
      <c r="BK327" s="78">
        <v>0</v>
      </c>
      <c r="BL327" s="78">
        <v>0</v>
      </c>
      <c r="BM327" s="78">
        <v>181.02</v>
      </c>
      <c r="BN327" s="78">
        <v>42</v>
      </c>
      <c r="BO327" s="78">
        <v>23</v>
      </c>
      <c r="BP327" s="78">
        <v>3503</v>
      </c>
      <c r="BQ327" s="78">
        <v>730.17</v>
      </c>
      <c r="BR327" s="78">
        <v>61.2452521432173</v>
      </c>
      <c r="BS327" s="78">
        <v>115</v>
      </c>
      <c r="BT327" s="78">
        <v>52.3333333333333</v>
      </c>
      <c r="BU327" s="78">
        <v>40</v>
      </c>
      <c r="BV327" s="78">
        <f t="shared" si="19"/>
        <v>769</v>
      </c>
      <c r="BW327" s="78">
        <v>179</v>
      </c>
      <c r="BX327" s="78">
        <v>2850.2197108066998</v>
      </c>
      <c r="BY327" s="402">
        <v>0.30599999999999999</v>
      </c>
      <c r="BZ327" s="78">
        <v>9952</v>
      </c>
      <c r="CA327" s="78">
        <v>1863</v>
      </c>
      <c r="CB327" s="78">
        <v>316</v>
      </c>
      <c r="CC327" s="78">
        <v>327</v>
      </c>
      <c r="CD327" s="78">
        <v>297</v>
      </c>
      <c r="CE327" s="78">
        <v>187</v>
      </c>
      <c r="CF327" s="78">
        <v>219.02249093107599</v>
      </c>
      <c r="CG327" s="78">
        <v>132.97794092243899</v>
      </c>
      <c r="CH327" s="78">
        <v>47.735671100362801</v>
      </c>
      <c r="CI327" s="78">
        <v>549.38520000000005</v>
      </c>
      <c r="CJ327" s="78">
        <v>333.55529999999999</v>
      </c>
      <c r="CK327" s="78">
        <v>119.73779999999999</v>
      </c>
      <c r="CL327" s="78">
        <v>8760</v>
      </c>
    </row>
    <row r="328" spans="1:90" customFormat="1" x14ac:dyDescent="0.35">
      <c r="A328" s="72">
        <v>899</v>
      </c>
      <c r="B328" s="72" t="s">
        <v>64</v>
      </c>
      <c r="C328" s="72">
        <v>11</v>
      </c>
      <c r="D328" s="78">
        <v>1864800000</v>
      </c>
      <c r="E328" s="78">
        <v>260750000</v>
      </c>
      <c r="F328" s="78">
        <v>266000000</v>
      </c>
      <c r="G328" s="78">
        <v>27821</v>
      </c>
      <c r="H328" s="78">
        <v>1</v>
      </c>
      <c r="I328" s="78">
        <f t="shared" si="17"/>
        <v>266</v>
      </c>
      <c r="J328" s="78">
        <v>4356</v>
      </c>
      <c r="K328" s="78">
        <v>6987</v>
      </c>
      <c r="L328" s="78">
        <v>2330</v>
      </c>
      <c r="M328" s="78">
        <v>5404</v>
      </c>
      <c r="N328" s="78">
        <f t="shared" si="18"/>
        <v>3927</v>
      </c>
      <c r="O328" s="78">
        <v>821.33333333333303</v>
      </c>
      <c r="P328" s="78">
        <v>36</v>
      </c>
      <c r="Q328" s="78">
        <v>3693.3333333333298</v>
      </c>
      <c r="R328" s="78">
        <v>5237</v>
      </c>
      <c r="S328" s="78">
        <v>895</v>
      </c>
      <c r="T328" s="78">
        <v>0</v>
      </c>
      <c r="U328" s="78">
        <v>1132</v>
      </c>
      <c r="V328" s="78">
        <v>14028</v>
      </c>
      <c r="W328" s="78">
        <v>28910</v>
      </c>
      <c r="X328" s="78">
        <v>24020</v>
      </c>
      <c r="Y328" s="78">
        <v>188.1</v>
      </c>
      <c r="Z328" s="78">
        <v>80.8</v>
      </c>
      <c r="AA328" s="78">
        <v>0</v>
      </c>
      <c r="AB328" s="399">
        <v>0</v>
      </c>
      <c r="AC328" s="399">
        <v>0</v>
      </c>
      <c r="AD328" s="78">
        <v>1725</v>
      </c>
      <c r="AE328" s="78">
        <v>1725</v>
      </c>
      <c r="AF328" s="78">
        <v>9</v>
      </c>
      <c r="AG328" s="78">
        <v>0</v>
      </c>
      <c r="AH328" s="78">
        <v>154</v>
      </c>
      <c r="AI328" s="78">
        <v>18</v>
      </c>
      <c r="AJ328" s="78">
        <v>154</v>
      </c>
      <c r="AK328" s="78">
        <v>18</v>
      </c>
      <c r="AL328" s="78">
        <v>171</v>
      </c>
      <c r="AM328" s="78">
        <v>14770</v>
      </c>
      <c r="AN328" s="78">
        <v>14770</v>
      </c>
      <c r="AO328" s="78">
        <v>0</v>
      </c>
      <c r="AP328" s="78">
        <v>0</v>
      </c>
      <c r="AQ328" s="78">
        <v>0</v>
      </c>
      <c r="AR328" s="78">
        <v>0</v>
      </c>
      <c r="AS328" s="78">
        <v>3867</v>
      </c>
      <c r="AT328" s="78">
        <v>0</v>
      </c>
      <c r="AU328" s="400">
        <v>1.477587E-3</v>
      </c>
      <c r="AV328" s="400">
        <v>2.2267609999999998E-3</v>
      </c>
      <c r="AW328" s="78">
        <v>24577.279999999999</v>
      </c>
      <c r="AX328" s="78">
        <v>0</v>
      </c>
      <c r="AY328" s="78">
        <v>151</v>
      </c>
      <c r="AZ328" s="78">
        <v>2422.7053056516702</v>
      </c>
      <c r="BA328" s="78">
        <v>1</v>
      </c>
      <c r="BB328" s="78">
        <v>1</v>
      </c>
      <c r="BC328" s="78">
        <v>1913</v>
      </c>
      <c r="BD328" s="78">
        <v>1</v>
      </c>
      <c r="BE328" s="78">
        <v>0</v>
      </c>
      <c r="BF328" s="78">
        <v>0</v>
      </c>
      <c r="BG328" s="78">
        <v>0</v>
      </c>
      <c r="BH328" s="78">
        <v>0</v>
      </c>
      <c r="BI328" s="78">
        <v>0</v>
      </c>
      <c r="BJ328" s="78">
        <v>0</v>
      </c>
      <c r="BK328" s="78">
        <v>0</v>
      </c>
      <c r="BL328" s="78">
        <v>0</v>
      </c>
      <c r="BM328" s="78">
        <v>875.55600000000004</v>
      </c>
      <c r="BN328" s="78">
        <v>123</v>
      </c>
      <c r="BO328" s="78">
        <v>92</v>
      </c>
      <c r="BP328" s="78">
        <v>7333.2</v>
      </c>
      <c r="BQ328" s="78">
        <v>1381.12</v>
      </c>
      <c r="BR328" s="78">
        <v>191.310516853933</v>
      </c>
      <c r="BS328" s="78">
        <v>345</v>
      </c>
      <c r="BT328" s="78">
        <v>215.333333333333</v>
      </c>
      <c r="BU328" s="78">
        <v>214.666666666667</v>
      </c>
      <c r="BV328" s="78">
        <f t="shared" si="19"/>
        <v>2871.9999999999968</v>
      </c>
      <c r="BW328" s="78">
        <v>605</v>
      </c>
      <c r="BX328" s="78">
        <v>6994.7397231612304</v>
      </c>
      <c r="BY328" s="402">
        <v>2.3570000000000002</v>
      </c>
      <c r="BZ328" s="78">
        <v>20834</v>
      </c>
      <c r="CA328" s="78">
        <v>3829</v>
      </c>
      <c r="CB328" s="78">
        <v>828</v>
      </c>
      <c r="CC328" s="78">
        <v>957</v>
      </c>
      <c r="CD328" s="78">
        <v>863</v>
      </c>
      <c r="CE328" s="78">
        <v>441</v>
      </c>
      <c r="CF328" s="78">
        <v>636.509004739337</v>
      </c>
      <c r="CG328" s="78">
        <v>434.44265402843598</v>
      </c>
      <c r="CH328" s="78">
        <v>141.44644549763001</v>
      </c>
      <c r="CI328" s="78">
        <v>1432.5696</v>
      </c>
      <c r="CJ328" s="78">
        <v>977.78560000000004</v>
      </c>
      <c r="CK328" s="78">
        <v>318.34879999999998</v>
      </c>
      <c r="CL328" s="78">
        <v>26592</v>
      </c>
    </row>
    <row r="329" spans="1:90" customFormat="1" x14ac:dyDescent="0.35">
      <c r="A329" s="72">
        <v>1711</v>
      </c>
      <c r="B329" s="72" t="s">
        <v>96</v>
      </c>
      <c r="C329" s="72">
        <v>11</v>
      </c>
      <c r="D329" s="78">
        <v>2688800000</v>
      </c>
      <c r="E329" s="78">
        <v>392350000</v>
      </c>
      <c r="F329" s="78">
        <v>421400000</v>
      </c>
      <c r="G329" s="78">
        <v>31610</v>
      </c>
      <c r="H329" s="78">
        <v>5</v>
      </c>
      <c r="I329" s="78">
        <f t="shared" si="17"/>
        <v>421.4</v>
      </c>
      <c r="J329" s="78">
        <v>4863</v>
      </c>
      <c r="K329" s="78">
        <v>8149</v>
      </c>
      <c r="L329" s="78">
        <v>2596</v>
      </c>
      <c r="M329" s="78">
        <v>4539</v>
      </c>
      <c r="N329" s="78">
        <f t="shared" si="18"/>
        <v>2992.3</v>
      </c>
      <c r="O329" s="78">
        <v>450.33333333333297</v>
      </c>
      <c r="P329" s="78">
        <v>28</v>
      </c>
      <c r="Q329" s="78">
        <v>2836.3333333333298</v>
      </c>
      <c r="R329" s="78">
        <v>4480</v>
      </c>
      <c r="S329" s="78">
        <v>600</v>
      </c>
      <c r="T329" s="78">
        <v>0</v>
      </c>
      <c r="U329" s="78">
        <v>924</v>
      </c>
      <c r="V329" s="78">
        <v>15094</v>
      </c>
      <c r="W329" s="78">
        <v>29280</v>
      </c>
      <c r="X329" s="78">
        <v>16160</v>
      </c>
      <c r="Y329" s="78">
        <v>271.26</v>
      </c>
      <c r="Z329" s="78">
        <v>1070.4000000000001</v>
      </c>
      <c r="AA329" s="78">
        <v>0</v>
      </c>
      <c r="AB329" s="399">
        <v>0</v>
      </c>
      <c r="AC329" s="399">
        <v>0</v>
      </c>
      <c r="AD329" s="78">
        <v>10303</v>
      </c>
      <c r="AE329" s="78">
        <v>10303</v>
      </c>
      <c r="AF329" s="78">
        <v>159</v>
      </c>
      <c r="AG329" s="78">
        <v>0</v>
      </c>
      <c r="AH329" s="78">
        <v>227</v>
      </c>
      <c r="AI329" s="78">
        <v>76</v>
      </c>
      <c r="AJ329" s="78">
        <v>227</v>
      </c>
      <c r="AK329" s="78">
        <v>76</v>
      </c>
      <c r="AL329" s="78">
        <v>303</v>
      </c>
      <c r="AM329" s="78">
        <v>15467</v>
      </c>
      <c r="AN329" s="78">
        <v>15467</v>
      </c>
      <c r="AO329" s="78">
        <v>29</v>
      </c>
      <c r="AP329" s="78">
        <v>0</v>
      </c>
      <c r="AQ329" s="78">
        <v>0</v>
      </c>
      <c r="AR329" s="78">
        <v>0</v>
      </c>
      <c r="AS329" s="78">
        <v>572</v>
      </c>
      <c r="AT329" s="78">
        <v>572</v>
      </c>
      <c r="AU329" s="400">
        <v>7.6928999999999995E-4</v>
      </c>
      <c r="AV329" s="400">
        <v>4.4813299999999997E-4</v>
      </c>
      <c r="AW329" s="78">
        <v>11058.905000000001</v>
      </c>
      <c r="AX329" s="78">
        <v>0</v>
      </c>
      <c r="AY329" s="78">
        <v>987</v>
      </c>
      <c r="AZ329" s="78">
        <v>2982.1324794494399</v>
      </c>
      <c r="BA329" s="78">
        <v>12</v>
      </c>
      <c r="BB329" s="78">
        <v>12</v>
      </c>
      <c r="BC329" s="78">
        <v>3334</v>
      </c>
      <c r="BD329" s="78">
        <v>1</v>
      </c>
      <c r="BE329" s="78">
        <v>0</v>
      </c>
      <c r="BF329" s="78">
        <v>0</v>
      </c>
      <c r="BG329" s="78">
        <v>0</v>
      </c>
      <c r="BH329" s="78">
        <v>0</v>
      </c>
      <c r="BI329" s="78">
        <v>0</v>
      </c>
      <c r="BJ329" s="78">
        <v>0</v>
      </c>
      <c r="BK329" s="78">
        <v>0</v>
      </c>
      <c r="BL329" s="78">
        <v>0</v>
      </c>
      <c r="BM329" s="78">
        <v>539.79300000000001</v>
      </c>
      <c r="BN329" s="78">
        <v>53</v>
      </c>
      <c r="BO329" s="78">
        <v>94</v>
      </c>
      <c r="BP329" s="78">
        <v>9084.7999999999993</v>
      </c>
      <c r="BQ329" s="78">
        <v>1832.96</v>
      </c>
      <c r="BR329" s="78">
        <v>159.79610161360699</v>
      </c>
      <c r="BS329" s="78">
        <v>300</v>
      </c>
      <c r="BT329" s="78">
        <v>119.333333333333</v>
      </c>
      <c r="BU329" s="78">
        <v>94.6666666666667</v>
      </c>
      <c r="BV329" s="78">
        <f t="shared" si="19"/>
        <v>2385.9999999999968</v>
      </c>
      <c r="BW329" s="78">
        <v>612</v>
      </c>
      <c r="BX329" s="78">
        <v>6985.2524938365204</v>
      </c>
      <c r="BY329" s="402">
        <v>0.97799999999999998</v>
      </c>
      <c r="BZ329" s="78">
        <v>23461</v>
      </c>
      <c r="CA329" s="78">
        <v>4697</v>
      </c>
      <c r="CB329" s="78">
        <v>856</v>
      </c>
      <c r="CC329" s="78">
        <v>937</v>
      </c>
      <c r="CD329" s="78">
        <v>790</v>
      </c>
      <c r="CE329" s="78">
        <v>382</v>
      </c>
      <c r="CF329" s="78">
        <v>555.04678993987204</v>
      </c>
      <c r="CG329" s="78">
        <v>324.825221439193</v>
      </c>
      <c r="CH329" s="78">
        <v>110.661123682679</v>
      </c>
      <c r="CI329" s="78">
        <v>1346.1348</v>
      </c>
      <c r="CJ329" s="78">
        <v>787.78679999999997</v>
      </c>
      <c r="CK329" s="78">
        <v>268.38240000000002</v>
      </c>
      <c r="CL329" s="78">
        <v>145313</v>
      </c>
    </row>
    <row r="330" spans="1:90" customFormat="1" x14ac:dyDescent="0.35">
      <c r="A330" s="72">
        <v>1903</v>
      </c>
      <c r="B330" s="72" t="s">
        <v>101</v>
      </c>
      <c r="C330" s="72">
        <v>11</v>
      </c>
      <c r="D330" s="78">
        <v>2515600000</v>
      </c>
      <c r="E330" s="78">
        <v>253050000</v>
      </c>
      <c r="F330" s="78">
        <v>272300000</v>
      </c>
      <c r="G330" s="78">
        <v>25768</v>
      </c>
      <c r="H330" s="78">
        <v>5</v>
      </c>
      <c r="I330" s="78">
        <f t="shared" si="17"/>
        <v>272.3</v>
      </c>
      <c r="J330" s="78">
        <v>4449</v>
      </c>
      <c r="K330" s="78">
        <v>6544</v>
      </c>
      <c r="L330" s="78">
        <v>2196</v>
      </c>
      <c r="M330" s="78">
        <v>2636</v>
      </c>
      <c r="N330" s="78">
        <f t="shared" si="18"/>
        <v>1461.8999999999999</v>
      </c>
      <c r="O330" s="78">
        <v>214</v>
      </c>
      <c r="P330" s="78">
        <v>13</v>
      </c>
      <c r="Q330" s="78">
        <v>1363</v>
      </c>
      <c r="R330" s="78">
        <v>2963</v>
      </c>
      <c r="S330" s="78">
        <v>310</v>
      </c>
      <c r="T330" s="78">
        <v>0</v>
      </c>
      <c r="U330" s="78">
        <v>574</v>
      </c>
      <c r="V330" s="78">
        <v>11450</v>
      </c>
      <c r="W330" s="78">
        <v>17930</v>
      </c>
      <c r="X330" s="78">
        <v>3140</v>
      </c>
      <c r="Y330" s="78">
        <v>339.08</v>
      </c>
      <c r="Z330" s="78">
        <v>0</v>
      </c>
      <c r="AA330" s="78">
        <v>0</v>
      </c>
      <c r="AB330" s="399">
        <v>0</v>
      </c>
      <c r="AC330" s="399">
        <v>0</v>
      </c>
      <c r="AD330" s="78">
        <v>7756</v>
      </c>
      <c r="AE330" s="78">
        <v>7756</v>
      </c>
      <c r="AF330" s="78">
        <v>121</v>
      </c>
      <c r="AG330" s="78">
        <v>0</v>
      </c>
      <c r="AH330" s="78">
        <v>181</v>
      </c>
      <c r="AI330" s="78">
        <v>39</v>
      </c>
      <c r="AJ330" s="78">
        <v>181</v>
      </c>
      <c r="AK330" s="78">
        <v>39</v>
      </c>
      <c r="AL330" s="78">
        <v>220</v>
      </c>
      <c r="AM330" s="78">
        <v>11741</v>
      </c>
      <c r="AN330" s="78">
        <v>11741</v>
      </c>
      <c r="AO330" s="78">
        <v>0</v>
      </c>
      <c r="AP330" s="78">
        <v>0</v>
      </c>
      <c r="AQ330" s="78">
        <v>0</v>
      </c>
      <c r="AR330" s="78">
        <v>0</v>
      </c>
      <c r="AS330" s="78">
        <v>0</v>
      </c>
      <c r="AT330" s="78">
        <v>0</v>
      </c>
      <c r="AU330" s="400">
        <v>6.6093399999999996E-4</v>
      </c>
      <c r="AV330" s="400">
        <v>2.08381E-4</v>
      </c>
      <c r="AW330" s="78">
        <v>5447.8239999999996</v>
      </c>
      <c r="AX330" s="78">
        <v>0</v>
      </c>
      <c r="AY330" s="78">
        <v>294</v>
      </c>
      <c r="AZ330" s="78">
        <v>961.761076551987</v>
      </c>
      <c r="BA330" s="78">
        <v>21</v>
      </c>
      <c r="BB330" s="78">
        <v>21</v>
      </c>
      <c r="BC330" s="78">
        <v>2808</v>
      </c>
      <c r="BD330" s="78">
        <v>1</v>
      </c>
      <c r="BE330" s="78">
        <v>0</v>
      </c>
      <c r="BF330" s="78">
        <v>0</v>
      </c>
      <c r="BG330" s="78">
        <v>0</v>
      </c>
      <c r="BH330" s="78">
        <v>0</v>
      </c>
      <c r="BI330" s="78">
        <v>0</v>
      </c>
      <c r="BJ330" s="78">
        <v>0</v>
      </c>
      <c r="BK330" s="78">
        <v>0</v>
      </c>
      <c r="BL330" s="78">
        <v>0</v>
      </c>
      <c r="BM330" s="78">
        <v>338.12400000000002</v>
      </c>
      <c r="BN330" s="78">
        <v>29</v>
      </c>
      <c r="BO330" s="78">
        <v>34</v>
      </c>
      <c r="BP330" s="78">
        <v>8308.5</v>
      </c>
      <c r="BQ330" s="78">
        <v>1913.25</v>
      </c>
      <c r="BR330" s="78">
        <v>103.570488098285</v>
      </c>
      <c r="BS330" s="78">
        <v>190</v>
      </c>
      <c r="BT330" s="78">
        <v>61.6666666666667</v>
      </c>
      <c r="BU330" s="78">
        <v>33</v>
      </c>
      <c r="BV330" s="78">
        <f t="shared" si="19"/>
        <v>1149</v>
      </c>
      <c r="BW330" s="78">
        <v>222</v>
      </c>
      <c r="BX330" s="78">
        <v>4462.0880318029504</v>
      </c>
      <c r="BY330" s="402">
        <v>0.24299999999999999</v>
      </c>
      <c r="BZ330" s="78">
        <v>19224</v>
      </c>
      <c r="CA330" s="78">
        <v>3660</v>
      </c>
      <c r="CB330" s="78">
        <v>688</v>
      </c>
      <c r="CC330" s="78">
        <v>589</v>
      </c>
      <c r="CD330" s="78">
        <v>594</v>
      </c>
      <c r="CE330" s="78">
        <v>274</v>
      </c>
      <c r="CF330" s="78">
        <v>269.071280129461</v>
      </c>
      <c r="CG330" s="78">
        <v>175.18893620645599</v>
      </c>
      <c r="CH330" s="78">
        <v>55.034477472106303</v>
      </c>
      <c r="CI330" s="78">
        <v>820.31560000000002</v>
      </c>
      <c r="CJ330" s="78">
        <v>534.09720000000004</v>
      </c>
      <c r="CK330" s="78">
        <v>167.78319999999999</v>
      </c>
      <c r="CL330" s="78">
        <v>0</v>
      </c>
    </row>
    <row r="331" spans="1:90" customFormat="1" x14ac:dyDescent="0.35">
      <c r="A331" s="72">
        <v>907</v>
      </c>
      <c r="B331" s="72" t="s">
        <v>113</v>
      </c>
      <c r="C331" s="72">
        <v>11</v>
      </c>
      <c r="D331" s="78">
        <v>1532800000</v>
      </c>
      <c r="E331" s="78">
        <v>229600000</v>
      </c>
      <c r="F331" s="78">
        <v>243250000</v>
      </c>
      <c r="G331" s="78">
        <v>16921</v>
      </c>
      <c r="H331" s="78">
        <v>3</v>
      </c>
      <c r="I331" s="78">
        <f t="shared" si="17"/>
        <v>243.25</v>
      </c>
      <c r="J331" s="78">
        <v>3055</v>
      </c>
      <c r="K331" s="78">
        <v>4022</v>
      </c>
      <c r="L331" s="78">
        <v>1266</v>
      </c>
      <c r="M331" s="78">
        <v>2210</v>
      </c>
      <c r="N331" s="78">
        <f t="shared" si="18"/>
        <v>1337.1999999999998</v>
      </c>
      <c r="O331" s="78">
        <v>272</v>
      </c>
      <c r="P331" s="78">
        <v>8</v>
      </c>
      <c r="Q331" s="78">
        <v>1609</v>
      </c>
      <c r="R331" s="78">
        <v>2296</v>
      </c>
      <c r="S331" s="78">
        <v>445</v>
      </c>
      <c r="T331" s="78">
        <v>0</v>
      </c>
      <c r="U331" s="78">
        <v>444</v>
      </c>
      <c r="V331" s="78">
        <v>7929</v>
      </c>
      <c r="W331" s="78">
        <v>15580</v>
      </c>
      <c r="X331" s="78">
        <v>5620</v>
      </c>
      <c r="Y331" s="78">
        <v>717.08</v>
      </c>
      <c r="Z331" s="78">
        <v>556</v>
      </c>
      <c r="AA331" s="78">
        <v>0</v>
      </c>
      <c r="AB331" s="399">
        <v>0</v>
      </c>
      <c r="AC331" s="399">
        <v>55.899999999999977</v>
      </c>
      <c r="AD331" s="78">
        <v>4748</v>
      </c>
      <c r="AE331" s="78">
        <v>4748</v>
      </c>
      <c r="AF331" s="78">
        <v>294</v>
      </c>
      <c r="AG331" s="78">
        <v>0</v>
      </c>
      <c r="AH331" s="78">
        <v>114</v>
      </c>
      <c r="AI331" s="78">
        <v>74</v>
      </c>
      <c r="AJ331" s="78">
        <v>114</v>
      </c>
      <c r="AK331" s="78">
        <v>74</v>
      </c>
      <c r="AL331" s="78">
        <v>188</v>
      </c>
      <c r="AM331" s="78">
        <v>8728</v>
      </c>
      <c r="AN331" s="78">
        <v>8728</v>
      </c>
      <c r="AO331" s="78">
        <v>5</v>
      </c>
      <c r="AP331" s="78">
        <v>0</v>
      </c>
      <c r="AQ331" s="78">
        <v>0</v>
      </c>
      <c r="AR331" s="78">
        <v>0</v>
      </c>
      <c r="AS331" s="78">
        <v>569</v>
      </c>
      <c r="AT331" s="78">
        <v>569</v>
      </c>
      <c r="AU331" s="400">
        <v>3.0259999999999998E-4</v>
      </c>
      <c r="AV331" s="400">
        <v>2.4564900000000002E-4</v>
      </c>
      <c r="AW331" s="78">
        <v>5594.6480000000001</v>
      </c>
      <c r="AX331" s="78">
        <v>0</v>
      </c>
      <c r="AY331" s="78">
        <v>919</v>
      </c>
      <c r="AZ331" s="78">
        <v>3084.17274890916</v>
      </c>
      <c r="BA331" s="78">
        <v>5</v>
      </c>
      <c r="BB331" s="78">
        <v>5</v>
      </c>
      <c r="BC331" s="78">
        <v>1662</v>
      </c>
      <c r="BD331" s="78">
        <v>1</v>
      </c>
      <c r="BE331" s="78">
        <v>0</v>
      </c>
      <c r="BF331" s="78">
        <v>0</v>
      </c>
      <c r="BG331" s="78">
        <v>0</v>
      </c>
      <c r="BH331" s="78">
        <v>0</v>
      </c>
      <c r="BI331" s="78">
        <v>0</v>
      </c>
      <c r="BJ331" s="78">
        <v>0</v>
      </c>
      <c r="BK331" s="78">
        <v>0</v>
      </c>
      <c r="BL331" s="78">
        <v>0</v>
      </c>
      <c r="BM331" s="78">
        <v>296.33499999999998</v>
      </c>
      <c r="BN331" s="78">
        <v>31</v>
      </c>
      <c r="BO331" s="78">
        <v>28</v>
      </c>
      <c r="BP331" s="78">
        <v>4410.91</v>
      </c>
      <c r="BQ331" s="78">
        <v>997.2</v>
      </c>
      <c r="BR331" s="78">
        <v>111.050977382876</v>
      </c>
      <c r="BS331" s="78">
        <v>182</v>
      </c>
      <c r="BT331" s="78">
        <v>62.3333333333333</v>
      </c>
      <c r="BU331" s="78">
        <v>53.6666666666667</v>
      </c>
      <c r="BV331" s="78">
        <f t="shared" si="19"/>
        <v>1337</v>
      </c>
      <c r="BW331" s="78">
        <v>585</v>
      </c>
      <c r="BX331" s="78">
        <v>3046.4738492179699</v>
      </c>
      <c r="BY331" s="402">
        <v>0.47499999999999998</v>
      </c>
      <c r="BZ331" s="78">
        <v>12899</v>
      </c>
      <c r="CA331" s="78">
        <v>2355</v>
      </c>
      <c r="CB331" s="78">
        <v>401</v>
      </c>
      <c r="CC331" s="78">
        <v>440</v>
      </c>
      <c r="CD331" s="78">
        <v>391</v>
      </c>
      <c r="CE331" s="78">
        <v>188</v>
      </c>
      <c r="CF331" s="78">
        <v>208.362969752521</v>
      </c>
      <c r="CG331" s="78">
        <v>129.614023831347</v>
      </c>
      <c r="CH331" s="78">
        <v>38.455224564619598</v>
      </c>
      <c r="CI331" s="78">
        <v>655.11199999999997</v>
      </c>
      <c r="CJ331" s="78">
        <v>407.51819999999998</v>
      </c>
      <c r="CK331" s="78">
        <v>120.9067</v>
      </c>
      <c r="CL331" s="78">
        <v>387903</v>
      </c>
    </row>
    <row r="332" spans="1:90" customFormat="1" x14ac:dyDescent="0.35">
      <c r="A332" s="72">
        <v>1729</v>
      </c>
      <c r="B332" s="72" t="s">
        <v>123</v>
      </c>
      <c r="C332" s="72">
        <v>11</v>
      </c>
      <c r="D332" s="78">
        <v>1341200000</v>
      </c>
      <c r="E332" s="78">
        <v>138250000</v>
      </c>
      <c r="F332" s="78">
        <v>160300000</v>
      </c>
      <c r="G332" s="78">
        <v>14171</v>
      </c>
      <c r="H332" s="78">
        <v>4</v>
      </c>
      <c r="I332" s="78">
        <f t="shared" si="17"/>
        <v>160.30000000000001</v>
      </c>
      <c r="J332" s="78">
        <v>1939</v>
      </c>
      <c r="K332" s="78">
        <v>4070</v>
      </c>
      <c r="L332" s="78">
        <v>1341</v>
      </c>
      <c r="M332" s="78">
        <v>2009</v>
      </c>
      <c r="N332" s="78">
        <f t="shared" si="18"/>
        <v>1278</v>
      </c>
      <c r="O332" s="78">
        <v>152</v>
      </c>
      <c r="P332" s="78">
        <v>21</v>
      </c>
      <c r="Q332" s="78">
        <v>1040</v>
      </c>
      <c r="R332" s="78">
        <v>2098</v>
      </c>
      <c r="S332" s="78">
        <v>160</v>
      </c>
      <c r="T332" s="78">
        <v>0</v>
      </c>
      <c r="U332" s="78">
        <v>349</v>
      </c>
      <c r="V332" s="78">
        <v>6803</v>
      </c>
      <c r="W332" s="78">
        <v>9180</v>
      </c>
      <c r="X332" s="78">
        <v>810</v>
      </c>
      <c r="Y332" s="78">
        <v>300.95999999999998</v>
      </c>
      <c r="Z332" s="78">
        <v>1055.2</v>
      </c>
      <c r="AA332" s="78">
        <v>0</v>
      </c>
      <c r="AB332" s="399">
        <v>0</v>
      </c>
      <c r="AC332" s="399">
        <v>0</v>
      </c>
      <c r="AD332" s="78">
        <v>7317</v>
      </c>
      <c r="AE332" s="78">
        <v>7317</v>
      </c>
      <c r="AF332" s="78">
        <v>19</v>
      </c>
      <c r="AG332" s="78">
        <v>0</v>
      </c>
      <c r="AH332" s="78">
        <v>87</v>
      </c>
      <c r="AI332" s="78">
        <v>31</v>
      </c>
      <c r="AJ332" s="78">
        <v>87</v>
      </c>
      <c r="AK332" s="78">
        <v>31</v>
      </c>
      <c r="AL332" s="78">
        <v>117</v>
      </c>
      <c r="AM332" s="78">
        <v>7310</v>
      </c>
      <c r="AN332" s="78">
        <v>7310</v>
      </c>
      <c r="AO332" s="78">
        <v>0</v>
      </c>
      <c r="AP332" s="78">
        <v>0</v>
      </c>
      <c r="AQ332" s="78">
        <v>0</v>
      </c>
      <c r="AR332" s="78">
        <v>0</v>
      </c>
      <c r="AS332" s="78">
        <v>0</v>
      </c>
      <c r="AT332" s="78">
        <v>0</v>
      </c>
      <c r="AU332" s="400">
        <v>5.7190500000000005E-4</v>
      </c>
      <c r="AV332" s="400">
        <v>1.8492500000000001E-4</v>
      </c>
      <c r="AW332" s="78">
        <v>2105.2800000000002</v>
      </c>
      <c r="AX332" s="78">
        <v>0</v>
      </c>
      <c r="AY332" s="78">
        <v>554</v>
      </c>
      <c r="AZ332" s="78">
        <v>1070.16548527808</v>
      </c>
      <c r="BA332" s="78">
        <v>20</v>
      </c>
      <c r="BB332" s="78">
        <v>20</v>
      </c>
      <c r="BC332" s="78">
        <v>1659</v>
      </c>
      <c r="BD332" s="78">
        <v>1</v>
      </c>
      <c r="BE332" s="78">
        <v>0</v>
      </c>
      <c r="BF332" s="78">
        <v>0</v>
      </c>
      <c r="BG332" s="78">
        <v>0</v>
      </c>
      <c r="BH332" s="78">
        <v>0</v>
      </c>
      <c r="BI332" s="78">
        <v>0</v>
      </c>
      <c r="BJ332" s="78">
        <v>0</v>
      </c>
      <c r="BK332" s="78">
        <v>0</v>
      </c>
      <c r="BL332" s="78">
        <v>0</v>
      </c>
      <c r="BM332" s="78">
        <v>170.63200000000001</v>
      </c>
      <c r="BN332" s="78">
        <v>17</v>
      </c>
      <c r="BO332" s="78">
        <v>11</v>
      </c>
      <c r="BP332" s="78">
        <v>4451.28</v>
      </c>
      <c r="BQ332" s="78">
        <v>810.6</v>
      </c>
      <c r="BR332" s="78">
        <v>34.242340206185602</v>
      </c>
      <c r="BS332" s="78">
        <v>106</v>
      </c>
      <c r="BT332" s="78">
        <v>39.6666666666667</v>
      </c>
      <c r="BU332" s="78">
        <v>25</v>
      </c>
      <c r="BV332" s="78">
        <f t="shared" si="19"/>
        <v>888</v>
      </c>
      <c r="BW332" s="78">
        <v>171</v>
      </c>
      <c r="BX332" s="78">
        <v>2956.8309757124798</v>
      </c>
      <c r="BY332" s="402">
        <v>0.33300000000000002</v>
      </c>
      <c r="BZ332" s="78">
        <v>10101</v>
      </c>
      <c r="CA332" s="78">
        <v>2254</v>
      </c>
      <c r="CB332" s="78">
        <v>475</v>
      </c>
      <c r="CC332" s="78">
        <v>401</v>
      </c>
      <c r="CD332" s="78">
        <v>412</v>
      </c>
      <c r="CE332" s="78">
        <v>196</v>
      </c>
      <c r="CF332" s="78">
        <v>240.04021887824899</v>
      </c>
      <c r="CG332" s="78">
        <v>153.15020519835801</v>
      </c>
      <c r="CH332" s="78">
        <v>46.329685362517097</v>
      </c>
      <c r="CI332" s="78">
        <v>606.04219999999998</v>
      </c>
      <c r="CJ332" s="78">
        <v>386.66640000000001</v>
      </c>
      <c r="CK332" s="78">
        <v>116.971</v>
      </c>
      <c r="CL332" s="78">
        <v>0</v>
      </c>
    </row>
    <row r="333" spans="1:90" customFormat="1" x14ac:dyDescent="0.35">
      <c r="A333" s="72">
        <v>917</v>
      </c>
      <c r="B333" s="72" t="s">
        <v>139</v>
      </c>
      <c r="C333" s="72">
        <v>11</v>
      </c>
      <c r="D333" s="78">
        <v>5494800000</v>
      </c>
      <c r="E333" s="78">
        <v>1484000000</v>
      </c>
      <c r="F333" s="78">
        <v>1514100000</v>
      </c>
      <c r="G333" s="78">
        <v>87086</v>
      </c>
      <c r="H333" s="78">
        <v>1</v>
      </c>
      <c r="I333" s="78">
        <f t="shared" si="17"/>
        <v>1514.1</v>
      </c>
      <c r="J333" s="78">
        <v>13532</v>
      </c>
      <c r="K333" s="78">
        <v>20172</v>
      </c>
      <c r="L333" s="78">
        <v>6465</v>
      </c>
      <c r="M333" s="78">
        <v>19287</v>
      </c>
      <c r="N333" s="78">
        <f t="shared" si="18"/>
        <v>14643.2</v>
      </c>
      <c r="O333" s="78">
        <v>4073.3333333333298</v>
      </c>
      <c r="P333" s="78">
        <v>99</v>
      </c>
      <c r="Q333" s="78">
        <v>13156.333333333299</v>
      </c>
      <c r="R333" s="78">
        <v>20830</v>
      </c>
      <c r="S333" s="78">
        <v>5520</v>
      </c>
      <c r="T333" s="78">
        <v>0</v>
      </c>
      <c r="U333" s="78">
        <v>4095</v>
      </c>
      <c r="V333" s="78">
        <v>46998</v>
      </c>
      <c r="W333" s="78">
        <v>104270</v>
      </c>
      <c r="X333" s="78">
        <v>150380</v>
      </c>
      <c r="Y333" s="78">
        <v>5411.817</v>
      </c>
      <c r="Z333" s="78">
        <v>5602.4</v>
      </c>
      <c r="AA333" s="78">
        <v>0</v>
      </c>
      <c r="AB333" s="399">
        <v>0</v>
      </c>
      <c r="AC333" s="399">
        <v>0</v>
      </c>
      <c r="AD333" s="78">
        <v>4491</v>
      </c>
      <c r="AE333" s="78">
        <v>4491</v>
      </c>
      <c r="AF333" s="78">
        <v>62</v>
      </c>
      <c r="AG333" s="78">
        <v>0</v>
      </c>
      <c r="AH333" s="78">
        <v>473</v>
      </c>
      <c r="AI333" s="78">
        <v>46</v>
      </c>
      <c r="AJ333" s="78">
        <v>473</v>
      </c>
      <c r="AK333" s="78">
        <v>46</v>
      </c>
      <c r="AL333" s="78">
        <v>519</v>
      </c>
      <c r="AM333" s="78">
        <v>46438</v>
      </c>
      <c r="AN333" s="78">
        <v>46438</v>
      </c>
      <c r="AO333" s="78">
        <v>0</v>
      </c>
      <c r="AP333" s="78">
        <v>0</v>
      </c>
      <c r="AQ333" s="78">
        <v>0</v>
      </c>
      <c r="AR333" s="78">
        <v>0</v>
      </c>
      <c r="AS333" s="78">
        <v>7754</v>
      </c>
      <c r="AT333" s="78">
        <v>0</v>
      </c>
      <c r="AU333" s="400">
        <v>9.2766640000000004E-3</v>
      </c>
      <c r="AV333" s="400">
        <v>1.8246696999999999E-2</v>
      </c>
      <c r="AW333" s="78">
        <v>84517.16</v>
      </c>
      <c r="AX333" s="78">
        <v>0</v>
      </c>
      <c r="AY333" s="78">
        <v>512</v>
      </c>
      <c r="AZ333" s="78">
        <v>9793.1104766088301</v>
      </c>
      <c r="BA333" s="78">
        <v>4</v>
      </c>
      <c r="BB333" s="78">
        <v>4</v>
      </c>
      <c r="BC333" s="78">
        <v>7088</v>
      </c>
      <c r="BD333" s="78">
        <v>1</v>
      </c>
      <c r="BE333" s="78">
        <v>0</v>
      </c>
      <c r="BF333" s="78">
        <v>0</v>
      </c>
      <c r="BG333" s="78">
        <v>0</v>
      </c>
      <c r="BH333" s="78">
        <v>0</v>
      </c>
      <c r="BI333" s="78">
        <v>0</v>
      </c>
      <c r="BJ333" s="78">
        <v>0</v>
      </c>
      <c r="BK333" s="78">
        <v>0</v>
      </c>
      <c r="BL333" s="78">
        <v>0</v>
      </c>
      <c r="BM333" s="78">
        <v>3613.0439999999999</v>
      </c>
      <c r="BN333" s="78">
        <v>426</v>
      </c>
      <c r="BO333" s="78">
        <v>393</v>
      </c>
      <c r="BP333" s="78">
        <v>23528.44</v>
      </c>
      <c r="BQ333" s="78">
        <v>3977.33</v>
      </c>
      <c r="BR333" s="78">
        <v>768.06545819398002</v>
      </c>
      <c r="BS333" s="78">
        <v>1434</v>
      </c>
      <c r="BT333" s="78">
        <v>1053.3333333333301</v>
      </c>
      <c r="BU333" s="78">
        <v>1007</v>
      </c>
      <c r="BV333" s="78">
        <f t="shared" si="19"/>
        <v>9082.9999999999691</v>
      </c>
      <c r="BW333" s="78">
        <v>2147</v>
      </c>
      <c r="BX333" s="78">
        <v>22334.301498986501</v>
      </c>
      <c r="BY333" s="402">
        <v>12.94</v>
      </c>
      <c r="BZ333" s="78">
        <v>66914</v>
      </c>
      <c r="CA333" s="78">
        <v>11108</v>
      </c>
      <c r="CB333" s="78">
        <v>2599</v>
      </c>
      <c r="CC333" s="78">
        <v>3293</v>
      </c>
      <c r="CD333" s="78">
        <v>2647</v>
      </c>
      <c r="CE333" s="78">
        <v>1438</v>
      </c>
      <c r="CF333" s="78">
        <v>2311.6693053103099</v>
      </c>
      <c r="CG333" s="78">
        <v>1469.4283130195099</v>
      </c>
      <c r="CH333" s="78">
        <v>582.72607778112797</v>
      </c>
      <c r="CI333" s="78">
        <v>4502.7002000000002</v>
      </c>
      <c r="CJ333" s="78">
        <v>2862.172</v>
      </c>
      <c r="CK333" s="78">
        <v>1135.0416</v>
      </c>
      <c r="CL333" s="78">
        <v>92688</v>
      </c>
    </row>
    <row r="334" spans="1:90" customFormat="1" x14ac:dyDescent="0.35">
      <c r="A334" s="72">
        <v>1507</v>
      </c>
      <c r="B334" s="72" t="s">
        <v>158</v>
      </c>
      <c r="C334" s="72">
        <v>11</v>
      </c>
      <c r="D334" s="78">
        <v>3720000000</v>
      </c>
      <c r="E334" s="78">
        <v>691250000</v>
      </c>
      <c r="F334" s="78">
        <v>762300000</v>
      </c>
      <c r="G334" s="78">
        <v>42429</v>
      </c>
      <c r="H334" s="78">
        <v>10</v>
      </c>
      <c r="I334" s="78">
        <f t="shared" si="17"/>
        <v>762.3</v>
      </c>
      <c r="J334" s="78">
        <v>7610</v>
      </c>
      <c r="K334" s="78">
        <v>9252</v>
      </c>
      <c r="L334" s="78">
        <v>3067</v>
      </c>
      <c r="M334" s="78">
        <v>4876</v>
      </c>
      <c r="N334" s="78">
        <f t="shared" si="18"/>
        <v>2934.3999999999996</v>
      </c>
      <c r="O334" s="78">
        <v>352</v>
      </c>
      <c r="P334" s="78">
        <v>51</v>
      </c>
      <c r="Q334" s="78">
        <v>2133</v>
      </c>
      <c r="R334" s="78">
        <v>5408</v>
      </c>
      <c r="S334" s="78">
        <v>555</v>
      </c>
      <c r="T334" s="78">
        <v>0</v>
      </c>
      <c r="U334" s="78">
        <v>953</v>
      </c>
      <c r="V334" s="78">
        <v>18708</v>
      </c>
      <c r="W334" s="78">
        <v>38730</v>
      </c>
      <c r="X334" s="78">
        <v>17200</v>
      </c>
      <c r="Y334" s="78">
        <v>158.4</v>
      </c>
      <c r="Z334" s="78">
        <v>1591.2</v>
      </c>
      <c r="AA334" s="78">
        <v>0</v>
      </c>
      <c r="AB334" s="399">
        <v>0</v>
      </c>
      <c r="AC334" s="399">
        <v>0</v>
      </c>
      <c r="AD334" s="78">
        <v>18866</v>
      </c>
      <c r="AE334" s="78">
        <v>18866</v>
      </c>
      <c r="AF334" s="78">
        <v>326</v>
      </c>
      <c r="AG334" s="78">
        <v>0</v>
      </c>
      <c r="AH334" s="78">
        <v>278</v>
      </c>
      <c r="AI334" s="78">
        <v>241</v>
      </c>
      <c r="AJ334" s="78">
        <v>278</v>
      </c>
      <c r="AK334" s="78">
        <v>241</v>
      </c>
      <c r="AL334" s="78">
        <v>519</v>
      </c>
      <c r="AM334" s="78">
        <v>19416</v>
      </c>
      <c r="AN334" s="78">
        <v>19416</v>
      </c>
      <c r="AO334" s="78">
        <v>0</v>
      </c>
      <c r="AP334" s="78">
        <v>0</v>
      </c>
      <c r="AQ334" s="78">
        <v>0</v>
      </c>
      <c r="AR334" s="78">
        <v>0</v>
      </c>
      <c r="AS334" s="78">
        <v>0</v>
      </c>
      <c r="AT334" s="78">
        <v>0</v>
      </c>
      <c r="AU334" s="400">
        <v>5.0099699999999999E-4</v>
      </c>
      <c r="AV334" s="400">
        <v>2.9053999999999999E-4</v>
      </c>
      <c r="AW334" s="78">
        <v>11047.704</v>
      </c>
      <c r="AX334" s="78">
        <v>0</v>
      </c>
      <c r="AY334" s="78">
        <v>3065</v>
      </c>
      <c r="AZ334" s="78">
        <v>6775.9944247603198</v>
      </c>
      <c r="BA334" s="78">
        <v>17</v>
      </c>
      <c r="BB334" s="78">
        <v>17</v>
      </c>
      <c r="BC334" s="78">
        <v>4507</v>
      </c>
      <c r="BD334" s="78">
        <v>1</v>
      </c>
      <c r="BE334" s="78">
        <v>0</v>
      </c>
      <c r="BF334" s="78">
        <v>0</v>
      </c>
      <c r="BG334" s="78">
        <v>0</v>
      </c>
      <c r="BH334" s="78">
        <v>0</v>
      </c>
      <c r="BI334" s="78">
        <v>0</v>
      </c>
      <c r="BJ334" s="78">
        <v>0</v>
      </c>
      <c r="BK334" s="78">
        <v>0</v>
      </c>
      <c r="BL334" s="78">
        <v>0</v>
      </c>
      <c r="BM334" s="78">
        <v>578.36</v>
      </c>
      <c r="BN334" s="78">
        <v>49</v>
      </c>
      <c r="BO334" s="78">
        <v>51</v>
      </c>
      <c r="BP334" s="78">
        <v>12483.48</v>
      </c>
      <c r="BQ334" s="78">
        <v>2817.24</v>
      </c>
      <c r="BR334" s="78">
        <v>151.50818181818201</v>
      </c>
      <c r="BS334" s="78">
        <v>337</v>
      </c>
      <c r="BT334" s="78">
        <v>117.333333333333</v>
      </c>
      <c r="BU334" s="78">
        <v>72</v>
      </c>
      <c r="BV334" s="78">
        <f t="shared" si="19"/>
        <v>1781</v>
      </c>
      <c r="BW334" s="78">
        <v>447</v>
      </c>
      <c r="BX334" s="78">
        <v>7745.2714364758504</v>
      </c>
      <c r="BY334" s="402">
        <v>0.218</v>
      </c>
      <c r="BZ334" s="78">
        <v>33177</v>
      </c>
      <c r="CA334" s="78">
        <v>5142</v>
      </c>
      <c r="CB334" s="78">
        <v>1043</v>
      </c>
      <c r="CC334" s="78">
        <v>847</v>
      </c>
      <c r="CD334" s="78">
        <v>894</v>
      </c>
      <c r="CE334" s="78">
        <v>466</v>
      </c>
      <c r="CF334" s="78">
        <v>458.084384013185</v>
      </c>
      <c r="CG334" s="78">
        <v>301.96390605686003</v>
      </c>
      <c r="CH334" s="78">
        <v>101.10803461063</v>
      </c>
      <c r="CI334" s="78">
        <v>1326.0625</v>
      </c>
      <c r="CJ334" s="78">
        <v>874.125</v>
      </c>
      <c r="CK334" s="78">
        <v>292.6875</v>
      </c>
      <c r="CL334" s="78">
        <v>65858</v>
      </c>
    </row>
    <row r="335" spans="1:90" customFormat="1" x14ac:dyDescent="0.35">
      <c r="A335" s="72">
        <v>928</v>
      </c>
      <c r="B335" s="72" t="s">
        <v>167</v>
      </c>
      <c r="C335" s="72">
        <v>11</v>
      </c>
      <c r="D335" s="78">
        <v>2898000000</v>
      </c>
      <c r="E335" s="78">
        <v>522900000</v>
      </c>
      <c r="F335" s="78">
        <v>533400000</v>
      </c>
      <c r="G335" s="78">
        <v>45749</v>
      </c>
      <c r="H335" s="78">
        <v>1</v>
      </c>
      <c r="I335" s="78">
        <f t="shared" si="17"/>
        <v>533.4</v>
      </c>
      <c r="J335" s="78">
        <v>6853</v>
      </c>
      <c r="K335" s="78">
        <v>11747</v>
      </c>
      <c r="L335" s="78">
        <v>3823</v>
      </c>
      <c r="M335" s="78">
        <v>9673</v>
      </c>
      <c r="N335" s="78">
        <f t="shared" si="18"/>
        <v>7258.1</v>
      </c>
      <c r="O335" s="78">
        <v>1633.6666666666699</v>
      </c>
      <c r="P335" s="78">
        <v>44</v>
      </c>
      <c r="Q335" s="78">
        <v>6595.6666666666697</v>
      </c>
      <c r="R335" s="78">
        <v>9419</v>
      </c>
      <c r="S335" s="78">
        <v>1870</v>
      </c>
      <c r="T335" s="78">
        <v>0</v>
      </c>
      <c r="U335" s="78">
        <v>1881</v>
      </c>
      <c r="V335" s="78">
        <v>23980</v>
      </c>
      <c r="W335" s="78">
        <v>48310</v>
      </c>
      <c r="X335" s="78">
        <v>51840</v>
      </c>
      <c r="Y335" s="78">
        <v>889.64</v>
      </c>
      <c r="Z335" s="78">
        <v>256</v>
      </c>
      <c r="AA335" s="78">
        <v>0</v>
      </c>
      <c r="AB335" s="399">
        <v>0</v>
      </c>
      <c r="AC335" s="399">
        <v>0</v>
      </c>
      <c r="AD335" s="78">
        <v>2191</v>
      </c>
      <c r="AE335" s="78">
        <v>2191</v>
      </c>
      <c r="AF335" s="78">
        <v>24</v>
      </c>
      <c r="AG335" s="78">
        <v>0</v>
      </c>
      <c r="AH335" s="78">
        <v>261</v>
      </c>
      <c r="AI335" s="78">
        <v>34</v>
      </c>
      <c r="AJ335" s="78">
        <v>261</v>
      </c>
      <c r="AK335" s="78">
        <v>34</v>
      </c>
      <c r="AL335" s="78">
        <v>295</v>
      </c>
      <c r="AM335" s="78">
        <v>24149</v>
      </c>
      <c r="AN335" s="78">
        <v>24149</v>
      </c>
      <c r="AO335" s="78">
        <v>0</v>
      </c>
      <c r="AP335" s="78">
        <v>0</v>
      </c>
      <c r="AQ335" s="78">
        <v>0</v>
      </c>
      <c r="AR335" s="78">
        <v>0</v>
      </c>
      <c r="AS335" s="78">
        <v>7506</v>
      </c>
      <c r="AT335" s="78">
        <v>0</v>
      </c>
      <c r="AU335" s="400">
        <v>3.0165669999999999E-3</v>
      </c>
      <c r="AV335" s="400">
        <v>4.7433509999999998E-3</v>
      </c>
      <c r="AW335" s="78">
        <v>42091.707000000002</v>
      </c>
      <c r="AX335" s="78">
        <v>0</v>
      </c>
      <c r="AY335" s="78">
        <v>234</v>
      </c>
      <c r="AZ335" s="78">
        <v>4833.0772009029297</v>
      </c>
      <c r="BA335" s="78">
        <v>1</v>
      </c>
      <c r="BB335" s="78">
        <v>1</v>
      </c>
      <c r="BC335" s="78">
        <v>3230</v>
      </c>
      <c r="BD335" s="78">
        <v>1</v>
      </c>
      <c r="BE335" s="78">
        <v>0</v>
      </c>
      <c r="BF335" s="78">
        <v>0</v>
      </c>
      <c r="BG335" s="78">
        <v>0</v>
      </c>
      <c r="BH335" s="78">
        <v>0</v>
      </c>
      <c r="BI335" s="78">
        <v>0</v>
      </c>
      <c r="BJ335" s="78">
        <v>0</v>
      </c>
      <c r="BK335" s="78">
        <v>0</v>
      </c>
      <c r="BL335" s="78">
        <v>0</v>
      </c>
      <c r="BM335" s="78">
        <v>1692.691</v>
      </c>
      <c r="BN335" s="78">
        <v>321</v>
      </c>
      <c r="BO335" s="78">
        <v>148</v>
      </c>
      <c r="BP335" s="78">
        <v>11713.17</v>
      </c>
      <c r="BQ335" s="78">
        <v>2073.19</v>
      </c>
      <c r="BR335" s="78">
        <v>288.18987610619502</v>
      </c>
      <c r="BS335" s="78">
        <v>613</v>
      </c>
      <c r="BT335" s="78">
        <v>406</v>
      </c>
      <c r="BU335" s="78">
        <v>394.33333333333297</v>
      </c>
      <c r="BV335" s="78">
        <f t="shared" si="19"/>
        <v>4962</v>
      </c>
      <c r="BW335" s="78">
        <v>1136</v>
      </c>
      <c r="BX335" s="78">
        <v>11249.270343981399</v>
      </c>
      <c r="BY335" s="402">
        <v>5.1280000000000001</v>
      </c>
      <c r="BZ335" s="78">
        <v>34002</v>
      </c>
      <c r="CA335" s="78">
        <v>6605</v>
      </c>
      <c r="CB335" s="78">
        <v>1319</v>
      </c>
      <c r="CC335" s="78">
        <v>1658</v>
      </c>
      <c r="CD335" s="78">
        <v>1391</v>
      </c>
      <c r="CE335" s="78">
        <v>624</v>
      </c>
      <c r="CF335" s="78">
        <v>1253.9149944097101</v>
      </c>
      <c r="CG335" s="78">
        <v>792.563240713901</v>
      </c>
      <c r="CH335" s="78">
        <v>256.67387469460402</v>
      </c>
      <c r="CI335" s="78">
        <v>2652.9748</v>
      </c>
      <c r="CJ335" s="78">
        <v>1676.8683000000001</v>
      </c>
      <c r="CK335" s="78">
        <v>543.05859999999996</v>
      </c>
      <c r="CL335" s="78">
        <v>58382</v>
      </c>
    </row>
    <row r="336" spans="1:90" customFormat="1" x14ac:dyDescent="0.35">
      <c r="A336" s="72">
        <v>882</v>
      </c>
      <c r="B336" s="72" t="s">
        <v>173</v>
      </c>
      <c r="C336" s="72">
        <v>11</v>
      </c>
      <c r="D336" s="78">
        <v>2662800000</v>
      </c>
      <c r="E336" s="78">
        <v>268450000</v>
      </c>
      <c r="F336" s="78">
        <v>281400000</v>
      </c>
      <c r="G336" s="78">
        <v>37445</v>
      </c>
      <c r="H336" s="78">
        <v>1</v>
      </c>
      <c r="I336" s="78">
        <f t="shared" si="17"/>
        <v>281.39999999999998</v>
      </c>
      <c r="J336" s="78">
        <v>5813</v>
      </c>
      <c r="K336" s="78">
        <v>9491</v>
      </c>
      <c r="L336" s="78">
        <v>2918</v>
      </c>
      <c r="M336" s="78">
        <v>6315</v>
      </c>
      <c r="N336" s="78">
        <f t="shared" si="18"/>
        <v>4459.6000000000004</v>
      </c>
      <c r="O336" s="78">
        <v>1025.6666666666699</v>
      </c>
      <c r="P336" s="78">
        <v>33</v>
      </c>
      <c r="Q336" s="78">
        <v>4761.6666666666697</v>
      </c>
      <c r="R336" s="78">
        <v>6213</v>
      </c>
      <c r="S336" s="78">
        <v>885</v>
      </c>
      <c r="T336" s="78">
        <v>0</v>
      </c>
      <c r="U336" s="78">
        <v>1395</v>
      </c>
      <c r="V336" s="78">
        <v>18561</v>
      </c>
      <c r="W336" s="78">
        <v>37300</v>
      </c>
      <c r="X336" s="78">
        <v>34230</v>
      </c>
      <c r="Y336" s="78">
        <v>203.94</v>
      </c>
      <c r="Z336" s="78">
        <v>1568</v>
      </c>
      <c r="AA336" s="78">
        <v>0</v>
      </c>
      <c r="AB336" s="399">
        <v>0</v>
      </c>
      <c r="AC336" s="399">
        <v>26.199999999999818</v>
      </c>
      <c r="AD336" s="78">
        <v>2460</v>
      </c>
      <c r="AE336" s="78">
        <v>2460</v>
      </c>
      <c r="AF336" s="78">
        <v>6</v>
      </c>
      <c r="AG336" s="78">
        <v>0</v>
      </c>
      <c r="AH336" s="78">
        <v>205</v>
      </c>
      <c r="AI336" s="78">
        <v>12</v>
      </c>
      <c r="AJ336" s="78">
        <v>205</v>
      </c>
      <c r="AK336" s="78">
        <v>12</v>
      </c>
      <c r="AL336" s="78">
        <v>217</v>
      </c>
      <c r="AM336" s="78">
        <v>18554</v>
      </c>
      <c r="AN336" s="78">
        <v>18554</v>
      </c>
      <c r="AO336" s="78">
        <v>0</v>
      </c>
      <c r="AP336" s="78">
        <v>0</v>
      </c>
      <c r="AQ336" s="78">
        <v>0</v>
      </c>
      <c r="AR336" s="78">
        <v>0</v>
      </c>
      <c r="AS336" s="78">
        <v>2575</v>
      </c>
      <c r="AT336" s="78">
        <v>0</v>
      </c>
      <c r="AU336" s="400">
        <v>1.2622429999999999E-3</v>
      </c>
      <c r="AV336" s="400">
        <v>1.655636E-3</v>
      </c>
      <c r="AW336" s="78">
        <v>27033.178</v>
      </c>
      <c r="AX336" s="78">
        <v>0</v>
      </c>
      <c r="AY336" s="78">
        <v>187</v>
      </c>
      <c r="AZ336" s="78">
        <v>2839.5032441200301</v>
      </c>
      <c r="BA336" s="78">
        <v>3</v>
      </c>
      <c r="BB336" s="78">
        <v>3</v>
      </c>
      <c r="BC336" s="78">
        <v>2591</v>
      </c>
      <c r="BD336" s="78">
        <v>1</v>
      </c>
      <c r="BE336" s="78">
        <v>0</v>
      </c>
      <c r="BF336" s="78">
        <v>0</v>
      </c>
      <c r="BG336" s="78">
        <v>0</v>
      </c>
      <c r="BH336" s="78">
        <v>0</v>
      </c>
      <c r="BI336" s="78">
        <v>0</v>
      </c>
      <c r="BJ336" s="78">
        <v>0</v>
      </c>
      <c r="BK336" s="78">
        <v>0</v>
      </c>
      <c r="BL336" s="78">
        <v>0</v>
      </c>
      <c r="BM336" s="78">
        <v>1040.527</v>
      </c>
      <c r="BN336" s="78">
        <v>142</v>
      </c>
      <c r="BO336" s="78">
        <v>90</v>
      </c>
      <c r="BP336" s="78">
        <v>10264.26</v>
      </c>
      <c r="BQ336" s="78">
        <v>2012.67</v>
      </c>
      <c r="BR336" s="78">
        <v>245.267354767184</v>
      </c>
      <c r="BS336" s="78">
        <v>462</v>
      </c>
      <c r="BT336" s="78">
        <v>276</v>
      </c>
      <c r="BU336" s="78">
        <v>262</v>
      </c>
      <c r="BV336" s="78">
        <f t="shared" si="19"/>
        <v>3736</v>
      </c>
      <c r="BW336" s="78">
        <v>905</v>
      </c>
      <c r="BX336" s="78">
        <v>9074.6972839243408</v>
      </c>
      <c r="BY336" s="402">
        <v>3.15</v>
      </c>
      <c r="BZ336" s="78">
        <v>27954</v>
      </c>
      <c r="CA336" s="78">
        <v>5575</v>
      </c>
      <c r="CB336" s="78">
        <v>998</v>
      </c>
      <c r="CC336" s="78">
        <v>1254</v>
      </c>
      <c r="CD336" s="78">
        <v>1038</v>
      </c>
      <c r="CE336" s="78">
        <v>514</v>
      </c>
      <c r="CF336" s="78">
        <v>825.14858251589999</v>
      </c>
      <c r="CG336" s="78">
        <v>496.09865258165399</v>
      </c>
      <c r="CH336" s="78">
        <v>157.434407674895</v>
      </c>
      <c r="CI336" s="78">
        <v>1851.0735999999999</v>
      </c>
      <c r="CJ336" s="78">
        <v>1112.9087999999999</v>
      </c>
      <c r="CK336" s="78">
        <v>353.17599999999999</v>
      </c>
      <c r="CL336" s="78">
        <v>108664</v>
      </c>
    </row>
    <row r="337" spans="1:90" customFormat="1" x14ac:dyDescent="0.35">
      <c r="A337" s="72">
        <v>1640</v>
      </c>
      <c r="B337" s="72" t="s">
        <v>183</v>
      </c>
      <c r="C337" s="72">
        <v>11</v>
      </c>
      <c r="D337" s="78">
        <v>3128800000</v>
      </c>
      <c r="E337" s="78">
        <v>464100000</v>
      </c>
      <c r="F337" s="78">
        <v>515550000</v>
      </c>
      <c r="G337" s="78">
        <v>35879</v>
      </c>
      <c r="H337" s="78">
        <v>8</v>
      </c>
      <c r="I337" s="78">
        <f t="shared" si="17"/>
        <v>515.54999999999995</v>
      </c>
      <c r="J337" s="78">
        <v>5825</v>
      </c>
      <c r="K337" s="78">
        <v>8802</v>
      </c>
      <c r="L337" s="78">
        <v>2793</v>
      </c>
      <c r="M337" s="78">
        <v>4321</v>
      </c>
      <c r="N337" s="78">
        <f t="shared" si="18"/>
        <v>2667.5</v>
      </c>
      <c r="O337" s="78">
        <v>365</v>
      </c>
      <c r="P337" s="78">
        <v>36</v>
      </c>
      <c r="Q337" s="78">
        <v>2174</v>
      </c>
      <c r="R337" s="78">
        <v>4848</v>
      </c>
      <c r="S337" s="78">
        <v>560</v>
      </c>
      <c r="T337" s="78">
        <v>0</v>
      </c>
      <c r="U337" s="78">
        <v>847</v>
      </c>
      <c r="V337" s="78">
        <v>16576</v>
      </c>
      <c r="W337" s="78">
        <v>29840</v>
      </c>
      <c r="X337" s="78">
        <v>6480</v>
      </c>
      <c r="Y337" s="78">
        <v>1082.98</v>
      </c>
      <c r="Z337" s="78">
        <v>1411.2</v>
      </c>
      <c r="AA337" s="78">
        <v>0</v>
      </c>
      <c r="AB337" s="399">
        <v>0</v>
      </c>
      <c r="AC337" s="399">
        <v>0</v>
      </c>
      <c r="AD337" s="78">
        <v>16251</v>
      </c>
      <c r="AE337" s="78">
        <v>16251</v>
      </c>
      <c r="AF337" s="78">
        <v>239</v>
      </c>
      <c r="AG337" s="78">
        <v>0</v>
      </c>
      <c r="AH337" s="78">
        <v>256</v>
      </c>
      <c r="AI337" s="78">
        <v>181</v>
      </c>
      <c r="AJ337" s="78">
        <v>256</v>
      </c>
      <c r="AK337" s="78">
        <v>181</v>
      </c>
      <c r="AL337" s="78">
        <v>437</v>
      </c>
      <c r="AM337" s="78">
        <v>16535</v>
      </c>
      <c r="AN337" s="78">
        <v>16535</v>
      </c>
      <c r="AO337" s="78">
        <v>0</v>
      </c>
      <c r="AP337" s="78">
        <v>0</v>
      </c>
      <c r="AQ337" s="78">
        <v>0</v>
      </c>
      <c r="AR337" s="78">
        <v>0</v>
      </c>
      <c r="AS337" s="78">
        <v>0</v>
      </c>
      <c r="AT337" s="78">
        <v>0</v>
      </c>
      <c r="AU337" s="400">
        <v>5.8512400000000002E-4</v>
      </c>
      <c r="AV337" s="400">
        <v>2.6229600000000002E-4</v>
      </c>
      <c r="AW337" s="78">
        <v>6415.58</v>
      </c>
      <c r="AX337" s="78">
        <v>0</v>
      </c>
      <c r="AY337" s="78">
        <v>2002</v>
      </c>
      <c r="AZ337" s="78">
        <v>4355.9586416009697</v>
      </c>
      <c r="BA337" s="78">
        <v>18</v>
      </c>
      <c r="BB337" s="78">
        <v>18</v>
      </c>
      <c r="BC337" s="78">
        <v>3820</v>
      </c>
      <c r="BD337" s="78">
        <v>1</v>
      </c>
      <c r="BE337" s="78">
        <v>0</v>
      </c>
      <c r="BF337" s="78">
        <v>0</v>
      </c>
      <c r="BG337" s="78">
        <v>0</v>
      </c>
      <c r="BH337" s="78">
        <v>0</v>
      </c>
      <c r="BI337" s="78">
        <v>0</v>
      </c>
      <c r="BJ337" s="78">
        <v>0</v>
      </c>
      <c r="BK337" s="78">
        <v>0</v>
      </c>
      <c r="BL337" s="78">
        <v>0</v>
      </c>
      <c r="BM337" s="78">
        <v>466</v>
      </c>
      <c r="BN337" s="78">
        <v>78</v>
      </c>
      <c r="BO337" s="78">
        <v>47</v>
      </c>
      <c r="BP337" s="78">
        <v>10877.85</v>
      </c>
      <c r="BQ337" s="78">
        <v>2295.3000000000002</v>
      </c>
      <c r="BR337" s="78">
        <v>115.039812668984</v>
      </c>
      <c r="BS337" s="78">
        <v>333</v>
      </c>
      <c r="BT337" s="78">
        <v>87</v>
      </c>
      <c r="BU337" s="78">
        <v>65.6666666666667</v>
      </c>
      <c r="BV337" s="78">
        <f t="shared" si="19"/>
        <v>1809</v>
      </c>
      <c r="BW337" s="78">
        <v>425</v>
      </c>
      <c r="BX337" s="78">
        <v>6335.2413362854204</v>
      </c>
      <c r="BY337" s="402">
        <v>0.26200000000000001</v>
      </c>
      <c r="BZ337" s="78">
        <v>27077</v>
      </c>
      <c r="CA337" s="78">
        <v>4925</v>
      </c>
      <c r="CB337" s="78">
        <v>1084</v>
      </c>
      <c r="CC337" s="78">
        <v>808</v>
      </c>
      <c r="CD337" s="78">
        <v>876</v>
      </c>
      <c r="CE337" s="78">
        <v>498</v>
      </c>
      <c r="CF337" s="78">
        <v>476.55246446930801</v>
      </c>
      <c r="CG337" s="78">
        <v>300.22482612639902</v>
      </c>
      <c r="CH337" s="78">
        <v>104.860901118839</v>
      </c>
      <c r="CI337" s="78">
        <v>1269.9246000000001</v>
      </c>
      <c r="CJ337" s="78">
        <v>800.04390000000001</v>
      </c>
      <c r="CK337" s="78">
        <v>279.435</v>
      </c>
      <c r="CL337" s="78">
        <v>25051</v>
      </c>
    </row>
    <row r="338" spans="1:90" customFormat="1" x14ac:dyDescent="0.35">
      <c r="A338" s="72">
        <v>1641</v>
      </c>
      <c r="B338" s="72" t="s">
        <v>193</v>
      </c>
      <c r="C338" s="72">
        <v>11</v>
      </c>
      <c r="D338" s="78">
        <v>2074800000</v>
      </c>
      <c r="E338" s="78">
        <v>336700000</v>
      </c>
      <c r="F338" s="78">
        <v>353500000</v>
      </c>
      <c r="G338" s="78">
        <v>23965</v>
      </c>
      <c r="H338" s="78">
        <v>6</v>
      </c>
      <c r="I338" s="78">
        <f t="shared" si="17"/>
        <v>353.5</v>
      </c>
      <c r="J338" s="78">
        <v>3512</v>
      </c>
      <c r="K338" s="78">
        <v>6409</v>
      </c>
      <c r="L338" s="78">
        <v>2044</v>
      </c>
      <c r="M338" s="78">
        <v>3185</v>
      </c>
      <c r="N338" s="78">
        <f t="shared" si="18"/>
        <v>1980</v>
      </c>
      <c r="O338" s="78">
        <v>276.33333333333297</v>
      </c>
      <c r="P338" s="78">
        <v>25</v>
      </c>
      <c r="Q338" s="78">
        <v>1964.3333333333301</v>
      </c>
      <c r="R338" s="78">
        <v>3304</v>
      </c>
      <c r="S338" s="78">
        <v>310</v>
      </c>
      <c r="T338" s="78">
        <v>0</v>
      </c>
      <c r="U338" s="78">
        <v>567</v>
      </c>
      <c r="V338" s="78">
        <v>11532</v>
      </c>
      <c r="W338" s="78">
        <v>21000</v>
      </c>
      <c r="X338" s="78">
        <v>5250</v>
      </c>
      <c r="Y338" s="78">
        <v>447.68</v>
      </c>
      <c r="Z338" s="78">
        <v>0</v>
      </c>
      <c r="AA338" s="78">
        <v>0</v>
      </c>
      <c r="AB338" s="399">
        <v>0</v>
      </c>
      <c r="AC338" s="399">
        <v>0</v>
      </c>
      <c r="AD338" s="78">
        <v>4567</v>
      </c>
      <c r="AE338" s="78">
        <v>4567</v>
      </c>
      <c r="AF338" s="78">
        <v>1245</v>
      </c>
      <c r="AG338" s="78">
        <v>0</v>
      </c>
      <c r="AH338" s="78">
        <v>169</v>
      </c>
      <c r="AI338" s="78">
        <v>36</v>
      </c>
      <c r="AJ338" s="78">
        <v>169</v>
      </c>
      <c r="AK338" s="78">
        <v>36</v>
      </c>
      <c r="AL338" s="78">
        <v>205</v>
      </c>
      <c r="AM338" s="78">
        <v>12050</v>
      </c>
      <c r="AN338" s="78">
        <v>12050</v>
      </c>
      <c r="AO338" s="78">
        <v>24</v>
      </c>
      <c r="AP338" s="78">
        <v>0</v>
      </c>
      <c r="AQ338" s="78">
        <v>0</v>
      </c>
      <c r="AR338" s="78">
        <v>0</v>
      </c>
      <c r="AS338" s="78">
        <v>0</v>
      </c>
      <c r="AT338" s="78">
        <v>0</v>
      </c>
      <c r="AU338" s="400">
        <v>5.77624E-4</v>
      </c>
      <c r="AV338" s="400">
        <v>2.26973E-4</v>
      </c>
      <c r="AW338" s="78">
        <v>5289.95</v>
      </c>
      <c r="AX338" s="78">
        <v>0</v>
      </c>
      <c r="AY338" s="78">
        <v>2046</v>
      </c>
      <c r="AZ338" s="78">
        <v>8436.4057123193397</v>
      </c>
      <c r="BA338" s="78">
        <v>9</v>
      </c>
      <c r="BB338" s="78">
        <v>9</v>
      </c>
      <c r="BC338" s="78">
        <v>2646</v>
      </c>
      <c r="BD338" s="78">
        <v>1</v>
      </c>
      <c r="BE338" s="78">
        <v>0</v>
      </c>
      <c r="BF338" s="78">
        <v>0</v>
      </c>
      <c r="BG338" s="78">
        <v>0</v>
      </c>
      <c r="BH338" s="78">
        <v>0</v>
      </c>
      <c r="BI338" s="78">
        <v>0</v>
      </c>
      <c r="BJ338" s="78">
        <v>0</v>
      </c>
      <c r="BK338" s="78">
        <v>0</v>
      </c>
      <c r="BL338" s="78">
        <v>0</v>
      </c>
      <c r="BM338" s="78">
        <v>309.05599999999998</v>
      </c>
      <c r="BN338" s="78">
        <v>30</v>
      </c>
      <c r="BO338" s="78">
        <v>17</v>
      </c>
      <c r="BP338" s="78">
        <v>7134.16</v>
      </c>
      <c r="BQ338" s="78">
        <v>1443.4</v>
      </c>
      <c r="BR338" s="78">
        <v>61.161490623109501</v>
      </c>
      <c r="BS338" s="78">
        <v>172</v>
      </c>
      <c r="BT338" s="78">
        <v>69.6666666666667</v>
      </c>
      <c r="BU338" s="78">
        <v>55</v>
      </c>
      <c r="BV338" s="78">
        <f t="shared" si="19"/>
        <v>1687.999999999997</v>
      </c>
      <c r="BW338" s="78">
        <v>643</v>
      </c>
      <c r="BX338" s="78">
        <v>4829.2567127677503</v>
      </c>
      <c r="BY338" s="402">
        <v>0.41799999999999998</v>
      </c>
      <c r="BZ338" s="78">
        <v>17556</v>
      </c>
      <c r="CA338" s="78">
        <v>3632</v>
      </c>
      <c r="CB338" s="78">
        <v>733</v>
      </c>
      <c r="CC338" s="78">
        <v>664</v>
      </c>
      <c r="CD338" s="78">
        <v>625</v>
      </c>
      <c r="CE338" s="78">
        <v>339</v>
      </c>
      <c r="CF338" s="78">
        <v>352.45643153526999</v>
      </c>
      <c r="CG338" s="78">
        <v>217.22489626556001</v>
      </c>
      <c r="CH338" s="78">
        <v>77.063900414937805</v>
      </c>
      <c r="CI338" s="78">
        <v>922.13549999999998</v>
      </c>
      <c r="CJ338" s="78">
        <v>568.32780000000002</v>
      </c>
      <c r="CK338" s="78">
        <v>201.62309999999999</v>
      </c>
      <c r="CL338" s="78">
        <v>227030</v>
      </c>
    </row>
    <row r="339" spans="1:90" customFormat="1" x14ac:dyDescent="0.35">
      <c r="A339" s="72">
        <v>935</v>
      </c>
      <c r="B339" s="72" t="s">
        <v>195</v>
      </c>
      <c r="C339" s="72">
        <v>11</v>
      </c>
      <c r="D339" s="78">
        <v>11019600000</v>
      </c>
      <c r="E339" s="78">
        <v>2544150000</v>
      </c>
      <c r="F339" s="78">
        <v>2582650000</v>
      </c>
      <c r="G339" s="78">
        <v>121575</v>
      </c>
      <c r="H339" s="78">
        <v>1</v>
      </c>
      <c r="I339" s="78">
        <f t="shared" si="17"/>
        <v>2582.65</v>
      </c>
      <c r="J339" s="78">
        <v>15706</v>
      </c>
      <c r="K339" s="78">
        <v>26257</v>
      </c>
      <c r="L339" s="78">
        <v>8572</v>
      </c>
      <c r="M339" s="78">
        <v>20929</v>
      </c>
      <c r="N339" s="78">
        <f t="shared" si="18"/>
        <v>14414.4</v>
      </c>
      <c r="O339" s="78">
        <v>3627.3333333333298</v>
      </c>
      <c r="P339" s="78">
        <v>138</v>
      </c>
      <c r="Q339" s="78">
        <v>12101.333333333299</v>
      </c>
      <c r="R339" s="78">
        <v>37863</v>
      </c>
      <c r="S339" s="78">
        <v>5525</v>
      </c>
      <c r="T339" s="78">
        <v>0</v>
      </c>
      <c r="U339" s="78">
        <v>3973</v>
      </c>
      <c r="V339" s="78">
        <v>71296</v>
      </c>
      <c r="W339" s="78">
        <v>135810</v>
      </c>
      <c r="X339" s="78">
        <v>190870</v>
      </c>
      <c r="Y339" s="78">
        <v>2791.5</v>
      </c>
      <c r="Z339" s="78">
        <v>4159.2</v>
      </c>
      <c r="AA339" s="78">
        <v>0</v>
      </c>
      <c r="AB339" s="399">
        <v>0</v>
      </c>
      <c r="AC339" s="399">
        <v>0</v>
      </c>
      <c r="AD339" s="78">
        <v>5562</v>
      </c>
      <c r="AE339" s="78">
        <v>5562</v>
      </c>
      <c r="AF339" s="78">
        <v>450</v>
      </c>
      <c r="AG339" s="78">
        <v>0</v>
      </c>
      <c r="AH339" s="78">
        <v>573</v>
      </c>
      <c r="AI339" s="78">
        <v>53</v>
      </c>
      <c r="AJ339" s="78">
        <v>573</v>
      </c>
      <c r="AK339" s="78">
        <v>53</v>
      </c>
      <c r="AL339" s="78">
        <v>626</v>
      </c>
      <c r="AM339" s="78">
        <v>65146</v>
      </c>
      <c r="AN339" s="78">
        <v>65146</v>
      </c>
      <c r="AO339" s="78">
        <v>0</v>
      </c>
      <c r="AP339" s="78">
        <v>0</v>
      </c>
      <c r="AQ339" s="78">
        <v>101</v>
      </c>
      <c r="AR339" s="78">
        <v>2600</v>
      </c>
      <c r="AS339" s="78">
        <v>12746</v>
      </c>
      <c r="AT339" s="78">
        <v>10137</v>
      </c>
      <c r="AU339" s="400">
        <v>8.721052E-3</v>
      </c>
      <c r="AV339" s="400">
        <v>1.0494013E-2</v>
      </c>
      <c r="AW339" s="78">
        <v>159933.43</v>
      </c>
      <c r="AX339" s="78">
        <v>0</v>
      </c>
      <c r="AY339" s="78">
        <v>1165</v>
      </c>
      <c r="AZ339" s="78">
        <v>23558.695109780401</v>
      </c>
      <c r="BA339" s="78">
        <v>2</v>
      </c>
      <c r="BB339" s="78">
        <v>2</v>
      </c>
      <c r="BC339" s="78">
        <v>12097</v>
      </c>
      <c r="BD339" s="78">
        <v>1</v>
      </c>
      <c r="BE339" s="78">
        <v>0</v>
      </c>
      <c r="BF339" s="78">
        <v>0</v>
      </c>
      <c r="BG339" s="78">
        <v>0</v>
      </c>
      <c r="BH339" s="78">
        <v>0</v>
      </c>
      <c r="BI339" s="78">
        <v>0</v>
      </c>
      <c r="BJ339" s="78">
        <v>0</v>
      </c>
      <c r="BK339" s="78">
        <v>0</v>
      </c>
      <c r="BL339" s="78">
        <v>0</v>
      </c>
      <c r="BM339" s="78">
        <v>3109.788</v>
      </c>
      <c r="BN339" s="78">
        <v>255</v>
      </c>
      <c r="BO339" s="78">
        <v>414</v>
      </c>
      <c r="BP339" s="78">
        <v>35140.53</v>
      </c>
      <c r="BQ339" s="78">
        <v>5637.01</v>
      </c>
      <c r="BR339" s="78">
        <v>735.41466511085196</v>
      </c>
      <c r="BS339" s="78">
        <v>1312</v>
      </c>
      <c r="BT339" s="78">
        <v>812.33333333333303</v>
      </c>
      <c r="BU339" s="78">
        <v>773.33333333333303</v>
      </c>
      <c r="BV339" s="78">
        <f t="shared" si="19"/>
        <v>8473.9999999999691</v>
      </c>
      <c r="BW339" s="78">
        <v>2259</v>
      </c>
      <c r="BX339" s="78">
        <v>20897.918932258501</v>
      </c>
      <c r="BY339" s="402">
        <v>10.175000000000001</v>
      </c>
      <c r="BZ339" s="78">
        <v>95318</v>
      </c>
      <c r="CA339" s="78">
        <v>14493</v>
      </c>
      <c r="CB339" s="78">
        <v>3192</v>
      </c>
      <c r="CC339" s="78">
        <v>4041</v>
      </c>
      <c r="CD339" s="78">
        <v>3189</v>
      </c>
      <c r="CE339" s="78">
        <v>1643</v>
      </c>
      <c r="CF339" s="78">
        <v>2082.306179965</v>
      </c>
      <c r="CG339" s="78">
        <v>1321.60395419519</v>
      </c>
      <c r="CH339" s="78">
        <v>496.07166671783398</v>
      </c>
      <c r="CI339" s="78">
        <v>4987.83</v>
      </c>
      <c r="CJ339" s="78">
        <v>3165.69</v>
      </c>
      <c r="CK339" s="78">
        <v>1188.26</v>
      </c>
      <c r="CL339" s="78">
        <v>215033</v>
      </c>
    </row>
    <row r="340" spans="1:90" customFormat="1" x14ac:dyDescent="0.35">
      <c r="A340" s="72">
        <v>938</v>
      </c>
      <c r="B340" s="72" t="s">
        <v>197</v>
      </c>
      <c r="C340" s="72">
        <v>11</v>
      </c>
      <c r="D340" s="78">
        <v>1826800000</v>
      </c>
      <c r="E340" s="78">
        <v>117250000</v>
      </c>
      <c r="F340" s="78">
        <v>127750000</v>
      </c>
      <c r="G340" s="78">
        <v>18828</v>
      </c>
      <c r="H340" s="78">
        <v>3</v>
      </c>
      <c r="I340" s="78">
        <f t="shared" si="17"/>
        <v>127.75</v>
      </c>
      <c r="J340" s="78">
        <v>3017</v>
      </c>
      <c r="K340" s="78">
        <v>5092</v>
      </c>
      <c r="L340" s="78">
        <v>1721</v>
      </c>
      <c r="M340" s="78">
        <v>2330</v>
      </c>
      <c r="N340" s="78">
        <f t="shared" si="18"/>
        <v>1458.3</v>
      </c>
      <c r="O340" s="78">
        <v>223</v>
      </c>
      <c r="P340" s="78">
        <v>15</v>
      </c>
      <c r="Q340" s="78">
        <v>1287</v>
      </c>
      <c r="R340" s="78">
        <v>2607</v>
      </c>
      <c r="S340" s="78">
        <v>255</v>
      </c>
      <c r="T340" s="78">
        <v>0</v>
      </c>
      <c r="U340" s="78">
        <v>538</v>
      </c>
      <c r="V340" s="78">
        <v>8783</v>
      </c>
      <c r="W340" s="78">
        <v>15100</v>
      </c>
      <c r="X340" s="78">
        <v>4630</v>
      </c>
      <c r="Y340" s="78">
        <v>0</v>
      </c>
      <c r="Z340" s="78">
        <v>1132.8</v>
      </c>
      <c r="AA340" s="78">
        <v>0</v>
      </c>
      <c r="AB340" s="399">
        <v>0</v>
      </c>
      <c r="AC340" s="399">
        <v>168.59999999999991</v>
      </c>
      <c r="AD340" s="78">
        <v>2671</v>
      </c>
      <c r="AE340" s="78">
        <v>2671</v>
      </c>
      <c r="AF340" s="78">
        <v>98</v>
      </c>
      <c r="AG340" s="78">
        <v>0</v>
      </c>
      <c r="AH340" s="78">
        <v>117</v>
      </c>
      <c r="AI340" s="78">
        <v>15</v>
      </c>
      <c r="AJ340" s="78">
        <v>117</v>
      </c>
      <c r="AK340" s="78">
        <v>15</v>
      </c>
      <c r="AL340" s="78">
        <v>132</v>
      </c>
      <c r="AM340" s="78">
        <v>8717</v>
      </c>
      <c r="AN340" s="78">
        <v>8717</v>
      </c>
      <c r="AO340" s="78">
        <v>0</v>
      </c>
      <c r="AP340" s="78">
        <v>0</v>
      </c>
      <c r="AQ340" s="78">
        <v>0</v>
      </c>
      <c r="AR340" s="78">
        <v>0</v>
      </c>
      <c r="AS340" s="78">
        <v>589</v>
      </c>
      <c r="AT340" s="78">
        <v>0</v>
      </c>
      <c r="AU340" s="400">
        <v>4.99462E-4</v>
      </c>
      <c r="AV340" s="400">
        <v>2.9914200000000002E-4</v>
      </c>
      <c r="AW340" s="78">
        <v>5378.3890000000001</v>
      </c>
      <c r="AX340" s="78">
        <v>0</v>
      </c>
      <c r="AY340" s="78">
        <v>435</v>
      </c>
      <c r="AZ340" s="78">
        <v>2957.8114842903601</v>
      </c>
      <c r="BA340" s="78">
        <v>7</v>
      </c>
      <c r="BB340" s="78">
        <v>7</v>
      </c>
      <c r="BC340" s="78">
        <v>1949</v>
      </c>
      <c r="BD340" s="78">
        <v>1</v>
      </c>
      <c r="BE340" s="78">
        <v>0</v>
      </c>
      <c r="BF340" s="78">
        <v>0</v>
      </c>
      <c r="BG340" s="78">
        <v>0</v>
      </c>
      <c r="BH340" s="78">
        <v>0</v>
      </c>
      <c r="BI340" s="78">
        <v>0</v>
      </c>
      <c r="BJ340" s="78">
        <v>0</v>
      </c>
      <c r="BK340" s="78">
        <v>0</v>
      </c>
      <c r="BL340" s="78">
        <v>0</v>
      </c>
      <c r="BM340" s="78">
        <v>283.59800000000001</v>
      </c>
      <c r="BN340" s="78">
        <v>12</v>
      </c>
      <c r="BO340" s="78">
        <v>21</v>
      </c>
      <c r="BP340" s="78">
        <v>6284.82</v>
      </c>
      <c r="BQ340" s="78">
        <v>1334.25</v>
      </c>
      <c r="BR340" s="78">
        <v>113.47150940665701</v>
      </c>
      <c r="BS340" s="78">
        <v>180</v>
      </c>
      <c r="BT340" s="78">
        <v>50</v>
      </c>
      <c r="BU340" s="78">
        <v>35</v>
      </c>
      <c r="BV340" s="78">
        <f t="shared" si="19"/>
        <v>1064</v>
      </c>
      <c r="BW340" s="78">
        <v>225</v>
      </c>
      <c r="BX340" s="78">
        <v>3912.4987961739698</v>
      </c>
      <c r="BY340" s="402">
        <v>0.38700000000000001</v>
      </c>
      <c r="BZ340" s="78">
        <v>13736</v>
      </c>
      <c r="CA340" s="78">
        <v>2767</v>
      </c>
      <c r="CB340" s="78">
        <v>604</v>
      </c>
      <c r="CC340" s="78">
        <v>516</v>
      </c>
      <c r="CD340" s="78">
        <v>536</v>
      </c>
      <c r="CE340" s="78">
        <v>275</v>
      </c>
      <c r="CF340" s="78">
        <v>279.54792933348602</v>
      </c>
      <c r="CG340" s="78">
        <v>189.87845589078799</v>
      </c>
      <c r="CH340" s="78">
        <v>63.237054032350599</v>
      </c>
      <c r="CI340" s="78">
        <v>645.8415</v>
      </c>
      <c r="CJ340" s="78">
        <v>438.67750000000001</v>
      </c>
      <c r="CK340" s="78">
        <v>146.09700000000001</v>
      </c>
      <c r="CL340" s="78">
        <v>0</v>
      </c>
    </row>
    <row r="341" spans="1:90" customFormat="1" x14ac:dyDescent="0.35">
      <c r="A341" s="72">
        <v>944</v>
      </c>
      <c r="B341" s="72" t="s">
        <v>209</v>
      </c>
      <c r="C341" s="72">
        <v>11</v>
      </c>
      <c r="D341" s="78">
        <v>866800000</v>
      </c>
      <c r="E341" s="78">
        <v>56350000</v>
      </c>
      <c r="F341" s="78">
        <v>57400000</v>
      </c>
      <c r="G341" s="78">
        <v>7847</v>
      </c>
      <c r="H341" s="78">
        <v>1</v>
      </c>
      <c r="I341" s="78">
        <f t="shared" si="17"/>
        <v>57.4</v>
      </c>
      <c r="J341" s="78">
        <v>1305</v>
      </c>
      <c r="K341" s="78">
        <v>2123</v>
      </c>
      <c r="L341" s="78">
        <v>725</v>
      </c>
      <c r="M341" s="78">
        <v>830</v>
      </c>
      <c r="N341" s="78">
        <f t="shared" si="18"/>
        <v>464</v>
      </c>
      <c r="O341" s="78">
        <v>98.6666666666667</v>
      </c>
      <c r="P341" s="78">
        <v>1</v>
      </c>
      <c r="Q341" s="78">
        <v>397.66666666666703</v>
      </c>
      <c r="R341" s="78">
        <v>1104</v>
      </c>
      <c r="S341" s="78">
        <v>130</v>
      </c>
      <c r="T341" s="78">
        <v>0</v>
      </c>
      <c r="U341" s="78">
        <v>195</v>
      </c>
      <c r="V341" s="78">
        <v>3608</v>
      </c>
      <c r="W341" s="78">
        <v>5870</v>
      </c>
      <c r="X341" s="78">
        <v>890</v>
      </c>
      <c r="Y341" s="78">
        <v>0</v>
      </c>
      <c r="Z341" s="78">
        <v>182.4</v>
      </c>
      <c r="AA341" s="78">
        <v>0</v>
      </c>
      <c r="AB341" s="399">
        <v>0</v>
      </c>
      <c r="AC341" s="399">
        <v>0</v>
      </c>
      <c r="AD341" s="78">
        <v>1739</v>
      </c>
      <c r="AE341" s="78">
        <v>1739</v>
      </c>
      <c r="AF341" s="78">
        <v>142</v>
      </c>
      <c r="AG341" s="78">
        <v>0</v>
      </c>
      <c r="AH341" s="78">
        <v>45</v>
      </c>
      <c r="AI341" s="78">
        <v>9</v>
      </c>
      <c r="AJ341" s="78">
        <v>45</v>
      </c>
      <c r="AK341" s="78">
        <v>9</v>
      </c>
      <c r="AL341" s="78">
        <v>54</v>
      </c>
      <c r="AM341" s="78">
        <v>3660</v>
      </c>
      <c r="AN341" s="78">
        <v>3660</v>
      </c>
      <c r="AO341" s="78">
        <v>0</v>
      </c>
      <c r="AP341" s="78">
        <v>0</v>
      </c>
      <c r="AQ341" s="78">
        <v>0</v>
      </c>
      <c r="AR341" s="78">
        <v>0</v>
      </c>
      <c r="AS341" s="78">
        <v>0</v>
      </c>
      <c r="AT341" s="78">
        <v>0</v>
      </c>
      <c r="AU341" s="400">
        <v>4.2024999999999998E-5</v>
      </c>
      <c r="AV341" s="400">
        <v>5.9988000000000002E-5</v>
      </c>
      <c r="AW341" s="78">
        <v>1551.84</v>
      </c>
      <c r="AX341" s="78">
        <v>0</v>
      </c>
      <c r="AY341" s="78">
        <v>257</v>
      </c>
      <c r="AZ341" s="78">
        <v>1072.13131313131</v>
      </c>
      <c r="BA341" s="78">
        <v>4</v>
      </c>
      <c r="BB341" s="78">
        <v>4</v>
      </c>
      <c r="BC341" s="78">
        <v>957</v>
      </c>
      <c r="BD341" s="78">
        <v>1</v>
      </c>
      <c r="BE341" s="78">
        <v>0</v>
      </c>
      <c r="BF341" s="78">
        <v>0</v>
      </c>
      <c r="BG341" s="78">
        <v>0</v>
      </c>
      <c r="BH341" s="78">
        <v>0</v>
      </c>
      <c r="BI341" s="78">
        <v>0</v>
      </c>
      <c r="BJ341" s="78">
        <v>0</v>
      </c>
      <c r="BK341" s="78">
        <v>0</v>
      </c>
      <c r="BL341" s="78">
        <v>0</v>
      </c>
      <c r="BM341" s="78">
        <v>99.18</v>
      </c>
      <c r="BN341" s="78">
        <v>1</v>
      </c>
      <c r="BO341" s="78">
        <v>9</v>
      </c>
      <c r="BP341" s="78">
        <v>3013.25</v>
      </c>
      <c r="BQ341" s="78">
        <v>514.08000000000004</v>
      </c>
      <c r="BR341" s="78">
        <v>39.010178571428597</v>
      </c>
      <c r="BS341" s="78">
        <v>80</v>
      </c>
      <c r="BT341" s="78">
        <v>21.6666666666667</v>
      </c>
      <c r="BU341" s="78">
        <v>16.3333333333333</v>
      </c>
      <c r="BV341" s="78">
        <f t="shared" si="19"/>
        <v>299.00000000000034</v>
      </c>
      <c r="BW341" s="78">
        <v>82</v>
      </c>
      <c r="BX341" s="78">
        <v>1271.92571867794</v>
      </c>
      <c r="BY341" s="402">
        <v>0.127</v>
      </c>
      <c r="BZ341" s="78">
        <v>5724</v>
      </c>
      <c r="CA341" s="78">
        <v>1187</v>
      </c>
      <c r="CB341" s="78">
        <v>211</v>
      </c>
      <c r="CC341" s="78">
        <v>230</v>
      </c>
      <c r="CD341" s="78">
        <v>218</v>
      </c>
      <c r="CE341" s="78">
        <v>127</v>
      </c>
      <c r="CF341" s="78">
        <v>89.377049180327901</v>
      </c>
      <c r="CG341" s="78">
        <v>62.373770491803299</v>
      </c>
      <c r="CH341" s="78">
        <v>21.425136612021898</v>
      </c>
      <c r="CI341" s="78">
        <v>216.71700000000001</v>
      </c>
      <c r="CJ341" s="78">
        <v>151.24080000000001</v>
      </c>
      <c r="CK341" s="78">
        <v>51.950600000000001</v>
      </c>
      <c r="CL341" s="78">
        <v>9855</v>
      </c>
    </row>
    <row r="342" spans="1:90" customFormat="1" x14ac:dyDescent="0.35">
      <c r="A342" s="72">
        <v>946</v>
      </c>
      <c r="B342" s="72" t="s">
        <v>211</v>
      </c>
      <c r="C342" s="72">
        <v>11</v>
      </c>
      <c r="D342" s="78">
        <v>1645600000</v>
      </c>
      <c r="E342" s="78">
        <v>270900000</v>
      </c>
      <c r="F342" s="78">
        <v>292600000</v>
      </c>
      <c r="G342" s="78">
        <v>17019</v>
      </c>
      <c r="H342" s="78">
        <v>2</v>
      </c>
      <c r="I342" s="78">
        <f t="shared" si="17"/>
        <v>292.60000000000002</v>
      </c>
      <c r="J342" s="78">
        <v>2861</v>
      </c>
      <c r="K342" s="78">
        <v>3996</v>
      </c>
      <c r="L342" s="78">
        <v>1332</v>
      </c>
      <c r="M342" s="78">
        <v>2089</v>
      </c>
      <c r="N342" s="78">
        <f t="shared" si="18"/>
        <v>1341.3</v>
      </c>
      <c r="O342" s="78">
        <v>133.666666666667</v>
      </c>
      <c r="P342" s="78">
        <v>8</v>
      </c>
      <c r="Q342" s="78">
        <v>992.66666666666697</v>
      </c>
      <c r="R342" s="78">
        <v>2057</v>
      </c>
      <c r="S342" s="78">
        <v>205</v>
      </c>
      <c r="T342" s="78">
        <v>0</v>
      </c>
      <c r="U342" s="78">
        <v>369</v>
      </c>
      <c r="V342" s="78">
        <v>7502</v>
      </c>
      <c r="W342" s="78">
        <v>15500</v>
      </c>
      <c r="X342" s="78">
        <v>6110</v>
      </c>
      <c r="Y342" s="78">
        <v>0</v>
      </c>
      <c r="Z342" s="78">
        <v>0</v>
      </c>
      <c r="AA342" s="78">
        <v>0</v>
      </c>
      <c r="AB342" s="399">
        <v>0</v>
      </c>
      <c r="AC342" s="399">
        <v>0</v>
      </c>
      <c r="AD342" s="78">
        <v>9989</v>
      </c>
      <c r="AE342" s="78">
        <v>9989</v>
      </c>
      <c r="AF342" s="78">
        <v>190</v>
      </c>
      <c r="AG342" s="78">
        <v>0</v>
      </c>
      <c r="AH342" s="78">
        <v>130</v>
      </c>
      <c r="AI342" s="78">
        <v>134</v>
      </c>
      <c r="AJ342" s="78">
        <v>130</v>
      </c>
      <c r="AK342" s="78">
        <v>134</v>
      </c>
      <c r="AL342" s="78">
        <v>263</v>
      </c>
      <c r="AM342" s="78">
        <v>7477</v>
      </c>
      <c r="AN342" s="78">
        <v>7477</v>
      </c>
      <c r="AO342" s="78">
        <v>0</v>
      </c>
      <c r="AP342" s="78">
        <v>0</v>
      </c>
      <c r="AQ342" s="78">
        <v>0</v>
      </c>
      <c r="AR342" s="78">
        <v>0</v>
      </c>
      <c r="AS342" s="78">
        <v>0</v>
      </c>
      <c r="AT342" s="78">
        <v>0</v>
      </c>
      <c r="AU342" s="400">
        <v>1.95902E-4</v>
      </c>
      <c r="AV342" s="400">
        <v>1.0128600000000001E-4</v>
      </c>
      <c r="AW342" s="78">
        <v>4815.1880000000001</v>
      </c>
      <c r="AX342" s="78">
        <v>0</v>
      </c>
      <c r="AY342" s="78">
        <v>1333</v>
      </c>
      <c r="AZ342" s="78">
        <v>2228.7382847038002</v>
      </c>
      <c r="BA342" s="78">
        <v>8</v>
      </c>
      <c r="BB342" s="78">
        <v>8</v>
      </c>
      <c r="BC342" s="78">
        <v>2225</v>
      </c>
      <c r="BD342" s="78">
        <v>1</v>
      </c>
      <c r="BE342" s="78">
        <v>0</v>
      </c>
      <c r="BF342" s="78">
        <v>0</v>
      </c>
      <c r="BG342" s="78">
        <v>0</v>
      </c>
      <c r="BH342" s="78">
        <v>0</v>
      </c>
      <c r="BI342" s="78">
        <v>0</v>
      </c>
      <c r="BJ342" s="78">
        <v>0</v>
      </c>
      <c r="BK342" s="78">
        <v>0</v>
      </c>
      <c r="BL342" s="78">
        <v>0</v>
      </c>
      <c r="BM342" s="78">
        <v>274.65600000000001</v>
      </c>
      <c r="BN342" s="78">
        <v>25</v>
      </c>
      <c r="BO342" s="78">
        <v>20</v>
      </c>
      <c r="BP342" s="78">
        <v>4896.3599999999997</v>
      </c>
      <c r="BQ342" s="78">
        <v>1058.6400000000001</v>
      </c>
      <c r="BR342" s="78">
        <v>65.0522007952286</v>
      </c>
      <c r="BS342" s="78">
        <v>137</v>
      </c>
      <c r="BT342" s="78">
        <v>39</v>
      </c>
      <c r="BU342" s="78">
        <v>27</v>
      </c>
      <c r="BV342" s="78">
        <f t="shared" si="19"/>
        <v>859</v>
      </c>
      <c r="BW342" s="78">
        <v>214</v>
      </c>
      <c r="BX342" s="78">
        <v>2865.9111064055101</v>
      </c>
      <c r="BY342" s="402">
        <v>8.5999999999999993E-2</v>
      </c>
      <c r="BZ342" s="78">
        <v>13023</v>
      </c>
      <c r="CA342" s="78">
        <v>2253</v>
      </c>
      <c r="CB342" s="78">
        <v>411</v>
      </c>
      <c r="CC342" s="78">
        <v>351</v>
      </c>
      <c r="CD342" s="78">
        <v>395</v>
      </c>
      <c r="CE342" s="78">
        <v>216</v>
      </c>
      <c r="CF342" s="78">
        <v>237.15375150461401</v>
      </c>
      <c r="CG342" s="78">
        <v>157.68392403370299</v>
      </c>
      <c r="CH342" s="78">
        <v>51.664357362578599</v>
      </c>
      <c r="CI342" s="78">
        <v>609.57420000000002</v>
      </c>
      <c r="CJ342" s="78">
        <v>405.30689999999998</v>
      </c>
      <c r="CK342" s="78">
        <v>132.79679999999999</v>
      </c>
      <c r="CL342" s="78">
        <v>0</v>
      </c>
    </row>
    <row r="343" spans="1:90" customFormat="1" x14ac:dyDescent="0.35">
      <c r="A343" s="72">
        <v>1894</v>
      </c>
      <c r="B343" s="72" t="s">
        <v>244</v>
      </c>
      <c r="C343" s="72">
        <v>11</v>
      </c>
      <c r="D343" s="78">
        <v>3789600000</v>
      </c>
      <c r="E343" s="78">
        <v>630350000</v>
      </c>
      <c r="F343" s="78">
        <v>677250000</v>
      </c>
      <c r="G343" s="78">
        <v>43425</v>
      </c>
      <c r="H343" s="78">
        <v>6</v>
      </c>
      <c r="I343" s="78">
        <f t="shared" si="17"/>
        <v>677.25</v>
      </c>
      <c r="J343" s="78">
        <v>7674</v>
      </c>
      <c r="K343" s="78">
        <v>9753</v>
      </c>
      <c r="L343" s="78">
        <v>3099</v>
      </c>
      <c r="M343" s="78">
        <v>5132</v>
      </c>
      <c r="N343" s="78">
        <f t="shared" si="18"/>
        <v>3232.2</v>
      </c>
      <c r="O343" s="78">
        <v>373.33333333333297</v>
      </c>
      <c r="P343" s="78">
        <v>85</v>
      </c>
      <c r="Q343" s="78">
        <v>2497.3333333333298</v>
      </c>
      <c r="R343" s="78">
        <v>5092</v>
      </c>
      <c r="S343" s="78">
        <v>1105</v>
      </c>
      <c r="T343" s="78">
        <v>0</v>
      </c>
      <c r="U343" s="78">
        <v>908</v>
      </c>
      <c r="V343" s="78">
        <v>18950</v>
      </c>
      <c r="W343" s="78">
        <v>38710</v>
      </c>
      <c r="X343" s="78">
        <v>16080</v>
      </c>
      <c r="Y343" s="78">
        <v>61.38</v>
      </c>
      <c r="Z343" s="78">
        <v>1156.8</v>
      </c>
      <c r="AA343" s="78">
        <v>0</v>
      </c>
      <c r="AB343" s="399">
        <v>0</v>
      </c>
      <c r="AC343" s="399">
        <v>0</v>
      </c>
      <c r="AD343" s="78">
        <v>15934</v>
      </c>
      <c r="AE343" s="78">
        <v>15934</v>
      </c>
      <c r="AF343" s="78">
        <v>201</v>
      </c>
      <c r="AG343" s="78">
        <v>0</v>
      </c>
      <c r="AH343" s="78">
        <v>282</v>
      </c>
      <c r="AI343" s="78">
        <v>230</v>
      </c>
      <c r="AJ343" s="78">
        <v>282</v>
      </c>
      <c r="AK343" s="78">
        <v>230</v>
      </c>
      <c r="AL343" s="78">
        <v>512</v>
      </c>
      <c r="AM343" s="78">
        <v>18998</v>
      </c>
      <c r="AN343" s="78">
        <v>18998</v>
      </c>
      <c r="AO343" s="78">
        <v>5</v>
      </c>
      <c r="AP343" s="78">
        <v>0</v>
      </c>
      <c r="AQ343" s="78">
        <v>0</v>
      </c>
      <c r="AR343" s="78">
        <v>0</v>
      </c>
      <c r="AS343" s="78">
        <v>0</v>
      </c>
      <c r="AT343" s="78">
        <v>0</v>
      </c>
      <c r="AU343" s="400">
        <v>4.1444399999999998E-4</v>
      </c>
      <c r="AV343" s="400">
        <v>2.5300499999999999E-4</v>
      </c>
      <c r="AW343" s="78">
        <v>10980.843999999999</v>
      </c>
      <c r="AX343" s="78">
        <v>0</v>
      </c>
      <c r="AY343" s="78">
        <v>1817</v>
      </c>
      <c r="AZ343" s="78">
        <v>4890.1905794855902</v>
      </c>
      <c r="BA343" s="78">
        <v>18</v>
      </c>
      <c r="BB343" s="78">
        <v>18</v>
      </c>
      <c r="BC343" s="78">
        <v>4480</v>
      </c>
      <c r="BD343" s="78">
        <v>1</v>
      </c>
      <c r="BE343" s="78">
        <v>0</v>
      </c>
      <c r="BF343" s="78">
        <v>0</v>
      </c>
      <c r="BG343" s="78">
        <v>0</v>
      </c>
      <c r="BH343" s="78">
        <v>0</v>
      </c>
      <c r="BI343" s="78">
        <v>0</v>
      </c>
      <c r="BJ343" s="78">
        <v>0</v>
      </c>
      <c r="BK343" s="78">
        <v>0</v>
      </c>
      <c r="BL343" s="78">
        <v>0</v>
      </c>
      <c r="BM343" s="78">
        <v>590.89800000000002</v>
      </c>
      <c r="BN343" s="78">
        <v>73</v>
      </c>
      <c r="BO343" s="78">
        <v>64</v>
      </c>
      <c r="BP343" s="78">
        <v>11863.15</v>
      </c>
      <c r="BQ343" s="78">
        <v>2752.1</v>
      </c>
      <c r="BR343" s="78">
        <v>165.07807261724699</v>
      </c>
      <c r="BS343" s="78">
        <v>341</v>
      </c>
      <c r="BT343" s="78">
        <v>104.333333333333</v>
      </c>
      <c r="BU343" s="78">
        <v>75.3333333333333</v>
      </c>
      <c r="BV343" s="78">
        <f t="shared" si="19"/>
        <v>2123.9999999999968</v>
      </c>
      <c r="BW343" s="78">
        <v>605</v>
      </c>
      <c r="BX343" s="78">
        <v>8040.7888065387597</v>
      </c>
      <c r="BY343" s="402">
        <v>0.221</v>
      </c>
      <c r="BZ343" s="78">
        <v>33672</v>
      </c>
      <c r="CA343" s="78">
        <v>5661</v>
      </c>
      <c r="CB343" s="78">
        <v>993</v>
      </c>
      <c r="CC343" s="78">
        <v>929</v>
      </c>
      <c r="CD343" s="78">
        <v>874</v>
      </c>
      <c r="CE343" s="78">
        <v>474</v>
      </c>
      <c r="CF343" s="78">
        <v>562.121739130435</v>
      </c>
      <c r="CG343" s="78">
        <v>340.77779766291201</v>
      </c>
      <c r="CH343" s="78">
        <v>110.416770186335</v>
      </c>
      <c r="CI343" s="78">
        <v>1550.2367999999999</v>
      </c>
      <c r="CJ343" s="78">
        <v>939.80759999999998</v>
      </c>
      <c r="CK343" s="78">
        <v>304.51080000000002</v>
      </c>
      <c r="CL343" s="78">
        <v>76193</v>
      </c>
    </row>
    <row r="344" spans="1:90" customFormat="1" x14ac:dyDescent="0.35">
      <c r="A344" s="72">
        <v>1669</v>
      </c>
      <c r="B344" s="72" t="s">
        <v>259</v>
      </c>
      <c r="C344" s="72">
        <v>11</v>
      </c>
      <c r="D344" s="78">
        <v>1769200000</v>
      </c>
      <c r="E344" s="78">
        <v>159600000</v>
      </c>
      <c r="F344" s="78">
        <v>178850000</v>
      </c>
      <c r="G344" s="78">
        <v>20574</v>
      </c>
      <c r="H344" s="78">
        <v>5</v>
      </c>
      <c r="I344" s="78">
        <f t="shared" si="17"/>
        <v>178.85</v>
      </c>
      <c r="J344" s="78">
        <v>3189</v>
      </c>
      <c r="K344" s="78">
        <v>5543</v>
      </c>
      <c r="L344" s="78">
        <v>1713</v>
      </c>
      <c r="M344" s="78">
        <v>2757</v>
      </c>
      <c r="N344" s="78">
        <f t="shared" si="18"/>
        <v>1773.5</v>
      </c>
      <c r="O344" s="78">
        <v>260</v>
      </c>
      <c r="P344" s="78">
        <v>16</v>
      </c>
      <c r="Q344" s="78">
        <v>1597</v>
      </c>
      <c r="R344" s="78">
        <v>2875</v>
      </c>
      <c r="S344" s="78">
        <v>330</v>
      </c>
      <c r="T344" s="78">
        <v>0</v>
      </c>
      <c r="U344" s="78">
        <v>623</v>
      </c>
      <c r="V344" s="78">
        <v>9734</v>
      </c>
      <c r="W344" s="78">
        <v>16650</v>
      </c>
      <c r="X344" s="78">
        <v>3310</v>
      </c>
      <c r="Y344" s="78">
        <v>0</v>
      </c>
      <c r="Z344" s="78">
        <v>0</v>
      </c>
      <c r="AA344" s="78">
        <v>0</v>
      </c>
      <c r="AB344" s="399">
        <v>0</v>
      </c>
      <c r="AC344" s="399">
        <v>0</v>
      </c>
      <c r="AD344" s="78">
        <v>8825</v>
      </c>
      <c r="AE344" s="78">
        <v>8825</v>
      </c>
      <c r="AF344" s="78">
        <v>54</v>
      </c>
      <c r="AG344" s="78">
        <v>0</v>
      </c>
      <c r="AH344" s="78">
        <v>140</v>
      </c>
      <c r="AI344" s="78">
        <v>39</v>
      </c>
      <c r="AJ344" s="78">
        <v>140</v>
      </c>
      <c r="AK344" s="78">
        <v>39</v>
      </c>
      <c r="AL344" s="78">
        <v>179</v>
      </c>
      <c r="AM344" s="78">
        <v>9835</v>
      </c>
      <c r="AN344" s="78">
        <v>9835</v>
      </c>
      <c r="AO344" s="78">
        <v>7</v>
      </c>
      <c r="AP344" s="78">
        <v>0</v>
      </c>
      <c r="AQ344" s="78">
        <v>0</v>
      </c>
      <c r="AR344" s="78">
        <v>0</v>
      </c>
      <c r="AS344" s="78">
        <v>0</v>
      </c>
      <c r="AT344" s="78">
        <v>0</v>
      </c>
      <c r="AU344" s="400">
        <v>2.61706E-4</v>
      </c>
      <c r="AV344" s="400">
        <v>1.9823799999999999E-4</v>
      </c>
      <c r="AW344" s="78">
        <v>3776.64</v>
      </c>
      <c r="AX344" s="78">
        <v>0</v>
      </c>
      <c r="AY344" s="78">
        <v>815</v>
      </c>
      <c r="AZ344" s="78">
        <v>1888.47955850884</v>
      </c>
      <c r="BA344" s="78">
        <v>11</v>
      </c>
      <c r="BB344" s="78">
        <v>11</v>
      </c>
      <c r="BC344" s="78">
        <v>1875</v>
      </c>
      <c r="BD344" s="78">
        <v>1</v>
      </c>
      <c r="BE344" s="78">
        <v>0</v>
      </c>
      <c r="BF344" s="78">
        <v>0</v>
      </c>
      <c r="BG344" s="78">
        <v>0</v>
      </c>
      <c r="BH344" s="78">
        <v>0</v>
      </c>
      <c r="BI344" s="78">
        <v>0</v>
      </c>
      <c r="BJ344" s="78">
        <v>0</v>
      </c>
      <c r="BK344" s="78">
        <v>0</v>
      </c>
      <c r="BL344" s="78">
        <v>0</v>
      </c>
      <c r="BM344" s="78">
        <v>350.79</v>
      </c>
      <c r="BN344" s="78">
        <v>64</v>
      </c>
      <c r="BO344" s="78">
        <v>25</v>
      </c>
      <c r="BP344" s="78">
        <v>6272.54</v>
      </c>
      <c r="BQ344" s="78">
        <v>1240.1400000000001</v>
      </c>
      <c r="BR344" s="78">
        <v>75.676882751609597</v>
      </c>
      <c r="BS344" s="78">
        <v>209</v>
      </c>
      <c r="BT344" s="78">
        <v>71</v>
      </c>
      <c r="BU344" s="78">
        <v>63</v>
      </c>
      <c r="BV344" s="78">
        <f t="shared" si="19"/>
        <v>1337</v>
      </c>
      <c r="BW344" s="78">
        <v>276</v>
      </c>
      <c r="BX344" s="78">
        <v>4164.9001600776101</v>
      </c>
      <c r="BY344" s="402">
        <v>0.442</v>
      </c>
      <c r="BZ344" s="78">
        <v>15031</v>
      </c>
      <c r="CA344" s="78">
        <v>3251</v>
      </c>
      <c r="CB344" s="78">
        <v>579</v>
      </c>
      <c r="CC344" s="78">
        <v>599</v>
      </c>
      <c r="CD344" s="78">
        <v>534</v>
      </c>
      <c r="CE344" s="78">
        <v>276</v>
      </c>
      <c r="CF344" s="78">
        <v>357.58520589730603</v>
      </c>
      <c r="CG344" s="78">
        <v>203.40701576004099</v>
      </c>
      <c r="CH344" s="78">
        <v>71.949822064057003</v>
      </c>
      <c r="CI344" s="78">
        <v>906.42930000000001</v>
      </c>
      <c r="CJ344" s="78">
        <v>515.60879999999997</v>
      </c>
      <c r="CK344" s="78">
        <v>182.38290000000001</v>
      </c>
      <c r="CL344" s="78">
        <v>0</v>
      </c>
    </row>
    <row r="345" spans="1:90" customFormat="1" x14ac:dyDescent="0.35">
      <c r="A345" s="72">
        <v>957</v>
      </c>
      <c r="B345" s="72" t="s">
        <v>260</v>
      </c>
      <c r="C345" s="72">
        <v>11</v>
      </c>
      <c r="D345" s="78">
        <v>4842800000</v>
      </c>
      <c r="E345" s="78">
        <v>1356600000</v>
      </c>
      <c r="F345" s="78">
        <v>1377250000</v>
      </c>
      <c r="G345" s="78">
        <v>58260</v>
      </c>
      <c r="H345" s="78">
        <v>2</v>
      </c>
      <c r="I345" s="78">
        <f t="shared" si="17"/>
        <v>1377.25</v>
      </c>
      <c r="J345" s="78">
        <v>10165</v>
      </c>
      <c r="K345" s="78">
        <v>12471</v>
      </c>
      <c r="L345" s="78">
        <v>3875</v>
      </c>
      <c r="M345" s="78">
        <v>10342</v>
      </c>
      <c r="N345" s="78">
        <f t="shared" si="18"/>
        <v>7553.7999999999993</v>
      </c>
      <c r="O345" s="78">
        <v>1705</v>
      </c>
      <c r="P345" s="78">
        <v>102</v>
      </c>
      <c r="Q345" s="78">
        <v>6042</v>
      </c>
      <c r="R345" s="78">
        <v>11322</v>
      </c>
      <c r="S345" s="78">
        <v>5575</v>
      </c>
      <c r="T345" s="78">
        <v>0</v>
      </c>
      <c r="U345" s="78">
        <v>2225</v>
      </c>
      <c r="V345" s="78">
        <v>28822</v>
      </c>
      <c r="W345" s="78">
        <v>67150</v>
      </c>
      <c r="X345" s="78">
        <v>79060</v>
      </c>
      <c r="Y345" s="78">
        <v>2310.1799999999998</v>
      </c>
      <c r="Z345" s="78">
        <v>3107.2</v>
      </c>
      <c r="AA345" s="78">
        <v>74.900000000000006</v>
      </c>
      <c r="AB345" s="399">
        <v>0</v>
      </c>
      <c r="AC345" s="399">
        <v>0</v>
      </c>
      <c r="AD345" s="78">
        <v>6065</v>
      </c>
      <c r="AE345" s="78">
        <v>6065</v>
      </c>
      <c r="AF345" s="78">
        <v>1040</v>
      </c>
      <c r="AG345" s="78">
        <v>0</v>
      </c>
      <c r="AH345" s="78">
        <v>356</v>
      </c>
      <c r="AI345" s="78">
        <v>83</v>
      </c>
      <c r="AJ345" s="78">
        <v>356</v>
      </c>
      <c r="AK345" s="78">
        <v>83</v>
      </c>
      <c r="AL345" s="78">
        <v>439</v>
      </c>
      <c r="AM345" s="78">
        <v>27882</v>
      </c>
      <c r="AN345" s="78">
        <v>27882</v>
      </c>
      <c r="AO345" s="78">
        <v>34</v>
      </c>
      <c r="AP345" s="78">
        <v>0</v>
      </c>
      <c r="AQ345" s="78">
        <v>0</v>
      </c>
      <c r="AR345" s="78">
        <v>0</v>
      </c>
      <c r="AS345" s="78">
        <v>3316</v>
      </c>
      <c r="AT345" s="78">
        <v>2811</v>
      </c>
      <c r="AU345" s="400">
        <v>2.9356959999999998E-3</v>
      </c>
      <c r="AV345" s="400">
        <v>3.1542530000000001E-3</v>
      </c>
      <c r="AW345" s="78">
        <v>41962.41</v>
      </c>
      <c r="AX345" s="78">
        <v>0</v>
      </c>
      <c r="AY345" s="78">
        <v>2282</v>
      </c>
      <c r="AZ345" s="78">
        <v>18712.078817734</v>
      </c>
      <c r="BA345" s="78">
        <v>9</v>
      </c>
      <c r="BB345" s="78">
        <v>9</v>
      </c>
      <c r="BC345" s="78">
        <v>5988</v>
      </c>
      <c r="BD345" s="78">
        <v>1</v>
      </c>
      <c r="BE345" s="78">
        <v>0</v>
      </c>
      <c r="BF345" s="78">
        <v>0</v>
      </c>
      <c r="BG345" s="78">
        <v>0</v>
      </c>
      <c r="BH345" s="78">
        <v>0</v>
      </c>
      <c r="BI345" s="78">
        <v>0</v>
      </c>
      <c r="BJ345" s="78">
        <v>0</v>
      </c>
      <c r="BK345" s="78">
        <v>0</v>
      </c>
      <c r="BL345" s="78">
        <v>0</v>
      </c>
      <c r="BM345" s="78">
        <v>1870.36</v>
      </c>
      <c r="BN345" s="78">
        <v>189</v>
      </c>
      <c r="BO345" s="78">
        <v>336</v>
      </c>
      <c r="BP345" s="78">
        <v>16803</v>
      </c>
      <c r="BQ345" s="78">
        <v>3428.38</v>
      </c>
      <c r="BR345" s="78">
        <v>420.87504474272902</v>
      </c>
      <c r="BS345" s="78">
        <v>824</v>
      </c>
      <c r="BT345" s="78">
        <v>467.66666666666703</v>
      </c>
      <c r="BU345" s="78">
        <v>428</v>
      </c>
      <c r="BV345" s="78">
        <f t="shared" si="19"/>
        <v>4337</v>
      </c>
      <c r="BW345" s="78">
        <v>946</v>
      </c>
      <c r="BX345" s="78">
        <v>10801.375374941999</v>
      </c>
      <c r="BY345" s="402">
        <v>4.7649999999999997</v>
      </c>
      <c r="BZ345" s="78">
        <v>45789</v>
      </c>
      <c r="CA345" s="78">
        <v>7296</v>
      </c>
      <c r="CB345" s="78">
        <v>1300</v>
      </c>
      <c r="CC345" s="78">
        <v>1983</v>
      </c>
      <c r="CD345" s="78">
        <v>1540</v>
      </c>
      <c r="CE345" s="78">
        <v>686</v>
      </c>
      <c r="CF345" s="78">
        <v>1255.4447026755599</v>
      </c>
      <c r="CG345" s="78">
        <v>740.96703966716905</v>
      </c>
      <c r="CH345" s="78">
        <v>254.66508858761901</v>
      </c>
      <c r="CI345" s="78">
        <v>2434.7035999999998</v>
      </c>
      <c r="CJ345" s="78">
        <v>1436.9690000000001</v>
      </c>
      <c r="CK345" s="78">
        <v>493.87599999999998</v>
      </c>
      <c r="CL345" s="78">
        <v>46650</v>
      </c>
    </row>
    <row r="346" spans="1:90" customFormat="1" x14ac:dyDescent="0.35">
      <c r="A346" s="72">
        <v>965</v>
      </c>
      <c r="B346" s="72" t="s">
        <v>272</v>
      </c>
      <c r="C346" s="72">
        <v>11</v>
      </c>
      <c r="D346" s="78">
        <v>783600000</v>
      </c>
      <c r="E346" s="78">
        <v>61250000</v>
      </c>
      <c r="F346" s="78">
        <v>68950000</v>
      </c>
      <c r="G346" s="78">
        <v>10555</v>
      </c>
      <c r="H346" s="78">
        <v>2</v>
      </c>
      <c r="I346" s="78">
        <f t="shared" si="17"/>
        <v>68.95</v>
      </c>
      <c r="J346" s="78">
        <v>1703</v>
      </c>
      <c r="K346" s="78">
        <v>2767</v>
      </c>
      <c r="L346" s="78">
        <v>949</v>
      </c>
      <c r="M346" s="78">
        <v>1589</v>
      </c>
      <c r="N346" s="78">
        <f t="shared" si="18"/>
        <v>1049.1999999999998</v>
      </c>
      <c r="O346" s="78">
        <v>125.333333333333</v>
      </c>
      <c r="P346" s="78">
        <v>10</v>
      </c>
      <c r="Q346" s="78">
        <v>888.33333333333303</v>
      </c>
      <c r="R346" s="78">
        <v>1637</v>
      </c>
      <c r="S346" s="78">
        <v>105</v>
      </c>
      <c r="T346" s="78">
        <v>0</v>
      </c>
      <c r="U346" s="78">
        <v>321</v>
      </c>
      <c r="V346" s="78">
        <v>5012</v>
      </c>
      <c r="W346" s="78">
        <v>8010</v>
      </c>
      <c r="X346" s="78">
        <v>1580</v>
      </c>
      <c r="Y346" s="78">
        <v>0</v>
      </c>
      <c r="Z346" s="78">
        <v>0</v>
      </c>
      <c r="AA346" s="78">
        <v>0</v>
      </c>
      <c r="AB346" s="399">
        <v>0</v>
      </c>
      <c r="AC346" s="399">
        <v>0</v>
      </c>
      <c r="AD346" s="78">
        <v>1603</v>
      </c>
      <c r="AE346" s="78">
        <v>1603</v>
      </c>
      <c r="AF346" s="78">
        <v>0</v>
      </c>
      <c r="AG346" s="78">
        <v>0</v>
      </c>
      <c r="AH346" s="78">
        <v>63</v>
      </c>
      <c r="AI346" s="78">
        <v>6</v>
      </c>
      <c r="AJ346" s="78">
        <v>63</v>
      </c>
      <c r="AK346" s="78">
        <v>6</v>
      </c>
      <c r="AL346" s="78">
        <v>69</v>
      </c>
      <c r="AM346" s="78">
        <v>5398</v>
      </c>
      <c r="AN346" s="78">
        <v>5398</v>
      </c>
      <c r="AO346" s="78">
        <v>0</v>
      </c>
      <c r="AP346" s="78">
        <v>0</v>
      </c>
      <c r="AQ346" s="78">
        <v>0</v>
      </c>
      <c r="AR346" s="78">
        <v>0</v>
      </c>
      <c r="AS346" s="78">
        <v>0</v>
      </c>
      <c r="AT346" s="78">
        <v>0</v>
      </c>
      <c r="AU346" s="400">
        <v>3.1818200000000002E-4</v>
      </c>
      <c r="AV346" s="400">
        <v>3.2073399999999998E-4</v>
      </c>
      <c r="AW346" s="78">
        <v>3676.038</v>
      </c>
      <c r="AX346" s="78">
        <v>0</v>
      </c>
      <c r="AY346" s="78">
        <v>41</v>
      </c>
      <c r="AZ346" s="78">
        <v>269.965689332502</v>
      </c>
      <c r="BA346" s="78">
        <v>3</v>
      </c>
      <c r="BB346" s="78">
        <v>3</v>
      </c>
      <c r="BC346" s="78">
        <v>844</v>
      </c>
      <c r="BD346" s="78">
        <v>1</v>
      </c>
      <c r="BE346" s="78">
        <v>0</v>
      </c>
      <c r="BF346" s="78">
        <v>0</v>
      </c>
      <c r="BG346" s="78">
        <v>0</v>
      </c>
      <c r="BH346" s="78">
        <v>0</v>
      </c>
      <c r="BI346" s="78">
        <v>0</v>
      </c>
      <c r="BJ346" s="78">
        <v>0</v>
      </c>
      <c r="BK346" s="78">
        <v>0</v>
      </c>
      <c r="BL346" s="78">
        <v>0</v>
      </c>
      <c r="BM346" s="78">
        <v>160.08199999999999</v>
      </c>
      <c r="BN346" s="78">
        <v>27</v>
      </c>
      <c r="BO346" s="78">
        <v>9</v>
      </c>
      <c r="BP346" s="78">
        <v>3111.57</v>
      </c>
      <c r="BQ346" s="78">
        <v>632.52</v>
      </c>
      <c r="BR346" s="78">
        <v>55.988642575558501</v>
      </c>
      <c r="BS346" s="78">
        <v>107</v>
      </c>
      <c r="BT346" s="78">
        <v>39.3333333333333</v>
      </c>
      <c r="BU346" s="78">
        <v>29.3333333333333</v>
      </c>
      <c r="BV346" s="78">
        <f t="shared" si="19"/>
        <v>763</v>
      </c>
      <c r="BW346" s="78">
        <v>148</v>
      </c>
      <c r="BX346" s="78">
        <v>2352.7733358691498</v>
      </c>
      <c r="BY346" s="402">
        <v>0.24</v>
      </c>
      <c r="BZ346" s="78">
        <v>7788</v>
      </c>
      <c r="CA346" s="78">
        <v>1542</v>
      </c>
      <c r="CB346" s="78">
        <v>276</v>
      </c>
      <c r="CC346" s="78">
        <v>324</v>
      </c>
      <c r="CD346" s="78">
        <v>317</v>
      </c>
      <c r="CE346" s="78">
        <v>140</v>
      </c>
      <c r="CF346" s="78">
        <v>187.176658021489</v>
      </c>
      <c r="CG346" s="78">
        <v>127.31122638014099</v>
      </c>
      <c r="CH346" s="78">
        <v>39.4567617636161</v>
      </c>
      <c r="CI346" s="78">
        <v>484.4853</v>
      </c>
      <c r="CJ346" s="78">
        <v>329.53050000000002</v>
      </c>
      <c r="CK346" s="78">
        <v>102.1293</v>
      </c>
      <c r="CL346" s="78">
        <v>34310</v>
      </c>
    </row>
    <row r="347" spans="1:90" customFormat="1" x14ac:dyDescent="0.35">
      <c r="A347" s="72">
        <v>1883</v>
      </c>
      <c r="B347" s="72" t="s">
        <v>275</v>
      </c>
      <c r="C347" s="72">
        <v>11</v>
      </c>
      <c r="D347" s="78">
        <v>7102000000</v>
      </c>
      <c r="E347" s="78">
        <v>2313150000</v>
      </c>
      <c r="F347" s="78">
        <v>2334850000</v>
      </c>
      <c r="G347" s="78">
        <v>92429</v>
      </c>
      <c r="H347" s="78">
        <v>3</v>
      </c>
      <c r="I347" s="78">
        <f t="shared" si="17"/>
        <v>2334.85</v>
      </c>
      <c r="J347" s="78">
        <v>14266</v>
      </c>
      <c r="K347" s="78">
        <v>22225</v>
      </c>
      <c r="L347" s="78">
        <v>7168</v>
      </c>
      <c r="M347" s="78">
        <v>16204</v>
      </c>
      <c r="N347" s="78">
        <f t="shared" si="18"/>
        <v>11498.599999999999</v>
      </c>
      <c r="O347" s="78">
        <v>2613.3333333333298</v>
      </c>
      <c r="P347" s="78">
        <v>101</v>
      </c>
      <c r="Q347" s="78">
        <v>10513.333333333299</v>
      </c>
      <c r="R347" s="78">
        <v>17898</v>
      </c>
      <c r="S347" s="78">
        <v>3855</v>
      </c>
      <c r="T347" s="78">
        <v>0</v>
      </c>
      <c r="U347" s="78">
        <v>3410</v>
      </c>
      <c r="V347" s="78">
        <v>46794</v>
      </c>
      <c r="W347" s="78">
        <v>103890</v>
      </c>
      <c r="X347" s="78">
        <v>133990</v>
      </c>
      <c r="Y347" s="78">
        <v>2492.52</v>
      </c>
      <c r="Z347" s="78">
        <v>4374.3999999999996</v>
      </c>
      <c r="AA347" s="78">
        <v>0</v>
      </c>
      <c r="AB347" s="399">
        <v>0</v>
      </c>
      <c r="AC347" s="399">
        <v>0</v>
      </c>
      <c r="AD347" s="78">
        <v>7860</v>
      </c>
      <c r="AE347" s="78">
        <v>7860</v>
      </c>
      <c r="AF347" s="78">
        <v>198</v>
      </c>
      <c r="AG347" s="78">
        <v>0</v>
      </c>
      <c r="AH347" s="78">
        <v>611</v>
      </c>
      <c r="AI347" s="78">
        <v>163</v>
      </c>
      <c r="AJ347" s="78">
        <v>611</v>
      </c>
      <c r="AK347" s="78">
        <v>163</v>
      </c>
      <c r="AL347" s="78">
        <v>775</v>
      </c>
      <c r="AM347" s="78">
        <v>47054</v>
      </c>
      <c r="AN347" s="78">
        <v>47054</v>
      </c>
      <c r="AO347" s="78">
        <v>14</v>
      </c>
      <c r="AP347" s="78">
        <v>0</v>
      </c>
      <c r="AQ347" s="78">
        <v>0</v>
      </c>
      <c r="AR347" s="78">
        <v>0</v>
      </c>
      <c r="AS347" s="78">
        <v>4826</v>
      </c>
      <c r="AT347" s="78">
        <v>2297</v>
      </c>
      <c r="AU347" s="400">
        <v>4.4524200000000003E-3</v>
      </c>
      <c r="AV347" s="400">
        <v>7.4121569999999999E-3</v>
      </c>
      <c r="AW347" s="78">
        <v>70533.945999999996</v>
      </c>
      <c r="AX347" s="78">
        <v>0</v>
      </c>
      <c r="AY347" s="78">
        <v>878</v>
      </c>
      <c r="AZ347" s="78">
        <v>10071.067510548501</v>
      </c>
      <c r="BA347" s="78">
        <v>7</v>
      </c>
      <c r="BB347" s="78">
        <v>7</v>
      </c>
      <c r="BC347" s="78">
        <v>8681</v>
      </c>
      <c r="BD347" s="78">
        <v>1</v>
      </c>
      <c r="BE347" s="78">
        <v>0</v>
      </c>
      <c r="BF347" s="78">
        <v>0</v>
      </c>
      <c r="BG347" s="78">
        <v>0</v>
      </c>
      <c r="BH347" s="78">
        <v>0</v>
      </c>
      <c r="BI347" s="78">
        <v>0</v>
      </c>
      <c r="BJ347" s="78">
        <v>0</v>
      </c>
      <c r="BK347" s="78">
        <v>0</v>
      </c>
      <c r="BL347" s="78">
        <v>0</v>
      </c>
      <c r="BM347" s="78">
        <v>2339.6239999999998</v>
      </c>
      <c r="BN347" s="78">
        <v>326</v>
      </c>
      <c r="BO347" s="78">
        <v>264</v>
      </c>
      <c r="BP347" s="78">
        <v>27082.2</v>
      </c>
      <c r="BQ347" s="78">
        <v>5145.6000000000004</v>
      </c>
      <c r="BR347" s="78">
        <v>662.46296073903</v>
      </c>
      <c r="BS347" s="78">
        <v>1087</v>
      </c>
      <c r="BT347" s="78">
        <v>591</v>
      </c>
      <c r="BU347" s="78">
        <v>537</v>
      </c>
      <c r="BV347" s="78">
        <f t="shared" si="19"/>
        <v>7899.9999999999691</v>
      </c>
      <c r="BW347" s="78">
        <v>1928</v>
      </c>
      <c r="BX347" s="78">
        <v>20702.7154651903</v>
      </c>
      <c r="BY347" s="402">
        <v>7.7549999999999999</v>
      </c>
      <c r="BZ347" s="78">
        <v>70204</v>
      </c>
      <c r="CA347" s="78">
        <v>12390</v>
      </c>
      <c r="CB347" s="78">
        <v>2667</v>
      </c>
      <c r="CC347" s="78">
        <v>3037</v>
      </c>
      <c r="CD347" s="78">
        <v>2563</v>
      </c>
      <c r="CE347" s="78">
        <v>1280</v>
      </c>
      <c r="CF347" s="78">
        <v>1919.77306073873</v>
      </c>
      <c r="CG347" s="78">
        <v>1209.38860458197</v>
      </c>
      <c r="CH347" s="78">
        <v>443.04335019339499</v>
      </c>
      <c r="CI347" s="78">
        <v>4056.0527999999999</v>
      </c>
      <c r="CJ347" s="78">
        <v>2555.1687000000002</v>
      </c>
      <c r="CK347" s="78">
        <v>936.05190000000005</v>
      </c>
      <c r="CL347" s="78">
        <v>223624</v>
      </c>
    </row>
    <row r="348" spans="1:90" customFormat="1" x14ac:dyDescent="0.35">
      <c r="A348" s="72">
        <v>971</v>
      </c>
      <c r="B348" s="72" t="s">
        <v>287</v>
      </c>
      <c r="C348" s="72">
        <v>11</v>
      </c>
      <c r="D348" s="78">
        <v>2070000000</v>
      </c>
      <c r="E348" s="78">
        <v>236600000</v>
      </c>
      <c r="F348" s="78">
        <v>247450000</v>
      </c>
      <c r="G348" s="78">
        <v>25007</v>
      </c>
      <c r="H348" s="78">
        <v>2</v>
      </c>
      <c r="I348" s="78">
        <f t="shared" si="17"/>
        <v>247.45</v>
      </c>
      <c r="J348" s="78">
        <v>3800</v>
      </c>
      <c r="K348" s="78">
        <v>6844</v>
      </c>
      <c r="L348" s="78">
        <v>2200</v>
      </c>
      <c r="M348" s="78">
        <v>3498</v>
      </c>
      <c r="N348" s="78">
        <f t="shared" si="18"/>
        <v>2315</v>
      </c>
      <c r="O348" s="78">
        <v>285.66666666666703</v>
      </c>
      <c r="P348" s="78">
        <v>1</v>
      </c>
      <c r="Q348" s="78">
        <v>1957.6666666666699</v>
      </c>
      <c r="R348" s="78">
        <v>3596</v>
      </c>
      <c r="S348" s="78">
        <v>475</v>
      </c>
      <c r="T348" s="78">
        <v>0</v>
      </c>
      <c r="U348" s="78">
        <v>777</v>
      </c>
      <c r="V348" s="78">
        <v>11807</v>
      </c>
      <c r="W348" s="78">
        <v>23380</v>
      </c>
      <c r="X348" s="78">
        <v>14480</v>
      </c>
      <c r="Y348" s="78">
        <v>114.18</v>
      </c>
      <c r="Z348" s="78">
        <v>1169.5999999999999</v>
      </c>
      <c r="AA348" s="78">
        <v>0</v>
      </c>
      <c r="AB348" s="399">
        <v>0</v>
      </c>
      <c r="AC348" s="399">
        <v>155.19999999999982</v>
      </c>
      <c r="AD348" s="78">
        <v>2089</v>
      </c>
      <c r="AE348" s="78">
        <v>2089</v>
      </c>
      <c r="AF348" s="78">
        <v>191</v>
      </c>
      <c r="AG348" s="78">
        <v>0</v>
      </c>
      <c r="AH348" s="78">
        <v>151</v>
      </c>
      <c r="AI348" s="78">
        <v>9</v>
      </c>
      <c r="AJ348" s="78">
        <v>151</v>
      </c>
      <c r="AK348" s="78">
        <v>9</v>
      </c>
      <c r="AL348" s="78">
        <v>161</v>
      </c>
      <c r="AM348" s="78">
        <v>11830</v>
      </c>
      <c r="AN348" s="78">
        <v>11830</v>
      </c>
      <c r="AO348" s="78">
        <v>0</v>
      </c>
      <c r="AP348" s="78">
        <v>0</v>
      </c>
      <c r="AQ348" s="78">
        <v>0</v>
      </c>
      <c r="AR348" s="78">
        <v>0</v>
      </c>
      <c r="AS348" s="78">
        <v>669</v>
      </c>
      <c r="AT348" s="78">
        <v>0</v>
      </c>
      <c r="AU348" s="400">
        <v>5.6672899999999997E-4</v>
      </c>
      <c r="AV348" s="400">
        <v>6.2973E-4</v>
      </c>
      <c r="AW348" s="78">
        <v>10682.49</v>
      </c>
      <c r="AX348" s="78">
        <v>0</v>
      </c>
      <c r="AY348" s="78">
        <v>524</v>
      </c>
      <c r="AZ348" s="78">
        <v>5747.2228070175397</v>
      </c>
      <c r="BA348" s="78">
        <v>3</v>
      </c>
      <c r="BB348" s="78">
        <v>3</v>
      </c>
      <c r="BC348" s="78">
        <v>2148</v>
      </c>
      <c r="BD348" s="78">
        <v>1</v>
      </c>
      <c r="BE348" s="78">
        <v>0</v>
      </c>
      <c r="BF348" s="78">
        <v>0</v>
      </c>
      <c r="BG348" s="78">
        <v>0</v>
      </c>
      <c r="BH348" s="78">
        <v>0</v>
      </c>
      <c r="BI348" s="78">
        <v>0</v>
      </c>
      <c r="BJ348" s="78">
        <v>0</v>
      </c>
      <c r="BK348" s="78">
        <v>0</v>
      </c>
      <c r="BL348" s="78">
        <v>0</v>
      </c>
      <c r="BM348" s="78">
        <v>399</v>
      </c>
      <c r="BN348" s="78">
        <v>50</v>
      </c>
      <c r="BO348" s="78">
        <v>45</v>
      </c>
      <c r="BP348" s="78">
        <v>7543.9</v>
      </c>
      <c r="BQ348" s="78">
        <v>1522.3</v>
      </c>
      <c r="BR348" s="78">
        <v>148.57541163556499</v>
      </c>
      <c r="BS348" s="78">
        <v>244</v>
      </c>
      <c r="BT348" s="78">
        <v>74</v>
      </c>
      <c r="BU348" s="78">
        <v>60</v>
      </c>
      <c r="BV348" s="78">
        <f t="shared" si="19"/>
        <v>1672.000000000003</v>
      </c>
      <c r="BW348" s="78">
        <v>296</v>
      </c>
      <c r="BX348" s="78">
        <v>5709.1819542486301</v>
      </c>
      <c r="BY348" s="402">
        <v>0.47799999999999998</v>
      </c>
      <c r="BZ348" s="78">
        <v>18163</v>
      </c>
      <c r="CA348" s="78">
        <v>3920</v>
      </c>
      <c r="CB348" s="78">
        <v>724</v>
      </c>
      <c r="CC348" s="78">
        <v>726</v>
      </c>
      <c r="CD348" s="78">
        <v>693</v>
      </c>
      <c r="CE348" s="78">
        <v>358</v>
      </c>
      <c r="CF348" s="78">
        <v>468.47928994082798</v>
      </c>
      <c r="CG348" s="78">
        <v>283.94463229078599</v>
      </c>
      <c r="CH348" s="78">
        <v>94.126373626373606</v>
      </c>
      <c r="CI348" s="78">
        <v>1143.135</v>
      </c>
      <c r="CJ348" s="78">
        <v>692.85249999999996</v>
      </c>
      <c r="CK348" s="78">
        <v>229.67750000000001</v>
      </c>
      <c r="CL348" s="78">
        <v>17520</v>
      </c>
    </row>
    <row r="349" spans="1:90" customFormat="1" x14ac:dyDescent="0.35">
      <c r="A349" s="72">
        <v>981</v>
      </c>
      <c r="B349" s="72" t="s">
        <v>307</v>
      </c>
      <c r="C349" s="72">
        <v>11</v>
      </c>
      <c r="D349" s="78">
        <v>811200000</v>
      </c>
      <c r="E349" s="78">
        <v>80500000</v>
      </c>
      <c r="F349" s="78">
        <v>86100000</v>
      </c>
      <c r="G349" s="78">
        <v>10105</v>
      </c>
      <c r="H349" s="78">
        <v>2</v>
      </c>
      <c r="I349" s="78">
        <f t="shared" si="17"/>
        <v>86.1</v>
      </c>
      <c r="J349" s="78">
        <v>1284</v>
      </c>
      <c r="K349" s="78">
        <v>2825</v>
      </c>
      <c r="L349" s="78">
        <v>963</v>
      </c>
      <c r="M349" s="78">
        <v>2118</v>
      </c>
      <c r="N349" s="78">
        <f t="shared" si="18"/>
        <v>1490.4</v>
      </c>
      <c r="O349" s="78">
        <v>280.66666666666703</v>
      </c>
      <c r="P349" s="78">
        <v>11</v>
      </c>
      <c r="Q349" s="78">
        <v>803.66666666666697</v>
      </c>
      <c r="R349" s="78">
        <v>2653</v>
      </c>
      <c r="S349" s="78">
        <v>215</v>
      </c>
      <c r="T349" s="78">
        <v>0</v>
      </c>
      <c r="U349" s="78">
        <v>300</v>
      </c>
      <c r="V349" s="78">
        <v>5657</v>
      </c>
      <c r="W349" s="78">
        <v>8740</v>
      </c>
      <c r="X349" s="78">
        <v>3540</v>
      </c>
      <c r="Y349" s="78">
        <v>0</v>
      </c>
      <c r="Z349" s="78">
        <v>0</v>
      </c>
      <c r="AA349" s="78">
        <v>0</v>
      </c>
      <c r="AB349" s="399">
        <v>0</v>
      </c>
      <c r="AC349" s="399">
        <v>0</v>
      </c>
      <c r="AD349" s="78">
        <v>2389</v>
      </c>
      <c r="AE349" s="78">
        <v>2389</v>
      </c>
      <c r="AF349" s="78">
        <v>1</v>
      </c>
      <c r="AG349" s="78">
        <v>0</v>
      </c>
      <c r="AH349" s="78">
        <v>47</v>
      </c>
      <c r="AI349" s="78">
        <v>13</v>
      </c>
      <c r="AJ349" s="78">
        <v>47</v>
      </c>
      <c r="AK349" s="78">
        <v>13</v>
      </c>
      <c r="AL349" s="78">
        <v>60</v>
      </c>
      <c r="AM349" s="78">
        <v>6276</v>
      </c>
      <c r="AN349" s="78">
        <v>6276</v>
      </c>
      <c r="AO349" s="78">
        <v>0</v>
      </c>
      <c r="AP349" s="78">
        <v>0</v>
      </c>
      <c r="AQ349" s="78">
        <v>0</v>
      </c>
      <c r="AR349" s="78">
        <v>0</v>
      </c>
      <c r="AS349" s="78">
        <v>1410</v>
      </c>
      <c r="AT349" s="78">
        <v>0</v>
      </c>
      <c r="AU349" s="400">
        <v>8.6127100000000004E-4</v>
      </c>
      <c r="AV349" s="400">
        <v>7.6205800000000003E-4</v>
      </c>
      <c r="AW349" s="78">
        <v>6627.4560000000001</v>
      </c>
      <c r="AX349" s="78">
        <v>0</v>
      </c>
      <c r="AY349" s="78">
        <v>93</v>
      </c>
      <c r="AZ349" s="78">
        <v>393.20711297071102</v>
      </c>
      <c r="BA349" s="78">
        <v>6</v>
      </c>
      <c r="BB349" s="78">
        <v>6</v>
      </c>
      <c r="BC349" s="78">
        <v>782</v>
      </c>
      <c r="BD349" s="78">
        <v>1</v>
      </c>
      <c r="BE349" s="78">
        <v>0</v>
      </c>
      <c r="BF349" s="78">
        <v>0</v>
      </c>
      <c r="BG349" s="78">
        <v>0</v>
      </c>
      <c r="BH349" s="78">
        <v>0</v>
      </c>
      <c r="BI349" s="78">
        <v>0</v>
      </c>
      <c r="BJ349" s="78">
        <v>0</v>
      </c>
      <c r="BK349" s="78">
        <v>0</v>
      </c>
      <c r="BL349" s="78">
        <v>0</v>
      </c>
      <c r="BM349" s="78">
        <v>288.89999999999998</v>
      </c>
      <c r="BN349" s="78">
        <v>19</v>
      </c>
      <c r="BO349" s="78">
        <v>23</v>
      </c>
      <c r="BP349" s="78">
        <v>3018.4</v>
      </c>
      <c r="BQ349" s="78">
        <v>380.5</v>
      </c>
      <c r="BR349" s="78">
        <v>16.694238884045301</v>
      </c>
      <c r="BS349" s="78">
        <v>91</v>
      </c>
      <c r="BT349" s="78">
        <v>68.6666666666667</v>
      </c>
      <c r="BU349" s="78">
        <v>63.3333333333333</v>
      </c>
      <c r="BV349" s="78">
        <f t="shared" si="19"/>
        <v>523</v>
      </c>
      <c r="BW349" s="78">
        <v>119</v>
      </c>
      <c r="BX349" s="78">
        <v>1669.10729290527</v>
      </c>
      <c r="BY349" s="402">
        <v>0.85199999999999998</v>
      </c>
      <c r="BZ349" s="78">
        <v>7280</v>
      </c>
      <c r="CA349" s="78">
        <v>1545</v>
      </c>
      <c r="CB349" s="78">
        <v>317</v>
      </c>
      <c r="CC349" s="78">
        <v>414</v>
      </c>
      <c r="CD349" s="78">
        <v>361</v>
      </c>
      <c r="CE349" s="78">
        <v>148</v>
      </c>
      <c r="CF349" s="78">
        <v>234.38891013384301</v>
      </c>
      <c r="CG349" s="78">
        <v>159.34646271510499</v>
      </c>
      <c r="CH349" s="78">
        <v>45.832887189292599</v>
      </c>
      <c r="CI349" s="78">
        <v>585.48839999999996</v>
      </c>
      <c r="CJ349" s="78">
        <v>398.03719999999998</v>
      </c>
      <c r="CK349" s="78">
        <v>114.4876</v>
      </c>
      <c r="CL349" s="78">
        <v>7938</v>
      </c>
    </row>
    <row r="350" spans="1:90" customFormat="1" x14ac:dyDescent="0.35">
      <c r="A350" s="72">
        <v>994</v>
      </c>
      <c r="B350" s="72" t="s">
        <v>308</v>
      </c>
      <c r="C350" s="72">
        <v>11</v>
      </c>
      <c r="D350" s="78">
        <v>1584000000</v>
      </c>
      <c r="E350" s="78">
        <v>204400000</v>
      </c>
      <c r="F350" s="78">
        <v>213850000</v>
      </c>
      <c r="G350" s="78">
        <v>16367</v>
      </c>
      <c r="H350" s="78">
        <v>4</v>
      </c>
      <c r="I350" s="78">
        <f t="shared" si="17"/>
        <v>213.85</v>
      </c>
      <c r="J350" s="78">
        <v>2237</v>
      </c>
      <c r="K350" s="78">
        <v>4787</v>
      </c>
      <c r="L350" s="78">
        <v>1632</v>
      </c>
      <c r="M350" s="78">
        <v>2712</v>
      </c>
      <c r="N350" s="78">
        <f t="shared" si="18"/>
        <v>1790.8</v>
      </c>
      <c r="O350" s="78">
        <v>294</v>
      </c>
      <c r="P350" s="78">
        <v>11</v>
      </c>
      <c r="Q350" s="78">
        <v>1277</v>
      </c>
      <c r="R350" s="78">
        <v>2998</v>
      </c>
      <c r="S350" s="78">
        <v>285</v>
      </c>
      <c r="T350" s="78">
        <v>0</v>
      </c>
      <c r="U350" s="78">
        <v>459</v>
      </c>
      <c r="V350" s="78">
        <v>8284</v>
      </c>
      <c r="W350" s="78">
        <v>13260</v>
      </c>
      <c r="X350" s="78">
        <v>3370</v>
      </c>
      <c r="Y350" s="78">
        <v>1110.6600000000001</v>
      </c>
      <c r="Z350" s="78">
        <v>391.2</v>
      </c>
      <c r="AA350" s="78">
        <v>0</v>
      </c>
      <c r="AB350" s="399">
        <v>0</v>
      </c>
      <c r="AC350" s="399">
        <v>0</v>
      </c>
      <c r="AD350" s="78">
        <v>3672</v>
      </c>
      <c r="AE350" s="78">
        <v>3672</v>
      </c>
      <c r="AF350" s="78">
        <v>21</v>
      </c>
      <c r="AG350" s="78">
        <v>0</v>
      </c>
      <c r="AH350" s="78">
        <v>104</v>
      </c>
      <c r="AI350" s="78">
        <v>15</v>
      </c>
      <c r="AJ350" s="78">
        <v>104</v>
      </c>
      <c r="AK350" s="78">
        <v>15</v>
      </c>
      <c r="AL350" s="78">
        <v>119</v>
      </c>
      <c r="AM350" s="78">
        <v>9212</v>
      </c>
      <c r="AN350" s="78">
        <v>9212</v>
      </c>
      <c r="AO350" s="78">
        <v>7</v>
      </c>
      <c r="AP350" s="78">
        <v>0</v>
      </c>
      <c r="AQ350" s="78">
        <v>0</v>
      </c>
      <c r="AR350" s="78">
        <v>0</v>
      </c>
      <c r="AS350" s="78">
        <v>588</v>
      </c>
      <c r="AT350" s="78">
        <v>588</v>
      </c>
      <c r="AU350" s="400">
        <v>9.1397799999999997E-4</v>
      </c>
      <c r="AV350" s="400">
        <v>5.7661799999999999E-4</v>
      </c>
      <c r="AW350" s="78">
        <v>6227.3119999999999</v>
      </c>
      <c r="AX350" s="78">
        <v>0</v>
      </c>
      <c r="AY350" s="78">
        <v>391</v>
      </c>
      <c r="AZ350" s="78">
        <v>1732.8721906309199</v>
      </c>
      <c r="BA350" s="78">
        <v>6</v>
      </c>
      <c r="BB350" s="78">
        <v>6</v>
      </c>
      <c r="BC350" s="78">
        <v>1954</v>
      </c>
      <c r="BD350" s="78">
        <v>1</v>
      </c>
      <c r="BE350" s="78">
        <v>0</v>
      </c>
      <c r="BF350" s="78">
        <v>0</v>
      </c>
      <c r="BG350" s="78">
        <v>0</v>
      </c>
      <c r="BH350" s="78">
        <v>0</v>
      </c>
      <c r="BI350" s="78">
        <v>0</v>
      </c>
      <c r="BJ350" s="78">
        <v>0</v>
      </c>
      <c r="BK350" s="78">
        <v>0</v>
      </c>
      <c r="BL350" s="78">
        <v>0</v>
      </c>
      <c r="BM350" s="78">
        <v>277.38799999999998</v>
      </c>
      <c r="BN350" s="78">
        <v>11</v>
      </c>
      <c r="BO350" s="78">
        <v>24</v>
      </c>
      <c r="BP350" s="78">
        <v>5210.04</v>
      </c>
      <c r="BQ350" s="78">
        <v>954.24</v>
      </c>
      <c r="BR350" s="78">
        <v>66.353442720219107</v>
      </c>
      <c r="BS350" s="78">
        <v>149</v>
      </c>
      <c r="BT350" s="78">
        <v>64.3333333333333</v>
      </c>
      <c r="BU350" s="78">
        <v>56</v>
      </c>
      <c r="BV350" s="78">
        <f t="shared" si="19"/>
        <v>983</v>
      </c>
      <c r="BW350" s="78">
        <v>196</v>
      </c>
      <c r="BX350" s="78">
        <v>3503.5516211293302</v>
      </c>
      <c r="BY350" s="402">
        <v>0.77900000000000003</v>
      </c>
      <c r="BZ350" s="78">
        <v>11580</v>
      </c>
      <c r="CA350" s="78">
        <v>2556</v>
      </c>
      <c r="CB350" s="78">
        <v>599</v>
      </c>
      <c r="CC350" s="78">
        <v>569</v>
      </c>
      <c r="CD350" s="78">
        <v>564</v>
      </c>
      <c r="CE350" s="78">
        <v>261</v>
      </c>
      <c r="CF350" s="78">
        <v>311.42657403386897</v>
      </c>
      <c r="CG350" s="78">
        <v>210.33929656969201</v>
      </c>
      <c r="CH350" s="78">
        <v>68.817108119843695</v>
      </c>
      <c r="CI350" s="78">
        <v>725.86620000000005</v>
      </c>
      <c r="CJ350" s="78">
        <v>490.25420000000003</v>
      </c>
      <c r="CK350" s="78">
        <v>160.3974</v>
      </c>
      <c r="CL350" s="78">
        <v>15922</v>
      </c>
    </row>
    <row r="351" spans="1:90" customFormat="1" x14ac:dyDescent="0.35">
      <c r="A351" s="72">
        <v>983</v>
      </c>
      <c r="B351" s="72" t="s">
        <v>315</v>
      </c>
      <c r="C351" s="72">
        <v>11</v>
      </c>
      <c r="D351" s="78">
        <v>8126800000</v>
      </c>
      <c r="E351" s="78">
        <v>2416400000</v>
      </c>
      <c r="F351" s="78">
        <v>2452800000</v>
      </c>
      <c r="G351" s="78">
        <v>101802</v>
      </c>
      <c r="H351" s="78">
        <v>3</v>
      </c>
      <c r="I351" s="78">
        <f t="shared" si="17"/>
        <v>2452.8000000000002</v>
      </c>
      <c r="J351" s="78">
        <v>17853</v>
      </c>
      <c r="K351" s="78">
        <v>22281</v>
      </c>
      <c r="L351" s="78">
        <v>6966</v>
      </c>
      <c r="M351" s="78">
        <v>16882</v>
      </c>
      <c r="N351" s="78">
        <f t="shared" si="18"/>
        <v>12050.599999999999</v>
      </c>
      <c r="O351" s="78">
        <v>3001.6666666666702</v>
      </c>
      <c r="P351" s="78">
        <v>102</v>
      </c>
      <c r="Q351" s="78">
        <v>8706.6666666666697</v>
      </c>
      <c r="R351" s="78">
        <v>18466</v>
      </c>
      <c r="S351" s="78">
        <v>8910</v>
      </c>
      <c r="T351" s="78">
        <v>0</v>
      </c>
      <c r="U351" s="78">
        <v>3497</v>
      </c>
      <c r="V351" s="78">
        <v>49267</v>
      </c>
      <c r="W351" s="78">
        <v>109790</v>
      </c>
      <c r="X351" s="78">
        <v>143790</v>
      </c>
      <c r="Y351" s="78">
        <v>3882.68</v>
      </c>
      <c r="Z351" s="78">
        <v>4626.3999999999996</v>
      </c>
      <c r="AA351" s="78">
        <v>0</v>
      </c>
      <c r="AB351" s="399">
        <v>0</v>
      </c>
      <c r="AC351" s="399">
        <v>0</v>
      </c>
      <c r="AD351" s="78">
        <v>12412</v>
      </c>
      <c r="AE351" s="78">
        <v>12412</v>
      </c>
      <c r="AF351" s="78">
        <v>488</v>
      </c>
      <c r="AG351" s="78">
        <v>0</v>
      </c>
      <c r="AH351" s="78">
        <v>631</v>
      </c>
      <c r="AI351" s="78">
        <v>306</v>
      </c>
      <c r="AJ351" s="78">
        <v>631</v>
      </c>
      <c r="AK351" s="78">
        <v>306</v>
      </c>
      <c r="AL351" s="78">
        <v>937</v>
      </c>
      <c r="AM351" s="78">
        <v>48314</v>
      </c>
      <c r="AN351" s="78">
        <v>48314</v>
      </c>
      <c r="AO351" s="78">
        <v>10</v>
      </c>
      <c r="AP351" s="78">
        <v>0</v>
      </c>
      <c r="AQ351" s="78">
        <v>0</v>
      </c>
      <c r="AR351" s="78">
        <v>0</v>
      </c>
      <c r="AS351" s="78">
        <v>7161</v>
      </c>
      <c r="AT351" s="78">
        <v>4755</v>
      </c>
      <c r="AU351" s="400">
        <v>3.7905550000000001E-3</v>
      </c>
      <c r="AV351" s="400">
        <v>5.9178110000000003E-3</v>
      </c>
      <c r="AW351" s="78">
        <v>79621.471999999994</v>
      </c>
      <c r="AX351" s="78">
        <v>0</v>
      </c>
      <c r="AY351" s="78">
        <v>2179</v>
      </c>
      <c r="AZ351" s="78">
        <v>17195.857209302299</v>
      </c>
      <c r="BA351" s="78">
        <v>13</v>
      </c>
      <c r="BB351" s="78">
        <v>13</v>
      </c>
      <c r="BC351" s="78">
        <v>9523</v>
      </c>
      <c r="BD351" s="78">
        <v>1</v>
      </c>
      <c r="BE351" s="78">
        <v>0</v>
      </c>
      <c r="BF351" s="78">
        <v>0</v>
      </c>
      <c r="BG351" s="78">
        <v>0</v>
      </c>
      <c r="BH351" s="78">
        <v>0</v>
      </c>
      <c r="BI351" s="78">
        <v>0</v>
      </c>
      <c r="BJ351" s="78">
        <v>0</v>
      </c>
      <c r="BK351" s="78">
        <v>0</v>
      </c>
      <c r="BL351" s="78">
        <v>0</v>
      </c>
      <c r="BM351" s="78">
        <v>3106.422</v>
      </c>
      <c r="BN351" s="78">
        <v>443</v>
      </c>
      <c r="BO351" s="78">
        <v>375</v>
      </c>
      <c r="BP351" s="78">
        <v>28298.76</v>
      </c>
      <c r="BQ351" s="78">
        <v>5631.45</v>
      </c>
      <c r="BR351" s="78">
        <v>657.23227162977901</v>
      </c>
      <c r="BS351" s="78">
        <v>1328</v>
      </c>
      <c r="BT351" s="78">
        <v>801</v>
      </c>
      <c r="BU351" s="78">
        <v>721</v>
      </c>
      <c r="BV351" s="78">
        <f t="shared" si="19"/>
        <v>5705</v>
      </c>
      <c r="BW351" s="78">
        <v>1336</v>
      </c>
      <c r="BX351" s="78">
        <v>20809.317532749999</v>
      </c>
      <c r="BY351" s="402">
        <v>8.1980000000000004</v>
      </c>
      <c r="BZ351" s="78">
        <v>79521</v>
      </c>
      <c r="CA351" s="78">
        <v>12691</v>
      </c>
      <c r="CB351" s="78">
        <v>2624</v>
      </c>
      <c r="CC351" s="78">
        <v>2935</v>
      </c>
      <c r="CD351" s="78">
        <v>2402</v>
      </c>
      <c r="CE351" s="78">
        <v>1397</v>
      </c>
      <c r="CF351" s="78">
        <v>1975.6758413710299</v>
      </c>
      <c r="CG351" s="78">
        <v>1194.2350623007801</v>
      </c>
      <c r="CH351" s="78">
        <v>450.95592995818998</v>
      </c>
      <c r="CI351" s="78">
        <v>4271.0032000000001</v>
      </c>
      <c r="CJ351" s="78">
        <v>2581.6896000000002</v>
      </c>
      <c r="CK351" s="78">
        <v>974.87360000000001</v>
      </c>
      <c r="CL351" s="78">
        <v>104841</v>
      </c>
    </row>
    <row r="352" spans="1:90" customFormat="1" x14ac:dyDescent="0.35">
      <c r="A352" s="72">
        <v>984</v>
      </c>
      <c r="B352" s="72" t="s">
        <v>316</v>
      </c>
      <c r="C352" s="72">
        <v>11</v>
      </c>
      <c r="D352" s="78">
        <v>3537600000</v>
      </c>
      <c r="E352" s="78">
        <v>1083600000</v>
      </c>
      <c r="F352" s="78">
        <v>1157100000</v>
      </c>
      <c r="G352" s="78">
        <v>43614</v>
      </c>
      <c r="H352" s="78">
        <v>4</v>
      </c>
      <c r="I352" s="78">
        <f t="shared" si="17"/>
        <v>1157.0999999999999</v>
      </c>
      <c r="J352" s="78">
        <v>7935</v>
      </c>
      <c r="K352" s="78">
        <v>9363</v>
      </c>
      <c r="L352" s="78">
        <v>3072</v>
      </c>
      <c r="M352" s="78">
        <v>5849</v>
      </c>
      <c r="N352" s="78">
        <f t="shared" si="18"/>
        <v>3901.2</v>
      </c>
      <c r="O352" s="78">
        <v>735.33333333333303</v>
      </c>
      <c r="P352" s="78">
        <v>61</v>
      </c>
      <c r="Q352" s="78">
        <v>3392.3333333333298</v>
      </c>
      <c r="R352" s="78">
        <v>6211</v>
      </c>
      <c r="S352" s="78">
        <v>2730</v>
      </c>
      <c r="T352" s="78">
        <v>0</v>
      </c>
      <c r="U352" s="78">
        <v>1219</v>
      </c>
      <c r="V352" s="78">
        <v>19889</v>
      </c>
      <c r="W352" s="78">
        <v>46560</v>
      </c>
      <c r="X352" s="78">
        <v>42070</v>
      </c>
      <c r="Y352" s="78">
        <v>613.52</v>
      </c>
      <c r="Z352" s="78">
        <v>1201.5999999999999</v>
      </c>
      <c r="AA352" s="78">
        <v>0</v>
      </c>
      <c r="AB352" s="399">
        <v>0</v>
      </c>
      <c r="AC352" s="399">
        <v>0</v>
      </c>
      <c r="AD352" s="78">
        <v>16316</v>
      </c>
      <c r="AE352" s="78">
        <v>16316</v>
      </c>
      <c r="AF352" s="78">
        <v>184</v>
      </c>
      <c r="AG352" s="78">
        <v>0</v>
      </c>
      <c r="AH352" s="78">
        <v>260</v>
      </c>
      <c r="AI352" s="78">
        <v>309</v>
      </c>
      <c r="AJ352" s="78">
        <v>260</v>
      </c>
      <c r="AK352" s="78">
        <v>309</v>
      </c>
      <c r="AL352" s="78">
        <v>569</v>
      </c>
      <c r="AM352" s="78">
        <v>19478</v>
      </c>
      <c r="AN352" s="78">
        <v>19478</v>
      </c>
      <c r="AO352" s="78">
        <v>0</v>
      </c>
      <c r="AP352" s="78">
        <v>0</v>
      </c>
      <c r="AQ352" s="78">
        <v>0</v>
      </c>
      <c r="AR352" s="78">
        <v>0</v>
      </c>
      <c r="AS352" s="78">
        <v>626</v>
      </c>
      <c r="AT352" s="78">
        <v>0</v>
      </c>
      <c r="AU352" s="400">
        <v>4.4822599999999997E-4</v>
      </c>
      <c r="AV352" s="400">
        <v>7.3056800000000002E-4</v>
      </c>
      <c r="AW352" s="78">
        <v>19633.824000000001</v>
      </c>
      <c r="AX352" s="78">
        <v>0</v>
      </c>
      <c r="AY352" s="78">
        <v>1374</v>
      </c>
      <c r="AZ352" s="78">
        <v>3631.85672727273</v>
      </c>
      <c r="BA352" s="78">
        <v>14</v>
      </c>
      <c r="BB352" s="78">
        <v>14</v>
      </c>
      <c r="BC352" s="78">
        <v>4377</v>
      </c>
      <c r="BD352" s="78">
        <v>1</v>
      </c>
      <c r="BE352" s="78">
        <v>0</v>
      </c>
      <c r="BF352" s="78">
        <v>0</v>
      </c>
      <c r="BG352" s="78">
        <v>0</v>
      </c>
      <c r="BH352" s="78">
        <v>0</v>
      </c>
      <c r="BI352" s="78">
        <v>0</v>
      </c>
      <c r="BJ352" s="78">
        <v>0</v>
      </c>
      <c r="BK352" s="78">
        <v>0</v>
      </c>
      <c r="BL352" s="78">
        <v>0</v>
      </c>
      <c r="BM352" s="78">
        <v>1071.2249999999999</v>
      </c>
      <c r="BN352" s="78">
        <v>116</v>
      </c>
      <c r="BO352" s="78">
        <v>100</v>
      </c>
      <c r="BP352" s="78">
        <v>12160</v>
      </c>
      <c r="BQ352" s="78">
        <v>2726.14</v>
      </c>
      <c r="BR352" s="78">
        <v>240.00961678832101</v>
      </c>
      <c r="BS352" s="78">
        <v>485</v>
      </c>
      <c r="BT352" s="78">
        <v>249.333333333333</v>
      </c>
      <c r="BU352" s="78">
        <v>191.666666666667</v>
      </c>
      <c r="BV352" s="78">
        <f t="shared" si="19"/>
        <v>2656.9999999999968</v>
      </c>
      <c r="BW352" s="78">
        <v>689</v>
      </c>
      <c r="BX352" s="78">
        <v>8147.6822766929799</v>
      </c>
      <c r="BY352" s="402">
        <v>2.0150000000000001</v>
      </c>
      <c r="BZ352" s="78">
        <v>34251</v>
      </c>
      <c r="CA352" s="78">
        <v>5379</v>
      </c>
      <c r="CB352" s="78">
        <v>912</v>
      </c>
      <c r="CC352" s="78">
        <v>1042</v>
      </c>
      <c r="CD352" s="78">
        <v>952</v>
      </c>
      <c r="CE352" s="78">
        <v>469</v>
      </c>
      <c r="CF352" s="78">
        <v>645.12604990245404</v>
      </c>
      <c r="CG352" s="78">
        <v>405.18162028955697</v>
      </c>
      <c r="CH352" s="78">
        <v>128.18400246431901</v>
      </c>
      <c r="CI352" s="78">
        <v>1538.0274999999999</v>
      </c>
      <c r="CJ352" s="78">
        <v>965.98249999999996</v>
      </c>
      <c r="CK352" s="78">
        <v>305.60000000000002</v>
      </c>
      <c r="CL352" s="78">
        <v>100577</v>
      </c>
    </row>
    <row r="353" spans="1:90" customFormat="1" x14ac:dyDescent="0.35">
      <c r="A353" s="72">
        <v>986</v>
      </c>
      <c r="B353" s="72" t="s">
        <v>321</v>
      </c>
      <c r="C353" s="72">
        <v>11</v>
      </c>
      <c r="D353" s="78">
        <v>1150800000</v>
      </c>
      <c r="E353" s="78">
        <v>79100000</v>
      </c>
      <c r="F353" s="78">
        <v>88200000</v>
      </c>
      <c r="G353" s="78">
        <v>12475</v>
      </c>
      <c r="H353" s="78">
        <v>3</v>
      </c>
      <c r="I353" s="78">
        <f t="shared" si="17"/>
        <v>88.2</v>
      </c>
      <c r="J353" s="78">
        <v>2107</v>
      </c>
      <c r="K353" s="78">
        <v>3371</v>
      </c>
      <c r="L353" s="78">
        <v>1163</v>
      </c>
      <c r="M353" s="78">
        <v>1429</v>
      </c>
      <c r="N353" s="78">
        <f t="shared" si="18"/>
        <v>837.69999999999993</v>
      </c>
      <c r="O353" s="78">
        <v>117</v>
      </c>
      <c r="P353" s="78">
        <v>12</v>
      </c>
      <c r="Q353" s="78">
        <v>794</v>
      </c>
      <c r="R353" s="78">
        <v>1625</v>
      </c>
      <c r="S353" s="78">
        <v>205</v>
      </c>
      <c r="T353" s="78">
        <v>0</v>
      </c>
      <c r="U353" s="78">
        <v>376</v>
      </c>
      <c r="V353" s="78">
        <v>5706</v>
      </c>
      <c r="W353" s="78">
        <v>8250</v>
      </c>
      <c r="X353" s="78">
        <v>1120</v>
      </c>
      <c r="Y353" s="78">
        <v>0</v>
      </c>
      <c r="Z353" s="78">
        <v>0</v>
      </c>
      <c r="AA353" s="78">
        <v>0</v>
      </c>
      <c r="AB353" s="399">
        <v>0</v>
      </c>
      <c r="AC353" s="399">
        <v>0</v>
      </c>
      <c r="AD353" s="78">
        <v>3150</v>
      </c>
      <c r="AE353" s="78">
        <v>3150</v>
      </c>
      <c r="AF353" s="78">
        <v>2</v>
      </c>
      <c r="AG353" s="78">
        <v>0</v>
      </c>
      <c r="AH353" s="78">
        <v>77</v>
      </c>
      <c r="AI353" s="78">
        <v>11</v>
      </c>
      <c r="AJ353" s="78">
        <v>77</v>
      </c>
      <c r="AK353" s="78">
        <v>11</v>
      </c>
      <c r="AL353" s="78">
        <v>88</v>
      </c>
      <c r="AM353" s="78">
        <v>5913</v>
      </c>
      <c r="AN353" s="78">
        <v>5913</v>
      </c>
      <c r="AO353" s="78">
        <v>0</v>
      </c>
      <c r="AP353" s="78">
        <v>0</v>
      </c>
      <c r="AQ353" s="78">
        <v>0</v>
      </c>
      <c r="AR353" s="78">
        <v>0</v>
      </c>
      <c r="AS353" s="78">
        <v>0</v>
      </c>
      <c r="AT353" s="78">
        <v>0</v>
      </c>
      <c r="AU353" s="400">
        <v>3.0101100000000001E-4</v>
      </c>
      <c r="AV353" s="400">
        <v>1.2288699999999999E-4</v>
      </c>
      <c r="AW353" s="78">
        <v>3234.4110000000001</v>
      </c>
      <c r="AX353" s="78">
        <v>0</v>
      </c>
      <c r="AY353" s="78">
        <v>100</v>
      </c>
      <c r="AZ353" s="78">
        <v>395.78045685279199</v>
      </c>
      <c r="BA353" s="78">
        <v>6</v>
      </c>
      <c r="BB353" s="78">
        <v>6</v>
      </c>
      <c r="BC353" s="78">
        <v>1238</v>
      </c>
      <c r="BD353" s="78">
        <v>1</v>
      </c>
      <c r="BE353" s="78">
        <v>0</v>
      </c>
      <c r="BF353" s="78">
        <v>0</v>
      </c>
      <c r="BG353" s="78">
        <v>0</v>
      </c>
      <c r="BH353" s="78">
        <v>0</v>
      </c>
      <c r="BI353" s="78">
        <v>0</v>
      </c>
      <c r="BJ353" s="78">
        <v>0</v>
      </c>
      <c r="BK353" s="78">
        <v>0</v>
      </c>
      <c r="BL353" s="78">
        <v>0</v>
      </c>
      <c r="BM353" s="78">
        <v>246.51900000000001</v>
      </c>
      <c r="BN353" s="78">
        <v>5</v>
      </c>
      <c r="BO353" s="78">
        <v>8</v>
      </c>
      <c r="BP353" s="78">
        <v>4147.7</v>
      </c>
      <c r="BQ353" s="78">
        <v>839.04</v>
      </c>
      <c r="BR353" s="78">
        <v>61.103000000000002</v>
      </c>
      <c r="BS353" s="78">
        <v>125</v>
      </c>
      <c r="BT353" s="78">
        <v>42</v>
      </c>
      <c r="BU353" s="78">
        <v>27</v>
      </c>
      <c r="BV353" s="78">
        <f t="shared" si="19"/>
        <v>677</v>
      </c>
      <c r="BW353" s="78">
        <v>108</v>
      </c>
      <c r="BX353" s="78">
        <v>2439.2572277545801</v>
      </c>
      <c r="BY353" s="402">
        <v>0.111</v>
      </c>
      <c r="BZ353" s="78">
        <v>9104</v>
      </c>
      <c r="CA353" s="78">
        <v>1842</v>
      </c>
      <c r="CB353" s="78">
        <v>366</v>
      </c>
      <c r="CC353" s="78">
        <v>353</v>
      </c>
      <c r="CD353" s="78">
        <v>334</v>
      </c>
      <c r="CE353" s="78">
        <v>173</v>
      </c>
      <c r="CF353" s="78">
        <v>161.36314899374301</v>
      </c>
      <c r="CG353" s="78">
        <v>109.93661423981099</v>
      </c>
      <c r="CH353" s="78">
        <v>34.709369186538098</v>
      </c>
      <c r="CI353" s="78">
        <v>452.18299999999999</v>
      </c>
      <c r="CJ353" s="78">
        <v>308.072</v>
      </c>
      <c r="CK353" s="78">
        <v>97.265000000000001</v>
      </c>
      <c r="CL353" s="78">
        <v>0</v>
      </c>
    </row>
    <row r="354" spans="1:90" customFormat="1" x14ac:dyDescent="0.35">
      <c r="A354" s="72">
        <v>988</v>
      </c>
      <c r="B354" s="72" t="s">
        <v>332</v>
      </c>
      <c r="C354" s="72">
        <v>11</v>
      </c>
      <c r="D354" s="78">
        <v>4592000000</v>
      </c>
      <c r="E354" s="78">
        <v>855050000</v>
      </c>
      <c r="F354" s="78">
        <v>887950000</v>
      </c>
      <c r="G354" s="78">
        <v>50105</v>
      </c>
      <c r="H354" s="78">
        <v>3</v>
      </c>
      <c r="I354" s="78">
        <f t="shared" si="17"/>
        <v>887.95</v>
      </c>
      <c r="J354" s="78">
        <v>8532</v>
      </c>
      <c r="K354" s="78">
        <v>11729</v>
      </c>
      <c r="L354" s="78">
        <v>4073</v>
      </c>
      <c r="M354" s="78">
        <v>7300</v>
      </c>
      <c r="N354" s="78">
        <f t="shared" si="18"/>
        <v>4932.3999999999996</v>
      </c>
      <c r="O354" s="78">
        <v>906.33333333333303</v>
      </c>
      <c r="P354" s="78">
        <v>71</v>
      </c>
      <c r="Q354" s="78">
        <v>3853.3333333333298</v>
      </c>
      <c r="R354" s="78">
        <v>8103</v>
      </c>
      <c r="S354" s="78">
        <v>3730</v>
      </c>
      <c r="T354" s="78">
        <v>0</v>
      </c>
      <c r="U354" s="78">
        <v>1475</v>
      </c>
      <c r="V354" s="78">
        <v>23718</v>
      </c>
      <c r="W354" s="78">
        <v>54490</v>
      </c>
      <c r="X354" s="78">
        <v>55040</v>
      </c>
      <c r="Y354" s="78">
        <v>972.42</v>
      </c>
      <c r="Z354" s="78">
        <v>2714.4</v>
      </c>
      <c r="AA354" s="78">
        <v>0</v>
      </c>
      <c r="AB354" s="399">
        <v>0</v>
      </c>
      <c r="AC354" s="399">
        <v>0</v>
      </c>
      <c r="AD354" s="78">
        <v>10414</v>
      </c>
      <c r="AE354" s="78">
        <v>10414</v>
      </c>
      <c r="AF354" s="78">
        <v>140</v>
      </c>
      <c r="AG354" s="78">
        <v>0</v>
      </c>
      <c r="AH354" s="78">
        <v>327</v>
      </c>
      <c r="AI354" s="78">
        <v>137</v>
      </c>
      <c r="AJ354" s="78">
        <v>327</v>
      </c>
      <c r="AK354" s="78">
        <v>137</v>
      </c>
      <c r="AL354" s="78">
        <v>464</v>
      </c>
      <c r="AM354" s="78">
        <v>23676</v>
      </c>
      <c r="AN354" s="78">
        <v>23676</v>
      </c>
      <c r="AO354" s="78">
        <v>13</v>
      </c>
      <c r="AP354" s="78">
        <v>0</v>
      </c>
      <c r="AQ354" s="78">
        <v>0</v>
      </c>
      <c r="AR354" s="78">
        <v>0</v>
      </c>
      <c r="AS354" s="78">
        <v>1312</v>
      </c>
      <c r="AT354" s="78">
        <v>1312</v>
      </c>
      <c r="AU354" s="400">
        <v>8.3736300000000004E-4</v>
      </c>
      <c r="AV354" s="400">
        <v>1.3613239999999999E-3</v>
      </c>
      <c r="AW354" s="78">
        <v>31489.08</v>
      </c>
      <c r="AX354" s="78">
        <v>0</v>
      </c>
      <c r="AY354" s="78">
        <v>1451</v>
      </c>
      <c r="AZ354" s="78">
        <v>6888.6066894068599</v>
      </c>
      <c r="BA354" s="78">
        <v>8</v>
      </c>
      <c r="BB354" s="78">
        <v>8</v>
      </c>
      <c r="BC354" s="78">
        <v>5240</v>
      </c>
      <c r="BD354" s="78">
        <v>1</v>
      </c>
      <c r="BE354" s="78">
        <v>0</v>
      </c>
      <c r="BF354" s="78">
        <v>0</v>
      </c>
      <c r="BG354" s="78">
        <v>0</v>
      </c>
      <c r="BH354" s="78">
        <v>0</v>
      </c>
      <c r="BI354" s="78">
        <v>0</v>
      </c>
      <c r="BJ354" s="78">
        <v>0</v>
      </c>
      <c r="BK354" s="78">
        <v>0</v>
      </c>
      <c r="BL354" s="78">
        <v>0</v>
      </c>
      <c r="BM354" s="78">
        <v>1040.904</v>
      </c>
      <c r="BN354" s="78">
        <v>96</v>
      </c>
      <c r="BO354" s="78">
        <v>197</v>
      </c>
      <c r="BP354" s="78">
        <v>14773.85</v>
      </c>
      <c r="BQ354" s="78">
        <v>3147.95</v>
      </c>
      <c r="BR354" s="78">
        <v>281.98579441797102</v>
      </c>
      <c r="BS354" s="78">
        <v>554</v>
      </c>
      <c r="BT354" s="78">
        <v>244</v>
      </c>
      <c r="BU354" s="78">
        <v>185.666666666667</v>
      </c>
      <c r="BV354" s="78">
        <f t="shared" si="19"/>
        <v>2946.9999999999968</v>
      </c>
      <c r="BW354" s="78">
        <v>643</v>
      </c>
      <c r="BX354" s="78">
        <v>9399.2966935516197</v>
      </c>
      <c r="BY354" s="402">
        <v>1.887</v>
      </c>
      <c r="BZ354" s="78">
        <v>38376</v>
      </c>
      <c r="CA354" s="78">
        <v>6329</v>
      </c>
      <c r="CB354" s="78">
        <v>1327</v>
      </c>
      <c r="CC354" s="78">
        <v>1397</v>
      </c>
      <c r="CD354" s="78">
        <v>1351</v>
      </c>
      <c r="CE354" s="78">
        <v>645</v>
      </c>
      <c r="CF354" s="78">
        <v>821.02502111843205</v>
      </c>
      <c r="CG354" s="78">
        <v>566.44684912992102</v>
      </c>
      <c r="CH354" s="78">
        <v>186.87121135326899</v>
      </c>
      <c r="CI354" s="78">
        <v>1865.2753</v>
      </c>
      <c r="CJ354" s="78">
        <v>1286.9027000000001</v>
      </c>
      <c r="CK354" s="78">
        <v>424.55009999999999</v>
      </c>
      <c r="CL354" s="78">
        <v>33835</v>
      </c>
    </row>
    <row r="355" spans="1:90" customFormat="1" x14ac:dyDescent="0.35">
      <c r="A355" s="72">
        <v>34</v>
      </c>
      <c r="B355" s="72" t="s">
        <v>19</v>
      </c>
      <c r="C355" s="72">
        <v>12</v>
      </c>
      <c r="D355" s="78">
        <v>17394400000</v>
      </c>
      <c r="E355" s="78">
        <v>2484300000</v>
      </c>
      <c r="F355" s="78">
        <v>2512650000</v>
      </c>
      <c r="G355" s="78">
        <v>211893</v>
      </c>
      <c r="H355" s="78">
        <v>3</v>
      </c>
      <c r="I355" s="78">
        <f t="shared" si="17"/>
        <v>2512.65</v>
      </c>
      <c r="J355" s="78">
        <v>47876</v>
      </c>
      <c r="K355" s="78">
        <v>24891</v>
      </c>
      <c r="L355" s="78">
        <v>6113</v>
      </c>
      <c r="M355" s="78">
        <v>24554</v>
      </c>
      <c r="N355" s="78">
        <f t="shared" si="18"/>
        <v>15900.5</v>
      </c>
      <c r="O355" s="78">
        <v>5659.3333333333303</v>
      </c>
      <c r="P355" s="78">
        <v>291</v>
      </c>
      <c r="Q355" s="78">
        <v>16437.333333333299</v>
      </c>
      <c r="R355" s="78">
        <v>28774</v>
      </c>
      <c r="S355" s="78">
        <v>45205</v>
      </c>
      <c r="T355" s="78">
        <v>2826.3999999999901</v>
      </c>
      <c r="U355" s="78">
        <v>10658</v>
      </c>
      <c r="V355" s="78">
        <v>91720</v>
      </c>
      <c r="W355" s="78">
        <v>220710</v>
      </c>
      <c r="X355" s="78">
        <v>282780</v>
      </c>
      <c r="Y355" s="78">
        <v>5514.86</v>
      </c>
      <c r="Z355" s="78">
        <v>10132</v>
      </c>
      <c r="AA355" s="78">
        <v>0</v>
      </c>
      <c r="AB355" s="399">
        <v>0</v>
      </c>
      <c r="AC355" s="399">
        <v>0</v>
      </c>
      <c r="AD355" s="78">
        <v>12905</v>
      </c>
      <c r="AE355" s="78">
        <v>15873.15</v>
      </c>
      <c r="AF355" s="78">
        <v>2091</v>
      </c>
      <c r="AG355" s="78">
        <v>9881</v>
      </c>
      <c r="AH355" s="78">
        <v>748</v>
      </c>
      <c r="AI355" s="78">
        <v>64</v>
      </c>
      <c r="AJ355" s="78">
        <v>957.44</v>
      </c>
      <c r="AK355" s="78">
        <v>76.8</v>
      </c>
      <c r="AL355" s="78">
        <v>812</v>
      </c>
      <c r="AM355" s="78">
        <v>86535</v>
      </c>
      <c r="AN355" s="78">
        <v>110764.8</v>
      </c>
      <c r="AO355" s="78">
        <v>0</v>
      </c>
      <c r="AP355" s="78">
        <v>0</v>
      </c>
      <c r="AQ355" s="78">
        <v>0</v>
      </c>
      <c r="AR355" s="78">
        <v>0</v>
      </c>
      <c r="AS355" s="78">
        <v>0</v>
      </c>
      <c r="AT355" s="78">
        <v>0</v>
      </c>
      <c r="AU355" s="400">
        <v>0</v>
      </c>
      <c r="AV355" s="400">
        <v>2.6008800000000001E-4</v>
      </c>
      <c r="AW355" s="78">
        <v>139580.95499999999</v>
      </c>
      <c r="AX355" s="78">
        <v>0</v>
      </c>
      <c r="AY355" s="78">
        <v>7399.68</v>
      </c>
      <c r="AZ355" s="78">
        <v>192360.297447319</v>
      </c>
      <c r="BA355" s="78">
        <v>6</v>
      </c>
      <c r="BB355" s="78">
        <v>7.2</v>
      </c>
      <c r="BC355" s="78">
        <v>23020</v>
      </c>
      <c r="BD355" s="78">
        <v>1</v>
      </c>
      <c r="BE355" s="78">
        <v>0</v>
      </c>
      <c r="BF355" s="78">
        <v>0</v>
      </c>
      <c r="BG355" s="78">
        <v>0</v>
      </c>
      <c r="BH355" s="78">
        <v>0</v>
      </c>
      <c r="BI355" s="78">
        <v>0</v>
      </c>
      <c r="BJ355" s="78">
        <v>0</v>
      </c>
      <c r="BK355" s="78">
        <v>0</v>
      </c>
      <c r="BL355" s="78">
        <v>0</v>
      </c>
      <c r="BM355" s="78">
        <v>7899.54</v>
      </c>
      <c r="BN355" s="78">
        <v>741</v>
      </c>
      <c r="BO355" s="78">
        <v>695</v>
      </c>
      <c r="BP355" s="78">
        <v>58057.35</v>
      </c>
      <c r="BQ355" s="78">
        <v>15937.82</v>
      </c>
      <c r="BR355" s="78">
        <v>1288.19841860465</v>
      </c>
      <c r="BS355" s="78">
        <v>4694</v>
      </c>
      <c r="BT355" s="78">
        <v>1918.6666666666699</v>
      </c>
      <c r="BU355" s="78">
        <v>1823.3333333333301</v>
      </c>
      <c r="BV355" s="78">
        <f t="shared" si="19"/>
        <v>10777.999999999969</v>
      </c>
      <c r="BW355" s="78">
        <v>2427</v>
      </c>
      <c r="BX355" s="78">
        <v>24532.354809719898</v>
      </c>
      <c r="BY355" s="402">
        <v>12.682</v>
      </c>
      <c r="BZ355" s="78">
        <v>187002</v>
      </c>
      <c r="CA355" s="78">
        <v>16747</v>
      </c>
      <c r="CB355" s="78">
        <v>2031</v>
      </c>
      <c r="CC355" s="78">
        <v>3975</v>
      </c>
      <c r="CD355" s="78">
        <v>2230</v>
      </c>
      <c r="CE355" s="78">
        <v>1065</v>
      </c>
      <c r="CF355" s="78">
        <v>1923.0904605073099</v>
      </c>
      <c r="CG355" s="78">
        <v>763.83403825041898</v>
      </c>
      <c r="CH355" s="78">
        <v>268.82107239845101</v>
      </c>
      <c r="CI355" s="78">
        <v>4953.5577999999996</v>
      </c>
      <c r="CJ355" s="78">
        <v>1967.5081</v>
      </c>
      <c r="CK355" s="78">
        <v>692.43790000000001</v>
      </c>
      <c r="CL355" s="78">
        <v>58427</v>
      </c>
    </row>
    <row r="356" spans="1:90" customFormat="1" x14ac:dyDescent="0.35">
      <c r="A356" s="72">
        <v>303</v>
      </c>
      <c r="B356" s="72" t="s">
        <v>93</v>
      </c>
      <c r="C356" s="72">
        <v>12</v>
      </c>
      <c r="D356" s="78">
        <v>3185600000</v>
      </c>
      <c r="E356" s="78">
        <v>694400000</v>
      </c>
      <c r="F356" s="78">
        <v>777700000</v>
      </c>
      <c r="G356" s="78">
        <v>41555</v>
      </c>
      <c r="H356" s="78">
        <v>3</v>
      </c>
      <c r="I356" s="78">
        <f t="shared" si="17"/>
        <v>777.7</v>
      </c>
      <c r="J356" s="78">
        <v>8657</v>
      </c>
      <c r="K356" s="78">
        <v>7455</v>
      </c>
      <c r="L356" s="78">
        <v>2313</v>
      </c>
      <c r="M356" s="78">
        <v>4495</v>
      </c>
      <c r="N356" s="78">
        <f t="shared" si="18"/>
        <v>2634.2</v>
      </c>
      <c r="O356" s="78">
        <v>643.33333333333303</v>
      </c>
      <c r="P356" s="78">
        <v>42</v>
      </c>
      <c r="Q356" s="78">
        <v>2561.3333333333298</v>
      </c>
      <c r="R356" s="78">
        <v>5323</v>
      </c>
      <c r="S356" s="78">
        <v>2115</v>
      </c>
      <c r="T356" s="78">
        <v>0</v>
      </c>
      <c r="U356" s="78">
        <v>1163</v>
      </c>
      <c r="V356" s="78">
        <v>18479</v>
      </c>
      <c r="W356" s="78">
        <v>39570</v>
      </c>
      <c r="X356" s="78">
        <v>23930</v>
      </c>
      <c r="Y356" s="78">
        <v>397.98</v>
      </c>
      <c r="Z356" s="78">
        <v>1828.8</v>
      </c>
      <c r="AA356" s="78">
        <v>0</v>
      </c>
      <c r="AB356" s="399">
        <v>0</v>
      </c>
      <c r="AC356" s="399">
        <v>0</v>
      </c>
      <c r="AD356" s="78">
        <v>33362</v>
      </c>
      <c r="AE356" s="78">
        <v>34029.24</v>
      </c>
      <c r="AF356" s="78">
        <v>5766</v>
      </c>
      <c r="AG356" s="78">
        <v>3261</v>
      </c>
      <c r="AH356" s="78">
        <v>243</v>
      </c>
      <c r="AI356" s="78">
        <v>157</v>
      </c>
      <c r="AJ356" s="78">
        <v>243</v>
      </c>
      <c r="AK356" s="78">
        <v>160.13999999999999</v>
      </c>
      <c r="AL356" s="78">
        <v>400</v>
      </c>
      <c r="AM356" s="78">
        <v>18608</v>
      </c>
      <c r="AN356" s="78">
        <v>18608</v>
      </c>
      <c r="AO356" s="78">
        <v>0</v>
      </c>
      <c r="AP356" s="78">
        <v>0</v>
      </c>
      <c r="AQ356" s="78">
        <v>0</v>
      </c>
      <c r="AR356" s="78">
        <v>0</v>
      </c>
      <c r="AS356" s="78">
        <v>0</v>
      </c>
      <c r="AT356" s="78">
        <v>0</v>
      </c>
      <c r="AU356" s="400">
        <v>0</v>
      </c>
      <c r="AV356" s="400">
        <v>1.8053899999999999E-4</v>
      </c>
      <c r="AW356" s="78">
        <v>14272.335999999999</v>
      </c>
      <c r="AX356" s="78">
        <v>0</v>
      </c>
      <c r="AY356" s="78">
        <v>7450.08</v>
      </c>
      <c r="AZ356" s="78">
        <v>8375.8261398486993</v>
      </c>
      <c r="BA356" s="78">
        <v>12</v>
      </c>
      <c r="BB356" s="78">
        <v>12.24</v>
      </c>
      <c r="BC356" s="78">
        <v>4664</v>
      </c>
      <c r="BD356" s="78">
        <v>1</v>
      </c>
      <c r="BE356" s="78">
        <v>0</v>
      </c>
      <c r="BF356" s="78">
        <v>0</v>
      </c>
      <c r="BG356" s="78">
        <v>0</v>
      </c>
      <c r="BH356" s="78">
        <v>0</v>
      </c>
      <c r="BI356" s="78">
        <v>0</v>
      </c>
      <c r="BJ356" s="78">
        <v>0</v>
      </c>
      <c r="BK356" s="78">
        <v>0</v>
      </c>
      <c r="BL356" s="78">
        <v>0</v>
      </c>
      <c r="BM356" s="78">
        <v>1004.212</v>
      </c>
      <c r="BN356" s="78">
        <v>199</v>
      </c>
      <c r="BO356" s="78">
        <v>144</v>
      </c>
      <c r="BP356" s="78">
        <v>11220.48</v>
      </c>
      <c r="BQ356" s="78">
        <v>2834.64</v>
      </c>
      <c r="BR356" s="78">
        <v>386.72240298507501</v>
      </c>
      <c r="BS356" s="78">
        <v>530</v>
      </c>
      <c r="BT356" s="78">
        <v>187.666666666667</v>
      </c>
      <c r="BU356" s="78">
        <v>153</v>
      </c>
      <c r="BV356" s="78">
        <f t="shared" si="19"/>
        <v>1917.9999999999968</v>
      </c>
      <c r="BW356" s="78">
        <v>587</v>
      </c>
      <c r="BX356" s="78">
        <v>6442.9339948548304</v>
      </c>
      <c r="BY356" s="402">
        <v>1.1459999999999999</v>
      </c>
      <c r="BZ356" s="78">
        <v>34100</v>
      </c>
      <c r="CA356" s="78">
        <v>4261</v>
      </c>
      <c r="CB356" s="78">
        <v>881</v>
      </c>
      <c r="CC356" s="78">
        <v>773</v>
      </c>
      <c r="CD356" s="78">
        <v>658</v>
      </c>
      <c r="CE356" s="78">
        <v>467</v>
      </c>
      <c r="CF356" s="78">
        <v>361.55131126397202</v>
      </c>
      <c r="CG356" s="78">
        <v>214.89228288908001</v>
      </c>
      <c r="CH356" s="78">
        <v>92.015799656061901</v>
      </c>
      <c r="CI356" s="78">
        <v>1157.2174</v>
      </c>
      <c r="CJ356" s="78">
        <v>687.80579999999998</v>
      </c>
      <c r="CK356" s="78">
        <v>294.51499999999999</v>
      </c>
      <c r="CL356" s="78">
        <v>17428</v>
      </c>
    </row>
    <row r="357" spans="1:90" customFormat="1" x14ac:dyDescent="0.35">
      <c r="A357" s="72">
        <v>995</v>
      </c>
      <c r="B357" s="72" t="s">
        <v>182</v>
      </c>
      <c r="C357" s="72">
        <v>12</v>
      </c>
      <c r="D357" s="78">
        <v>5566800000</v>
      </c>
      <c r="E357" s="78">
        <v>1261050000</v>
      </c>
      <c r="F357" s="78">
        <v>1314950000</v>
      </c>
      <c r="G357" s="78">
        <v>78598</v>
      </c>
      <c r="H357" s="78">
        <v>1</v>
      </c>
      <c r="I357" s="78">
        <f t="shared" si="17"/>
        <v>1314.95</v>
      </c>
      <c r="J357" s="78">
        <v>17095</v>
      </c>
      <c r="K357" s="78">
        <v>13963</v>
      </c>
      <c r="L357" s="78">
        <v>3671</v>
      </c>
      <c r="M357" s="78">
        <v>11112</v>
      </c>
      <c r="N357" s="78">
        <f t="shared" si="18"/>
        <v>7718.5</v>
      </c>
      <c r="O357" s="78">
        <v>2154</v>
      </c>
      <c r="P357" s="78">
        <v>116</v>
      </c>
      <c r="Q357" s="78">
        <v>7168</v>
      </c>
      <c r="R357" s="78">
        <v>11788</v>
      </c>
      <c r="S357" s="78">
        <v>12160</v>
      </c>
      <c r="T357" s="78">
        <v>0</v>
      </c>
      <c r="U357" s="78">
        <v>3530</v>
      </c>
      <c r="V357" s="78">
        <v>35310</v>
      </c>
      <c r="W357" s="78">
        <v>79640</v>
      </c>
      <c r="X357" s="78">
        <v>86420</v>
      </c>
      <c r="Y357" s="78">
        <v>3858.96</v>
      </c>
      <c r="Z357" s="78">
        <v>2828.8</v>
      </c>
      <c r="AA357" s="78">
        <v>0</v>
      </c>
      <c r="AB357" s="399">
        <v>0</v>
      </c>
      <c r="AC357" s="399">
        <v>0</v>
      </c>
      <c r="AD357" s="78">
        <v>23008</v>
      </c>
      <c r="AE357" s="78">
        <v>25768.959999999999</v>
      </c>
      <c r="AF357" s="78">
        <v>3440</v>
      </c>
      <c r="AG357" s="78">
        <v>10000</v>
      </c>
      <c r="AH357" s="78">
        <v>351</v>
      </c>
      <c r="AI357" s="78">
        <v>114</v>
      </c>
      <c r="AJ357" s="78">
        <v>417.69</v>
      </c>
      <c r="AK357" s="78">
        <v>126.54</v>
      </c>
      <c r="AL357" s="78">
        <v>465</v>
      </c>
      <c r="AM357" s="78">
        <v>33935</v>
      </c>
      <c r="AN357" s="78">
        <v>40382.65</v>
      </c>
      <c r="AO357" s="78">
        <v>0</v>
      </c>
      <c r="AP357" s="78">
        <v>0</v>
      </c>
      <c r="AQ357" s="78">
        <v>0</v>
      </c>
      <c r="AR357" s="78">
        <v>0</v>
      </c>
      <c r="AS357" s="78">
        <v>0</v>
      </c>
      <c r="AT357" s="78">
        <v>0</v>
      </c>
      <c r="AU357" s="400">
        <v>1.6395000000000001E-5</v>
      </c>
      <c r="AV357" s="400">
        <v>8.1816699999999996E-4</v>
      </c>
      <c r="AW357" s="78">
        <v>46626.69</v>
      </c>
      <c r="AX357" s="78">
        <v>0</v>
      </c>
      <c r="AY357" s="78">
        <v>10912.16</v>
      </c>
      <c r="AZ357" s="78">
        <v>49350.3195523291</v>
      </c>
      <c r="BA357" s="78">
        <v>6</v>
      </c>
      <c r="BB357" s="78">
        <v>6.66</v>
      </c>
      <c r="BC357" s="78">
        <v>8237</v>
      </c>
      <c r="BD357" s="78">
        <v>1</v>
      </c>
      <c r="BE357" s="78">
        <v>0</v>
      </c>
      <c r="BF357" s="78">
        <v>0</v>
      </c>
      <c r="BG357" s="78">
        <v>0</v>
      </c>
      <c r="BH357" s="78">
        <v>0</v>
      </c>
      <c r="BI357" s="78">
        <v>0</v>
      </c>
      <c r="BJ357" s="78">
        <v>0</v>
      </c>
      <c r="BK357" s="78">
        <v>0</v>
      </c>
      <c r="BL357" s="78">
        <v>0</v>
      </c>
      <c r="BM357" s="78">
        <v>3128.3850000000002</v>
      </c>
      <c r="BN357" s="78">
        <v>423</v>
      </c>
      <c r="BO357" s="78">
        <v>361</v>
      </c>
      <c r="BP357" s="78">
        <v>20602.8</v>
      </c>
      <c r="BQ357" s="78">
        <v>5012.21</v>
      </c>
      <c r="BR357" s="78">
        <v>638.96638818662404</v>
      </c>
      <c r="BS357" s="78">
        <v>1497</v>
      </c>
      <c r="BT357" s="78">
        <v>691.33333333333303</v>
      </c>
      <c r="BU357" s="78">
        <v>636.33333333333303</v>
      </c>
      <c r="BV357" s="78">
        <f t="shared" si="19"/>
        <v>5014</v>
      </c>
      <c r="BW357" s="78">
        <v>1429</v>
      </c>
      <c r="BX357" s="78">
        <v>12197.2455589077</v>
      </c>
      <c r="BY357" s="402">
        <v>5.5229999999999997</v>
      </c>
      <c r="BZ357" s="78">
        <v>64635</v>
      </c>
      <c r="CA357" s="78">
        <v>9324</v>
      </c>
      <c r="CB357" s="78">
        <v>968</v>
      </c>
      <c r="CC357" s="78">
        <v>2251</v>
      </c>
      <c r="CD357" s="78">
        <v>1182</v>
      </c>
      <c r="CE357" s="78">
        <v>476</v>
      </c>
      <c r="CF357" s="78">
        <v>1346.95615146604</v>
      </c>
      <c r="CG357" s="78">
        <v>552.020023574481</v>
      </c>
      <c r="CH357" s="78">
        <v>151.48139089435699</v>
      </c>
      <c r="CI357" s="78">
        <v>3138.66</v>
      </c>
      <c r="CJ357" s="78">
        <v>1286.31</v>
      </c>
      <c r="CK357" s="78">
        <v>352.98</v>
      </c>
      <c r="CL357" s="78">
        <v>32114</v>
      </c>
    </row>
    <row r="358" spans="1:90" customFormat="1" x14ac:dyDescent="0.35">
      <c r="A358" s="72">
        <v>171</v>
      </c>
      <c r="B358" s="72" t="s">
        <v>220</v>
      </c>
      <c r="C358" s="72">
        <v>12</v>
      </c>
      <c r="D358" s="78">
        <v>3141200000</v>
      </c>
      <c r="E358" s="78">
        <v>1129450000</v>
      </c>
      <c r="F358" s="78">
        <v>1265250000</v>
      </c>
      <c r="G358" s="78">
        <v>47291</v>
      </c>
      <c r="H358" s="78">
        <v>5</v>
      </c>
      <c r="I358" s="78">
        <f t="shared" si="17"/>
        <v>1265.25</v>
      </c>
      <c r="J358" s="78">
        <v>10675</v>
      </c>
      <c r="K358" s="78">
        <v>8435</v>
      </c>
      <c r="L358" s="78">
        <v>2555</v>
      </c>
      <c r="M358" s="78">
        <v>5875</v>
      </c>
      <c r="N358" s="78">
        <f t="shared" si="18"/>
        <v>3844.7</v>
      </c>
      <c r="O358" s="78">
        <v>882</v>
      </c>
      <c r="P358" s="78">
        <v>85</v>
      </c>
      <c r="Q358" s="78">
        <v>3086</v>
      </c>
      <c r="R358" s="78">
        <v>5963</v>
      </c>
      <c r="S358" s="78">
        <v>2000</v>
      </c>
      <c r="T358" s="78">
        <v>0</v>
      </c>
      <c r="U358" s="78">
        <v>1255</v>
      </c>
      <c r="V358" s="78">
        <v>20747</v>
      </c>
      <c r="W358" s="78">
        <v>45500</v>
      </c>
      <c r="X358" s="78">
        <v>35380</v>
      </c>
      <c r="Y358" s="78">
        <v>1811.36</v>
      </c>
      <c r="Z358" s="78">
        <v>2500.8000000000002</v>
      </c>
      <c r="AA358" s="78">
        <v>0</v>
      </c>
      <c r="AB358" s="399">
        <v>0</v>
      </c>
      <c r="AC358" s="399">
        <v>0</v>
      </c>
      <c r="AD358" s="78">
        <v>45798</v>
      </c>
      <c r="AE358" s="78">
        <v>46713.96</v>
      </c>
      <c r="AF358" s="78">
        <v>2912</v>
      </c>
      <c r="AG358" s="78">
        <v>10000</v>
      </c>
      <c r="AH358" s="78">
        <v>250</v>
      </c>
      <c r="AI358" s="78">
        <v>340</v>
      </c>
      <c r="AJ358" s="78">
        <v>252.5</v>
      </c>
      <c r="AK358" s="78">
        <v>346.8</v>
      </c>
      <c r="AL358" s="78">
        <v>590</v>
      </c>
      <c r="AM358" s="78">
        <v>20303</v>
      </c>
      <c r="AN358" s="78">
        <v>20506.03</v>
      </c>
      <c r="AO358" s="78">
        <v>0</v>
      </c>
      <c r="AP358" s="78">
        <v>0</v>
      </c>
      <c r="AQ358" s="78">
        <v>0</v>
      </c>
      <c r="AR358" s="78">
        <v>0</v>
      </c>
      <c r="AS358" s="78">
        <v>0</v>
      </c>
      <c r="AT358" s="78">
        <v>0</v>
      </c>
      <c r="AU358" s="400">
        <v>3.4313999999999997E-5</v>
      </c>
      <c r="AV358" s="400">
        <v>8.75901E-4</v>
      </c>
      <c r="AW358" s="78">
        <v>15044.522999999999</v>
      </c>
      <c r="AX358" s="78">
        <v>0</v>
      </c>
      <c r="AY358" s="78">
        <v>9401.34</v>
      </c>
      <c r="AZ358" s="78">
        <v>9781.0525793471606</v>
      </c>
      <c r="BA358" s="78">
        <v>15</v>
      </c>
      <c r="BB358" s="78">
        <v>15.3</v>
      </c>
      <c r="BC358" s="78">
        <v>5880</v>
      </c>
      <c r="BD358" s="78">
        <v>1</v>
      </c>
      <c r="BE358" s="78">
        <v>0</v>
      </c>
      <c r="BF358" s="78">
        <v>0</v>
      </c>
      <c r="BG358" s="78">
        <v>0</v>
      </c>
      <c r="BH358" s="78">
        <v>0</v>
      </c>
      <c r="BI358" s="78">
        <v>0</v>
      </c>
      <c r="BJ358" s="78">
        <v>0</v>
      </c>
      <c r="BK358" s="78">
        <v>0</v>
      </c>
      <c r="BL358" s="78">
        <v>0</v>
      </c>
      <c r="BM358" s="78">
        <v>1227.625</v>
      </c>
      <c r="BN358" s="78">
        <v>211</v>
      </c>
      <c r="BO358" s="78">
        <v>262</v>
      </c>
      <c r="BP358" s="78">
        <v>12041.64</v>
      </c>
      <c r="BQ358" s="78">
        <v>3095.1</v>
      </c>
      <c r="BR358" s="78">
        <v>435.814626556017</v>
      </c>
      <c r="BS358" s="78">
        <v>540</v>
      </c>
      <c r="BT358" s="78">
        <v>298.66666666666703</v>
      </c>
      <c r="BU358" s="78">
        <v>230</v>
      </c>
      <c r="BV358" s="78">
        <f t="shared" si="19"/>
        <v>2204</v>
      </c>
      <c r="BW358" s="78">
        <v>688</v>
      </c>
      <c r="BX358" s="78">
        <v>6219.2474955708803</v>
      </c>
      <c r="BY358" s="402">
        <v>2.0379999999999998</v>
      </c>
      <c r="BZ358" s="78">
        <v>38856</v>
      </c>
      <c r="CA358" s="78">
        <v>4996</v>
      </c>
      <c r="CB358" s="78">
        <v>884</v>
      </c>
      <c r="CC358" s="78">
        <v>919</v>
      </c>
      <c r="CD358" s="78">
        <v>802</v>
      </c>
      <c r="CE358" s="78">
        <v>413</v>
      </c>
      <c r="CF358" s="78">
        <v>576.61978525341101</v>
      </c>
      <c r="CG358" s="78">
        <v>313.21153524109701</v>
      </c>
      <c r="CH358" s="78">
        <v>110.58980446239499</v>
      </c>
      <c r="CI358" s="78">
        <v>1518.5415</v>
      </c>
      <c r="CJ358" s="78">
        <v>824.84979999999996</v>
      </c>
      <c r="CK358" s="78">
        <v>291.24079999999998</v>
      </c>
      <c r="CL358" s="78">
        <v>34491</v>
      </c>
    </row>
    <row r="359" spans="1:90" customFormat="1" x14ac:dyDescent="0.35">
      <c r="A359" s="72">
        <v>184</v>
      </c>
      <c r="B359" s="72" t="s">
        <v>304</v>
      </c>
      <c r="C359" s="72">
        <v>12</v>
      </c>
      <c r="D359" s="78">
        <v>1263200000</v>
      </c>
      <c r="E359" s="78">
        <v>319550000</v>
      </c>
      <c r="F359" s="78">
        <v>322000000</v>
      </c>
      <c r="G359" s="78">
        <v>21031</v>
      </c>
      <c r="H359" s="78">
        <v>1</v>
      </c>
      <c r="I359" s="78">
        <f t="shared" si="17"/>
        <v>322</v>
      </c>
      <c r="J359" s="78">
        <v>6991</v>
      </c>
      <c r="K359" s="78">
        <v>2033</v>
      </c>
      <c r="L359" s="78">
        <v>628</v>
      </c>
      <c r="M359" s="78">
        <v>1412</v>
      </c>
      <c r="N359" s="78">
        <f t="shared" si="18"/>
        <v>741.8</v>
      </c>
      <c r="O359" s="78">
        <v>118.333333333333</v>
      </c>
      <c r="P359" s="78">
        <v>25</v>
      </c>
      <c r="Q359" s="78">
        <v>797.33333333333303</v>
      </c>
      <c r="R359" s="78">
        <v>1266</v>
      </c>
      <c r="S359" s="78">
        <v>315</v>
      </c>
      <c r="T359" s="78">
        <v>0</v>
      </c>
      <c r="U359" s="78">
        <v>282</v>
      </c>
      <c r="V359" s="78">
        <v>6592</v>
      </c>
      <c r="W359" s="78">
        <v>21930</v>
      </c>
      <c r="X359" s="78">
        <v>15040</v>
      </c>
      <c r="Y359" s="78">
        <v>128.02000000000001</v>
      </c>
      <c r="Z359" s="78">
        <v>852</v>
      </c>
      <c r="AA359" s="78">
        <v>0</v>
      </c>
      <c r="AB359" s="399">
        <v>0</v>
      </c>
      <c r="AC359" s="399">
        <v>606.29999999999995</v>
      </c>
      <c r="AD359" s="78">
        <v>1316</v>
      </c>
      <c r="AE359" s="78">
        <v>1539.72</v>
      </c>
      <c r="AF359" s="78">
        <v>38</v>
      </c>
      <c r="AG359" s="78">
        <v>9832</v>
      </c>
      <c r="AH359" s="78">
        <v>98</v>
      </c>
      <c r="AI359" s="78">
        <v>6</v>
      </c>
      <c r="AJ359" s="78">
        <v>122.5</v>
      </c>
      <c r="AK359" s="78">
        <v>6.66</v>
      </c>
      <c r="AL359" s="78">
        <v>104</v>
      </c>
      <c r="AM359" s="78">
        <v>6702</v>
      </c>
      <c r="AN359" s="78">
        <v>8377.5</v>
      </c>
      <c r="AO359" s="78">
        <v>0</v>
      </c>
      <c r="AP359" s="78">
        <v>0</v>
      </c>
      <c r="AQ359" s="78">
        <v>0</v>
      </c>
      <c r="AR359" s="78">
        <v>0</v>
      </c>
      <c r="AS359" s="78">
        <v>724</v>
      </c>
      <c r="AT359" s="78">
        <v>0</v>
      </c>
      <c r="AU359" s="400">
        <v>1.1387000000000001E-4</v>
      </c>
      <c r="AV359" s="400">
        <v>4.8016000000000002E-5</v>
      </c>
      <c r="AW359" s="78">
        <v>7191.2460000000001</v>
      </c>
      <c r="AX359" s="78">
        <v>0</v>
      </c>
      <c r="AY359" s="78">
        <v>498.42</v>
      </c>
      <c r="AZ359" s="78">
        <v>17046.2933973412</v>
      </c>
      <c r="BA359" s="78">
        <v>1</v>
      </c>
      <c r="BB359" s="78">
        <v>1.1100000000000001</v>
      </c>
      <c r="BC359" s="78">
        <v>2070</v>
      </c>
      <c r="BD359" s="78">
        <v>1</v>
      </c>
      <c r="BE359" s="78">
        <v>0</v>
      </c>
      <c r="BF359" s="78">
        <v>0</v>
      </c>
      <c r="BG359" s="78">
        <v>0</v>
      </c>
      <c r="BH359" s="78">
        <v>0</v>
      </c>
      <c r="BI359" s="78">
        <v>0</v>
      </c>
      <c r="BJ359" s="78">
        <v>0</v>
      </c>
      <c r="BK359" s="78">
        <v>0</v>
      </c>
      <c r="BL359" s="78">
        <v>0</v>
      </c>
      <c r="BM359" s="78">
        <v>363.53199999999998</v>
      </c>
      <c r="BN359" s="78">
        <v>269</v>
      </c>
      <c r="BO359" s="78">
        <v>38</v>
      </c>
      <c r="BP359" s="78">
        <v>3934.52</v>
      </c>
      <c r="BQ359" s="78">
        <v>1552.1</v>
      </c>
      <c r="BR359" s="78">
        <v>142.631451007452</v>
      </c>
      <c r="BS359" s="78">
        <v>120</v>
      </c>
      <c r="BT359" s="78">
        <v>56.6666666666667</v>
      </c>
      <c r="BU359" s="78">
        <v>29</v>
      </c>
      <c r="BV359" s="78">
        <f t="shared" si="19"/>
        <v>679</v>
      </c>
      <c r="BW359" s="78">
        <v>252</v>
      </c>
      <c r="BX359" s="78">
        <v>979.75954370427405</v>
      </c>
      <c r="BY359" s="402">
        <v>0.105</v>
      </c>
      <c r="BZ359" s="78">
        <v>18998</v>
      </c>
      <c r="CA359" s="78">
        <v>1224</v>
      </c>
      <c r="CB359" s="78">
        <v>181</v>
      </c>
      <c r="CC359" s="78">
        <v>211</v>
      </c>
      <c r="CD359" s="78">
        <v>228</v>
      </c>
      <c r="CE359" s="78">
        <v>78</v>
      </c>
      <c r="CF359" s="78">
        <v>83.012533572067994</v>
      </c>
      <c r="CG359" s="78">
        <v>48.147269471799497</v>
      </c>
      <c r="CH359" s="78">
        <v>11.5110713219934</v>
      </c>
      <c r="CI359" s="78">
        <v>380.625</v>
      </c>
      <c r="CJ359" s="78">
        <v>220.76249999999999</v>
      </c>
      <c r="CK359" s="78">
        <v>52.78</v>
      </c>
      <c r="CL359" s="78">
        <v>3969</v>
      </c>
    </row>
    <row r="360" spans="1:90" customFormat="1" x14ac:dyDescent="0.35">
      <c r="A360" s="72">
        <v>50</v>
      </c>
      <c r="B360" s="72" t="s">
        <v>355</v>
      </c>
      <c r="C360" s="72">
        <v>12</v>
      </c>
      <c r="D360" s="78">
        <v>1983200000</v>
      </c>
      <c r="E360" s="78">
        <v>570850000</v>
      </c>
      <c r="F360" s="78">
        <v>625800000</v>
      </c>
      <c r="G360" s="78">
        <v>22653</v>
      </c>
      <c r="H360" s="78">
        <v>3</v>
      </c>
      <c r="I360" s="78">
        <f t="shared" si="17"/>
        <v>625.79999999999995</v>
      </c>
      <c r="J360" s="78">
        <v>4935</v>
      </c>
      <c r="K360" s="78">
        <v>3006</v>
      </c>
      <c r="L360" s="78">
        <v>927</v>
      </c>
      <c r="M360" s="78">
        <v>2228</v>
      </c>
      <c r="N360" s="78">
        <f t="shared" si="18"/>
        <v>1221.9000000000001</v>
      </c>
      <c r="O360" s="78">
        <v>289</v>
      </c>
      <c r="P360" s="78">
        <v>17</v>
      </c>
      <c r="Q360" s="78">
        <v>1158</v>
      </c>
      <c r="R360" s="78">
        <v>3110</v>
      </c>
      <c r="S360" s="78">
        <v>600</v>
      </c>
      <c r="T360" s="78">
        <v>0</v>
      </c>
      <c r="U360" s="78">
        <v>643</v>
      </c>
      <c r="V360" s="78">
        <v>9750</v>
      </c>
      <c r="W360" s="78">
        <v>21480</v>
      </c>
      <c r="X360" s="78">
        <v>9570</v>
      </c>
      <c r="Y360" s="78">
        <v>0</v>
      </c>
      <c r="Z360" s="78">
        <v>426.4</v>
      </c>
      <c r="AA360" s="78">
        <v>0</v>
      </c>
      <c r="AB360" s="399">
        <v>0</v>
      </c>
      <c r="AC360" s="399">
        <v>0</v>
      </c>
      <c r="AD360" s="78">
        <v>24710</v>
      </c>
      <c r="AE360" s="78">
        <v>25698.400000000001</v>
      </c>
      <c r="AF360" s="78">
        <v>2176</v>
      </c>
      <c r="AG360" s="78">
        <v>0</v>
      </c>
      <c r="AH360" s="78">
        <v>113</v>
      </c>
      <c r="AI360" s="78">
        <v>128</v>
      </c>
      <c r="AJ360" s="78">
        <v>113</v>
      </c>
      <c r="AK360" s="78">
        <v>134.4</v>
      </c>
      <c r="AL360" s="78">
        <v>241</v>
      </c>
      <c r="AM360" s="78">
        <v>10061</v>
      </c>
      <c r="AN360" s="78">
        <v>10061</v>
      </c>
      <c r="AO360" s="78">
        <v>0</v>
      </c>
      <c r="AP360" s="78">
        <v>0</v>
      </c>
      <c r="AQ360" s="78">
        <v>0</v>
      </c>
      <c r="AR360" s="78">
        <v>0</v>
      </c>
      <c r="AS360" s="78">
        <v>0</v>
      </c>
      <c r="AT360" s="78">
        <v>0</v>
      </c>
      <c r="AU360" s="400">
        <v>0</v>
      </c>
      <c r="AV360" s="400">
        <v>1.6589999999999999E-6</v>
      </c>
      <c r="AW360" s="78">
        <v>8149.41</v>
      </c>
      <c r="AX360" s="78">
        <v>0</v>
      </c>
      <c r="AY360" s="78">
        <v>5815.68</v>
      </c>
      <c r="AZ360" s="78">
        <v>5432.8105333630901</v>
      </c>
      <c r="BA360" s="78">
        <v>6</v>
      </c>
      <c r="BB360" s="78">
        <v>6.3</v>
      </c>
      <c r="BC360" s="78">
        <v>3081</v>
      </c>
      <c r="BD360" s="78">
        <v>1</v>
      </c>
      <c r="BE360" s="78">
        <v>0</v>
      </c>
      <c r="BF360" s="78">
        <v>0</v>
      </c>
      <c r="BG360" s="78">
        <v>0</v>
      </c>
      <c r="BH360" s="78">
        <v>0</v>
      </c>
      <c r="BI360" s="78">
        <v>0</v>
      </c>
      <c r="BJ360" s="78">
        <v>0</v>
      </c>
      <c r="BK360" s="78">
        <v>0</v>
      </c>
      <c r="BL360" s="78">
        <v>0</v>
      </c>
      <c r="BM360" s="78">
        <v>454.02</v>
      </c>
      <c r="BN360" s="78">
        <v>57</v>
      </c>
      <c r="BO360" s="78">
        <v>28</v>
      </c>
      <c r="BP360" s="78">
        <v>6670.92</v>
      </c>
      <c r="BQ360" s="78">
        <v>1846.2</v>
      </c>
      <c r="BR360" s="78">
        <v>133.49794180459199</v>
      </c>
      <c r="BS360" s="78">
        <v>269</v>
      </c>
      <c r="BT360" s="78">
        <v>99.6666666666667</v>
      </c>
      <c r="BU360" s="78">
        <v>82</v>
      </c>
      <c r="BV360" s="78">
        <f t="shared" si="19"/>
        <v>869</v>
      </c>
      <c r="BW360" s="78">
        <v>212</v>
      </c>
      <c r="BX360" s="78">
        <v>2327.2609153256499</v>
      </c>
      <c r="BY360" s="402">
        <v>0.28799999999999998</v>
      </c>
      <c r="BZ360" s="78">
        <v>19647</v>
      </c>
      <c r="CA360" s="78">
        <v>1798</v>
      </c>
      <c r="CB360" s="78">
        <v>281</v>
      </c>
      <c r="CC360" s="78">
        <v>350</v>
      </c>
      <c r="CD360" s="78">
        <v>282</v>
      </c>
      <c r="CE360" s="78">
        <v>148</v>
      </c>
      <c r="CF360" s="78">
        <v>132.136686214094</v>
      </c>
      <c r="CG360" s="78">
        <v>74.691233475797603</v>
      </c>
      <c r="CH360" s="78">
        <v>26.111569426498399</v>
      </c>
      <c r="CI360" s="78">
        <v>480.2432</v>
      </c>
      <c r="CJ360" s="78">
        <v>271.46100000000001</v>
      </c>
      <c r="CK360" s="78">
        <v>94.900999999999996</v>
      </c>
      <c r="CL360" s="78">
        <v>10950</v>
      </c>
    </row>
    <row r="361" spans="1:90" customFormat="1" x14ac:dyDescent="0.35">
      <c r="A361" s="72"/>
      <c r="B361" s="72"/>
      <c r="C361" s="72"/>
      <c r="D361" s="78"/>
      <c r="E361" s="78"/>
      <c r="F361" s="78"/>
      <c r="G361" s="78"/>
      <c r="H361" s="78"/>
      <c r="I361" s="78"/>
      <c r="J361" s="78"/>
      <c r="K361" s="78"/>
      <c r="L361" s="78"/>
      <c r="M361" s="78"/>
      <c r="N361" s="78"/>
      <c r="O361" s="78"/>
      <c r="P361" s="78"/>
      <c r="Q361" s="78"/>
      <c r="R361" s="78"/>
      <c r="S361" s="78"/>
      <c r="T361" s="78"/>
      <c r="U361" s="78"/>
      <c r="V361" s="78"/>
      <c r="W361" s="78"/>
      <c r="X361" s="78"/>
      <c r="Y361" s="78"/>
      <c r="Z361" s="78"/>
      <c r="AA361" s="78"/>
      <c r="AB361" s="78"/>
      <c r="AC361" s="78"/>
      <c r="AD361" s="78"/>
      <c r="AE361" s="78"/>
      <c r="AF361" s="78"/>
      <c r="AG361" s="78"/>
      <c r="AH361" s="78"/>
      <c r="AI361" s="78"/>
      <c r="AJ361" s="78"/>
      <c r="AK361" s="78"/>
      <c r="AL361" s="78"/>
      <c r="AM361" s="78"/>
      <c r="AN361" s="78"/>
      <c r="AO361" s="78"/>
      <c r="AP361" s="78"/>
      <c r="AQ361" s="78"/>
      <c r="AR361" s="78"/>
      <c r="AS361" s="78"/>
      <c r="AT361" s="78"/>
      <c r="AU361" s="72"/>
      <c r="AV361" s="72"/>
      <c r="AW361" s="78"/>
      <c r="AX361" s="78"/>
      <c r="AY361" s="78"/>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402"/>
      <c r="BZ361" s="78"/>
      <c r="CA361" s="78"/>
      <c r="CB361" s="78"/>
      <c r="CC361" s="78"/>
      <c r="CD361" s="78"/>
      <c r="CE361" s="78"/>
      <c r="CF361" s="78"/>
      <c r="CG361" s="78"/>
      <c r="CH361" s="78"/>
      <c r="CI361" s="78"/>
      <c r="CJ361" s="78"/>
      <c r="CK361" s="78"/>
      <c r="CL361" s="78"/>
    </row>
    <row r="362" spans="1:90" customFormat="1" x14ac:dyDescent="0.35">
      <c r="A362" s="72"/>
      <c r="B362" s="72" t="s">
        <v>379</v>
      </c>
      <c r="C362" s="72"/>
      <c r="D362" s="78">
        <f t="shared" ref="D362:AS362" si="20">SUM(D6:D360)</f>
        <v>1697503200000</v>
      </c>
      <c r="E362" s="78">
        <f t="shared" si="20"/>
        <v>306526850000</v>
      </c>
      <c r="F362" s="78">
        <f t="shared" si="20"/>
        <v>319135950000</v>
      </c>
      <c r="G362" s="78">
        <f t="shared" si="20"/>
        <v>17407585</v>
      </c>
      <c r="H362" s="78">
        <f t="shared" si="20"/>
        <v>1155</v>
      </c>
      <c r="I362" s="78">
        <f t="shared" si="20"/>
        <v>319135.94999999966</v>
      </c>
      <c r="J362" s="78">
        <f t="shared" si="20"/>
        <v>3337245</v>
      </c>
      <c r="K362" s="78">
        <f t="shared" si="20"/>
        <v>3392555</v>
      </c>
      <c r="L362" s="78">
        <f t="shared" si="20"/>
        <v>1069256</v>
      </c>
      <c r="M362" s="78">
        <f t="shared" si="20"/>
        <v>2430294</v>
      </c>
      <c r="N362" s="78">
        <f t="shared" si="20"/>
        <v>1616388.0999999999</v>
      </c>
      <c r="O362" s="78">
        <f t="shared" si="20"/>
        <v>409369.99999999988</v>
      </c>
      <c r="P362" s="78">
        <f t="shared" si="20"/>
        <v>19326</v>
      </c>
      <c r="Q362" s="78">
        <f t="shared" si="20"/>
        <v>1279868.9999999995</v>
      </c>
      <c r="R362" s="78">
        <f t="shared" si="20"/>
        <v>3079778</v>
      </c>
      <c r="S362" s="78">
        <f t="shared" si="20"/>
        <v>1509020</v>
      </c>
      <c r="T362" s="78">
        <f t="shared" si="20"/>
        <v>119390</v>
      </c>
      <c r="U362" s="78">
        <f t="shared" si="20"/>
        <v>582106</v>
      </c>
      <c r="V362" s="78">
        <f t="shared" si="20"/>
        <v>8256663</v>
      </c>
      <c r="W362" s="78">
        <f t="shared" si="20"/>
        <v>17407590</v>
      </c>
      <c r="X362" s="78">
        <f t="shared" si="20"/>
        <v>17407520</v>
      </c>
      <c r="Y362" s="78">
        <f t="shared" si="20"/>
        <v>372742.77900000004</v>
      </c>
      <c r="Z362" s="78">
        <f t="shared" si="20"/>
        <v>710609.59999999963</v>
      </c>
      <c r="AA362" s="78">
        <f t="shared" si="20"/>
        <v>14647.899999999998</v>
      </c>
      <c r="AB362" s="78">
        <f t="shared" si="20"/>
        <v>11518.499999999987</v>
      </c>
      <c r="AC362" s="78">
        <f t="shared" si="20"/>
        <v>29776.799999999992</v>
      </c>
      <c r="AD362" s="78">
        <f t="shared" si="20"/>
        <v>3363990</v>
      </c>
      <c r="AE362" s="78">
        <f t="shared" si="20"/>
        <v>3565903.5700000012</v>
      </c>
      <c r="AF362" s="78">
        <f t="shared" si="20"/>
        <v>195710</v>
      </c>
      <c r="AG362" s="78">
        <f t="shared" si="20"/>
        <v>308906</v>
      </c>
      <c r="AH362" s="78">
        <f t="shared" si="20"/>
        <v>84632</v>
      </c>
      <c r="AI362" s="78">
        <f t="shared" si="20"/>
        <v>27991</v>
      </c>
      <c r="AJ362" s="78">
        <f t="shared" si="20"/>
        <v>91822.050000000032</v>
      </c>
      <c r="AK362" s="78">
        <f t="shared" si="20"/>
        <v>29514.699999999993</v>
      </c>
      <c r="AL362" s="78">
        <f t="shared" si="20"/>
        <v>112621</v>
      </c>
      <c r="AM362" s="78">
        <f t="shared" si="20"/>
        <v>8139059</v>
      </c>
      <c r="AN362" s="78">
        <f t="shared" si="20"/>
        <v>8982386.2599999979</v>
      </c>
      <c r="AO362" s="78">
        <f t="shared" si="20"/>
        <v>1622</v>
      </c>
      <c r="AP362" s="78">
        <f t="shared" si="20"/>
        <v>472</v>
      </c>
      <c r="AQ362" s="78">
        <f t="shared" si="20"/>
        <v>1366</v>
      </c>
      <c r="AR362" s="78">
        <f t="shared" si="20"/>
        <v>533050</v>
      </c>
      <c r="AS362" s="78">
        <f t="shared" si="20"/>
        <v>1283074</v>
      </c>
      <c r="AT362" s="78">
        <v>0</v>
      </c>
      <c r="AU362" s="78">
        <f t="shared" ref="AU362:CL362" si="21">SUM(AU6:AU360)</f>
        <v>0.99873632500000087</v>
      </c>
      <c r="AV362" s="78">
        <f t="shared" si="21"/>
        <v>0.99794088800000047</v>
      </c>
      <c r="AW362" s="78">
        <f t="shared" si="21"/>
        <v>16504683.839999998</v>
      </c>
      <c r="AX362" s="78">
        <f t="shared" si="21"/>
        <v>1878798.878</v>
      </c>
      <c r="AY362" s="78">
        <f t="shared" si="21"/>
        <v>1131359.1500000001</v>
      </c>
      <c r="AZ362" s="78">
        <f t="shared" si="21"/>
        <v>14970947.121646952</v>
      </c>
      <c r="BA362" s="78">
        <f t="shared" si="21"/>
        <v>3351</v>
      </c>
      <c r="BB362" s="78">
        <f t="shared" si="21"/>
        <v>3608.9999999999986</v>
      </c>
      <c r="BC362" s="78">
        <f t="shared" si="21"/>
        <v>2033360</v>
      </c>
      <c r="BD362" s="78">
        <f t="shared" si="21"/>
        <v>356</v>
      </c>
      <c r="BE362" s="78">
        <f t="shared" si="21"/>
        <v>1</v>
      </c>
      <c r="BF362" s="78">
        <f t="shared" si="21"/>
        <v>1</v>
      </c>
      <c r="BG362" s="78">
        <f t="shared" si="21"/>
        <v>1</v>
      </c>
      <c r="BH362" s="78">
        <f t="shared" si="21"/>
        <v>1</v>
      </c>
      <c r="BI362" s="78">
        <f t="shared" si="21"/>
        <v>5</v>
      </c>
      <c r="BJ362" s="78">
        <f t="shared" si="21"/>
        <v>9602</v>
      </c>
      <c r="BK362" s="78">
        <f t="shared" si="21"/>
        <v>8604</v>
      </c>
      <c r="BL362" s="78">
        <f t="shared" si="21"/>
        <v>6075</v>
      </c>
      <c r="BM362" s="78">
        <f t="shared" si="21"/>
        <v>439909.64400000003</v>
      </c>
      <c r="BN362" s="78">
        <f t="shared" si="21"/>
        <v>56621</v>
      </c>
      <c r="BO362" s="78">
        <f t="shared" si="21"/>
        <v>56589</v>
      </c>
      <c r="BP362" s="78">
        <f t="shared" si="21"/>
        <v>5183100.9700000044</v>
      </c>
      <c r="BQ362" s="78">
        <f t="shared" si="21"/>
        <v>1205255.2500000005</v>
      </c>
      <c r="BR362" s="78">
        <f t="shared" si="21"/>
        <v>130182.06251910063</v>
      </c>
      <c r="BS362" s="78">
        <f t="shared" si="21"/>
        <v>228206</v>
      </c>
      <c r="BT362" s="78">
        <f t="shared" si="21"/>
        <v>114427.99999999999</v>
      </c>
      <c r="BU362" s="78">
        <f t="shared" si="21"/>
        <v>101982.3333333334</v>
      </c>
      <c r="BV362" s="78">
        <f t="shared" si="21"/>
        <v>870499</v>
      </c>
      <c r="BW362" s="78">
        <f t="shared" si="21"/>
        <v>242948</v>
      </c>
      <c r="BX362" s="78">
        <f t="shared" si="21"/>
        <v>2703961.3164402153</v>
      </c>
      <c r="BY362" s="402">
        <f t="shared" ref="BY362" si="22">SUM(BY6:BY360)</f>
        <v>1000.0020000000007</v>
      </c>
      <c r="BZ362" s="78">
        <f t="shared" si="21"/>
        <v>14015030</v>
      </c>
      <c r="CA362" s="78">
        <f t="shared" si="21"/>
        <v>1937267</v>
      </c>
      <c r="CB362" s="78">
        <f t="shared" si="21"/>
        <v>386032</v>
      </c>
      <c r="CC362" s="78">
        <f t="shared" si="21"/>
        <v>462614</v>
      </c>
      <c r="CD362" s="78">
        <f t="shared" si="21"/>
        <v>375350</v>
      </c>
      <c r="CE362" s="78">
        <f t="shared" si="21"/>
        <v>197221</v>
      </c>
      <c r="CF362" s="78">
        <f t="shared" si="21"/>
        <v>238603.83146385767</v>
      </c>
      <c r="CG362" s="78">
        <f t="shared" si="21"/>
        <v>142051.3854191945</v>
      </c>
      <c r="CH362" s="78">
        <f t="shared" si="21"/>
        <v>52430.788210822473</v>
      </c>
      <c r="CI362" s="78">
        <f t="shared" si="21"/>
        <v>553600.63840000017</v>
      </c>
      <c r="CJ362" s="78">
        <f t="shared" si="21"/>
        <v>330083.28149999998</v>
      </c>
      <c r="CK362" s="78">
        <f t="shared" si="21"/>
        <v>121028.9761</v>
      </c>
      <c r="CL362" s="78">
        <f t="shared" si="21"/>
        <v>22707857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B2EA4-4E41-4277-8038-C369E2774D1D}">
  <sheetPr codeName="Blad11">
    <tabColor rgb="FF002060"/>
  </sheetPr>
  <dimension ref="A1:EF396"/>
  <sheetViews>
    <sheetView topLeftCell="G1" workbookViewId="0">
      <selection activeCell="F9" sqref="F9"/>
    </sheetView>
  </sheetViews>
  <sheetFormatPr defaultRowHeight="14.5" x14ac:dyDescent="0.35"/>
  <cols>
    <col min="4" max="4" width="23.6328125" customWidth="1"/>
    <col min="5" max="5" width="38.6328125" customWidth="1"/>
    <col min="6" max="6" width="27.36328125" customWidth="1"/>
    <col min="7" max="7" width="26.54296875" customWidth="1"/>
    <col min="8" max="66" width="13.08984375" customWidth="1"/>
    <col min="89" max="89" width="16" customWidth="1"/>
    <col min="90" max="91" width="9.453125" customWidth="1"/>
    <col min="92" max="92" width="14.90625" customWidth="1"/>
    <col min="105" max="105" width="11.453125" customWidth="1"/>
  </cols>
  <sheetData>
    <row r="1" spans="1:136" x14ac:dyDescent="0.35">
      <c r="A1" s="70">
        <v>1</v>
      </c>
      <c r="B1" s="70">
        <v>2</v>
      </c>
      <c r="C1" s="70">
        <v>3</v>
      </c>
      <c r="D1" s="70">
        <v>4</v>
      </c>
      <c r="E1" s="70">
        <v>5</v>
      </c>
      <c r="F1" s="70">
        <v>6</v>
      </c>
      <c r="G1" s="70">
        <v>7</v>
      </c>
      <c r="H1" s="70">
        <v>8</v>
      </c>
      <c r="I1" s="70">
        <v>9</v>
      </c>
      <c r="J1" s="70">
        <v>10</v>
      </c>
      <c r="K1" s="70">
        <v>11</v>
      </c>
      <c r="L1" s="70">
        <v>12</v>
      </c>
      <c r="M1" s="70">
        <v>13</v>
      </c>
      <c r="N1" s="70">
        <v>14</v>
      </c>
      <c r="O1" s="70">
        <v>15</v>
      </c>
      <c r="P1" s="70">
        <v>16</v>
      </c>
      <c r="Q1" s="70">
        <v>17</v>
      </c>
      <c r="R1" s="70">
        <v>18</v>
      </c>
      <c r="S1" s="70">
        <v>19</v>
      </c>
      <c r="T1" s="70">
        <v>20</v>
      </c>
      <c r="U1" s="70">
        <v>21</v>
      </c>
      <c r="V1" s="70">
        <v>22</v>
      </c>
      <c r="W1" s="70">
        <v>23</v>
      </c>
      <c r="X1" s="70">
        <v>24</v>
      </c>
      <c r="Y1" s="70">
        <v>25</v>
      </c>
      <c r="Z1" s="70">
        <v>26</v>
      </c>
      <c r="AA1" s="70">
        <v>27</v>
      </c>
      <c r="AB1" s="70">
        <v>28</v>
      </c>
      <c r="AC1" s="70">
        <v>29</v>
      </c>
      <c r="AD1" s="70">
        <v>30</v>
      </c>
      <c r="AE1" s="70">
        <v>31</v>
      </c>
      <c r="AF1" s="70">
        <v>32</v>
      </c>
      <c r="AG1" s="70">
        <v>33</v>
      </c>
      <c r="AH1" s="70">
        <v>34</v>
      </c>
      <c r="AI1" s="70">
        <v>35</v>
      </c>
      <c r="AJ1" s="70">
        <v>36</v>
      </c>
      <c r="AK1" s="70">
        <v>37</v>
      </c>
      <c r="AL1" s="70">
        <v>38</v>
      </c>
      <c r="AM1" s="70">
        <v>39</v>
      </c>
      <c r="AN1" s="70">
        <v>40</v>
      </c>
      <c r="AO1" s="70">
        <v>41</v>
      </c>
      <c r="AP1" s="70">
        <v>42</v>
      </c>
      <c r="AQ1" s="70">
        <v>43</v>
      </c>
      <c r="AR1" s="70">
        <v>44</v>
      </c>
      <c r="AS1" s="70">
        <v>45</v>
      </c>
      <c r="AT1" s="70">
        <v>46</v>
      </c>
      <c r="AU1" s="70">
        <v>47</v>
      </c>
      <c r="AV1" s="70">
        <v>48</v>
      </c>
      <c r="AW1" s="70">
        <v>49</v>
      </c>
      <c r="AX1" s="70">
        <v>50</v>
      </c>
      <c r="AY1" s="70">
        <v>51</v>
      </c>
      <c r="AZ1" s="70">
        <v>52</v>
      </c>
      <c r="BA1" s="70">
        <v>53</v>
      </c>
      <c r="BB1" s="70">
        <v>54</v>
      </c>
      <c r="BC1" s="70">
        <v>55</v>
      </c>
      <c r="BD1" s="70">
        <v>56</v>
      </c>
      <c r="BE1" s="70">
        <v>57</v>
      </c>
      <c r="BF1" s="70">
        <v>58</v>
      </c>
      <c r="BG1" s="70">
        <v>59</v>
      </c>
      <c r="BH1" s="70">
        <v>60</v>
      </c>
      <c r="BI1" s="70">
        <v>61</v>
      </c>
      <c r="BJ1" s="70">
        <v>62</v>
      </c>
      <c r="BK1" s="70">
        <v>63</v>
      </c>
      <c r="BL1" s="70">
        <v>64</v>
      </c>
      <c r="BM1" s="70">
        <v>65</v>
      </c>
      <c r="BN1" s="70">
        <v>66</v>
      </c>
      <c r="BO1" s="70">
        <v>67</v>
      </c>
      <c r="BP1" s="70">
        <v>68</v>
      </c>
      <c r="BQ1" s="70">
        <v>69</v>
      </c>
      <c r="BR1" s="70">
        <v>70</v>
      </c>
      <c r="BS1" s="70">
        <v>71</v>
      </c>
      <c r="BT1" s="70">
        <v>72</v>
      </c>
      <c r="BU1" s="70">
        <v>73</v>
      </c>
      <c r="BV1" s="70">
        <v>74</v>
      </c>
      <c r="BW1" s="70">
        <v>75</v>
      </c>
      <c r="BX1" s="70">
        <v>76</v>
      </c>
      <c r="BY1" s="70">
        <v>77</v>
      </c>
      <c r="BZ1" s="70">
        <v>78</v>
      </c>
      <c r="CA1" s="70">
        <v>79</v>
      </c>
      <c r="CB1" s="70">
        <v>80</v>
      </c>
      <c r="CC1" s="70">
        <v>81</v>
      </c>
      <c r="CD1" s="70">
        <v>82</v>
      </c>
      <c r="CE1" s="70">
        <v>83</v>
      </c>
      <c r="CF1" s="70">
        <v>84</v>
      </c>
      <c r="CG1" s="70">
        <v>85</v>
      </c>
      <c r="CH1" s="70">
        <v>86</v>
      </c>
      <c r="CI1" s="70">
        <v>87</v>
      </c>
      <c r="CJ1" s="70">
        <v>88</v>
      </c>
      <c r="CK1" s="70">
        <v>89</v>
      </c>
      <c r="CL1" s="70">
        <v>90</v>
      </c>
      <c r="CM1" s="70">
        <v>91</v>
      </c>
      <c r="CN1" s="70">
        <v>92</v>
      </c>
      <c r="CO1" s="70">
        <v>93</v>
      </c>
      <c r="CP1" s="70">
        <v>94</v>
      </c>
      <c r="CQ1" s="70">
        <v>95</v>
      </c>
      <c r="CR1" s="70">
        <v>96</v>
      </c>
      <c r="CS1" s="70">
        <v>97</v>
      </c>
      <c r="CT1" s="70">
        <v>98</v>
      </c>
      <c r="CU1" s="70">
        <v>99</v>
      </c>
      <c r="CV1" s="70">
        <v>100</v>
      </c>
      <c r="CW1" s="70">
        <v>101</v>
      </c>
      <c r="CX1" s="70">
        <v>102</v>
      </c>
      <c r="CY1" s="70">
        <v>103</v>
      </c>
      <c r="CZ1" s="70">
        <v>104</v>
      </c>
      <c r="DA1" s="70">
        <v>105</v>
      </c>
      <c r="DB1" s="70"/>
    </row>
    <row r="2" spans="1:136" x14ac:dyDescent="0.35">
      <c r="E2" s="71"/>
      <c r="F2" s="72"/>
      <c r="G2" s="72"/>
      <c r="H2" s="72"/>
      <c r="I2" s="72"/>
      <c r="J2" s="72"/>
      <c r="K2" s="72"/>
      <c r="L2" s="72"/>
      <c r="M2" s="72"/>
      <c r="N2" s="73"/>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row>
    <row r="3" spans="1:136" x14ac:dyDescent="0.35">
      <c r="A3" s="70" t="s">
        <v>828</v>
      </c>
      <c r="B3" s="70" t="s">
        <v>829</v>
      </c>
      <c r="C3" s="70" t="s">
        <v>830</v>
      </c>
      <c r="D3" s="70" t="s">
        <v>831</v>
      </c>
      <c r="E3" s="74" t="s">
        <v>834</v>
      </c>
      <c r="F3" s="74" t="s">
        <v>835</v>
      </c>
      <c r="G3" s="74" t="s">
        <v>836</v>
      </c>
      <c r="H3" s="74" t="s">
        <v>837</v>
      </c>
      <c r="I3" s="74" t="s">
        <v>838</v>
      </c>
      <c r="J3" s="74" t="s">
        <v>839</v>
      </c>
      <c r="K3" s="74" t="s">
        <v>840</v>
      </c>
      <c r="L3" s="74" t="s">
        <v>841</v>
      </c>
      <c r="M3" s="74" t="s">
        <v>842</v>
      </c>
      <c r="N3" s="74" t="s">
        <v>843</v>
      </c>
      <c r="O3" s="74" t="s">
        <v>844</v>
      </c>
      <c r="P3" s="74" t="s">
        <v>845</v>
      </c>
      <c r="Q3" s="74" t="s">
        <v>846</v>
      </c>
      <c r="R3" s="74" t="s">
        <v>847</v>
      </c>
      <c r="S3" s="74" t="s">
        <v>848</v>
      </c>
      <c r="T3" s="74" t="s">
        <v>849</v>
      </c>
      <c r="U3" s="74" t="s">
        <v>850</v>
      </c>
      <c r="V3" s="74" t="s">
        <v>851</v>
      </c>
      <c r="W3" s="74" t="s">
        <v>852</v>
      </c>
      <c r="X3" s="74" t="s">
        <v>853</v>
      </c>
      <c r="Y3" s="74" t="s">
        <v>854</v>
      </c>
      <c r="Z3" s="74" t="s">
        <v>855</v>
      </c>
      <c r="AA3" s="74" t="s">
        <v>856</v>
      </c>
      <c r="AB3" s="74" t="s">
        <v>857</v>
      </c>
      <c r="AC3" s="74" t="s">
        <v>858</v>
      </c>
      <c r="AD3" s="74" t="s">
        <v>859</v>
      </c>
      <c r="AE3" s="74" t="s">
        <v>860</v>
      </c>
      <c r="AF3" s="74" t="s">
        <v>861</v>
      </c>
      <c r="AG3" s="74" t="s">
        <v>862</v>
      </c>
      <c r="AH3" s="74" t="s">
        <v>863</v>
      </c>
      <c r="AI3" s="74" t="s">
        <v>864</v>
      </c>
      <c r="AJ3" s="74" t="s">
        <v>865</v>
      </c>
      <c r="AK3" s="74" t="s">
        <v>866</v>
      </c>
      <c r="AL3" s="74" t="s">
        <v>867</v>
      </c>
      <c r="AM3" s="74" t="s">
        <v>868</v>
      </c>
      <c r="AN3" s="74" t="s">
        <v>869</v>
      </c>
      <c r="AO3" s="74" t="s">
        <v>870</v>
      </c>
      <c r="AP3" s="74" t="s">
        <v>871</v>
      </c>
      <c r="AQ3" s="74" t="s">
        <v>872</v>
      </c>
      <c r="AR3" s="74" t="s">
        <v>873</v>
      </c>
      <c r="AS3" s="74" t="s">
        <v>874</v>
      </c>
      <c r="AT3" s="74" t="s">
        <v>875</v>
      </c>
      <c r="AU3" s="74" t="s">
        <v>876</v>
      </c>
      <c r="AV3" s="74" t="s">
        <v>877</v>
      </c>
      <c r="AW3" s="74" t="s">
        <v>878</v>
      </c>
      <c r="AX3" s="74" t="s">
        <v>879</v>
      </c>
      <c r="AY3" s="74" t="s">
        <v>880</v>
      </c>
      <c r="AZ3" s="74" t="s">
        <v>881</v>
      </c>
      <c r="BA3" s="74" t="s">
        <v>882</v>
      </c>
      <c r="BB3" s="74" t="s">
        <v>883</v>
      </c>
      <c r="BC3" s="74" t="s">
        <v>884</v>
      </c>
      <c r="BD3" s="74" t="s">
        <v>885</v>
      </c>
      <c r="BE3" s="74" t="s">
        <v>886</v>
      </c>
      <c r="BF3" s="74" t="s">
        <v>887</v>
      </c>
      <c r="BG3" s="74" t="s">
        <v>888</v>
      </c>
      <c r="BH3" s="74" t="s">
        <v>889</v>
      </c>
      <c r="BI3" s="74" t="s">
        <v>890</v>
      </c>
      <c r="BJ3" s="74" t="s">
        <v>891</v>
      </c>
      <c r="BK3" s="74" t="s">
        <v>892</v>
      </c>
      <c r="BL3" s="74" t="s">
        <v>893</v>
      </c>
      <c r="BM3" s="74" t="s">
        <v>894</v>
      </c>
      <c r="BN3" s="74" t="s">
        <v>895</v>
      </c>
      <c r="BO3" s="74" t="s">
        <v>949</v>
      </c>
      <c r="BP3" s="74" t="s">
        <v>950</v>
      </c>
      <c r="BQ3" s="74" t="s">
        <v>896</v>
      </c>
      <c r="BR3" s="74" t="s">
        <v>897</v>
      </c>
      <c r="BS3" s="74" t="s">
        <v>898</v>
      </c>
      <c r="BT3" s="74" t="s">
        <v>899</v>
      </c>
      <c r="BU3" s="74" t="s">
        <v>900</v>
      </c>
      <c r="BV3" s="74" t="s">
        <v>901</v>
      </c>
      <c r="BW3" s="74" t="s">
        <v>902</v>
      </c>
      <c r="BX3" s="74" t="s">
        <v>903</v>
      </c>
      <c r="BY3" s="74" t="s">
        <v>904</v>
      </c>
      <c r="BZ3" s="74" t="s">
        <v>905</v>
      </c>
      <c r="CA3" t="s">
        <v>951</v>
      </c>
      <c r="CB3" t="s">
        <v>908</v>
      </c>
      <c r="CC3" t="s">
        <v>909</v>
      </c>
      <c r="CD3" t="s">
        <v>910</v>
      </c>
      <c r="CE3" t="s">
        <v>911</v>
      </c>
      <c r="CF3" t="s">
        <v>912</v>
      </c>
      <c r="CG3" t="s">
        <v>913</v>
      </c>
      <c r="CH3" t="s">
        <v>914</v>
      </c>
      <c r="CI3" t="s">
        <v>915</v>
      </c>
      <c r="CJ3" t="s">
        <v>916</v>
      </c>
      <c r="CK3" t="s">
        <v>917</v>
      </c>
      <c r="CL3" t="s">
        <v>918</v>
      </c>
      <c r="CM3" t="s">
        <v>919</v>
      </c>
      <c r="CN3" t="s">
        <v>920</v>
      </c>
      <c r="CO3" t="s">
        <v>921</v>
      </c>
      <c r="CP3" t="s">
        <v>922</v>
      </c>
      <c r="CQ3" t="s">
        <v>923</v>
      </c>
      <c r="CR3" t="s">
        <v>924</v>
      </c>
      <c r="CS3" t="s">
        <v>925</v>
      </c>
      <c r="CT3" t="s">
        <v>926</v>
      </c>
      <c r="CU3" t="s">
        <v>927</v>
      </c>
      <c r="CV3" t="s">
        <v>928</v>
      </c>
      <c r="CW3" t="s">
        <v>929</v>
      </c>
      <c r="CX3" t="s">
        <v>930</v>
      </c>
      <c r="CY3" t="s">
        <v>931</v>
      </c>
      <c r="CZ3" t="s">
        <v>932</v>
      </c>
      <c r="DA3" t="s">
        <v>933</v>
      </c>
      <c r="DE3" t="s">
        <v>828</v>
      </c>
      <c r="DF3" t="s">
        <v>9</v>
      </c>
      <c r="DG3" t="s">
        <v>934</v>
      </c>
      <c r="DH3" t="s">
        <v>935</v>
      </c>
      <c r="DI3" t="s">
        <v>936</v>
      </c>
      <c r="DJ3" t="s">
        <v>937</v>
      </c>
      <c r="DK3" t="s">
        <v>938</v>
      </c>
      <c r="DO3" t="s">
        <v>828</v>
      </c>
      <c r="DP3" t="s">
        <v>9</v>
      </c>
      <c r="DQ3" t="s">
        <v>939</v>
      </c>
      <c r="DR3" t="s">
        <v>940</v>
      </c>
      <c r="DS3" t="s">
        <v>941</v>
      </c>
      <c r="DV3" t="s">
        <v>828</v>
      </c>
      <c r="DW3" t="s">
        <v>9</v>
      </c>
      <c r="DX3" t="s">
        <v>942</v>
      </c>
      <c r="DY3" t="s">
        <v>924</v>
      </c>
      <c r="DZ3" t="s">
        <v>925</v>
      </c>
      <c r="EA3" t="s">
        <v>926</v>
      </c>
      <c r="EB3" s="75" t="s">
        <v>943</v>
      </c>
      <c r="EC3" s="75" t="s">
        <v>944</v>
      </c>
      <c r="ED3" s="76" t="s">
        <v>945</v>
      </c>
      <c r="EE3" s="77" t="s">
        <v>946</v>
      </c>
      <c r="EF3" s="77" t="s">
        <v>947</v>
      </c>
    </row>
    <row r="4" spans="1:136" x14ac:dyDescent="0.35">
      <c r="AY4" s="78"/>
      <c r="BQ4" t="s">
        <v>948</v>
      </c>
      <c r="BS4" t="s">
        <v>948</v>
      </c>
      <c r="BU4" t="s">
        <v>948</v>
      </c>
      <c r="BW4" t="s">
        <v>948</v>
      </c>
      <c r="BY4" t="s">
        <v>948</v>
      </c>
    </row>
    <row r="5" spans="1:136" x14ac:dyDescent="0.35">
      <c r="A5" s="72">
        <v>3</v>
      </c>
      <c r="B5" s="72">
        <v>1</v>
      </c>
      <c r="D5" s="72" t="s">
        <v>28</v>
      </c>
      <c r="E5" s="79">
        <v>634800000</v>
      </c>
      <c r="F5" s="79">
        <v>116550000</v>
      </c>
      <c r="G5" s="79">
        <v>126350000</v>
      </c>
      <c r="H5" s="79">
        <v>11801</v>
      </c>
      <c r="I5" s="79">
        <v>1</v>
      </c>
      <c r="J5" s="79">
        <v>126.35</v>
      </c>
      <c r="K5" s="79">
        <v>2455</v>
      </c>
      <c r="L5" s="79">
        <v>2825</v>
      </c>
      <c r="M5" s="79">
        <v>931</v>
      </c>
      <c r="N5" s="79">
        <v>2184</v>
      </c>
      <c r="O5" s="79">
        <v>1578.3</v>
      </c>
      <c r="P5" s="79">
        <v>450.66666666666703</v>
      </c>
      <c r="Q5" s="79">
        <v>1422.6666666666699</v>
      </c>
      <c r="R5" s="79">
        <v>600</v>
      </c>
      <c r="S5" s="79">
        <v>0</v>
      </c>
      <c r="T5" s="79">
        <v>455</v>
      </c>
      <c r="U5" s="79">
        <v>5802</v>
      </c>
      <c r="V5" s="79">
        <v>12840</v>
      </c>
      <c r="W5" s="79">
        <v>7800</v>
      </c>
      <c r="X5" s="79">
        <v>479.06</v>
      </c>
      <c r="Y5" s="79">
        <v>790.4</v>
      </c>
      <c r="Z5" s="79">
        <v>0</v>
      </c>
      <c r="AA5" s="79">
        <v>0</v>
      </c>
      <c r="AB5" s="79">
        <v>0</v>
      </c>
      <c r="AC5" s="79">
        <v>2376</v>
      </c>
      <c r="AD5" s="79">
        <v>3136.32</v>
      </c>
      <c r="AE5" s="79">
        <v>82</v>
      </c>
      <c r="AF5" s="79">
        <v>0</v>
      </c>
      <c r="AG5">
        <v>81</v>
      </c>
      <c r="AH5">
        <v>86.46</v>
      </c>
      <c r="AI5" s="79">
        <v>18.48</v>
      </c>
      <c r="AJ5" s="79">
        <v>6057</v>
      </c>
      <c r="AK5" s="79">
        <v>7934.67</v>
      </c>
      <c r="AL5" s="79">
        <v>9</v>
      </c>
      <c r="AM5" s="79">
        <v>0</v>
      </c>
      <c r="AN5" s="79">
        <v>0</v>
      </c>
      <c r="AO5" s="79">
        <v>0</v>
      </c>
      <c r="AP5" s="79">
        <v>1268</v>
      </c>
      <c r="AQ5" s="79">
        <v>1268</v>
      </c>
      <c r="AR5" s="80">
        <v>9.0121699999999995E-4</v>
      </c>
      <c r="AS5" s="80">
        <v>1.0897529999999999E-3</v>
      </c>
      <c r="AT5" s="79">
        <v>6365.9070000000002</v>
      </c>
      <c r="AU5" s="79">
        <v>0</v>
      </c>
      <c r="AV5" s="79">
        <v>1085.04</v>
      </c>
      <c r="AW5" s="79">
        <v>11343.939300244099</v>
      </c>
      <c r="AX5" s="79">
        <v>1</v>
      </c>
      <c r="AY5" s="79">
        <v>1.32</v>
      </c>
      <c r="AZ5" s="79">
        <v>722</v>
      </c>
      <c r="BA5" s="79">
        <v>1</v>
      </c>
      <c r="BB5" s="79">
        <v>0</v>
      </c>
      <c r="BC5" s="79">
        <v>0</v>
      </c>
      <c r="BD5" s="79">
        <v>0</v>
      </c>
      <c r="BE5" s="79">
        <v>0</v>
      </c>
      <c r="BF5" s="79">
        <v>0</v>
      </c>
      <c r="BG5" s="79">
        <v>0</v>
      </c>
      <c r="BH5" s="79">
        <v>0</v>
      </c>
      <c r="BI5" s="79">
        <v>0</v>
      </c>
      <c r="BJ5" s="79">
        <v>0</v>
      </c>
      <c r="BK5" s="79">
        <v>17</v>
      </c>
      <c r="BL5" s="79">
        <v>2065</v>
      </c>
      <c r="BM5" s="79">
        <v>66</v>
      </c>
      <c r="BN5" s="79">
        <v>14</v>
      </c>
      <c r="BO5">
        <v>2604</v>
      </c>
      <c r="BP5">
        <v>1167</v>
      </c>
      <c r="BQ5">
        <v>2344</v>
      </c>
      <c r="BR5">
        <v>1074</v>
      </c>
      <c r="BS5">
        <v>2317</v>
      </c>
      <c r="BT5">
        <v>944</v>
      </c>
      <c r="BU5">
        <v>2318</v>
      </c>
      <c r="BV5">
        <v>874</v>
      </c>
      <c r="BW5">
        <v>2306</v>
      </c>
      <c r="BX5">
        <v>1026</v>
      </c>
      <c r="BY5">
        <v>2286</v>
      </c>
      <c r="BZ5">
        <v>1207</v>
      </c>
      <c r="CA5">
        <v>2210</v>
      </c>
      <c r="CB5">
        <v>396.80023080811202</v>
      </c>
      <c r="CC5">
        <v>64.225286056441803</v>
      </c>
      <c r="CD5">
        <v>45.375034652739203</v>
      </c>
      <c r="CE5">
        <v>3014.0124948375301</v>
      </c>
      <c r="CF5">
        <v>633.78136750048702</v>
      </c>
      <c r="CG5">
        <v>64.536335833814206</v>
      </c>
      <c r="CH5">
        <v>189</v>
      </c>
      <c r="CI5">
        <v>158.5427821239</v>
      </c>
      <c r="CJ5">
        <v>144.03074312126</v>
      </c>
      <c r="CK5" s="81">
        <v>972</v>
      </c>
      <c r="CL5">
        <v>318</v>
      </c>
      <c r="CM5">
        <v>2889.9027481043199</v>
      </c>
      <c r="CN5">
        <v>1.3764620640217</v>
      </c>
      <c r="CO5">
        <v>8976</v>
      </c>
      <c r="CP5">
        <v>1562</v>
      </c>
      <c r="CQ5">
        <v>332</v>
      </c>
      <c r="CR5">
        <v>333</v>
      </c>
      <c r="CS5">
        <v>339</v>
      </c>
      <c r="CT5">
        <v>165</v>
      </c>
      <c r="CU5">
        <v>251.509056817378</v>
      </c>
      <c r="CV5">
        <v>172.79845043515201</v>
      </c>
      <c r="CW5">
        <v>61.508950682799103</v>
      </c>
      <c r="CX5">
        <v>567.53501016413702</v>
      </c>
      <c r="CY5">
        <v>389.92301734593002</v>
      </c>
      <c r="CZ5">
        <v>138.796126838069</v>
      </c>
      <c r="DA5">
        <v>27117.8</v>
      </c>
      <c r="DE5">
        <v>3</v>
      </c>
      <c r="DF5" t="s">
        <v>28</v>
      </c>
      <c r="DG5">
        <v>2344</v>
      </c>
      <c r="DH5">
        <v>2317</v>
      </c>
      <c r="DI5">
        <v>2318</v>
      </c>
      <c r="DJ5">
        <v>2306</v>
      </c>
      <c r="DK5">
        <v>2286</v>
      </c>
      <c r="DO5">
        <v>3</v>
      </c>
      <c r="DP5" t="s">
        <v>28</v>
      </c>
      <c r="DQ5">
        <v>6057</v>
      </c>
      <c r="DR5">
        <v>1.31</v>
      </c>
      <c r="DS5">
        <v>1051</v>
      </c>
      <c r="DV5">
        <v>1680</v>
      </c>
      <c r="DW5" t="s">
        <v>0</v>
      </c>
      <c r="DX5">
        <v>3166.4488217632602</v>
      </c>
      <c r="DY5">
        <v>687</v>
      </c>
      <c r="DZ5">
        <v>568</v>
      </c>
      <c r="EA5">
        <v>319</v>
      </c>
      <c r="EB5">
        <v>2336</v>
      </c>
      <c r="EC5">
        <v>1348</v>
      </c>
      <c r="ED5">
        <v>447</v>
      </c>
      <c r="EE5" s="82">
        <v>0.14217581810808899</v>
      </c>
      <c r="EF5" s="82">
        <v>0.418704494192155</v>
      </c>
    </row>
    <row r="6" spans="1:136" x14ac:dyDescent="0.35">
      <c r="A6" s="72">
        <v>5</v>
      </c>
      <c r="B6" s="72">
        <v>1</v>
      </c>
      <c r="D6" s="72" t="s">
        <v>794</v>
      </c>
      <c r="E6" s="79">
        <v>622800000</v>
      </c>
      <c r="F6" s="79">
        <v>95900000</v>
      </c>
      <c r="G6" s="79">
        <v>112350000</v>
      </c>
      <c r="H6" s="79">
        <v>10475</v>
      </c>
      <c r="I6" s="79">
        <v>1</v>
      </c>
      <c r="J6" s="79">
        <v>112.35</v>
      </c>
      <c r="K6" s="79">
        <v>2371</v>
      </c>
      <c r="L6" s="79">
        <v>2232</v>
      </c>
      <c r="M6" s="79">
        <v>624</v>
      </c>
      <c r="N6" s="79">
        <v>1323</v>
      </c>
      <c r="O6" s="79">
        <v>839.9</v>
      </c>
      <c r="P6" s="79">
        <v>167</v>
      </c>
      <c r="Q6" s="79">
        <v>846</v>
      </c>
      <c r="R6" s="79">
        <v>155</v>
      </c>
      <c r="S6" s="79">
        <v>0</v>
      </c>
      <c r="T6" s="79">
        <v>267</v>
      </c>
      <c r="U6" s="79">
        <v>4716</v>
      </c>
      <c r="V6" s="79">
        <v>8670</v>
      </c>
      <c r="W6" s="79">
        <v>1740</v>
      </c>
      <c r="X6" s="79">
        <v>0</v>
      </c>
      <c r="Y6" s="79">
        <v>0</v>
      </c>
      <c r="Z6" s="79">
        <v>0</v>
      </c>
      <c r="AA6" s="79">
        <v>0</v>
      </c>
      <c r="AB6" s="79">
        <v>0</v>
      </c>
      <c r="AC6" s="79">
        <v>4454</v>
      </c>
      <c r="AD6" s="79">
        <v>5612.04</v>
      </c>
      <c r="AE6" s="79">
        <v>41</v>
      </c>
      <c r="AF6" s="79">
        <v>0</v>
      </c>
      <c r="AG6" s="79">
        <v>87</v>
      </c>
      <c r="AH6" s="79">
        <v>70.11</v>
      </c>
      <c r="AI6" s="79">
        <v>38.1</v>
      </c>
      <c r="AJ6" s="79">
        <v>4831</v>
      </c>
      <c r="AK6" s="79">
        <v>5942.13</v>
      </c>
      <c r="AL6" s="79">
        <v>0</v>
      </c>
      <c r="AM6" s="79">
        <v>0</v>
      </c>
      <c r="AN6" s="79">
        <v>0</v>
      </c>
      <c r="AO6" s="79">
        <v>0</v>
      </c>
      <c r="AP6" s="79">
        <v>678</v>
      </c>
      <c r="AQ6" s="79">
        <v>0</v>
      </c>
      <c r="AR6" s="80">
        <v>4.8820800000000001E-4</v>
      </c>
      <c r="AS6" s="80">
        <v>1.7957300000000001E-4</v>
      </c>
      <c r="AT6" s="79">
        <v>3309.2350000000001</v>
      </c>
      <c r="AU6" s="79">
        <v>0</v>
      </c>
      <c r="AV6" s="79">
        <v>1307.8800000000001</v>
      </c>
      <c r="AW6" s="79">
        <v>3047.8404894327</v>
      </c>
      <c r="AX6" s="79">
        <v>3</v>
      </c>
      <c r="AY6" s="79">
        <v>3.81</v>
      </c>
      <c r="AZ6" s="79">
        <v>886</v>
      </c>
      <c r="BA6" s="79">
        <v>1</v>
      </c>
      <c r="BB6" s="79">
        <v>0</v>
      </c>
      <c r="BC6" s="79">
        <v>0</v>
      </c>
      <c r="BD6" s="79">
        <v>0</v>
      </c>
      <c r="BE6" s="79">
        <v>0</v>
      </c>
      <c r="BF6" s="79">
        <v>0</v>
      </c>
      <c r="BG6" s="79">
        <v>0</v>
      </c>
      <c r="BH6" s="79">
        <v>0</v>
      </c>
      <c r="BI6" s="79">
        <v>0</v>
      </c>
      <c r="BJ6" s="79">
        <v>0</v>
      </c>
      <c r="BK6" s="79">
        <v>6</v>
      </c>
      <c r="BL6" s="79">
        <v>1286</v>
      </c>
      <c r="BM6" s="79">
        <v>57</v>
      </c>
      <c r="BN6" s="79">
        <v>30</v>
      </c>
      <c r="BO6">
        <v>2745</v>
      </c>
      <c r="BP6">
        <v>0</v>
      </c>
      <c r="BQ6">
        <v>2386</v>
      </c>
      <c r="BR6">
        <v>0</v>
      </c>
      <c r="BS6">
        <v>2355</v>
      </c>
      <c r="BT6">
        <v>0</v>
      </c>
      <c r="BU6">
        <v>2300</v>
      </c>
      <c r="BV6">
        <v>0</v>
      </c>
      <c r="BW6">
        <v>2275</v>
      </c>
      <c r="BX6">
        <v>0</v>
      </c>
      <c r="BY6">
        <v>2267</v>
      </c>
      <c r="BZ6">
        <v>0</v>
      </c>
      <c r="CA6">
        <v>2125</v>
      </c>
      <c r="CB6">
        <v>223.28875493183099</v>
      </c>
      <c r="CC6">
        <v>12.8567817686456</v>
      </c>
      <c r="CD6">
        <v>20.733597438975</v>
      </c>
      <c r="CE6">
        <v>2691.7193439151702</v>
      </c>
      <c r="CF6">
        <v>703.26498896331998</v>
      </c>
      <c r="CG6">
        <v>88.523734177215204</v>
      </c>
      <c r="CH6">
        <v>100</v>
      </c>
      <c r="CI6">
        <v>55.8425406835294</v>
      </c>
      <c r="CJ6">
        <v>42.570662991505301</v>
      </c>
      <c r="CK6" s="81">
        <v>679</v>
      </c>
      <c r="CL6">
        <v>308</v>
      </c>
      <c r="CM6">
        <v>1742.0247292245799</v>
      </c>
      <c r="CN6">
        <v>0.32899176119763801</v>
      </c>
      <c r="CO6">
        <v>8243</v>
      </c>
      <c r="CP6">
        <v>1412</v>
      </c>
      <c r="CQ6">
        <v>196</v>
      </c>
      <c r="CR6">
        <v>262</v>
      </c>
      <c r="CS6">
        <v>203</v>
      </c>
      <c r="CT6">
        <v>90</v>
      </c>
      <c r="CU6">
        <v>149.96484825661599</v>
      </c>
      <c r="CV6">
        <v>74.895538352956393</v>
      </c>
      <c r="CW6">
        <v>22.242758489973099</v>
      </c>
      <c r="CX6">
        <v>426.70760643543798</v>
      </c>
      <c r="CY6">
        <v>213.10657980727001</v>
      </c>
      <c r="CZ6">
        <v>63.289193075012797</v>
      </c>
      <c r="DA6">
        <v>61320</v>
      </c>
      <c r="DE6">
        <v>5</v>
      </c>
      <c r="DF6" t="s">
        <v>794</v>
      </c>
      <c r="DG6">
        <v>2386</v>
      </c>
      <c r="DH6">
        <v>2355</v>
      </c>
      <c r="DI6">
        <v>2300</v>
      </c>
      <c r="DJ6">
        <v>2275</v>
      </c>
      <c r="DK6">
        <v>2267</v>
      </c>
      <c r="DO6">
        <v>5</v>
      </c>
      <c r="DP6" t="s">
        <v>794</v>
      </c>
      <c r="DQ6">
        <v>4831</v>
      </c>
      <c r="DR6">
        <v>1.23</v>
      </c>
      <c r="DS6">
        <v>685</v>
      </c>
      <c r="DV6">
        <v>738</v>
      </c>
      <c r="DW6" t="s">
        <v>822</v>
      </c>
      <c r="DX6">
        <v>1348.0329067641701</v>
      </c>
      <c r="DY6">
        <v>224</v>
      </c>
      <c r="DZ6">
        <v>222</v>
      </c>
      <c r="EA6">
        <v>136</v>
      </c>
      <c r="EB6">
        <v>813</v>
      </c>
      <c r="EC6">
        <v>463</v>
      </c>
      <c r="ED6">
        <v>178</v>
      </c>
      <c r="EE6" s="82">
        <v>0.16328767710237699</v>
      </c>
      <c r="EF6" s="82">
        <v>0.42615606722440202</v>
      </c>
    </row>
    <row r="7" spans="1:136" x14ac:dyDescent="0.35">
      <c r="A7" s="72">
        <v>1663</v>
      </c>
      <c r="B7" s="72">
        <v>1</v>
      </c>
      <c r="D7" s="72" t="s">
        <v>795</v>
      </c>
      <c r="E7" s="79">
        <v>548800000</v>
      </c>
      <c r="F7" s="79">
        <v>162400000</v>
      </c>
      <c r="G7" s="79">
        <v>181650000</v>
      </c>
      <c r="H7" s="79">
        <v>10058</v>
      </c>
      <c r="I7" s="79">
        <v>4</v>
      </c>
      <c r="J7" s="79">
        <v>181.65</v>
      </c>
      <c r="K7" s="79">
        <v>2084</v>
      </c>
      <c r="L7" s="79">
        <v>2394</v>
      </c>
      <c r="M7" s="79">
        <v>686</v>
      </c>
      <c r="N7" s="79">
        <v>1710</v>
      </c>
      <c r="O7" s="79">
        <v>1185.8</v>
      </c>
      <c r="P7" s="79">
        <v>288</v>
      </c>
      <c r="Q7" s="79">
        <v>888</v>
      </c>
      <c r="R7" s="79">
        <v>120</v>
      </c>
      <c r="S7" s="79">
        <v>0</v>
      </c>
      <c r="T7" s="79">
        <v>295</v>
      </c>
      <c r="U7" s="79">
        <v>4788</v>
      </c>
      <c r="V7" s="79">
        <v>7930</v>
      </c>
      <c r="W7" s="79">
        <v>290</v>
      </c>
      <c r="X7" s="79">
        <v>0</v>
      </c>
      <c r="Y7" s="79">
        <v>146.4</v>
      </c>
      <c r="Z7" s="79">
        <v>0</v>
      </c>
      <c r="AA7" s="79">
        <v>0</v>
      </c>
      <c r="AB7" s="79">
        <v>37.799999999999997</v>
      </c>
      <c r="AC7" s="79">
        <v>16885</v>
      </c>
      <c r="AD7" s="79">
        <v>17898.099999999999</v>
      </c>
      <c r="AE7" s="79">
        <v>1502</v>
      </c>
      <c r="AF7" s="79">
        <v>5646</v>
      </c>
      <c r="AG7" s="79">
        <v>148</v>
      </c>
      <c r="AH7" s="79">
        <v>81.400000000000006</v>
      </c>
      <c r="AI7" s="79">
        <v>77.7</v>
      </c>
      <c r="AJ7" s="79">
        <v>5242</v>
      </c>
      <c r="AK7" s="79">
        <v>5766.2</v>
      </c>
      <c r="AL7" s="79">
        <v>0</v>
      </c>
      <c r="AM7" s="79">
        <v>0</v>
      </c>
      <c r="AN7" s="79">
        <v>0</v>
      </c>
      <c r="AO7" s="79">
        <v>0</v>
      </c>
      <c r="AP7" s="79">
        <v>0</v>
      </c>
      <c r="AQ7" s="79">
        <v>0</v>
      </c>
      <c r="AR7" s="80">
        <v>1.0799659999999999E-3</v>
      </c>
      <c r="AS7" s="80">
        <v>2.0576599999999999E-4</v>
      </c>
      <c r="AT7" s="79">
        <v>812.51</v>
      </c>
      <c r="AU7" s="79">
        <v>0</v>
      </c>
      <c r="AV7" s="79">
        <v>3708.94</v>
      </c>
      <c r="AW7" s="79">
        <v>2028.8529134714699</v>
      </c>
      <c r="AX7" s="79">
        <v>17</v>
      </c>
      <c r="AY7" s="79">
        <v>17.850000000000001</v>
      </c>
      <c r="AZ7" s="79">
        <v>1146</v>
      </c>
      <c r="BA7" s="79">
        <v>1</v>
      </c>
      <c r="BB7" s="79">
        <v>0</v>
      </c>
      <c r="BC7" s="79">
        <v>0</v>
      </c>
      <c r="BD7" s="79">
        <v>0</v>
      </c>
      <c r="BE7" s="79">
        <v>0</v>
      </c>
      <c r="BF7" s="79">
        <v>0</v>
      </c>
      <c r="BG7" s="79">
        <v>0</v>
      </c>
      <c r="BH7" s="79">
        <v>0</v>
      </c>
      <c r="BI7" s="79">
        <v>0</v>
      </c>
      <c r="BJ7" s="79">
        <v>0</v>
      </c>
      <c r="BK7" s="79">
        <v>9</v>
      </c>
      <c r="BL7" s="79">
        <v>1696</v>
      </c>
      <c r="BM7" s="79">
        <v>74</v>
      </c>
      <c r="BN7" s="79">
        <v>74</v>
      </c>
      <c r="BO7">
        <v>2458</v>
      </c>
      <c r="BP7">
        <v>132</v>
      </c>
      <c r="BQ7">
        <v>2161</v>
      </c>
      <c r="BR7">
        <v>141</v>
      </c>
      <c r="BS7">
        <v>2136</v>
      </c>
      <c r="BT7">
        <v>165</v>
      </c>
      <c r="BU7">
        <v>2123</v>
      </c>
      <c r="BV7">
        <v>160</v>
      </c>
      <c r="BW7">
        <v>2104</v>
      </c>
      <c r="BX7">
        <v>161</v>
      </c>
      <c r="BY7">
        <v>2034</v>
      </c>
      <c r="BZ7">
        <v>168</v>
      </c>
      <c r="CA7">
        <v>1878</v>
      </c>
      <c r="CB7">
        <v>238.596076696664</v>
      </c>
      <c r="CC7">
        <v>52.417316008265502</v>
      </c>
      <c r="CD7">
        <v>20.3501100309126</v>
      </c>
      <c r="CE7">
        <v>2658.9692251506999</v>
      </c>
      <c r="CF7">
        <v>566.41303200490097</v>
      </c>
      <c r="CG7">
        <v>93.753489361702094</v>
      </c>
      <c r="CH7">
        <v>114</v>
      </c>
      <c r="CI7">
        <v>66.851545043614493</v>
      </c>
      <c r="CJ7">
        <v>64.210750012187205</v>
      </c>
      <c r="CK7" s="81">
        <v>600</v>
      </c>
      <c r="CL7">
        <v>159</v>
      </c>
      <c r="CM7">
        <v>1954.5240114840101</v>
      </c>
      <c r="CN7">
        <v>0.80269801876659397</v>
      </c>
      <c r="CO7">
        <v>7664</v>
      </c>
      <c r="CP7">
        <v>1470</v>
      </c>
      <c r="CQ7">
        <v>238</v>
      </c>
      <c r="CR7">
        <v>368</v>
      </c>
      <c r="CS7">
        <v>248</v>
      </c>
      <c r="CT7">
        <v>127</v>
      </c>
      <c r="CU7">
        <v>216.66775654622899</v>
      </c>
      <c r="CV7">
        <v>114.214214045768</v>
      </c>
      <c r="CW7">
        <v>41.3885171690604</v>
      </c>
      <c r="CX7">
        <v>548.94492577103597</v>
      </c>
      <c r="CY7">
        <v>289.37075940957499</v>
      </c>
      <c r="CZ7">
        <v>104.861087073173</v>
      </c>
      <c r="DA7">
        <v>0</v>
      </c>
      <c r="DE7">
        <v>9</v>
      </c>
      <c r="DF7" t="s">
        <v>801</v>
      </c>
      <c r="DG7">
        <v>1883</v>
      </c>
      <c r="DH7">
        <v>1873</v>
      </c>
      <c r="DI7">
        <v>1866</v>
      </c>
      <c r="DJ7">
        <v>1835</v>
      </c>
      <c r="DK7">
        <v>1815</v>
      </c>
      <c r="DO7">
        <v>1663</v>
      </c>
      <c r="DP7" t="s">
        <v>795</v>
      </c>
      <c r="DQ7">
        <v>5242</v>
      </c>
      <c r="DR7">
        <v>1.1000000000000001</v>
      </c>
      <c r="DS7">
        <v>155</v>
      </c>
      <c r="DV7">
        <v>358</v>
      </c>
      <c r="DW7" t="s">
        <v>12</v>
      </c>
      <c r="DX7">
        <v>3162.6810644041698</v>
      </c>
      <c r="DY7">
        <v>573</v>
      </c>
      <c r="DZ7">
        <v>627</v>
      </c>
      <c r="EA7">
        <v>345</v>
      </c>
      <c r="EB7">
        <v>1940</v>
      </c>
      <c r="EC7">
        <v>1293</v>
      </c>
      <c r="ED7">
        <v>499</v>
      </c>
      <c r="EE7" s="82">
        <v>0.144562408320768</v>
      </c>
      <c r="EF7" s="82">
        <v>0.32517440509773998</v>
      </c>
    </row>
    <row r="8" spans="1:136" x14ac:dyDescent="0.35">
      <c r="A8" s="72">
        <v>10</v>
      </c>
      <c r="B8" s="72">
        <v>1</v>
      </c>
      <c r="D8" s="72" t="s">
        <v>81</v>
      </c>
      <c r="E8" s="79">
        <v>1150400000</v>
      </c>
      <c r="F8" s="79">
        <v>587300000</v>
      </c>
      <c r="G8" s="79">
        <v>617050000</v>
      </c>
      <c r="H8" s="79">
        <v>24863</v>
      </c>
      <c r="I8" s="79">
        <v>3</v>
      </c>
      <c r="J8" s="79">
        <v>617.04999999999995</v>
      </c>
      <c r="K8" s="79">
        <v>4975</v>
      </c>
      <c r="L8" s="79">
        <v>6155</v>
      </c>
      <c r="M8" s="79">
        <v>2081</v>
      </c>
      <c r="N8" s="79">
        <v>4307</v>
      </c>
      <c r="O8" s="79">
        <v>3074.3</v>
      </c>
      <c r="P8" s="79">
        <v>977</v>
      </c>
      <c r="Q8" s="79">
        <v>2516</v>
      </c>
      <c r="R8" s="79">
        <v>1775</v>
      </c>
      <c r="S8" s="79">
        <v>0</v>
      </c>
      <c r="T8" s="79">
        <v>934</v>
      </c>
      <c r="U8" s="79">
        <v>12184</v>
      </c>
      <c r="V8" s="79">
        <v>24880</v>
      </c>
      <c r="W8" s="79">
        <v>17580</v>
      </c>
      <c r="X8" s="79">
        <v>0</v>
      </c>
      <c r="Y8" s="79">
        <v>892</v>
      </c>
      <c r="Z8" s="79">
        <v>0</v>
      </c>
      <c r="AA8" s="79">
        <v>0</v>
      </c>
      <c r="AB8" s="79">
        <v>0</v>
      </c>
      <c r="AC8" s="79">
        <v>13287</v>
      </c>
      <c r="AD8" s="79">
        <v>16475.88</v>
      </c>
      <c r="AE8" s="79">
        <v>545</v>
      </c>
      <c r="AF8" s="79">
        <v>8919</v>
      </c>
      <c r="AG8" s="79">
        <v>269</v>
      </c>
      <c r="AH8" s="79">
        <v>198.9</v>
      </c>
      <c r="AI8" s="79">
        <v>142.68</v>
      </c>
      <c r="AJ8" s="79">
        <v>12327</v>
      </c>
      <c r="AK8" s="79">
        <v>16025.1</v>
      </c>
      <c r="AL8" s="79">
        <v>6</v>
      </c>
      <c r="AM8" s="79">
        <v>0</v>
      </c>
      <c r="AN8" s="79">
        <v>0</v>
      </c>
      <c r="AO8" s="79">
        <v>0</v>
      </c>
      <c r="AP8" s="79">
        <v>1579</v>
      </c>
      <c r="AQ8" s="79">
        <v>948</v>
      </c>
      <c r="AR8" s="80">
        <v>1.5469520000000001E-3</v>
      </c>
      <c r="AS8" s="80">
        <v>1.9630590000000001E-3</v>
      </c>
      <c r="AT8" s="79">
        <v>8345.3790000000008</v>
      </c>
      <c r="AU8" s="79">
        <v>0</v>
      </c>
      <c r="AV8" s="79">
        <v>3861.36</v>
      </c>
      <c r="AW8" s="79">
        <v>12258.940138808601</v>
      </c>
      <c r="AX8" s="79">
        <v>11</v>
      </c>
      <c r="AY8" s="79">
        <v>13.53</v>
      </c>
      <c r="AZ8" s="79">
        <v>1810</v>
      </c>
      <c r="BA8" s="79">
        <v>1</v>
      </c>
      <c r="BB8" s="79">
        <v>0</v>
      </c>
      <c r="BC8" s="79">
        <v>0</v>
      </c>
      <c r="BD8" s="79">
        <v>0</v>
      </c>
      <c r="BE8" s="79">
        <v>0</v>
      </c>
      <c r="BF8" s="79">
        <v>0</v>
      </c>
      <c r="BG8" s="79">
        <v>0</v>
      </c>
      <c r="BH8" s="79">
        <v>0</v>
      </c>
      <c r="BI8" s="79">
        <v>0</v>
      </c>
      <c r="BJ8" s="79">
        <v>0</v>
      </c>
      <c r="BK8" s="79">
        <v>38</v>
      </c>
      <c r="BL8" s="79">
        <v>4265</v>
      </c>
      <c r="BM8" s="79">
        <v>153</v>
      </c>
      <c r="BN8" s="79">
        <v>116</v>
      </c>
      <c r="BO8">
        <v>6121</v>
      </c>
      <c r="BP8">
        <v>1330</v>
      </c>
      <c r="BQ8">
        <v>5236</v>
      </c>
      <c r="BR8">
        <v>1332</v>
      </c>
      <c r="BS8">
        <v>5135</v>
      </c>
      <c r="BT8">
        <v>1355</v>
      </c>
      <c r="BU8">
        <v>5083</v>
      </c>
      <c r="BV8">
        <v>1454</v>
      </c>
      <c r="BW8">
        <v>5004</v>
      </c>
      <c r="BX8">
        <v>1490</v>
      </c>
      <c r="BY8">
        <v>4873</v>
      </c>
      <c r="BZ8">
        <v>1211</v>
      </c>
      <c r="CA8">
        <v>4391</v>
      </c>
      <c r="CB8">
        <v>770.54812449388203</v>
      </c>
      <c r="CC8">
        <v>168.450401300946</v>
      </c>
      <c r="CD8">
        <v>91.546052073646393</v>
      </c>
      <c r="CE8">
        <v>6392.7493813251103</v>
      </c>
      <c r="CF8">
        <v>1271.16305911218</v>
      </c>
      <c r="CG8">
        <v>150.30448117154799</v>
      </c>
      <c r="CH8">
        <v>326</v>
      </c>
      <c r="CI8">
        <v>290.34222564336699</v>
      </c>
      <c r="CJ8">
        <v>286.28770861787302</v>
      </c>
      <c r="CK8" s="81">
        <v>1539</v>
      </c>
      <c r="CL8">
        <v>433</v>
      </c>
      <c r="CM8">
        <v>5738.5248093186501</v>
      </c>
      <c r="CN8">
        <v>3.0166060686933198</v>
      </c>
      <c r="CO8">
        <v>18708</v>
      </c>
      <c r="CP8">
        <v>3393</v>
      </c>
      <c r="CQ8">
        <v>681</v>
      </c>
      <c r="CR8">
        <v>798</v>
      </c>
      <c r="CS8">
        <v>741</v>
      </c>
      <c r="CT8">
        <v>324</v>
      </c>
      <c r="CU8">
        <v>540.50544689328797</v>
      </c>
      <c r="CV8">
        <v>362.16608624321799</v>
      </c>
      <c r="CW8">
        <v>118.976048993123</v>
      </c>
      <c r="CX8">
        <v>1263.44397944452</v>
      </c>
      <c r="CY8">
        <v>846.57160043998397</v>
      </c>
      <c r="CZ8">
        <v>278.109265433796</v>
      </c>
      <c r="DA8">
        <v>30029.4</v>
      </c>
      <c r="DE8">
        <v>10</v>
      </c>
      <c r="DF8" t="s">
        <v>81</v>
      </c>
      <c r="DG8">
        <v>5236</v>
      </c>
      <c r="DH8">
        <v>5135</v>
      </c>
      <c r="DI8">
        <v>5083</v>
      </c>
      <c r="DJ8">
        <v>5004</v>
      </c>
      <c r="DK8">
        <v>4873</v>
      </c>
      <c r="DO8">
        <v>10</v>
      </c>
      <c r="DP8" t="s">
        <v>81</v>
      </c>
      <c r="DQ8">
        <v>12327</v>
      </c>
      <c r="DR8">
        <v>1.3</v>
      </c>
      <c r="DS8">
        <v>677</v>
      </c>
      <c r="DV8">
        <v>197</v>
      </c>
      <c r="DW8" t="s">
        <v>13</v>
      </c>
      <c r="DX8">
        <v>3691.14678817908</v>
      </c>
      <c r="DY8">
        <v>594</v>
      </c>
      <c r="DZ8">
        <v>602</v>
      </c>
      <c r="EA8">
        <v>343</v>
      </c>
      <c r="EB8">
        <v>2027</v>
      </c>
      <c r="EC8">
        <v>1261</v>
      </c>
      <c r="ED8">
        <v>483</v>
      </c>
      <c r="EE8" s="82">
        <v>0.202801213140204</v>
      </c>
      <c r="EF8" s="82">
        <v>0.51638898100144803</v>
      </c>
    </row>
    <row r="9" spans="1:136" x14ac:dyDescent="0.35">
      <c r="A9" s="72">
        <v>1651</v>
      </c>
      <c r="B9" s="72">
        <v>1</v>
      </c>
      <c r="D9" s="72" t="s">
        <v>796</v>
      </c>
      <c r="E9" s="79">
        <v>826000000</v>
      </c>
      <c r="F9" s="79">
        <v>880950000</v>
      </c>
      <c r="G9" s="79">
        <v>906850000</v>
      </c>
      <c r="H9" s="79">
        <v>15553</v>
      </c>
      <c r="I9" s="79">
        <v>4</v>
      </c>
      <c r="J9" s="79">
        <v>906.85</v>
      </c>
      <c r="K9" s="79">
        <v>3390</v>
      </c>
      <c r="L9" s="79">
        <v>3557</v>
      </c>
      <c r="M9" s="79">
        <v>1036</v>
      </c>
      <c r="N9" s="79">
        <v>2616</v>
      </c>
      <c r="O9" s="79">
        <v>1872.1</v>
      </c>
      <c r="P9" s="79">
        <v>456</v>
      </c>
      <c r="Q9" s="79">
        <v>1554</v>
      </c>
      <c r="R9" s="79">
        <v>295</v>
      </c>
      <c r="S9" s="79">
        <v>0</v>
      </c>
      <c r="T9" s="79">
        <v>516</v>
      </c>
      <c r="U9" s="79">
        <v>7242</v>
      </c>
      <c r="V9" s="79">
        <v>14200</v>
      </c>
      <c r="W9" s="79">
        <v>2530</v>
      </c>
      <c r="X9" s="79">
        <v>0</v>
      </c>
      <c r="Y9" s="79">
        <v>994.4</v>
      </c>
      <c r="Z9" s="79">
        <v>0</v>
      </c>
      <c r="AA9" s="79">
        <v>0</v>
      </c>
      <c r="AB9" s="79">
        <v>82.5</v>
      </c>
      <c r="AC9" s="79">
        <v>18652</v>
      </c>
      <c r="AD9" s="79">
        <v>19771.12</v>
      </c>
      <c r="AE9" s="79">
        <v>399</v>
      </c>
      <c r="AF9" s="79">
        <v>10000</v>
      </c>
      <c r="AG9" s="79">
        <v>233</v>
      </c>
      <c r="AH9" s="79">
        <v>112.32</v>
      </c>
      <c r="AI9" s="79">
        <v>136.74</v>
      </c>
      <c r="AJ9" s="79">
        <v>7439</v>
      </c>
      <c r="AK9" s="79">
        <v>8034.12</v>
      </c>
      <c r="AL9" s="79">
        <v>0</v>
      </c>
      <c r="AM9" s="79">
        <v>0</v>
      </c>
      <c r="AN9" s="79">
        <v>0</v>
      </c>
      <c r="AO9" s="79">
        <v>0</v>
      </c>
      <c r="AP9" s="79">
        <v>845</v>
      </c>
      <c r="AQ9" s="79">
        <v>0</v>
      </c>
      <c r="AR9" s="80">
        <v>1.5148889999999999E-3</v>
      </c>
      <c r="AS9" s="80">
        <v>2.8887900000000002E-4</v>
      </c>
      <c r="AT9" s="79">
        <v>2663.1619999999998</v>
      </c>
      <c r="AU9" s="79">
        <v>0</v>
      </c>
      <c r="AV9" s="79">
        <v>3685.62</v>
      </c>
      <c r="AW9" s="79">
        <v>3008.8944338879901</v>
      </c>
      <c r="AX9" s="79">
        <v>13</v>
      </c>
      <c r="AY9" s="79">
        <v>13.78</v>
      </c>
      <c r="AZ9" s="79">
        <v>1475</v>
      </c>
      <c r="BA9" s="79">
        <v>1</v>
      </c>
      <c r="BB9" s="79">
        <v>0</v>
      </c>
      <c r="BC9" s="79">
        <v>0</v>
      </c>
      <c r="BD9" s="79">
        <v>0</v>
      </c>
      <c r="BE9" s="79">
        <v>0</v>
      </c>
      <c r="BF9" s="79">
        <v>0</v>
      </c>
      <c r="BG9" s="79">
        <v>0</v>
      </c>
      <c r="BH9" s="79">
        <v>0</v>
      </c>
      <c r="BI9" s="79">
        <v>0</v>
      </c>
      <c r="BJ9" s="79">
        <v>0</v>
      </c>
      <c r="BK9" s="79">
        <v>17</v>
      </c>
      <c r="BL9" s="79">
        <v>2538</v>
      </c>
      <c r="BM9" s="79">
        <v>104</v>
      </c>
      <c r="BN9" s="79">
        <v>129</v>
      </c>
      <c r="BO9">
        <v>4140</v>
      </c>
      <c r="BP9">
        <v>1055</v>
      </c>
      <c r="BQ9">
        <v>3716</v>
      </c>
      <c r="BR9">
        <v>1031</v>
      </c>
      <c r="BS9">
        <v>3650</v>
      </c>
      <c r="BT9">
        <v>1032</v>
      </c>
      <c r="BU9">
        <v>3557</v>
      </c>
      <c r="BV9">
        <v>1051</v>
      </c>
      <c r="BW9">
        <v>3467</v>
      </c>
      <c r="BX9">
        <v>1046</v>
      </c>
      <c r="BY9">
        <v>3370</v>
      </c>
      <c r="BZ9">
        <v>1072</v>
      </c>
      <c r="CA9">
        <v>3025</v>
      </c>
      <c r="CB9">
        <v>389.93982140323499</v>
      </c>
      <c r="CC9">
        <v>69.788122263930802</v>
      </c>
      <c r="CD9">
        <v>23.5505391297818</v>
      </c>
      <c r="CE9">
        <v>3905.6875309155798</v>
      </c>
      <c r="CF9">
        <v>887.59325875123795</v>
      </c>
      <c r="CG9">
        <v>134.127531371701</v>
      </c>
      <c r="CH9">
        <v>199</v>
      </c>
      <c r="CI9">
        <v>128.81858934336901</v>
      </c>
      <c r="CJ9">
        <v>134.097588423242</v>
      </c>
      <c r="CK9" s="81">
        <v>1098</v>
      </c>
      <c r="CL9">
        <v>364</v>
      </c>
      <c r="CM9">
        <v>2896.4081947518198</v>
      </c>
      <c r="CN9">
        <v>1.27582665002852</v>
      </c>
      <c r="CO9">
        <v>11996</v>
      </c>
      <c r="CP9">
        <v>2138</v>
      </c>
      <c r="CQ9">
        <v>383</v>
      </c>
      <c r="CR9">
        <v>458</v>
      </c>
      <c r="CS9">
        <v>389</v>
      </c>
      <c r="CT9">
        <v>233</v>
      </c>
      <c r="CU9">
        <v>340.77101573679698</v>
      </c>
      <c r="CV9">
        <v>192.281429854441</v>
      </c>
      <c r="CW9">
        <v>77.516597375873999</v>
      </c>
      <c r="CX9">
        <v>810.25919414334203</v>
      </c>
      <c r="CY9">
        <v>457.19204159934498</v>
      </c>
      <c r="CZ9">
        <v>184.313022006019</v>
      </c>
      <c r="DA9">
        <v>0</v>
      </c>
      <c r="DE9">
        <v>14</v>
      </c>
      <c r="DF9" t="s">
        <v>122</v>
      </c>
      <c r="DG9">
        <v>27978</v>
      </c>
      <c r="DH9">
        <v>28255</v>
      </c>
      <c r="DI9">
        <v>28593</v>
      </c>
      <c r="DJ9">
        <v>28923</v>
      </c>
      <c r="DK9">
        <v>29103</v>
      </c>
      <c r="DO9">
        <v>1651</v>
      </c>
      <c r="DP9" t="s">
        <v>796</v>
      </c>
      <c r="DQ9">
        <v>7439</v>
      </c>
      <c r="DR9">
        <v>1.08</v>
      </c>
      <c r="DS9">
        <v>358</v>
      </c>
      <c r="DV9">
        <v>59</v>
      </c>
      <c r="DW9" t="s">
        <v>14</v>
      </c>
      <c r="DX9">
        <v>4142.7058924879402</v>
      </c>
      <c r="DY9">
        <v>643</v>
      </c>
      <c r="DZ9">
        <v>595</v>
      </c>
      <c r="EA9">
        <v>280</v>
      </c>
      <c r="EB9">
        <v>2003</v>
      </c>
      <c r="EC9">
        <v>1166</v>
      </c>
      <c r="ED9">
        <v>378</v>
      </c>
      <c r="EE9" s="82">
        <v>0.241413045367392</v>
      </c>
      <c r="EF9" s="82">
        <v>0.63046780222485799</v>
      </c>
    </row>
    <row r="10" spans="1:136" x14ac:dyDescent="0.35">
      <c r="A10" s="72">
        <v>14</v>
      </c>
      <c r="B10" s="72">
        <v>1</v>
      </c>
      <c r="D10" s="72" t="s">
        <v>122</v>
      </c>
      <c r="E10" s="79">
        <v>13188400000</v>
      </c>
      <c r="F10" s="79">
        <v>3537800000</v>
      </c>
      <c r="G10" s="79">
        <v>3613750000</v>
      </c>
      <c r="H10" s="79">
        <v>202810</v>
      </c>
      <c r="I10" s="79">
        <v>1</v>
      </c>
      <c r="J10" s="79">
        <v>3613.75</v>
      </c>
      <c r="K10" s="79">
        <v>37368</v>
      </c>
      <c r="L10" s="79">
        <v>25697</v>
      </c>
      <c r="M10" s="79">
        <v>7286</v>
      </c>
      <c r="N10" s="79">
        <v>36715</v>
      </c>
      <c r="O10" s="79">
        <v>25793.1</v>
      </c>
      <c r="P10" s="79">
        <v>10904</v>
      </c>
      <c r="Q10" s="79">
        <v>20926</v>
      </c>
      <c r="R10" s="79">
        <v>11640</v>
      </c>
      <c r="S10" s="79">
        <v>0</v>
      </c>
      <c r="T10" s="79">
        <v>6931</v>
      </c>
      <c r="U10" s="79">
        <v>124674</v>
      </c>
      <c r="V10" s="79">
        <v>231600</v>
      </c>
      <c r="W10" s="79">
        <v>494020</v>
      </c>
      <c r="X10" s="79">
        <v>6710.24</v>
      </c>
      <c r="Y10" s="79">
        <v>10189.6</v>
      </c>
      <c r="Z10" s="79">
        <v>0</v>
      </c>
      <c r="AA10" s="79">
        <v>0</v>
      </c>
      <c r="AB10" s="79">
        <v>0</v>
      </c>
      <c r="AC10" s="79">
        <v>9500</v>
      </c>
      <c r="AD10" s="79">
        <v>10735</v>
      </c>
      <c r="AE10" s="79">
        <v>650</v>
      </c>
      <c r="AF10" s="79">
        <v>0</v>
      </c>
      <c r="AG10" s="79">
        <v>839</v>
      </c>
      <c r="AH10" s="79">
        <v>877.8</v>
      </c>
      <c r="AI10" s="79">
        <v>77.28</v>
      </c>
      <c r="AJ10" s="79">
        <v>109219</v>
      </c>
      <c r="AK10" s="79">
        <v>124509.66</v>
      </c>
      <c r="AL10" s="79">
        <v>0</v>
      </c>
      <c r="AM10" s="79">
        <v>0</v>
      </c>
      <c r="AN10" s="79">
        <v>112</v>
      </c>
      <c r="AO10" s="79">
        <v>6100</v>
      </c>
      <c r="AP10" s="79">
        <v>25153</v>
      </c>
      <c r="AQ10" s="79">
        <v>23468</v>
      </c>
      <c r="AR10" s="80">
        <v>4.2077968E-2</v>
      </c>
      <c r="AS10" s="80">
        <v>5.0673797E-2</v>
      </c>
      <c r="AT10" s="79">
        <v>377460.864</v>
      </c>
      <c r="AU10" s="79">
        <v>6116.2640000000001</v>
      </c>
      <c r="AV10" s="79">
        <v>5892.95</v>
      </c>
      <c r="AW10" s="79">
        <v>126644.754453202</v>
      </c>
      <c r="AX10" s="79">
        <v>5</v>
      </c>
      <c r="AY10" s="79">
        <v>5.6</v>
      </c>
      <c r="AZ10" s="79">
        <v>20106</v>
      </c>
      <c r="BA10" s="79">
        <v>1</v>
      </c>
      <c r="BB10" s="79">
        <v>0</v>
      </c>
      <c r="BC10" s="79">
        <v>0</v>
      </c>
      <c r="BD10" s="79">
        <v>0</v>
      </c>
      <c r="BE10" s="79">
        <v>0</v>
      </c>
      <c r="BF10" s="79">
        <v>0</v>
      </c>
      <c r="BG10" s="79">
        <v>0</v>
      </c>
      <c r="BH10" s="79">
        <v>0</v>
      </c>
      <c r="BI10" s="79">
        <v>0</v>
      </c>
      <c r="BJ10" s="79">
        <v>0</v>
      </c>
      <c r="BK10" s="79">
        <v>143</v>
      </c>
      <c r="BL10" s="79">
        <v>75483</v>
      </c>
      <c r="BM10" s="79">
        <v>770</v>
      </c>
      <c r="BN10" s="79">
        <v>69</v>
      </c>
      <c r="BO10">
        <v>35818</v>
      </c>
      <c r="BP10">
        <v>12851</v>
      </c>
      <c r="BQ10">
        <v>27978</v>
      </c>
      <c r="BR10">
        <v>12856</v>
      </c>
      <c r="BS10">
        <v>28255</v>
      </c>
      <c r="BT10">
        <v>13105</v>
      </c>
      <c r="BU10">
        <v>28593</v>
      </c>
      <c r="BV10">
        <v>13768</v>
      </c>
      <c r="BW10">
        <v>28923</v>
      </c>
      <c r="BX10">
        <v>12290</v>
      </c>
      <c r="BY10">
        <v>29103</v>
      </c>
      <c r="BZ10">
        <v>12382</v>
      </c>
      <c r="CA10">
        <v>29156</v>
      </c>
      <c r="CB10">
        <v>5832.58408992355</v>
      </c>
      <c r="CC10">
        <v>453.35855998941003</v>
      </c>
      <c r="CD10">
        <v>383.41978133370401</v>
      </c>
      <c r="CE10">
        <v>49796.729966849598</v>
      </c>
      <c r="CF10">
        <v>9564.4174903927997</v>
      </c>
      <c r="CG10">
        <v>1090.33302533753</v>
      </c>
      <c r="CH10">
        <v>2363</v>
      </c>
      <c r="CI10">
        <v>2414.0583700382399</v>
      </c>
      <c r="CJ10">
        <v>2356.2861965798202</v>
      </c>
      <c r="CK10" s="81">
        <v>10022</v>
      </c>
      <c r="CL10">
        <v>4214</v>
      </c>
      <c r="CM10">
        <v>15697.5698952984</v>
      </c>
      <c r="CN10">
        <v>30.3689427609505</v>
      </c>
      <c r="CO10">
        <v>177113</v>
      </c>
      <c r="CP10">
        <v>15305</v>
      </c>
      <c r="CQ10">
        <v>3106</v>
      </c>
      <c r="CR10">
        <v>5480</v>
      </c>
      <c r="CS10">
        <v>3233</v>
      </c>
      <c r="CT10">
        <v>1806</v>
      </c>
      <c r="CU10">
        <v>2553.8481651634002</v>
      </c>
      <c r="CV10">
        <v>1283.5365986372401</v>
      </c>
      <c r="CW10">
        <v>552.61741321271995</v>
      </c>
      <c r="CX10">
        <v>6196.5453311983101</v>
      </c>
      <c r="CY10">
        <v>3114.3169849327501</v>
      </c>
      <c r="CZ10">
        <v>1340.8466871651599</v>
      </c>
      <c r="DA10">
        <v>110964.7</v>
      </c>
      <c r="DE10">
        <v>15</v>
      </c>
      <c r="DF10" t="s">
        <v>797</v>
      </c>
      <c r="DG10">
        <v>3132</v>
      </c>
      <c r="DH10">
        <v>3080</v>
      </c>
      <c r="DI10">
        <v>3038</v>
      </c>
      <c r="DJ10">
        <v>3021</v>
      </c>
      <c r="DK10">
        <v>2990</v>
      </c>
      <c r="DO10">
        <v>14</v>
      </c>
      <c r="DP10" t="s">
        <v>122</v>
      </c>
      <c r="DQ10">
        <v>109219</v>
      </c>
      <c r="DR10">
        <v>1.1399999999999999</v>
      </c>
      <c r="DS10">
        <v>3456</v>
      </c>
      <c r="DV10">
        <v>482</v>
      </c>
      <c r="DW10" t="s">
        <v>15</v>
      </c>
      <c r="DX10">
        <v>2444.4427934621099</v>
      </c>
      <c r="DY10">
        <v>417</v>
      </c>
      <c r="DZ10">
        <v>451</v>
      </c>
      <c r="EA10">
        <v>284</v>
      </c>
      <c r="EB10">
        <v>1274</v>
      </c>
      <c r="EC10">
        <v>931</v>
      </c>
      <c r="ED10">
        <v>389</v>
      </c>
      <c r="EE10" s="82">
        <v>0.19461766824901899</v>
      </c>
      <c r="EF10" s="82">
        <v>0.45714514872359002</v>
      </c>
    </row>
    <row r="11" spans="1:136" x14ac:dyDescent="0.35">
      <c r="A11" s="72">
        <v>15</v>
      </c>
      <c r="B11" s="72">
        <v>1</v>
      </c>
      <c r="D11" s="72" t="s">
        <v>797</v>
      </c>
      <c r="E11" s="79">
        <v>758800000</v>
      </c>
      <c r="F11" s="79">
        <v>97650000</v>
      </c>
      <c r="G11" s="79">
        <v>117600000</v>
      </c>
      <c r="H11" s="79">
        <v>12143</v>
      </c>
      <c r="I11" s="79">
        <v>3</v>
      </c>
      <c r="J11" s="79">
        <v>117.6</v>
      </c>
      <c r="K11" s="79">
        <v>3061</v>
      </c>
      <c r="L11" s="79">
        <v>2172</v>
      </c>
      <c r="M11" s="79">
        <v>676</v>
      </c>
      <c r="N11" s="79">
        <v>1426</v>
      </c>
      <c r="O11" s="79">
        <v>924</v>
      </c>
      <c r="P11" s="79">
        <v>175.666666666667</v>
      </c>
      <c r="Q11" s="79">
        <v>807.66666666666697</v>
      </c>
      <c r="R11" s="79">
        <v>100</v>
      </c>
      <c r="S11" s="79">
        <v>0</v>
      </c>
      <c r="T11" s="79">
        <v>290</v>
      </c>
      <c r="U11" s="79">
        <v>4982</v>
      </c>
      <c r="V11" s="79">
        <v>9610</v>
      </c>
      <c r="W11" s="79">
        <v>1100</v>
      </c>
      <c r="X11" s="79">
        <v>0</v>
      </c>
      <c r="Y11" s="79">
        <v>224.8</v>
      </c>
      <c r="Z11" s="79">
        <v>0</v>
      </c>
      <c r="AA11" s="79">
        <v>0</v>
      </c>
      <c r="AB11" s="79">
        <v>76.400000000000006</v>
      </c>
      <c r="AC11" s="79">
        <v>8669</v>
      </c>
      <c r="AD11" s="79">
        <v>8755.69</v>
      </c>
      <c r="AE11" s="79">
        <v>104</v>
      </c>
      <c r="AF11" s="79">
        <v>0</v>
      </c>
      <c r="AG11" s="79">
        <v>139</v>
      </c>
      <c r="AH11" s="79">
        <v>68</v>
      </c>
      <c r="AI11" s="79">
        <v>70.7</v>
      </c>
      <c r="AJ11" s="79">
        <v>5020</v>
      </c>
      <c r="AK11" s="79">
        <v>5020</v>
      </c>
      <c r="AL11" s="79">
        <v>0</v>
      </c>
      <c r="AM11" s="79">
        <v>0</v>
      </c>
      <c r="AN11" s="79">
        <v>0</v>
      </c>
      <c r="AO11" s="79">
        <v>0</v>
      </c>
      <c r="AP11" s="79">
        <v>0</v>
      </c>
      <c r="AQ11" s="79">
        <v>0</v>
      </c>
      <c r="AR11" s="80">
        <v>4.6540999999999998E-4</v>
      </c>
      <c r="AS11" s="80">
        <v>9.2923999999999993E-5</v>
      </c>
      <c r="AT11" s="79">
        <v>1159.6199999999999</v>
      </c>
      <c r="AU11" s="79">
        <v>0</v>
      </c>
      <c r="AV11" s="79">
        <v>1469.55</v>
      </c>
      <c r="AW11" s="79">
        <v>2056.4204411261799</v>
      </c>
      <c r="AX11" s="79">
        <v>9</v>
      </c>
      <c r="AY11" s="79">
        <v>9.09</v>
      </c>
      <c r="AZ11" s="79">
        <v>1216</v>
      </c>
      <c r="BA11" s="79">
        <v>1</v>
      </c>
      <c r="BB11" s="79">
        <v>0</v>
      </c>
      <c r="BC11" s="79">
        <v>0</v>
      </c>
      <c r="BD11" s="79">
        <v>0</v>
      </c>
      <c r="BE11" s="79">
        <v>0</v>
      </c>
      <c r="BF11" s="79">
        <v>0</v>
      </c>
      <c r="BG11" s="79">
        <v>0</v>
      </c>
      <c r="BH11" s="79">
        <v>0</v>
      </c>
      <c r="BI11" s="79">
        <v>0</v>
      </c>
      <c r="BJ11" s="79">
        <v>0</v>
      </c>
      <c r="BK11" s="79">
        <v>18</v>
      </c>
      <c r="BL11" s="79">
        <v>1300</v>
      </c>
      <c r="BM11" s="79">
        <v>68</v>
      </c>
      <c r="BN11" s="79">
        <v>70</v>
      </c>
      <c r="BO11">
        <v>3433</v>
      </c>
      <c r="BP11">
        <v>186</v>
      </c>
      <c r="BQ11">
        <v>3132</v>
      </c>
      <c r="BR11">
        <v>210</v>
      </c>
      <c r="BS11">
        <v>3080</v>
      </c>
      <c r="BT11">
        <v>201</v>
      </c>
      <c r="BU11">
        <v>3038</v>
      </c>
      <c r="BV11">
        <v>203</v>
      </c>
      <c r="BW11">
        <v>3021</v>
      </c>
      <c r="BX11">
        <v>215</v>
      </c>
      <c r="BY11">
        <v>2990</v>
      </c>
      <c r="BZ11">
        <v>202</v>
      </c>
      <c r="CA11">
        <v>2740</v>
      </c>
      <c r="CB11">
        <v>225.175313774595</v>
      </c>
      <c r="CC11">
        <v>31.635428129327401</v>
      </c>
      <c r="CD11">
        <v>19.738774290486901</v>
      </c>
      <c r="CE11">
        <v>2772.3401067316099</v>
      </c>
      <c r="CF11">
        <v>782.51914347968705</v>
      </c>
      <c r="CG11">
        <v>131.23952755905501</v>
      </c>
      <c r="CH11">
        <v>107</v>
      </c>
      <c r="CI11">
        <v>53.878014701639898</v>
      </c>
      <c r="CJ11">
        <v>54.277595314169297</v>
      </c>
      <c r="CK11" s="81">
        <v>632</v>
      </c>
      <c r="CL11">
        <v>194</v>
      </c>
      <c r="CM11">
        <v>1932.4902673796801</v>
      </c>
      <c r="CN11">
        <v>0.34962423180547197</v>
      </c>
      <c r="CO11">
        <v>9971</v>
      </c>
      <c r="CP11">
        <v>1251</v>
      </c>
      <c r="CQ11">
        <v>245</v>
      </c>
      <c r="CR11">
        <v>240</v>
      </c>
      <c r="CS11">
        <v>199</v>
      </c>
      <c r="CT11">
        <v>112</v>
      </c>
      <c r="CU11">
        <v>146.37906432763</v>
      </c>
      <c r="CV11">
        <v>85.065569458320994</v>
      </c>
      <c r="CW11">
        <v>30.0123113023947</v>
      </c>
      <c r="CX11">
        <v>443.84807465189499</v>
      </c>
      <c r="CY11">
        <v>257.93435281657298</v>
      </c>
      <c r="CZ11">
        <v>91.002812790262695</v>
      </c>
      <c r="DA11">
        <v>5292</v>
      </c>
      <c r="DE11">
        <v>17</v>
      </c>
      <c r="DF11" t="s">
        <v>798</v>
      </c>
      <c r="DG11">
        <v>4051</v>
      </c>
      <c r="DH11">
        <v>3984</v>
      </c>
      <c r="DI11">
        <v>3922</v>
      </c>
      <c r="DJ11">
        <v>3844</v>
      </c>
      <c r="DK11">
        <v>3848</v>
      </c>
      <c r="DO11">
        <v>15</v>
      </c>
      <c r="DP11" t="s">
        <v>797</v>
      </c>
      <c r="DQ11">
        <v>5020</v>
      </c>
      <c r="DR11">
        <v>1</v>
      </c>
      <c r="DS11">
        <v>231</v>
      </c>
      <c r="DV11">
        <v>613</v>
      </c>
      <c r="DW11" t="s">
        <v>16</v>
      </c>
      <c r="DX11">
        <v>2190.7910181421598</v>
      </c>
      <c r="DY11">
        <v>484</v>
      </c>
      <c r="DZ11">
        <v>439</v>
      </c>
      <c r="EA11">
        <v>213</v>
      </c>
      <c r="EB11">
        <v>1551</v>
      </c>
      <c r="EC11">
        <v>866</v>
      </c>
      <c r="ED11">
        <v>321</v>
      </c>
      <c r="EE11" s="82">
        <v>0.105785367099583</v>
      </c>
      <c r="EF11" s="82">
        <v>0.29039926317332598</v>
      </c>
    </row>
    <row r="12" spans="1:136" x14ac:dyDescent="0.35">
      <c r="A12" s="72">
        <v>17</v>
      </c>
      <c r="B12" s="72">
        <v>1</v>
      </c>
      <c r="D12" s="72" t="s">
        <v>798</v>
      </c>
      <c r="E12" s="79">
        <v>2093200000</v>
      </c>
      <c r="F12" s="79">
        <v>172550000</v>
      </c>
      <c r="G12" s="79">
        <v>188650000</v>
      </c>
      <c r="H12" s="79">
        <v>19860</v>
      </c>
      <c r="I12" s="79">
        <v>2</v>
      </c>
      <c r="J12" s="79">
        <v>188.65</v>
      </c>
      <c r="K12" s="79">
        <v>4663</v>
      </c>
      <c r="L12" s="79">
        <v>5222</v>
      </c>
      <c r="M12" s="79">
        <v>1698</v>
      </c>
      <c r="N12" s="79">
        <v>2290</v>
      </c>
      <c r="O12" s="79">
        <v>1355.3</v>
      </c>
      <c r="P12" s="79">
        <v>289.33333333333297</v>
      </c>
      <c r="Q12" s="79">
        <v>903.33333333333303</v>
      </c>
      <c r="R12" s="79">
        <v>340</v>
      </c>
      <c r="S12" s="79">
        <v>0</v>
      </c>
      <c r="T12" s="79">
        <v>479</v>
      </c>
      <c r="U12" s="79">
        <v>9213</v>
      </c>
      <c r="V12" s="79">
        <v>17030</v>
      </c>
      <c r="W12" s="79">
        <v>6760</v>
      </c>
      <c r="X12" s="79">
        <v>2139.5255999999999</v>
      </c>
      <c r="Y12" s="79">
        <v>2631.2</v>
      </c>
      <c r="Z12" s="79">
        <v>0</v>
      </c>
      <c r="AA12" s="79">
        <v>0</v>
      </c>
      <c r="AB12" s="79">
        <v>1630.2</v>
      </c>
      <c r="AC12" s="79">
        <v>4536</v>
      </c>
      <c r="AD12" s="79">
        <v>4581.3599999999997</v>
      </c>
      <c r="AE12" s="79">
        <v>537</v>
      </c>
      <c r="AF12" s="79">
        <v>0</v>
      </c>
      <c r="AG12" s="79">
        <v>127</v>
      </c>
      <c r="AH12" s="79">
        <v>107</v>
      </c>
      <c r="AI12" s="79">
        <v>20.2</v>
      </c>
      <c r="AJ12" s="79">
        <v>9347</v>
      </c>
      <c r="AK12" s="79">
        <v>9347</v>
      </c>
      <c r="AL12" s="79">
        <v>0</v>
      </c>
      <c r="AM12" s="79">
        <v>0</v>
      </c>
      <c r="AN12" s="79">
        <v>0</v>
      </c>
      <c r="AO12" s="79">
        <v>0</v>
      </c>
      <c r="AP12" s="79">
        <v>638</v>
      </c>
      <c r="AQ12" s="79">
        <v>0</v>
      </c>
      <c r="AR12" s="80">
        <v>8.3776800000000002E-4</v>
      </c>
      <c r="AS12" s="80">
        <v>5.9275400000000002E-4</v>
      </c>
      <c r="AT12" s="79">
        <v>8253.4009999999998</v>
      </c>
      <c r="AU12" s="79">
        <v>0</v>
      </c>
      <c r="AV12" s="79">
        <v>1882.64</v>
      </c>
      <c r="AW12" s="79">
        <v>7781.45570668244</v>
      </c>
      <c r="AX12" s="79">
        <v>6</v>
      </c>
      <c r="AY12" s="79">
        <v>6.06</v>
      </c>
      <c r="AZ12" s="79">
        <v>2219</v>
      </c>
      <c r="BA12" s="79">
        <v>1</v>
      </c>
      <c r="BB12" s="79">
        <v>0</v>
      </c>
      <c r="BC12" s="79">
        <v>0</v>
      </c>
      <c r="BD12" s="79">
        <v>0</v>
      </c>
      <c r="BE12" s="79">
        <v>0</v>
      </c>
      <c r="BF12" s="79">
        <v>0</v>
      </c>
      <c r="BG12" s="79">
        <v>0</v>
      </c>
      <c r="BH12" s="79">
        <v>0</v>
      </c>
      <c r="BI12" s="79">
        <v>0</v>
      </c>
      <c r="BJ12" s="79">
        <v>0</v>
      </c>
      <c r="BK12" s="79">
        <v>5</v>
      </c>
      <c r="BL12" s="79">
        <v>3089</v>
      </c>
      <c r="BM12" s="79">
        <v>107</v>
      </c>
      <c r="BN12" s="79">
        <v>20</v>
      </c>
      <c r="BO12">
        <v>4503</v>
      </c>
      <c r="BP12">
        <v>1508</v>
      </c>
      <c r="BQ12">
        <v>4051</v>
      </c>
      <c r="BR12">
        <v>1525</v>
      </c>
      <c r="BS12">
        <v>3984</v>
      </c>
      <c r="BT12">
        <v>1478</v>
      </c>
      <c r="BU12">
        <v>3922</v>
      </c>
      <c r="BV12">
        <v>1487</v>
      </c>
      <c r="BW12">
        <v>3844</v>
      </c>
      <c r="BX12">
        <v>3188</v>
      </c>
      <c r="BY12">
        <v>3848</v>
      </c>
      <c r="BZ12">
        <v>3368</v>
      </c>
      <c r="CA12">
        <v>4212</v>
      </c>
      <c r="CB12">
        <v>296.54159839948801</v>
      </c>
      <c r="CC12">
        <v>25.574575272820798</v>
      </c>
      <c r="CD12">
        <v>16.3401053156385</v>
      </c>
      <c r="CE12">
        <v>7608.6636528740601</v>
      </c>
      <c r="CF12">
        <v>1907.91325999575</v>
      </c>
      <c r="CG12">
        <v>90.718506912442393</v>
      </c>
      <c r="CH12">
        <v>176</v>
      </c>
      <c r="CI12">
        <v>67.9192515423304</v>
      </c>
      <c r="CJ12">
        <v>57.115639513603</v>
      </c>
      <c r="CK12" s="81">
        <v>614</v>
      </c>
      <c r="CL12">
        <v>232</v>
      </c>
      <c r="CM12">
        <v>2793.1430488572</v>
      </c>
      <c r="CN12">
        <v>0.48076811612863402</v>
      </c>
      <c r="CO12">
        <v>14638</v>
      </c>
      <c r="CP12">
        <v>2649</v>
      </c>
      <c r="CQ12">
        <v>875</v>
      </c>
      <c r="CR12">
        <v>601</v>
      </c>
      <c r="CS12">
        <v>592</v>
      </c>
      <c r="CT12">
        <v>391</v>
      </c>
      <c r="CU12">
        <v>239.371211994633</v>
      </c>
      <c r="CV12">
        <v>169.05319999136401</v>
      </c>
      <c r="CW12">
        <v>81.046945793458605</v>
      </c>
      <c r="CX12">
        <v>452.41997862580098</v>
      </c>
      <c r="CY12">
        <v>319.51647188230402</v>
      </c>
      <c r="CZ12">
        <v>153.18156756621599</v>
      </c>
      <c r="DA12">
        <v>79386</v>
      </c>
      <c r="DE12">
        <v>22</v>
      </c>
      <c r="DF12" t="s">
        <v>799</v>
      </c>
      <c r="DG12">
        <v>4469</v>
      </c>
      <c r="DH12">
        <v>4431</v>
      </c>
      <c r="DI12">
        <v>4372</v>
      </c>
      <c r="DJ12">
        <v>4325</v>
      </c>
      <c r="DK12">
        <v>4307</v>
      </c>
      <c r="DO12">
        <v>17</v>
      </c>
      <c r="DP12" t="s">
        <v>798</v>
      </c>
      <c r="DQ12">
        <v>9347</v>
      </c>
      <c r="DR12">
        <v>1</v>
      </c>
      <c r="DS12">
        <v>883</v>
      </c>
      <c r="DV12">
        <v>361</v>
      </c>
      <c r="DW12" t="s">
        <v>17</v>
      </c>
      <c r="DX12">
        <v>16715.505135809301</v>
      </c>
      <c r="DY12">
        <v>3287</v>
      </c>
      <c r="DZ12">
        <v>2336</v>
      </c>
      <c r="EA12">
        <v>1089</v>
      </c>
      <c r="EB12">
        <v>8083</v>
      </c>
      <c r="EC12">
        <v>4329</v>
      </c>
      <c r="ED12">
        <v>1531</v>
      </c>
      <c r="EE12" s="82">
        <v>0.22559078158533</v>
      </c>
      <c r="EF12" s="82">
        <v>0.473389425315906</v>
      </c>
    </row>
    <row r="13" spans="1:136" x14ac:dyDescent="0.35">
      <c r="A13" s="72">
        <v>22</v>
      </c>
      <c r="B13" s="72">
        <v>1</v>
      </c>
      <c r="D13" s="72" t="s">
        <v>799</v>
      </c>
      <c r="E13" s="79">
        <v>1321200000</v>
      </c>
      <c r="F13" s="79">
        <v>217700000</v>
      </c>
      <c r="G13" s="79">
        <v>234150000</v>
      </c>
      <c r="H13" s="79">
        <v>19669</v>
      </c>
      <c r="I13" s="79">
        <v>2</v>
      </c>
      <c r="J13" s="79">
        <v>234.15</v>
      </c>
      <c r="K13" s="79">
        <v>4556</v>
      </c>
      <c r="L13" s="79">
        <v>4228</v>
      </c>
      <c r="M13" s="79">
        <v>1353</v>
      </c>
      <c r="N13" s="79">
        <v>2682</v>
      </c>
      <c r="O13" s="79">
        <v>1804.1</v>
      </c>
      <c r="P13" s="79">
        <v>396.33333333333297</v>
      </c>
      <c r="Q13" s="79">
        <v>1505.3333333333301</v>
      </c>
      <c r="R13" s="79">
        <v>375</v>
      </c>
      <c r="S13" s="79">
        <v>0</v>
      </c>
      <c r="T13" s="79">
        <v>575</v>
      </c>
      <c r="U13" s="79">
        <v>8803</v>
      </c>
      <c r="V13" s="79">
        <v>19830</v>
      </c>
      <c r="W13" s="79">
        <v>13080</v>
      </c>
      <c r="X13" s="79">
        <v>0</v>
      </c>
      <c r="Y13" s="79">
        <v>1586.4</v>
      </c>
      <c r="Z13" s="79">
        <v>0</v>
      </c>
      <c r="AA13" s="79">
        <v>0</v>
      </c>
      <c r="AB13" s="79">
        <v>0</v>
      </c>
      <c r="AC13" s="79">
        <v>6320</v>
      </c>
      <c r="AD13" s="79">
        <v>6383.2</v>
      </c>
      <c r="AE13" s="79">
        <v>108</v>
      </c>
      <c r="AF13" s="79">
        <v>0</v>
      </c>
      <c r="AG13" s="79">
        <v>186</v>
      </c>
      <c r="AH13" s="79">
        <v>132.31</v>
      </c>
      <c r="AI13" s="79">
        <v>55.55</v>
      </c>
      <c r="AJ13" s="79">
        <v>8779</v>
      </c>
      <c r="AK13" s="79">
        <v>8866.7900000000009</v>
      </c>
      <c r="AL13" s="79">
        <v>0</v>
      </c>
      <c r="AM13" s="79">
        <v>0</v>
      </c>
      <c r="AN13" s="79">
        <v>0</v>
      </c>
      <c r="AO13" s="79">
        <v>0</v>
      </c>
      <c r="AP13" s="79">
        <v>0</v>
      </c>
      <c r="AQ13" s="79">
        <v>0</v>
      </c>
      <c r="AR13" s="80">
        <v>5.7559600000000005E-4</v>
      </c>
      <c r="AS13" s="80">
        <v>2.2767100000000001E-4</v>
      </c>
      <c r="AT13" s="79">
        <v>6443.7860000000001</v>
      </c>
      <c r="AU13" s="79">
        <v>0</v>
      </c>
      <c r="AV13" s="79">
        <v>2079.59</v>
      </c>
      <c r="AW13" s="79">
        <v>6610.5648584318596</v>
      </c>
      <c r="AX13" s="79">
        <v>6</v>
      </c>
      <c r="AY13" s="79">
        <v>6.06</v>
      </c>
      <c r="AZ13" s="79">
        <v>2030</v>
      </c>
      <c r="BA13" s="79">
        <v>1</v>
      </c>
      <c r="BB13" s="79">
        <v>0</v>
      </c>
      <c r="BC13" s="79">
        <v>0</v>
      </c>
      <c r="BD13" s="79">
        <v>0</v>
      </c>
      <c r="BE13" s="79">
        <v>0</v>
      </c>
      <c r="BF13" s="79">
        <v>0</v>
      </c>
      <c r="BG13" s="79">
        <v>0</v>
      </c>
      <c r="BH13" s="79">
        <v>0</v>
      </c>
      <c r="BI13" s="79">
        <v>0</v>
      </c>
      <c r="BJ13" s="79">
        <v>0</v>
      </c>
      <c r="BK13" s="79">
        <v>11</v>
      </c>
      <c r="BL13" s="79">
        <v>2586</v>
      </c>
      <c r="BM13" s="79">
        <v>131</v>
      </c>
      <c r="BN13" s="79">
        <v>55</v>
      </c>
      <c r="BO13">
        <v>4901</v>
      </c>
      <c r="BP13">
        <v>1865</v>
      </c>
      <c r="BQ13">
        <v>4469</v>
      </c>
      <c r="BR13">
        <v>1842</v>
      </c>
      <c r="BS13">
        <v>4431</v>
      </c>
      <c r="BT13">
        <v>1834</v>
      </c>
      <c r="BU13">
        <v>4372</v>
      </c>
      <c r="BV13">
        <v>1736</v>
      </c>
      <c r="BW13">
        <v>4325</v>
      </c>
      <c r="BX13">
        <v>1710</v>
      </c>
      <c r="BY13">
        <v>4307</v>
      </c>
      <c r="BZ13">
        <v>1757</v>
      </c>
      <c r="CA13">
        <v>4049</v>
      </c>
      <c r="CB13">
        <v>412.86045848467398</v>
      </c>
      <c r="CC13">
        <v>57.455457115382401</v>
      </c>
      <c r="CD13">
        <v>30.657125513273002</v>
      </c>
      <c r="CE13">
        <v>5062.9764937353602</v>
      </c>
      <c r="CF13">
        <v>1311.46049051511</v>
      </c>
      <c r="CG13">
        <v>148.054881578947</v>
      </c>
      <c r="CH13">
        <v>242</v>
      </c>
      <c r="CI13">
        <v>113.330514051053</v>
      </c>
      <c r="CJ13">
        <v>112.812256927489</v>
      </c>
      <c r="CK13" s="81">
        <v>1109</v>
      </c>
      <c r="CL13">
        <v>427</v>
      </c>
      <c r="CM13">
        <v>3077.4897072072099</v>
      </c>
      <c r="CN13">
        <v>1.0081475148429899</v>
      </c>
      <c r="CO13">
        <v>15441</v>
      </c>
      <c r="CP13">
        <v>2401</v>
      </c>
      <c r="CQ13">
        <v>474</v>
      </c>
      <c r="CR13">
        <v>477</v>
      </c>
      <c r="CS13">
        <v>478</v>
      </c>
      <c r="CT13">
        <v>246</v>
      </c>
      <c r="CU13">
        <v>300.19129015315002</v>
      </c>
      <c r="CV13">
        <v>198.689238588704</v>
      </c>
      <c r="CW13">
        <v>67.188604982943204</v>
      </c>
      <c r="CX13">
        <v>741.46101539942299</v>
      </c>
      <c r="CY13">
        <v>490.75482675649698</v>
      </c>
      <c r="CZ13">
        <v>165.953286814244</v>
      </c>
      <c r="DA13">
        <v>105120</v>
      </c>
      <c r="DE13">
        <v>24</v>
      </c>
      <c r="DF13" t="s">
        <v>190</v>
      </c>
      <c r="DG13">
        <v>2339</v>
      </c>
      <c r="DH13">
        <v>2287</v>
      </c>
      <c r="DI13">
        <v>2244</v>
      </c>
      <c r="DJ13">
        <v>2216</v>
      </c>
      <c r="DK13">
        <v>2178</v>
      </c>
      <c r="DO13">
        <v>22</v>
      </c>
      <c r="DP13" t="s">
        <v>799</v>
      </c>
      <c r="DQ13">
        <v>8779</v>
      </c>
      <c r="DR13">
        <v>1.01</v>
      </c>
      <c r="DS13">
        <v>734</v>
      </c>
      <c r="DV13">
        <v>141</v>
      </c>
      <c r="DW13" t="s">
        <v>18</v>
      </c>
      <c r="DX13">
        <v>12013.5897740413</v>
      </c>
      <c r="DY13">
        <v>1964</v>
      </c>
      <c r="DZ13">
        <v>1575</v>
      </c>
      <c r="EA13">
        <v>855</v>
      </c>
      <c r="EB13">
        <v>5162</v>
      </c>
      <c r="EC13">
        <v>3061</v>
      </c>
      <c r="ED13">
        <v>1134</v>
      </c>
      <c r="EE13" s="82">
        <v>0.261855113675943</v>
      </c>
      <c r="EF13" s="82">
        <v>0.57800256657042004</v>
      </c>
    </row>
    <row r="14" spans="1:136" x14ac:dyDescent="0.35">
      <c r="A14" s="72">
        <v>24</v>
      </c>
      <c r="B14" s="72">
        <v>1</v>
      </c>
      <c r="D14" s="72" t="s">
        <v>190</v>
      </c>
      <c r="E14" s="79">
        <v>503600000</v>
      </c>
      <c r="F14" s="79">
        <v>130550000</v>
      </c>
      <c r="G14" s="79">
        <v>152250000</v>
      </c>
      <c r="H14" s="79">
        <v>9732</v>
      </c>
      <c r="I14" s="79">
        <v>2</v>
      </c>
      <c r="J14" s="79">
        <v>152.25</v>
      </c>
      <c r="K14" s="79">
        <v>2117</v>
      </c>
      <c r="L14" s="79">
        <v>2093</v>
      </c>
      <c r="M14" s="79">
        <v>564</v>
      </c>
      <c r="N14" s="79">
        <v>1354</v>
      </c>
      <c r="O14" s="79">
        <v>883.6</v>
      </c>
      <c r="P14" s="79">
        <v>234</v>
      </c>
      <c r="Q14" s="79">
        <v>774</v>
      </c>
      <c r="R14" s="79">
        <v>130</v>
      </c>
      <c r="S14" s="79">
        <v>0</v>
      </c>
      <c r="T14" s="79">
        <v>245</v>
      </c>
      <c r="U14" s="79">
        <v>4406</v>
      </c>
      <c r="V14" s="79">
        <v>6900</v>
      </c>
      <c r="W14" s="79">
        <v>400</v>
      </c>
      <c r="X14" s="79">
        <v>0</v>
      </c>
      <c r="Y14" s="79">
        <v>0</v>
      </c>
      <c r="Z14" s="79">
        <v>0</v>
      </c>
      <c r="AA14" s="79">
        <v>0</v>
      </c>
      <c r="AB14" s="79">
        <v>0</v>
      </c>
      <c r="AC14" s="79">
        <v>11102</v>
      </c>
      <c r="AD14" s="79">
        <v>13211.38</v>
      </c>
      <c r="AE14" s="79">
        <v>97</v>
      </c>
      <c r="AF14" s="79">
        <v>0</v>
      </c>
      <c r="AG14" s="79">
        <v>130</v>
      </c>
      <c r="AH14" s="79">
        <v>74.42</v>
      </c>
      <c r="AI14" s="79">
        <v>81.42</v>
      </c>
      <c r="AJ14" s="79">
        <v>4704</v>
      </c>
      <c r="AK14" s="79">
        <v>5738.88</v>
      </c>
      <c r="AL14" s="79">
        <v>0</v>
      </c>
      <c r="AM14" s="79">
        <v>0</v>
      </c>
      <c r="AN14" s="79">
        <v>0</v>
      </c>
      <c r="AO14" s="79">
        <v>0</v>
      </c>
      <c r="AP14" s="79">
        <v>0</v>
      </c>
      <c r="AQ14" s="79">
        <v>0</v>
      </c>
      <c r="AR14" s="80">
        <v>9.7293300000000004E-4</v>
      </c>
      <c r="AS14" s="80">
        <v>1.24117E-4</v>
      </c>
      <c r="AT14" s="79">
        <v>1001.952</v>
      </c>
      <c r="AU14" s="79">
        <v>0</v>
      </c>
      <c r="AV14" s="79">
        <v>2827.44</v>
      </c>
      <c r="AW14" s="79">
        <v>2583.22509509778</v>
      </c>
      <c r="AX14" s="79">
        <v>15</v>
      </c>
      <c r="AY14" s="79">
        <v>17.7</v>
      </c>
      <c r="AZ14" s="79">
        <v>1019</v>
      </c>
      <c r="BA14" s="79">
        <v>1</v>
      </c>
      <c r="BB14" s="79">
        <v>0</v>
      </c>
      <c r="BC14" s="79">
        <v>0</v>
      </c>
      <c r="BD14" s="79">
        <v>0</v>
      </c>
      <c r="BE14" s="79">
        <v>0</v>
      </c>
      <c r="BF14" s="79">
        <v>0</v>
      </c>
      <c r="BG14" s="79">
        <v>0</v>
      </c>
      <c r="BH14" s="79">
        <v>0</v>
      </c>
      <c r="BI14" s="79">
        <v>0</v>
      </c>
      <c r="BJ14" s="79">
        <v>0</v>
      </c>
      <c r="BK14" s="79">
        <v>6</v>
      </c>
      <c r="BL14" s="79">
        <v>1354</v>
      </c>
      <c r="BM14" s="79">
        <v>61</v>
      </c>
      <c r="BN14" s="79">
        <v>69</v>
      </c>
      <c r="BO14">
        <v>2655</v>
      </c>
      <c r="BP14">
        <v>0</v>
      </c>
      <c r="BQ14">
        <v>2339</v>
      </c>
      <c r="BR14">
        <v>0</v>
      </c>
      <c r="BS14">
        <v>2287</v>
      </c>
      <c r="BT14">
        <v>0</v>
      </c>
      <c r="BU14">
        <v>2244</v>
      </c>
      <c r="BV14">
        <v>0</v>
      </c>
      <c r="BW14">
        <v>2216</v>
      </c>
      <c r="BX14">
        <v>0</v>
      </c>
      <c r="BY14">
        <v>2178</v>
      </c>
      <c r="BZ14">
        <v>0</v>
      </c>
      <c r="CA14">
        <v>1917</v>
      </c>
      <c r="CB14">
        <v>207.626259135233</v>
      </c>
      <c r="CC14">
        <v>27.884403454515699</v>
      </c>
      <c r="CD14">
        <v>14.3986265044405</v>
      </c>
      <c r="CE14">
        <v>2621.29638318976</v>
      </c>
      <c r="CF14">
        <v>609.83699872414502</v>
      </c>
      <c r="CG14">
        <v>80.051275862069005</v>
      </c>
      <c r="CH14">
        <v>91</v>
      </c>
      <c r="CI14">
        <v>62.713716770273898</v>
      </c>
      <c r="CJ14">
        <v>55.696617413886102</v>
      </c>
      <c r="CK14" s="81">
        <v>540</v>
      </c>
      <c r="CL14">
        <v>175</v>
      </c>
      <c r="CM14">
        <v>1936.2822863971301</v>
      </c>
      <c r="CN14">
        <v>0.59081977333217295</v>
      </c>
      <c r="CO14">
        <v>7639</v>
      </c>
      <c r="CP14">
        <v>1304</v>
      </c>
      <c r="CQ14">
        <v>225</v>
      </c>
      <c r="CR14">
        <v>267</v>
      </c>
      <c r="CS14">
        <v>190</v>
      </c>
      <c r="CT14">
        <v>112</v>
      </c>
      <c r="CU14">
        <v>156.48845194226899</v>
      </c>
      <c r="CV14">
        <v>75.144514738184498</v>
      </c>
      <c r="CW14">
        <v>27.615609166282798</v>
      </c>
      <c r="CX14">
        <v>437.680004404496</v>
      </c>
      <c r="CY14">
        <v>210.170470302279</v>
      </c>
      <c r="CZ14">
        <v>77.237647836087504</v>
      </c>
      <c r="DA14">
        <v>0</v>
      </c>
      <c r="DE14">
        <v>25</v>
      </c>
      <c r="DF14" t="s">
        <v>800</v>
      </c>
      <c r="DG14">
        <v>2482</v>
      </c>
      <c r="DH14">
        <v>2486</v>
      </c>
      <c r="DI14">
        <v>2455</v>
      </c>
      <c r="DJ14">
        <v>2411</v>
      </c>
      <c r="DK14">
        <v>2335</v>
      </c>
      <c r="DO14">
        <v>24</v>
      </c>
      <c r="DP14" t="s">
        <v>190</v>
      </c>
      <c r="DQ14">
        <v>4704</v>
      </c>
      <c r="DR14">
        <v>1.22</v>
      </c>
      <c r="DS14">
        <v>213</v>
      </c>
      <c r="DV14">
        <v>34</v>
      </c>
      <c r="DW14" t="s">
        <v>19</v>
      </c>
      <c r="DX14">
        <v>23500.850694568398</v>
      </c>
      <c r="DY14">
        <v>3516</v>
      </c>
      <c r="DZ14">
        <v>2041</v>
      </c>
      <c r="EA14">
        <v>1033</v>
      </c>
      <c r="EB14">
        <v>9785</v>
      </c>
      <c r="EC14">
        <v>3956</v>
      </c>
      <c r="ED14">
        <v>1436</v>
      </c>
      <c r="EE14" s="82">
        <v>0.18366910526239599</v>
      </c>
      <c r="EF14" s="82">
        <v>0.473389425315906</v>
      </c>
    </row>
    <row r="15" spans="1:136" x14ac:dyDescent="0.35">
      <c r="A15" s="72">
        <v>25</v>
      </c>
      <c r="B15" s="72">
        <v>1</v>
      </c>
      <c r="D15" s="72" t="s">
        <v>800</v>
      </c>
      <c r="E15" s="79">
        <v>738400000</v>
      </c>
      <c r="F15" s="79">
        <v>96250000</v>
      </c>
      <c r="G15" s="79">
        <v>116200000</v>
      </c>
      <c r="H15" s="79">
        <v>10488</v>
      </c>
      <c r="I15" s="79">
        <v>2</v>
      </c>
      <c r="J15" s="79">
        <v>116.2</v>
      </c>
      <c r="K15" s="79">
        <v>2403</v>
      </c>
      <c r="L15" s="79">
        <v>1940</v>
      </c>
      <c r="M15" s="79">
        <v>584</v>
      </c>
      <c r="N15" s="79">
        <v>1350</v>
      </c>
      <c r="O15" s="79">
        <v>908.7</v>
      </c>
      <c r="P15" s="79">
        <v>179</v>
      </c>
      <c r="Q15" s="79">
        <v>717</v>
      </c>
      <c r="R15" s="79">
        <v>120</v>
      </c>
      <c r="S15" s="79">
        <v>0</v>
      </c>
      <c r="T15" s="79">
        <v>304</v>
      </c>
      <c r="U15" s="79">
        <v>4430</v>
      </c>
      <c r="V15" s="79">
        <v>9280</v>
      </c>
      <c r="W15" s="79">
        <v>2430</v>
      </c>
      <c r="X15" s="79">
        <v>0</v>
      </c>
      <c r="Y15" s="79">
        <v>0</v>
      </c>
      <c r="Z15" s="79">
        <v>0</v>
      </c>
      <c r="AA15" s="79">
        <v>0</v>
      </c>
      <c r="AB15" s="79">
        <v>0</v>
      </c>
      <c r="AC15" s="79">
        <v>6437</v>
      </c>
      <c r="AD15" s="79">
        <v>6437</v>
      </c>
      <c r="AE15" s="79">
        <v>52</v>
      </c>
      <c r="AF15" s="79">
        <v>0</v>
      </c>
      <c r="AG15" s="79">
        <v>123</v>
      </c>
      <c r="AH15" s="79">
        <v>62</v>
      </c>
      <c r="AI15" s="79">
        <v>60</v>
      </c>
      <c r="AJ15" s="79">
        <v>4413</v>
      </c>
      <c r="AK15" s="79">
        <v>4413</v>
      </c>
      <c r="AL15" s="79">
        <v>0</v>
      </c>
      <c r="AM15" s="79">
        <v>0</v>
      </c>
      <c r="AN15" s="79">
        <v>0</v>
      </c>
      <c r="AO15" s="79">
        <v>0</v>
      </c>
      <c r="AP15" s="79">
        <v>0</v>
      </c>
      <c r="AQ15" s="79">
        <v>0</v>
      </c>
      <c r="AR15" s="80">
        <v>3.6766700000000002E-4</v>
      </c>
      <c r="AS15" s="80">
        <v>8.3695000000000004E-5</v>
      </c>
      <c r="AT15" s="79">
        <v>1496.0070000000001</v>
      </c>
      <c r="AU15" s="79">
        <v>0</v>
      </c>
      <c r="AV15" s="79">
        <v>1008</v>
      </c>
      <c r="AW15" s="79">
        <v>1629.20388349515</v>
      </c>
      <c r="AX15" s="79">
        <v>7</v>
      </c>
      <c r="AY15" s="79">
        <v>7</v>
      </c>
      <c r="AZ15" s="79">
        <v>1111</v>
      </c>
      <c r="BA15" s="79">
        <v>1</v>
      </c>
      <c r="BB15" s="79">
        <v>0</v>
      </c>
      <c r="BC15" s="79">
        <v>0</v>
      </c>
      <c r="BD15" s="79">
        <v>0</v>
      </c>
      <c r="BE15" s="79">
        <v>0</v>
      </c>
      <c r="BF15" s="79">
        <v>0</v>
      </c>
      <c r="BG15" s="79">
        <v>0</v>
      </c>
      <c r="BH15" s="79">
        <v>0</v>
      </c>
      <c r="BI15" s="79">
        <v>0</v>
      </c>
      <c r="BJ15" s="79">
        <v>0</v>
      </c>
      <c r="BK15" s="79">
        <v>5</v>
      </c>
      <c r="BL15" s="79">
        <v>1147</v>
      </c>
      <c r="BM15" s="79">
        <v>62</v>
      </c>
      <c r="BN15" s="79">
        <v>60</v>
      </c>
      <c r="BO15">
        <v>2733</v>
      </c>
      <c r="BP15">
        <v>0</v>
      </c>
      <c r="BQ15">
        <v>2482</v>
      </c>
      <c r="BR15">
        <v>0</v>
      </c>
      <c r="BS15">
        <v>2486</v>
      </c>
      <c r="BT15">
        <v>0</v>
      </c>
      <c r="BU15">
        <v>2455</v>
      </c>
      <c r="BV15">
        <v>0</v>
      </c>
      <c r="BW15">
        <v>2411</v>
      </c>
      <c r="BX15">
        <v>0</v>
      </c>
      <c r="BY15">
        <v>2335</v>
      </c>
      <c r="BZ15">
        <v>0</v>
      </c>
      <c r="CA15">
        <v>2097</v>
      </c>
      <c r="CB15">
        <v>173.391969790795</v>
      </c>
      <c r="CC15">
        <v>32.191433129996298</v>
      </c>
      <c r="CD15">
        <v>7.7908134614009601</v>
      </c>
      <c r="CE15">
        <v>2664.47660529528</v>
      </c>
      <c r="CF15">
        <v>712.54196636120298</v>
      </c>
      <c r="CG15">
        <v>65.296919156414802</v>
      </c>
      <c r="CH15">
        <v>117</v>
      </c>
      <c r="CI15">
        <v>42.800718637181298</v>
      </c>
      <c r="CJ15">
        <v>48.601506915301897</v>
      </c>
      <c r="CK15" s="81">
        <v>538</v>
      </c>
      <c r="CL15">
        <v>185</v>
      </c>
      <c r="CM15">
        <v>1419.1622707423601</v>
      </c>
      <c r="CN15">
        <v>0.30821024504465799</v>
      </c>
      <c r="CO15">
        <v>8548</v>
      </c>
      <c r="CP15">
        <v>1168</v>
      </c>
      <c r="CQ15">
        <v>188</v>
      </c>
      <c r="CR15">
        <v>205</v>
      </c>
      <c r="CS15">
        <v>176</v>
      </c>
      <c r="CT15">
        <v>70</v>
      </c>
      <c r="CU15">
        <v>145.21899688884099</v>
      </c>
      <c r="CV15">
        <v>84.453601027552907</v>
      </c>
      <c r="CW15">
        <v>22.864267595264302</v>
      </c>
      <c r="CX15">
        <v>351.62771538112798</v>
      </c>
      <c r="CY15">
        <v>204.492713909592</v>
      </c>
      <c r="CZ15">
        <v>55.362661570645599</v>
      </c>
      <c r="DA15">
        <v>0</v>
      </c>
      <c r="DE15">
        <v>34</v>
      </c>
      <c r="DF15" t="s">
        <v>19</v>
      </c>
      <c r="DG15">
        <v>48858</v>
      </c>
      <c r="DH15">
        <v>48704</v>
      </c>
      <c r="DI15">
        <v>48600</v>
      </c>
      <c r="DJ15">
        <v>48544</v>
      </c>
      <c r="DK15">
        <v>48247</v>
      </c>
      <c r="DO15">
        <v>25</v>
      </c>
      <c r="DP15" t="s">
        <v>800</v>
      </c>
      <c r="DQ15">
        <v>4413</v>
      </c>
      <c r="DR15">
        <v>1</v>
      </c>
      <c r="DS15">
        <v>339</v>
      </c>
      <c r="DV15">
        <v>484</v>
      </c>
      <c r="DW15" t="s">
        <v>20</v>
      </c>
      <c r="DX15">
        <v>12604.8114082911</v>
      </c>
      <c r="DY15">
        <v>2430</v>
      </c>
      <c r="DZ15">
        <v>2064</v>
      </c>
      <c r="EA15">
        <v>1023</v>
      </c>
      <c r="EB15">
        <v>7613</v>
      </c>
      <c r="EC15">
        <v>4231</v>
      </c>
      <c r="ED15">
        <v>1467</v>
      </c>
      <c r="EE15" s="82">
        <v>0.16650903688030899</v>
      </c>
      <c r="EF15" s="82">
        <v>0.40056396059305099</v>
      </c>
    </row>
    <row r="16" spans="1:136" x14ac:dyDescent="0.35">
      <c r="A16" s="72">
        <v>1952</v>
      </c>
      <c r="B16" s="72">
        <v>1</v>
      </c>
      <c r="D16" s="72" t="s">
        <v>203</v>
      </c>
      <c r="E16" s="79">
        <v>3380000000</v>
      </c>
      <c r="F16" s="79">
        <v>742700000</v>
      </c>
      <c r="G16" s="79">
        <v>794850000</v>
      </c>
      <c r="H16" s="79">
        <v>60953</v>
      </c>
      <c r="I16" s="79">
        <v>9</v>
      </c>
      <c r="J16" s="79">
        <v>794.85</v>
      </c>
      <c r="K16" s="79">
        <v>13072</v>
      </c>
      <c r="L16" s="79">
        <v>12931</v>
      </c>
      <c r="M16" s="79">
        <v>3923</v>
      </c>
      <c r="N16" s="79">
        <v>9921</v>
      </c>
      <c r="O16" s="79">
        <v>7056.9</v>
      </c>
      <c r="P16" s="79">
        <v>1895</v>
      </c>
      <c r="Q16" s="79">
        <v>6392</v>
      </c>
      <c r="R16" s="79">
        <v>3815</v>
      </c>
      <c r="S16" s="79">
        <v>0</v>
      </c>
      <c r="T16" s="79">
        <v>2078</v>
      </c>
      <c r="U16" s="79">
        <v>28511</v>
      </c>
      <c r="V16" s="79">
        <v>57650</v>
      </c>
      <c r="W16" s="79">
        <v>44410</v>
      </c>
      <c r="X16" s="79">
        <v>380.16</v>
      </c>
      <c r="Y16" s="79">
        <v>1443.2</v>
      </c>
      <c r="Z16" s="79">
        <v>0</v>
      </c>
      <c r="AA16" s="79">
        <v>0</v>
      </c>
      <c r="AB16" s="79">
        <v>0</v>
      </c>
      <c r="AC16" s="79">
        <v>27991</v>
      </c>
      <c r="AD16" s="79">
        <v>27991</v>
      </c>
      <c r="AE16" s="79">
        <v>1586</v>
      </c>
      <c r="AF16" s="79">
        <v>0</v>
      </c>
      <c r="AG16" s="79">
        <v>553</v>
      </c>
      <c r="AH16" s="79">
        <v>386</v>
      </c>
      <c r="AI16" s="79">
        <v>168.67</v>
      </c>
      <c r="AJ16" s="79">
        <v>28641</v>
      </c>
      <c r="AK16" s="79">
        <v>28641</v>
      </c>
      <c r="AL16" s="79">
        <v>0</v>
      </c>
      <c r="AM16" s="79">
        <v>0</v>
      </c>
      <c r="AN16" s="79">
        <v>0</v>
      </c>
      <c r="AO16" s="79">
        <v>0</v>
      </c>
      <c r="AP16" s="79">
        <v>3173</v>
      </c>
      <c r="AQ16" s="79">
        <v>0</v>
      </c>
      <c r="AR16" s="80">
        <v>3.4819299999999998E-3</v>
      </c>
      <c r="AS16" s="80">
        <v>3.2047080000000001E-3</v>
      </c>
      <c r="AT16" s="79">
        <v>24688.542000000001</v>
      </c>
      <c r="AU16" s="79">
        <v>0</v>
      </c>
      <c r="AV16" s="79">
        <v>8305</v>
      </c>
      <c r="AW16" s="79">
        <v>17436.6343104439</v>
      </c>
      <c r="AX16" s="79">
        <v>23</v>
      </c>
      <c r="AY16" s="79">
        <v>23.23</v>
      </c>
      <c r="AZ16" s="79">
        <v>4954</v>
      </c>
      <c r="BA16" s="79">
        <v>1</v>
      </c>
      <c r="BB16" s="79">
        <v>0</v>
      </c>
      <c r="BC16" s="79">
        <v>0</v>
      </c>
      <c r="BD16" s="79">
        <v>0</v>
      </c>
      <c r="BE16" s="79">
        <v>0</v>
      </c>
      <c r="BF16" s="79">
        <v>0</v>
      </c>
      <c r="BG16" s="79">
        <v>0</v>
      </c>
      <c r="BH16" s="79">
        <v>0</v>
      </c>
      <c r="BI16" s="79">
        <v>0</v>
      </c>
      <c r="BJ16" s="79">
        <v>0</v>
      </c>
      <c r="BK16" s="79">
        <v>30</v>
      </c>
      <c r="BL16" s="79">
        <v>9304</v>
      </c>
      <c r="BM16" s="79">
        <v>386</v>
      </c>
      <c r="BN16" s="79">
        <v>167</v>
      </c>
      <c r="BO16">
        <v>14741</v>
      </c>
      <c r="BP16">
        <v>1792</v>
      </c>
      <c r="BQ16">
        <v>13417</v>
      </c>
      <c r="BR16">
        <v>1810</v>
      </c>
      <c r="BS16">
        <v>13278</v>
      </c>
      <c r="BT16">
        <v>1776</v>
      </c>
      <c r="BU16">
        <v>13110</v>
      </c>
      <c r="BV16">
        <v>1779</v>
      </c>
      <c r="BW16">
        <v>13021</v>
      </c>
      <c r="BX16">
        <v>1798</v>
      </c>
      <c r="BY16">
        <v>12836</v>
      </c>
      <c r="BZ16">
        <v>1792</v>
      </c>
      <c r="CA16">
        <v>11629</v>
      </c>
      <c r="CB16">
        <v>1817.2208631000799</v>
      </c>
      <c r="CC16">
        <v>285.18860749271499</v>
      </c>
      <c r="CD16">
        <v>186.53237639178701</v>
      </c>
      <c r="CE16">
        <v>15418.265016912101</v>
      </c>
      <c r="CF16">
        <v>3650.1501738306902</v>
      </c>
      <c r="CG16">
        <v>485.72823129836598</v>
      </c>
      <c r="CH16">
        <v>813</v>
      </c>
      <c r="CI16">
        <v>548.14448173808103</v>
      </c>
      <c r="CJ16">
        <v>533.19755396860398</v>
      </c>
      <c r="CK16" s="81">
        <v>4497</v>
      </c>
      <c r="CL16">
        <v>1587</v>
      </c>
      <c r="CM16">
        <v>11290.1035312681</v>
      </c>
      <c r="CN16">
        <v>5.4355193221921301</v>
      </c>
      <c r="CO16">
        <v>48022</v>
      </c>
      <c r="CP16">
        <v>7753</v>
      </c>
      <c r="CQ16">
        <v>1255</v>
      </c>
      <c r="CR16">
        <v>1666</v>
      </c>
      <c r="CS16">
        <v>1378</v>
      </c>
      <c r="CT16">
        <v>673</v>
      </c>
      <c r="CU16">
        <v>1212.7556548071</v>
      </c>
      <c r="CV16">
        <v>681.035479456894</v>
      </c>
      <c r="CW16">
        <v>226.190510181414</v>
      </c>
      <c r="CX16">
        <v>2783.60562275236</v>
      </c>
      <c r="CY16">
        <v>1563.16252362607</v>
      </c>
      <c r="CZ16">
        <v>519.16902919274003</v>
      </c>
      <c r="DA16">
        <v>153208</v>
      </c>
      <c r="DE16">
        <v>37</v>
      </c>
      <c r="DF16" t="s">
        <v>282</v>
      </c>
      <c r="DG16">
        <v>6860</v>
      </c>
      <c r="DH16">
        <v>6796</v>
      </c>
      <c r="DI16">
        <v>6684</v>
      </c>
      <c r="DJ16">
        <v>6597</v>
      </c>
      <c r="DK16">
        <v>6487</v>
      </c>
      <c r="DO16">
        <v>1952</v>
      </c>
      <c r="DP16" t="s">
        <v>203</v>
      </c>
      <c r="DQ16">
        <v>28641</v>
      </c>
      <c r="DR16">
        <v>1</v>
      </c>
      <c r="DS16">
        <v>862</v>
      </c>
      <c r="DV16">
        <v>1723</v>
      </c>
      <c r="DW16" t="s">
        <v>21</v>
      </c>
      <c r="DX16">
        <v>937.31523855890998</v>
      </c>
      <c r="DY16">
        <v>192</v>
      </c>
      <c r="DZ16">
        <v>138</v>
      </c>
      <c r="EA16">
        <v>100</v>
      </c>
      <c r="EB16">
        <v>742</v>
      </c>
      <c r="EC16">
        <v>437</v>
      </c>
      <c r="ED16">
        <v>153</v>
      </c>
      <c r="EE16" s="82">
        <v>0.108431229388239</v>
      </c>
      <c r="EF16" s="82">
        <v>0.36295171754800198</v>
      </c>
    </row>
    <row r="17" spans="1:136" x14ac:dyDescent="0.35">
      <c r="A17" s="72">
        <v>1895</v>
      </c>
      <c r="B17" s="72">
        <v>1</v>
      </c>
      <c r="D17" s="72" t="s">
        <v>227</v>
      </c>
      <c r="E17" s="79">
        <v>1913600000</v>
      </c>
      <c r="F17" s="79">
        <v>553350000</v>
      </c>
      <c r="G17" s="79">
        <v>579250000</v>
      </c>
      <c r="H17" s="79">
        <v>38075</v>
      </c>
      <c r="I17" s="79">
        <v>6</v>
      </c>
      <c r="J17" s="79">
        <v>579.25</v>
      </c>
      <c r="K17" s="79">
        <v>7562</v>
      </c>
      <c r="L17" s="79">
        <v>9075</v>
      </c>
      <c r="M17" s="79">
        <v>2723</v>
      </c>
      <c r="N17" s="79">
        <v>7208</v>
      </c>
      <c r="O17" s="79">
        <v>5357</v>
      </c>
      <c r="P17" s="79">
        <v>1457.6666666666699</v>
      </c>
      <c r="Q17" s="79">
        <v>4733.6666666666697</v>
      </c>
      <c r="R17" s="79">
        <v>775</v>
      </c>
      <c r="S17" s="79">
        <v>0</v>
      </c>
      <c r="T17" s="79">
        <v>1358</v>
      </c>
      <c r="U17" s="79">
        <v>18591</v>
      </c>
      <c r="V17" s="79">
        <v>38950</v>
      </c>
      <c r="W17" s="79">
        <v>28730</v>
      </c>
      <c r="X17" s="79">
        <v>1083.28</v>
      </c>
      <c r="Y17" s="79">
        <v>1892</v>
      </c>
      <c r="Z17" s="79">
        <v>0</v>
      </c>
      <c r="AA17" s="79">
        <v>0</v>
      </c>
      <c r="AB17" s="79">
        <v>0</v>
      </c>
      <c r="AC17" s="79">
        <v>22656</v>
      </c>
      <c r="AD17" s="79">
        <v>24695.040000000001</v>
      </c>
      <c r="AE17" s="79">
        <v>1394</v>
      </c>
      <c r="AF17" s="79">
        <v>5547</v>
      </c>
      <c r="AG17" s="79">
        <v>387</v>
      </c>
      <c r="AH17" s="79">
        <v>269.36</v>
      </c>
      <c r="AI17" s="79">
        <v>139.52000000000001</v>
      </c>
      <c r="AJ17" s="79">
        <v>18510</v>
      </c>
      <c r="AK17" s="79">
        <v>19250.400000000001</v>
      </c>
      <c r="AL17" s="79">
        <v>10</v>
      </c>
      <c r="AM17" s="79">
        <v>0</v>
      </c>
      <c r="AN17" s="79">
        <v>0</v>
      </c>
      <c r="AO17" s="79">
        <v>0</v>
      </c>
      <c r="AP17" s="79">
        <v>3452</v>
      </c>
      <c r="AQ17" s="79">
        <v>2903</v>
      </c>
      <c r="AR17" s="80">
        <v>3.3216859999999999E-3</v>
      </c>
      <c r="AS17" s="80">
        <v>1.6622340000000001E-3</v>
      </c>
      <c r="AT17" s="79">
        <v>15326.28</v>
      </c>
      <c r="AU17" s="79">
        <v>0</v>
      </c>
      <c r="AV17" s="79">
        <v>6070.21</v>
      </c>
      <c r="AW17" s="79">
        <v>11639.472089397101</v>
      </c>
      <c r="AX17" s="79">
        <v>22</v>
      </c>
      <c r="AY17" s="79">
        <v>23.98</v>
      </c>
      <c r="AZ17" s="79">
        <v>3107</v>
      </c>
      <c r="BA17" s="79">
        <v>1</v>
      </c>
      <c r="BB17" s="79">
        <v>0</v>
      </c>
      <c r="BC17" s="79">
        <v>0</v>
      </c>
      <c r="BD17" s="79">
        <v>0</v>
      </c>
      <c r="BE17" s="79">
        <v>0</v>
      </c>
      <c r="BF17" s="79">
        <v>0</v>
      </c>
      <c r="BG17" s="79">
        <v>0</v>
      </c>
      <c r="BH17" s="79">
        <v>0</v>
      </c>
      <c r="BI17" s="79">
        <v>0</v>
      </c>
      <c r="BJ17" s="79">
        <v>0</v>
      </c>
      <c r="BK17" s="79">
        <v>24</v>
      </c>
      <c r="BL17" s="79">
        <v>6601</v>
      </c>
      <c r="BM17" s="79">
        <v>259</v>
      </c>
      <c r="BN17" s="79">
        <v>128</v>
      </c>
      <c r="BO17">
        <v>8595</v>
      </c>
      <c r="BP17">
        <v>2242</v>
      </c>
      <c r="BQ17">
        <v>7614</v>
      </c>
      <c r="BR17">
        <v>2191</v>
      </c>
      <c r="BS17">
        <v>7499</v>
      </c>
      <c r="BT17">
        <v>2220</v>
      </c>
      <c r="BU17">
        <v>7466</v>
      </c>
      <c r="BV17">
        <v>2248</v>
      </c>
      <c r="BW17">
        <v>7357</v>
      </c>
      <c r="BX17">
        <v>2270</v>
      </c>
      <c r="BY17">
        <v>7155</v>
      </c>
      <c r="BZ17">
        <v>2254</v>
      </c>
      <c r="CA17">
        <v>6703</v>
      </c>
      <c r="CB17">
        <v>1020.64517111435</v>
      </c>
      <c r="CC17">
        <v>215.11816249643701</v>
      </c>
      <c r="CD17">
        <v>71.585040045489706</v>
      </c>
      <c r="CE17">
        <v>9357.1822939190806</v>
      </c>
      <c r="CF17">
        <v>2020.2190312861201</v>
      </c>
      <c r="CG17">
        <v>229.09081583661799</v>
      </c>
      <c r="CH17">
        <v>473</v>
      </c>
      <c r="CI17">
        <v>369.91589247794099</v>
      </c>
      <c r="CJ17">
        <v>348.01516995555602</v>
      </c>
      <c r="CK17" s="81">
        <v>3276</v>
      </c>
      <c r="CL17">
        <v>987</v>
      </c>
      <c r="CM17">
        <v>8774.3811604059902</v>
      </c>
      <c r="CN17">
        <v>4.6008291778664701</v>
      </c>
      <c r="CO17">
        <v>29000</v>
      </c>
      <c r="CP17">
        <v>5301</v>
      </c>
      <c r="CQ17">
        <v>1051</v>
      </c>
      <c r="CR17">
        <v>1166</v>
      </c>
      <c r="CS17">
        <v>1038</v>
      </c>
      <c r="CT17">
        <v>568</v>
      </c>
      <c r="CU17">
        <v>966.38771302960595</v>
      </c>
      <c r="CV17">
        <v>568.13988639626098</v>
      </c>
      <c r="CW17">
        <v>218.80476521425001</v>
      </c>
      <c r="CX17">
        <v>2086.8839268527399</v>
      </c>
      <c r="CY17">
        <v>1226.8802481018099</v>
      </c>
      <c r="CZ17">
        <v>472.50202117420599</v>
      </c>
      <c r="DA17">
        <v>43580</v>
      </c>
      <c r="DE17">
        <v>47</v>
      </c>
      <c r="DF17" t="s">
        <v>310</v>
      </c>
      <c r="DG17">
        <v>5669</v>
      </c>
      <c r="DH17">
        <v>5667</v>
      </c>
      <c r="DI17">
        <v>5635</v>
      </c>
      <c r="DJ17">
        <v>5633</v>
      </c>
      <c r="DK17">
        <v>5625</v>
      </c>
      <c r="DO17">
        <v>1895</v>
      </c>
      <c r="DP17" t="s">
        <v>227</v>
      </c>
      <c r="DQ17">
        <v>18510</v>
      </c>
      <c r="DR17">
        <v>1.04</v>
      </c>
      <c r="DS17">
        <v>828</v>
      </c>
      <c r="DV17">
        <v>60</v>
      </c>
      <c r="DW17" t="s">
        <v>23</v>
      </c>
      <c r="DX17">
        <v>524.59793814432999</v>
      </c>
      <c r="DY17">
        <v>124</v>
      </c>
      <c r="DZ17">
        <v>75</v>
      </c>
      <c r="EA17">
        <v>36</v>
      </c>
      <c r="EB17">
        <v>331</v>
      </c>
      <c r="EC17">
        <v>170</v>
      </c>
      <c r="ED17">
        <v>53</v>
      </c>
      <c r="EE17" s="82">
        <v>4.5924322154194702E-2</v>
      </c>
      <c r="EF17" s="82">
        <v>0.56806421796627604</v>
      </c>
    </row>
    <row r="18" spans="1:136" x14ac:dyDescent="0.35">
      <c r="A18" s="72">
        <v>765</v>
      </c>
      <c r="B18" s="72">
        <v>1</v>
      </c>
      <c r="D18" s="72" t="s">
        <v>245</v>
      </c>
      <c r="E18" s="79">
        <v>559600000</v>
      </c>
      <c r="F18" s="79">
        <v>79100000</v>
      </c>
      <c r="G18" s="79">
        <v>93450000</v>
      </c>
      <c r="H18" s="79">
        <v>12245</v>
      </c>
      <c r="I18" s="79">
        <v>1</v>
      </c>
      <c r="J18" s="79">
        <v>93.45</v>
      </c>
      <c r="K18" s="79">
        <v>2580</v>
      </c>
      <c r="L18" s="79">
        <v>2692</v>
      </c>
      <c r="M18" s="79">
        <v>794</v>
      </c>
      <c r="N18" s="79">
        <v>2261</v>
      </c>
      <c r="O18" s="79">
        <v>1684.2</v>
      </c>
      <c r="P18" s="79">
        <v>457.66666666666703</v>
      </c>
      <c r="Q18" s="79">
        <v>1675.6666666666699</v>
      </c>
      <c r="R18" s="79">
        <v>190</v>
      </c>
      <c r="S18" s="79">
        <v>0</v>
      </c>
      <c r="T18" s="79">
        <v>451</v>
      </c>
      <c r="U18" s="79">
        <v>5643</v>
      </c>
      <c r="V18" s="79">
        <v>12530</v>
      </c>
      <c r="W18" s="79">
        <v>8260</v>
      </c>
      <c r="X18" s="79">
        <v>0</v>
      </c>
      <c r="Y18" s="79">
        <v>213.6</v>
      </c>
      <c r="Z18" s="79">
        <v>0</v>
      </c>
      <c r="AA18" s="79">
        <v>0</v>
      </c>
      <c r="AB18" s="79">
        <v>0</v>
      </c>
      <c r="AC18" s="79">
        <v>4906</v>
      </c>
      <c r="AD18" s="79">
        <v>4906</v>
      </c>
      <c r="AE18" s="79">
        <v>114</v>
      </c>
      <c r="AF18" s="79">
        <v>0</v>
      </c>
      <c r="AG18" s="79">
        <v>120</v>
      </c>
      <c r="AH18" s="79">
        <v>99</v>
      </c>
      <c r="AI18" s="79">
        <v>22</v>
      </c>
      <c r="AJ18" s="79">
        <v>5768</v>
      </c>
      <c r="AK18" s="79">
        <v>5768</v>
      </c>
      <c r="AL18" s="79">
        <v>0</v>
      </c>
      <c r="AM18" s="79">
        <v>0</v>
      </c>
      <c r="AN18" s="79">
        <v>0</v>
      </c>
      <c r="AO18" s="79">
        <v>0</v>
      </c>
      <c r="AP18" s="79">
        <v>2102</v>
      </c>
      <c r="AQ18" s="79">
        <v>0</v>
      </c>
      <c r="AR18" s="80">
        <v>9.2181800000000003E-4</v>
      </c>
      <c r="AS18" s="80">
        <v>3.5157999999999999E-4</v>
      </c>
      <c r="AT18" s="79">
        <v>3068.576</v>
      </c>
      <c r="AU18" s="79">
        <v>0</v>
      </c>
      <c r="AV18" s="79">
        <v>1502</v>
      </c>
      <c r="AW18" s="79">
        <v>3663.7430278884499</v>
      </c>
      <c r="AX18" s="79">
        <v>4</v>
      </c>
      <c r="AY18" s="79">
        <v>4</v>
      </c>
      <c r="AZ18" s="79">
        <v>786</v>
      </c>
      <c r="BA18" s="79">
        <v>1</v>
      </c>
      <c r="BB18" s="79">
        <v>0</v>
      </c>
      <c r="BC18" s="79">
        <v>0</v>
      </c>
      <c r="BD18" s="79">
        <v>0</v>
      </c>
      <c r="BE18" s="79">
        <v>0</v>
      </c>
      <c r="BF18" s="79">
        <v>0</v>
      </c>
      <c r="BG18" s="79">
        <v>0</v>
      </c>
      <c r="BH18" s="79">
        <v>0</v>
      </c>
      <c r="BI18" s="79">
        <v>0</v>
      </c>
      <c r="BJ18" s="79">
        <v>0</v>
      </c>
      <c r="BK18" s="79">
        <v>5</v>
      </c>
      <c r="BL18" s="79">
        <v>1767</v>
      </c>
      <c r="BM18" s="79">
        <v>99</v>
      </c>
      <c r="BN18" s="79">
        <v>22</v>
      </c>
      <c r="BO18">
        <v>3046</v>
      </c>
      <c r="BP18">
        <v>316</v>
      </c>
      <c r="BQ18">
        <v>2670</v>
      </c>
      <c r="BR18">
        <v>305</v>
      </c>
      <c r="BS18">
        <v>2663</v>
      </c>
      <c r="BT18">
        <v>284</v>
      </c>
      <c r="BU18">
        <v>2609</v>
      </c>
      <c r="BV18">
        <v>289</v>
      </c>
      <c r="BW18">
        <v>2541</v>
      </c>
      <c r="BX18">
        <v>311</v>
      </c>
      <c r="BY18">
        <v>2498</v>
      </c>
      <c r="BZ18">
        <v>306</v>
      </c>
      <c r="CA18">
        <v>2282</v>
      </c>
      <c r="CB18">
        <v>453.35352801526199</v>
      </c>
      <c r="CC18">
        <v>84.4595308321571</v>
      </c>
      <c r="CD18">
        <v>38.766433753746703</v>
      </c>
      <c r="CE18">
        <v>2734.56955627559</v>
      </c>
      <c r="CF18">
        <v>602.33963938213606</v>
      </c>
      <c r="CG18">
        <v>93.134050288108895</v>
      </c>
      <c r="CH18">
        <v>136</v>
      </c>
      <c r="CI18">
        <v>160.389188290785</v>
      </c>
      <c r="CJ18">
        <v>144.03074312126</v>
      </c>
      <c r="CK18" s="81">
        <v>1218</v>
      </c>
      <c r="CL18">
        <v>311</v>
      </c>
      <c r="CM18">
        <v>2699.77016058856</v>
      </c>
      <c r="CN18">
        <v>1.48878992020321</v>
      </c>
      <c r="CO18">
        <v>9553</v>
      </c>
      <c r="CP18">
        <v>1614</v>
      </c>
      <c r="CQ18">
        <v>284</v>
      </c>
      <c r="CR18">
        <v>345</v>
      </c>
      <c r="CS18">
        <v>277</v>
      </c>
      <c r="CT18">
        <v>142</v>
      </c>
      <c r="CU18">
        <v>298.14056425969801</v>
      </c>
      <c r="CV18">
        <v>165.27674766992101</v>
      </c>
      <c r="CW18">
        <v>58.9856943980989</v>
      </c>
      <c r="CX18">
        <v>684.26918079514303</v>
      </c>
      <c r="CY18">
        <v>379.33041756126403</v>
      </c>
      <c r="CZ18">
        <v>135.37940697416201</v>
      </c>
      <c r="DA18">
        <v>0</v>
      </c>
      <c r="DE18">
        <v>50</v>
      </c>
      <c r="DF18" t="s">
        <v>355</v>
      </c>
      <c r="DG18">
        <v>6128</v>
      </c>
      <c r="DH18">
        <v>6064</v>
      </c>
      <c r="DI18">
        <v>6025</v>
      </c>
      <c r="DJ18">
        <v>5961</v>
      </c>
      <c r="DK18">
        <v>5839</v>
      </c>
      <c r="DO18">
        <v>765</v>
      </c>
      <c r="DP18" t="s">
        <v>245</v>
      </c>
      <c r="DQ18">
        <v>5768</v>
      </c>
      <c r="DR18">
        <v>1</v>
      </c>
      <c r="DS18">
        <v>532</v>
      </c>
      <c r="DV18">
        <v>307</v>
      </c>
      <c r="DW18" t="s">
        <v>24</v>
      </c>
      <c r="DX18">
        <v>18925.0085648321</v>
      </c>
      <c r="DY18">
        <v>3473</v>
      </c>
      <c r="DZ18">
        <v>2580</v>
      </c>
      <c r="EA18">
        <v>1485</v>
      </c>
      <c r="EB18">
        <v>8624</v>
      </c>
      <c r="EC18">
        <v>4682</v>
      </c>
      <c r="ED18">
        <v>1966</v>
      </c>
      <c r="EE18" s="82">
        <v>0.18184443928741501</v>
      </c>
      <c r="EF18" s="82">
        <v>0.39349657055146697</v>
      </c>
    </row>
    <row r="19" spans="1:136" x14ac:dyDescent="0.35">
      <c r="A19" s="72">
        <v>37</v>
      </c>
      <c r="B19" s="72">
        <v>1</v>
      </c>
      <c r="D19" s="72" t="s">
        <v>282</v>
      </c>
      <c r="E19" s="79">
        <v>1721600000</v>
      </c>
      <c r="F19" s="79">
        <v>267400000</v>
      </c>
      <c r="G19" s="79">
        <v>303800000</v>
      </c>
      <c r="H19" s="79">
        <v>32258</v>
      </c>
      <c r="I19" s="79">
        <v>3</v>
      </c>
      <c r="J19" s="79">
        <v>303.8</v>
      </c>
      <c r="K19" s="79">
        <v>6698</v>
      </c>
      <c r="L19" s="79">
        <v>7918</v>
      </c>
      <c r="M19" s="79">
        <v>2660</v>
      </c>
      <c r="N19" s="79">
        <v>5885</v>
      </c>
      <c r="O19" s="79">
        <v>4334.8999999999996</v>
      </c>
      <c r="P19" s="79">
        <v>1012.33333333333</v>
      </c>
      <c r="Q19" s="79">
        <v>4070.3333333333298</v>
      </c>
      <c r="R19" s="79">
        <v>570</v>
      </c>
      <c r="S19" s="79">
        <v>0</v>
      </c>
      <c r="T19" s="79">
        <v>962</v>
      </c>
      <c r="U19" s="79">
        <v>15321</v>
      </c>
      <c r="V19" s="79">
        <v>35630</v>
      </c>
      <c r="W19" s="79">
        <v>30870</v>
      </c>
      <c r="X19" s="79">
        <v>1183.44</v>
      </c>
      <c r="Y19" s="79">
        <v>1864</v>
      </c>
      <c r="Z19" s="79">
        <v>0</v>
      </c>
      <c r="AA19" s="79">
        <v>0</v>
      </c>
      <c r="AB19" s="79">
        <v>550.20000000000005</v>
      </c>
      <c r="AC19" s="79">
        <v>11769</v>
      </c>
      <c r="AD19" s="79">
        <v>11769</v>
      </c>
      <c r="AE19" s="79">
        <v>226</v>
      </c>
      <c r="AF19" s="79">
        <v>0</v>
      </c>
      <c r="AG19" s="79">
        <v>266</v>
      </c>
      <c r="AH19" s="79">
        <v>206</v>
      </c>
      <c r="AI19" s="79">
        <v>60</v>
      </c>
      <c r="AJ19" s="79">
        <v>15501</v>
      </c>
      <c r="AK19" s="79">
        <v>15501</v>
      </c>
      <c r="AL19" s="79">
        <v>0</v>
      </c>
      <c r="AM19" s="79">
        <v>0</v>
      </c>
      <c r="AN19" s="79">
        <v>0</v>
      </c>
      <c r="AO19" s="79">
        <v>0</v>
      </c>
      <c r="AP19" s="79">
        <v>3442</v>
      </c>
      <c r="AQ19" s="79">
        <v>0</v>
      </c>
      <c r="AR19" s="80">
        <v>2.1908919999999998E-3</v>
      </c>
      <c r="AS19" s="80">
        <v>1.600237E-3</v>
      </c>
      <c r="AT19" s="79">
        <v>13005.339</v>
      </c>
      <c r="AU19" s="79">
        <v>0</v>
      </c>
      <c r="AV19" s="79">
        <v>3294</v>
      </c>
      <c r="AW19" s="79">
        <v>8858.5120466861208</v>
      </c>
      <c r="AX19" s="79">
        <v>13</v>
      </c>
      <c r="AY19" s="79">
        <v>13</v>
      </c>
      <c r="AZ19" s="79">
        <v>2660</v>
      </c>
      <c r="BA19" s="79">
        <v>1</v>
      </c>
      <c r="BB19" s="79">
        <v>0</v>
      </c>
      <c r="BC19" s="79">
        <v>0</v>
      </c>
      <c r="BD19" s="79">
        <v>0</v>
      </c>
      <c r="BE19" s="79">
        <v>0</v>
      </c>
      <c r="BF19" s="79">
        <v>0</v>
      </c>
      <c r="BG19" s="79">
        <v>0</v>
      </c>
      <c r="BH19" s="79">
        <v>0</v>
      </c>
      <c r="BI19" s="79">
        <v>0</v>
      </c>
      <c r="BJ19" s="79">
        <v>0</v>
      </c>
      <c r="BK19" s="79">
        <v>32</v>
      </c>
      <c r="BL19" s="79">
        <v>5082</v>
      </c>
      <c r="BM19" s="79">
        <v>206</v>
      </c>
      <c r="BN19" s="79">
        <v>60</v>
      </c>
      <c r="BO19">
        <v>7717</v>
      </c>
      <c r="BP19">
        <v>1618</v>
      </c>
      <c r="BQ19">
        <v>6860</v>
      </c>
      <c r="BR19">
        <v>1619</v>
      </c>
      <c r="BS19">
        <v>6796</v>
      </c>
      <c r="BT19">
        <v>1714</v>
      </c>
      <c r="BU19">
        <v>6684</v>
      </c>
      <c r="BV19">
        <v>1708</v>
      </c>
      <c r="BW19">
        <v>6597</v>
      </c>
      <c r="BX19">
        <v>1654</v>
      </c>
      <c r="BY19">
        <v>6487</v>
      </c>
      <c r="BZ19">
        <v>1614</v>
      </c>
      <c r="CA19">
        <v>5938</v>
      </c>
      <c r="CB19">
        <v>906.85291756708705</v>
      </c>
      <c r="CC19">
        <v>171.54216202459401</v>
      </c>
      <c r="CD19">
        <v>126.96317921446401</v>
      </c>
      <c r="CE19">
        <v>7535.3436670272104</v>
      </c>
      <c r="CF19">
        <v>1635.3260938931201</v>
      </c>
      <c r="CG19">
        <v>189.78751664505</v>
      </c>
      <c r="CH19">
        <v>338</v>
      </c>
      <c r="CI19">
        <v>276.41596566816003</v>
      </c>
      <c r="CJ19">
        <v>255.77873347396101</v>
      </c>
      <c r="CK19" s="81">
        <v>3058</v>
      </c>
      <c r="CL19">
        <v>864</v>
      </c>
      <c r="CM19">
        <v>7506.01464823273</v>
      </c>
      <c r="CN19">
        <v>3.1174559644858002</v>
      </c>
      <c r="CO19">
        <v>24340</v>
      </c>
      <c r="CP19">
        <v>4291</v>
      </c>
      <c r="CQ19">
        <v>967</v>
      </c>
      <c r="CR19">
        <v>914</v>
      </c>
      <c r="CS19">
        <v>941</v>
      </c>
      <c r="CT19">
        <v>518</v>
      </c>
      <c r="CU19">
        <v>742.84305354386004</v>
      </c>
      <c r="CV19">
        <v>515.73892723451695</v>
      </c>
      <c r="CW19">
        <v>200.813747155306</v>
      </c>
      <c r="CX19">
        <v>1674.52248270922</v>
      </c>
      <c r="CY19">
        <v>1162.58262730264</v>
      </c>
      <c r="CZ19">
        <v>452.67588199744802</v>
      </c>
      <c r="DA19">
        <v>0</v>
      </c>
      <c r="DE19">
        <v>53</v>
      </c>
      <c r="DF19" t="s">
        <v>802</v>
      </c>
      <c r="DG19">
        <v>3389</v>
      </c>
      <c r="DH19">
        <v>3352</v>
      </c>
      <c r="DI19">
        <v>3310</v>
      </c>
      <c r="DJ19">
        <v>3258</v>
      </c>
      <c r="DK19">
        <v>3182</v>
      </c>
      <c r="DO19">
        <v>37</v>
      </c>
      <c r="DP19" t="s">
        <v>282</v>
      </c>
      <c r="DQ19">
        <v>15501</v>
      </c>
      <c r="DR19">
        <v>1</v>
      </c>
      <c r="DS19">
        <v>839</v>
      </c>
      <c r="DV19">
        <v>362</v>
      </c>
      <c r="DW19" t="s">
        <v>25</v>
      </c>
      <c r="DX19">
        <v>10449.5718729535</v>
      </c>
      <c r="DY19">
        <v>2580</v>
      </c>
      <c r="DZ19">
        <v>2298</v>
      </c>
      <c r="EA19">
        <v>1562</v>
      </c>
      <c r="EB19">
        <v>5879</v>
      </c>
      <c r="EC19">
        <v>4070</v>
      </c>
      <c r="ED19">
        <v>2100</v>
      </c>
      <c r="EE19" s="82">
        <v>0.145820223316321</v>
      </c>
      <c r="EF19" s="82">
        <v>0.30454739891698501</v>
      </c>
    </row>
    <row r="20" spans="1:136" x14ac:dyDescent="0.35">
      <c r="A20" s="72">
        <v>9</v>
      </c>
      <c r="B20" s="72">
        <v>1</v>
      </c>
      <c r="D20" s="72" t="s">
        <v>801</v>
      </c>
      <c r="E20" s="79">
        <v>405600000</v>
      </c>
      <c r="F20" s="79">
        <v>75250000</v>
      </c>
      <c r="G20" s="79">
        <v>85050000</v>
      </c>
      <c r="H20" s="79">
        <v>7292</v>
      </c>
      <c r="I20" s="79">
        <v>1</v>
      </c>
      <c r="J20" s="79">
        <v>85.05</v>
      </c>
      <c r="K20" s="79">
        <v>1829</v>
      </c>
      <c r="L20" s="79">
        <v>1468</v>
      </c>
      <c r="M20" s="79">
        <v>357</v>
      </c>
      <c r="N20" s="79">
        <v>903</v>
      </c>
      <c r="O20" s="79">
        <v>587.79999999999995</v>
      </c>
      <c r="P20" s="79">
        <v>101.666666666667</v>
      </c>
      <c r="Q20" s="79">
        <v>355.66666666666703</v>
      </c>
      <c r="R20" s="79">
        <v>100</v>
      </c>
      <c r="S20" s="79">
        <v>0</v>
      </c>
      <c r="T20" s="79">
        <v>202</v>
      </c>
      <c r="U20" s="79">
        <v>3163</v>
      </c>
      <c r="V20" s="79">
        <v>5140</v>
      </c>
      <c r="W20" s="79">
        <v>530</v>
      </c>
      <c r="X20" s="79">
        <v>0</v>
      </c>
      <c r="Y20" s="79">
        <v>0</v>
      </c>
      <c r="Z20" s="79">
        <v>0</v>
      </c>
      <c r="AA20" s="79">
        <v>0</v>
      </c>
      <c r="AB20" s="79">
        <v>0</v>
      </c>
      <c r="AC20" s="79">
        <v>4531</v>
      </c>
      <c r="AD20" s="79">
        <v>5437.2</v>
      </c>
      <c r="AE20" s="79">
        <v>41</v>
      </c>
      <c r="AF20" s="79">
        <v>0</v>
      </c>
      <c r="AG20" s="79">
        <v>65</v>
      </c>
      <c r="AH20" s="79">
        <v>45.88</v>
      </c>
      <c r="AI20" s="79">
        <v>33.6</v>
      </c>
      <c r="AJ20" s="79">
        <v>3152</v>
      </c>
      <c r="AK20" s="79">
        <v>3908.48</v>
      </c>
      <c r="AL20" s="79">
        <v>0</v>
      </c>
      <c r="AM20" s="79">
        <v>0</v>
      </c>
      <c r="AN20" s="79">
        <v>0</v>
      </c>
      <c r="AO20" s="79">
        <v>0</v>
      </c>
      <c r="AP20" s="79">
        <v>0</v>
      </c>
      <c r="AQ20" s="79">
        <v>0</v>
      </c>
      <c r="AR20" s="80">
        <v>3.0338099999999997E-4</v>
      </c>
      <c r="AS20" s="80">
        <v>5.6808999999999998E-5</v>
      </c>
      <c r="AT20" s="79">
        <v>1172.5440000000001</v>
      </c>
      <c r="AU20" s="79">
        <v>0</v>
      </c>
      <c r="AV20" s="79">
        <v>1389.6</v>
      </c>
      <c r="AW20" s="79">
        <v>2377.0771653543302</v>
      </c>
      <c r="AX20" s="79">
        <v>9</v>
      </c>
      <c r="AY20" s="79">
        <v>10.8</v>
      </c>
      <c r="AZ20" s="79">
        <v>674</v>
      </c>
      <c r="BA20" s="79">
        <v>1</v>
      </c>
      <c r="BB20" s="79">
        <v>0</v>
      </c>
      <c r="BC20" s="79">
        <v>0</v>
      </c>
      <c r="BD20" s="79">
        <v>0</v>
      </c>
      <c r="BE20" s="79">
        <v>0</v>
      </c>
      <c r="BF20" s="79">
        <v>0</v>
      </c>
      <c r="BG20" s="79">
        <v>0</v>
      </c>
      <c r="BH20" s="79">
        <v>0</v>
      </c>
      <c r="BI20" s="79">
        <v>0</v>
      </c>
      <c r="BJ20" s="79">
        <v>0</v>
      </c>
      <c r="BK20" s="79">
        <v>5</v>
      </c>
      <c r="BL20" s="79">
        <v>828</v>
      </c>
      <c r="BM20" s="79">
        <v>37</v>
      </c>
      <c r="BN20" s="79">
        <v>28</v>
      </c>
      <c r="BO20">
        <v>2059</v>
      </c>
      <c r="BP20">
        <v>0</v>
      </c>
      <c r="BQ20">
        <v>1883</v>
      </c>
      <c r="BR20">
        <v>0</v>
      </c>
      <c r="BS20">
        <v>1873</v>
      </c>
      <c r="BT20">
        <v>0</v>
      </c>
      <c r="BU20">
        <v>1866</v>
      </c>
      <c r="BV20">
        <v>0</v>
      </c>
      <c r="BW20">
        <v>1835</v>
      </c>
      <c r="BX20">
        <v>0</v>
      </c>
      <c r="BY20">
        <v>1815</v>
      </c>
      <c r="BZ20">
        <v>0</v>
      </c>
      <c r="CA20">
        <v>1623</v>
      </c>
      <c r="CB20">
        <v>142.38143622478901</v>
      </c>
      <c r="CC20">
        <v>22.531507433936699</v>
      </c>
      <c r="CD20">
        <v>3.9119099695092099</v>
      </c>
      <c r="CE20">
        <v>1894.73391067686</v>
      </c>
      <c r="CF20">
        <v>458.72639277991198</v>
      </c>
      <c r="CG20">
        <v>44.582816326530597</v>
      </c>
      <c r="CH20">
        <v>78</v>
      </c>
      <c r="CI20">
        <v>41.680379926199997</v>
      </c>
      <c r="CJ20">
        <v>40.442129841930097</v>
      </c>
      <c r="CK20" s="81">
        <v>254</v>
      </c>
      <c r="CL20">
        <v>72</v>
      </c>
      <c r="CM20">
        <v>1033.2581501632201</v>
      </c>
      <c r="CN20">
        <v>0.163949888265919</v>
      </c>
      <c r="CO20">
        <v>5824</v>
      </c>
      <c r="CP20">
        <v>885</v>
      </c>
      <c r="CQ20">
        <v>226</v>
      </c>
      <c r="CR20">
        <v>187</v>
      </c>
      <c r="CS20">
        <v>123</v>
      </c>
      <c r="CT20">
        <v>68</v>
      </c>
      <c r="CU20">
        <v>102.69436647755499</v>
      </c>
      <c r="CV20">
        <v>45.476271180623499</v>
      </c>
      <c r="CW20">
        <v>17.333168933598301</v>
      </c>
      <c r="CX20">
        <v>263.12051899015302</v>
      </c>
      <c r="CY20">
        <v>116.51797937132</v>
      </c>
      <c r="CZ20">
        <v>44.4105413177573</v>
      </c>
      <c r="DA20">
        <v>0</v>
      </c>
      <c r="DE20">
        <v>56</v>
      </c>
      <c r="DF20" t="s">
        <v>803</v>
      </c>
      <c r="DG20">
        <v>4788</v>
      </c>
      <c r="DH20">
        <v>4730</v>
      </c>
      <c r="DI20">
        <v>4725</v>
      </c>
      <c r="DJ20">
        <v>4705</v>
      </c>
      <c r="DK20">
        <v>4670</v>
      </c>
      <c r="DO20">
        <v>9</v>
      </c>
      <c r="DP20" t="s">
        <v>801</v>
      </c>
      <c r="DQ20">
        <v>3152</v>
      </c>
      <c r="DR20">
        <v>1.24</v>
      </c>
      <c r="DS20">
        <v>372</v>
      </c>
      <c r="DV20">
        <v>363</v>
      </c>
      <c r="DW20" t="s">
        <v>26</v>
      </c>
      <c r="DX20">
        <v>153870.44983983299</v>
      </c>
      <c r="DY20">
        <v>29061</v>
      </c>
      <c r="DZ20">
        <v>14888</v>
      </c>
      <c r="EA20">
        <v>6708</v>
      </c>
      <c r="EB20">
        <v>49122</v>
      </c>
      <c r="EC20">
        <v>23536</v>
      </c>
      <c r="ED20">
        <v>8673</v>
      </c>
      <c r="EE20" s="82">
        <v>0.24682534100860701</v>
      </c>
      <c r="EF20" s="82">
        <v>0.45316433785906901</v>
      </c>
    </row>
    <row r="21" spans="1:136" x14ac:dyDescent="0.35">
      <c r="A21" s="72">
        <v>47</v>
      </c>
      <c r="B21" s="72">
        <v>1</v>
      </c>
      <c r="D21" s="72" t="s">
        <v>310</v>
      </c>
      <c r="E21" s="79">
        <v>1399600000</v>
      </c>
      <c r="F21" s="79">
        <v>317800000</v>
      </c>
      <c r="G21" s="79">
        <v>340550000</v>
      </c>
      <c r="H21" s="79">
        <v>27508</v>
      </c>
      <c r="I21" s="79">
        <v>1</v>
      </c>
      <c r="J21" s="79">
        <v>340.55</v>
      </c>
      <c r="K21" s="79">
        <v>5890</v>
      </c>
      <c r="L21" s="79">
        <v>6072</v>
      </c>
      <c r="M21" s="79">
        <v>1813</v>
      </c>
      <c r="N21" s="79">
        <v>4750</v>
      </c>
      <c r="O21" s="79">
        <v>3467.4</v>
      </c>
      <c r="P21" s="79">
        <v>919</v>
      </c>
      <c r="Q21" s="79">
        <v>3172</v>
      </c>
      <c r="R21" s="79">
        <v>1530</v>
      </c>
      <c r="S21" s="79">
        <v>0</v>
      </c>
      <c r="T21" s="79">
        <v>976</v>
      </c>
      <c r="U21" s="79">
        <v>12864</v>
      </c>
      <c r="V21" s="79">
        <v>31000</v>
      </c>
      <c r="W21" s="79">
        <v>30620</v>
      </c>
      <c r="X21" s="79">
        <v>874.12</v>
      </c>
      <c r="Y21" s="79">
        <v>1692</v>
      </c>
      <c r="Z21" s="79">
        <v>0</v>
      </c>
      <c r="AA21" s="79">
        <v>0</v>
      </c>
      <c r="AB21" s="79">
        <v>0</v>
      </c>
      <c r="AC21" s="79">
        <v>7596</v>
      </c>
      <c r="AD21" s="79">
        <v>7596</v>
      </c>
      <c r="AE21" s="79">
        <v>272</v>
      </c>
      <c r="AF21" s="79">
        <v>0</v>
      </c>
      <c r="AG21" s="79">
        <v>243</v>
      </c>
      <c r="AH21" s="79">
        <v>187</v>
      </c>
      <c r="AI21" s="79">
        <v>55</v>
      </c>
      <c r="AJ21" s="79">
        <v>12826</v>
      </c>
      <c r="AK21" s="79">
        <v>12826</v>
      </c>
      <c r="AL21" s="79">
        <v>0</v>
      </c>
      <c r="AM21" s="79">
        <v>0</v>
      </c>
      <c r="AN21" s="79">
        <v>0</v>
      </c>
      <c r="AO21" s="79">
        <v>0</v>
      </c>
      <c r="AP21" s="79">
        <v>3654</v>
      </c>
      <c r="AQ21" s="79">
        <v>0</v>
      </c>
      <c r="AR21" s="80">
        <v>1.8379760000000001E-3</v>
      </c>
      <c r="AS21" s="80">
        <v>1.366882E-3</v>
      </c>
      <c r="AT21" s="79">
        <v>12800.348</v>
      </c>
      <c r="AU21" s="79">
        <v>0</v>
      </c>
      <c r="AV21" s="79">
        <v>3371</v>
      </c>
      <c r="AW21" s="79">
        <v>11785.646670055899</v>
      </c>
      <c r="AX21" s="79">
        <v>6</v>
      </c>
      <c r="AY21" s="79">
        <v>6</v>
      </c>
      <c r="AZ21" s="79">
        <v>2049</v>
      </c>
      <c r="BA21" s="79">
        <v>1</v>
      </c>
      <c r="BB21" s="79">
        <v>0</v>
      </c>
      <c r="BC21" s="79">
        <v>0</v>
      </c>
      <c r="BD21" s="79">
        <v>0</v>
      </c>
      <c r="BE21" s="79">
        <v>0</v>
      </c>
      <c r="BF21" s="79">
        <v>0</v>
      </c>
      <c r="BG21" s="79">
        <v>0</v>
      </c>
      <c r="BH21" s="79">
        <v>0</v>
      </c>
      <c r="BI21" s="79">
        <v>0</v>
      </c>
      <c r="BJ21" s="79">
        <v>0</v>
      </c>
      <c r="BK21" s="79">
        <v>27</v>
      </c>
      <c r="BL21" s="79">
        <v>4250</v>
      </c>
      <c r="BM21" s="79">
        <v>187</v>
      </c>
      <c r="BN21" s="79">
        <v>55</v>
      </c>
      <c r="BO21">
        <v>6333</v>
      </c>
      <c r="BP21">
        <v>2207</v>
      </c>
      <c r="BQ21">
        <v>5669</v>
      </c>
      <c r="BR21">
        <v>2163</v>
      </c>
      <c r="BS21">
        <v>5667</v>
      </c>
      <c r="BT21">
        <v>2156</v>
      </c>
      <c r="BU21">
        <v>5635</v>
      </c>
      <c r="BV21">
        <v>2141</v>
      </c>
      <c r="BW21">
        <v>5633</v>
      </c>
      <c r="BX21">
        <v>2092</v>
      </c>
      <c r="BY21">
        <v>5625</v>
      </c>
      <c r="BZ21">
        <v>2118</v>
      </c>
      <c r="CA21">
        <v>5278</v>
      </c>
      <c r="CB21">
        <v>808.93766198447895</v>
      </c>
      <c r="CC21">
        <v>171.86813607041</v>
      </c>
      <c r="CD21">
        <v>62.748556527266402</v>
      </c>
      <c r="CE21">
        <v>6853.6752990124996</v>
      </c>
      <c r="CF21">
        <v>1553.51669786714</v>
      </c>
      <c r="CG21">
        <v>233.02601326699801</v>
      </c>
      <c r="CH21">
        <v>345</v>
      </c>
      <c r="CI21">
        <v>263.69253332284399</v>
      </c>
      <c r="CJ21">
        <v>240.52424590200499</v>
      </c>
      <c r="CK21" s="81">
        <v>2253</v>
      </c>
      <c r="CL21">
        <v>652</v>
      </c>
      <c r="CM21">
        <v>5688.4384781738099</v>
      </c>
      <c r="CN21">
        <v>2.9198891377499501</v>
      </c>
      <c r="CO21">
        <v>21436</v>
      </c>
      <c r="CP21">
        <v>3589</v>
      </c>
      <c r="CQ21">
        <v>670</v>
      </c>
      <c r="CR21">
        <v>769</v>
      </c>
      <c r="CS21">
        <v>653</v>
      </c>
      <c r="CT21">
        <v>339</v>
      </c>
      <c r="CU21">
        <v>617.767947511236</v>
      </c>
      <c r="CV21">
        <v>344.70640397235297</v>
      </c>
      <c r="CW21">
        <v>124.63502135784699</v>
      </c>
      <c r="CX21">
        <v>1355.56675467575</v>
      </c>
      <c r="CY21">
        <v>756.38845173373602</v>
      </c>
      <c r="CZ21">
        <v>273.48633431313903</v>
      </c>
      <c r="DA21">
        <v>23814</v>
      </c>
      <c r="DE21">
        <v>58</v>
      </c>
      <c r="DF21" t="s">
        <v>804</v>
      </c>
      <c r="DG21">
        <v>5654</v>
      </c>
      <c r="DH21">
        <v>5519</v>
      </c>
      <c r="DI21">
        <v>5416</v>
      </c>
      <c r="DJ21">
        <v>5398</v>
      </c>
      <c r="DK21">
        <v>5356</v>
      </c>
      <c r="DO21">
        <v>47</v>
      </c>
      <c r="DP21" t="s">
        <v>310</v>
      </c>
      <c r="DQ21">
        <v>12826</v>
      </c>
      <c r="DR21">
        <v>1</v>
      </c>
      <c r="DS21">
        <v>998</v>
      </c>
      <c r="DV21">
        <v>200</v>
      </c>
      <c r="DW21" t="s">
        <v>27</v>
      </c>
      <c r="DX21">
        <v>22694.721288220298</v>
      </c>
      <c r="DY21">
        <v>4122</v>
      </c>
      <c r="DZ21">
        <v>3397</v>
      </c>
      <c r="EA21">
        <v>2022</v>
      </c>
      <c r="EB21">
        <v>11704</v>
      </c>
      <c r="EC21">
        <v>6818</v>
      </c>
      <c r="ED21">
        <v>2743</v>
      </c>
      <c r="EE21" s="82">
        <v>0.19968731893382</v>
      </c>
      <c r="EF21" s="82">
        <v>0.44921487196198601</v>
      </c>
    </row>
    <row r="22" spans="1:136" x14ac:dyDescent="0.35">
      <c r="A22" s="72">
        <v>1950</v>
      </c>
      <c r="B22" s="72">
        <v>1</v>
      </c>
      <c r="D22" s="72" t="s">
        <v>339</v>
      </c>
      <c r="E22" s="79">
        <v>1511200000</v>
      </c>
      <c r="F22" s="79">
        <v>311150000</v>
      </c>
      <c r="G22" s="79">
        <v>362950000</v>
      </c>
      <c r="H22" s="79">
        <v>24684</v>
      </c>
      <c r="I22" s="79">
        <v>6</v>
      </c>
      <c r="J22" s="79">
        <v>362.95</v>
      </c>
      <c r="K22" s="79">
        <v>4770</v>
      </c>
      <c r="L22" s="79">
        <v>6488</v>
      </c>
      <c r="M22" s="79">
        <v>1950</v>
      </c>
      <c r="N22" s="79">
        <v>4130</v>
      </c>
      <c r="O22" s="79">
        <v>2890</v>
      </c>
      <c r="P22" s="79">
        <v>535.33333333333303</v>
      </c>
      <c r="Q22" s="79">
        <v>2647.3333333333298</v>
      </c>
      <c r="R22" s="79">
        <v>425</v>
      </c>
      <c r="S22" s="79">
        <v>0</v>
      </c>
      <c r="T22" s="79">
        <v>685</v>
      </c>
      <c r="U22" s="79">
        <v>11704</v>
      </c>
      <c r="V22" s="79">
        <v>22320</v>
      </c>
      <c r="W22" s="79">
        <v>9270</v>
      </c>
      <c r="X22" s="79">
        <v>0</v>
      </c>
      <c r="Y22" s="79">
        <v>1088.8</v>
      </c>
      <c r="Z22" s="79">
        <v>0</v>
      </c>
      <c r="AA22" s="79">
        <v>0</v>
      </c>
      <c r="AB22" s="79">
        <v>127.9</v>
      </c>
      <c r="AC22" s="79">
        <v>27576</v>
      </c>
      <c r="AD22" s="79">
        <v>27576</v>
      </c>
      <c r="AE22" s="79">
        <v>489</v>
      </c>
      <c r="AF22" s="79">
        <v>0</v>
      </c>
      <c r="AG22" s="79">
        <v>322</v>
      </c>
      <c r="AH22" s="79">
        <v>172</v>
      </c>
      <c r="AI22" s="79">
        <v>149</v>
      </c>
      <c r="AJ22" s="79">
        <v>12400</v>
      </c>
      <c r="AK22" s="79">
        <v>12400</v>
      </c>
      <c r="AL22" s="79">
        <v>0</v>
      </c>
      <c r="AM22" s="79">
        <v>0</v>
      </c>
      <c r="AN22" s="79">
        <v>0</v>
      </c>
      <c r="AO22" s="79">
        <v>5300</v>
      </c>
      <c r="AP22" s="79">
        <v>0</v>
      </c>
      <c r="AQ22" s="79">
        <v>0</v>
      </c>
      <c r="AR22" s="80">
        <v>2.134805E-3</v>
      </c>
      <c r="AS22" s="80">
        <v>4.9666000000000001E-4</v>
      </c>
      <c r="AT22" s="79">
        <v>3546.4</v>
      </c>
      <c r="AU22" s="79">
        <v>0</v>
      </c>
      <c r="AV22" s="79">
        <v>5991</v>
      </c>
      <c r="AW22" s="79">
        <v>5337.8655264564404</v>
      </c>
      <c r="AX22" s="79">
        <v>29</v>
      </c>
      <c r="AY22" s="79">
        <v>29</v>
      </c>
      <c r="AZ22" s="79">
        <v>2375</v>
      </c>
      <c r="BA22" s="79">
        <v>1</v>
      </c>
      <c r="BB22" s="79">
        <v>0</v>
      </c>
      <c r="BC22" s="79">
        <v>0</v>
      </c>
      <c r="BD22" s="79">
        <v>0</v>
      </c>
      <c r="BE22" s="79">
        <v>0</v>
      </c>
      <c r="BF22" s="79">
        <v>0</v>
      </c>
      <c r="BG22" s="79">
        <v>0</v>
      </c>
      <c r="BH22" s="79">
        <v>0</v>
      </c>
      <c r="BI22" s="79">
        <v>0</v>
      </c>
      <c r="BJ22" s="79">
        <v>0</v>
      </c>
      <c r="BK22" s="79">
        <v>13</v>
      </c>
      <c r="BL22" s="79">
        <v>3646</v>
      </c>
      <c r="BM22" s="79">
        <v>172</v>
      </c>
      <c r="BN22" s="79">
        <v>149</v>
      </c>
      <c r="BO22">
        <v>5518</v>
      </c>
      <c r="BP22">
        <v>1121</v>
      </c>
      <c r="BQ22">
        <v>4846</v>
      </c>
      <c r="BR22">
        <v>1115</v>
      </c>
      <c r="BS22">
        <v>4801</v>
      </c>
      <c r="BT22">
        <v>1188</v>
      </c>
      <c r="BU22">
        <v>4795</v>
      </c>
      <c r="BV22">
        <v>1230</v>
      </c>
      <c r="BW22">
        <v>4753</v>
      </c>
      <c r="BX22">
        <v>1276</v>
      </c>
      <c r="BY22">
        <v>4534</v>
      </c>
      <c r="BZ22">
        <v>1248</v>
      </c>
      <c r="CA22">
        <v>4233</v>
      </c>
      <c r="CB22">
        <v>589.58860788610798</v>
      </c>
      <c r="CC22">
        <v>184.53859092304501</v>
      </c>
      <c r="CD22">
        <v>129.64133194382899</v>
      </c>
      <c r="CE22">
        <v>6074.7854175660996</v>
      </c>
      <c r="CF22">
        <v>1184.42190069516</v>
      </c>
      <c r="CG22">
        <v>92.503164219358695</v>
      </c>
      <c r="CH22">
        <v>255</v>
      </c>
      <c r="CI22">
        <v>152.90182180007301</v>
      </c>
      <c r="CJ22">
        <v>128.77625554930401</v>
      </c>
      <c r="CK22" s="81">
        <v>2112</v>
      </c>
      <c r="CL22">
        <v>496</v>
      </c>
      <c r="CM22">
        <v>5156.7231347221696</v>
      </c>
      <c r="CN22">
        <v>1.5890369747561</v>
      </c>
      <c r="CO22">
        <v>18196</v>
      </c>
      <c r="CP22">
        <v>3800</v>
      </c>
      <c r="CQ22">
        <v>738</v>
      </c>
      <c r="CR22">
        <v>729</v>
      </c>
      <c r="CS22">
        <v>701</v>
      </c>
      <c r="CT22">
        <v>402</v>
      </c>
      <c r="CU22">
        <v>548.40226309710101</v>
      </c>
      <c r="CV22">
        <v>328.62184061492201</v>
      </c>
      <c r="CW22">
        <v>127.719694082963</v>
      </c>
      <c r="CX22">
        <v>1393.7061157414</v>
      </c>
      <c r="CY22">
        <v>835.15751092026301</v>
      </c>
      <c r="CZ22">
        <v>324.58603970517999</v>
      </c>
      <c r="DA22">
        <v>32058.9</v>
      </c>
      <c r="DE22">
        <v>59</v>
      </c>
      <c r="DF22" t="s">
        <v>14</v>
      </c>
      <c r="DG22">
        <v>6491</v>
      </c>
      <c r="DH22">
        <v>6472</v>
      </c>
      <c r="DI22">
        <v>6501</v>
      </c>
      <c r="DJ22">
        <v>6460</v>
      </c>
      <c r="DK22">
        <v>6470</v>
      </c>
      <c r="DO22">
        <v>1950</v>
      </c>
      <c r="DP22" t="s">
        <v>339</v>
      </c>
      <c r="DQ22">
        <v>12400</v>
      </c>
      <c r="DR22">
        <v>1</v>
      </c>
      <c r="DS22">
        <v>286</v>
      </c>
      <c r="DV22">
        <v>3</v>
      </c>
      <c r="DW22" t="s">
        <v>28</v>
      </c>
      <c r="DX22">
        <v>2184.3428571428599</v>
      </c>
      <c r="DY22">
        <v>333</v>
      </c>
      <c r="DZ22">
        <v>339</v>
      </c>
      <c r="EA22">
        <v>165</v>
      </c>
      <c r="EB22">
        <v>965</v>
      </c>
      <c r="EC22">
        <v>663</v>
      </c>
      <c r="ED22">
        <v>236</v>
      </c>
      <c r="EE22" s="82">
        <v>0.26063114696101303</v>
      </c>
      <c r="EF22" s="82">
        <v>0.58811918151723996</v>
      </c>
    </row>
    <row r="23" spans="1:136" x14ac:dyDescent="0.35">
      <c r="A23" s="72">
        <v>53</v>
      </c>
      <c r="B23" s="72">
        <v>1</v>
      </c>
      <c r="D23" s="72" t="s">
        <v>802</v>
      </c>
      <c r="E23" s="79">
        <v>778400000</v>
      </c>
      <c r="F23" s="79">
        <v>90650000</v>
      </c>
      <c r="G23" s="79">
        <v>113750000</v>
      </c>
      <c r="H23" s="79">
        <v>13560</v>
      </c>
      <c r="I23" s="79">
        <v>3</v>
      </c>
      <c r="J23" s="79">
        <v>113.75</v>
      </c>
      <c r="K23" s="79">
        <v>3255</v>
      </c>
      <c r="L23" s="79">
        <v>2985</v>
      </c>
      <c r="M23" s="79">
        <v>779</v>
      </c>
      <c r="N23" s="79">
        <v>1800</v>
      </c>
      <c r="O23" s="79">
        <v>1191.0999999999999</v>
      </c>
      <c r="P23" s="79">
        <v>291</v>
      </c>
      <c r="Q23" s="79">
        <v>916</v>
      </c>
      <c r="R23" s="79">
        <v>200</v>
      </c>
      <c r="S23" s="79">
        <v>0</v>
      </c>
      <c r="T23" s="79">
        <v>417</v>
      </c>
      <c r="U23" s="79">
        <v>6058</v>
      </c>
      <c r="V23" s="79">
        <v>11070</v>
      </c>
      <c r="W23" s="79">
        <v>2030</v>
      </c>
      <c r="X23" s="79">
        <v>0</v>
      </c>
      <c r="Y23" s="79">
        <v>157.6</v>
      </c>
      <c r="Z23" s="79">
        <v>0</v>
      </c>
      <c r="AA23" s="79">
        <v>0</v>
      </c>
      <c r="AB23" s="79">
        <v>0</v>
      </c>
      <c r="AC23" s="79">
        <v>10105</v>
      </c>
      <c r="AD23" s="79">
        <v>12328.1</v>
      </c>
      <c r="AE23" s="79">
        <v>149</v>
      </c>
      <c r="AF23" s="79">
        <v>0</v>
      </c>
      <c r="AG23" s="79">
        <v>129</v>
      </c>
      <c r="AH23" s="79">
        <v>95.16</v>
      </c>
      <c r="AI23" s="79">
        <v>61.71</v>
      </c>
      <c r="AJ23" s="79">
        <v>6089</v>
      </c>
      <c r="AK23" s="79">
        <v>7428.58</v>
      </c>
      <c r="AL23" s="79">
        <v>0</v>
      </c>
      <c r="AM23" s="79">
        <v>0</v>
      </c>
      <c r="AN23" s="79">
        <v>0</v>
      </c>
      <c r="AO23" s="79">
        <v>0</v>
      </c>
      <c r="AP23" s="79">
        <v>0</v>
      </c>
      <c r="AQ23" s="79">
        <v>0</v>
      </c>
      <c r="AR23" s="80">
        <v>7.0752599999999999E-4</v>
      </c>
      <c r="AS23" s="80">
        <v>1.44079E-4</v>
      </c>
      <c r="AT23" s="79">
        <v>2630.4479999999999</v>
      </c>
      <c r="AU23" s="79">
        <v>0</v>
      </c>
      <c r="AV23" s="79">
        <v>2547.36</v>
      </c>
      <c r="AW23" s="79">
        <v>3375.1096547688699</v>
      </c>
      <c r="AX23" s="79">
        <v>9</v>
      </c>
      <c r="AY23" s="79">
        <v>10.89</v>
      </c>
      <c r="AZ23" s="79">
        <v>1292</v>
      </c>
      <c r="BA23" s="79">
        <v>1</v>
      </c>
      <c r="BB23" s="79">
        <v>0</v>
      </c>
      <c r="BC23" s="79">
        <v>0</v>
      </c>
      <c r="BD23" s="79">
        <v>0</v>
      </c>
      <c r="BE23" s="79">
        <v>0</v>
      </c>
      <c r="BF23" s="79">
        <v>0</v>
      </c>
      <c r="BG23" s="79">
        <v>0</v>
      </c>
      <c r="BH23" s="79">
        <v>0</v>
      </c>
      <c r="BI23" s="79">
        <v>0</v>
      </c>
      <c r="BJ23" s="79">
        <v>0</v>
      </c>
      <c r="BK23" s="79">
        <v>14</v>
      </c>
      <c r="BL23" s="79">
        <v>1851</v>
      </c>
      <c r="BM23" s="79">
        <v>78</v>
      </c>
      <c r="BN23" s="79">
        <v>51</v>
      </c>
      <c r="BO23">
        <v>3700</v>
      </c>
      <c r="BP23">
        <v>263</v>
      </c>
      <c r="BQ23">
        <v>3389</v>
      </c>
      <c r="BR23">
        <v>262</v>
      </c>
      <c r="BS23">
        <v>3352</v>
      </c>
      <c r="BT23">
        <v>289</v>
      </c>
      <c r="BU23">
        <v>3310</v>
      </c>
      <c r="BV23">
        <v>301</v>
      </c>
      <c r="BW23">
        <v>3258</v>
      </c>
      <c r="BX23">
        <v>302</v>
      </c>
      <c r="BY23">
        <v>3182</v>
      </c>
      <c r="BZ23">
        <v>298</v>
      </c>
      <c r="CA23">
        <v>2923</v>
      </c>
      <c r="CB23">
        <v>261.49527859725498</v>
      </c>
      <c r="CC23">
        <v>26.4432386844883</v>
      </c>
      <c r="CD23">
        <v>13.6881691721407</v>
      </c>
      <c r="CE23">
        <v>3649.5392623773701</v>
      </c>
      <c r="CF23">
        <v>926.86901450603295</v>
      </c>
      <c r="CG23">
        <v>104.932789473684</v>
      </c>
      <c r="CH23">
        <v>174</v>
      </c>
      <c r="CI23">
        <v>73.337886783712193</v>
      </c>
      <c r="CJ23">
        <v>76.272437859780396</v>
      </c>
      <c r="CK23" s="81">
        <v>625</v>
      </c>
      <c r="CL23">
        <v>181</v>
      </c>
      <c r="CM23">
        <v>1878.92484412822</v>
      </c>
      <c r="CN23">
        <v>0.64720944345898301</v>
      </c>
      <c r="CO23">
        <v>10575</v>
      </c>
      <c r="CP23">
        <v>1889</v>
      </c>
      <c r="CQ23">
        <v>317</v>
      </c>
      <c r="CR23">
        <v>398</v>
      </c>
      <c r="CS23">
        <v>276</v>
      </c>
      <c r="CT23">
        <v>123</v>
      </c>
      <c r="CU23">
        <v>229.45644605025501</v>
      </c>
      <c r="CV23">
        <v>109.34880932829699</v>
      </c>
      <c r="CW23">
        <v>34.819477746756398</v>
      </c>
      <c r="CX23">
        <v>585.048666868174</v>
      </c>
      <c r="CY23">
        <v>278.80835872063898</v>
      </c>
      <c r="CZ23">
        <v>88.7797635997741</v>
      </c>
      <c r="DA23">
        <v>24475.5</v>
      </c>
      <c r="DE23">
        <v>60</v>
      </c>
      <c r="DF23" t="s">
        <v>23</v>
      </c>
      <c r="DG23">
        <v>778</v>
      </c>
      <c r="DH23">
        <v>796</v>
      </c>
      <c r="DI23">
        <v>787</v>
      </c>
      <c r="DJ23">
        <v>786</v>
      </c>
      <c r="DK23">
        <v>781</v>
      </c>
      <c r="DO23">
        <v>53</v>
      </c>
      <c r="DP23" t="s">
        <v>802</v>
      </c>
      <c r="DQ23">
        <v>6089</v>
      </c>
      <c r="DR23">
        <v>1.22</v>
      </c>
      <c r="DS23">
        <v>432</v>
      </c>
      <c r="DV23">
        <v>202</v>
      </c>
      <c r="DW23" t="s">
        <v>29</v>
      </c>
      <c r="DX23">
        <v>28515.5811717037</v>
      </c>
      <c r="DY23">
        <v>4413</v>
      </c>
      <c r="DZ23">
        <v>2744</v>
      </c>
      <c r="EA23">
        <v>1346</v>
      </c>
      <c r="EB23">
        <v>9424</v>
      </c>
      <c r="EC23">
        <v>4886</v>
      </c>
      <c r="ED23">
        <v>1782</v>
      </c>
      <c r="EE23" s="82">
        <v>0.27212518983287898</v>
      </c>
      <c r="EF23" s="82">
        <v>0.54396800637217502</v>
      </c>
    </row>
    <row r="24" spans="1:136" x14ac:dyDescent="0.35">
      <c r="A24" s="72">
        <v>56</v>
      </c>
      <c r="B24" s="72">
        <v>1</v>
      </c>
      <c r="D24" s="72" t="s">
        <v>803</v>
      </c>
      <c r="E24" s="79">
        <v>1191200000</v>
      </c>
      <c r="F24" s="79">
        <v>345100000</v>
      </c>
      <c r="G24" s="79">
        <v>381150000</v>
      </c>
      <c r="H24" s="79">
        <v>18917</v>
      </c>
      <c r="I24" s="79">
        <v>4</v>
      </c>
      <c r="J24" s="79">
        <v>381.15</v>
      </c>
      <c r="K24" s="79">
        <v>4920</v>
      </c>
      <c r="L24" s="79">
        <v>3734</v>
      </c>
      <c r="M24" s="79">
        <v>1132</v>
      </c>
      <c r="N24" s="79">
        <v>2059</v>
      </c>
      <c r="O24" s="79">
        <v>1259.9000000000001</v>
      </c>
      <c r="P24" s="79">
        <v>227</v>
      </c>
      <c r="Q24" s="79">
        <v>969</v>
      </c>
      <c r="R24" s="79">
        <v>260</v>
      </c>
      <c r="S24" s="79">
        <v>0</v>
      </c>
      <c r="T24" s="79">
        <v>439</v>
      </c>
      <c r="U24" s="79">
        <v>8002</v>
      </c>
      <c r="V24" s="79">
        <v>15850</v>
      </c>
      <c r="W24" s="79">
        <v>3790</v>
      </c>
      <c r="X24" s="79">
        <v>0</v>
      </c>
      <c r="Y24" s="79">
        <v>382.4</v>
      </c>
      <c r="Z24" s="79">
        <v>0</v>
      </c>
      <c r="AA24" s="79">
        <v>0</v>
      </c>
      <c r="AB24" s="79">
        <v>0</v>
      </c>
      <c r="AC24" s="79">
        <v>12542</v>
      </c>
      <c r="AD24" s="79">
        <v>14548.72</v>
      </c>
      <c r="AE24" s="79">
        <v>295</v>
      </c>
      <c r="AF24" s="79">
        <v>0</v>
      </c>
      <c r="AG24" s="79">
        <v>175</v>
      </c>
      <c r="AH24" s="79">
        <v>116.48</v>
      </c>
      <c r="AI24" s="79">
        <v>83.07</v>
      </c>
      <c r="AJ24" s="79">
        <v>7991</v>
      </c>
      <c r="AK24" s="79">
        <v>8949.92</v>
      </c>
      <c r="AL24" s="79">
        <v>0</v>
      </c>
      <c r="AM24" s="79">
        <v>0</v>
      </c>
      <c r="AN24" s="79">
        <v>0</v>
      </c>
      <c r="AO24" s="79">
        <v>0</v>
      </c>
      <c r="AP24" s="79">
        <v>0</v>
      </c>
      <c r="AQ24" s="79">
        <v>0</v>
      </c>
      <c r="AR24" s="80">
        <v>6.5897199999999996E-4</v>
      </c>
      <c r="AS24" s="80">
        <v>1.6497500000000001E-4</v>
      </c>
      <c r="AT24" s="79">
        <v>3332.2469999999998</v>
      </c>
      <c r="AU24" s="79">
        <v>0</v>
      </c>
      <c r="AV24" s="79">
        <v>3050.8</v>
      </c>
      <c r="AW24" s="79">
        <v>4577.8049513126098</v>
      </c>
      <c r="AX24" s="79">
        <v>12</v>
      </c>
      <c r="AY24" s="79">
        <v>14.04</v>
      </c>
      <c r="AZ24" s="79">
        <v>1840</v>
      </c>
      <c r="BA24" s="79">
        <v>1</v>
      </c>
      <c r="BB24" s="79">
        <v>0</v>
      </c>
      <c r="BC24" s="79">
        <v>0</v>
      </c>
      <c r="BD24" s="79">
        <v>0</v>
      </c>
      <c r="BE24" s="79">
        <v>0</v>
      </c>
      <c r="BF24" s="79">
        <v>0</v>
      </c>
      <c r="BG24" s="79">
        <v>0</v>
      </c>
      <c r="BH24" s="79">
        <v>0</v>
      </c>
      <c r="BI24" s="79">
        <v>0</v>
      </c>
      <c r="BJ24" s="79">
        <v>0</v>
      </c>
      <c r="BK24" s="79">
        <v>3</v>
      </c>
      <c r="BL24" s="79">
        <v>2188</v>
      </c>
      <c r="BM24" s="79">
        <v>104</v>
      </c>
      <c r="BN24" s="79">
        <v>71</v>
      </c>
      <c r="BO24">
        <v>5218</v>
      </c>
      <c r="BP24">
        <v>463</v>
      </c>
      <c r="BQ24">
        <v>4788</v>
      </c>
      <c r="BR24">
        <v>459</v>
      </c>
      <c r="BS24">
        <v>4730</v>
      </c>
      <c r="BT24">
        <v>450</v>
      </c>
      <c r="BU24">
        <v>4725</v>
      </c>
      <c r="BV24">
        <v>420</v>
      </c>
      <c r="BW24">
        <v>4705</v>
      </c>
      <c r="BX24">
        <v>430</v>
      </c>
      <c r="BY24">
        <v>4670</v>
      </c>
      <c r="BZ24">
        <v>433</v>
      </c>
      <c r="CA24">
        <v>4436</v>
      </c>
      <c r="CB24">
        <v>248.21074673259201</v>
      </c>
      <c r="CC24">
        <v>11.8206348751939</v>
      </c>
      <c r="CD24">
        <v>21.6345907800712</v>
      </c>
      <c r="CE24">
        <v>5058.7855174967899</v>
      </c>
      <c r="CF24">
        <v>1462.4889887295799</v>
      </c>
      <c r="CG24">
        <v>200.53174703557301</v>
      </c>
      <c r="CH24">
        <v>155</v>
      </c>
      <c r="CI24">
        <v>69.075753094828599</v>
      </c>
      <c r="CJ24">
        <v>53.922839789240101</v>
      </c>
      <c r="CK24" s="81">
        <v>742</v>
      </c>
      <c r="CL24">
        <v>256</v>
      </c>
      <c r="CM24">
        <v>2312.75775460253</v>
      </c>
      <c r="CN24">
        <v>0.36609574982653598</v>
      </c>
      <c r="CO24">
        <v>15183</v>
      </c>
      <c r="CP24">
        <v>2240</v>
      </c>
      <c r="CQ24">
        <v>362</v>
      </c>
      <c r="CR24">
        <v>440</v>
      </c>
      <c r="CS24">
        <v>338</v>
      </c>
      <c r="CT24">
        <v>169</v>
      </c>
      <c r="CU24">
        <v>214.844858781933</v>
      </c>
      <c r="CV24">
        <v>120.741864876714</v>
      </c>
      <c r="CW24">
        <v>36.569337665009897</v>
      </c>
      <c r="CX24">
        <v>617.66299250191105</v>
      </c>
      <c r="CY24">
        <v>347.123882800047</v>
      </c>
      <c r="CZ24">
        <v>105.13412638330399</v>
      </c>
      <c r="DA24">
        <v>30429</v>
      </c>
      <c r="DE24">
        <v>72</v>
      </c>
      <c r="DF24" t="s">
        <v>132</v>
      </c>
      <c r="DG24">
        <v>3390</v>
      </c>
      <c r="DH24">
        <v>3371</v>
      </c>
      <c r="DI24">
        <v>3349</v>
      </c>
      <c r="DJ24">
        <v>3306</v>
      </c>
      <c r="DK24">
        <v>3278</v>
      </c>
      <c r="DO24">
        <v>56</v>
      </c>
      <c r="DP24" t="s">
        <v>803</v>
      </c>
      <c r="DQ24">
        <v>7991</v>
      </c>
      <c r="DR24">
        <v>1.1200000000000001</v>
      </c>
      <c r="DS24">
        <v>417</v>
      </c>
      <c r="DV24">
        <v>106</v>
      </c>
      <c r="DW24" t="s">
        <v>30</v>
      </c>
      <c r="DX24">
        <v>10413.4716055841</v>
      </c>
      <c r="DY24">
        <v>1858</v>
      </c>
      <c r="DZ24">
        <v>1473</v>
      </c>
      <c r="EA24">
        <v>768</v>
      </c>
      <c r="EB24">
        <v>4738</v>
      </c>
      <c r="EC24">
        <v>2818</v>
      </c>
      <c r="ED24">
        <v>1082</v>
      </c>
      <c r="EE24" s="82">
        <v>0.222398501720869</v>
      </c>
      <c r="EF24" s="82">
        <v>0.52088851256685498</v>
      </c>
    </row>
    <row r="25" spans="1:136" x14ac:dyDescent="0.35">
      <c r="A25" s="72">
        <v>59</v>
      </c>
      <c r="B25" s="72">
        <v>2</v>
      </c>
      <c r="D25" s="72" t="s">
        <v>14</v>
      </c>
      <c r="E25" s="79">
        <v>1592000000</v>
      </c>
      <c r="F25" s="79">
        <v>251650000</v>
      </c>
      <c r="G25" s="79">
        <v>283500000</v>
      </c>
      <c r="H25" s="79">
        <v>27935</v>
      </c>
      <c r="I25" s="79">
        <v>5</v>
      </c>
      <c r="J25" s="79">
        <v>283.5</v>
      </c>
      <c r="K25" s="79">
        <v>6870</v>
      </c>
      <c r="L25" s="79">
        <v>5355</v>
      </c>
      <c r="M25" s="79">
        <v>1611</v>
      </c>
      <c r="N25" s="79">
        <v>4143</v>
      </c>
      <c r="O25" s="79">
        <v>2929.6</v>
      </c>
      <c r="P25" s="79">
        <v>709.33333333333303</v>
      </c>
      <c r="Q25" s="79">
        <v>2262.3333333333298</v>
      </c>
      <c r="R25" s="79">
        <v>280</v>
      </c>
      <c r="S25" s="79">
        <v>0</v>
      </c>
      <c r="T25" s="79">
        <v>810</v>
      </c>
      <c r="U25" s="79">
        <v>11963</v>
      </c>
      <c r="V25" s="79">
        <v>27570</v>
      </c>
      <c r="W25" s="79">
        <v>10770</v>
      </c>
      <c r="X25" s="79">
        <v>0</v>
      </c>
      <c r="Y25" s="79">
        <v>1239.2</v>
      </c>
      <c r="Z25" s="79">
        <v>0</v>
      </c>
      <c r="AA25" s="79">
        <v>0</v>
      </c>
      <c r="AB25" s="79">
        <v>0</v>
      </c>
      <c r="AC25" s="79">
        <v>10223</v>
      </c>
      <c r="AD25" s="79">
        <v>10223</v>
      </c>
      <c r="AE25" s="79">
        <v>175</v>
      </c>
      <c r="AF25" s="79">
        <v>0</v>
      </c>
      <c r="AG25" s="79">
        <v>262</v>
      </c>
      <c r="AH25" s="79">
        <v>189</v>
      </c>
      <c r="AI25" s="79">
        <v>74</v>
      </c>
      <c r="AJ25" s="79">
        <v>12134</v>
      </c>
      <c r="AK25" s="79">
        <v>12134</v>
      </c>
      <c r="AL25" s="79">
        <v>0</v>
      </c>
      <c r="AM25" s="79">
        <v>0</v>
      </c>
      <c r="AN25" s="79">
        <v>0</v>
      </c>
      <c r="AO25" s="79">
        <v>0</v>
      </c>
      <c r="AP25" s="79">
        <v>0</v>
      </c>
      <c r="AQ25" s="79">
        <v>0</v>
      </c>
      <c r="AR25" s="80">
        <v>7.2742499999999997E-4</v>
      </c>
      <c r="AS25" s="80">
        <v>3.2451499999999999E-4</v>
      </c>
      <c r="AT25" s="79">
        <v>5169.0839999999998</v>
      </c>
      <c r="AU25" s="79">
        <v>0</v>
      </c>
      <c r="AV25" s="79">
        <v>2359</v>
      </c>
      <c r="AW25" s="79">
        <v>6337.62887093672</v>
      </c>
      <c r="AX25" s="79">
        <v>13</v>
      </c>
      <c r="AY25" s="79">
        <v>13</v>
      </c>
      <c r="AZ25" s="79">
        <v>2624</v>
      </c>
      <c r="BA25" s="79">
        <v>1</v>
      </c>
      <c r="BB25" s="79">
        <v>0</v>
      </c>
      <c r="BC25" s="79">
        <v>0</v>
      </c>
      <c r="BD25" s="79">
        <v>0</v>
      </c>
      <c r="BE25" s="79">
        <v>0</v>
      </c>
      <c r="BF25" s="79">
        <v>0</v>
      </c>
      <c r="BG25" s="79">
        <v>0</v>
      </c>
      <c r="BH25" s="79">
        <v>0</v>
      </c>
      <c r="BI25" s="79">
        <v>0</v>
      </c>
      <c r="BJ25" s="79">
        <v>0</v>
      </c>
      <c r="BK25" s="79">
        <v>13</v>
      </c>
      <c r="BL25" s="79">
        <v>3466</v>
      </c>
      <c r="BM25" s="79">
        <v>189</v>
      </c>
      <c r="BN25" s="79">
        <v>74</v>
      </c>
      <c r="BO25">
        <v>7255</v>
      </c>
      <c r="BP25">
        <v>1771</v>
      </c>
      <c r="BQ25">
        <v>6491</v>
      </c>
      <c r="BR25">
        <v>1761</v>
      </c>
      <c r="BS25">
        <v>6472</v>
      </c>
      <c r="BT25">
        <v>1738</v>
      </c>
      <c r="BU25">
        <v>6501</v>
      </c>
      <c r="BV25">
        <v>1727</v>
      </c>
      <c r="BW25">
        <v>6460</v>
      </c>
      <c r="BX25">
        <v>1736</v>
      </c>
      <c r="BY25">
        <v>6470</v>
      </c>
      <c r="BZ25">
        <v>1749</v>
      </c>
      <c r="CA25">
        <v>6193</v>
      </c>
      <c r="CB25">
        <v>716.53196350470796</v>
      </c>
      <c r="CC25">
        <v>125.57970339070999</v>
      </c>
      <c r="CD25">
        <v>52.318833090821499</v>
      </c>
      <c r="CE25">
        <v>6057.5635529425399</v>
      </c>
      <c r="CF25">
        <v>1649.2117200196799</v>
      </c>
      <c r="CG25">
        <v>376.171788982674</v>
      </c>
      <c r="CH25">
        <v>315</v>
      </c>
      <c r="CI25">
        <v>195.265682314798</v>
      </c>
      <c r="CJ25">
        <v>182.699095338544</v>
      </c>
      <c r="CK25" s="81">
        <v>1553</v>
      </c>
      <c r="CL25">
        <v>496</v>
      </c>
      <c r="CM25">
        <v>4507.5422073053196</v>
      </c>
      <c r="CN25">
        <v>2.13450440113375</v>
      </c>
      <c r="CO25">
        <v>22580</v>
      </c>
      <c r="CP25">
        <v>3198</v>
      </c>
      <c r="CQ25">
        <v>546</v>
      </c>
      <c r="CR25">
        <v>643</v>
      </c>
      <c r="CS25">
        <v>595</v>
      </c>
      <c r="CT25">
        <v>280</v>
      </c>
      <c r="CU25">
        <v>483.55032987088703</v>
      </c>
      <c r="CV25">
        <v>281.48761089837899</v>
      </c>
      <c r="CW25">
        <v>91.254131148874293</v>
      </c>
      <c r="CX25">
        <v>1262.8270078563901</v>
      </c>
      <c r="CY25">
        <v>735.12545739418499</v>
      </c>
      <c r="CZ25">
        <v>238.31682924099599</v>
      </c>
      <c r="DA25">
        <v>0</v>
      </c>
      <c r="DE25">
        <v>74</v>
      </c>
      <c r="DF25" t="s">
        <v>137</v>
      </c>
      <c r="DG25">
        <v>10574.88</v>
      </c>
      <c r="DH25">
        <v>10447.030000000001</v>
      </c>
      <c r="DI25">
        <v>10427.780000000001</v>
      </c>
      <c r="DJ25">
        <v>10370.26</v>
      </c>
      <c r="DK25">
        <v>10286.049999999999</v>
      </c>
      <c r="DO25">
        <v>59</v>
      </c>
      <c r="DP25" t="s">
        <v>14</v>
      </c>
      <c r="DQ25">
        <v>12134</v>
      </c>
      <c r="DR25">
        <v>1</v>
      </c>
      <c r="DS25">
        <v>426</v>
      </c>
      <c r="DV25">
        <v>743</v>
      </c>
      <c r="DW25" t="s">
        <v>31</v>
      </c>
      <c r="DX25">
        <v>2149.8795045044999</v>
      </c>
      <c r="DY25">
        <v>356</v>
      </c>
      <c r="DZ25">
        <v>377</v>
      </c>
      <c r="EA25">
        <v>142</v>
      </c>
      <c r="EB25">
        <v>1295</v>
      </c>
      <c r="EC25">
        <v>773</v>
      </c>
      <c r="ED25">
        <v>207</v>
      </c>
      <c r="EE25" s="82">
        <v>0.21463186074996399</v>
      </c>
      <c r="EF25" s="82">
        <v>0.44140850577478302</v>
      </c>
    </row>
    <row r="26" spans="1:136" x14ac:dyDescent="0.35">
      <c r="A26" s="72">
        <v>60</v>
      </c>
      <c r="B26" s="72">
        <v>2</v>
      </c>
      <c r="D26" s="72" t="s">
        <v>23</v>
      </c>
      <c r="E26" s="79">
        <v>687200000</v>
      </c>
      <c r="F26" s="79">
        <v>130200000</v>
      </c>
      <c r="G26" s="79">
        <v>140700000</v>
      </c>
      <c r="H26" s="79">
        <v>3654</v>
      </c>
      <c r="I26" s="79">
        <v>3</v>
      </c>
      <c r="J26" s="79">
        <v>140.69999999999999</v>
      </c>
      <c r="K26" s="79">
        <v>777</v>
      </c>
      <c r="L26" s="79">
        <v>837</v>
      </c>
      <c r="M26" s="79">
        <v>235</v>
      </c>
      <c r="N26" s="79">
        <v>525</v>
      </c>
      <c r="O26" s="79">
        <v>165.5</v>
      </c>
      <c r="P26" s="79">
        <v>13</v>
      </c>
      <c r="Q26" s="79">
        <v>127</v>
      </c>
      <c r="R26" s="79">
        <v>0</v>
      </c>
      <c r="S26" s="79">
        <v>0</v>
      </c>
      <c r="T26" s="79">
        <v>69</v>
      </c>
      <c r="U26" s="79">
        <v>1716</v>
      </c>
      <c r="V26" s="79">
        <v>3500</v>
      </c>
      <c r="W26" s="79">
        <v>250</v>
      </c>
      <c r="X26" s="79">
        <v>0</v>
      </c>
      <c r="Y26" s="79">
        <v>126.4</v>
      </c>
      <c r="Z26" s="79">
        <v>0</v>
      </c>
      <c r="AA26" s="79">
        <v>0</v>
      </c>
      <c r="AB26" s="79">
        <v>0</v>
      </c>
      <c r="AC26" s="79">
        <v>5908</v>
      </c>
      <c r="AD26" s="79">
        <v>5908</v>
      </c>
      <c r="AE26" s="79">
        <v>78</v>
      </c>
      <c r="AF26" s="79">
        <v>10000</v>
      </c>
      <c r="AG26" s="79">
        <v>56</v>
      </c>
      <c r="AH26" s="79">
        <v>46</v>
      </c>
      <c r="AI26" s="79">
        <v>9</v>
      </c>
      <c r="AJ26" s="79">
        <v>3595</v>
      </c>
      <c r="AK26" s="79">
        <v>3595</v>
      </c>
      <c r="AL26" s="79">
        <v>0</v>
      </c>
      <c r="AM26" s="79">
        <v>0</v>
      </c>
      <c r="AN26" s="79">
        <v>0</v>
      </c>
      <c r="AO26" s="79">
        <v>0</v>
      </c>
      <c r="AP26" s="79">
        <v>0</v>
      </c>
      <c r="AQ26" s="79">
        <v>0</v>
      </c>
      <c r="AR26" s="80">
        <v>2.41883E-4</v>
      </c>
      <c r="AS26" s="80">
        <v>2.4516999999999999E-5</v>
      </c>
      <c r="AT26" s="79">
        <v>905.94</v>
      </c>
      <c r="AU26" s="79">
        <v>0</v>
      </c>
      <c r="AV26" s="79">
        <v>921</v>
      </c>
      <c r="AW26" s="79">
        <v>562.20080187103201</v>
      </c>
      <c r="AX26" s="79">
        <v>4</v>
      </c>
      <c r="AY26" s="79">
        <v>4</v>
      </c>
      <c r="AZ26" s="79">
        <v>582</v>
      </c>
      <c r="BA26" s="79">
        <v>1</v>
      </c>
      <c r="BB26" s="79">
        <v>0</v>
      </c>
      <c r="BC26" s="79">
        <v>0</v>
      </c>
      <c r="BD26" s="79">
        <v>0</v>
      </c>
      <c r="BE26" s="79">
        <v>0</v>
      </c>
      <c r="BF26" s="79">
        <v>0</v>
      </c>
      <c r="BG26" s="79">
        <v>1</v>
      </c>
      <c r="BH26" s="79">
        <v>2500</v>
      </c>
      <c r="BI26" s="79">
        <v>1154</v>
      </c>
      <c r="BJ26" s="79">
        <v>0</v>
      </c>
      <c r="BK26" s="79">
        <v>4</v>
      </c>
      <c r="BL26" s="79">
        <v>630</v>
      </c>
      <c r="BM26" s="79">
        <v>46</v>
      </c>
      <c r="BN26" s="79">
        <v>9</v>
      </c>
      <c r="BO26">
        <v>814</v>
      </c>
      <c r="BP26">
        <v>158</v>
      </c>
      <c r="BQ26">
        <v>778</v>
      </c>
      <c r="BR26">
        <v>167</v>
      </c>
      <c r="BS26">
        <v>796</v>
      </c>
      <c r="BT26">
        <v>161</v>
      </c>
      <c r="BU26">
        <v>787</v>
      </c>
      <c r="BV26">
        <v>173</v>
      </c>
      <c r="BW26">
        <v>786</v>
      </c>
      <c r="BX26">
        <v>174</v>
      </c>
      <c r="BY26">
        <v>781</v>
      </c>
      <c r="BZ26">
        <v>177</v>
      </c>
      <c r="CA26">
        <v>723</v>
      </c>
      <c r="CB26">
        <v>50.961558812947899</v>
      </c>
      <c r="CC26">
        <v>0</v>
      </c>
      <c r="CD26">
        <v>1.97237759397935</v>
      </c>
      <c r="CE26">
        <v>934.76642469807996</v>
      </c>
      <c r="CF26">
        <v>207.630450423886</v>
      </c>
      <c r="CG26">
        <v>31.651008097165999</v>
      </c>
      <c r="CH26">
        <v>17</v>
      </c>
      <c r="CI26">
        <v>4.7139640638589997</v>
      </c>
      <c r="CJ26">
        <v>3.1927997243628998</v>
      </c>
      <c r="CK26" s="81">
        <v>114</v>
      </c>
      <c r="CL26">
        <v>25</v>
      </c>
      <c r="CM26">
        <v>464.141988368873</v>
      </c>
      <c r="CN26">
        <v>1.66225633910865E-2</v>
      </c>
      <c r="CO26">
        <v>2817</v>
      </c>
      <c r="CP26">
        <v>520</v>
      </c>
      <c r="CQ26">
        <v>82</v>
      </c>
      <c r="CR26">
        <v>124</v>
      </c>
      <c r="CS26">
        <v>75</v>
      </c>
      <c r="CT26">
        <v>36</v>
      </c>
      <c r="CU26">
        <v>15.200950633038399</v>
      </c>
      <c r="CV26">
        <v>7.8071347662130997</v>
      </c>
      <c r="CW26">
        <v>2.4339890741723198</v>
      </c>
      <c r="CX26">
        <v>188.02925614683701</v>
      </c>
      <c r="CY26">
        <v>96.5709170542669</v>
      </c>
      <c r="CZ26">
        <v>30.107403552212599</v>
      </c>
      <c r="DA26">
        <v>1984.5</v>
      </c>
      <c r="DE26">
        <v>79</v>
      </c>
      <c r="DF26" t="s">
        <v>806</v>
      </c>
      <c r="DG26">
        <v>3016</v>
      </c>
      <c r="DH26">
        <v>2983</v>
      </c>
      <c r="DI26">
        <v>2933</v>
      </c>
      <c r="DJ26">
        <v>2884</v>
      </c>
      <c r="DK26">
        <v>2817</v>
      </c>
      <c r="DO26">
        <v>60</v>
      </c>
      <c r="DP26" t="s">
        <v>23</v>
      </c>
      <c r="DQ26">
        <v>3595</v>
      </c>
      <c r="DR26">
        <v>1</v>
      </c>
      <c r="DS26">
        <v>252</v>
      </c>
      <c r="DV26">
        <v>744</v>
      </c>
      <c r="DW26" t="s">
        <v>32</v>
      </c>
      <c r="DX26">
        <v>949.13774104683205</v>
      </c>
      <c r="DY26">
        <v>213</v>
      </c>
      <c r="DZ26">
        <v>176</v>
      </c>
      <c r="EA26">
        <v>81</v>
      </c>
      <c r="EB26">
        <v>655</v>
      </c>
      <c r="EC26">
        <v>386</v>
      </c>
      <c r="ED26">
        <v>124</v>
      </c>
      <c r="EE26" s="82">
        <v>0.148075729494729</v>
      </c>
      <c r="EF26" s="82">
        <v>0.46115767919659201</v>
      </c>
    </row>
    <row r="27" spans="1:136" x14ac:dyDescent="0.35">
      <c r="A27" s="72">
        <v>1891</v>
      </c>
      <c r="B27" s="72">
        <v>2</v>
      </c>
      <c r="D27" s="72" t="s">
        <v>75</v>
      </c>
      <c r="E27" s="79">
        <v>1066000000</v>
      </c>
      <c r="F27" s="79">
        <v>136500000</v>
      </c>
      <c r="G27" s="79">
        <v>166250000</v>
      </c>
      <c r="H27" s="79">
        <v>18904</v>
      </c>
      <c r="I27" s="79">
        <v>3</v>
      </c>
      <c r="J27" s="79">
        <v>166.25</v>
      </c>
      <c r="K27" s="79">
        <v>4406</v>
      </c>
      <c r="L27" s="79">
        <v>4023</v>
      </c>
      <c r="M27" s="79">
        <v>1293</v>
      </c>
      <c r="N27" s="79">
        <v>2806</v>
      </c>
      <c r="O27" s="79">
        <v>1978.4</v>
      </c>
      <c r="P27" s="79">
        <v>513.33333333333303</v>
      </c>
      <c r="Q27" s="79">
        <v>1558.3333333333301</v>
      </c>
      <c r="R27" s="79">
        <v>195</v>
      </c>
      <c r="S27" s="79">
        <v>0</v>
      </c>
      <c r="T27" s="79">
        <v>425</v>
      </c>
      <c r="U27" s="79">
        <v>8088</v>
      </c>
      <c r="V27" s="79">
        <v>18370</v>
      </c>
      <c r="W27" s="79">
        <v>6120</v>
      </c>
      <c r="X27" s="79">
        <v>685.08</v>
      </c>
      <c r="Y27" s="79">
        <v>305.60000000000002</v>
      </c>
      <c r="Z27" s="79">
        <v>0</v>
      </c>
      <c r="AA27" s="79">
        <v>0</v>
      </c>
      <c r="AB27" s="79">
        <v>0</v>
      </c>
      <c r="AC27" s="79">
        <v>8460</v>
      </c>
      <c r="AD27" s="79">
        <v>8460</v>
      </c>
      <c r="AE27" s="79">
        <v>293</v>
      </c>
      <c r="AF27" s="79">
        <v>0</v>
      </c>
      <c r="AG27" s="79">
        <v>159</v>
      </c>
      <c r="AH27" s="79">
        <v>111</v>
      </c>
      <c r="AI27" s="79">
        <v>48</v>
      </c>
      <c r="AJ27" s="79">
        <v>8276</v>
      </c>
      <c r="AK27" s="79">
        <v>8276</v>
      </c>
      <c r="AL27" s="79">
        <v>0</v>
      </c>
      <c r="AM27" s="79">
        <v>0</v>
      </c>
      <c r="AN27" s="79">
        <v>0</v>
      </c>
      <c r="AO27" s="79">
        <v>0</v>
      </c>
      <c r="AP27" s="79">
        <v>573</v>
      </c>
      <c r="AQ27" s="79">
        <v>0</v>
      </c>
      <c r="AR27" s="80">
        <v>6.2478900000000005E-4</v>
      </c>
      <c r="AS27" s="80">
        <v>1.8494799999999999E-4</v>
      </c>
      <c r="AT27" s="79">
        <v>3715.924</v>
      </c>
      <c r="AU27" s="79">
        <v>0</v>
      </c>
      <c r="AV27" s="79">
        <v>2474</v>
      </c>
      <c r="AW27" s="79">
        <v>5343.1390380440998</v>
      </c>
      <c r="AX27" s="79">
        <v>9</v>
      </c>
      <c r="AY27" s="79">
        <v>9</v>
      </c>
      <c r="AZ27" s="79">
        <v>1546</v>
      </c>
      <c r="BA27" s="79">
        <v>1</v>
      </c>
      <c r="BB27" s="79">
        <v>0</v>
      </c>
      <c r="BC27" s="79">
        <v>0</v>
      </c>
      <c r="BD27" s="79">
        <v>0</v>
      </c>
      <c r="BE27" s="79">
        <v>0</v>
      </c>
      <c r="BF27" s="79">
        <v>0</v>
      </c>
      <c r="BG27" s="79">
        <v>0</v>
      </c>
      <c r="BH27" s="79">
        <v>0</v>
      </c>
      <c r="BI27" s="79">
        <v>0</v>
      </c>
      <c r="BJ27" s="79">
        <v>0</v>
      </c>
      <c r="BK27" s="79">
        <v>26</v>
      </c>
      <c r="BL27" s="79">
        <v>2228</v>
      </c>
      <c r="BM27" s="79">
        <v>111</v>
      </c>
      <c r="BN27" s="79">
        <v>48</v>
      </c>
      <c r="BO27">
        <v>5065</v>
      </c>
      <c r="BP27">
        <v>434</v>
      </c>
      <c r="BQ27">
        <v>4457</v>
      </c>
      <c r="BR27">
        <v>422</v>
      </c>
      <c r="BS27">
        <v>4381</v>
      </c>
      <c r="BT27">
        <v>415</v>
      </c>
      <c r="BU27">
        <v>4280</v>
      </c>
      <c r="BV27">
        <v>399</v>
      </c>
      <c r="BW27">
        <v>4254</v>
      </c>
      <c r="BX27">
        <v>413</v>
      </c>
      <c r="BY27">
        <v>4150</v>
      </c>
      <c r="BZ27">
        <v>422</v>
      </c>
      <c r="CA27">
        <v>3953</v>
      </c>
      <c r="CB27">
        <v>430.89095672809702</v>
      </c>
      <c r="CC27">
        <v>62.566460560247798</v>
      </c>
      <c r="CD27">
        <v>41.640580532423101</v>
      </c>
      <c r="CE27">
        <v>4166.3340575959501</v>
      </c>
      <c r="CF27">
        <v>1077.94480016953</v>
      </c>
      <c r="CG27">
        <v>182.63494383149401</v>
      </c>
      <c r="CH27">
        <v>160</v>
      </c>
      <c r="CI27">
        <v>126.69081130406801</v>
      </c>
      <c r="CJ27">
        <v>119.552611901144</v>
      </c>
      <c r="CK27" s="81">
        <v>1045</v>
      </c>
      <c r="CL27">
        <v>353</v>
      </c>
      <c r="CM27">
        <v>3352.51479358401</v>
      </c>
      <c r="CN27">
        <v>1.5382827694499099</v>
      </c>
      <c r="CO27">
        <v>14881</v>
      </c>
      <c r="CP27">
        <v>2309</v>
      </c>
      <c r="CQ27">
        <v>421</v>
      </c>
      <c r="CR27">
        <v>417</v>
      </c>
      <c r="CS27">
        <v>447</v>
      </c>
      <c r="CT27">
        <v>184</v>
      </c>
      <c r="CU27">
        <v>338.57549371636497</v>
      </c>
      <c r="CV27">
        <v>217.34825126283599</v>
      </c>
      <c r="CW27">
        <v>61.450495681572001</v>
      </c>
      <c r="CX27">
        <v>862.21195301066598</v>
      </c>
      <c r="CY27">
        <v>553.49623254710195</v>
      </c>
      <c r="CZ27">
        <v>156.48903384445001</v>
      </c>
      <c r="DA27">
        <v>25575.200000000001</v>
      </c>
      <c r="DE27">
        <v>80</v>
      </c>
      <c r="DF27" t="s">
        <v>178</v>
      </c>
      <c r="DG27">
        <v>23521.439999999999</v>
      </c>
      <c r="DH27">
        <v>23398.41</v>
      </c>
      <c r="DI27">
        <v>23381.66</v>
      </c>
      <c r="DJ27">
        <v>23221.38</v>
      </c>
      <c r="DK27">
        <v>23265.47</v>
      </c>
      <c r="DO27">
        <v>1891</v>
      </c>
      <c r="DP27" t="s">
        <v>75</v>
      </c>
      <c r="DQ27">
        <v>8276</v>
      </c>
      <c r="DR27">
        <v>1</v>
      </c>
      <c r="DS27">
        <v>449</v>
      </c>
      <c r="DV27">
        <v>308</v>
      </c>
      <c r="DW27" t="s">
        <v>33</v>
      </c>
      <c r="DX27">
        <v>3215.5357595509699</v>
      </c>
      <c r="DY27">
        <v>779</v>
      </c>
      <c r="DZ27">
        <v>717</v>
      </c>
      <c r="EA27">
        <v>388</v>
      </c>
      <c r="EB27">
        <v>1918</v>
      </c>
      <c r="EC27">
        <v>1303</v>
      </c>
      <c r="ED27">
        <v>546</v>
      </c>
      <c r="EE27" s="82">
        <v>0.15944293686872399</v>
      </c>
      <c r="EF27" s="82">
        <v>0.31918005985734399</v>
      </c>
    </row>
    <row r="28" spans="1:136" x14ac:dyDescent="0.35">
      <c r="A28" s="72">
        <v>1940</v>
      </c>
      <c r="B28" s="72">
        <v>2</v>
      </c>
      <c r="D28" s="72" t="s">
        <v>77</v>
      </c>
      <c r="E28" s="79">
        <v>3944400000</v>
      </c>
      <c r="F28" s="79">
        <v>631400000</v>
      </c>
      <c r="G28" s="79">
        <v>732550000</v>
      </c>
      <c r="H28" s="79">
        <v>51742</v>
      </c>
      <c r="I28" s="79">
        <v>11</v>
      </c>
      <c r="J28" s="79">
        <v>732.55</v>
      </c>
      <c r="K28" s="79">
        <v>11959</v>
      </c>
      <c r="L28" s="79">
        <v>11423</v>
      </c>
      <c r="M28" s="79">
        <v>3453</v>
      </c>
      <c r="N28" s="79">
        <v>6674</v>
      </c>
      <c r="O28" s="79">
        <v>4196.5</v>
      </c>
      <c r="P28" s="79">
        <v>987.33333333333303</v>
      </c>
      <c r="Q28" s="79">
        <v>2801.3333333333298</v>
      </c>
      <c r="R28" s="79">
        <v>1065</v>
      </c>
      <c r="S28" s="79">
        <v>0</v>
      </c>
      <c r="T28" s="79">
        <v>1247</v>
      </c>
      <c r="U28" s="79">
        <v>22934</v>
      </c>
      <c r="V28" s="79">
        <v>48740</v>
      </c>
      <c r="W28" s="79">
        <v>27960</v>
      </c>
      <c r="X28" s="79">
        <v>173</v>
      </c>
      <c r="Y28" s="79">
        <v>1138.4000000000001</v>
      </c>
      <c r="Z28" s="79">
        <v>0</v>
      </c>
      <c r="AA28" s="79">
        <v>0</v>
      </c>
      <c r="AB28" s="79">
        <v>0</v>
      </c>
      <c r="AC28" s="79">
        <v>35120</v>
      </c>
      <c r="AD28" s="79">
        <v>35120</v>
      </c>
      <c r="AE28" s="79">
        <v>6675</v>
      </c>
      <c r="AF28" s="79">
        <v>10000</v>
      </c>
      <c r="AG28" s="79">
        <v>538</v>
      </c>
      <c r="AH28" s="79">
        <v>331</v>
      </c>
      <c r="AI28" s="79">
        <v>207</v>
      </c>
      <c r="AJ28" s="79">
        <v>24775</v>
      </c>
      <c r="AK28" s="79">
        <v>24775</v>
      </c>
      <c r="AL28" s="79">
        <v>5</v>
      </c>
      <c r="AM28" s="79">
        <v>0</v>
      </c>
      <c r="AN28" s="79">
        <v>0</v>
      </c>
      <c r="AO28" s="79">
        <v>1450</v>
      </c>
      <c r="AP28" s="79">
        <v>1818</v>
      </c>
      <c r="AQ28" s="79">
        <v>0</v>
      </c>
      <c r="AR28" s="80">
        <v>1.7896570000000001E-3</v>
      </c>
      <c r="AS28" s="80">
        <v>5.3733600000000002E-4</v>
      </c>
      <c r="AT28" s="79">
        <v>13601.475</v>
      </c>
      <c r="AU28" s="79">
        <v>0</v>
      </c>
      <c r="AV28" s="79">
        <v>13867</v>
      </c>
      <c r="AW28" s="79">
        <v>17167.276324919199</v>
      </c>
      <c r="AX28" s="79">
        <v>43</v>
      </c>
      <c r="AY28" s="79">
        <v>43</v>
      </c>
      <c r="AZ28" s="79">
        <v>6343</v>
      </c>
      <c r="BA28" s="79">
        <v>1</v>
      </c>
      <c r="BB28" s="79">
        <v>0</v>
      </c>
      <c r="BC28" s="79">
        <v>0</v>
      </c>
      <c r="BD28" s="79">
        <v>0</v>
      </c>
      <c r="BE28" s="79">
        <v>0</v>
      </c>
      <c r="BF28" s="79">
        <v>0</v>
      </c>
      <c r="BG28" s="79">
        <v>0</v>
      </c>
      <c r="BH28" s="79">
        <v>0</v>
      </c>
      <c r="BI28" s="79">
        <v>0</v>
      </c>
      <c r="BJ28" s="79">
        <v>0</v>
      </c>
      <c r="BK28" s="79">
        <v>24</v>
      </c>
      <c r="BL28" s="79">
        <v>6809</v>
      </c>
      <c r="BM28" s="79">
        <v>331</v>
      </c>
      <c r="BN28" s="79">
        <v>207</v>
      </c>
      <c r="BO28">
        <v>13283</v>
      </c>
      <c r="BP28">
        <v>1386</v>
      </c>
      <c r="BQ28">
        <v>12077.6</v>
      </c>
      <c r="BR28">
        <v>1396</v>
      </c>
      <c r="BS28">
        <v>12011.35</v>
      </c>
      <c r="BT28">
        <v>1461</v>
      </c>
      <c r="BU28">
        <v>11869.1</v>
      </c>
      <c r="BV28">
        <v>1561</v>
      </c>
      <c r="BW28">
        <v>11797.7</v>
      </c>
      <c r="BX28">
        <v>1552</v>
      </c>
      <c r="BY28">
        <v>11642.25</v>
      </c>
      <c r="BZ28">
        <v>1467</v>
      </c>
      <c r="CA28">
        <v>10739</v>
      </c>
      <c r="CB28">
        <v>892.64125394170298</v>
      </c>
      <c r="CC28">
        <v>140.594687662209</v>
      </c>
      <c r="CD28">
        <v>133.43838675707801</v>
      </c>
      <c r="CE28">
        <v>14151.7549709496</v>
      </c>
      <c r="CF28">
        <v>3454.9478241698098</v>
      </c>
      <c r="CG28">
        <v>357.89582343810599</v>
      </c>
      <c r="CH28">
        <v>484</v>
      </c>
      <c r="CI28">
        <v>279.02960979073703</v>
      </c>
      <c r="CJ28">
        <v>272.45224314563399</v>
      </c>
      <c r="CK28" s="81">
        <v>1814</v>
      </c>
      <c r="CL28">
        <v>585</v>
      </c>
      <c r="CM28">
        <v>7062.3061035794399</v>
      </c>
      <c r="CN28">
        <v>2.0358609404502102</v>
      </c>
      <c r="CO28">
        <v>40319</v>
      </c>
      <c r="CP28">
        <v>6700</v>
      </c>
      <c r="CQ28">
        <v>1270</v>
      </c>
      <c r="CR28">
        <v>1217</v>
      </c>
      <c r="CS28">
        <v>1111</v>
      </c>
      <c r="CT28">
        <v>669</v>
      </c>
      <c r="CU28">
        <v>697.36301352816702</v>
      </c>
      <c r="CV28">
        <v>407.03505501777698</v>
      </c>
      <c r="CW28">
        <v>151.431268907987</v>
      </c>
      <c r="CX28">
        <v>1983.19868893636</v>
      </c>
      <c r="CY28">
        <v>1157.5483239043199</v>
      </c>
      <c r="CZ28">
        <v>430.64844010422797</v>
      </c>
      <c r="DA28">
        <v>38647.699999999997</v>
      </c>
      <c r="DE28">
        <v>85</v>
      </c>
      <c r="DF28" t="s">
        <v>234</v>
      </c>
      <c r="DG28">
        <v>5638</v>
      </c>
      <c r="DH28">
        <v>5522</v>
      </c>
      <c r="DI28">
        <v>5419</v>
      </c>
      <c r="DJ28">
        <v>5339</v>
      </c>
      <c r="DK28">
        <v>5255</v>
      </c>
      <c r="DO28">
        <v>1940</v>
      </c>
      <c r="DP28" t="s">
        <v>77</v>
      </c>
      <c r="DQ28">
        <v>24775</v>
      </c>
      <c r="DR28">
        <v>1</v>
      </c>
      <c r="DS28">
        <v>549</v>
      </c>
      <c r="DV28">
        <v>489</v>
      </c>
      <c r="DW28" t="s">
        <v>34</v>
      </c>
      <c r="DX28">
        <v>3789.8434782608701</v>
      </c>
      <c r="DY28">
        <v>892</v>
      </c>
      <c r="DZ28">
        <v>728</v>
      </c>
      <c r="EA28">
        <v>443</v>
      </c>
      <c r="EB28">
        <v>2910</v>
      </c>
      <c r="EC28">
        <v>1674</v>
      </c>
      <c r="ED28">
        <v>671</v>
      </c>
      <c r="EE28" s="82">
        <v>9.6263256253799501E-2</v>
      </c>
      <c r="EF28" s="82">
        <v>0.31326727033450502</v>
      </c>
    </row>
    <row r="29" spans="1:136" x14ac:dyDescent="0.35">
      <c r="A29" s="72">
        <v>58</v>
      </c>
      <c r="B29" s="72">
        <v>2</v>
      </c>
      <c r="D29" s="72" t="s">
        <v>804</v>
      </c>
      <c r="E29" s="79">
        <v>1304800000</v>
      </c>
      <c r="F29" s="79">
        <v>301700000</v>
      </c>
      <c r="G29" s="79">
        <v>337400000</v>
      </c>
      <c r="H29" s="79">
        <v>23789</v>
      </c>
      <c r="I29" s="79">
        <v>3</v>
      </c>
      <c r="J29" s="79">
        <v>337.4</v>
      </c>
      <c r="K29" s="79">
        <v>5642</v>
      </c>
      <c r="L29" s="79">
        <v>5031</v>
      </c>
      <c r="M29" s="79">
        <v>1682</v>
      </c>
      <c r="N29" s="79">
        <v>3822</v>
      </c>
      <c r="O29" s="79">
        <v>2665.9</v>
      </c>
      <c r="P29" s="79">
        <v>617.33333333333303</v>
      </c>
      <c r="Q29" s="79">
        <v>2058.3333333333298</v>
      </c>
      <c r="R29" s="79">
        <v>255</v>
      </c>
      <c r="S29" s="79">
        <v>0</v>
      </c>
      <c r="T29" s="79">
        <v>665</v>
      </c>
      <c r="U29" s="79">
        <v>10650</v>
      </c>
      <c r="V29" s="79">
        <v>23400</v>
      </c>
      <c r="W29" s="79">
        <v>13810</v>
      </c>
      <c r="X29" s="79">
        <v>847.44</v>
      </c>
      <c r="Y29" s="79">
        <v>1568</v>
      </c>
      <c r="Z29" s="79">
        <v>0</v>
      </c>
      <c r="AA29" s="79">
        <v>0</v>
      </c>
      <c r="AB29" s="79">
        <v>0</v>
      </c>
      <c r="AC29" s="79">
        <v>16792</v>
      </c>
      <c r="AD29" s="79">
        <v>18807.04</v>
      </c>
      <c r="AE29" s="79">
        <v>984</v>
      </c>
      <c r="AF29" s="79">
        <v>8916</v>
      </c>
      <c r="AG29" s="79">
        <v>238</v>
      </c>
      <c r="AH29" s="79">
        <v>168.48</v>
      </c>
      <c r="AI29" s="79">
        <v>91.84</v>
      </c>
      <c r="AJ29" s="79">
        <v>11561</v>
      </c>
      <c r="AK29" s="79">
        <v>12485.88</v>
      </c>
      <c r="AL29" s="79">
        <v>22</v>
      </c>
      <c r="AM29" s="79">
        <v>0</v>
      </c>
      <c r="AN29" s="79">
        <v>0</v>
      </c>
      <c r="AO29" s="79">
        <v>5350</v>
      </c>
      <c r="AP29" s="79">
        <v>1331</v>
      </c>
      <c r="AQ29" s="79">
        <v>1331</v>
      </c>
      <c r="AR29" s="80">
        <v>1.6123330000000001E-3</v>
      </c>
      <c r="AS29" s="80">
        <v>4.2128700000000001E-4</v>
      </c>
      <c r="AT29" s="79">
        <v>6439.4769999999999</v>
      </c>
      <c r="AU29" s="79">
        <v>0</v>
      </c>
      <c r="AV29" s="79">
        <v>4739.84</v>
      </c>
      <c r="AW29" s="79">
        <v>7880.9895049505003</v>
      </c>
      <c r="AX29" s="79">
        <v>21</v>
      </c>
      <c r="AY29" s="79">
        <v>23.52</v>
      </c>
      <c r="AZ29" s="79">
        <v>2248</v>
      </c>
      <c r="BA29" s="79">
        <v>1</v>
      </c>
      <c r="BB29" s="79">
        <v>0</v>
      </c>
      <c r="BC29" s="79">
        <v>0</v>
      </c>
      <c r="BD29" s="79">
        <v>0</v>
      </c>
      <c r="BE29" s="79">
        <v>0</v>
      </c>
      <c r="BF29" s="79">
        <v>0</v>
      </c>
      <c r="BG29" s="79">
        <v>0</v>
      </c>
      <c r="BH29" s="79">
        <v>0</v>
      </c>
      <c r="BI29" s="79">
        <v>0</v>
      </c>
      <c r="BJ29" s="79">
        <v>0</v>
      </c>
      <c r="BK29" s="79">
        <v>28</v>
      </c>
      <c r="BL29" s="79">
        <v>3498</v>
      </c>
      <c r="BM29" s="79">
        <v>156</v>
      </c>
      <c r="BN29" s="79">
        <v>82</v>
      </c>
      <c r="BO29">
        <v>6357</v>
      </c>
      <c r="BP29">
        <v>2147</v>
      </c>
      <c r="BQ29">
        <v>5654</v>
      </c>
      <c r="BR29">
        <v>2092</v>
      </c>
      <c r="BS29">
        <v>5519</v>
      </c>
      <c r="BT29">
        <v>2062</v>
      </c>
      <c r="BU29">
        <v>5416</v>
      </c>
      <c r="BV29">
        <v>2010</v>
      </c>
      <c r="BW29">
        <v>5398</v>
      </c>
      <c r="BX29">
        <v>1968</v>
      </c>
      <c r="BY29">
        <v>5356</v>
      </c>
      <c r="BZ29">
        <v>1963</v>
      </c>
      <c r="CA29">
        <v>5071</v>
      </c>
      <c r="CB29">
        <v>642.07246949797002</v>
      </c>
      <c r="CC29">
        <v>83.757705016857997</v>
      </c>
      <c r="CD29">
        <v>51.153533006308002</v>
      </c>
      <c r="CE29">
        <v>5534.4804436454097</v>
      </c>
      <c r="CF29">
        <v>1354.3849811540299</v>
      </c>
      <c r="CG29">
        <v>263.73687610619498</v>
      </c>
      <c r="CH29">
        <v>270</v>
      </c>
      <c r="CI29">
        <v>185.983633942289</v>
      </c>
      <c r="CJ29">
        <v>167.08985224165801</v>
      </c>
      <c r="CK29" s="81">
        <v>1441</v>
      </c>
      <c r="CL29">
        <v>546</v>
      </c>
      <c r="CM29">
        <v>4105.4812067524699</v>
      </c>
      <c r="CN29">
        <v>1.8226112865797199</v>
      </c>
      <c r="CO29">
        <v>18758</v>
      </c>
      <c r="CP29">
        <v>2775</v>
      </c>
      <c r="CQ29">
        <v>574</v>
      </c>
      <c r="CR29">
        <v>627</v>
      </c>
      <c r="CS29">
        <v>561</v>
      </c>
      <c r="CT29">
        <v>279</v>
      </c>
      <c r="CU29">
        <v>407.70816386361997</v>
      </c>
      <c r="CV29">
        <v>267.50083149423</v>
      </c>
      <c r="CW29">
        <v>89.243811886437101</v>
      </c>
      <c r="CX29">
        <v>1058.0046198267601</v>
      </c>
      <c r="CY29">
        <v>694.16592703565505</v>
      </c>
      <c r="CZ29">
        <v>231.588115312757</v>
      </c>
      <c r="DA29">
        <v>8996.4</v>
      </c>
      <c r="DE29">
        <v>86</v>
      </c>
      <c r="DF29" t="s">
        <v>237</v>
      </c>
      <c r="DG29">
        <v>7020</v>
      </c>
      <c r="DH29">
        <v>7026</v>
      </c>
      <c r="DI29">
        <v>6985</v>
      </c>
      <c r="DJ29">
        <v>6852</v>
      </c>
      <c r="DK29">
        <v>6735</v>
      </c>
      <c r="DO29">
        <v>58</v>
      </c>
      <c r="DP29" t="s">
        <v>804</v>
      </c>
      <c r="DQ29">
        <v>11561</v>
      </c>
      <c r="DR29">
        <v>1.08</v>
      </c>
      <c r="DS29">
        <v>557</v>
      </c>
      <c r="DV29">
        <v>203</v>
      </c>
      <c r="DW29" t="s">
        <v>35</v>
      </c>
      <c r="DX29">
        <v>5428.7443138741501</v>
      </c>
      <c r="DY29">
        <v>887</v>
      </c>
      <c r="DZ29">
        <v>928</v>
      </c>
      <c r="EA29">
        <v>543</v>
      </c>
      <c r="EB29">
        <v>3066</v>
      </c>
      <c r="EC29">
        <v>2004</v>
      </c>
      <c r="ED29">
        <v>786</v>
      </c>
      <c r="EE29" s="82">
        <v>0.111671708732957</v>
      </c>
      <c r="EF29" s="82">
        <v>0.43372316852071502</v>
      </c>
    </row>
    <row r="30" spans="1:136" x14ac:dyDescent="0.35">
      <c r="A30" s="72">
        <v>1722</v>
      </c>
      <c r="B30" s="72">
        <v>2</v>
      </c>
      <c r="D30" s="72" t="s">
        <v>805</v>
      </c>
      <c r="E30" s="79">
        <v>438000000</v>
      </c>
      <c r="F30" s="79">
        <v>95900000</v>
      </c>
      <c r="G30" s="79">
        <v>117600000</v>
      </c>
      <c r="H30" s="79">
        <v>8671</v>
      </c>
      <c r="I30" s="79">
        <v>3</v>
      </c>
      <c r="J30" s="79">
        <v>117.6</v>
      </c>
      <c r="K30" s="79">
        <v>2166</v>
      </c>
      <c r="L30" s="79">
        <v>1734</v>
      </c>
      <c r="M30" s="79">
        <v>481</v>
      </c>
      <c r="N30" s="79">
        <v>1202</v>
      </c>
      <c r="O30" s="79">
        <v>815.3</v>
      </c>
      <c r="P30" s="79">
        <v>202.666666666667</v>
      </c>
      <c r="Q30" s="79">
        <v>577.66666666666697</v>
      </c>
      <c r="R30" s="79">
        <v>125</v>
      </c>
      <c r="S30" s="79">
        <v>0</v>
      </c>
      <c r="T30" s="79">
        <v>216</v>
      </c>
      <c r="U30" s="79">
        <v>3743</v>
      </c>
      <c r="V30" s="79">
        <v>6790</v>
      </c>
      <c r="W30" s="79">
        <v>710</v>
      </c>
      <c r="X30" s="79">
        <v>0</v>
      </c>
      <c r="Y30" s="79">
        <v>154.4</v>
      </c>
      <c r="Z30" s="79">
        <v>0</v>
      </c>
      <c r="AA30" s="79">
        <v>0</v>
      </c>
      <c r="AB30" s="79">
        <v>0</v>
      </c>
      <c r="AC30" s="79">
        <v>10089</v>
      </c>
      <c r="AD30" s="79">
        <v>10795.23</v>
      </c>
      <c r="AE30" s="79">
        <v>92</v>
      </c>
      <c r="AF30" s="79">
        <v>3136</v>
      </c>
      <c r="AG30" s="79">
        <v>109</v>
      </c>
      <c r="AH30" s="79">
        <v>54.74</v>
      </c>
      <c r="AI30" s="79">
        <v>66.78</v>
      </c>
      <c r="AJ30" s="79">
        <v>3867</v>
      </c>
      <c r="AK30" s="79">
        <v>4601.7299999999996</v>
      </c>
      <c r="AL30" s="79">
        <v>0</v>
      </c>
      <c r="AM30" s="79">
        <v>0</v>
      </c>
      <c r="AN30" s="79">
        <v>0</v>
      </c>
      <c r="AO30" s="79">
        <v>0</v>
      </c>
      <c r="AP30" s="79">
        <v>0</v>
      </c>
      <c r="AQ30" s="79">
        <v>0</v>
      </c>
      <c r="AR30" s="80">
        <v>5.3195100000000002E-4</v>
      </c>
      <c r="AS30" s="80">
        <v>7.8040999999999994E-5</v>
      </c>
      <c r="AT30" s="79">
        <v>800.46900000000005</v>
      </c>
      <c r="AU30" s="79">
        <v>0</v>
      </c>
      <c r="AV30" s="79">
        <v>2329.39</v>
      </c>
      <c r="AW30" s="79">
        <v>2197.15014929771</v>
      </c>
      <c r="AX30" s="79">
        <v>7</v>
      </c>
      <c r="AY30" s="79">
        <v>7.42</v>
      </c>
      <c r="AZ30" s="79">
        <v>810</v>
      </c>
      <c r="BA30" s="79">
        <v>1</v>
      </c>
      <c r="BB30" s="79">
        <v>0</v>
      </c>
      <c r="BC30" s="79">
        <v>0</v>
      </c>
      <c r="BD30" s="79">
        <v>0</v>
      </c>
      <c r="BE30" s="79">
        <v>0</v>
      </c>
      <c r="BF30" s="79">
        <v>0</v>
      </c>
      <c r="BG30" s="79">
        <v>0</v>
      </c>
      <c r="BH30" s="79">
        <v>0</v>
      </c>
      <c r="BI30" s="79">
        <v>0</v>
      </c>
      <c r="BJ30" s="79">
        <v>0</v>
      </c>
      <c r="BK30" s="79">
        <v>6</v>
      </c>
      <c r="BL30" s="79">
        <v>1116</v>
      </c>
      <c r="BM30" s="79">
        <v>46</v>
      </c>
      <c r="BN30" s="79">
        <v>63</v>
      </c>
      <c r="BO30">
        <v>2299</v>
      </c>
      <c r="BP30">
        <v>227</v>
      </c>
      <c r="BQ30">
        <v>2073</v>
      </c>
      <c r="BR30">
        <v>221</v>
      </c>
      <c r="BS30">
        <v>2078</v>
      </c>
      <c r="BT30">
        <v>224</v>
      </c>
      <c r="BU30">
        <v>2075</v>
      </c>
      <c r="BV30">
        <v>228</v>
      </c>
      <c r="BW30">
        <v>2044</v>
      </c>
      <c r="BX30">
        <v>231</v>
      </c>
      <c r="BY30">
        <v>2081</v>
      </c>
      <c r="BZ30">
        <v>202</v>
      </c>
      <c r="CA30">
        <v>1955</v>
      </c>
      <c r="CB30">
        <v>167.508970275998</v>
      </c>
      <c r="CC30">
        <v>18.621894578134601</v>
      </c>
      <c r="CD30">
        <v>11.741347891055799</v>
      </c>
      <c r="CE30">
        <v>2103.5511533756899</v>
      </c>
      <c r="CF30">
        <v>538.24016458610095</v>
      </c>
      <c r="CG30">
        <v>49.739007490636702</v>
      </c>
      <c r="CH30">
        <v>75</v>
      </c>
      <c r="CI30">
        <v>49.942278708558298</v>
      </c>
      <c r="CJ30">
        <v>46.118218240797397</v>
      </c>
      <c r="CK30" s="81">
        <v>375</v>
      </c>
      <c r="CL30">
        <v>124</v>
      </c>
      <c r="CM30">
        <v>1009.38771175727</v>
      </c>
      <c r="CN30">
        <v>0.54867076140001603</v>
      </c>
      <c r="CO30">
        <v>6937</v>
      </c>
      <c r="CP30">
        <v>1069</v>
      </c>
      <c r="CQ30">
        <v>184</v>
      </c>
      <c r="CR30">
        <v>203</v>
      </c>
      <c r="CS30">
        <v>172</v>
      </c>
      <c r="CT30">
        <v>91</v>
      </c>
      <c r="CU30">
        <v>139.63968652614699</v>
      </c>
      <c r="CV30">
        <v>76.358861816412698</v>
      </c>
      <c r="CW30">
        <v>23.835777307333199</v>
      </c>
      <c r="CX30">
        <v>372.81220302922799</v>
      </c>
      <c r="CY30">
        <v>203.864074768249</v>
      </c>
      <c r="CZ30">
        <v>63.637128311635699</v>
      </c>
      <c r="DA30">
        <v>0</v>
      </c>
      <c r="DE30">
        <v>88</v>
      </c>
      <c r="DF30" t="s">
        <v>268</v>
      </c>
      <c r="DG30">
        <v>181</v>
      </c>
      <c r="DH30">
        <v>179</v>
      </c>
      <c r="DI30">
        <v>187</v>
      </c>
      <c r="DJ30">
        <v>179</v>
      </c>
      <c r="DK30">
        <v>182</v>
      </c>
      <c r="DO30">
        <v>1722</v>
      </c>
      <c r="DP30" t="s">
        <v>805</v>
      </c>
      <c r="DQ30">
        <v>3867</v>
      </c>
      <c r="DR30">
        <v>1.19</v>
      </c>
      <c r="DS30">
        <v>207</v>
      </c>
      <c r="DV30">
        <v>5</v>
      </c>
      <c r="DW30" t="s">
        <v>794</v>
      </c>
      <c r="DX30">
        <v>1322.59036144578</v>
      </c>
      <c r="DY30">
        <v>262</v>
      </c>
      <c r="DZ30">
        <v>203</v>
      </c>
      <c r="EA30">
        <v>90</v>
      </c>
      <c r="EB30">
        <v>863</v>
      </c>
      <c r="EC30">
        <v>431</v>
      </c>
      <c r="ED30">
        <v>128</v>
      </c>
      <c r="EE30" s="82">
        <v>0.173771550702915</v>
      </c>
      <c r="EF30" s="82">
        <v>0.49444682089853698</v>
      </c>
    </row>
    <row r="31" spans="1:136" x14ac:dyDescent="0.35">
      <c r="A31" s="72">
        <v>72</v>
      </c>
      <c r="B31" s="72">
        <v>2</v>
      </c>
      <c r="D31" s="72" t="s">
        <v>132</v>
      </c>
      <c r="E31" s="79">
        <v>920000000</v>
      </c>
      <c r="F31" s="79">
        <v>272300000</v>
      </c>
      <c r="G31" s="79">
        <v>285250000</v>
      </c>
      <c r="H31" s="79">
        <v>15783</v>
      </c>
      <c r="I31" s="79">
        <v>1</v>
      </c>
      <c r="J31" s="79">
        <v>285.25</v>
      </c>
      <c r="K31" s="79">
        <v>3521</v>
      </c>
      <c r="L31" s="79">
        <v>3769</v>
      </c>
      <c r="M31" s="79">
        <v>1168</v>
      </c>
      <c r="N31" s="79">
        <v>2806</v>
      </c>
      <c r="O31" s="79">
        <v>2035.1</v>
      </c>
      <c r="P31" s="79">
        <v>578</v>
      </c>
      <c r="Q31" s="79">
        <v>1284</v>
      </c>
      <c r="R31" s="79">
        <v>375</v>
      </c>
      <c r="S31" s="79">
        <v>0</v>
      </c>
      <c r="T31" s="79">
        <v>558</v>
      </c>
      <c r="U31" s="79">
        <v>7625</v>
      </c>
      <c r="V31" s="79">
        <v>17250</v>
      </c>
      <c r="W31" s="79">
        <v>16770</v>
      </c>
      <c r="X31" s="79">
        <v>0</v>
      </c>
      <c r="Y31" s="79">
        <v>1050.4000000000001</v>
      </c>
      <c r="Z31" s="79">
        <v>0</v>
      </c>
      <c r="AA31" s="79">
        <v>0</v>
      </c>
      <c r="AB31" s="79">
        <v>0</v>
      </c>
      <c r="AC31" s="79">
        <v>2495</v>
      </c>
      <c r="AD31" s="79">
        <v>2519.9499999999998</v>
      </c>
      <c r="AE31" s="79">
        <v>168</v>
      </c>
      <c r="AF31" s="79">
        <v>10000</v>
      </c>
      <c r="AG31" s="79">
        <v>117</v>
      </c>
      <c r="AH31" s="79">
        <v>89.89</v>
      </c>
      <c r="AI31" s="79">
        <v>28.28</v>
      </c>
      <c r="AJ31" s="79">
        <v>7709</v>
      </c>
      <c r="AK31" s="79">
        <v>7786.09</v>
      </c>
      <c r="AL31" s="79">
        <v>0</v>
      </c>
      <c r="AM31" s="79">
        <v>45</v>
      </c>
      <c r="AN31" s="79">
        <v>0</v>
      </c>
      <c r="AO31" s="79">
        <v>6000</v>
      </c>
      <c r="AP31" s="79">
        <v>2541</v>
      </c>
      <c r="AQ31" s="79">
        <v>2541</v>
      </c>
      <c r="AR31" s="80">
        <v>1.659235E-3</v>
      </c>
      <c r="AS31" s="80">
        <v>7.3000799999999998E-4</v>
      </c>
      <c r="AT31" s="79">
        <v>8001.942</v>
      </c>
      <c r="AU31" s="79">
        <v>0</v>
      </c>
      <c r="AV31" s="79">
        <v>1262.5</v>
      </c>
      <c r="AW31" s="79">
        <v>7698.0500863687603</v>
      </c>
      <c r="AX31" s="79">
        <v>2</v>
      </c>
      <c r="AY31" s="79">
        <v>2.02</v>
      </c>
      <c r="AZ31" s="79">
        <v>1624</v>
      </c>
      <c r="BA31" s="79">
        <v>1</v>
      </c>
      <c r="BB31" s="79">
        <v>0</v>
      </c>
      <c r="BC31" s="79">
        <v>0</v>
      </c>
      <c r="BD31" s="79">
        <v>0</v>
      </c>
      <c r="BE31" s="79">
        <v>0</v>
      </c>
      <c r="BF31" s="79">
        <v>0</v>
      </c>
      <c r="BG31" s="79">
        <v>0</v>
      </c>
      <c r="BH31" s="79">
        <v>0</v>
      </c>
      <c r="BI31" s="79">
        <v>0</v>
      </c>
      <c r="BJ31" s="79">
        <v>0</v>
      </c>
      <c r="BK31" s="79">
        <v>9</v>
      </c>
      <c r="BL31" s="79">
        <v>2824</v>
      </c>
      <c r="BM31" s="79">
        <v>89</v>
      </c>
      <c r="BN31" s="79">
        <v>28</v>
      </c>
      <c r="BO31">
        <v>3706</v>
      </c>
      <c r="BP31">
        <v>1472</v>
      </c>
      <c r="BQ31">
        <v>3390</v>
      </c>
      <c r="BR31">
        <v>1487</v>
      </c>
      <c r="BS31">
        <v>3371</v>
      </c>
      <c r="BT31">
        <v>1521</v>
      </c>
      <c r="BU31">
        <v>3349</v>
      </c>
      <c r="BV31">
        <v>1534</v>
      </c>
      <c r="BW31">
        <v>3306</v>
      </c>
      <c r="BX31">
        <v>1483</v>
      </c>
      <c r="BY31">
        <v>3278</v>
      </c>
      <c r="BZ31">
        <v>1462</v>
      </c>
      <c r="CA31">
        <v>3164</v>
      </c>
      <c r="CB31">
        <v>468.69832407974798</v>
      </c>
      <c r="CC31">
        <v>61.216223154896099</v>
      </c>
      <c r="CD31">
        <v>28.585071793432999</v>
      </c>
      <c r="CE31">
        <v>3996.7958547613398</v>
      </c>
      <c r="CF31">
        <v>835.27412668699901</v>
      </c>
      <c r="CG31">
        <v>139.60320279720301</v>
      </c>
      <c r="CH31">
        <v>213</v>
      </c>
      <c r="CI31">
        <v>136.74940058853801</v>
      </c>
      <c r="CJ31">
        <v>134.45234394817101</v>
      </c>
      <c r="CK31" s="81">
        <v>706</v>
      </c>
      <c r="CL31">
        <v>198</v>
      </c>
      <c r="CM31">
        <v>2676.3528438626399</v>
      </c>
      <c r="CN31">
        <v>1.64191644089689</v>
      </c>
      <c r="CO31">
        <v>12014</v>
      </c>
      <c r="CP31">
        <v>2248</v>
      </c>
      <c r="CQ31">
        <v>353</v>
      </c>
      <c r="CR31">
        <v>553</v>
      </c>
      <c r="CS31">
        <v>378</v>
      </c>
      <c r="CT31">
        <v>190</v>
      </c>
      <c r="CU31">
        <v>380.32219654558901</v>
      </c>
      <c r="CV31">
        <v>214.574563352924</v>
      </c>
      <c r="CW31">
        <v>64.134832588881395</v>
      </c>
      <c r="CX31">
        <v>854.86726192024605</v>
      </c>
      <c r="CY31">
        <v>482.30887157609999</v>
      </c>
      <c r="CZ31">
        <v>144.15874021278299</v>
      </c>
      <c r="DA31">
        <v>13230</v>
      </c>
      <c r="DE31">
        <v>90</v>
      </c>
      <c r="DF31" t="s">
        <v>278</v>
      </c>
      <c r="DG31">
        <v>12333</v>
      </c>
      <c r="DH31">
        <v>12263</v>
      </c>
      <c r="DI31">
        <v>12311</v>
      </c>
      <c r="DJ31">
        <v>12209</v>
      </c>
      <c r="DK31">
        <v>12133</v>
      </c>
      <c r="DO31">
        <v>72</v>
      </c>
      <c r="DP31" t="s">
        <v>132</v>
      </c>
      <c r="DQ31">
        <v>7709</v>
      </c>
      <c r="DR31">
        <v>1.01</v>
      </c>
      <c r="DS31">
        <v>1038</v>
      </c>
      <c r="DV31">
        <v>888</v>
      </c>
      <c r="DW31" t="s">
        <v>36</v>
      </c>
      <c r="DX31">
        <v>2189.5995617639001</v>
      </c>
      <c r="DY31">
        <v>455</v>
      </c>
      <c r="DZ31">
        <v>453</v>
      </c>
      <c r="EA31">
        <v>240</v>
      </c>
      <c r="EB31">
        <v>1403</v>
      </c>
      <c r="EC31">
        <v>916</v>
      </c>
      <c r="ED31">
        <v>339</v>
      </c>
      <c r="EE31" s="82">
        <v>0.19398490356658199</v>
      </c>
      <c r="EF31" s="82">
        <v>0.44529638226801799</v>
      </c>
    </row>
    <row r="32" spans="1:136" x14ac:dyDescent="0.35">
      <c r="A32" s="72">
        <v>74</v>
      </c>
      <c r="B32" s="72">
        <v>2</v>
      </c>
      <c r="D32" s="72" t="s">
        <v>137</v>
      </c>
      <c r="E32" s="79">
        <v>3610800000</v>
      </c>
      <c r="F32" s="79">
        <v>752850000</v>
      </c>
      <c r="G32" s="79">
        <v>795550000</v>
      </c>
      <c r="H32" s="79">
        <v>50192</v>
      </c>
      <c r="I32" s="79">
        <v>5</v>
      </c>
      <c r="J32" s="79">
        <v>795.55</v>
      </c>
      <c r="K32" s="79">
        <v>11434</v>
      </c>
      <c r="L32" s="79">
        <v>10569</v>
      </c>
      <c r="M32" s="79">
        <v>3335</v>
      </c>
      <c r="N32" s="79">
        <v>7659</v>
      </c>
      <c r="O32" s="79">
        <v>5293.8</v>
      </c>
      <c r="P32" s="79">
        <v>1460.3333333333301</v>
      </c>
      <c r="Q32" s="79">
        <v>3849.3333333333298</v>
      </c>
      <c r="R32" s="79">
        <v>1690</v>
      </c>
      <c r="S32" s="79">
        <v>0</v>
      </c>
      <c r="T32" s="79">
        <v>1604</v>
      </c>
      <c r="U32" s="79">
        <v>23280</v>
      </c>
      <c r="V32" s="79">
        <v>52670</v>
      </c>
      <c r="W32" s="79">
        <v>53580</v>
      </c>
      <c r="X32" s="79">
        <v>732.74</v>
      </c>
      <c r="Y32" s="79">
        <v>3344</v>
      </c>
      <c r="Z32" s="79">
        <v>0</v>
      </c>
      <c r="AA32" s="79">
        <v>0</v>
      </c>
      <c r="AB32" s="79">
        <v>40.699999999999797</v>
      </c>
      <c r="AC32" s="79">
        <v>18994</v>
      </c>
      <c r="AD32" s="79">
        <v>18994</v>
      </c>
      <c r="AE32" s="79">
        <v>822</v>
      </c>
      <c r="AF32" s="79">
        <v>0</v>
      </c>
      <c r="AG32" s="79">
        <v>450</v>
      </c>
      <c r="AH32" s="79">
        <v>298</v>
      </c>
      <c r="AI32" s="79">
        <v>152</v>
      </c>
      <c r="AJ32" s="79">
        <v>23652</v>
      </c>
      <c r="AK32" s="79">
        <v>23652</v>
      </c>
      <c r="AL32" s="79">
        <v>9</v>
      </c>
      <c r="AM32" s="79">
        <v>0</v>
      </c>
      <c r="AN32" s="79">
        <v>0</v>
      </c>
      <c r="AO32" s="79">
        <v>2300</v>
      </c>
      <c r="AP32" s="79">
        <v>2234</v>
      </c>
      <c r="AQ32" s="79">
        <v>1600</v>
      </c>
      <c r="AR32" s="80">
        <v>2.0498500000000002E-3</v>
      </c>
      <c r="AS32" s="80">
        <v>1.6584799999999999E-3</v>
      </c>
      <c r="AT32" s="79">
        <v>25520.508000000002</v>
      </c>
      <c r="AU32" s="79">
        <v>0</v>
      </c>
      <c r="AV32" s="79">
        <v>9401</v>
      </c>
      <c r="AW32" s="79">
        <v>24065.108599111802</v>
      </c>
      <c r="AX32" s="79">
        <v>24</v>
      </c>
      <c r="AY32" s="79">
        <v>24</v>
      </c>
      <c r="AZ32" s="79">
        <v>5476</v>
      </c>
      <c r="BA32" s="79">
        <v>1</v>
      </c>
      <c r="BB32" s="79">
        <v>0</v>
      </c>
      <c r="BC32" s="79">
        <v>0</v>
      </c>
      <c r="BD32" s="79">
        <v>0</v>
      </c>
      <c r="BE32" s="79">
        <v>0</v>
      </c>
      <c r="BF32" s="79">
        <v>0</v>
      </c>
      <c r="BG32" s="79">
        <v>0</v>
      </c>
      <c r="BH32" s="79">
        <v>0</v>
      </c>
      <c r="BI32" s="79">
        <v>0</v>
      </c>
      <c r="BJ32" s="79">
        <v>0</v>
      </c>
      <c r="BK32" s="79">
        <v>36</v>
      </c>
      <c r="BL32" s="79">
        <v>8004</v>
      </c>
      <c r="BM32" s="79">
        <v>298</v>
      </c>
      <c r="BN32" s="79">
        <v>152</v>
      </c>
      <c r="BO32">
        <v>11690</v>
      </c>
      <c r="BP32">
        <v>3763</v>
      </c>
      <c r="BQ32">
        <v>10574.88</v>
      </c>
      <c r="BR32">
        <v>3801</v>
      </c>
      <c r="BS32">
        <v>10447.030000000001</v>
      </c>
      <c r="BT32">
        <v>3842</v>
      </c>
      <c r="BU32">
        <v>10427.780000000001</v>
      </c>
      <c r="BV32">
        <v>3798</v>
      </c>
      <c r="BW32">
        <v>10370.26</v>
      </c>
      <c r="BX32">
        <v>3880</v>
      </c>
      <c r="BY32">
        <v>10286.049999999999</v>
      </c>
      <c r="BZ32">
        <v>4003</v>
      </c>
      <c r="CA32">
        <v>10195</v>
      </c>
      <c r="CB32">
        <v>1053.9271682628</v>
      </c>
      <c r="CC32">
        <v>129.09531385759399</v>
      </c>
      <c r="CD32">
        <v>97.395933407018006</v>
      </c>
      <c r="CE32">
        <v>13880.6426463511</v>
      </c>
      <c r="CF32">
        <v>3410.0155027916398</v>
      </c>
      <c r="CG32">
        <v>362.29601212440701</v>
      </c>
      <c r="CH32">
        <v>561</v>
      </c>
      <c r="CI32">
        <v>371.49361870407398</v>
      </c>
      <c r="CJ32">
        <v>345.88663680598103</v>
      </c>
      <c r="CK32" s="81">
        <v>2389</v>
      </c>
      <c r="CL32">
        <v>899</v>
      </c>
      <c r="CM32">
        <v>7043.4476516205996</v>
      </c>
      <c r="CN32">
        <v>3.8526012679747899</v>
      </c>
      <c r="CO32">
        <v>39623</v>
      </c>
      <c r="CP32">
        <v>5855</v>
      </c>
      <c r="CQ32">
        <v>1379</v>
      </c>
      <c r="CR32">
        <v>1240</v>
      </c>
      <c r="CS32">
        <v>1184</v>
      </c>
      <c r="CT32">
        <v>714</v>
      </c>
      <c r="CU32">
        <v>813.79953871835698</v>
      </c>
      <c r="CV32">
        <v>531.11834581371295</v>
      </c>
      <c r="CW32">
        <v>215.983650952479</v>
      </c>
      <c r="CX32">
        <v>1829.32406519195</v>
      </c>
      <c r="CY32">
        <v>1193.89054089673</v>
      </c>
      <c r="CZ32">
        <v>485.505424342749</v>
      </c>
      <c r="DA32">
        <v>22867</v>
      </c>
      <c r="DE32">
        <v>93</v>
      </c>
      <c r="DF32" t="s">
        <v>291</v>
      </c>
      <c r="DG32">
        <v>874</v>
      </c>
      <c r="DH32">
        <v>881</v>
      </c>
      <c r="DI32">
        <v>857</v>
      </c>
      <c r="DJ32">
        <v>861</v>
      </c>
      <c r="DK32">
        <v>863</v>
      </c>
      <c r="DO32">
        <v>74</v>
      </c>
      <c r="DP32" t="s">
        <v>137</v>
      </c>
      <c r="DQ32">
        <v>23652</v>
      </c>
      <c r="DR32">
        <v>1</v>
      </c>
      <c r="DS32">
        <v>1079</v>
      </c>
      <c r="DV32">
        <v>370</v>
      </c>
      <c r="DW32" t="s">
        <v>38</v>
      </c>
      <c r="DX32">
        <v>951.68259023354597</v>
      </c>
      <c r="DY32">
        <v>198</v>
      </c>
      <c r="DZ32">
        <v>196</v>
      </c>
      <c r="EA32">
        <v>115</v>
      </c>
      <c r="EB32">
        <v>711</v>
      </c>
      <c r="EC32">
        <v>402</v>
      </c>
      <c r="ED32">
        <v>164</v>
      </c>
      <c r="EE32" s="82">
        <v>0.14044532345465999</v>
      </c>
      <c r="EF32" s="82">
        <v>0.31326727033450502</v>
      </c>
    </row>
    <row r="33" spans="1:136" x14ac:dyDescent="0.35">
      <c r="A33" s="72">
        <v>79</v>
      </c>
      <c r="B33" s="72">
        <v>2</v>
      </c>
      <c r="D33" s="72" t="s">
        <v>806</v>
      </c>
      <c r="E33" s="79">
        <v>728800000</v>
      </c>
      <c r="F33" s="79">
        <v>151550000</v>
      </c>
      <c r="G33" s="79">
        <v>174650000</v>
      </c>
      <c r="H33" s="79">
        <v>12827</v>
      </c>
      <c r="I33" s="79">
        <v>2</v>
      </c>
      <c r="J33" s="79">
        <v>174.65</v>
      </c>
      <c r="K33" s="79">
        <v>3038</v>
      </c>
      <c r="L33" s="79">
        <v>2482</v>
      </c>
      <c r="M33" s="79">
        <v>783</v>
      </c>
      <c r="N33" s="79">
        <v>1938</v>
      </c>
      <c r="O33" s="79">
        <v>1374.7</v>
      </c>
      <c r="P33" s="79">
        <v>329</v>
      </c>
      <c r="Q33" s="79">
        <v>1045</v>
      </c>
      <c r="R33" s="79">
        <v>130</v>
      </c>
      <c r="S33" s="79">
        <v>0</v>
      </c>
      <c r="T33" s="79">
        <v>326</v>
      </c>
      <c r="U33" s="79">
        <v>5548</v>
      </c>
      <c r="V33" s="79">
        <v>11980</v>
      </c>
      <c r="W33" s="79">
        <v>3100</v>
      </c>
      <c r="X33" s="79">
        <v>0</v>
      </c>
      <c r="Y33" s="79">
        <v>305.60000000000002</v>
      </c>
      <c r="Z33" s="79">
        <v>0</v>
      </c>
      <c r="AA33" s="79">
        <v>0</v>
      </c>
      <c r="AB33" s="79">
        <v>0</v>
      </c>
      <c r="AC33" s="79">
        <v>10954</v>
      </c>
      <c r="AD33" s="79">
        <v>11392.16</v>
      </c>
      <c r="AE33" s="79">
        <v>681</v>
      </c>
      <c r="AF33" s="79">
        <v>0</v>
      </c>
      <c r="AG33" s="79">
        <v>123</v>
      </c>
      <c r="AH33" s="79">
        <v>74.739999999999995</v>
      </c>
      <c r="AI33" s="79">
        <v>49.92</v>
      </c>
      <c r="AJ33" s="79">
        <v>5633</v>
      </c>
      <c r="AK33" s="79">
        <v>5689.33</v>
      </c>
      <c r="AL33" s="79">
        <v>0</v>
      </c>
      <c r="AM33" s="79">
        <v>0</v>
      </c>
      <c r="AN33" s="79">
        <v>0</v>
      </c>
      <c r="AO33" s="79">
        <v>0</v>
      </c>
      <c r="AP33" s="79">
        <v>577</v>
      </c>
      <c r="AQ33" s="79">
        <v>0</v>
      </c>
      <c r="AR33" s="80">
        <v>5.0920900000000005E-4</v>
      </c>
      <c r="AS33" s="80">
        <v>1.46398E-4</v>
      </c>
      <c r="AT33" s="79">
        <v>2089.8429999999998</v>
      </c>
      <c r="AU33" s="79">
        <v>0</v>
      </c>
      <c r="AV33" s="79">
        <v>3083.6</v>
      </c>
      <c r="AW33" s="79">
        <v>3523.3404245810102</v>
      </c>
      <c r="AX33" s="79">
        <v>10</v>
      </c>
      <c r="AY33" s="79">
        <v>10.4</v>
      </c>
      <c r="AZ33" s="79">
        <v>1262</v>
      </c>
      <c r="BA33" s="79">
        <v>1</v>
      </c>
      <c r="BB33" s="79">
        <v>0</v>
      </c>
      <c r="BC33" s="79">
        <v>0</v>
      </c>
      <c r="BD33" s="79">
        <v>0</v>
      </c>
      <c r="BE33" s="79">
        <v>0</v>
      </c>
      <c r="BF33" s="79">
        <v>0</v>
      </c>
      <c r="BG33" s="79">
        <v>0</v>
      </c>
      <c r="BH33" s="79">
        <v>0</v>
      </c>
      <c r="BI33" s="79">
        <v>0</v>
      </c>
      <c r="BJ33" s="79">
        <v>0</v>
      </c>
      <c r="BK33" s="79">
        <v>8</v>
      </c>
      <c r="BL33" s="79">
        <v>1625</v>
      </c>
      <c r="BM33" s="79">
        <v>74</v>
      </c>
      <c r="BN33" s="79">
        <v>48</v>
      </c>
      <c r="BO33">
        <v>3394</v>
      </c>
      <c r="BP33">
        <v>451</v>
      </c>
      <c r="BQ33">
        <v>3016</v>
      </c>
      <c r="BR33">
        <v>377</v>
      </c>
      <c r="BS33">
        <v>2983</v>
      </c>
      <c r="BT33">
        <v>379</v>
      </c>
      <c r="BU33">
        <v>2933</v>
      </c>
      <c r="BV33">
        <v>390</v>
      </c>
      <c r="BW33">
        <v>2884</v>
      </c>
      <c r="BX33">
        <v>387</v>
      </c>
      <c r="BY33">
        <v>2817</v>
      </c>
      <c r="BZ33">
        <v>405</v>
      </c>
      <c r="CA33">
        <v>2723</v>
      </c>
      <c r="CB33">
        <v>281.04174275100399</v>
      </c>
      <c r="CC33">
        <v>29.294546744053999</v>
      </c>
      <c r="CD33">
        <v>11.698043219324999</v>
      </c>
      <c r="CE33">
        <v>2888.34135891707</v>
      </c>
      <c r="CF33">
        <v>743.04292775678095</v>
      </c>
      <c r="CG33">
        <v>127.563312684366</v>
      </c>
      <c r="CH33">
        <v>109</v>
      </c>
      <c r="CI33">
        <v>85.9584534267793</v>
      </c>
      <c r="CJ33">
        <v>77.336704434568006</v>
      </c>
      <c r="CK33" s="81">
        <v>716</v>
      </c>
      <c r="CL33">
        <v>280</v>
      </c>
      <c r="CM33">
        <v>2095.2936039341198</v>
      </c>
      <c r="CN33">
        <v>0.84601599511496794</v>
      </c>
      <c r="CO33">
        <v>10345</v>
      </c>
      <c r="CP33">
        <v>1481</v>
      </c>
      <c r="CQ33">
        <v>218</v>
      </c>
      <c r="CR33">
        <v>292</v>
      </c>
      <c r="CS33">
        <v>263</v>
      </c>
      <c r="CT33">
        <v>106</v>
      </c>
      <c r="CU33">
        <v>223.30915913873</v>
      </c>
      <c r="CV33">
        <v>135.69387156408101</v>
      </c>
      <c r="CW33">
        <v>35.387790246028203</v>
      </c>
      <c r="CX33">
        <v>542.81994771479901</v>
      </c>
      <c r="CY33">
        <v>329.84468954035799</v>
      </c>
      <c r="CZ33">
        <v>86.020647452071898</v>
      </c>
      <c r="DA33">
        <v>3285</v>
      </c>
      <c r="DE33">
        <v>96</v>
      </c>
      <c r="DF33" t="s">
        <v>319</v>
      </c>
      <c r="DG33">
        <v>258</v>
      </c>
      <c r="DH33">
        <v>262</v>
      </c>
      <c r="DI33">
        <v>239</v>
      </c>
      <c r="DJ33">
        <v>230</v>
      </c>
      <c r="DK33">
        <v>214</v>
      </c>
      <c r="DO33">
        <v>79</v>
      </c>
      <c r="DP33" t="s">
        <v>806</v>
      </c>
      <c r="DQ33">
        <v>5633</v>
      </c>
      <c r="DR33">
        <v>1.01</v>
      </c>
      <c r="DS33">
        <v>371</v>
      </c>
      <c r="DV33">
        <v>889</v>
      </c>
      <c r="DW33" t="s">
        <v>39</v>
      </c>
      <c r="DX33">
        <v>1819.31058255774</v>
      </c>
      <c r="DY33">
        <v>323</v>
      </c>
      <c r="DZ33">
        <v>321</v>
      </c>
      <c r="EA33">
        <v>174</v>
      </c>
      <c r="EB33">
        <v>1082</v>
      </c>
      <c r="EC33">
        <v>664</v>
      </c>
      <c r="ED33">
        <v>249</v>
      </c>
      <c r="EE33" s="82">
        <v>0.18132218688073901</v>
      </c>
      <c r="EF33" s="82">
        <v>0.50750240615976905</v>
      </c>
    </row>
    <row r="34" spans="1:136" x14ac:dyDescent="0.35">
      <c r="A34" s="72">
        <v>80</v>
      </c>
      <c r="B34" s="72">
        <v>2</v>
      </c>
      <c r="D34" s="72" t="s">
        <v>178</v>
      </c>
      <c r="E34" s="79">
        <v>7096000000</v>
      </c>
      <c r="F34" s="79">
        <v>1811950000</v>
      </c>
      <c r="G34" s="79">
        <v>1852550000</v>
      </c>
      <c r="H34" s="79">
        <v>122415</v>
      </c>
      <c r="I34" s="79">
        <v>5</v>
      </c>
      <c r="J34" s="79">
        <v>1852.55</v>
      </c>
      <c r="K34" s="79">
        <v>26389</v>
      </c>
      <c r="L34" s="79">
        <v>22003</v>
      </c>
      <c r="M34" s="79">
        <v>6618</v>
      </c>
      <c r="N34" s="79">
        <v>21263</v>
      </c>
      <c r="O34" s="79">
        <v>14958</v>
      </c>
      <c r="P34" s="79">
        <v>6179.3333333333303</v>
      </c>
      <c r="Q34" s="79">
        <v>11961.333333333299</v>
      </c>
      <c r="R34" s="79">
        <v>5435</v>
      </c>
      <c r="S34" s="79">
        <v>0</v>
      </c>
      <c r="T34" s="79">
        <v>4534</v>
      </c>
      <c r="U34" s="79">
        <v>63746</v>
      </c>
      <c r="V34" s="79">
        <v>134690</v>
      </c>
      <c r="W34" s="79">
        <v>212880</v>
      </c>
      <c r="X34" s="79">
        <v>3633.48</v>
      </c>
      <c r="Y34" s="79">
        <v>5598.4</v>
      </c>
      <c r="Z34" s="79">
        <v>0</v>
      </c>
      <c r="AA34" s="79">
        <v>0</v>
      </c>
      <c r="AB34" s="79">
        <v>0</v>
      </c>
      <c r="AC34" s="79">
        <v>23839</v>
      </c>
      <c r="AD34" s="79">
        <v>25984.51</v>
      </c>
      <c r="AE34" s="79">
        <v>1723</v>
      </c>
      <c r="AF34" s="79">
        <v>0</v>
      </c>
      <c r="AG34" s="79">
        <v>783</v>
      </c>
      <c r="AH34" s="79">
        <v>760.38</v>
      </c>
      <c r="AI34" s="79">
        <v>125.28</v>
      </c>
      <c r="AJ34" s="79">
        <v>63050</v>
      </c>
      <c r="AK34" s="79">
        <v>71877</v>
      </c>
      <c r="AL34" s="79">
        <v>0</v>
      </c>
      <c r="AM34" s="79">
        <v>44</v>
      </c>
      <c r="AN34" s="79">
        <v>0</v>
      </c>
      <c r="AO34" s="79">
        <v>7250</v>
      </c>
      <c r="AP34" s="79">
        <v>15191</v>
      </c>
      <c r="AQ34" s="79">
        <v>12319</v>
      </c>
      <c r="AR34" s="80">
        <v>1.8086992E-2</v>
      </c>
      <c r="AS34" s="80">
        <v>2.1799709E-2</v>
      </c>
      <c r="AT34" s="79">
        <v>130576.55</v>
      </c>
      <c r="AU34" s="79">
        <v>0</v>
      </c>
      <c r="AV34" s="79">
        <v>12393.3</v>
      </c>
      <c r="AW34" s="79">
        <v>71367.150035208499</v>
      </c>
      <c r="AX34" s="79">
        <v>23</v>
      </c>
      <c r="AY34" s="79">
        <v>24.84</v>
      </c>
      <c r="AZ34" s="79">
        <v>11715</v>
      </c>
      <c r="BA34" s="79">
        <v>1</v>
      </c>
      <c r="BB34" s="79">
        <v>0</v>
      </c>
      <c r="BC34" s="79">
        <v>0</v>
      </c>
      <c r="BD34" s="79">
        <v>0</v>
      </c>
      <c r="BE34" s="79">
        <v>0</v>
      </c>
      <c r="BF34" s="79">
        <v>0</v>
      </c>
      <c r="BG34" s="79">
        <v>0</v>
      </c>
      <c r="BH34" s="79">
        <v>0</v>
      </c>
      <c r="BI34" s="79">
        <v>0</v>
      </c>
      <c r="BJ34" s="79">
        <v>0</v>
      </c>
      <c r="BK34" s="79">
        <v>88</v>
      </c>
      <c r="BL34" s="79">
        <v>28480</v>
      </c>
      <c r="BM34" s="79">
        <v>667</v>
      </c>
      <c r="BN34" s="79">
        <v>116</v>
      </c>
      <c r="BO34">
        <v>27095</v>
      </c>
      <c r="BP34">
        <v>7074</v>
      </c>
      <c r="BQ34">
        <v>23521.439999999999</v>
      </c>
      <c r="BR34">
        <v>7076</v>
      </c>
      <c r="BS34">
        <v>23398.41</v>
      </c>
      <c r="BT34">
        <v>7018</v>
      </c>
      <c r="BU34">
        <v>23381.66</v>
      </c>
      <c r="BV34">
        <v>6928</v>
      </c>
      <c r="BW34">
        <v>23221.38</v>
      </c>
      <c r="BX34">
        <v>6813</v>
      </c>
      <c r="BY34">
        <v>23265.47</v>
      </c>
      <c r="BZ34">
        <v>6812</v>
      </c>
      <c r="CA34">
        <v>22812</v>
      </c>
      <c r="CB34">
        <v>3787.1690619851902</v>
      </c>
      <c r="CC34">
        <v>209.70338212325601</v>
      </c>
      <c r="CD34">
        <v>186.91775125689401</v>
      </c>
      <c r="CE34">
        <v>31871.847344428701</v>
      </c>
      <c r="CF34">
        <v>7001.8171393913599</v>
      </c>
      <c r="CG34">
        <v>1327.93375020956</v>
      </c>
      <c r="CH34">
        <v>1620</v>
      </c>
      <c r="CI34">
        <v>1453.8783536072599</v>
      </c>
      <c r="CJ34">
        <v>1310.46690908851</v>
      </c>
      <c r="CK34" s="81">
        <v>5782</v>
      </c>
      <c r="CL34">
        <v>2401</v>
      </c>
      <c r="CM34">
        <v>17442.252000616099</v>
      </c>
      <c r="CN34">
        <v>18.4109414193688</v>
      </c>
      <c r="CO34">
        <v>100412</v>
      </c>
      <c r="CP34">
        <v>12687</v>
      </c>
      <c r="CQ34">
        <v>2698</v>
      </c>
      <c r="CR34">
        <v>3447</v>
      </c>
      <c r="CS34">
        <v>2498</v>
      </c>
      <c r="CT34">
        <v>1515</v>
      </c>
      <c r="CU34">
        <v>1984.49782327965</v>
      </c>
      <c r="CV34">
        <v>1121.66236801748</v>
      </c>
      <c r="CW34">
        <v>473.76475231195099</v>
      </c>
      <c r="CX34">
        <v>4717.8502263287801</v>
      </c>
      <c r="CY34">
        <v>2666.5864758018502</v>
      </c>
      <c r="CZ34">
        <v>1126.30566670395</v>
      </c>
      <c r="DA34">
        <v>116003.8</v>
      </c>
      <c r="DE34">
        <v>98</v>
      </c>
      <c r="DF34" t="s">
        <v>341</v>
      </c>
      <c r="DG34">
        <v>5409</v>
      </c>
      <c r="DH34">
        <v>5360</v>
      </c>
      <c r="DI34">
        <v>5336</v>
      </c>
      <c r="DJ34">
        <v>5257</v>
      </c>
      <c r="DK34">
        <v>5136</v>
      </c>
      <c r="DO34">
        <v>80</v>
      </c>
      <c r="DP34" t="s">
        <v>178</v>
      </c>
      <c r="DQ34">
        <v>63050</v>
      </c>
      <c r="DR34">
        <v>1.1399999999999999</v>
      </c>
      <c r="DS34">
        <v>2071</v>
      </c>
      <c r="DV34">
        <v>1945</v>
      </c>
      <c r="DW34" t="s">
        <v>40</v>
      </c>
      <c r="DX34">
        <v>5075.1310184587601</v>
      </c>
      <c r="DY34">
        <v>1037</v>
      </c>
      <c r="DZ34">
        <v>883</v>
      </c>
      <c r="EA34">
        <v>466</v>
      </c>
      <c r="EB34">
        <v>2954</v>
      </c>
      <c r="EC34">
        <v>1767</v>
      </c>
      <c r="ED34">
        <v>660</v>
      </c>
      <c r="EE34" s="82">
        <v>0.21154886546708199</v>
      </c>
      <c r="EF34" s="82">
        <v>0.46520230991337802</v>
      </c>
    </row>
    <row r="35" spans="1:136" x14ac:dyDescent="0.35">
      <c r="A35" s="72">
        <v>85</v>
      </c>
      <c r="B35" s="72">
        <v>2</v>
      </c>
      <c r="D35" s="72" t="s">
        <v>234</v>
      </c>
      <c r="E35" s="79">
        <v>1718000000</v>
      </c>
      <c r="F35" s="79">
        <v>263550000</v>
      </c>
      <c r="G35" s="79">
        <v>311500000</v>
      </c>
      <c r="H35" s="79">
        <v>25459</v>
      </c>
      <c r="I35" s="79">
        <v>5</v>
      </c>
      <c r="J35" s="79">
        <v>311.5</v>
      </c>
      <c r="K35" s="79">
        <v>5417</v>
      </c>
      <c r="L35" s="79">
        <v>5922</v>
      </c>
      <c r="M35" s="79">
        <v>1801</v>
      </c>
      <c r="N35" s="79">
        <v>3957</v>
      </c>
      <c r="O35" s="79">
        <v>2740.7</v>
      </c>
      <c r="P35" s="79">
        <v>623.33333333333303</v>
      </c>
      <c r="Q35" s="79">
        <v>2072.3333333333298</v>
      </c>
      <c r="R35" s="79">
        <v>300</v>
      </c>
      <c r="S35" s="79">
        <v>0</v>
      </c>
      <c r="T35" s="79">
        <v>797</v>
      </c>
      <c r="U35" s="79">
        <v>11824</v>
      </c>
      <c r="V35" s="79">
        <v>23960</v>
      </c>
      <c r="W35" s="79">
        <v>10020</v>
      </c>
      <c r="X35" s="79">
        <v>229.5</v>
      </c>
      <c r="Y35" s="79">
        <v>1318.4</v>
      </c>
      <c r="Z35" s="79">
        <v>0</v>
      </c>
      <c r="AA35" s="79">
        <v>0</v>
      </c>
      <c r="AB35" s="79">
        <v>181.7</v>
      </c>
      <c r="AC35" s="79">
        <v>22348</v>
      </c>
      <c r="AD35" s="79">
        <v>22348</v>
      </c>
      <c r="AE35" s="79">
        <v>264</v>
      </c>
      <c r="AF35" s="79">
        <v>0</v>
      </c>
      <c r="AG35" s="79">
        <v>302</v>
      </c>
      <c r="AH35" s="79">
        <v>160</v>
      </c>
      <c r="AI35" s="79">
        <v>141</v>
      </c>
      <c r="AJ35" s="79">
        <v>12163</v>
      </c>
      <c r="AK35" s="79">
        <v>12163</v>
      </c>
      <c r="AL35" s="79">
        <v>0</v>
      </c>
      <c r="AM35" s="79">
        <v>0</v>
      </c>
      <c r="AN35" s="79">
        <v>0</v>
      </c>
      <c r="AO35" s="79">
        <v>0</v>
      </c>
      <c r="AP35" s="79">
        <v>0</v>
      </c>
      <c r="AQ35" s="79">
        <v>0</v>
      </c>
      <c r="AR35" s="80">
        <v>8.7427000000000002E-4</v>
      </c>
      <c r="AS35" s="80">
        <v>3.0192000000000001E-4</v>
      </c>
      <c r="AT35" s="79">
        <v>5850.4030000000002</v>
      </c>
      <c r="AU35" s="79">
        <v>0</v>
      </c>
      <c r="AV35" s="79">
        <v>4522</v>
      </c>
      <c r="AW35" s="79">
        <v>5091.3496373606904</v>
      </c>
      <c r="AX35" s="79">
        <v>16</v>
      </c>
      <c r="AY35" s="79">
        <v>16</v>
      </c>
      <c r="AZ35" s="79">
        <v>2563</v>
      </c>
      <c r="BA35" s="79">
        <v>1</v>
      </c>
      <c r="BB35" s="79">
        <v>0</v>
      </c>
      <c r="BC35" s="79">
        <v>0</v>
      </c>
      <c r="BD35" s="79">
        <v>0</v>
      </c>
      <c r="BE35" s="79">
        <v>0</v>
      </c>
      <c r="BF35" s="79">
        <v>0</v>
      </c>
      <c r="BG35" s="79">
        <v>0</v>
      </c>
      <c r="BH35" s="79">
        <v>0</v>
      </c>
      <c r="BI35" s="79">
        <v>0</v>
      </c>
      <c r="BJ35" s="79">
        <v>0</v>
      </c>
      <c r="BK35" s="79">
        <v>27</v>
      </c>
      <c r="BL35" s="79">
        <v>3595</v>
      </c>
      <c r="BM35" s="79">
        <v>160</v>
      </c>
      <c r="BN35" s="79">
        <v>141</v>
      </c>
      <c r="BO35">
        <v>6332</v>
      </c>
      <c r="BP35">
        <v>1333</v>
      </c>
      <c r="BQ35">
        <v>5638</v>
      </c>
      <c r="BR35">
        <v>1420</v>
      </c>
      <c r="BS35">
        <v>5522</v>
      </c>
      <c r="BT35">
        <v>1463</v>
      </c>
      <c r="BU35">
        <v>5419</v>
      </c>
      <c r="BV35">
        <v>1536</v>
      </c>
      <c r="BW35">
        <v>5339</v>
      </c>
      <c r="BX35">
        <v>1637</v>
      </c>
      <c r="BY35">
        <v>5255</v>
      </c>
      <c r="BZ35">
        <v>1692</v>
      </c>
      <c r="CA35">
        <v>4813</v>
      </c>
      <c r="CB35">
        <v>529.64057338912801</v>
      </c>
      <c r="CC35">
        <v>94.0412392729354</v>
      </c>
      <c r="CD35">
        <v>49.875094787875398</v>
      </c>
      <c r="CE35">
        <v>6311.5156898656296</v>
      </c>
      <c r="CF35">
        <v>1473.9918990000599</v>
      </c>
      <c r="CG35">
        <v>162.19784439723799</v>
      </c>
      <c r="CH35">
        <v>332</v>
      </c>
      <c r="CI35">
        <v>155.911576503953</v>
      </c>
      <c r="CJ35">
        <v>147.93305389548101</v>
      </c>
      <c r="CK35" s="81">
        <v>1449</v>
      </c>
      <c r="CL35">
        <v>623</v>
      </c>
      <c r="CM35">
        <v>4033.7346728716102</v>
      </c>
      <c r="CN35">
        <v>1.58252885832211</v>
      </c>
      <c r="CO35">
        <v>19537</v>
      </c>
      <c r="CP35">
        <v>3434</v>
      </c>
      <c r="CQ35">
        <v>687</v>
      </c>
      <c r="CR35">
        <v>714</v>
      </c>
      <c r="CS35">
        <v>590</v>
      </c>
      <c r="CT35">
        <v>371</v>
      </c>
      <c r="CU35">
        <v>482.40031860208597</v>
      </c>
      <c r="CV35">
        <v>280.51770044820103</v>
      </c>
      <c r="CW35">
        <v>111.756449335187</v>
      </c>
      <c r="CX35">
        <v>1195.3191545027801</v>
      </c>
      <c r="CY35">
        <v>695.08283388881705</v>
      </c>
      <c r="CZ35">
        <v>276.91653462558497</v>
      </c>
      <c r="DA35">
        <v>42826.9</v>
      </c>
      <c r="DE35">
        <v>106</v>
      </c>
      <c r="DF35" t="s">
        <v>30</v>
      </c>
      <c r="DG35">
        <v>15373</v>
      </c>
      <c r="DH35">
        <v>15418</v>
      </c>
      <c r="DI35">
        <v>15358</v>
      </c>
      <c r="DJ35">
        <v>15166</v>
      </c>
      <c r="DK35">
        <v>15038</v>
      </c>
      <c r="DO35">
        <v>85</v>
      </c>
      <c r="DP35" t="s">
        <v>234</v>
      </c>
      <c r="DQ35">
        <v>12163</v>
      </c>
      <c r="DR35">
        <v>1</v>
      </c>
      <c r="DS35">
        <v>481</v>
      </c>
      <c r="DV35">
        <v>1724</v>
      </c>
      <c r="DW35" t="s">
        <v>41</v>
      </c>
      <c r="DX35">
        <v>1849.56921272159</v>
      </c>
      <c r="DY35">
        <v>371</v>
      </c>
      <c r="DZ35">
        <v>419</v>
      </c>
      <c r="EA35">
        <v>204</v>
      </c>
      <c r="EB35">
        <v>1391</v>
      </c>
      <c r="EC35">
        <v>900</v>
      </c>
      <c r="ED35">
        <v>285</v>
      </c>
      <c r="EE35" s="82">
        <v>0.11389721437742401</v>
      </c>
      <c r="EF35" s="82">
        <v>0.40413750931708498</v>
      </c>
    </row>
    <row r="36" spans="1:136" x14ac:dyDescent="0.35">
      <c r="A36" s="72">
        <v>86</v>
      </c>
      <c r="B36" s="72">
        <v>2</v>
      </c>
      <c r="D36" s="72" t="s">
        <v>237</v>
      </c>
      <c r="E36" s="79">
        <v>2043600000</v>
      </c>
      <c r="F36" s="79">
        <v>321650000</v>
      </c>
      <c r="G36" s="79">
        <v>394800000</v>
      </c>
      <c r="H36" s="79">
        <v>29753</v>
      </c>
      <c r="I36" s="79">
        <v>5</v>
      </c>
      <c r="J36" s="79">
        <v>394.8</v>
      </c>
      <c r="K36" s="79">
        <v>6955</v>
      </c>
      <c r="L36" s="79">
        <v>6145</v>
      </c>
      <c r="M36" s="79">
        <v>1831</v>
      </c>
      <c r="N36" s="79">
        <v>3943</v>
      </c>
      <c r="O36" s="79">
        <v>2615.3000000000002</v>
      </c>
      <c r="P36" s="79">
        <v>650.33333333333303</v>
      </c>
      <c r="Q36" s="79">
        <v>2070.3333333333298</v>
      </c>
      <c r="R36" s="79">
        <v>395</v>
      </c>
      <c r="S36" s="79">
        <v>0</v>
      </c>
      <c r="T36" s="79">
        <v>746</v>
      </c>
      <c r="U36" s="79">
        <v>13025</v>
      </c>
      <c r="V36" s="79">
        <v>25280</v>
      </c>
      <c r="W36" s="79">
        <v>8370</v>
      </c>
      <c r="X36" s="79">
        <v>716.22</v>
      </c>
      <c r="Y36" s="79">
        <v>572.79999999999995</v>
      </c>
      <c r="Z36" s="79">
        <v>0</v>
      </c>
      <c r="AA36" s="79">
        <v>0</v>
      </c>
      <c r="AB36" s="79">
        <v>0</v>
      </c>
      <c r="AC36" s="79">
        <v>22452</v>
      </c>
      <c r="AD36" s="79">
        <v>22452</v>
      </c>
      <c r="AE36" s="79">
        <v>313</v>
      </c>
      <c r="AF36" s="79">
        <v>0</v>
      </c>
      <c r="AG36" s="79">
        <v>313</v>
      </c>
      <c r="AH36" s="79">
        <v>165</v>
      </c>
      <c r="AI36" s="79">
        <v>148</v>
      </c>
      <c r="AJ36" s="79">
        <v>13277</v>
      </c>
      <c r="AK36" s="79">
        <v>13277</v>
      </c>
      <c r="AL36" s="79">
        <v>0</v>
      </c>
      <c r="AM36" s="79">
        <v>0</v>
      </c>
      <c r="AN36" s="79">
        <v>0</v>
      </c>
      <c r="AO36" s="79">
        <v>0</v>
      </c>
      <c r="AP36" s="79">
        <v>652</v>
      </c>
      <c r="AQ36" s="79">
        <v>0</v>
      </c>
      <c r="AR36" s="80">
        <v>9.7859300000000004E-4</v>
      </c>
      <c r="AS36" s="80">
        <v>3.2858300000000002E-4</v>
      </c>
      <c r="AT36" s="79">
        <v>5390.4620000000004</v>
      </c>
      <c r="AU36" s="79">
        <v>0</v>
      </c>
      <c r="AV36" s="79">
        <v>5899</v>
      </c>
      <c r="AW36" s="79">
        <v>7709.7714473973201</v>
      </c>
      <c r="AX36" s="79">
        <v>22</v>
      </c>
      <c r="AY36" s="79">
        <v>22</v>
      </c>
      <c r="AZ36" s="79">
        <v>3166</v>
      </c>
      <c r="BA36" s="79">
        <v>1</v>
      </c>
      <c r="BB36" s="79">
        <v>0</v>
      </c>
      <c r="BC36" s="79">
        <v>0</v>
      </c>
      <c r="BD36" s="79">
        <v>0</v>
      </c>
      <c r="BE36" s="79">
        <v>0</v>
      </c>
      <c r="BF36" s="79">
        <v>0</v>
      </c>
      <c r="BG36" s="79">
        <v>0</v>
      </c>
      <c r="BH36" s="79">
        <v>0</v>
      </c>
      <c r="BI36" s="79">
        <v>0</v>
      </c>
      <c r="BJ36" s="79">
        <v>0</v>
      </c>
      <c r="BK36" s="79">
        <v>16</v>
      </c>
      <c r="BL36" s="79">
        <v>3775</v>
      </c>
      <c r="BM36" s="79">
        <v>165</v>
      </c>
      <c r="BN36" s="79">
        <v>148</v>
      </c>
      <c r="BO36">
        <v>7689</v>
      </c>
      <c r="BP36">
        <v>719</v>
      </c>
      <c r="BQ36">
        <v>7020</v>
      </c>
      <c r="BR36">
        <v>758</v>
      </c>
      <c r="BS36">
        <v>7026</v>
      </c>
      <c r="BT36">
        <v>807</v>
      </c>
      <c r="BU36">
        <v>6985</v>
      </c>
      <c r="BV36">
        <v>776</v>
      </c>
      <c r="BW36">
        <v>6852</v>
      </c>
      <c r="BX36">
        <v>726</v>
      </c>
      <c r="BY36">
        <v>6735</v>
      </c>
      <c r="BZ36">
        <v>738</v>
      </c>
      <c r="CA36">
        <v>6179</v>
      </c>
      <c r="CB36">
        <v>560.23502762523299</v>
      </c>
      <c r="CC36">
        <v>111.93417663081701</v>
      </c>
      <c r="CD36">
        <v>39.208867318547597</v>
      </c>
      <c r="CE36">
        <v>7649.93791714895</v>
      </c>
      <c r="CF36">
        <v>1926.1370782722099</v>
      </c>
      <c r="CG36">
        <v>223.016581906017</v>
      </c>
      <c r="CH36">
        <v>308</v>
      </c>
      <c r="CI36">
        <v>186.58920702131601</v>
      </c>
      <c r="CJ36">
        <v>175.24922931502999</v>
      </c>
      <c r="CK36" s="81">
        <v>1420</v>
      </c>
      <c r="CL36">
        <v>620</v>
      </c>
      <c r="CM36">
        <v>3605.0701709688201</v>
      </c>
      <c r="CN36">
        <v>1.4968251424908501</v>
      </c>
      <c r="CO36">
        <v>23608</v>
      </c>
      <c r="CP36">
        <v>3577</v>
      </c>
      <c r="CQ36">
        <v>737</v>
      </c>
      <c r="CR36">
        <v>739</v>
      </c>
      <c r="CS36">
        <v>599</v>
      </c>
      <c r="CT36">
        <v>388</v>
      </c>
      <c r="CU36">
        <v>438.93581290607398</v>
      </c>
      <c r="CV36">
        <v>251.38334706828999</v>
      </c>
      <c r="CW36">
        <v>106.384802050844</v>
      </c>
      <c r="CX36">
        <v>1111.24333314773</v>
      </c>
      <c r="CY36">
        <v>636.42122670399897</v>
      </c>
      <c r="CZ36">
        <v>269.33186710043799</v>
      </c>
      <c r="DA36">
        <v>121910</v>
      </c>
      <c r="DE36">
        <v>109</v>
      </c>
      <c r="DF36" t="s">
        <v>70</v>
      </c>
      <c r="DG36">
        <v>7596</v>
      </c>
      <c r="DH36">
        <v>7618</v>
      </c>
      <c r="DI36">
        <v>7535</v>
      </c>
      <c r="DJ36">
        <v>7434</v>
      </c>
      <c r="DK36">
        <v>7367</v>
      </c>
      <c r="DO36">
        <v>86</v>
      </c>
      <c r="DP36" t="s">
        <v>237</v>
      </c>
      <c r="DQ36">
        <v>13277</v>
      </c>
      <c r="DR36">
        <v>1</v>
      </c>
      <c r="DS36">
        <v>406</v>
      </c>
      <c r="DV36">
        <v>893</v>
      </c>
      <c r="DW36" t="s">
        <v>42</v>
      </c>
      <c r="DX36">
        <v>1719.3925872616101</v>
      </c>
      <c r="DY36">
        <v>310</v>
      </c>
      <c r="DZ36">
        <v>305</v>
      </c>
      <c r="EA36">
        <v>155</v>
      </c>
      <c r="EB36">
        <v>1067</v>
      </c>
      <c r="EC36">
        <v>648</v>
      </c>
      <c r="ED36">
        <v>219</v>
      </c>
      <c r="EE36" s="82">
        <v>0.200961419090076</v>
      </c>
      <c r="EF36" s="82">
        <v>0.50311442937072404</v>
      </c>
    </row>
    <row r="37" spans="1:136" x14ac:dyDescent="0.35">
      <c r="A37" s="72">
        <v>88</v>
      </c>
      <c r="B37" s="72">
        <v>2</v>
      </c>
      <c r="D37" s="72" t="s">
        <v>268</v>
      </c>
      <c r="E37" s="79">
        <v>252000000</v>
      </c>
      <c r="F37" s="79">
        <v>32550000</v>
      </c>
      <c r="G37" s="79">
        <v>34650000</v>
      </c>
      <c r="H37" s="79">
        <v>932</v>
      </c>
      <c r="I37" s="79">
        <v>1</v>
      </c>
      <c r="J37" s="79">
        <v>34.65</v>
      </c>
      <c r="K37" s="79">
        <v>140</v>
      </c>
      <c r="L37" s="79">
        <v>262</v>
      </c>
      <c r="M37" s="79">
        <v>86</v>
      </c>
      <c r="N37" s="79">
        <v>207</v>
      </c>
      <c r="O37" s="79">
        <v>72.900000000000006</v>
      </c>
      <c r="P37" s="79">
        <v>9.6666666666666696</v>
      </c>
      <c r="Q37" s="79">
        <v>34.6666666666667</v>
      </c>
      <c r="R37" s="79">
        <v>0</v>
      </c>
      <c r="S37" s="79">
        <v>0</v>
      </c>
      <c r="T37" s="79">
        <v>21</v>
      </c>
      <c r="U37" s="79">
        <v>517</v>
      </c>
      <c r="V37" s="79">
        <v>910</v>
      </c>
      <c r="W37" s="79">
        <v>20</v>
      </c>
      <c r="X37" s="79">
        <v>0</v>
      </c>
      <c r="Y37" s="79">
        <v>26.4</v>
      </c>
      <c r="Z37" s="79">
        <v>0</v>
      </c>
      <c r="AA37" s="79">
        <v>0</v>
      </c>
      <c r="AB37" s="79">
        <v>0</v>
      </c>
      <c r="AC37" s="79">
        <v>4048</v>
      </c>
      <c r="AD37" s="79">
        <v>4048</v>
      </c>
      <c r="AE37" s="79">
        <v>43</v>
      </c>
      <c r="AF37" s="79">
        <v>10000</v>
      </c>
      <c r="AG37" s="79">
        <v>15</v>
      </c>
      <c r="AH37" s="79">
        <v>12</v>
      </c>
      <c r="AI37" s="79">
        <v>3</v>
      </c>
      <c r="AJ37" s="79">
        <v>1341</v>
      </c>
      <c r="AK37" s="79">
        <v>1341</v>
      </c>
      <c r="AL37" s="79">
        <v>0</v>
      </c>
      <c r="AM37" s="79">
        <v>0</v>
      </c>
      <c r="AN37" s="79">
        <v>0</v>
      </c>
      <c r="AO37" s="79">
        <v>0</v>
      </c>
      <c r="AP37" s="79">
        <v>0</v>
      </c>
      <c r="AQ37" s="79">
        <v>0</v>
      </c>
      <c r="AR37" s="80">
        <v>1.3294199999999999E-4</v>
      </c>
      <c r="AS37" s="80">
        <v>1.8851E-5</v>
      </c>
      <c r="AT37" s="79">
        <v>414.36900000000003</v>
      </c>
      <c r="AU37" s="79">
        <v>0</v>
      </c>
      <c r="AV37" s="79">
        <v>305</v>
      </c>
      <c r="AW37" s="79">
        <v>69.484233683695905</v>
      </c>
      <c r="AX37" s="79">
        <v>1</v>
      </c>
      <c r="AY37" s="79">
        <v>1</v>
      </c>
      <c r="AZ37" s="79">
        <v>138</v>
      </c>
      <c r="BA37" s="79">
        <v>1</v>
      </c>
      <c r="BB37" s="79">
        <v>0</v>
      </c>
      <c r="BC37" s="79">
        <v>0</v>
      </c>
      <c r="BD37" s="79">
        <v>0</v>
      </c>
      <c r="BE37" s="79">
        <v>0</v>
      </c>
      <c r="BF37" s="79">
        <v>0</v>
      </c>
      <c r="BG37" s="79">
        <v>1</v>
      </c>
      <c r="BH37" s="79">
        <v>932</v>
      </c>
      <c r="BI37" s="79">
        <v>0</v>
      </c>
      <c r="BJ37" s="79">
        <v>0</v>
      </c>
      <c r="BK37" s="79">
        <v>0</v>
      </c>
      <c r="BL37" s="79">
        <v>254</v>
      </c>
      <c r="BM37" s="79">
        <v>12</v>
      </c>
      <c r="BN37" s="79">
        <v>3</v>
      </c>
      <c r="BO37">
        <v>183</v>
      </c>
      <c r="BP37">
        <v>35</v>
      </c>
      <c r="BQ37">
        <v>181</v>
      </c>
      <c r="BR37">
        <v>28</v>
      </c>
      <c r="BS37">
        <v>179</v>
      </c>
      <c r="BT37">
        <v>37</v>
      </c>
      <c r="BU37">
        <v>187</v>
      </c>
      <c r="BV37">
        <v>33</v>
      </c>
      <c r="BW37">
        <v>179</v>
      </c>
      <c r="BX37">
        <v>46</v>
      </c>
      <c r="BY37">
        <v>182</v>
      </c>
      <c r="BZ37">
        <v>46</v>
      </c>
      <c r="CA37">
        <v>127</v>
      </c>
      <c r="CB37">
        <v>4.1221799607784604</v>
      </c>
      <c r="CC37">
        <v>1.7641585976088701</v>
      </c>
      <c r="CD37">
        <v>0</v>
      </c>
      <c r="CE37">
        <v>317.70403361554298</v>
      </c>
      <c r="CF37">
        <v>-29.4</v>
      </c>
      <c r="CG37">
        <v>8.2187142857142792</v>
      </c>
      <c r="CH37">
        <v>6</v>
      </c>
      <c r="CI37">
        <v>0.89901563217480895</v>
      </c>
      <c r="CJ37">
        <v>1.0642665747876301</v>
      </c>
      <c r="CK37" s="81">
        <v>25</v>
      </c>
      <c r="CL37">
        <v>4</v>
      </c>
      <c r="CM37">
        <v>143.724744287269</v>
      </c>
      <c r="CN37">
        <v>1.1802278288783601E-2</v>
      </c>
      <c r="CO37">
        <v>670</v>
      </c>
      <c r="CP37">
        <v>147</v>
      </c>
      <c r="CQ37">
        <v>29</v>
      </c>
      <c r="CR37">
        <v>48</v>
      </c>
      <c r="CS37">
        <v>26</v>
      </c>
      <c r="CT37">
        <v>19</v>
      </c>
      <c r="CU37">
        <v>5.4759549583998099</v>
      </c>
      <c r="CV37">
        <v>3.2530425495444399</v>
      </c>
      <c r="CW37">
        <v>1.5180865231207401</v>
      </c>
      <c r="CX37">
        <v>51.704637344405</v>
      </c>
      <c r="CY37">
        <v>30.715626145191099</v>
      </c>
      <c r="CZ37">
        <v>14.3339588677559</v>
      </c>
      <c r="DA37">
        <v>0</v>
      </c>
      <c r="DE37">
        <v>114</v>
      </c>
      <c r="DF37" t="s">
        <v>104</v>
      </c>
      <c r="DG37">
        <v>22664</v>
      </c>
      <c r="DH37">
        <v>22564</v>
      </c>
      <c r="DI37">
        <v>22332</v>
      </c>
      <c r="DJ37">
        <v>22014</v>
      </c>
      <c r="DK37">
        <v>21827</v>
      </c>
      <c r="DO37">
        <v>88</v>
      </c>
      <c r="DP37" t="s">
        <v>268</v>
      </c>
      <c r="DQ37">
        <v>1341</v>
      </c>
      <c r="DR37">
        <v>1</v>
      </c>
      <c r="DS37">
        <v>309</v>
      </c>
      <c r="DV37">
        <v>373</v>
      </c>
      <c r="DW37" t="s">
        <v>43</v>
      </c>
      <c r="DX37">
        <v>3915.5193673573999</v>
      </c>
      <c r="DY37">
        <v>1313</v>
      </c>
      <c r="DZ37">
        <v>972</v>
      </c>
      <c r="EA37">
        <v>486</v>
      </c>
      <c r="EB37">
        <v>3359</v>
      </c>
      <c r="EC37">
        <v>2037</v>
      </c>
      <c r="ED37">
        <v>704</v>
      </c>
      <c r="EE37" s="82">
        <v>0.11365924737298901</v>
      </c>
      <c r="EF37" s="82">
        <v>0.29883136280382799</v>
      </c>
    </row>
    <row r="38" spans="1:136" x14ac:dyDescent="0.35">
      <c r="A38" s="72">
        <v>90</v>
      </c>
      <c r="B38" s="72">
        <v>2</v>
      </c>
      <c r="D38" s="72" t="s">
        <v>278</v>
      </c>
      <c r="E38" s="79">
        <v>3407600000</v>
      </c>
      <c r="F38" s="79">
        <v>809550000</v>
      </c>
      <c r="G38" s="79">
        <v>864850000</v>
      </c>
      <c r="H38" s="79">
        <v>55889</v>
      </c>
      <c r="I38" s="79">
        <v>4</v>
      </c>
      <c r="J38" s="79">
        <v>864.85</v>
      </c>
      <c r="K38" s="79">
        <v>13028</v>
      </c>
      <c r="L38" s="79">
        <v>11425</v>
      </c>
      <c r="M38" s="79">
        <v>3743</v>
      </c>
      <c r="N38" s="79">
        <v>8796</v>
      </c>
      <c r="O38" s="79">
        <v>6203.6</v>
      </c>
      <c r="P38" s="79">
        <v>1907.6666666666699</v>
      </c>
      <c r="Q38" s="79">
        <v>5079.6666666666697</v>
      </c>
      <c r="R38" s="79">
        <v>1460</v>
      </c>
      <c r="S38" s="79">
        <v>0</v>
      </c>
      <c r="T38" s="79">
        <v>1825</v>
      </c>
      <c r="U38" s="79">
        <v>26108</v>
      </c>
      <c r="V38" s="79">
        <v>63510</v>
      </c>
      <c r="W38" s="79">
        <v>82050</v>
      </c>
      <c r="X38" s="79">
        <v>4162.5</v>
      </c>
      <c r="Y38" s="79">
        <v>4006.4</v>
      </c>
      <c r="Z38" s="79">
        <v>0</v>
      </c>
      <c r="AA38" s="79">
        <v>0</v>
      </c>
      <c r="AB38" s="79">
        <v>122.9</v>
      </c>
      <c r="AC38" s="79">
        <v>11713</v>
      </c>
      <c r="AD38" s="79">
        <v>11713</v>
      </c>
      <c r="AE38" s="79">
        <v>905</v>
      </c>
      <c r="AF38" s="79">
        <v>0</v>
      </c>
      <c r="AG38" s="79">
        <v>409</v>
      </c>
      <c r="AH38" s="79">
        <v>330</v>
      </c>
      <c r="AI38" s="79">
        <v>79</v>
      </c>
      <c r="AJ38" s="79">
        <v>25924</v>
      </c>
      <c r="AK38" s="79">
        <v>25924</v>
      </c>
      <c r="AL38" s="79">
        <v>0</v>
      </c>
      <c r="AM38" s="79">
        <v>0</v>
      </c>
      <c r="AN38" s="79">
        <v>0</v>
      </c>
      <c r="AO38" s="79">
        <v>0</v>
      </c>
      <c r="AP38" s="79">
        <v>1709</v>
      </c>
      <c r="AQ38" s="79">
        <v>0</v>
      </c>
      <c r="AR38" s="80">
        <v>1.34285E-3</v>
      </c>
      <c r="AS38" s="80">
        <v>2.3469250000000001E-3</v>
      </c>
      <c r="AT38" s="79">
        <v>34478.92</v>
      </c>
      <c r="AU38" s="79">
        <v>0</v>
      </c>
      <c r="AV38" s="79">
        <v>5480</v>
      </c>
      <c r="AW38" s="79">
        <v>24272.604216199099</v>
      </c>
      <c r="AX38" s="79">
        <v>10</v>
      </c>
      <c r="AY38" s="79">
        <v>10</v>
      </c>
      <c r="AZ38" s="79">
        <v>4931</v>
      </c>
      <c r="BA38" s="79">
        <v>1</v>
      </c>
      <c r="BB38" s="79">
        <v>0</v>
      </c>
      <c r="BC38" s="79">
        <v>0</v>
      </c>
      <c r="BD38" s="79">
        <v>0</v>
      </c>
      <c r="BE38" s="79">
        <v>0</v>
      </c>
      <c r="BF38" s="79">
        <v>0</v>
      </c>
      <c r="BG38" s="79">
        <v>0</v>
      </c>
      <c r="BH38" s="79">
        <v>0</v>
      </c>
      <c r="BI38" s="79">
        <v>0</v>
      </c>
      <c r="BJ38" s="79">
        <v>0</v>
      </c>
      <c r="BK38" s="79">
        <v>39</v>
      </c>
      <c r="BL38" s="79">
        <v>8792</v>
      </c>
      <c r="BM38" s="79">
        <v>330</v>
      </c>
      <c r="BN38" s="79">
        <v>79</v>
      </c>
      <c r="BO38">
        <v>13630</v>
      </c>
      <c r="BP38">
        <v>4441</v>
      </c>
      <c r="BQ38">
        <v>12333</v>
      </c>
      <c r="BR38">
        <v>4482</v>
      </c>
      <c r="BS38">
        <v>12263</v>
      </c>
      <c r="BT38">
        <v>4637</v>
      </c>
      <c r="BU38">
        <v>12311</v>
      </c>
      <c r="BV38">
        <v>4564</v>
      </c>
      <c r="BW38">
        <v>12209</v>
      </c>
      <c r="BX38">
        <v>4565</v>
      </c>
      <c r="BY38">
        <v>12133</v>
      </c>
      <c r="BZ38">
        <v>4568</v>
      </c>
      <c r="CA38">
        <v>11552</v>
      </c>
      <c r="CB38">
        <v>1436.8833335997001</v>
      </c>
      <c r="CC38">
        <v>192.56277278341199</v>
      </c>
      <c r="CD38">
        <v>120.27185175469999</v>
      </c>
      <c r="CE38">
        <v>14020.538607000401</v>
      </c>
      <c r="CF38">
        <v>3388.39120735503</v>
      </c>
      <c r="CG38">
        <v>628.94679003558701</v>
      </c>
      <c r="CH38">
        <v>665</v>
      </c>
      <c r="CI38">
        <v>525.60256671942602</v>
      </c>
      <c r="CJ38">
        <v>481.40324732893902</v>
      </c>
      <c r="CK38" s="81">
        <v>3172</v>
      </c>
      <c r="CL38">
        <v>1367</v>
      </c>
      <c r="CM38">
        <v>8439.2702516279205</v>
      </c>
      <c r="CN38">
        <v>5.7139909344635598</v>
      </c>
      <c r="CO38">
        <v>44464</v>
      </c>
      <c r="CP38">
        <v>6405</v>
      </c>
      <c r="CQ38">
        <v>1277</v>
      </c>
      <c r="CR38">
        <v>1447</v>
      </c>
      <c r="CS38">
        <v>1274</v>
      </c>
      <c r="CT38">
        <v>662</v>
      </c>
      <c r="CU38">
        <v>952.83705289980298</v>
      </c>
      <c r="CV38">
        <v>624.53659167967999</v>
      </c>
      <c r="CW38">
        <v>218.94673616356599</v>
      </c>
      <c r="CX38">
        <v>2203.9604326903</v>
      </c>
      <c r="CY38">
        <v>1444.5848139933901</v>
      </c>
      <c r="CZ38">
        <v>506.43490605515302</v>
      </c>
      <c r="DA38">
        <v>181196.9</v>
      </c>
      <c r="DE38">
        <v>118</v>
      </c>
      <c r="DF38" t="s">
        <v>156</v>
      </c>
      <c r="DG38">
        <v>12006</v>
      </c>
      <c r="DH38">
        <v>12047</v>
      </c>
      <c r="DI38">
        <v>12071</v>
      </c>
      <c r="DJ38">
        <v>12076</v>
      </c>
      <c r="DK38">
        <v>11996</v>
      </c>
      <c r="DO38">
        <v>90</v>
      </c>
      <c r="DP38" t="s">
        <v>278</v>
      </c>
      <c r="DQ38">
        <v>25924</v>
      </c>
      <c r="DR38">
        <v>1</v>
      </c>
      <c r="DS38">
        <v>1330</v>
      </c>
      <c r="DV38">
        <v>748</v>
      </c>
      <c r="DW38" t="s">
        <v>44</v>
      </c>
      <c r="DX38">
        <v>9500.5724517158305</v>
      </c>
      <c r="DY38">
        <v>1781</v>
      </c>
      <c r="DZ38">
        <v>1426</v>
      </c>
      <c r="EA38">
        <v>754</v>
      </c>
      <c r="EB38">
        <v>5087</v>
      </c>
      <c r="EC38">
        <v>2951</v>
      </c>
      <c r="ED38">
        <v>1018</v>
      </c>
      <c r="EE38" s="82">
        <v>0.209042106945411</v>
      </c>
      <c r="EF38" s="82">
        <v>0.46520230991337802</v>
      </c>
    </row>
    <row r="39" spans="1:136" x14ac:dyDescent="0.35">
      <c r="A39" s="72">
        <v>1900</v>
      </c>
      <c r="B39" s="72">
        <v>2</v>
      </c>
      <c r="D39" s="72" t="s">
        <v>289</v>
      </c>
      <c r="E39" s="79">
        <v>6222800000</v>
      </c>
      <c r="F39" s="79">
        <v>1203650000</v>
      </c>
      <c r="G39" s="79">
        <v>1341200000</v>
      </c>
      <c r="H39" s="79">
        <v>89594</v>
      </c>
      <c r="I39" s="79">
        <v>12</v>
      </c>
      <c r="J39" s="79">
        <v>1341.2</v>
      </c>
      <c r="K39" s="79">
        <v>20963</v>
      </c>
      <c r="L39" s="79">
        <v>19373</v>
      </c>
      <c r="M39" s="79">
        <v>6115</v>
      </c>
      <c r="N39" s="79">
        <v>13315</v>
      </c>
      <c r="O39" s="79">
        <v>9012.5</v>
      </c>
      <c r="P39" s="79">
        <v>2489.3333333333298</v>
      </c>
      <c r="Q39" s="79">
        <v>6299.3333333333303</v>
      </c>
      <c r="R39" s="79">
        <v>1735</v>
      </c>
      <c r="S39" s="79">
        <v>0</v>
      </c>
      <c r="T39" s="79">
        <v>2501</v>
      </c>
      <c r="U39" s="79">
        <v>40867</v>
      </c>
      <c r="V39" s="79">
        <v>89440</v>
      </c>
      <c r="W39" s="79">
        <v>76880</v>
      </c>
      <c r="X39" s="79">
        <v>2046.66</v>
      </c>
      <c r="Y39" s="79">
        <v>4676.8</v>
      </c>
      <c r="Z39" s="79">
        <v>0</v>
      </c>
      <c r="AA39" s="79">
        <v>0</v>
      </c>
      <c r="AB39" s="79">
        <v>0</v>
      </c>
      <c r="AC39" s="79">
        <v>52232</v>
      </c>
      <c r="AD39" s="79">
        <v>55888.24</v>
      </c>
      <c r="AE39" s="79">
        <v>5261</v>
      </c>
      <c r="AF39" s="79">
        <v>10000</v>
      </c>
      <c r="AG39" s="79">
        <v>876</v>
      </c>
      <c r="AH39" s="79">
        <v>598.5</v>
      </c>
      <c r="AI39" s="79">
        <v>327.42</v>
      </c>
      <c r="AJ39" s="79">
        <v>43025</v>
      </c>
      <c r="AK39" s="79">
        <v>45176.25</v>
      </c>
      <c r="AL39" s="79">
        <v>80</v>
      </c>
      <c r="AM39" s="79">
        <v>0</v>
      </c>
      <c r="AN39" s="79">
        <v>0</v>
      </c>
      <c r="AO39" s="79">
        <v>24250</v>
      </c>
      <c r="AP39" s="79">
        <v>6774</v>
      </c>
      <c r="AQ39" s="79">
        <v>6250</v>
      </c>
      <c r="AR39" s="80">
        <v>5.2280449999999997E-3</v>
      </c>
      <c r="AS39" s="80">
        <v>3.1836270000000001E-3</v>
      </c>
      <c r="AT39" s="79">
        <v>35624.699999999997</v>
      </c>
      <c r="AU39" s="79">
        <v>0</v>
      </c>
      <c r="AV39" s="79">
        <v>21211.68</v>
      </c>
      <c r="AW39" s="79">
        <v>33832.164232167401</v>
      </c>
      <c r="AX39" s="79">
        <v>65</v>
      </c>
      <c r="AY39" s="79">
        <v>69.55</v>
      </c>
      <c r="AZ39" s="79">
        <v>10220</v>
      </c>
      <c r="BA39" s="79">
        <v>1</v>
      </c>
      <c r="BB39" s="79">
        <v>0</v>
      </c>
      <c r="BC39" s="79">
        <v>0</v>
      </c>
      <c r="BD39" s="79">
        <v>0</v>
      </c>
      <c r="BE39" s="79">
        <v>0</v>
      </c>
      <c r="BF39" s="79">
        <v>0</v>
      </c>
      <c r="BG39" s="79">
        <v>0</v>
      </c>
      <c r="BH39" s="79">
        <v>0</v>
      </c>
      <c r="BI39" s="79">
        <v>0</v>
      </c>
      <c r="BJ39" s="79">
        <v>0</v>
      </c>
      <c r="BK39" s="79">
        <v>4</v>
      </c>
      <c r="BL39" s="79">
        <v>13570</v>
      </c>
      <c r="BM39" s="79">
        <v>570</v>
      </c>
      <c r="BN39" s="79">
        <v>306</v>
      </c>
      <c r="BO39">
        <v>23009</v>
      </c>
      <c r="BP39">
        <v>5565</v>
      </c>
      <c r="BQ39">
        <v>20876.29</v>
      </c>
      <c r="BR39">
        <v>5560</v>
      </c>
      <c r="BS39">
        <v>20778.349999999999</v>
      </c>
      <c r="BT39">
        <v>5643</v>
      </c>
      <c r="BU39">
        <v>20629.599999999999</v>
      </c>
      <c r="BV39">
        <v>5741</v>
      </c>
      <c r="BW39">
        <v>20473.080000000002</v>
      </c>
      <c r="BX39">
        <v>5788</v>
      </c>
      <c r="BY39">
        <v>20240.66</v>
      </c>
      <c r="BZ39">
        <v>5814</v>
      </c>
      <c r="CA39">
        <v>18823</v>
      </c>
      <c r="CB39">
        <v>1989.9467558936501</v>
      </c>
      <c r="CC39">
        <v>257.65537348945497</v>
      </c>
      <c r="CD39">
        <v>201.78516633545601</v>
      </c>
      <c r="CE39">
        <v>23791.281393683999</v>
      </c>
      <c r="CF39">
        <v>5976.8371083734901</v>
      </c>
      <c r="CG39">
        <v>549.50618798334301</v>
      </c>
      <c r="CH39">
        <v>967</v>
      </c>
      <c r="CI39">
        <v>685.87271613696896</v>
      </c>
      <c r="CJ39">
        <v>612.66279155274697</v>
      </c>
      <c r="CK39" s="81">
        <v>3810</v>
      </c>
      <c r="CL39">
        <v>1437</v>
      </c>
      <c r="CM39">
        <v>12182.138894993001</v>
      </c>
      <c r="CN39">
        <v>6.7301296175434597</v>
      </c>
      <c r="CO39">
        <v>70221</v>
      </c>
      <c r="CP39">
        <v>11182</v>
      </c>
      <c r="CQ39">
        <v>2076</v>
      </c>
      <c r="CR39">
        <v>2433</v>
      </c>
      <c r="CS39">
        <v>1992</v>
      </c>
      <c r="CT39">
        <v>1077</v>
      </c>
      <c r="CU39">
        <v>1476.81326315307</v>
      </c>
      <c r="CV39">
        <v>887.55429730206504</v>
      </c>
      <c r="CW39">
        <v>310.23552379144598</v>
      </c>
      <c r="CX39">
        <v>3646.3214759397001</v>
      </c>
      <c r="CY39">
        <v>2191.4133466037601</v>
      </c>
      <c r="CZ39">
        <v>765.98611430733195</v>
      </c>
      <c r="DA39">
        <v>93662.55</v>
      </c>
      <c r="DE39">
        <v>119</v>
      </c>
      <c r="DF39" t="s">
        <v>199</v>
      </c>
      <c r="DG39">
        <v>7170</v>
      </c>
      <c r="DH39">
        <v>7245</v>
      </c>
      <c r="DI39">
        <v>7297</v>
      </c>
      <c r="DJ39">
        <v>7276</v>
      </c>
      <c r="DK39">
        <v>7289</v>
      </c>
      <c r="DO39">
        <v>1900</v>
      </c>
      <c r="DP39" t="s">
        <v>289</v>
      </c>
      <c r="DQ39">
        <v>43025</v>
      </c>
      <c r="DR39">
        <v>1.05</v>
      </c>
      <c r="DS39">
        <v>828</v>
      </c>
      <c r="DV39">
        <v>1859</v>
      </c>
      <c r="DW39" t="s">
        <v>45</v>
      </c>
      <c r="DX39">
        <v>5634.0305384409303</v>
      </c>
      <c r="DY39">
        <v>1032</v>
      </c>
      <c r="DZ39">
        <v>1081</v>
      </c>
      <c r="EA39">
        <v>576</v>
      </c>
      <c r="EB39">
        <v>3631</v>
      </c>
      <c r="EC39">
        <v>2307</v>
      </c>
      <c r="ED39">
        <v>791</v>
      </c>
      <c r="EE39" s="82">
        <v>0.18014671266674601</v>
      </c>
      <c r="EF39" s="82">
        <v>0.49016630114075599</v>
      </c>
    </row>
    <row r="40" spans="1:136" x14ac:dyDescent="0.35">
      <c r="A40" s="72">
        <v>93</v>
      </c>
      <c r="B40" s="72">
        <v>2</v>
      </c>
      <c r="D40" s="72" t="s">
        <v>291</v>
      </c>
      <c r="E40" s="79">
        <v>760000000</v>
      </c>
      <c r="F40" s="79">
        <v>141050000</v>
      </c>
      <c r="G40" s="79">
        <v>154700000</v>
      </c>
      <c r="H40" s="79">
        <v>4906</v>
      </c>
      <c r="I40" s="79">
        <v>2</v>
      </c>
      <c r="J40" s="79">
        <v>154.69999999999999</v>
      </c>
      <c r="K40" s="79">
        <v>929</v>
      </c>
      <c r="L40" s="79">
        <v>1107</v>
      </c>
      <c r="M40" s="79">
        <v>332</v>
      </c>
      <c r="N40" s="79">
        <v>589</v>
      </c>
      <c r="O40" s="79">
        <v>206.5</v>
      </c>
      <c r="P40" s="79">
        <v>30</v>
      </c>
      <c r="Q40" s="79">
        <v>135</v>
      </c>
      <c r="R40" s="79">
        <v>30</v>
      </c>
      <c r="S40" s="79">
        <v>0</v>
      </c>
      <c r="T40" s="79">
        <v>112</v>
      </c>
      <c r="U40" s="79">
        <v>2647</v>
      </c>
      <c r="V40" s="79">
        <v>4920</v>
      </c>
      <c r="W40" s="79">
        <v>1610</v>
      </c>
      <c r="X40" s="79">
        <v>0</v>
      </c>
      <c r="Y40" s="79">
        <v>100.8</v>
      </c>
      <c r="Z40" s="79">
        <v>0</v>
      </c>
      <c r="AA40" s="79">
        <v>0</v>
      </c>
      <c r="AB40" s="79">
        <v>0</v>
      </c>
      <c r="AC40" s="79">
        <v>8523</v>
      </c>
      <c r="AD40" s="79">
        <v>8523</v>
      </c>
      <c r="AE40" s="79">
        <v>187</v>
      </c>
      <c r="AF40" s="79">
        <v>10000</v>
      </c>
      <c r="AG40" s="79">
        <v>49</v>
      </c>
      <c r="AH40" s="79">
        <v>41</v>
      </c>
      <c r="AI40" s="79">
        <v>7</v>
      </c>
      <c r="AJ40" s="79">
        <v>3825</v>
      </c>
      <c r="AK40" s="79">
        <v>3825</v>
      </c>
      <c r="AL40" s="79">
        <v>0</v>
      </c>
      <c r="AM40" s="79">
        <v>0</v>
      </c>
      <c r="AN40" s="79">
        <v>0</v>
      </c>
      <c r="AO40" s="79">
        <v>0</v>
      </c>
      <c r="AP40" s="79">
        <v>513</v>
      </c>
      <c r="AQ40" s="79">
        <v>0</v>
      </c>
      <c r="AR40" s="80">
        <v>2.8645599999999998E-4</v>
      </c>
      <c r="AS40" s="80">
        <v>5.3303000000000001E-5</v>
      </c>
      <c r="AT40" s="79">
        <v>940.95</v>
      </c>
      <c r="AU40" s="79">
        <v>0</v>
      </c>
      <c r="AV40" s="79">
        <v>837</v>
      </c>
      <c r="AW40" s="79">
        <v>471.44913892078102</v>
      </c>
      <c r="AX40" s="79">
        <v>10</v>
      </c>
      <c r="AY40" s="79">
        <v>10</v>
      </c>
      <c r="AZ40" s="79">
        <v>798</v>
      </c>
      <c r="BA40" s="79">
        <v>1</v>
      </c>
      <c r="BB40" s="79">
        <v>0</v>
      </c>
      <c r="BC40" s="79">
        <v>0</v>
      </c>
      <c r="BD40" s="79">
        <v>0</v>
      </c>
      <c r="BE40" s="79">
        <v>0</v>
      </c>
      <c r="BF40" s="79">
        <v>0</v>
      </c>
      <c r="BG40" s="79">
        <v>1</v>
      </c>
      <c r="BH40" s="79">
        <v>2500</v>
      </c>
      <c r="BI40" s="79">
        <v>2406</v>
      </c>
      <c r="BJ40" s="79">
        <v>0</v>
      </c>
      <c r="BK40" s="79">
        <v>0</v>
      </c>
      <c r="BL40" s="79">
        <v>1142</v>
      </c>
      <c r="BM40" s="79">
        <v>41</v>
      </c>
      <c r="BN40" s="79">
        <v>7</v>
      </c>
      <c r="BO40">
        <v>971</v>
      </c>
      <c r="BP40">
        <v>138</v>
      </c>
      <c r="BQ40">
        <v>874</v>
      </c>
      <c r="BR40">
        <v>146</v>
      </c>
      <c r="BS40">
        <v>881</v>
      </c>
      <c r="BT40">
        <v>160</v>
      </c>
      <c r="BU40">
        <v>857</v>
      </c>
      <c r="BV40">
        <v>164</v>
      </c>
      <c r="BW40">
        <v>861</v>
      </c>
      <c r="BX40">
        <v>176</v>
      </c>
      <c r="BY40">
        <v>863</v>
      </c>
      <c r="BZ40">
        <v>153</v>
      </c>
      <c r="CA40">
        <v>765</v>
      </c>
      <c r="CB40">
        <v>54.156816419149003</v>
      </c>
      <c r="CC40">
        <v>6.0723569276526002</v>
      </c>
      <c r="CD40">
        <v>0</v>
      </c>
      <c r="CE40">
        <v>1468.51381728315</v>
      </c>
      <c r="CF40">
        <v>312.12190531006502</v>
      </c>
      <c r="CG40">
        <v>8.6964991482112399</v>
      </c>
      <c r="CH40">
        <v>30</v>
      </c>
      <c r="CI40">
        <v>6.1615642787695801</v>
      </c>
      <c r="CJ40">
        <v>4.6118218240797404</v>
      </c>
      <c r="CK40" s="81">
        <v>105</v>
      </c>
      <c r="CL40">
        <v>25</v>
      </c>
      <c r="CM40">
        <v>518.40402464065698</v>
      </c>
      <c r="CN40">
        <v>2.4099318392074999E-2</v>
      </c>
      <c r="CO40">
        <v>3799</v>
      </c>
      <c r="CP40">
        <v>665</v>
      </c>
      <c r="CQ40">
        <v>110</v>
      </c>
      <c r="CR40">
        <v>155</v>
      </c>
      <c r="CS40">
        <v>114</v>
      </c>
      <c r="CT40">
        <v>48</v>
      </c>
      <c r="CU40">
        <v>22.479487085658501</v>
      </c>
      <c r="CV40">
        <v>12.290942579209</v>
      </c>
      <c r="CW40">
        <v>3.9891655739537901</v>
      </c>
      <c r="CX40">
        <v>179.27872899023001</v>
      </c>
      <c r="CY40">
        <v>98.022902181708702</v>
      </c>
      <c r="CZ40">
        <v>31.814450708098398</v>
      </c>
      <c r="DA40">
        <v>2381.4</v>
      </c>
      <c r="DE40">
        <v>141</v>
      </c>
      <c r="DF40" t="s">
        <v>18</v>
      </c>
      <c r="DG40">
        <v>16202</v>
      </c>
      <c r="DH40">
        <v>16203</v>
      </c>
      <c r="DI40">
        <v>16197</v>
      </c>
      <c r="DJ40">
        <v>16090</v>
      </c>
      <c r="DK40">
        <v>15848</v>
      </c>
      <c r="DO40">
        <v>93</v>
      </c>
      <c r="DP40" t="s">
        <v>291</v>
      </c>
      <c r="DQ40">
        <v>3825</v>
      </c>
      <c r="DR40">
        <v>1</v>
      </c>
      <c r="DS40">
        <v>246</v>
      </c>
      <c r="DV40">
        <v>1721</v>
      </c>
      <c r="DW40" t="s">
        <v>46</v>
      </c>
      <c r="DX40">
        <v>3135.4891069349701</v>
      </c>
      <c r="DY40">
        <v>589</v>
      </c>
      <c r="DZ40">
        <v>514</v>
      </c>
      <c r="EA40">
        <v>291</v>
      </c>
      <c r="EB40">
        <v>2107</v>
      </c>
      <c r="EC40">
        <v>1231</v>
      </c>
      <c r="ED40">
        <v>423</v>
      </c>
      <c r="EE40" s="82">
        <v>0.15407091053682601</v>
      </c>
      <c r="EF40" s="82">
        <v>0.40056396059305099</v>
      </c>
    </row>
    <row r="41" spans="1:136" x14ac:dyDescent="0.35">
      <c r="A41" s="72">
        <v>737</v>
      </c>
      <c r="B41" s="72">
        <v>2</v>
      </c>
      <c r="D41" s="72" t="s">
        <v>300</v>
      </c>
      <c r="E41" s="79">
        <v>2084400000</v>
      </c>
      <c r="F41" s="79">
        <v>265650000</v>
      </c>
      <c r="G41" s="79">
        <v>311150000</v>
      </c>
      <c r="H41" s="79">
        <v>31870</v>
      </c>
      <c r="I41" s="79">
        <v>7</v>
      </c>
      <c r="J41" s="79">
        <v>311.14999999999998</v>
      </c>
      <c r="K41" s="79">
        <v>7406</v>
      </c>
      <c r="L41" s="79">
        <v>7281</v>
      </c>
      <c r="M41" s="79">
        <v>2309</v>
      </c>
      <c r="N41" s="79">
        <v>4156</v>
      </c>
      <c r="O41" s="79">
        <v>2704.2</v>
      </c>
      <c r="P41" s="79">
        <v>546.66666666666697</v>
      </c>
      <c r="Q41" s="79">
        <v>1882.6666666666699</v>
      </c>
      <c r="R41" s="79">
        <v>355</v>
      </c>
      <c r="S41" s="79">
        <v>0</v>
      </c>
      <c r="T41" s="79">
        <v>829</v>
      </c>
      <c r="U41" s="79">
        <v>14300</v>
      </c>
      <c r="V41" s="79">
        <v>28850</v>
      </c>
      <c r="W41" s="79">
        <v>11520</v>
      </c>
      <c r="X41" s="79">
        <v>0</v>
      </c>
      <c r="Y41" s="79">
        <v>1120</v>
      </c>
      <c r="Z41" s="79">
        <v>0</v>
      </c>
      <c r="AA41" s="79">
        <v>0</v>
      </c>
      <c r="AB41" s="79">
        <v>525.5</v>
      </c>
      <c r="AC41" s="79">
        <v>14877</v>
      </c>
      <c r="AD41" s="79">
        <v>14877</v>
      </c>
      <c r="AE41" s="79">
        <v>1264</v>
      </c>
      <c r="AF41" s="79">
        <v>0</v>
      </c>
      <c r="AG41" s="79">
        <v>285</v>
      </c>
      <c r="AH41" s="79">
        <v>186</v>
      </c>
      <c r="AI41" s="79">
        <v>99</v>
      </c>
      <c r="AJ41" s="79">
        <v>14518</v>
      </c>
      <c r="AK41" s="79">
        <v>14518</v>
      </c>
      <c r="AL41" s="79">
        <v>0</v>
      </c>
      <c r="AM41" s="79">
        <v>0</v>
      </c>
      <c r="AN41" s="79">
        <v>0</v>
      </c>
      <c r="AO41" s="79">
        <v>0</v>
      </c>
      <c r="AP41" s="79">
        <v>846</v>
      </c>
      <c r="AQ41" s="79">
        <v>0</v>
      </c>
      <c r="AR41" s="80">
        <v>9.1896899999999995E-4</v>
      </c>
      <c r="AS41" s="80">
        <v>3.2087899999999999E-4</v>
      </c>
      <c r="AT41" s="79">
        <v>6750.87</v>
      </c>
      <c r="AU41" s="79">
        <v>0</v>
      </c>
      <c r="AV41" s="79">
        <v>5855</v>
      </c>
      <c r="AW41" s="79">
        <v>11560.5507713277</v>
      </c>
      <c r="AX41" s="79">
        <v>24</v>
      </c>
      <c r="AY41" s="79">
        <v>24</v>
      </c>
      <c r="AZ41" s="79">
        <v>2834</v>
      </c>
      <c r="BA41" s="79">
        <v>1</v>
      </c>
      <c r="BB41" s="79">
        <v>0</v>
      </c>
      <c r="BC41" s="79">
        <v>0</v>
      </c>
      <c r="BD41" s="79">
        <v>0</v>
      </c>
      <c r="BE41" s="79">
        <v>0</v>
      </c>
      <c r="BF41" s="79">
        <v>0</v>
      </c>
      <c r="BG41" s="79">
        <v>0</v>
      </c>
      <c r="BH41" s="79">
        <v>0</v>
      </c>
      <c r="BI41" s="79">
        <v>0</v>
      </c>
      <c r="BJ41" s="79">
        <v>0</v>
      </c>
      <c r="BK41" s="79">
        <v>24</v>
      </c>
      <c r="BL41" s="79">
        <v>4019</v>
      </c>
      <c r="BM41" s="79">
        <v>186</v>
      </c>
      <c r="BN41" s="79">
        <v>99</v>
      </c>
      <c r="BO41">
        <v>7993</v>
      </c>
      <c r="BP41">
        <v>795</v>
      </c>
      <c r="BQ41">
        <v>7218</v>
      </c>
      <c r="BR41">
        <v>762</v>
      </c>
      <c r="BS41">
        <v>7212</v>
      </c>
      <c r="BT41">
        <v>762</v>
      </c>
      <c r="BU41">
        <v>7180</v>
      </c>
      <c r="BV41">
        <v>918</v>
      </c>
      <c r="BW41">
        <v>7116</v>
      </c>
      <c r="BX41">
        <v>1061</v>
      </c>
      <c r="BY41">
        <v>7034</v>
      </c>
      <c r="BZ41">
        <v>1150</v>
      </c>
      <c r="CA41">
        <v>6625</v>
      </c>
      <c r="CB41">
        <v>547.85718363351805</v>
      </c>
      <c r="CC41">
        <v>60.789110096036502</v>
      </c>
      <c r="CD41">
        <v>111.584891364686</v>
      </c>
      <c r="CE41">
        <v>8106.23259267089</v>
      </c>
      <c r="CF41">
        <v>2015.9708451521799</v>
      </c>
      <c r="CG41">
        <v>290.38823744006697</v>
      </c>
      <c r="CH41">
        <v>326</v>
      </c>
      <c r="CI41">
        <v>149.37662053386299</v>
      </c>
      <c r="CJ41">
        <v>141.19269892182601</v>
      </c>
      <c r="CK41" s="81">
        <v>1336</v>
      </c>
      <c r="CL41">
        <v>482</v>
      </c>
      <c r="CM41">
        <v>4568.08963431742</v>
      </c>
      <c r="CN41">
        <v>1.3914378632883899</v>
      </c>
      <c r="CO41">
        <v>24589</v>
      </c>
      <c r="CP41">
        <v>4150</v>
      </c>
      <c r="CQ41">
        <v>822</v>
      </c>
      <c r="CR41">
        <v>740</v>
      </c>
      <c r="CS41">
        <v>710</v>
      </c>
      <c r="CT41">
        <v>438</v>
      </c>
      <c r="CU41">
        <v>463.68252551976798</v>
      </c>
      <c r="CV41">
        <v>294.34246296554102</v>
      </c>
      <c r="CW41">
        <v>112.14820424383301</v>
      </c>
      <c r="CX41">
        <v>1274.18655792301</v>
      </c>
      <c r="CY41">
        <v>808.84482182336603</v>
      </c>
      <c r="CZ41">
        <v>308.18011565675101</v>
      </c>
      <c r="DA41">
        <v>45239.7</v>
      </c>
      <c r="DE41">
        <v>147</v>
      </c>
      <c r="DF41" t="s">
        <v>56</v>
      </c>
      <c r="DG41">
        <v>4919</v>
      </c>
      <c r="DH41">
        <v>4864</v>
      </c>
      <c r="DI41">
        <v>4835</v>
      </c>
      <c r="DJ41">
        <v>4789</v>
      </c>
      <c r="DK41">
        <v>4801</v>
      </c>
      <c r="DO41">
        <v>737</v>
      </c>
      <c r="DP41" t="s">
        <v>300</v>
      </c>
      <c r="DQ41">
        <v>14518</v>
      </c>
      <c r="DR41">
        <v>1</v>
      </c>
      <c r="DS41">
        <v>465</v>
      </c>
      <c r="DV41">
        <v>753</v>
      </c>
      <c r="DW41" t="s">
        <v>47</v>
      </c>
      <c r="DX41">
        <v>3016.1282240235801</v>
      </c>
      <c r="DY41">
        <v>552</v>
      </c>
      <c r="DZ41">
        <v>589</v>
      </c>
      <c r="EA41">
        <v>299</v>
      </c>
      <c r="EB41">
        <v>1907</v>
      </c>
      <c r="EC41">
        <v>1307</v>
      </c>
      <c r="ED41">
        <v>421</v>
      </c>
      <c r="EE41" s="82">
        <v>0.14333426575422201</v>
      </c>
      <c r="EF41" s="82">
        <v>0.36956730970414697</v>
      </c>
    </row>
    <row r="42" spans="1:136" x14ac:dyDescent="0.35">
      <c r="A42" s="72">
        <v>96</v>
      </c>
      <c r="B42" s="72">
        <v>2</v>
      </c>
      <c r="D42" s="72" t="s">
        <v>319</v>
      </c>
      <c r="E42" s="79">
        <v>267200000</v>
      </c>
      <c r="F42" s="79">
        <v>49350000</v>
      </c>
      <c r="G42" s="79">
        <v>52150000</v>
      </c>
      <c r="H42" s="79">
        <v>1132</v>
      </c>
      <c r="I42" s="79">
        <v>1</v>
      </c>
      <c r="J42" s="79">
        <v>52.15</v>
      </c>
      <c r="K42" s="79">
        <v>182</v>
      </c>
      <c r="L42" s="79">
        <v>209</v>
      </c>
      <c r="M42" s="79">
        <v>70</v>
      </c>
      <c r="N42" s="79">
        <v>211</v>
      </c>
      <c r="O42" s="79">
        <v>102.5</v>
      </c>
      <c r="P42" s="79">
        <v>9</v>
      </c>
      <c r="Q42" s="79">
        <v>39</v>
      </c>
      <c r="R42" s="79">
        <v>0</v>
      </c>
      <c r="S42" s="79">
        <v>0</v>
      </c>
      <c r="T42" s="79">
        <v>24</v>
      </c>
      <c r="U42" s="79">
        <v>644</v>
      </c>
      <c r="V42" s="79">
        <v>1120</v>
      </c>
      <c r="W42" s="79">
        <v>190</v>
      </c>
      <c r="X42" s="79">
        <v>0</v>
      </c>
      <c r="Y42" s="79">
        <v>27.2</v>
      </c>
      <c r="Z42" s="79">
        <v>0</v>
      </c>
      <c r="AA42" s="79">
        <v>0</v>
      </c>
      <c r="AB42" s="79">
        <v>0</v>
      </c>
      <c r="AC42" s="79">
        <v>3917</v>
      </c>
      <c r="AD42" s="79">
        <v>3917</v>
      </c>
      <c r="AE42" s="79">
        <v>69</v>
      </c>
      <c r="AF42" s="79">
        <v>10000</v>
      </c>
      <c r="AG42" s="79">
        <v>12</v>
      </c>
      <c r="AH42" s="79">
        <v>11</v>
      </c>
      <c r="AI42" s="79">
        <v>1</v>
      </c>
      <c r="AJ42" s="79">
        <v>1085</v>
      </c>
      <c r="AK42" s="79">
        <v>1085</v>
      </c>
      <c r="AL42" s="79">
        <v>0</v>
      </c>
      <c r="AM42" s="79">
        <v>0</v>
      </c>
      <c r="AN42" s="79">
        <v>0</v>
      </c>
      <c r="AO42" s="79">
        <v>0</v>
      </c>
      <c r="AP42" s="79">
        <v>0</v>
      </c>
      <c r="AQ42" s="79">
        <v>0</v>
      </c>
      <c r="AR42" s="80">
        <v>1.06192E-4</v>
      </c>
      <c r="AS42" s="80">
        <v>1.7237000000000001E-5</v>
      </c>
      <c r="AT42" s="79">
        <v>215.91499999999999</v>
      </c>
      <c r="AU42" s="79">
        <v>0</v>
      </c>
      <c r="AV42" s="79">
        <v>375</v>
      </c>
      <c r="AW42" s="79">
        <v>106.497742097341</v>
      </c>
      <c r="AX42" s="79">
        <v>2</v>
      </c>
      <c r="AY42" s="79">
        <v>2</v>
      </c>
      <c r="AZ42" s="79">
        <v>216</v>
      </c>
      <c r="BA42" s="79">
        <v>1</v>
      </c>
      <c r="BB42" s="79">
        <v>0</v>
      </c>
      <c r="BC42" s="79">
        <v>0</v>
      </c>
      <c r="BD42" s="79">
        <v>0</v>
      </c>
      <c r="BE42" s="79">
        <v>0</v>
      </c>
      <c r="BF42" s="79">
        <v>0</v>
      </c>
      <c r="BG42" s="79">
        <v>1</v>
      </c>
      <c r="BH42" s="79">
        <v>1132</v>
      </c>
      <c r="BI42" s="79">
        <v>0</v>
      </c>
      <c r="BJ42" s="79">
        <v>0</v>
      </c>
      <c r="BK42" s="79">
        <v>0</v>
      </c>
      <c r="BL42" s="79">
        <v>335</v>
      </c>
      <c r="BM42" s="79">
        <v>11</v>
      </c>
      <c r="BN42" s="79">
        <v>1</v>
      </c>
      <c r="BO42">
        <v>263</v>
      </c>
      <c r="BP42">
        <v>53</v>
      </c>
      <c r="BQ42">
        <v>258</v>
      </c>
      <c r="BR42">
        <v>53</v>
      </c>
      <c r="BS42">
        <v>262</v>
      </c>
      <c r="BT42">
        <v>58</v>
      </c>
      <c r="BU42">
        <v>239</v>
      </c>
      <c r="BV42">
        <v>53</v>
      </c>
      <c r="BW42">
        <v>230</v>
      </c>
      <c r="BX42">
        <v>37</v>
      </c>
      <c r="BY42">
        <v>214</v>
      </c>
      <c r="BZ42">
        <v>41</v>
      </c>
      <c r="CA42">
        <v>162</v>
      </c>
      <c r="CB42">
        <v>11.298439961023099</v>
      </c>
      <c r="CC42">
        <v>0</v>
      </c>
      <c r="CD42">
        <v>0</v>
      </c>
      <c r="CE42">
        <v>369.14241814383598</v>
      </c>
      <c r="CF42">
        <v>-32.9</v>
      </c>
      <c r="CG42">
        <v>1.9533719008264501</v>
      </c>
      <c r="CH42">
        <v>6</v>
      </c>
      <c r="CI42">
        <v>1.01784838381624</v>
      </c>
      <c r="CJ42">
        <v>1.0642665747876301</v>
      </c>
      <c r="CK42" s="81">
        <v>30</v>
      </c>
      <c r="CL42">
        <v>4</v>
      </c>
      <c r="CM42">
        <v>140.10459833794999</v>
      </c>
      <c r="CN42">
        <v>5.6113423896307496E-3</v>
      </c>
      <c r="CO42">
        <v>923</v>
      </c>
      <c r="CP42">
        <v>122</v>
      </c>
      <c r="CQ42">
        <v>17</v>
      </c>
      <c r="CR42">
        <v>27</v>
      </c>
      <c r="CS42">
        <v>28</v>
      </c>
      <c r="CT42">
        <v>11</v>
      </c>
      <c r="CU42">
        <v>7.2601223581757504</v>
      </c>
      <c r="CV42">
        <v>5.0915143810583201</v>
      </c>
      <c r="CW42">
        <v>1.22573494358811</v>
      </c>
      <c r="CX42">
        <v>36.450985749324701</v>
      </c>
      <c r="CY42">
        <v>25.563028967058901</v>
      </c>
      <c r="CZ42">
        <v>6.1540625291067697</v>
      </c>
      <c r="DA42">
        <v>0</v>
      </c>
      <c r="DE42">
        <v>148</v>
      </c>
      <c r="DF42" t="s">
        <v>74</v>
      </c>
      <c r="DG42">
        <v>6616</v>
      </c>
      <c r="DH42">
        <v>6602</v>
      </c>
      <c r="DI42">
        <v>6531</v>
      </c>
      <c r="DJ42">
        <v>6437</v>
      </c>
      <c r="DK42">
        <v>6344</v>
      </c>
      <c r="DO42">
        <v>96</v>
      </c>
      <c r="DP42" t="s">
        <v>319</v>
      </c>
      <c r="DQ42">
        <v>1085</v>
      </c>
      <c r="DR42">
        <v>1</v>
      </c>
      <c r="DS42">
        <v>199</v>
      </c>
      <c r="DV42">
        <v>209</v>
      </c>
      <c r="DW42" t="s">
        <v>48</v>
      </c>
      <c r="DX42">
        <v>2918.9139685476398</v>
      </c>
      <c r="DY42">
        <v>544</v>
      </c>
      <c r="DZ42">
        <v>471</v>
      </c>
      <c r="EA42">
        <v>194</v>
      </c>
      <c r="EB42">
        <v>1822</v>
      </c>
      <c r="EC42">
        <v>1000</v>
      </c>
      <c r="ED42">
        <v>285</v>
      </c>
      <c r="EE42" s="82">
        <v>0.15801414024110699</v>
      </c>
      <c r="EF42" s="82">
        <v>0.41502120714199497</v>
      </c>
    </row>
    <row r="43" spans="1:136" x14ac:dyDescent="0.35">
      <c r="A43" s="72">
        <v>1949</v>
      </c>
      <c r="B43" s="72">
        <v>2</v>
      </c>
      <c r="D43" s="72" t="s">
        <v>325</v>
      </c>
      <c r="E43" s="79">
        <v>2490000000</v>
      </c>
      <c r="F43" s="79">
        <v>413000000</v>
      </c>
      <c r="G43" s="79">
        <v>491050000</v>
      </c>
      <c r="H43" s="79">
        <v>46101</v>
      </c>
      <c r="I43" s="79">
        <v>10</v>
      </c>
      <c r="J43" s="79">
        <v>491.05</v>
      </c>
      <c r="K43" s="79">
        <v>10528</v>
      </c>
      <c r="L43" s="79">
        <v>9729</v>
      </c>
      <c r="M43" s="79">
        <v>2888</v>
      </c>
      <c r="N43" s="79">
        <v>6753</v>
      </c>
      <c r="O43" s="79">
        <v>4638.8</v>
      </c>
      <c r="P43" s="79">
        <v>1074.3333333333301</v>
      </c>
      <c r="Q43" s="79">
        <v>3115.3333333333298</v>
      </c>
      <c r="R43" s="79">
        <v>840</v>
      </c>
      <c r="S43" s="79">
        <v>0</v>
      </c>
      <c r="T43" s="79">
        <v>1277</v>
      </c>
      <c r="U43" s="79">
        <v>21066</v>
      </c>
      <c r="V43" s="79">
        <v>39790</v>
      </c>
      <c r="W43" s="79">
        <v>18450</v>
      </c>
      <c r="X43" s="79">
        <v>261.8</v>
      </c>
      <c r="Y43" s="79">
        <v>1550.4</v>
      </c>
      <c r="Z43" s="79">
        <v>0</v>
      </c>
      <c r="AA43" s="79">
        <v>0</v>
      </c>
      <c r="AB43" s="79">
        <v>0</v>
      </c>
      <c r="AC43" s="79">
        <v>28567</v>
      </c>
      <c r="AD43" s="79">
        <v>28852.67</v>
      </c>
      <c r="AE43" s="79">
        <v>392</v>
      </c>
      <c r="AF43" s="79">
        <v>2642</v>
      </c>
      <c r="AG43" s="79">
        <v>463</v>
      </c>
      <c r="AH43" s="79">
        <v>294.92</v>
      </c>
      <c r="AI43" s="79">
        <v>172.71</v>
      </c>
      <c r="AJ43" s="79">
        <v>21142</v>
      </c>
      <c r="AK43" s="79">
        <v>21353.42</v>
      </c>
      <c r="AL43" s="79">
        <v>22</v>
      </c>
      <c r="AM43" s="79">
        <v>0</v>
      </c>
      <c r="AN43" s="79">
        <v>0</v>
      </c>
      <c r="AO43" s="79">
        <v>5850</v>
      </c>
      <c r="AP43" s="79">
        <v>2975</v>
      </c>
      <c r="AQ43" s="79">
        <v>1787</v>
      </c>
      <c r="AR43" s="80">
        <v>2.8373890000000001E-3</v>
      </c>
      <c r="AS43" s="80">
        <v>5.9854500000000002E-4</v>
      </c>
      <c r="AT43" s="79">
        <v>9936.74</v>
      </c>
      <c r="AU43" s="79">
        <v>0</v>
      </c>
      <c r="AV43" s="79">
        <v>6962.94</v>
      </c>
      <c r="AW43" s="79">
        <v>11161.762264581001</v>
      </c>
      <c r="AX43" s="79">
        <v>34</v>
      </c>
      <c r="AY43" s="79">
        <v>34.340000000000003</v>
      </c>
      <c r="AZ43" s="79">
        <v>4443</v>
      </c>
      <c r="BA43" s="79">
        <v>1</v>
      </c>
      <c r="BB43" s="79">
        <v>0</v>
      </c>
      <c r="BC43" s="79">
        <v>0</v>
      </c>
      <c r="BD43" s="79">
        <v>0</v>
      </c>
      <c r="BE43" s="79">
        <v>0</v>
      </c>
      <c r="BF43" s="79">
        <v>0</v>
      </c>
      <c r="BG43" s="79">
        <v>0</v>
      </c>
      <c r="BH43" s="79">
        <v>0</v>
      </c>
      <c r="BI43" s="79">
        <v>0</v>
      </c>
      <c r="BJ43" s="79">
        <v>0</v>
      </c>
      <c r="BK43" s="79">
        <v>23</v>
      </c>
      <c r="BL43" s="79">
        <v>6676</v>
      </c>
      <c r="BM43" s="79">
        <v>292</v>
      </c>
      <c r="BN43" s="79">
        <v>171</v>
      </c>
      <c r="BO43">
        <v>12051</v>
      </c>
      <c r="BP43">
        <v>1780</v>
      </c>
      <c r="BQ43">
        <v>10881.79</v>
      </c>
      <c r="BR43">
        <v>1792</v>
      </c>
      <c r="BS43">
        <v>10788.86</v>
      </c>
      <c r="BT43">
        <v>1809</v>
      </c>
      <c r="BU43">
        <v>10698.86</v>
      </c>
      <c r="BV43">
        <v>1831</v>
      </c>
      <c r="BW43">
        <v>10507.58</v>
      </c>
      <c r="BX43">
        <v>1915</v>
      </c>
      <c r="BY43">
        <v>10370.57</v>
      </c>
      <c r="BZ43">
        <v>1909</v>
      </c>
      <c r="CA43">
        <v>9384</v>
      </c>
      <c r="CB43">
        <v>903.18353167267105</v>
      </c>
      <c r="CC43">
        <v>78.2262978966464</v>
      </c>
      <c r="CD43">
        <v>85.820263388281603</v>
      </c>
      <c r="CE43">
        <v>11421.958671148101</v>
      </c>
      <c r="CF43">
        <v>2807.8259723286901</v>
      </c>
      <c r="CG43">
        <v>454.50839982641401</v>
      </c>
      <c r="CH43">
        <v>489</v>
      </c>
      <c r="CI43">
        <v>291.95234432255597</v>
      </c>
      <c r="CJ43">
        <v>268.90468789634201</v>
      </c>
      <c r="CK43" s="81">
        <v>2041</v>
      </c>
      <c r="CL43">
        <v>617</v>
      </c>
      <c r="CM43">
        <v>7322.3551108888596</v>
      </c>
      <c r="CN43">
        <v>2.7500141634134501</v>
      </c>
      <c r="CO43">
        <v>36372</v>
      </c>
      <c r="CP43">
        <v>5877</v>
      </c>
      <c r="CQ43">
        <v>964</v>
      </c>
      <c r="CR43">
        <v>1165</v>
      </c>
      <c r="CS43">
        <v>971</v>
      </c>
      <c r="CT43">
        <v>475</v>
      </c>
      <c r="CU43">
        <v>801.670227883336</v>
      </c>
      <c r="CV43">
        <v>446.90811554415899</v>
      </c>
      <c r="CW43">
        <v>139.096585790376</v>
      </c>
      <c r="CX43">
        <v>2049.0422631413699</v>
      </c>
      <c r="CY43">
        <v>1142.28218117651</v>
      </c>
      <c r="CZ43">
        <v>355.52621642901698</v>
      </c>
      <c r="DA43">
        <v>29526.45</v>
      </c>
      <c r="DE43">
        <v>150</v>
      </c>
      <c r="DF43" t="s">
        <v>84</v>
      </c>
      <c r="DG43">
        <v>21529</v>
      </c>
      <c r="DH43">
        <v>21501</v>
      </c>
      <c r="DI43">
        <v>21437</v>
      </c>
      <c r="DJ43">
        <v>21346</v>
      </c>
      <c r="DK43">
        <v>21222</v>
      </c>
      <c r="DO43">
        <v>1949</v>
      </c>
      <c r="DP43" t="s">
        <v>325</v>
      </c>
      <c r="DQ43">
        <v>21142</v>
      </c>
      <c r="DR43">
        <v>1.01</v>
      </c>
      <c r="DS43">
        <v>470</v>
      </c>
      <c r="DV43">
        <v>375</v>
      </c>
      <c r="DW43" t="s">
        <v>49</v>
      </c>
      <c r="DX43">
        <v>6290.0124819971197</v>
      </c>
      <c r="DY43">
        <v>1093</v>
      </c>
      <c r="DZ43">
        <v>902</v>
      </c>
      <c r="EA43">
        <v>482</v>
      </c>
      <c r="EB43">
        <v>2702</v>
      </c>
      <c r="EC43">
        <v>1659</v>
      </c>
      <c r="ED43">
        <v>656</v>
      </c>
      <c r="EE43" s="82">
        <v>0.22671995023878699</v>
      </c>
      <c r="EF43" s="82">
        <v>0.50311442937072404</v>
      </c>
    </row>
    <row r="44" spans="1:136" x14ac:dyDescent="0.35">
      <c r="A44" s="72">
        <v>98</v>
      </c>
      <c r="B44" s="72">
        <v>2</v>
      </c>
      <c r="D44" s="72" t="s">
        <v>341</v>
      </c>
      <c r="E44" s="79">
        <v>1709600000</v>
      </c>
      <c r="F44" s="79">
        <v>308000000</v>
      </c>
      <c r="G44" s="79">
        <v>352800000</v>
      </c>
      <c r="H44" s="79">
        <v>25720</v>
      </c>
      <c r="I44" s="79">
        <v>2</v>
      </c>
      <c r="J44" s="79">
        <v>352.8</v>
      </c>
      <c r="K44" s="79">
        <v>5533</v>
      </c>
      <c r="L44" s="79">
        <v>5935</v>
      </c>
      <c r="M44" s="79">
        <v>1954</v>
      </c>
      <c r="N44" s="79">
        <v>3966</v>
      </c>
      <c r="O44" s="79">
        <v>2776.9</v>
      </c>
      <c r="P44" s="79">
        <v>526.66666666666697</v>
      </c>
      <c r="Q44" s="79">
        <v>1849.6666666666699</v>
      </c>
      <c r="R44" s="79">
        <v>555</v>
      </c>
      <c r="S44" s="79">
        <v>0</v>
      </c>
      <c r="T44" s="79">
        <v>692</v>
      </c>
      <c r="U44" s="79">
        <v>11726</v>
      </c>
      <c r="V44" s="79">
        <v>25540</v>
      </c>
      <c r="W44" s="79">
        <v>17260</v>
      </c>
      <c r="X44" s="79">
        <v>154.44</v>
      </c>
      <c r="Y44" s="79">
        <v>1053.5999999999999</v>
      </c>
      <c r="Z44" s="79">
        <v>0</v>
      </c>
      <c r="AA44" s="79">
        <v>0</v>
      </c>
      <c r="AB44" s="79">
        <v>0</v>
      </c>
      <c r="AC44" s="79">
        <v>22019</v>
      </c>
      <c r="AD44" s="79">
        <v>22019</v>
      </c>
      <c r="AE44" s="79">
        <v>825</v>
      </c>
      <c r="AF44" s="79">
        <v>0</v>
      </c>
      <c r="AG44" s="79">
        <v>306</v>
      </c>
      <c r="AH44" s="79">
        <v>153</v>
      </c>
      <c r="AI44" s="79">
        <v>153</v>
      </c>
      <c r="AJ44" s="79">
        <v>11891</v>
      </c>
      <c r="AK44" s="79">
        <v>11891</v>
      </c>
      <c r="AL44" s="79">
        <v>0</v>
      </c>
      <c r="AM44" s="79">
        <v>0</v>
      </c>
      <c r="AN44" s="79">
        <v>0</v>
      </c>
      <c r="AO44" s="79">
        <v>0</v>
      </c>
      <c r="AP44" s="79">
        <v>1042</v>
      </c>
      <c r="AQ44" s="79">
        <v>0</v>
      </c>
      <c r="AR44" s="80">
        <v>1.20327E-3</v>
      </c>
      <c r="AS44" s="80">
        <v>4.1712299999999998E-4</v>
      </c>
      <c r="AT44" s="79">
        <v>8062.098</v>
      </c>
      <c r="AU44" s="79">
        <v>0</v>
      </c>
      <c r="AV44" s="79">
        <v>7462</v>
      </c>
      <c r="AW44" s="79">
        <v>8401.4463316406891</v>
      </c>
      <c r="AX44" s="79">
        <v>19</v>
      </c>
      <c r="AY44" s="79">
        <v>19</v>
      </c>
      <c r="AZ44" s="79">
        <v>2822</v>
      </c>
      <c r="BA44" s="79">
        <v>1</v>
      </c>
      <c r="BB44" s="79">
        <v>0</v>
      </c>
      <c r="BC44" s="79">
        <v>0</v>
      </c>
      <c r="BD44" s="79">
        <v>0</v>
      </c>
      <c r="BE44" s="79">
        <v>0</v>
      </c>
      <c r="BF44" s="79">
        <v>0</v>
      </c>
      <c r="BG44" s="79">
        <v>0</v>
      </c>
      <c r="BH44" s="79">
        <v>0</v>
      </c>
      <c r="BI44" s="79">
        <v>0</v>
      </c>
      <c r="BJ44" s="79">
        <v>0</v>
      </c>
      <c r="BK44" s="79">
        <v>16</v>
      </c>
      <c r="BL44" s="79">
        <v>3580</v>
      </c>
      <c r="BM44" s="79">
        <v>153</v>
      </c>
      <c r="BN44" s="79">
        <v>153</v>
      </c>
      <c r="BO44">
        <v>5952</v>
      </c>
      <c r="BP44">
        <v>1215</v>
      </c>
      <c r="BQ44">
        <v>5409</v>
      </c>
      <c r="BR44">
        <v>1198</v>
      </c>
      <c r="BS44">
        <v>5360</v>
      </c>
      <c r="BT44">
        <v>1225</v>
      </c>
      <c r="BU44">
        <v>5336</v>
      </c>
      <c r="BV44">
        <v>1294</v>
      </c>
      <c r="BW44">
        <v>5257</v>
      </c>
      <c r="BX44">
        <v>1372</v>
      </c>
      <c r="BY44">
        <v>5136</v>
      </c>
      <c r="BZ44">
        <v>1386</v>
      </c>
      <c r="CA44">
        <v>4906</v>
      </c>
      <c r="CB44">
        <v>565.31261641088304</v>
      </c>
      <c r="CC44">
        <v>80.648128433021</v>
      </c>
      <c r="CD44">
        <v>50.074551074656398</v>
      </c>
      <c r="CE44">
        <v>6481.82613576721</v>
      </c>
      <c r="CF44">
        <v>1530.44223993132</v>
      </c>
      <c r="CG44">
        <v>211.260549707602</v>
      </c>
      <c r="CH44">
        <v>276</v>
      </c>
      <c r="CI44">
        <v>142.693190512744</v>
      </c>
      <c r="CJ44">
        <v>145.09500969604699</v>
      </c>
      <c r="CK44" s="81">
        <v>1323</v>
      </c>
      <c r="CL44">
        <v>425</v>
      </c>
      <c r="CM44">
        <v>4254.6846394984304</v>
      </c>
      <c r="CN44">
        <v>1.24155945144877</v>
      </c>
      <c r="CO44">
        <v>19785</v>
      </c>
      <c r="CP44">
        <v>3264</v>
      </c>
      <c r="CQ44">
        <v>717</v>
      </c>
      <c r="CR44">
        <v>667</v>
      </c>
      <c r="CS44">
        <v>606</v>
      </c>
      <c r="CT44">
        <v>323</v>
      </c>
      <c r="CU44">
        <v>476.40781379157102</v>
      </c>
      <c r="CV44">
        <v>306.162080333701</v>
      </c>
      <c r="CW44">
        <v>106.491158376939</v>
      </c>
      <c r="CX44">
        <v>1129.1007741557501</v>
      </c>
      <c r="CY44">
        <v>725.61329162656398</v>
      </c>
      <c r="CZ44">
        <v>252.38723187010899</v>
      </c>
      <c r="DA44">
        <v>22755.599999999999</v>
      </c>
      <c r="DE44">
        <v>153</v>
      </c>
      <c r="DF44" t="s">
        <v>106</v>
      </c>
      <c r="DG44">
        <v>31080</v>
      </c>
      <c r="DH44">
        <v>31036</v>
      </c>
      <c r="DI44">
        <v>30994</v>
      </c>
      <c r="DJ44">
        <v>30734</v>
      </c>
      <c r="DK44">
        <v>30602</v>
      </c>
      <c r="DO44">
        <v>98</v>
      </c>
      <c r="DP44" t="s">
        <v>341</v>
      </c>
      <c r="DQ44">
        <v>11891</v>
      </c>
      <c r="DR44">
        <v>1</v>
      </c>
      <c r="DS44">
        <v>678</v>
      </c>
      <c r="DV44">
        <v>585</v>
      </c>
      <c r="DW44" t="s">
        <v>812</v>
      </c>
      <c r="DX44">
        <v>3006.2166384795</v>
      </c>
      <c r="DY44">
        <v>700</v>
      </c>
      <c r="DZ44">
        <v>649</v>
      </c>
      <c r="EA44">
        <v>349</v>
      </c>
      <c r="EB44">
        <v>2407</v>
      </c>
      <c r="EC44">
        <v>1408</v>
      </c>
      <c r="ED44">
        <v>513</v>
      </c>
      <c r="EE44" s="82">
        <v>0.13407433142408301</v>
      </c>
      <c r="EF44" s="82">
        <v>0.34052834202927901</v>
      </c>
    </row>
    <row r="45" spans="1:136" x14ac:dyDescent="0.35">
      <c r="A45" s="72">
        <v>1680</v>
      </c>
      <c r="B45" s="72">
        <v>3</v>
      </c>
      <c r="D45" s="72" t="s">
        <v>0</v>
      </c>
      <c r="E45" s="79">
        <v>2034400000</v>
      </c>
      <c r="F45" s="79">
        <v>217000000</v>
      </c>
      <c r="G45" s="79">
        <v>268100000</v>
      </c>
      <c r="H45" s="79">
        <v>25390</v>
      </c>
      <c r="I45" s="79">
        <v>6</v>
      </c>
      <c r="J45" s="79">
        <v>268.10000000000002</v>
      </c>
      <c r="K45" s="79">
        <v>5137</v>
      </c>
      <c r="L45" s="79">
        <v>6494</v>
      </c>
      <c r="M45" s="79">
        <v>1971</v>
      </c>
      <c r="N45" s="79">
        <v>3166</v>
      </c>
      <c r="O45" s="79">
        <v>1858.5</v>
      </c>
      <c r="P45" s="79">
        <v>367</v>
      </c>
      <c r="Q45" s="79">
        <v>1675</v>
      </c>
      <c r="R45" s="79">
        <v>275</v>
      </c>
      <c r="S45" s="79">
        <v>0</v>
      </c>
      <c r="T45" s="79">
        <v>594</v>
      </c>
      <c r="U45" s="79">
        <v>11634</v>
      </c>
      <c r="V45" s="79">
        <v>19420</v>
      </c>
      <c r="W45" s="79">
        <v>3300</v>
      </c>
      <c r="X45" s="79">
        <v>0</v>
      </c>
      <c r="Y45" s="79">
        <v>300</v>
      </c>
      <c r="Z45" s="79">
        <v>0</v>
      </c>
      <c r="AA45" s="79">
        <v>0</v>
      </c>
      <c r="AB45" s="79">
        <v>227.6</v>
      </c>
      <c r="AC45" s="79">
        <v>27599</v>
      </c>
      <c r="AD45" s="79">
        <v>27599</v>
      </c>
      <c r="AE45" s="79">
        <v>289</v>
      </c>
      <c r="AF45" s="79">
        <v>0</v>
      </c>
      <c r="AG45" s="79">
        <v>265</v>
      </c>
      <c r="AH45" s="79">
        <v>171</v>
      </c>
      <c r="AI45" s="79">
        <v>94</v>
      </c>
      <c r="AJ45" s="79">
        <v>13075</v>
      </c>
      <c r="AK45" s="79">
        <v>13075</v>
      </c>
      <c r="AL45" s="79">
        <v>0</v>
      </c>
      <c r="AM45" s="79">
        <v>0</v>
      </c>
      <c r="AN45" s="79">
        <v>0</v>
      </c>
      <c r="AO45" s="79">
        <v>0</v>
      </c>
      <c r="AP45" s="79">
        <v>0</v>
      </c>
      <c r="AQ45" s="79">
        <v>0</v>
      </c>
      <c r="AR45" s="80">
        <v>7.2006299999999995E-4</v>
      </c>
      <c r="AS45" s="80">
        <v>1.80125E-4</v>
      </c>
      <c r="AT45" s="79">
        <v>3647.9250000000002</v>
      </c>
      <c r="AU45" s="79">
        <v>0</v>
      </c>
      <c r="AV45" s="79">
        <v>3346</v>
      </c>
      <c r="AW45" s="79">
        <v>3046.2901606425698</v>
      </c>
      <c r="AX45" s="79">
        <v>33</v>
      </c>
      <c r="AY45" s="79">
        <v>33</v>
      </c>
      <c r="AZ45" s="79">
        <v>2706</v>
      </c>
      <c r="BA45" s="79">
        <v>1</v>
      </c>
      <c r="BB45" s="79">
        <v>0</v>
      </c>
      <c r="BC45" s="79">
        <v>0</v>
      </c>
      <c r="BD45" s="79">
        <v>0</v>
      </c>
      <c r="BE45" s="79">
        <v>0</v>
      </c>
      <c r="BF45" s="79">
        <v>0</v>
      </c>
      <c r="BG45" s="79">
        <v>0</v>
      </c>
      <c r="BH45" s="79">
        <v>0</v>
      </c>
      <c r="BI45" s="79">
        <v>0</v>
      </c>
      <c r="BJ45" s="79">
        <v>0</v>
      </c>
      <c r="BK45" s="79">
        <v>6</v>
      </c>
      <c r="BL45" s="79">
        <v>3150</v>
      </c>
      <c r="BM45" s="79">
        <v>171</v>
      </c>
      <c r="BN45" s="79">
        <v>94</v>
      </c>
      <c r="BO45">
        <v>5953</v>
      </c>
      <c r="BP45">
        <v>134</v>
      </c>
      <c r="BQ45">
        <v>5449</v>
      </c>
      <c r="BR45">
        <v>84</v>
      </c>
      <c r="BS45">
        <v>5357</v>
      </c>
      <c r="BT45">
        <v>94</v>
      </c>
      <c r="BU45">
        <v>5252</v>
      </c>
      <c r="BV45">
        <v>133</v>
      </c>
      <c r="BW45">
        <v>5152</v>
      </c>
      <c r="BX45">
        <v>182</v>
      </c>
      <c r="BY45">
        <v>5058</v>
      </c>
      <c r="BZ45">
        <v>206</v>
      </c>
      <c r="CA45">
        <v>4523</v>
      </c>
      <c r="CB45">
        <v>323.20402524409599</v>
      </c>
      <c r="CC45">
        <v>40.4782530112346</v>
      </c>
      <c r="CD45">
        <v>42.381156824019001</v>
      </c>
      <c r="CE45">
        <v>7670.0682526945202</v>
      </c>
      <c r="CF45">
        <v>1704.2749683920499</v>
      </c>
      <c r="CG45">
        <v>95.578662946428594</v>
      </c>
      <c r="CH45">
        <v>200</v>
      </c>
      <c r="CI45">
        <v>85.157091608171299</v>
      </c>
      <c r="CJ45">
        <v>85.141325983010603</v>
      </c>
      <c r="CK45" s="81">
        <v>1308</v>
      </c>
      <c r="CL45">
        <v>473</v>
      </c>
      <c r="CM45">
        <v>3930.5969021114802</v>
      </c>
      <c r="CN45">
        <v>0.76241211620479399</v>
      </c>
      <c r="CO45">
        <v>18896</v>
      </c>
      <c r="CP45">
        <v>3869</v>
      </c>
      <c r="CQ45">
        <v>654</v>
      </c>
      <c r="CR45">
        <v>687</v>
      </c>
      <c r="CS45">
        <v>568</v>
      </c>
      <c r="CT45">
        <v>319</v>
      </c>
      <c r="CU45">
        <v>332.122711100495</v>
      </c>
      <c r="CV45">
        <v>191.65300280970399</v>
      </c>
      <c r="CW45">
        <v>63.552590694315697</v>
      </c>
      <c r="CX45">
        <v>978.09369843287402</v>
      </c>
      <c r="CY45">
        <v>564.41365817102496</v>
      </c>
      <c r="CZ45">
        <v>187.16090890389299</v>
      </c>
      <c r="DA45">
        <v>101570</v>
      </c>
      <c r="DE45">
        <v>158</v>
      </c>
      <c r="DF45" t="s">
        <v>124</v>
      </c>
      <c r="DG45">
        <v>5449</v>
      </c>
      <c r="DH45">
        <v>5415</v>
      </c>
      <c r="DI45">
        <v>5384</v>
      </c>
      <c r="DJ45">
        <v>5325</v>
      </c>
      <c r="DK45">
        <v>5192</v>
      </c>
      <c r="DO45">
        <v>1680</v>
      </c>
      <c r="DP45" t="s">
        <v>0</v>
      </c>
      <c r="DQ45">
        <v>13075</v>
      </c>
      <c r="DR45">
        <v>1</v>
      </c>
      <c r="DS45">
        <v>279</v>
      </c>
      <c r="DV45">
        <v>1728</v>
      </c>
      <c r="DW45" t="s">
        <v>50</v>
      </c>
      <c r="DX45">
        <v>2256.0369056068098</v>
      </c>
      <c r="DY45">
        <v>431</v>
      </c>
      <c r="DZ45">
        <v>424</v>
      </c>
      <c r="EA45">
        <v>206</v>
      </c>
      <c r="EB45">
        <v>1468</v>
      </c>
      <c r="EC45">
        <v>924</v>
      </c>
      <c r="ED45">
        <v>292</v>
      </c>
      <c r="EE45" s="82">
        <v>0.14538143415344901</v>
      </c>
      <c r="EF45" s="82">
        <v>0.42615606722440202</v>
      </c>
    </row>
    <row r="46" spans="1:136" x14ac:dyDescent="0.35">
      <c r="A46" s="72">
        <v>106</v>
      </c>
      <c r="B46" s="72">
        <v>3</v>
      </c>
      <c r="D46" s="72" t="s">
        <v>30</v>
      </c>
      <c r="E46" s="79">
        <v>4258800000</v>
      </c>
      <c r="F46" s="79">
        <v>831950000</v>
      </c>
      <c r="G46" s="79">
        <v>859600000</v>
      </c>
      <c r="H46" s="79">
        <v>67708</v>
      </c>
      <c r="I46" s="79">
        <v>1</v>
      </c>
      <c r="J46" s="79">
        <v>859.6</v>
      </c>
      <c r="K46" s="79">
        <v>15820</v>
      </c>
      <c r="L46" s="79">
        <v>13098</v>
      </c>
      <c r="M46" s="79">
        <v>4023</v>
      </c>
      <c r="N46" s="79">
        <v>10413</v>
      </c>
      <c r="O46" s="79">
        <v>7183</v>
      </c>
      <c r="P46" s="79">
        <v>2071.3333333333298</v>
      </c>
      <c r="Q46" s="79">
        <v>6582.3333333333303</v>
      </c>
      <c r="R46" s="79">
        <v>2185</v>
      </c>
      <c r="S46" s="79">
        <v>0</v>
      </c>
      <c r="T46" s="79">
        <v>2470</v>
      </c>
      <c r="U46" s="79">
        <v>32513</v>
      </c>
      <c r="V46" s="79">
        <v>76600</v>
      </c>
      <c r="W46" s="79">
        <v>108980</v>
      </c>
      <c r="X46" s="79">
        <v>1992.54</v>
      </c>
      <c r="Y46" s="79">
        <v>4082.4</v>
      </c>
      <c r="Z46" s="79">
        <v>0</v>
      </c>
      <c r="AA46" s="79">
        <v>0</v>
      </c>
      <c r="AB46" s="79">
        <v>134.29999999999899</v>
      </c>
      <c r="AC46" s="79">
        <v>8186</v>
      </c>
      <c r="AD46" s="79">
        <v>8186</v>
      </c>
      <c r="AE46" s="79">
        <v>159</v>
      </c>
      <c r="AF46" s="79">
        <v>0</v>
      </c>
      <c r="AG46" s="79">
        <v>397</v>
      </c>
      <c r="AH46" s="79">
        <v>354</v>
      </c>
      <c r="AI46" s="79">
        <v>43</v>
      </c>
      <c r="AJ46" s="79">
        <v>32300</v>
      </c>
      <c r="AK46" s="79">
        <v>32300</v>
      </c>
      <c r="AL46" s="79">
        <v>11</v>
      </c>
      <c r="AM46" s="79">
        <v>0</v>
      </c>
      <c r="AN46" s="79">
        <v>0</v>
      </c>
      <c r="AO46" s="79">
        <v>0</v>
      </c>
      <c r="AP46" s="79">
        <v>3666</v>
      </c>
      <c r="AQ46" s="79">
        <v>3666</v>
      </c>
      <c r="AR46" s="80">
        <v>1.1645659999999999E-3</v>
      </c>
      <c r="AS46" s="80">
        <v>3.1044890000000002E-3</v>
      </c>
      <c r="AT46" s="79">
        <v>49774.3</v>
      </c>
      <c r="AU46" s="79">
        <v>0</v>
      </c>
      <c r="AV46" s="79">
        <v>1879</v>
      </c>
      <c r="AW46" s="79">
        <v>15245.4562013182</v>
      </c>
      <c r="AX46" s="79">
        <v>3</v>
      </c>
      <c r="AY46" s="79">
        <v>3</v>
      </c>
      <c r="AZ46" s="79">
        <v>5484</v>
      </c>
      <c r="BA46" s="79">
        <v>1</v>
      </c>
      <c r="BB46" s="79">
        <v>0</v>
      </c>
      <c r="BC46" s="79">
        <v>0</v>
      </c>
      <c r="BD46" s="79">
        <v>0</v>
      </c>
      <c r="BE46" s="79">
        <v>0</v>
      </c>
      <c r="BF46" s="79">
        <v>0</v>
      </c>
      <c r="BG46" s="79">
        <v>0</v>
      </c>
      <c r="BH46" s="79">
        <v>0</v>
      </c>
      <c r="BI46" s="79">
        <v>0</v>
      </c>
      <c r="BJ46" s="79">
        <v>0</v>
      </c>
      <c r="BK46" s="79">
        <v>32</v>
      </c>
      <c r="BL46" s="79">
        <v>11590</v>
      </c>
      <c r="BM46" s="79">
        <v>354</v>
      </c>
      <c r="BN46" s="79">
        <v>43</v>
      </c>
      <c r="BO46">
        <v>16690</v>
      </c>
      <c r="BP46">
        <v>4517</v>
      </c>
      <c r="BQ46">
        <v>15373</v>
      </c>
      <c r="BR46">
        <v>4545</v>
      </c>
      <c r="BS46">
        <v>15418</v>
      </c>
      <c r="BT46">
        <v>4636</v>
      </c>
      <c r="BU46">
        <v>15358</v>
      </c>
      <c r="BV46">
        <v>4814</v>
      </c>
      <c r="BW46">
        <v>15166</v>
      </c>
      <c r="BX46">
        <v>4857</v>
      </c>
      <c r="BY46">
        <v>15038</v>
      </c>
      <c r="BZ46">
        <v>4742</v>
      </c>
      <c r="CA46">
        <v>14195</v>
      </c>
      <c r="CB46">
        <v>1844.50326024899</v>
      </c>
      <c r="CC46">
        <v>171.94317995769501</v>
      </c>
      <c r="CD46">
        <v>179.54509351707199</v>
      </c>
      <c r="CE46">
        <v>18089.997367764099</v>
      </c>
      <c r="CF46">
        <v>4376.7861024184604</v>
      </c>
      <c r="CG46">
        <v>710.39881151934503</v>
      </c>
      <c r="CH46">
        <v>922</v>
      </c>
      <c r="CI46">
        <v>595.00594126182295</v>
      </c>
      <c r="CJ46">
        <v>541.00217551704702</v>
      </c>
      <c r="CK46" s="81">
        <v>4511</v>
      </c>
      <c r="CL46">
        <v>1629</v>
      </c>
      <c r="CM46">
        <v>9849.8021419304805</v>
      </c>
      <c r="CN46">
        <v>5.7723828822611498</v>
      </c>
      <c r="CO46">
        <v>54610</v>
      </c>
      <c r="CP46">
        <v>7486</v>
      </c>
      <c r="CQ46">
        <v>1589</v>
      </c>
      <c r="CR46">
        <v>1858</v>
      </c>
      <c r="CS46">
        <v>1473</v>
      </c>
      <c r="CT46">
        <v>768</v>
      </c>
      <c r="CU46">
        <v>1053.72410115348</v>
      </c>
      <c r="CV46">
        <v>626.71897784940904</v>
      </c>
      <c r="CW46">
        <v>240.63517886197999</v>
      </c>
      <c r="CX46">
        <v>2467.96977254176</v>
      </c>
      <c r="CY46">
        <v>1467.8638284133999</v>
      </c>
      <c r="CZ46">
        <v>563.601370597337</v>
      </c>
      <c r="DA46">
        <v>257748.3</v>
      </c>
      <c r="DE46">
        <v>160</v>
      </c>
      <c r="DF46" t="s">
        <v>129</v>
      </c>
      <c r="DG46">
        <v>14459</v>
      </c>
      <c r="DH46">
        <v>14411</v>
      </c>
      <c r="DI46">
        <v>14302</v>
      </c>
      <c r="DJ46">
        <v>14139</v>
      </c>
      <c r="DK46">
        <v>14029</v>
      </c>
      <c r="DO46">
        <v>106</v>
      </c>
      <c r="DP46" t="s">
        <v>30</v>
      </c>
      <c r="DQ46">
        <v>32300</v>
      </c>
      <c r="DR46">
        <v>1</v>
      </c>
      <c r="DS46">
        <v>1541</v>
      </c>
      <c r="DV46">
        <v>376</v>
      </c>
      <c r="DW46" t="s">
        <v>51</v>
      </c>
      <c r="DX46">
        <v>1017.7538121547</v>
      </c>
      <c r="DY46">
        <v>411</v>
      </c>
      <c r="DZ46">
        <v>260</v>
      </c>
      <c r="EA46">
        <v>114</v>
      </c>
      <c r="EB46">
        <v>1157</v>
      </c>
      <c r="EC46">
        <v>558</v>
      </c>
      <c r="ED46">
        <v>163</v>
      </c>
      <c r="EE46" s="82">
        <v>0.108727196914417</v>
      </c>
      <c r="EF46" s="82">
        <v>0.100770711482935</v>
      </c>
    </row>
    <row r="47" spans="1:136" x14ac:dyDescent="0.35">
      <c r="A47" s="72">
        <v>1681</v>
      </c>
      <c r="B47" s="72">
        <v>3</v>
      </c>
      <c r="D47" s="72" t="s">
        <v>55</v>
      </c>
      <c r="E47" s="79">
        <v>1626000000</v>
      </c>
      <c r="F47" s="79">
        <v>250250000</v>
      </c>
      <c r="G47" s="79">
        <v>289100000</v>
      </c>
      <c r="H47" s="79">
        <v>25351</v>
      </c>
      <c r="I47" s="79">
        <v>5</v>
      </c>
      <c r="J47" s="79">
        <v>289.10000000000002</v>
      </c>
      <c r="K47" s="79">
        <v>5133</v>
      </c>
      <c r="L47" s="79">
        <v>6046</v>
      </c>
      <c r="M47" s="79">
        <v>1796</v>
      </c>
      <c r="N47" s="79">
        <v>3421</v>
      </c>
      <c r="O47" s="79">
        <v>2228.5</v>
      </c>
      <c r="P47" s="79">
        <v>507.33333333333297</v>
      </c>
      <c r="Q47" s="79">
        <v>2050.3333333333298</v>
      </c>
      <c r="R47" s="79">
        <v>285</v>
      </c>
      <c r="S47" s="79">
        <v>0</v>
      </c>
      <c r="T47" s="79">
        <v>621</v>
      </c>
      <c r="U47" s="79">
        <v>11276</v>
      </c>
      <c r="V47" s="79">
        <v>20550</v>
      </c>
      <c r="W47" s="79">
        <v>3790</v>
      </c>
      <c r="X47" s="79">
        <v>0</v>
      </c>
      <c r="Y47" s="79">
        <v>175.2</v>
      </c>
      <c r="Z47" s="79">
        <v>0</v>
      </c>
      <c r="AA47" s="79">
        <v>0</v>
      </c>
      <c r="AB47" s="79">
        <v>0</v>
      </c>
      <c r="AC47" s="79">
        <v>27512</v>
      </c>
      <c r="AD47" s="79">
        <v>27512</v>
      </c>
      <c r="AE47" s="79">
        <v>277</v>
      </c>
      <c r="AF47" s="79">
        <v>0</v>
      </c>
      <c r="AG47" s="79">
        <v>282</v>
      </c>
      <c r="AH47" s="79">
        <v>170</v>
      </c>
      <c r="AI47" s="79">
        <v>112</v>
      </c>
      <c r="AJ47" s="79">
        <v>11925</v>
      </c>
      <c r="AK47" s="79">
        <v>11925</v>
      </c>
      <c r="AL47" s="79">
        <v>0</v>
      </c>
      <c r="AM47" s="79">
        <v>0</v>
      </c>
      <c r="AN47" s="79">
        <v>0</v>
      </c>
      <c r="AO47" s="79">
        <v>0</v>
      </c>
      <c r="AP47" s="79">
        <v>2246</v>
      </c>
      <c r="AQ47" s="79">
        <v>0</v>
      </c>
      <c r="AR47" s="80">
        <v>8.34062E-4</v>
      </c>
      <c r="AS47" s="80">
        <v>2.5033100000000001E-4</v>
      </c>
      <c r="AT47" s="79">
        <v>3076.65</v>
      </c>
      <c r="AU47" s="79">
        <v>0</v>
      </c>
      <c r="AV47" s="79">
        <v>5590</v>
      </c>
      <c r="AW47" s="79">
        <v>5099.5750116952804</v>
      </c>
      <c r="AX47" s="79">
        <v>36</v>
      </c>
      <c r="AY47" s="79">
        <v>36</v>
      </c>
      <c r="AZ47" s="79">
        <v>2637</v>
      </c>
      <c r="BA47" s="79">
        <v>1</v>
      </c>
      <c r="BB47" s="79">
        <v>0</v>
      </c>
      <c r="BC47" s="79">
        <v>0</v>
      </c>
      <c r="BD47" s="79">
        <v>0</v>
      </c>
      <c r="BE47" s="79">
        <v>0</v>
      </c>
      <c r="BF47" s="79">
        <v>0</v>
      </c>
      <c r="BG47" s="79">
        <v>0</v>
      </c>
      <c r="BH47" s="79">
        <v>0</v>
      </c>
      <c r="BI47" s="79">
        <v>0</v>
      </c>
      <c r="BJ47" s="79">
        <v>0</v>
      </c>
      <c r="BK47" s="79">
        <v>5</v>
      </c>
      <c r="BL47" s="79">
        <v>3046</v>
      </c>
      <c r="BM47" s="79">
        <v>170</v>
      </c>
      <c r="BN47" s="79">
        <v>112</v>
      </c>
      <c r="BO47">
        <v>6136</v>
      </c>
      <c r="BP47">
        <v>232</v>
      </c>
      <c r="BQ47">
        <v>5506</v>
      </c>
      <c r="BR47">
        <v>217</v>
      </c>
      <c r="BS47">
        <v>5443</v>
      </c>
      <c r="BT47">
        <v>193</v>
      </c>
      <c r="BU47">
        <v>5311</v>
      </c>
      <c r="BV47">
        <v>217</v>
      </c>
      <c r="BW47">
        <v>5259</v>
      </c>
      <c r="BX47">
        <v>244</v>
      </c>
      <c r="BY47">
        <v>5092</v>
      </c>
      <c r="BZ47">
        <v>245</v>
      </c>
      <c r="CA47">
        <v>4481</v>
      </c>
      <c r="CB47">
        <v>431.32967146601197</v>
      </c>
      <c r="CC47">
        <v>106.91506587809</v>
      </c>
      <c r="CD47">
        <v>27.168815307514599</v>
      </c>
      <c r="CE47">
        <v>6846.3009656466202</v>
      </c>
      <c r="CF47">
        <v>1503.9297828220899</v>
      </c>
      <c r="CG47">
        <v>125.078347826087</v>
      </c>
      <c r="CH47">
        <v>209</v>
      </c>
      <c r="CI47">
        <v>133.22562205241201</v>
      </c>
      <c r="CJ47">
        <v>112.45750140256</v>
      </c>
      <c r="CK47" s="81">
        <v>1543</v>
      </c>
      <c r="CL47">
        <v>400</v>
      </c>
      <c r="CM47">
        <v>4381.0237073824501</v>
      </c>
      <c r="CN47">
        <v>1.3795505101953001</v>
      </c>
      <c r="CO47">
        <v>19305</v>
      </c>
      <c r="CP47">
        <v>3664</v>
      </c>
      <c r="CQ47">
        <v>586</v>
      </c>
      <c r="CR47">
        <v>559</v>
      </c>
      <c r="CS47">
        <v>556</v>
      </c>
      <c r="CT47">
        <v>303</v>
      </c>
      <c r="CU47">
        <v>413.60754719639402</v>
      </c>
      <c r="CV47">
        <v>231.38099567516301</v>
      </c>
      <c r="CW47">
        <v>79.432086560536604</v>
      </c>
      <c r="CX47">
        <v>1132.89467765513</v>
      </c>
      <c r="CY47">
        <v>633.76575279577605</v>
      </c>
      <c r="CZ47">
        <v>217.569018528437</v>
      </c>
      <c r="DA47">
        <v>0</v>
      </c>
      <c r="DE47">
        <v>163</v>
      </c>
      <c r="DF47" t="s">
        <v>142</v>
      </c>
      <c r="DG47">
        <v>8034</v>
      </c>
      <c r="DH47">
        <v>7994</v>
      </c>
      <c r="DI47">
        <v>7938</v>
      </c>
      <c r="DJ47">
        <v>7918</v>
      </c>
      <c r="DK47">
        <v>7793</v>
      </c>
      <c r="DO47">
        <v>1681</v>
      </c>
      <c r="DP47" t="s">
        <v>55</v>
      </c>
      <c r="DQ47">
        <v>11925</v>
      </c>
      <c r="DR47">
        <v>1</v>
      </c>
      <c r="DS47">
        <v>258</v>
      </c>
      <c r="DV47">
        <v>377</v>
      </c>
      <c r="DW47" t="s">
        <v>52</v>
      </c>
      <c r="DX47">
        <v>1945.897206005</v>
      </c>
      <c r="DY47">
        <v>649</v>
      </c>
      <c r="DZ47">
        <v>623</v>
      </c>
      <c r="EA47">
        <v>452</v>
      </c>
      <c r="EB47">
        <v>1913</v>
      </c>
      <c r="EC47">
        <v>1309</v>
      </c>
      <c r="ED47">
        <v>630</v>
      </c>
      <c r="EE47" s="82">
        <v>8.9788082122793697E-2</v>
      </c>
      <c r="EF47" s="82">
        <v>5.7178415019963E-2</v>
      </c>
    </row>
    <row r="48" spans="1:136" x14ac:dyDescent="0.35">
      <c r="A48" s="72">
        <v>109</v>
      </c>
      <c r="B48" s="72">
        <v>3</v>
      </c>
      <c r="D48" s="72" t="s">
        <v>70</v>
      </c>
      <c r="E48" s="79">
        <v>2296400000</v>
      </c>
      <c r="F48" s="79">
        <v>555100000</v>
      </c>
      <c r="G48" s="79">
        <v>609000000</v>
      </c>
      <c r="H48" s="79">
        <v>35299</v>
      </c>
      <c r="I48" s="79">
        <v>8</v>
      </c>
      <c r="J48" s="79">
        <v>609</v>
      </c>
      <c r="K48" s="79">
        <v>7613</v>
      </c>
      <c r="L48" s="79">
        <v>8243</v>
      </c>
      <c r="M48" s="79">
        <v>2578</v>
      </c>
      <c r="N48" s="79">
        <v>5086</v>
      </c>
      <c r="O48" s="79">
        <v>3359.5</v>
      </c>
      <c r="P48" s="79">
        <v>861.66666666666697</v>
      </c>
      <c r="Q48" s="79">
        <v>2811.6666666666702</v>
      </c>
      <c r="R48" s="79">
        <v>690</v>
      </c>
      <c r="S48" s="79">
        <v>0</v>
      </c>
      <c r="T48" s="79">
        <v>961</v>
      </c>
      <c r="U48" s="79">
        <v>16097</v>
      </c>
      <c r="V48" s="79">
        <v>32360</v>
      </c>
      <c r="W48" s="79">
        <v>18480</v>
      </c>
      <c r="X48" s="79">
        <v>102.96</v>
      </c>
      <c r="Y48" s="79">
        <v>1436</v>
      </c>
      <c r="Z48" s="79">
        <v>0</v>
      </c>
      <c r="AA48" s="79">
        <v>0</v>
      </c>
      <c r="AB48" s="79">
        <v>130.69999999999999</v>
      </c>
      <c r="AC48" s="79">
        <v>29608</v>
      </c>
      <c r="AD48" s="79">
        <v>29608</v>
      </c>
      <c r="AE48" s="79">
        <v>361</v>
      </c>
      <c r="AF48" s="79">
        <v>0</v>
      </c>
      <c r="AG48" s="79">
        <v>411</v>
      </c>
      <c r="AH48" s="79">
        <v>236</v>
      </c>
      <c r="AI48" s="79">
        <v>175</v>
      </c>
      <c r="AJ48" s="79">
        <v>17265</v>
      </c>
      <c r="AK48" s="79">
        <v>17265</v>
      </c>
      <c r="AL48" s="79">
        <v>9</v>
      </c>
      <c r="AM48" s="79">
        <v>0</v>
      </c>
      <c r="AN48" s="79">
        <v>0</v>
      </c>
      <c r="AO48" s="79">
        <v>3250</v>
      </c>
      <c r="AP48" s="79">
        <v>917</v>
      </c>
      <c r="AQ48" s="79">
        <v>917</v>
      </c>
      <c r="AR48" s="80">
        <v>1.014834E-3</v>
      </c>
      <c r="AS48" s="80">
        <v>5.4257000000000003E-4</v>
      </c>
      <c r="AT48" s="79">
        <v>8632.5</v>
      </c>
      <c r="AU48" s="79">
        <v>0</v>
      </c>
      <c r="AV48" s="79">
        <v>4613</v>
      </c>
      <c r="AW48" s="79">
        <v>5433.4241049084103</v>
      </c>
      <c r="AX48" s="79">
        <v>28</v>
      </c>
      <c r="AY48" s="79">
        <v>28</v>
      </c>
      <c r="AZ48" s="79">
        <v>3446</v>
      </c>
      <c r="BA48" s="79">
        <v>1</v>
      </c>
      <c r="BB48" s="79">
        <v>0</v>
      </c>
      <c r="BC48" s="79">
        <v>0</v>
      </c>
      <c r="BD48" s="79">
        <v>0</v>
      </c>
      <c r="BE48" s="79">
        <v>0</v>
      </c>
      <c r="BF48" s="79">
        <v>0</v>
      </c>
      <c r="BG48" s="79">
        <v>0</v>
      </c>
      <c r="BH48" s="79">
        <v>0</v>
      </c>
      <c r="BI48" s="79">
        <v>0</v>
      </c>
      <c r="BJ48" s="79">
        <v>0</v>
      </c>
      <c r="BK48" s="79">
        <v>19</v>
      </c>
      <c r="BL48" s="79">
        <v>4714</v>
      </c>
      <c r="BM48" s="79">
        <v>236</v>
      </c>
      <c r="BN48" s="79">
        <v>175</v>
      </c>
      <c r="BO48">
        <v>8395</v>
      </c>
      <c r="BP48">
        <v>1513</v>
      </c>
      <c r="BQ48">
        <v>7596</v>
      </c>
      <c r="BR48">
        <v>1540</v>
      </c>
      <c r="BS48">
        <v>7618</v>
      </c>
      <c r="BT48">
        <v>1586</v>
      </c>
      <c r="BU48">
        <v>7535</v>
      </c>
      <c r="BV48">
        <v>1643</v>
      </c>
      <c r="BW48">
        <v>7434</v>
      </c>
      <c r="BX48">
        <v>1694</v>
      </c>
      <c r="BY48">
        <v>7367</v>
      </c>
      <c r="BZ48">
        <v>1822</v>
      </c>
      <c r="CA48">
        <v>6802</v>
      </c>
      <c r="CB48">
        <v>832.65424175641499</v>
      </c>
      <c r="CC48">
        <v>122.737809985889</v>
      </c>
      <c r="CD48">
        <v>130.43587723261501</v>
      </c>
      <c r="CE48">
        <v>9500.8625482870702</v>
      </c>
      <c r="CF48">
        <v>2163.5473421391398</v>
      </c>
      <c r="CG48">
        <v>271.80313663290701</v>
      </c>
      <c r="CH48">
        <v>366</v>
      </c>
      <c r="CI48">
        <v>265.78541658726698</v>
      </c>
      <c r="CJ48">
        <v>222.78646965554401</v>
      </c>
      <c r="CK48" s="81">
        <v>1950</v>
      </c>
      <c r="CL48">
        <v>470</v>
      </c>
      <c r="CM48">
        <v>6184.9123744382596</v>
      </c>
      <c r="CN48">
        <v>2.3955040129221401</v>
      </c>
      <c r="CO48">
        <v>27056</v>
      </c>
      <c r="CP48">
        <v>4714</v>
      </c>
      <c r="CQ48">
        <v>951</v>
      </c>
      <c r="CR48">
        <v>898</v>
      </c>
      <c r="CS48">
        <v>886</v>
      </c>
      <c r="CT48">
        <v>492</v>
      </c>
      <c r="CU48">
        <v>569.01555510016397</v>
      </c>
      <c r="CV48">
        <v>346.97494348276098</v>
      </c>
      <c r="CW48">
        <v>129.215570652021</v>
      </c>
      <c r="CX48">
        <v>1483.9370356111599</v>
      </c>
      <c r="CY48">
        <v>904.87679018286804</v>
      </c>
      <c r="CZ48">
        <v>336.98159769008703</v>
      </c>
      <c r="DA48">
        <v>7938</v>
      </c>
      <c r="DE48">
        <v>164</v>
      </c>
      <c r="DF48" t="s">
        <v>146</v>
      </c>
      <c r="DG48">
        <v>17741</v>
      </c>
      <c r="DH48">
        <v>17630</v>
      </c>
      <c r="DI48">
        <v>17542</v>
      </c>
      <c r="DJ48">
        <v>17422</v>
      </c>
      <c r="DK48">
        <v>17207</v>
      </c>
      <c r="DO48">
        <v>109</v>
      </c>
      <c r="DP48" t="s">
        <v>70</v>
      </c>
      <c r="DQ48">
        <v>17265</v>
      </c>
      <c r="DR48">
        <v>1</v>
      </c>
      <c r="DS48">
        <v>500</v>
      </c>
      <c r="DV48">
        <v>1901</v>
      </c>
      <c r="DW48" t="s">
        <v>53</v>
      </c>
      <c r="DX48">
        <v>3209.0997815003602</v>
      </c>
      <c r="DY48">
        <v>711</v>
      </c>
      <c r="DZ48">
        <v>659</v>
      </c>
      <c r="EA48">
        <v>397</v>
      </c>
      <c r="EB48">
        <v>2404</v>
      </c>
      <c r="EC48">
        <v>1434</v>
      </c>
      <c r="ED48">
        <v>575</v>
      </c>
      <c r="EE48" s="82">
        <v>0.12079948957619099</v>
      </c>
      <c r="EF48" s="82">
        <v>0.31326727033450502</v>
      </c>
    </row>
    <row r="49" spans="1:136" x14ac:dyDescent="0.35">
      <c r="A49" s="72">
        <v>1690</v>
      </c>
      <c r="B49" s="72">
        <v>3</v>
      </c>
      <c r="D49" s="72" t="s">
        <v>79</v>
      </c>
      <c r="E49" s="79">
        <v>1969600000</v>
      </c>
      <c r="F49" s="79">
        <v>253750000</v>
      </c>
      <c r="G49" s="79">
        <v>325500000</v>
      </c>
      <c r="H49" s="79">
        <v>23917</v>
      </c>
      <c r="I49" s="79">
        <v>5</v>
      </c>
      <c r="J49" s="79">
        <v>325.5</v>
      </c>
      <c r="K49" s="79">
        <v>5292</v>
      </c>
      <c r="L49" s="79">
        <v>5536</v>
      </c>
      <c r="M49" s="79">
        <v>1758</v>
      </c>
      <c r="N49" s="79">
        <v>2763</v>
      </c>
      <c r="O49" s="79">
        <v>1677.8</v>
      </c>
      <c r="P49" s="79">
        <v>229.666666666667</v>
      </c>
      <c r="Q49" s="79">
        <v>1200.6666666666699</v>
      </c>
      <c r="R49" s="79">
        <v>240</v>
      </c>
      <c r="S49" s="79">
        <v>0</v>
      </c>
      <c r="T49" s="79">
        <v>530</v>
      </c>
      <c r="U49" s="79">
        <v>10363</v>
      </c>
      <c r="V49" s="79">
        <v>19580</v>
      </c>
      <c r="W49" s="79">
        <v>4950</v>
      </c>
      <c r="X49" s="79">
        <v>0</v>
      </c>
      <c r="Y49" s="79">
        <v>0</v>
      </c>
      <c r="Z49" s="79">
        <v>0</v>
      </c>
      <c r="AA49" s="79">
        <v>0</v>
      </c>
      <c r="AB49" s="79">
        <v>0</v>
      </c>
      <c r="AC49" s="79">
        <v>22444</v>
      </c>
      <c r="AD49" s="79">
        <v>22444</v>
      </c>
      <c r="AE49" s="79">
        <v>190</v>
      </c>
      <c r="AF49" s="79">
        <v>0</v>
      </c>
      <c r="AG49" s="79">
        <v>287</v>
      </c>
      <c r="AH49" s="79">
        <v>123</v>
      </c>
      <c r="AI49" s="79">
        <v>164</v>
      </c>
      <c r="AJ49" s="79">
        <v>10852</v>
      </c>
      <c r="AK49" s="79">
        <v>10852</v>
      </c>
      <c r="AL49" s="79">
        <v>0</v>
      </c>
      <c r="AM49" s="79">
        <v>0</v>
      </c>
      <c r="AN49" s="79">
        <v>0</v>
      </c>
      <c r="AO49" s="79">
        <v>0</v>
      </c>
      <c r="AP49" s="79">
        <v>0</v>
      </c>
      <c r="AQ49" s="79">
        <v>0</v>
      </c>
      <c r="AR49" s="80">
        <v>6.6255100000000005E-4</v>
      </c>
      <c r="AS49" s="80">
        <v>1.5210399999999999E-4</v>
      </c>
      <c r="AT49" s="79">
        <v>3277.3040000000001</v>
      </c>
      <c r="AU49" s="79">
        <v>0</v>
      </c>
      <c r="AV49" s="79">
        <v>2696</v>
      </c>
      <c r="AW49" s="79">
        <v>2848.8217725545601</v>
      </c>
      <c r="AX49" s="79">
        <v>22</v>
      </c>
      <c r="AY49" s="79">
        <v>22</v>
      </c>
      <c r="AZ49" s="79">
        <v>3049</v>
      </c>
      <c r="BA49" s="79">
        <v>1</v>
      </c>
      <c r="BB49" s="79">
        <v>0</v>
      </c>
      <c r="BC49" s="79">
        <v>0</v>
      </c>
      <c r="BD49" s="79">
        <v>0</v>
      </c>
      <c r="BE49" s="79">
        <v>0</v>
      </c>
      <c r="BF49" s="79">
        <v>0</v>
      </c>
      <c r="BG49" s="79">
        <v>0</v>
      </c>
      <c r="BH49" s="79">
        <v>0</v>
      </c>
      <c r="BI49" s="79">
        <v>0</v>
      </c>
      <c r="BJ49" s="79">
        <v>0</v>
      </c>
      <c r="BK49" s="79">
        <v>8</v>
      </c>
      <c r="BL49" s="79">
        <v>2816</v>
      </c>
      <c r="BM49" s="79">
        <v>123</v>
      </c>
      <c r="BN49" s="79">
        <v>164</v>
      </c>
      <c r="BO49">
        <v>5904</v>
      </c>
      <c r="BP49">
        <v>0</v>
      </c>
      <c r="BQ49">
        <v>5300</v>
      </c>
      <c r="BR49">
        <v>0</v>
      </c>
      <c r="BS49">
        <v>5262</v>
      </c>
      <c r="BT49">
        <v>0</v>
      </c>
      <c r="BU49">
        <v>5165</v>
      </c>
      <c r="BV49">
        <v>0</v>
      </c>
      <c r="BW49">
        <v>5087</v>
      </c>
      <c r="BX49">
        <v>0</v>
      </c>
      <c r="BY49">
        <v>5062</v>
      </c>
      <c r="BZ49">
        <v>0</v>
      </c>
      <c r="CA49">
        <v>4676</v>
      </c>
      <c r="CB49">
        <v>340.04109485603698</v>
      </c>
      <c r="CC49">
        <v>62.303456162716998</v>
      </c>
      <c r="CD49">
        <v>21.720044852092901</v>
      </c>
      <c r="CE49">
        <v>6756.1654116215104</v>
      </c>
      <c r="CF49">
        <v>1678.1150381266</v>
      </c>
      <c r="CG49">
        <v>84.173248035914696</v>
      </c>
      <c r="CH49">
        <v>225</v>
      </c>
      <c r="CI49">
        <v>66.671337459963098</v>
      </c>
      <c r="CJ49">
        <v>52.858573214452399</v>
      </c>
      <c r="CK49" s="81">
        <v>971</v>
      </c>
      <c r="CL49">
        <v>295</v>
      </c>
      <c r="CM49">
        <v>3504.9364353764399</v>
      </c>
      <c r="CN49">
        <v>0.168766400293932</v>
      </c>
      <c r="CO49">
        <v>18381</v>
      </c>
      <c r="CP49">
        <v>3074</v>
      </c>
      <c r="CQ49">
        <v>704</v>
      </c>
      <c r="CR49">
        <v>547</v>
      </c>
      <c r="CS49">
        <v>531</v>
      </c>
      <c r="CT49">
        <v>363</v>
      </c>
      <c r="CU49">
        <v>288.88890926025698</v>
      </c>
      <c r="CV49">
        <v>184.40046481941499</v>
      </c>
      <c r="CW49">
        <v>77.129783692278494</v>
      </c>
      <c r="CX49">
        <v>824.99249729306996</v>
      </c>
      <c r="CY49">
        <v>526.60034738931699</v>
      </c>
      <c r="CZ49">
        <v>220.26284438161699</v>
      </c>
      <c r="DA49">
        <v>7665</v>
      </c>
      <c r="DE49">
        <v>166</v>
      </c>
      <c r="DF49" t="s">
        <v>164</v>
      </c>
      <c r="DG49">
        <v>12537</v>
      </c>
      <c r="DH49">
        <v>12519</v>
      </c>
      <c r="DI49">
        <v>12574</v>
      </c>
      <c r="DJ49">
        <v>12619</v>
      </c>
      <c r="DK49">
        <v>12684</v>
      </c>
      <c r="DO49">
        <v>1690</v>
      </c>
      <c r="DP49" t="s">
        <v>79</v>
      </c>
      <c r="DQ49">
        <v>10852</v>
      </c>
      <c r="DR49">
        <v>1</v>
      </c>
      <c r="DS49">
        <v>302</v>
      </c>
      <c r="DV49">
        <v>755</v>
      </c>
      <c r="DW49" t="s">
        <v>54</v>
      </c>
      <c r="DX49">
        <v>1044.28632371393</v>
      </c>
      <c r="DY49">
        <v>169</v>
      </c>
      <c r="DZ49">
        <v>175</v>
      </c>
      <c r="EA49">
        <v>96</v>
      </c>
      <c r="EB49">
        <v>664</v>
      </c>
      <c r="EC49">
        <v>390</v>
      </c>
      <c r="ED49">
        <v>127</v>
      </c>
      <c r="EE49" s="82">
        <v>0.14422037505002999</v>
      </c>
      <c r="EF49" s="82">
        <v>0.44921487196198601</v>
      </c>
    </row>
    <row r="50" spans="1:136" x14ac:dyDescent="0.35">
      <c r="A50" s="72">
        <v>114</v>
      </c>
      <c r="B50" s="72">
        <v>3</v>
      </c>
      <c r="D50" s="72" t="s">
        <v>104</v>
      </c>
      <c r="E50" s="79">
        <v>5796000000</v>
      </c>
      <c r="F50" s="79">
        <v>1408750000</v>
      </c>
      <c r="G50" s="79">
        <v>1468950000</v>
      </c>
      <c r="H50" s="79">
        <v>107192</v>
      </c>
      <c r="I50" s="79">
        <v>11</v>
      </c>
      <c r="J50" s="79">
        <v>1468.95</v>
      </c>
      <c r="K50" s="79">
        <v>22716</v>
      </c>
      <c r="L50" s="79">
        <v>23636</v>
      </c>
      <c r="M50" s="79">
        <v>7473</v>
      </c>
      <c r="N50" s="79">
        <v>17656</v>
      </c>
      <c r="O50" s="79">
        <v>12709.8</v>
      </c>
      <c r="P50" s="79">
        <v>3742.3333333333298</v>
      </c>
      <c r="Q50" s="79">
        <v>12074.333333333299</v>
      </c>
      <c r="R50" s="79">
        <v>2870</v>
      </c>
      <c r="S50" s="79">
        <v>0</v>
      </c>
      <c r="T50" s="79">
        <v>3594</v>
      </c>
      <c r="U50" s="79">
        <v>50073</v>
      </c>
      <c r="V50" s="79">
        <v>112000</v>
      </c>
      <c r="W50" s="79">
        <v>117850</v>
      </c>
      <c r="X50" s="79">
        <v>2476.6999999999998</v>
      </c>
      <c r="Y50" s="79">
        <v>5216.8</v>
      </c>
      <c r="Z50" s="79">
        <v>0</v>
      </c>
      <c r="AA50" s="79">
        <v>0</v>
      </c>
      <c r="AB50" s="79">
        <v>0</v>
      </c>
      <c r="AC50" s="79">
        <v>33566</v>
      </c>
      <c r="AD50" s="79">
        <v>33566</v>
      </c>
      <c r="AE50" s="79">
        <v>1060</v>
      </c>
      <c r="AF50" s="79">
        <v>0</v>
      </c>
      <c r="AG50" s="79">
        <v>888</v>
      </c>
      <c r="AH50" s="79">
        <v>669</v>
      </c>
      <c r="AI50" s="79">
        <v>220</v>
      </c>
      <c r="AJ50" s="79">
        <v>49462</v>
      </c>
      <c r="AK50" s="79">
        <v>49462</v>
      </c>
      <c r="AL50" s="79">
        <v>0</v>
      </c>
      <c r="AM50" s="79">
        <v>0</v>
      </c>
      <c r="AN50" s="79">
        <v>0</v>
      </c>
      <c r="AO50" s="79">
        <v>0</v>
      </c>
      <c r="AP50" s="79">
        <v>4532</v>
      </c>
      <c r="AQ50" s="79">
        <v>0</v>
      </c>
      <c r="AR50" s="80">
        <v>3.3168020000000002E-3</v>
      </c>
      <c r="AS50" s="80">
        <v>3.4152969999999999E-3</v>
      </c>
      <c r="AT50" s="79">
        <v>41993.237999999998</v>
      </c>
      <c r="AU50" s="79">
        <v>0</v>
      </c>
      <c r="AV50" s="79">
        <v>13232</v>
      </c>
      <c r="AW50" s="79">
        <v>40962.413908623603</v>
      </c>
      <c r="AX50" s="79">
        <v>28</v>
      </c>
      <c r="AY50" s="79">
        <v>28</v>
      </c>
      <c r="AZ50" s="79">
        <v>9038</v>
      </c>
      <c r="BA50" s="79">
        <v>1</v>
      </c>
      <c r="BB50" s="79">
        <v>0</v>
      </c>
      <c r="BC50" s="79">
        <v>0</v>
      </c>
      <c r="BD50" s="79">
        <v>0</v>
      </c>
      <c r="BE50" s="79">
        <v>0</v>
      </c>
      <c r="BF50" s="79">
        <v>0</v>
      </c>
      <c r="BG50" s="79">
        <v>0</v>
      </c>
      <c r="BH50" s="79">
        <v>0</v>
      </c>
      <c r="BI50" s="79">
        <v>0</v>
      </c>
      <c r="BJ50" s="79">
        <v>0</v>
      </c>
      <c r="BK50" s="79">
        <v>85</v>
      </c>
      <c r="BL50" s="79">
        <v>16546</v>
      </c>
      <c r="BM50" s="79">
        <v>669</v>
      </c>
      <c r="BN50" s="79">
        <v>220</v>
      </c>
      <c r="BO50">
        <v>25184</v>
      </c>
      <c r="BP50">
        <v>6593</v>
      </c>
      <c r="BQ50">
        <v>22664</v>
      </c>
      <c r="BR50">
        <v>6689</v>
      </c>
      <c r="BS50">
        <v>22564</v>
      </c>
      <c r="BT50">
        <v>6750</v>
      </c>
      <c r="BU50">
        <v>22332</v>
      </c>
      <c r="BV50">
        <v>6780</v>
      </c>
      <c r="BW50">
        <v>22014</v>
      </c>
      <c r="BX50">
        <v>6813</v>
      </c>
      <c r="BY50">
        <v>21827</v>
      </c>
      <c r="BZ50">
        <v>6738</v>
      </c>
      <c r="CA50">
        <v>20090</v>
      </c>
      <c r="CB50">
        <v>3084.03052467826</v>
      </c>
      <c r="CC50">
        <v>631.59196403771602</v>
      </c>
      <c r="CD50">
        <v>318.69513301492401</v>
      </c>
      <c r="CE50">
        <v>26580.1492479935</v>
      </c>
      <c r="CF50">
        <v>6023.78963428323</v>
      </c>
      <c r="CG50">
        <v>782.05589952769401</v>
      </c>
      <c r="CH50">
        <v>1370</v>
      </c>
      <c r="CI50">
        <v>1115.79577353793</v>
      </c>
      <c r="CJ50">
        <v>1067.81413003693</v>
      </c>
      <c r="CK50" s="81">
        <v>8332</v>
      </c>
      <c r="CL50">
        <v>2095</v>
      </c>
      <c r="CM50">
        <v>20226.950258774501</v>
      </c>
      <c r="CN50">
        <v>11.459029159736399</v>
      </c>
      <c r="CO50">
        <v>83556</v>
      </c>
      <c r="CP50">
        <v>13625</v>
      </c>
      <c r="CQ50">
        <v>2538</v>
      </c>
      <c r="CR50">
        <v>2898</v>
      </c>
      <c r="CS50">
        <v>2614</v>
      </c>
      <c r="CT50">
        <v>1354</v>
      </c>
      <c r="CU50">
        <v>2199.5131180854</v>
      </c>
      <c r="CV50">
        <v>1347.97264222851</v>
      </c>
      <c r="CW50">
        <v>467.91044252728</v>
      </c>
      <c r="CX50">
        <v>5034.3001937875797</v>
      </c>
      <c r="CY50">
        <v>3085.2732262394402</v>
      </c>
      <c r="CZ50">
        <v>1070.9650295428901</v>
      </c>
      <c r="DA50">
        <v>93535.8</v>
      </c>
      <c r="DE50">
        <v>168</v>
      </c>
      <c r="DF50" t="s">
        <v>191</v>
      </c>
      <c r="DG50">
        <v>4801</v>
      </c>
      <c r="DH50">
        <v>4780</v>
      </c>
      <c r="DI50">
        <v>4742</v>
      </c>
      <c r="DJ50">
        <v>4720</v>
      </c>
      <c r="DK50">
        <v>4672</v>
      </c>
      <c r="DO50">
        <v>114</v>
      </c>
      <c r="DP50" t="s">
        <v>104</v>
      </c>
      <c r="DQ50">
        <v>49462</v>
      </c>
      <c r="DR50">
        <v>1</v>
      </c>
      <c r="DS50">
        <v>849</v>
      </c>
      <c r="DV50">
        <v>1681</v>
      </c>
      <c r="DW50" t="s">
        <v>55</v>
      </c>
      <c r="DX50">
        <v>3421.2708993750598</v>
      </c>
      <c r="DY50">
        <v>559</v>
      </c>
      <c r="DZ50">
        <v>556</v>
      </c>
      <c r="EA50">
        <v>303</v>
      </c>
      <c r="EB50">
        <v>2213</v>
      </c>
      <c r="EC50">
        <v>1238</v>
      </c>
      <c r="ED50">
        <v>425</v>
      </c>
      <c r="EE50" s="82">
        <v>0.186899027201263</v>
      </c>
      <c r="EF50" s="82">
        <v>0.51192710241985195</v>
      </c>
    </row>
    <row r="51" spans="1:136" x14ac:dyDescent="0.35">
      <c r="A51" s="72">
        <v>118</v>
      </c>
      <c r="B51" s="72">
        <v>3</v>
      </c>
      <c r="D51" s="72" t="s">
        <v>156</v>
      </c>
      <c r="E51" s="79">
        <v>3275600000</v>
      </c>
      <c r="F51" s="79">
        <v>653800000</v>
      </c>
      <c r="G51" s="79">
        <v>716100000</v>
      </c>
      <c r="H51" s="79">
        <v>55677</v>
      </c>
      <c r="I51" s="79">
        <v>3</v>
      </c>
      <c r="J51" s="79">
        <v>716.1</v>
      </c>
      <c r="K51" s="79">
        <v>13060</v>
      </c>
      <c r="L51" s="79">
        <v>11605</v>
      </c>
      <c r="M51" s="79">
        <v>3703</v>
      </c>
      <c r="N51" s="79">
        <v>8717</v>
      </c>
      <c r="O51" s="79">
        <v>6198.2</v>
      </c>
      <c r="P51" s="79">
        <v>1305.6666666666699</v>
      </c>
      <c r="Q51" s="79">
        <v>4961.6666666666697</v>
      </c>
      <c r="R51" s="79">
        <v>1380</v>
      </c>
      <c r="S51" s="79">
        <v>0</v>
      </c>
      <c r="T51" s="79">
        <v>1719</v>
      </c>
      <c r="U51" s="79">
        <v>25405</v>
      </c>
      <c r="V51" s="79">
        <v>60560</v>
      </c>
      <c r="W51" s="79">
        <v>69470</v>
      </c>
      <c r="X51" s="79">
        <v>1432.5</v>
      </c>
      <c r="Y51" s="79">
        <v>3095.2</v>
      </c>
      <c r="Z51" s="79">
        <v>0</v>
      </c>
      <c r="AA51" s="79">
        <v>0</v>
      </c>
      <c r="AB51" s="79">
        <v>0</v>
      </c>
      <c r="AC51" s="79">
        <v>12765</v>
      </c>
      <c r="AD51" s="79">
        <v>12765</v>
      </c>
      <c r="AE51" s="79">
        <v>160</v>
      </c>
      <c r="AF51" s="79">
        <v>0</v>
      </c>
      <c r="AG51" s="79">
        <v>443</v>
      </c>
      <c r="AH51" s="79">
        <v>334</v>
      </c>
      <c r="AI51" s="79">
        <v>108</v>
      </c>
      <c r="AJ51" s="79">
        <v>25188</v>
      </c>
      <c r="AK51" s="79">
        <v>25188</v>
      </c>
      <c r="AL51" s="79">
        <v>0</v>
      </c>
      <c r="AM51" s="79">
        <v>0</v>
      </c>
      <c r="AN51" s="79">
        <v>0</v>
      </c>
      <c r="AO51" s="79">
        <v>0</v>
      </c>
      <c r="AP51" s="79">
        <v>1516</v>
      </c>
      <c r="AQ51" s="79">
        <v>0</v>
      </c>
      <c r="AR51" s="80">
        <v>9.8067399999999996E-4</v>
      </c>
      <c r="AS51" s="80">
        <v>1.7514430000000001E-3</v>
      </c>
      <c r="AT51" s="79">
        <v>29747.027999999998</v>
      </c>
      <c r="AU51" s="79">
        <v>0</v>
      </c>
      <c r="AV51" s="79">
        <v>3510</v>
      </c>
      <c r="AW51" s="79">
        <v>15120.020889748601</v>
      </c>
      <c r="AX51" s="79">
        <v>17</v>
      </c>
      <c r="AY51" s="79">
        <v>17</v>
      </c>
      <c r="AZ51" s="79">
        <v>4813</v>
      </c>
      <c r="BA51" s="79">
        <v>1</v>
      </c>
      <c r="BB51" s="79">
        <v>0</v>
      </c>
      <c r="BC51" s="79">
        <v>0</v>
      </c>
      <c r="BD51" s="79">
        <v>0</v>
      </c>
      <c r="BE51" s="79">
        <v>0</v>
      </c>
      <c r="BF51" s="79">
        <v>0</v>
      </c>
      <c r="BG51" s="79">
        <v>0</v>
      </c>
      <c r="BH51" s="79">
        <v>0</v>
      </c>
      <c r="BI51" s="79">
        <v>0</v>
      </c>
      <c r="BJ51" s="79">
        <v>0</v>
      </c>
      <c r="BK51" s="79">
        <v>47</v>
      </c>
      <c r="BL51" s="79">
        <v>8052</v>
      </c>
      <c r="BM51" s="79">
        <v>334</v>
      </c>
      <c r="BN51" s="79">
        <v>108</v>
      </c>
      <c r="BO51">
        <v>13232</v>
      </c>
      <c r="BP51">
        <v>3709</v>
      </c>
      <c r="BQ51">
        <v>12006</v>
      </c>
      <c r="BR51">
        <v>3684</v>
      </c>
      <c r="BS51">
        <v>12047</v>
      </c>
      <c r="BT51">
        <v>3735</v>
      </c>
      <c r="BU51">
        <v>12071</v>
      </c>
      <c r="BV51">
        <v>3777</v>
      </c>
      <c r="BW51">
        <v>12076</v>
      </c>
      <c r="BX51">
        <v>3824</v>
      </c>
      <c r="BY51">
        <v>11996</v>
      </c>
      <c r="BZ51">
        <v>3875</v>
      </c>
      <c r="CA51">
        <v>11671</v>
      </c>
      <c r="CB51">
        <v>1495.6191886919701</v>
      </c>
      <c r="CC51">
        <v>392.07818565540998</v>
      </c>
      <c r="CD51">
        <v>157.95741932388199</v>
      </c>
      <c r="CE51">
        <v>13318.9868735004</v>
      </c>
      <c r="CF51">
        <v>3176.83596529036</v>
      </c>
      <c r="CG51">
        <v>512.11893950895501</v>
      </c>
      <c r="CH51">
        <v>664</v>
      </c>
      <c r="CI51">
        <v>411.241526931002</v>
      </c>
      <c r="CJ51">
        <v>370.71952355102599</v>
      </c>
      <c r="CK51" s="81">
        <v>3656</v>
      </c>
      <c r="CL51">
        <v>1137</v>
      </c>
      <c r="CM51">
        <v>10280.893110065201</v>
      </c>
      <c r="CN51">
        <v>3.4082637145894301</v>
      </c>
      <c r="CO51">
        <v>44072</v>
      </c>
      <c r="CP51">
        <v>6494</v>
      </c>
      <c r="CQ51">
        <v>1408</v>
      </c>
      <c r="CR51">
        <v>1331</v>
      </c>
      <c r="CS51">
        <v>1273</v>
      </c>
      <c r="CT51">
        <v>724</v>
      </c>
      <c r="CU51">
        <v>983.99619605532905</v>
      </c>
      <c r="CV51">
        <v>633.35989213463802</v>
      </c>
      <c r="CW51">
        <v>243.35389794916699</v>
      </c>
      <c r="CX51">
        <v>2311.4322637151099</v>
      </c>
      <c r="CY51">
        <v>1487.7786063522601</v>
      </c>
      <c r="CZ51">
        <v>571.64453833814605</v>
      </c>
      <c r="DA51">
        <v>50145</v>
      </c>
      <c r="DE51">
        <v>171</v>
      </c>
      <c r="DF51" t="s">
        <v>220</v>
      </c>
      <c r="DG51">
        <v>11562</v>
      </c>
      <c r="DH51">
        <v>11492</v>
      </c>
      <c r="DI51">
        <v>11494</v>
      </c>
      <c r="DJ51">
        <v>11437</v>
      </c>
      <c r="DK51">
        <v>11266</v>
      </c>
      <c r="DO51">
        <v>118</v>
      </c>
      <c r="DP51" t="s">
        <v>156</v>
      </c>
      <c r="DQ51">
        <v>25188</v>
      </c>
      <c r="DR51">
        <v>1</v>
      </c>
      <c r="DS51">
        <v>1181</v>
      </c>
      <c r="DV51">
        <v>147</v>
      </c>
      <c r="DW51" t="s">
        <v>56</v>
      </c>
      <c r="DX51">
        <v>2633.31933389191</v>
      </c>
      <c r="DY51">
        <v>485</v>
      </c>
      <c r="DZ51">
        <v>519</v>
      </c>
      <c r="EA51">
        <v>337</v>
      </c>
      <c r="EB51">
        <v>1674</v>
      </c>
      <c r="EC51">
        <v>1080</v>
      </c>
      <c r="ED51">
        <v>442</v>
      </c>
      <c r="EE51" s="82">
        <v>0.169172987211685</v>
      </c>
      <c r="EF51" s="82">
        <v>0.42615606722440202</v>
      </c>
    </row>
    <row r="52" spans="1:136" x14ac:dyDescent="0.35">
      <c r="A52" s="72">
        <v>119</v>
      </c>
      <c r="B52" s="72">
        <v>3</v>
      </c>
      <c r="D52" s="72" t="s">
        <v>199</v>
      </c>
      <c r="E52" s="79">
        <v>2261600000</v>
      </c>
      <c r="F52" s="79">
        <v>478800000</v>
      </c>
      <c r="G52" s="79">
        <v>527100000</v>
      </c>
      <c r="H52" s="79">
        <v>33410</v>
      </c>
      <c r="I52" s="79">
        <v>2</v>
      </c>
      <c r="J52" s="79">
        <v>527.1</v>
      </c>
      <c r="K52" s="79">
        <v>7826</v>
      </c>
      <c r="L52" s="79">
        <v>6448</v>
      </c>
      <c r="M52" s="79">
        <v>1936</v>
      </c>
      <c r="N52" s="79">
        <v>4782</v>
      </c>
      <c r="O52" s="79">
        <v>3205.4</v>
      </c>
      <c r="P52" s="79">
        <v>748.33333333333303</v>
      </c>
      <c r="Q52" s="79">
        <v>2733.3333333333298</v>
      </c>
      <c r="R52" s="79">
        <v>1155</v>
      </c>
      <c r="S52" s="79">
        <v>0</v>
      </c>
      <c r="T52" s="79">
        <v>1145</v>
      </c>
      <c r="U52" s="79">
        <v>15571</v>
      </c>
      <c r="V52" s="79">
        <v>37560</v>
      </c>
      <c r="W52" s="79">
        <v>39330</v>
      </c>
      <c r="X52" s="79">
        <v>1110.8399999999999</v>
      </c>
      <c r="Y52" s="79">
        <v>2940.8</v>
      </c>
      <c r="Z52" s="79">
        <v>0</v>
      </c>
      <c r="AA52" s="79">
        <v>0</v>
      </c>
      <c r="AB52" s="79">
        <v>224.2</v>
      </c>
      <c r="AC52" s="79">
        <v>5546</v>
      </c>
      <c r="AD52" s="79">
        <v>5546</v>
      </c>
      <c r="AE52" s="79">
        <v>157</v>
      </c>
      <c r="AF52" s="79">
        <v>0</v>
      </c>
      <c r="AG52" s="79">
        <v>234</v>
      </c>
      <c r="AH52" s="79">
        <v>188</v>
      </c>
      <c r="AI52" s="79">
        <v>46</v>
      </c>
      <c r="AJ52" s="79">
        <v>15766</v>
      </c>
      <c r="AK52" s="79">
        <v>15766</v>
      </c>
      <c r="AL52" s="79">
        <v>17</v>
      </c>
      <c r="AM52" s="79">
        <v>0</v>
      </c>
      <c r="AN52" s="79">
        <v>0</v>
      </c>
      <c r="AO52" s="79">
        <v>2550</v>
      </c>
      <c r="AP52" s="79">
        <v>2928</v>
      </c>
      <c r="AQ52" s="79">
        <v>2928</v>
      </c>
      <c r="AR52" s="80">
        <v>1.105413E-3</v>
      </c>
      <c r="AS52" s="80">
        <v>1.3186529999999999E-3</v>
      </c>
      <c r="AT52" s="79">
        <v>19833.628000000001</v>
      </c>
      <c r="AU52" s="79">
        <v>0</v>
      </c>
      <c r="AV52" s="79">
        <v>1782</v>
      </c>
      <c r="AW52" s="79">
        <v>10439.526564965799</v>
      </c>
      <c r="AX52" s="79">
        <v>5</v>
      </c>
      <c r="AY52" s="79">
        <v>5</v>
      </c>
      <c r="AZ52" s="79">
        <v>3219</v>
      </c>
      <c r="BA52" s="79">
        <v>1</v>
      </c>
      <c r="BB52" s="79">
        <v>0</v>
      </c>
      <c r="BC52" s="79">
        <v>0</v>
      </c>
      <c r="BD52" s="79">
        <v>0</v>
      </c>
      <c r="BE52" s="79">
        <v>0</v>
      </c>
      <c r="BF52" s="79">
        <v>0</v>
      </c>
      <c r="BG52" s="79">
        <v>0</v>
      </c>
      <c r="BH52" s="79">
        <v>0</v>
      </c>
      <c r="BI52" s="79">
        <v>0</v>
      </c>
      <c r="BJ52" s="79">
        <v>0</v>
      </c>
      <c r="BK52" s="79">
        <v>20</v>
      </c>
      <c r="BL52" s="79">
        <v>5376</v>
      </c>
      <c r="BM52" s="79">
        <v>188</v>
      </c>
      <c r="BN52" s="79">
        <v>46</v>
      </c>
      <c r="BO52">
        <v>7708</v>
      </c>
      <c r="BP52">
        <v>3138</v>
      </c>
      <c r="BQ52">
        <v>7170</v>
      </c>
      <c r="BR52">
        <v>3164</v>
      </c>
      <c r="BS52">
        <v>7245</v>
      </c>
      <c r="BT52">
        <v>3228</v>
      </c>
      <c r="BU52">
        <v>7297</v>
      </c>
      <c r="BV52">
        <v>3374</v>
      </c>
      <c r="BW52">
        <v>7276</v>
      </c>
      <c r="BX52">
        <v>3481</v>
      </c>
      <c r="BY52">
        <v>7289</v>
      </c>
      <c r="BZ52">
        <v>3473</v>
      </c>
      <c r="CA52">
        <v>7040</v>
      </c>
      <c r="CB52">
        <v>737.94529235589096</v>
      </c>
      <c r="CC52">
        <v>132.83165513391</v>
      </c>
      <c r="CD52">
        <v>78.766850749208004</v>
      </c>
      <c r="CE52">
        <v>9038.2783425712696</v>
      </c>
      <c r="CF52">
        <v>2305.2493341834102</v>
      </c>
      <c r="CG52">
        <v>353.62803472770298</v>
      </c>
      <c r="CH52">
        <v>408</v>
      </c>
      <c r="CI52">
        <v>212.95000788733</v>
      </c>
      <c r="CJ52">
        <v>210.37002628302201</v>
      </c>
      <c r="CK52" s="81">
        <v>1985</v>
      </c>
      <c r="CL52">
        <v>630</v>
      </c>
      <c r="CM52">
        <v>4899.0466304811898</v>
      </c>
      <c r="CN52">
        <v>1.5915849117779901</v>
      </c>
      <c r="CO52">
        <v>26962</v>
      </c>
      <c r="CP52">
        <v>3750</v>
      </c>
      <c r="CQ52">
        <v>762</v>
      </c>
      <c r="CR52">
        <v>820</v>
      </c>
      <c r="CS52">
        <v>681</v>
      </c>
      <c r="CT52">
        <v>394</v>
      </c>
      <c r="CU52">
        <v>480.76690007083698</v>
      </c>
      <c r="CV52">
        <v>276.66966215492999</v>
      </c>
      <c r="CW52">
        <v>107.1307214957</v>
      </c>
      <c r="CX52">
        <v>1210.70759722295</v>
      </c>
      <c r="CY52">
        <v>696.732786393418</v>
      </c>
      <c r="CZ52">
        <v>269.785582975262</v>
      </c>
      <c r="DA52">
        <v>89750.8</v>
      </c>
      <c r="DE52">
        <v>173</v>
      </c>
      <c r="DF52" t="s">
        <v>229</v>
      </c>
      <c r="DG52">
        <v>7077</v>
      </c>
      <c r="DH52">
        <v>7122</v>
      </c>
      <c r="DI52">
        <v>7116</v>
      </c>
      <c r="DJ52">
        <v>7058</v>
      </c>
      <c r="DK52">
        <v>7017</v>
      </c>
      <c r="DO52">
        <v>119</v>
      </c>
      <c r="DP52" t="s">
        <v>199</v>
      </c>
      <c r="DQ52">
        <v>15766</v>
      </c>
      <c r="DR52">
        <v>1</v>
      </c>
      <c r="DS52">
        <v>1258</v>
      </c>
      <c r="DV52">
        <v>654</v>
      </c>
      <c r="DW52" t="s">
        <v>57</v>
      </c>
      <c r="DX52">
        <v>2652.90926416093</v>
      </c>
      <c r="DY52">
        <v>477</v>
      </c>
      <c r="DZ52">
        <v>443</v>
      </c>
      <c r="EA52">
        <v>256</v>
      </c>
      <c r="EB52">
        <v>1596</v>
      </c>
      <c r="EC52">
        <v>961</v>
      </c>
      <c r="ED52">
        <v>387</v>
      </c>
      <c r="EE52" s="82">
        <v>0.16119023965353299</v>
      </c>
      <c r="EF52" s="82">
        <v>0.43755088512974499</v>
      </c>
    </row>
    <row r="53" spans="1:136" x14ac:dyDescent="0.35">
      <c r="A53" s="72">
        <v>1731</v>
      </c>
      <c r="B53" s="72">
        <v>3</v>
      </c>
      <c r="D53" s="72" t="s">
        <v>201</v>
      </c>
      <c r="E53" s="79">
        <v>2319200000</v>
      </c>
      <c r="F53" s="79">
        <v>477400000</v>
      </c>
      <c r="G53" s="79">
        <v>567350000</v>
      </c>
      <c r="H53" s="79">
        <v>33172</v>
      </c>
      <c r="I53" s="79">
        <v>6</v>
      </c>
      <c r="J53" s="79">
        <v>567.35</v>
      </c>
      <c r="K53" s="79">
        <v>7171</v>
      </c>
      <c r="L53" s="79">
        <v>7536</v>
      </c>
      <c r="M53" s="79">
        <v>2267</v>
      </c>
      <c r="N53" s="79">
        <v>4162</v>
      </c>
      <c r="O53" s="79">
        <v>2555.6999999999998</v>
      </c>
      <c r="P53" s="79">
        <v>489.33333333333297</v>
      </c>
      <c r="Q53" s="79">
        <v>2145.3333333333298</v>
      </c>
      <c r="R53" s="79">
        <v>405</v>
      </c>
      <c r="S53" s="79">
        <v>0</v>
      </c>
      <c r="T53" s="79">
        <v>822</v>
      </c>
      <c r="U53" s="79">
        <v>14860</v>
      </c>
      <c r="V53" s="79">
        <v>29730</v>
      </c>
      <c r="W53" s="79">
        <v>12500</v>
      </c>
      <c r="X53" s="79">
        <v>124.56</v>
      </c>
      <c r="Y53" s="79">
        <v>760</v>
      </c>
      <c r="Z53" s="79">
        <v>0</v>
      </c>
      <c r="AA53" s="79">
        <v>0</v>
      </c>
      <c r="AB53" s="79">
        <v>248.2</v>
      </c>
      <c r="AC53" s="79">
        <v>34057</v>
      </c>
      <c r="AD53" s="79">
        <v>34057</v>
      </c>
      <c r="AE53" s="79">
        <v>531</v>
      </c>
      <c r="AF53" s="79">
        <v>0</v>
      </c>
      <c r="AG53" s="79">
        <v>405</v>
      </c>
      <c r="AH53" s="79">
        <v>219</v>
      </c>
      <c r="AI53" s="79">
        <v>186</v>
      </c>
      <c r="AJ53" s="79">
        <v>16063</v>
      </c>
      <c r="AK53" s="79">
        <v>16063</v>
      </c>
      <c r="AL53" s="79">
        <v>0</v>
      </c>
      <c r="AM53" s="79">
        <v>0</v>
      </c>
      <c r="AN53" s="79">
        <v>0</v>
      </c>
      <c r="AO53" s="79">
        <v>0</v>
      </c>
      <c r="AP53" s="79">
        <v>1001</v>
      </c>
      <c r="AQ53" s="79">
        <v>0</v>
      </c>
      <c r="AR53" s="80">
        <v>7.2021599999999998E-4</v>
      </c>
      <c r="AS53" s="80">
        <v>2.6642899999999999E-4</v>
      </c>
      <c r="AT53" s="79">
        <v>6505.5150000000003</v>
      </c>
      <c r="AU53" s="79">
        <v>0</v>
      </c>
      <c r="AV53" s="79">
        <v>5171</v>
      </c>
      <c r="AW53" s="79">
        <v>4959.3041517289203</v>
      </c>
      <c r="AX53" s="79">
        <v>29</v>
      </c>
      <c r="AY53" s="79">
        <v>29</v>
      </c>
      <c r="AZ53" s="79">
        <v>3425</v>
      </c>
      <c r="BA53" s="79">
        <v>1</v>
      </c>
      <c r="BB53" s="79">
        <v>0</v>
      </c>
      <c r="BC53" s="79">
        <v>0</v>
      </c>
      <c r="BD53" s="79">
        <v>0</v>
      </c>
      <c r="BE53" s="79">
        <v>0</v>
      </c>
      <c r="BF53" s="79">
        <v>0</v>
      </c>
      <c r="BG53" s="79">
        <v>0</v>
      </c>
      <c r="BH53" s="79">
        <v>0</v>
      </c>
      <c r="BI53" s="79">
        <v>0</v>
      </c>
      <c r="BJ53" s="79">
        <v>0</v>
      </c>
      <c r="BK53" s="79">
        <v>35</v>
      </c>
      <c r="BL53" s="79">
        <v>4228</v>
      </c>
      <c r="BM53" s="79">
        <v>219</v>
      </c>
      <c r="BN53" s="79">
        <v>186</v>
      </c>
      <c r="BO53">
        <v>8209</v>
      </c>
      <c r="BP53">
        <v>638</v>
      </c>
      <c r="BQ53">
        <v>7434</v>
      </c>
      <c r="BR53">
        <v>654</v>
      </c>
      <c r="BS53">
        <v>7274</v>
      </c>
      <c r="BT53">
        <v>670</v>
      </c>
      <c r="BU53">
        <v>7217</v>
      </c>
      <c r="BV53">
        <v>643</v>
      </c>
      <c r="BW53">
        <v>7111</v>
      </c>
      <c r="BX53">
        <v>708</v>
      </c>
      <c r="BY53">
        <v>6934</v>
      </c>
      <c r="BZ53">
        <v>751</v>
      </c>
      <c r="CA53">
        <v>6323</v>
      </c>
      <c r="CB53">
        <v>541.78415980003399</v>
      </c>
      <c r="CC53">
        <v>50.075571005441603</v>
      </c>
      <c r="CD53">
        <v>45.184228562830498</v>
      </c>
      <c r="CE53">
        <v>9084.2178232654496</v>
      </c>
      <c r="CF53">
        <v>2178.0722981215099</v>
      </c>
      <c r="CG53">
        <v>192.03750757265701</v>
      </c>
      <c r="CH53">
        <v>329</v>
      </c>
      <c r="CI53">
        <v>141.385156203245</v>
      </c>
      <c r="CJ53">
        <v>126.647722399728</v>
      </c>
      <c r="CK53" s="81">
        <v>1656</v>
      </c>
      <c r="CL53">
        <v>468</v>
      </c>
      <c r="CM53">
        <v>4979.2709118086696</v>
      </c>
      <c r="CN53">
        <v>1.0539585695512099</v>
      </c>
      <c r="CO53">
        <v>25636</v>
      </c>
      <c r="CP53">
        <v>4439</v>
      </c>
      <c r="CQ53">
        <v>830</v>
      </c>
      <c r="CR53">
        <v>789</v>
      </c>
      <c r="CS53">
        <v>711</v>
      </c>
      <c r="CT53">
        <v>399</v>
      </c>
      <c r="CU53">
        <v>434.486800046317</v>
      </c>
      <c r="CV53">
        <v>248.823637961347</v>
      </c>
      <c r="CW53">
        <v>92.592939445974494</v>
      </c>
      <c r="CX53">
        <v>1304.14181009457</v>
      </c>
      <c r="CY53">
        <v>746.86114646206795</v>
      </c>
      <c r="CZ53">
        <v>277.92403276273899</v>
      </c>
      <c r="DA53">
        <v>26385.3</v>
      </c>
      <c r="DE53">
        <v>175</v>
      </c>
      <c r="DF53" t="s">
        <v>231</v>
      </c>
      <c r="DG53">
        <v>3774</v>
      </c>
      <c r="DH53">
        <v>3741</v>
      </c>
      <c r="DI53">
        <v>3696</v>
      </c>
      <c r="DJ53">
        <v>3702</v>
      </c>
      <c r="DK53">
        <v>3681</v>
      </c>
      <c r="DO53">
        <v>1731</v>
      </c>
      <c r="DP53" t="s">
        <v>201</v>
      </c>
      <c r="DQ53">
        <v>16063</v>
      </c>
      <c r="DR53">
        <v>1</v>
      </c>
      <c r="DS53">
        <v>405</v>
      </c>
      <c r="DV53">
        <v>756</v>
      </c>
      <c r="DW53" t="s">
        <v>58</v>
      </c>
      <c r="DX53">
        <v>3452.6072490092502</v>
      </c>
      <c r="DY53">
        <v>578</v>
      </c>
      <c r="DZ53">
        <v>636</v>
      </c>
      <c r="EA53">
        <v>294</v>
      </c>
      <c r="EB53">
        <v>2219</v>
      </c>
      <c r="EC53">
        <v>1324</v>
      </c>
      <c r="ED53">
        <v>442</v>
      </c>
      <c r="EE53" s="82">
        <v>0.17460488737845001</v>
      </c>
      <c r="EF53" s="82">
        <v>0.418704494192155</v>
      </c>
    </row>
    <row r="54" spans="1:136" x14ac:dyDescent="0.35">
      <c r="A54" s="72">
        <v>1699</v>
      </c>
      <c r="B54" s="72">
        <v>3</v>
      </c>
      <c r="D54" s="72" t="s">
        <v>219</v>
      </c>
      <c r="E54" s="79">
        <v>2487200000</v>
      </c>
      <c r="F54" s="79">
        <v>520450000</v>
      </c>
      <c r="G54" s="79">
        <v>550550000</v>
      </c>
      <c r="H54" s="79">
        <v>32370</v>
      </c>
      <c r="I54" s="79">
        <v>3</v>
      </c>
      <c r="J54" s="79">
        <v>550.54999999999995</v>
      </c>
      <c r="K54" s="79">
        <v>7313</v>
      </c>
      <c r="L54" s="79">
        <v>8212</v>
      </c>
      <c r="M54" s="79">
        <v>2737</v>
      </c>
      <c r="N54" s="79">
        <v>4541</v>
      </c>
      <c r="O54" s="79">
        <v>3055.6</v>
      </c>
      <c r="P54" s="79">
        <v>581</v>
      </c>
      <c r="Q54" s="79">
        <v>1900</v>
      </c>
      <c r="R54" s="79">
        <v>1340</v>
      </c>
      <c r="S54" s="79">
        <v>0</v>
      </c>
      <c r="T54" s="79">
        <v>875</v>
      </c>
      <c r="U54" s="79">
        <v>15430</v>
      </c>
      <c r="V54" s="79">
        <v>29310</v>
      </c>
      <c r="W54" s="79">
        <v>15790</v>
      </c>
      <c r="X54" s="79">
        <v>502.86</v>
      </c>
      <c r="Y54" s="79">
        <v>537.6</v>
      </c>
      <c r="Z54" s="79">
        <v>0</v>
      </c>
      <c r="AA54" s="79">
        <v>0</v>
      </c>
      <c r="AB54" s="79">
        <v>232</v>
      </c>
      <c r="AC54" s="79">
        <v>19945</v>
      </c>
      <c r="AD54" s="79">
        <v>19945</v>
      </c>
      <c r="AE54" s="79">
        <v>584</v>
      </c>
      <c r="AF54" s="79">
        <v>0</v>
      </c>
      <c r="AG54" s="79">
        <v>292</v>
      </c>
      <c r="AH54" s="79">
        <v>193</v>
      </c>
      <c r="AI54" s="79">
        <v>100</v>
      </c>
      <c r="AJ54" s="79">
        <v>14854</v>
      </c>
      <c r="AK54" s="79">
        <v>14854</v>
      </c>
      <c r="AL54" s="79">
        <v>0</v>
      </c>
      <c r="AM54" s="79">
        <v>0</v>
      </c>
      <c r="AN54" s="79">
        <v>0</v>
      </c>
      <c r="AO54" s="79">
        <v>0</v>
      </c>
      <c r="AP54" s="79">
        <v>0</v>
      </c>
      <c r="AQ54" s="79">
        <v>0</v>
      </c>
      <c r="AR54" s="80">
        <v>6.55228E-4</v>
      </c>
      <c r="AS54" s="80">
        <v>3.3366E-4</v>
      </c>
      <c r="AT54" s="79">
        <v>10115.574000000001</v>
      </c>
      <c r="AU54" s="79">
        <v>0</v>
      </c>
      <c r="AV54" s="79">
        <v>4591</v>
      </c>
      <c r="AW54" s="79">
        <v>7500.8081250913401</v>
      </c>
      <c r="AX54" s="79">
        <v>16</v>
      </c>
      <c r="AY54" s="79">
        <v>16</v>
      </c>
      <c r="AZ54" s="79">
        <v>3114</v>
      </c>
      <c r="BA54" s="79">
        <v>1</v>
      </c>
      <c r="BB54" s="79">
        <v>0</v>
      </c>
      <c r="BC54" s="79">
        <v>0</v>
      </c>
      <c r="BD54" s="79">
        <v>0</v>
      </c>
      <c r="BE54" s="79">
        <v>0</v>
      </c>
      <c r="BF54" s="79">
        <v>0</v>
      </c>
      <c r="BG54" s="79">
        <v>0</v>
      </c>
      <c r="BH54" s="79">
        <v>0</v>
      </c>
      <c r="BI54" s="79">
        <v>0</v>
      </c>
      <c r="BJ54" s="79">
        <v>0</v>
      </c>
      <c r="BK54" s="79">
        <v>13</v>
      </c>
      <c r="BL54" s="79">
        <v>4164</v>
      </c>
      <c r="BM54" s="79">
        <v>193</v>
      </c>
      <c r="BN54" s="79">
        <v>100</v>
      </c>
      <c r="BO54">
        <v>7383</v>
      </c>
      <c r="BP54">
        <v>400</v>
      </c>
      <c r="BQ54">
        <v>6649</v>
      </c>
      <c r="BR54">
        <v>398</v>
      </c>
      <c r="BS54">
        <v>6465</v>
      </c>
      <c r="BT54">
        <v>413</v>
      </c>
      <c r="BU54">
        <v>6405</v>
      </c>
      <c r="BV54">
        <v>469</v>
      </c>
      <c r="BW54">
        <v>6338</v>
      </c>
      <c r="BX54">
        <v>510</v>
      </c>
      <c r="BY54">
        <v>6229</v>
      </c>
      <c r="BZ54">
        <v>528</v>
      </c>
      <c r="CA54">
        <v>6552</v>
      </c>
      <c r="CB54">
        <v>761.66466683712895</v>
      </c>
      <c r="CC54">
        <v>56.788338136003198</v>
      </c>
      <c r="CD54">
        <v>74.350819375952497</v>
      </c>
      <c r="CE54">
        <v>9341.8038721135599</v>
      </c>
      <c r="CF54">
        <v>2053.5382434452399</v>
      </c>
      <c r="CG54">
        <v>161.01684955752199</v>
      </c>
      <c r="CH54">
        <v>325</v>
      </c>
      <c r="CI54">
        <v>182.869892680801</v>
      </c>
      <c r="CJ54">
        <v>132.32381079859601</v>
      </c>
      <c r="CK54" s="81">
        <v>1319</v>
      </c>
      <c r="CL54">
        <v>406</v>
      </c>
      <c r="CM54">
        <v>5192.84089049261</v>
      </c>
      <c r="CN54">
        <v>1.3906195903634899</v>
      </c>
      <c r="CO54">
        <v>24158</v>
      </c>
      <c r="CP54">
        <v>4539</v>
      </c>
      <c r="CQ54">
        <v>936</v>
      </c>
      <c r="CR54">
        <v>846</v>
      </c>
      <c r="CS54">
        <v>801</v>
      </c>
      <c r="CT54">
        <v>463</v>
      </c>
      <c r="CU54">
        <v>568.20542380370205</v>
      </c>
      <c r="CV54">
        <v>383.46665820785699</v>
      </c>
      <c r="CW54">
        <v>140.50843753002499</v>
      </c>
      <c r="CX54">
        <v>1229.9086078242699</v>
      </c>
      <c r="CY54">
        <v>830.03245654758496</v>
      </c>
      <c r="CZ54">
        <v>304.13742908905601</v>
      </c>
      <c r="DA54">
        <v>3969</v>
      </c>
      <c r="DE54">
        <v>177</v>
      </c>
      <c r="DF54" t="s">
        <v>249</v>
      </c>
      <c r="DG54">
        <v>8519</v>
      </c>
      <c r="DH54">
        <v>8320</v>
      </c>
      <c r="DI54">
        <v>8202</v>
      </c>
      <c r="DJ54">
        <v>8026</v>
      </c>
      <c r="DK54">
        <v>7837</v>
      </c>
      <c r="DO54">
        <v>1699</v>
      </c>
      <c r="DP54" t="s">
        <v>219</v>
      </c>
      <c r="DQ54">
        <v>14854</v>
      </c>
      <c r="DR54">
        <v>1</v>
      </c>
      <c r="DS54">
        <v>681</v>
      </c>
      <c r="DV54">
        <v>757</v>
      </c>
      <c r="DW54" t="s">
        <v>59</v>
      </c>
      <c r="DX54">
        <v>3878.9735193197098</v>
      </c>
      <c r="DY54">
        <v>753</v>
      </c>
      <c r="DZ54">
        <v>644</v>
      </c>
      <c r="EA54">
        <v>341</v>
      </c>
      <c r="EB54">
        <v>2396</v>
      </c>
      <c r="EC54">
        <v>1284</v>
      </c>
      <c r="ED54">
        <v>462</v>
      </c>
      <c r="EE54" s="82">
        <v>0.182827088539534</v>
      </c>
      <c r="EF54" s="82">
        <v>0.44140850577478302</v>
      </c>
    </row>
    <row r="55" spans="1:136" x14ac:dyDescent="0.35">
      <c r="A55" s="72">
        <v>1730</v>
      </c>
      <c r="B55" s="72">
        <v>3</v>
      </c>
      <c r="D55" s="72" t="s">
        <v>299</v>
      </c>
      <c r="E55" s="79">
        <v>2895600000</v>
      </c>
      <c r="F55" s="79">
        <v>322700000</v>
      </c>
      <c r="G55" s="79">
        <v>389550000</v>
      </c>
      <c r="H55" s="79">
        <v>33462</v>
      </c>
      <c r="I55" s="79">
        <v>4</v>
      </c>
      <c r="J55" s="79">
        <v>389.55</v>
      </c>
      <c r="K55" s="79">
        <v>7828</v>
      </c>
      <c r="L55" s="79">
        <v>7917</v>
      </c>
      <c r="M55" s="79">
        <v>2535</v>
      </c>
      <c r="N55" s="79">
        <v>3704</v>
      </c>
      <c r="O55" s="79">
        <v>2150.4</v>
      </c>
      <c r="P55" s="79">
        <v>429.66666666666703</v>
      </c>
      <c r="Q55" s="79">
        <v>1869.6666666666699</v>
      </c>
      <c r="R55" s="79">
        <v>525</v>
      </c>
      <c r="S55" s="79">
        <v>0</v>
      </c>
      <c r="T55" s="79">
        <v>908</v>
      </c>
      <c r="U55" s="79">
        <v>15102</v>
      </c>
      <c r="V55" s="79">
        <v>28810</v>
      </c>
      <c r="W55" s="79">
        <v>10700</v>
      </c>
      <c r="X55" s="79">
        <v>139.02279999999999</v>
      </c>
      <c r="Y55" s="79">
        <v>304</v>
      </c>
      <c r="Z55" s="79">
        <v>0</v>
      </c>
      <c r="AA55" s="79">
        <v>0</v>
      </c>
      <c r="AB55" s="79">
        <v>0</v>
      </c>
      <c r="AC55" s="79">
        <v>14298</v>
      </c>
      <c r="AD55" s="79">
        <v>14298</v>
      </c>
      <c r="AE55" s="79">
        <v>472</v>
      </c>
      <c r="AF55" s="79">
        <v>0</v>
      </c>
      <c r="AG55" s="79">
        <v>279</v>
      </c>
      <c r="AH55" s="79">
        <v>203</v>
      </c>
      <c r="AI55" s="79">
        <v>76</v>
      </c>
      <c r="AJ55" s="79">
        <v>15536</v>
      </c>
      <c r="AK55" s="79">
        <v>15536</v>
      </c>
      <c r="AL55" s="79">
        <v>0</v>
      </c>
      <c r="AM55" s="79">
        <v>0</v>
      </c>
      <c r="AN55" s="79">
        <v>0</v>
      </c>
      <c r="AO55" s="79">
        <v>0</v>
      </c>
      <c r="AP55" s="79">
        <v>0</v>
      </c>
      <c r="AQ55" s="79">
        <v>0</v>
      </c>
      <c r="AR55" s="80">
        <v>6.9887200000000001E-4</v>
      </c>
      <c r="AS55" s="80">
        <v>3.02849E-4</v>
      </c>
      <c r="AT55" s="79">
        <v>7814.6080000000002</v>
      </c>
      <c r="AU55" s="79">
        <v>0</v>
      </c>
      <c r="AV55" s="79">
        <v>3106</v>
      </c>
      <c r="AW55" s="79">
        <v>7118.3211916046002</v>
      </c>
      <c r="AX55" s="79">
        <v>18</v>
      </c>
      <c r="AY55" s="79">
        <v>18</v>
      </c>
      <c r="AZ55" s="79">
        <v>3496</v>
      </c>
      <c r="BA55" s="79">
        <v>1</v>
      </c>
      <c r="BB55" s="79">
        <v>0</v>
      </c>
      <c r="BC55" s="79">
        <v>0</v>
      </c>
      <c r="BD55" s="79">
        <v>0</v>
      </c>
      <c r="BE55" s="79">
        <v>0</v>
      </c>
      <c r="BF55" s="79">
        <v>0</v>
      </c>
      <c r="BG55" s="79">
        <v>0</v>
      </c>
      <c r="BH55" s="79">
        <v>0</v>
      </c>
      <c r="BI55" s="79">
        <v>0</v>
      </c>
      <c r="BJ55" s="79">
        <v>0</v>
      </c>
      <c r="BK55" s="79">
        <v>9</v>
      </c>
      <c r="BL55" s="79">
        <v>4103</v>
      </c>
      <c r="BM55" s="79">
        <v>203</v>
      </c>
      <c r="BN55" s="79">
        <v>76</v>
      </c>
      <c r="BO55">
        <v>7716</v>
      </c>
      <c r="BP55">
        <v>435</v>
      </c>
      <c r="BQ55">
        <v>7052</v>
      </c>
      <c r="BR55">
        <v>459</v>
      </c>
      <c r="BS55">
        <v>7038</v>
      </c>
      <c r="BT55">
        <v>431</v>
      </c>
      <c r="BU55">
        <v>7028</v>
      </c>
      <c r="BV55">
        <v>394</v>
      </c>
      <c r="BW55">
        <v>6974</v>
      </c>
      <c r="BX55">
        <v>368</v>
      </c>
      <c r="BY55">
        <v>6941</v>
      </c>
      <c r="BZ55">
        <v>402</v>
      </c>
      <c r="CA55">
        <v>7017</v>
      </c>
      <c r="CB55">
        <v>512.44188751883701</v>
      </c>
      <c r="CC55">
        <v>34.980426215182099</v>
      </c>
      <c r="CD55">
        <v>32.9258836902711</v>
      </c>
      <c r="CE55">
        <v>10419.560550067399</v>
      </c>
      <c r="CF55">
        <v>2809.4680633634098</v>
      </c>
      <c r="CG55">
        <v>165.88960766961699</v>
      </c>
      <c r="CH55">
        <v>325</v>
      </c>
      <c r="CI55">
        <v>130.92333169637601</v>
      </c>
      <c r="CJ55">
        <v>102.524346704542</v>
      </c>
      <c r="CK55" s="81">
        <v>1440</v>
      </c>
      <c r="CL55">
        <v>571</v>
      </c>
      <c r="CM55">
        <v>4666.2781441287698</v>
      </c>
      <c r="CN55">
        <v>1.0088566583032399</v>
      </c>
      <c r="CO55">
        <v>25545</v>
      </c>
      <c r="CP55">
        <v>4298</v>
      </c>
      <c r="CQ55">
        <v>1084</v>
      </c>
      <c r="CR55">
        <v>784</v>
      </c>
      <c r="CS55">
        <v>796</v>
      </c>
      <c r="CT55">
        <v>525</v>
      </c>
      <c r="CU55">
        <v>361.54400080591802</v>
      </c>
      <c r="CV55">
        <v>234.339201134923</v>
      </c>
      <c r="CW55">
        <v>102.151406047001</v>
      </c>
      <c r="CX55">
        <v>956.638658387855</v>
      </c>
      <c r="CY55">
        <v>620.05713960591095</v>
      </c>
      <c r="CZ55">
        <v>270.29070822750299</v>
      </c>
      <c r="DA55">
        <v>92998.2</v>
      </c>
      <c r="DE55">
        <v>180</v>
      </c>
      <c r="DF55" t="s">
        <v>283</v>
      </c>
      <c r="DG55">
        <v>4863</v>
      </c>
      <c r="DH55">
        <v>4899</v>
      </c>
      <c r="DI55">
        <v>4844</v>
      </c>
      <c r="DJ55">
        <v>4805</v>
      </c>
      <c r="DK55">
        <v>4749</v>
      </c>
      <c r="DO55">
        <v>1730</v>
      </c>
      <c r="DP55" t="s">
        <v>299</v>
      </c>
      <c r="DQ55">
        <v>15536</v>
      </c>
      <c r="DR55">
        <v>1</v>
      </c>
      <c r="DS55">
        <v>503</v>
      </c>
      <c r="DV55">
        <v>758</v>
      </c>
      <c r="DW55" t="s">
        <v>60</v>
      </c>
      <c r="DX55">
        <v>25815.135593026302</v>
      </c>
      <c r="DY55">
        <v>4598</v>
      </c>
      <c r="DZ55">
        <v>3823</v>
      </c>
      <c r="EA55">
        <v>2125</v>
      </c>
      <c r="EB55">
        <v>11781</v>
      </c>
      <c r="EC55">
        <v>7383</v>
      </c>
      <c r="ED55">
        <v>2891</v>
      </c>
      <c r="EE55" s="82">
        <v>0.20266417634537801</v>
      </c>
      <c r="EF55" s="82">
        <v>0.41136582378160802</v>
      </c>
    </row>
    <row r="56" spans="1:136" x14ac:dyDescent="0.35">
      <c r="A56" s="72">
        <v>1701</v>
      </c>
      <c r="B56" s="72">
        <v>3</v>
      </c>
      <c r="D56" s="72" t="s">
        <v>337</v>
      </c>
      <c r="E56" s="79">
        <v>1739200000</v>
      </c>
      <c r="F56" s="79">
        <v>246050000</v>
      </c>
      <c r="G56" s="79">
        <v>294000000</v>
      </c>
      <c r="H56" s="79">
        <v>19152</v>
      </c>
      <c r="I56" s="79">
        <v>4</v>
      </c>
      <c r="J56" s="79">
        <v>294</v>
      </c>
      <c r="K56" s="79">
        <v>3723</v>
      </c>
      <c r="L56" s="79">
        <v>5265</v>
      </c>
      <c r="M56" s="79">
        <v>1682</v>
      </c>
      <c r="N56" s="79">
        <v>2561</v>
      </c>
      <c r="O56" s="79">
        <v>1569.4</v>
      </c>
      <c r="P56" s="79">
        <v>256.66666666666703</v>
      </c>
      <c r="Q56" s="79">
        <v>1298.6666666666699</v>
      </c>
      <c r="R56" s="79">
        <v>190</v>
      </c>
      <c r="S56" s="79">
        <v>0</v>
      </c>
      <c r="T56" s="79">
        <v>399</v>
      </c>
      <c r="U56" s="79">
        <v>9014</v>
      </c>
      <c r="V56" s="79">
        <v>16140</v>
      </c>
      <c r="W56" s="79">
        <v>2410</v>
      </c>
      <c r="X56" s="79">
        <v>0</v>
      </c>
      <c r="Y56" s="79">
        <v>166.4</v>
      </c>
      <c r="Z56" s="79">
        <v>0</v>
      </c>
      <c r="AA56" s="79">
        <v>0</v>
      </c>
      <c r="AB56" s="79">
        <v>0</v>
      </c>
      <c r="AC56" s="79">
        <v>27849</v>
      </c>
      <c r="AD56" s="79">
        <v>27849</v>
      </c>
      <c r="AE56" s="79">
        <v>425</v>
      </c>
      <c r="AF56" s="79">
        <v>0</v>
      </c>
      <c r="AG56" s="79">
        <v>225</v>
      </c>
      <c r="AH56" s="79">
        <v>112</v>
      </c>
      <c r="AI56" s="79">
        <v>114</v>
      </c>
      <c r="AJ56" s="79">
        <v>9916</v>
      </c>
      <c r="AK56" s="79">
        <v>9916</v>
      </c>
      <c r="AL56" s="79">
        <v>0</v>
      </c>
      <c r="AM56" s="79">
        <v>0</v>
      </c>
      <c r="AN56" s="79">
        <v>0</v>
      </c>
      <c r="AO56" s="79">
        <v>0</v>
      </c>
      <c r="AP56" s="79">
        <v>0</v>
      </c>
      <c r="AQ56" s="79">
        <v>0</v>
      </c>
      <c r="AR56" s="80">
        <v>5.2342199999999995E-4</v>
      </c>
      <c r="AS56" s="80">
        <v>1.2335100000000001E-4</v>
      </c>
      <c r="AT56" s="79">
        <v>2082.36</v>
      </c>
      <c r="AU56" s="79">
        <v>0</v>
      </c>
      <c r="AV56" s="79">
        <v>3876</v>
      </c>
      <c r="AW56" s="79">
        <v>2625.49168847705</v>
      </c>
      <c r="AX56" s="79">
        <v>29</v>
      </c>
      <c r="AY56" s="79">
        <v>29</v>
      </c>
      <c r="AZ56" s="79">
        <v>2388</v>
      </c>
      <c r="BA56" s="79">
        <v>1</v>
      </c>
      <c r="BB56" s="79">
        <v>0</v>
      </c>
      <c r="BC56" s="79">
        <v>0</v>
      </c>
      <c r="BD56" s="79">
        <v>0</v>
      </c>
      <c r="BE56" s="79">
        <v>0</v>
      </c>
      <c r="BF56" s="79">
        <v>0</v>
      </c>
      <c r="BG56" s="79">
        <v>0</v>
      </c>
      <c r="BH56" s="79">
        <v>0</v>
      </c>
      <c r="BI56" s="79">
        <v>0</v>
      </c>
      <c r="BJ56" s="79">
        <v>0</v>
      </c>
      <c r="BK56" s="79">
        <v>2</v>
      </c>
      <c r="BL56" s="79">
        <v>2669</v>
      </c>
      <c r="BM56" s="79">
        <v>112</v>
      </c>
      <c r="BN56" s="79">
        <v>114</v>
      </c>
      <c r="BO56">
        <v>4270</v>
      </c>
      <c r="BP56">
        <v>376</v>
      </c>
      <c r="BQ56">
        <v>3856</v>
      </c>
      <c r="BR56">
        <v>332</v>
      </c>
      <c r="BS56">
        <v>3831</v>
      </c>
      <c r="BT56">
        <v>309</v>
      </c>
      <c r="BU56">
        <v>3793</v>
      </c>
      <c r="BV56">
        <v>277</v>
      </c>
      <c r="BW56">
        <v>3705</v>
      </c>
      <c r="BX56">
        <v>287</v>
      </c>
      <c r="BY56">
        <v>3616</v>
      </c>
      <c r="BZ56">
        <v>239</v>
      </c>
      <c r="CA56">
        <v>3296</v>
      </c>
      <c r="CB56">
        <v>288.70070510087299</v>
      </c>
      <c r="CC56">
        <v>43.8494469340893</v>
      </c>
      <c r="CD56">
        <v>11.673451942213701</v>
      </c>
      <c r="CE56">
        <v>5640.8313120780203</v>
      </c>
      <c r="CF56">
        <v>1186.2646312721199</v>
      </c>
      <c r="CG56">
        <v>69.522001573564097</v>
      </c>
      <c r="CH56">
        <v>156</v>
      </c>
      <c r="CI56">
        <v>69.077008493200296</v>
      </c>
      <c r="CJ56">
        <v>63.501238962328799</v>
      </c>
      <c r="CK56" s="81">
        <v>1042</v>
      </c>
      <c r="CL56">
        <v>314</v>
      </c>
      <c r="CM56">
        <v>3020.63645195354</v>
      </c>
      <c r="CN56">
        <v>0.409745798743333</v>
      </c>
      <c r="CO56">
        <v>13887</v>
      </c>
      <c r="CP56">
        <v>2977</v>
      </c>
      <c r="CQ56">
        <v>606</v>
      </c>
      <c r="CR56">
        <v>590</v>
      </c>
      <c r="CS56">
        <v>494</v>
      </c>
      <c r="CT56">
        <v>305</v>
      </c>
      <c r="CU56">
        <v>292.74170001033298</v>
      </c>
      <c r="CV56">
        <v>178.01860135763499</v>
      </c>
      <c r="CW56">
        <v>68.675620434856398</v>
      </c>
      <c r="CX56">
        <v>816.60573568334905</v>
      </c>
      <c r="CY56">
        <v>496.58456899663099</v>
      </c>
      <c r="CZ56">
        <v>191.57129150625599</v>
      </c>
      <c r="DA56">
        <v>41975</v>
      </c>
      <c r="DE56">
        <v>183</v>
      </c>
      <c r="DF56" t="s">
        <v>297</v>
      </c>
      <c r="DG56">
        <v>5544</v>
      </c>
      <c r="DH56">
        <v>5465</v>
      </c>
      <c r="DI56">
        <v>5372</v>
      </c>
      <c r="DJ56">
        <v>5251</v>
      </c>
      <c r="DK56">
        <v>5170</v>
      </c>
      <c r="DO56">
        <v>1701</v>
      </c>
      <c r="DP56" t="s">
        <v>337</v>
      </c>
      <c r="DQ56">
        <v>9916</v>
      </c>
      <c r="DR56">
        <v>1</v>
      </c>
      <c r="DS56">
        <v>210</v>
      </c>
      <c r="DV56">
        <v>501</v>
      </c>
      <c r="DW56" t="s">
        <v>61</v>
      </c>
      <c r="DX56">
        <v>1774.0691299165701</v>
      </c>
      <c r="DY56">
        <v>459</v>
      </c>
      <c r="DZ56">
        <v>395</v>
      </c>
      <c r="EA56">
        <v>171</v>
      </c>
      <c r="EB56">
        <v>1351</v>
      </c>
      <c r="EC56">
        <v>828</v>
      </c>
      <c r="ED56">
        <v>264</v>
      </c>
      <c r="EE56" s="82">
        <v>0.122509611177294</v>
      </c>
      <c r="EF56" s="82">
        <v>0.34682182854538701</v>
      </c>
    </row>
    <row r="57" spans="1:136" x14ac:dyDescent="0.35">
      <c r="A57" s="72">
        <v>141</v>
      </c>
      <c r="B57" s="72">
        <v>4</v>
      </c>
      <c r="D57" s="72" t="s">
        <v>18</v>
      </c>
      <c r="E57" s="79">
        <v>4165600000</v>
      </c>
      <c r="F57" s="79">
        <v>1179500000</v>
      </c>
      <c r="G57" s="79">
        <v>1240400000</v>
      </c>
      <c r="H57" s="79">
        <v>72629</v>
      </c>
      <c r="I57" s="79">
        <v>1</v>
      </c>
      <c r="J57" s="79">
        <v>1240.4000000000001</v>
      </c>
      <c r="K57" s="79">
        <v>16762</v>
      </c>
      <c r="L57" s="79">
        <v>13912</v>
      </c>
      <c r="M57" s="79">
        <v>4274</v>
      </c>
      <c r="N57" s="79">
        <v>12014</v>
      </c>
      <c r="O57" s="79">
        <v>8694</v>
      </c>
      <c r="P57" s="79">
        <v>2747</v>
      </c>
      <c r="Q57" s="79">
        <v>8428</v>
      </c>
      <c r="R57" s="79">
        <v>7920</v>
      </c>
      <c r="S57" s="79">
        <v>0</v>
      </c>
      <c r="T57" s="79">
        <v>2569</v>
      </c>
      <c r="U57" s="79">
        <v>33580</v>
      </c>
      <c r="V57" s="79">
        <v>83010</v>
      </c>
      <c r="W57" s="79">
        <v>115360</v>
      </c>
      <c r="X57" s="79">
        <v>3839.48</v>
      </c>
      <c r="Y57" s="79">
        <v>5072.8</v>
      </c>
      <c r="Z57" s="79">
        <v>0</v>
      </c>
      <c r="AA57" s="79">
        <v>0</v>
      </c>
      <c r="AB57" s="79">
        <v>0</v>
      </c>
      <c r="AC57" s="79">
        <v>6715</v>
      </c>
      <c r="AD57" s="79">
        <v>6715</v>
      </c>
      <c r="AE57" s="79">
        <v>225</v>
      </c>
      <c r="AF57" s="79">
        <v>0</v>
      </c>
      <c r="AG57" s="79">
        <v>547</v>
      </c>
      <c r="AH57" s="79">
        <v>414</v>
      </c>
      <c r="AI57" s="79">
        <v>133</v>
      </c>
      <c r="AJ57" s="79">
        <v>33200</v>
      </c>
      <c r="AK57" s="79">
        <v>33200</v>
      </c>
      <c r="AL57" s="79">
        <v>10</v>
      </c>
      <c r="AM57" s="79">
        <v>0</v>
      </c>
      <c r="AN57" s="79">
        <v>0</v>
      </c>
      <c r="AO57" s="79">
        <v>0</v>
      </c>
      <c r="AP57" s="79">
        <v>7097</v>
      </c>
      <c r="AQ57" s="79">
        <v>7097</v>
      </c>
      <c r="AR57" s="80">
        <v>4.3936779999999998E-3</v>
      </c>
      <c r="AS57" s="80">
        <v>6.5105689999999999E-3</v>
      </c>
      <c r="AT57" s="79">
        <v>52090.8</v>
      </c>
      <c r="AU57" s="79">
        <v>0</v>
      </c>
      <c r="AV57" s="79">
        <v>1999</v>
      </c>
      <c r="AW57" s="79">
        <v>20920.0822766571</v>
      </c>
      <c r="AX57" s="79">
        <v>3</v>
      </c>
      <c r="AY57" s="79">
        <v>3</v>
      </c>
      <c r="AZ57" s="79">
        <v>6173</v>
      </c>
      <c r="BA57" s="79">
        <v>1</v>
      </c>
      <c r="BB57" s="79">
        <v>0</v>
      </c>
      <c r="BC57" s="79">
        <v>0</v>
      </c>
      <c r="BD57" s="79">
        <v>0</v>
      </c>
      <c r="BE57" s="79">
        <v>0</v>
      </c>
      <c r="BF57" s="79">
        <v>0</v>
      </c>
      <c r="BG57" s="79">
        <v>0</v>
      </c>
      <c r="BH57" s="79">
        <v>0</v>
      </c>
      <c r="BI57" s="79">
        <v>0</v>
      </c>
      <c r="BJ57" s="79">
        <v>0</v>
      </c>
      <c r="BK57" s="79">
        <v>60</v>
      </c>
      <c r="BL57" s="79">
        <v>11630</v>
      </c>
      <c r="BM57" s="79">
        <v>414</v>
      </c>
      <c r="BN57" s="79">
        <v>133</v>
      </c>
      <c r="BO57">
        <v>17943</v>
      </c>
      <c r="BP57">
        <v>5905</v>
      </c>
      <c r="BQ57">
        <v>16202</v>
      </c>
      <c r="BR57">
        <v>5758</v>
      </c>
      <c r="BS57">
        <v>16203</v>
      </c>
      <c r="BT57">
        <v>5780</v>
      </c>
      <c r="BU57">
        <v>16197</v>
      </c>
      <c r="BV57">
        <v>5931</v>
      </c>
      <c r="BW57">
        <v>16090</v>
      </c>
      <c r="BX57">
        <v>6103</v>
      </c>
      <c r="BY57">
        <v>15848</v>
      </c>
      <c r="BZ57">
        <v>6042</v>
      </c>
      <c r="CA57">
        <v>14940</v>
      </c>
      <c r="CB57">
        <v>2479.7247214419899</v>
      </c>
      <c r="CC57">
        <v>408.79461195016103</v>
      </c>
      <c r="CD57">
        <v>350.79218685419397</v>
      </c>
      <c r="CE57">
        <v>17614.2207664661</v>
      </c>
      <c r="CF57">
        <v>4257.09997466598</v>
      </c>
      <c r="CG57">
        <v>634.29546592489601</v>
      </c>
      <c r="CH57">
        <v>995</v>
      </c>
      <c r="CI57">
        <v>864.02649256642906</v>
      </c>
      <c r="CJ57">
        <v>737.18198080289994</v>
      </c>
      <c r="CK57" s="81">
        <v>5681</v>
      </c>
      <c r="CL57">
        <v>1739</v>
      </c>
      <c r="CM57">
        <v>12582.3412219537</v>
      </c>
      <c r="CN57">
        <v>8.6989657746948907</v>
      </c>
      <c r="CO57">
        <v>58717</v>
      </c>
      <c r="CP57">
        <v>8091</v>
      </c>
      <c r="CQ57">
        <v>1547</v>
      </c>
      <c r="CR57">
        <v>1964</v>
      </c>
      <c r="CS57">
        <v>1575</v>
      </c>
      <c r="CT57">
        <v>855</v>
      </c>
      <c r="CU57">
        <v>1351.69609679522</v>
      </c>
      <c r="CV57">
        <v>801.53850296206201</v>
      </c>
      <c r="CW57">
        <v>296.94369890851999</v>
      </c>
      <c r="CX57">
        <v>2983.64924863651</v>
      </c>
      <c r="CY57">
        <v>1769.2658562720601</v>
      </c>
      <c r="CZ57">
        <v>655.45491049085695</v>
      </c>
      <c r="DA57">
        <v>125654.5</v>
      </c>
      <c r="DE57">
        <v>184</v>
      </c>
      <c r="DF57" t="s">
        <v>304</v>
      </c>
      <c r="DG57">
        <v>6626</v>
      </c>
      <c r="DH57">
        <v>6667</v>
      </c>
      <c r="DI57">
        <v>6794</v>
      </c>
      <c r="DJ57">
        <v>6806</v>
      </c>
      <c r="DK57">
        <v>6830</v>
      </c>
      <c r="DO57">
        <v>141</v>
      </c>
      <c r="DP57" t="s">
        <v>18</v>
      </c>
      <c r="DQ57">
        <v>33200</v>
      </c>
      <c r="DR57">
        <v>1</v>
      </c>
      <c r="DS57">
        <v>1569</v>
      </c>
      <c r="DV57">
        <v>1876</v>
      </c>
      <c r="DW57" t="s">
        <v>62</v>
      </c>
      <c r="DX57">
        <v>4328.1070251405699</v>
      </c>
      <c r="DY57">
        <v>891</v>
      </c>
      <c r="DZ57">
        <v>927</v>
      </c>
      <c r="EA57">
        <v>579</v>
      </c>
      <c r="EB57">
        <v>3129</v>
      </c>
      <c r="EC57">
        <v>1956</v>
      </c>
      <c r="ED57">
        <v>798</v>
      </c>
      <c r="EE57" s="82">
        <v>0.161944382081981</v>
      </c>
      <c r="EF57" s="82">
        <v>0.42992500956889801</v>
      </c>
    </row>
    <row r="58" spans="1:136" x14ac:dyDescent="0.35">
      <c r="A58" s="72">
        <v>147</v>
      </c>
      <c r="B58" s="72">
        <v>4</v>
      </c>
      <c r="D58" s="72" t="s">
        <v>56</v>
      </c>
      <c r="E58" s="79">
        <v>1735200000</v>
      </c>
      <c r="F58" s="79">
        <v>219100000</v>
      </c>
      <c r="G58" s="79">
        <v>237300000</v>
      </c>
      <c r="H58" s="79">
        <v>23124</v>
      </c>
      <c r="I58" s="79">
        <v>1</v>
      </c>
      <c r="J58" s="79">
        <v>237.3</v>
      </c>
      <c r="K58" s="79">
        <v>5496</v>
      </c>
      <c r="L58" s="79">
        <v>4837</v>
      </c>
      <c r="M58" s="79">
        <v>1546</v>
      </c>
      <c r="N58" s="79">
        <v>2633</v>
      </c>
      <c r="O58" s="79">
        <v>1654.7</v>
      </c>
      <c r="P58" s="79">
        <v>315</v>
      </c>
      <c r="Q58" s="79">
        <v>1441</v>
      </c>
      <c r="R58" s="79">
        <v>605</v>
      </c>
      <c r="S58" s="79">
        <v>0</v>
      </c>
      <c r="T58" s="79">
        <v>584</v>
      </c>
      <c r="U58" s="79">
        <v>9842</v>
      </c>
      <c r="V58" s="79">
        <v>21430</v>
      </c>
      <c r="W58" s="79">
        <v>13780</v>
      </c>
      <c r="X58" s="79">
        <v>0</v>
      </c>
      <c r="Y58" s="79">
        <v>173.6</v>
      </c>
      <c r="Z58" s="79">
        <v>0</v>
      </c>
      <c r="AA58" s="79">
        <v>0</v>
      </c>
      <c r="AB58" s="79">
        <v>0</v>
      </c>
      <c r="AC58" s="79">
        <v>2597</v>
      </c>
      <c r="AD58" s="79">
        <v>2597</v>
      </c>
      <c r="AE58" s="79">
        <v>19</v>
      </c>
      <c r="AF58" s="79">
        <v>0</v>
      </c>
      <c r="AG58" s="79">
        <v>141</v>
      </c>
      <c r="AH58" s="79">
        <v>121</v>
      </c>
      <c r="AI58" s="79">
        <v>20</v>
      </c>
      <c r="AJ58" s="79">
        <v>9783</v>
      </c>
      <c r="AK58" s="79">
        <v>9783</v>
      </c>
      <c r="AL58" s="79">
        <v>0</v>
      </c>
      <c r="AM58" s="79">
        <v>0</v>
      </c>
      <c r="AN58" s="79">
        <v>0</v>
      </c>
      <c r="AO58" s="79">
        <v>0</v>
      </c>
      <c r="AP58" s="79">
        <v>1224</v>
      </c>
      <c r="AQ58" s="79">
        <v>0</v>
      </c>
      <c r="AR58" s="80">
        <v>3.2157099999999999E-4</v>
      </c>
      <c r="AS58" s="80">
        <v>1.6967100000000001E-4</v>
      </c>
      <c r="AT58" s="79">
        <v>11925.477000000001</v>
      </c>
      <c r="AU58" s="79">
        <v>0</v>
      </c>
      <c r="AV58" s="79">
        <v>405</v>
      </c>
      <c r="AW58" s="79">
        <v>3579.9770642201802</v>
      </c>
      <c r="AX58" s="79">
        <v>3</v>
      </c>
      <c r="AY58" s="79">
        <v>3</v>
      </c>
      <c r="AZ58" s="79">
        <v>2031</v>
      </c>
      <c r="BA58" s="79">
        <v>1</v>
      </c>
      <c r="BB58" s="79">
        <v>0</v>
      </c>
      <c r="BC58" s="79">
        <v>0</v>
      </c>
      <c r="BD58" s="79">
        <v>0</v>
      </c>
      <c r="BE58" s="79">
        <v>0</v>
      </c>
      <c r="BF58" s="79">
        <v>0</v>
      </c>
      <c r="BG58" s="79">
        <v>0</v>
      </c>
      <c r="BH58" s="79">
        <v>0</v>
      </c>
      <c r="BI58" s="79">
        <v>0</v>
      </c>
      <c r="BJ58" s="79">
        <v>0</v>
      </c>
      <c r="BK58" s="79">
        <v>23</v>
      </c>
      <c r="BL58" s="79">
        <v>2657</v>
      </c>
      <c r="BM58" s="79">
        <v>121</v>
      </c>
      <c r="BN58" s="79">
        <v>20</v>
      </c>
      <c r="BO58">
        <v>5352</v>
      </c>
      <c r="BP58">
        <v>647</v>
      </c>
      <c r="BQ58">
        <v>4919</v>
      </c>
      <c r="BR58">
        <v>668</v>
      </c>
      <c r="BS58">
        <v>4864</v>
      </c>
      <c r="BT58">
        <v>720</v>
      </c>
      <c r="BU58">
        <v>4835</v>
      </c>
      <c r="BV58">
        <v>702</v>
      </c>
      <c r="BW58">
        <v>4789</v>
      </c>
      <c r="BX58">
        <v>714</v>
      </c>
      <c r="BY58">
        <v>4801</v>
      </c>
      <c r="BZ58">
        <v>678</v>
      </c>
      <c r="CA58">
        <v>4955</v>
      </c>
      <c r="CB58">
        <v>431.40663981769399</v>
      </c>
      <c r="CC58">
        <v>56.567963367762403</v>
      </c>
      <c r="CD58">
        <v>24.202498679806901</v>
      </c>
      <c r="CE58">
        <v>6741.2339002492199</v>
      </c>
      <c r="CF58">
        <v>1792.60382660664</v>
      </c>
      <c r="CG58">
        <v>71.259042786615495</v>
      </c>
      <c r="CH58">
        <v>226</v>
      </c>
      <c r="CI58">
        <v>119.00050923082701</v>
      </c>
      <c r="CJ58">
        <v>89.043636757231994</v>
      </c>
      <c r="CK58" s="81">
        <v>1126</v>
      </c>
      <c r="CL58">
        <v>354</v>
      </c>
      <c r="CM58">
        <v>3346.8789401602298</v>
      </c>
      <c r="CN58">
        <v>0.53138863666687297</v>
      </c>
      <c r="CO58">
        <v>18287</v>
      </c>
      <c r="CP58">
        <v>2768</v>
      </c>
      <c r="CQ58">
        <v>523</v>
      </c>
      <c r="CR58">
        <v>485</v>
      </c>
      <c r="CS58">
        <v>519</v>
      </c>
      <c r="CT58">
        <v>337</v>
      </c>
      <c r="CU58">
        <v>283.19558059236101</v>
      </c>
      <c r="CV58">
        <v>182.70682618862</v>
      </c>
      <c r="CW58">
        <v>74.774460347564698</v>
      </c>
      <c r="CX58">
        <v>713.385256533649</v>
      </c>
      <c r="CY58">
        <v>460.24855260235398</v>
      </c>
      <c r="CZ58">
        <v>188.36098171318599</v>
      </c>
      <c r="DA58">
        <v>0</v>
      </c>
      <c r="DE58">
        <v>189</v>
      </c>
      <c r="DF58" t="s">
        <v>343</v>
      </c>
      <c r="DG58">
        <v>5542</v>
      </c>
      <c r="DH58">
        <v>5493</v>
      </c>
      <c r="DI58">
        <v>5476</v>
      </c>
      <c r="DJ58">
        <v>5421</v>
      </c>
      <c r="DK58">
        <v>5354</v>
      </c>
      <c r="DO58">
        <v>147</v>
      </c>
      <c r="DP58" t="s">
        <v>56</v>
      </c>
      <c r="DQ58">
        <v>9783</v>
      </c>
      <c r="DR58">
        <v>1</v>
      </c>
      <c r="DS58">
        <v>1219</v>
      </c>
      <c r="DV58">
        <v>213</v>
      </c>
      <c r="DW58" t="s">
        <v>63</v>
      </c>
      <c r="DX58">
        <v>2490.8272425249202</v>
      </c>
      <c r="DY58">
        <v>486</v>
      </c>
      <c r="DZ58">
        <v>514</v>
      </c>
      <c r="EA58">
        <v>302</v>
      </c>
      <c r="EB58">
        <v>1676</v>
      </c>
      <c r="EC58">
        <v>1155</v>
      </c>
      <c r="ED58">
        <v>431</v>
      </c>
      <c r="EE58" s="82">
        <v>0.15657470565769599</v>
      </c>
      <c r="EF58" s="82">
        <v>0.42992500956889801</v>
      </c>
    </row>
    <row r="59" spans="1:136" x14ac:dyDescent="0.35">
      <c r="A59" s="72">
        <v>148</v>
      </c>
      <c r="B59" s="72">
        <v>4</v>
      </c>
      <c r="D59" s="72" t="s">
        <v>74</v>
      </c>
      <c r="E59" s="79">
        <v>2421600000</v>
      </c>
      <c r="F59" s="79">
        <v>391650000</v>
      </c>
      <c r="G59" s="79">
        <v>449750000</v>
      </c>
      <c r="H59" s="79">
        <v>28242</v>
      </c>
      <c r="I59" s="79">
        <v>3</v>
      </c>
      <c r="J59" s="79">
        <v>449.75</v>
      </c>
      <c r="K59" s="79">
        <v>6907</v>
      </c>
      <c r="L59" s="79">
        <v>5770</v>
      </c>
      <c r="M59" s="79">
        <v>1930</v>
      </c>
      <c r="N59" s="79">
        <v>2862</v>
      </c>
      <c r="O59" s="79">
        <v>1675.8</v>
      </c>
      <c r="P59" s="79">
        <v>238.333333333333</v>
      </c>
      <c r="Q59" s="79">
        <v>1301.3333333333301</v>
      </c>
      <c r="R59" s="79">
        <v>270</v>
      </c>
      <c r="S59" s="79">
        <v>0</v>
      </c>
      <c r="T59" s="79">
        <v>515</v>
      </c>
      <c r="U59" s="79">
        <v>11508</v>
      </c>
      <c r="V59" s="79">
        <v>25990</v>
      </c>
      <c r="W59" s="79">
        <v>11190</v>
      </c>
      <c r="X59" s="79">
        <v>0</v>
      </c>
      <c r="Y59" s="79">
        <v>176.8</v>
      </c>
      <c r="Z59" s="79">
        <v>0</v>
      </c>
      <c r="AA59" s="79">
        <v>0</v>
      </c>
      <c r="AB59" s="79">
        <v>13.1</v>
      </c>
      <c r="AC59" s="79">
        <v>16504</v>
      </c>
      <c r="AD59" s="79">
        <v>16504</v>
      </c>
      <c r="AE59" s="79">
        <v>148</v>
      </c>
      <c r="AF59" s="79">
        <v>0</v>
      </c>
      <c r="AG59" s="79">
        <v>335</v>
      </c>
      <c r="AH59" s="79">
        <v>161</v>
      </c>
      <c r="AI59" s="79">
        <v>173</v>
      </c>
      <c r="AJ59" s="79">
        <v>11862</v>
      </c>
      <c r="AK59" s="79">
        <v>11862</v>
      </c>
      <c r="AL59" s="79">
        <v>0</v>
      </c>
      <c r="AM59" s="79">
        <v>0</v>
      </c>
      <c r="AN59" s="79">
        <v>0</v>
      </c>
      <c r="AO59" s="79">
        <v>0</v>
      </c>
      <c r="AP59" s="79">
        <v>0</v>
      </c>
      <c r="AQ59" s="79">
        <v>0</v>
      </c>
      <c r="AR59" s="80">
        <v>3.6166699999999998E-4</v>
      </c>
      <c r="AS59" s="80">
        <v>1.35525E-4</v>
      </c>
      <c r="AT59" s="79">
        <v>5907.2759999999998</v>
      </c>
      <c r="AU59" s="79">
        <v>0</v>
      </c>
      <c r="AV59" s="79">
        <v>2243</v>
      </c>
      <c r="AW59" s="79">
        <v>3804.15601729522</v>
      </c>
      <c r="AX59" s="79">
        <v>9</v>
      </c>
      <c r="AY59" s="79">
        <v>9</v>
      </c>
      <c r="AZ59" s="79">
        <v>3031</v>
      </c>
      <c r="BA59" s="79">
        <v>1</v>
      </c>
      <c r="BB59" s="79">
        <v>0</v>
      </c>
      <c r="BC59" s="79">
        <v>0</v>
      </c>
      <c r="BD59" s="79">
        <v>0</v>
      </c>
      <c r="BE59" s="79">
        <v>0</v>
      </c>
      <c r="BF59" s="79">
        <v>0</v>
      </c>
      <c r="BG59" s="79">
        <v>0</v>
      </c>
      <c r="BH59" s="79">
        <v>0</v>
      </c>
      <c r="BI59" s="79">
        <v>0</v>
      </c>
      <c r="BJ59" s="79">
        <v>0</v>
      </c>
      <c r="BK59" s="79">
        <v>21</v>
      </c>
      <c r="BL59" s="79">
        <v>2884</v>
      </c>
      <c r="BM59" s="79">
        <v>161</v>
      </c>
      <c r="BN59" s="79">
        <v>173</v>
      </c>
      <c r="BO59">
        <v>7179</v>
      </c>
      <c r="BP59">
        <v>189</v>
      </c>
      <c r="BQ59">
        <v>6616</v>
      </c>
      <c r="BR59">
        <v>184</v>
      </c>
      <c r="BS59">
        <v>6602</v>
      </c>
      <c r="BT59">
        <v>204</v>
      </c>
      <c r="BU59">
        <v>6531</v>
      </c>
      <c r="BV59">
        <v>215</v>
      </c>
      <c r="BW59">
        <v>6437</v>
      </c>
      <c r="BX59">
        <v>209</v>
      </c>
      <c r="BY59">
        <v>6344</v>
      </c>
      <c r="BZ59">
        <v>198</v>
      </c>
      <c r="CA59">
        <v>6192</v>
      </c>
      <c r="CB59">
        <v>359.55929401567801</v>
      </c>
      <c r="CC59">
        <v>124.42083639720001</v>
      </c>
      <c r="CD59">
        <v>34.0578160726159</v>
      </c>
      <c r="CE59">
        <v>7635.95253552743</v>
      </c>
      <c r="CF59">
        <v>2069.7507755602301</v>
      </c>
      <c r="CG59">
        <v>174.53839711191301</v>
      </c>
      <c r="CH59">
        <v>203</v>
      </c>
      <c r="CI59">
        <v>71.128927423064894</v>
      </c>
      <c r="CJ59">
        <v>52.149062164594</v>
      </c>
      <c r="CK59" s="81">
        <v>1063</v>
      </c>
      <c r="CL59">
        <v>308</v>
      </c>
      <c r="CM59">
        <v>3717.9971829775</v>
      </c>
      <c r="CN59">
        <v>0.132021367850788</v>
      </c>
      <c r="CO59">
        <v>22472</v>
      </c>
      <c r="CP59">
        <v>3227</v>
      </c>
      <c r="CQ59">
        <v>613</v>
      </c>
      <c r="CR59">
        <v>523</v>
      </c>
      <c r="CS59">
        <v>577</v>
      </c>
      <c r="CT59">
        <v>295</v>
      </c>
      <c r="CU59">
        <v>276.595894148166</v>
      </c>
      <c r="CV59">
        <v>182.231207074124</v>
      </c>
      <c r="CW59">
        <v>62.156380707453003</v>
      </c>
      <c r="CX59">
        <v>871.89031648077901</v>
      </c>
      <c r="CY59">
        <v>574.43233312574296</v>
      </c>
      <c r="CZ59">
        <v>195.93040819792799</v>
      </c>
      <c r="DA59">
        <v>0</v>
      </c>
      <c r="DE59">
        <v>193</v>
      </c>
      <c r="DF59" t="s">
        <v>365</v>
      </c>
      <c r="DG59">
        <v>25847</v>
      </c>
      <c r="DH59">
        <v>26120</v>
      </c>
      <c r="DI59">
        <v>26361</v>
      </c>
      <c r="DJ59">
        <v>26735</v>
      </c>
      <c r="DK59">
        <v>26968</v>
      </c>
      <c r="DO59">
        <v>148</v>
      </c>
      <c r="DP59" t="s">
        <v>74</v>
      </c>
      <c r="DQ59">
        <v>11862</v>
      </c>
      <c r="DR59">
        <v>1</v>
      </c>
      <c r="DS59">
        <v>498</v>
      </c>
      <c r="DV59">
        <v>899</v>
      </c>
      <c r="DW59" t="s">
        <v>64</v>
      </c>
      <c r="DX59">
        <v>5421.3453195087905</v>
      </c>
      <c r="DY59">
        <v>905</v>
      </c>
      <c r="DZ59">
        <v>869</v>
      </c>
      <c r="EA59">
        <v>425</v>
      </c>
      <c r="EB59">
        <v>2351</v>
      </c>
      <c r="EC59">
        <v>1600</v>
      </c>
      <c r="ED59">
        <v>549</v>
      </c>
      <c r="EE59" s="82">
        <v>0.270766332889399</v>
      </c>
      <c r="EF59" s="82">
        <v>0.59841890261694397</v>
      </c>
    </row>
    <row r="60" spans="1:136" x14ac:dyDescent="0.35">
      <c r="A60" s="72">
        <v>150</v>
      </c>
      <c r="B60" s="72">
        <v>4</v>
      </c>
      <c r="D60" s="72" t="s">
        <v>84</v>
      </c>
      <c r="E60" s="79">
        <v>6999200000</v>
      </c>
      <c r="F60" s="79">
        <v>1222900000</v>
      </c>
      <c r="G60" s="79">
        <v>1309350000</v>
      </c>
      <c r="H60" s="79">
        <v>99653</v>
      </c>
      <c r="I60" s="79">
        <v>2</v>
      </c>
      <c r="J60" s="79">
        <v>1309.3499999999999</v>
      </c>
      <c r="K60" s="79">
        <v>22882</v>
      </c>
      <c r="L60" s="79">
        <v>17451</v>
      </c>
      <c r="M60" s="79">
        <v>5355</v>
      </c>
      <c r="N60" s="79">
        <v>14624</v>
      </c>
      <c r="O60" s="79">
        <v>10096.299999999999</v>
      </c>
      <c r="P60" s="79">
        <v>3003.6666666666702</v>
      </c>
      <c r="Q60" s="79">
        <v>9499.6666666666697</v>
      </c>
      <c r="R60" s="79">
        <v>9230</v>
      </c>
      <c r="S60" s="79">
        <v>0</v>
      </c>
      <c r="T60" s="79">
        <v>3477</v>
      </c>
      <c r="U60" s="79">
        <v>47486</v>
      </c>
      <c r="V60" s="79">
        <v>110470</v>
      </c>
      <c r="W60" s="79">
        <v>148230</v>
      </c>
      <c r="X60" s="79">
        <v>1933.9</v>
      </c>
      <c r="Y60" s="79">
        <v>4083.2</v>
      </c>
      <c r="Z60" s="79">
        <v>0</v>
      </c>
      <c r="AA60" s="79">
        <v>0</v>
      </c>
      <c r="AB60" s="79">
        <v>225.5</v>
      </c>
      <c r="AC60" s="79">
        <v>13049</v>
      </c>
      <c r="AD60" s="79">
        <v>13049</v>
      </c>
      <c r="AE60" s="79">
        <v>385</v>
      </c>
      <c r="AF60" s="79">
        <v>0</v>
      </c>
      <c r="AG60" s="79">
        <v>581</v>
      </c>
      <c r="AH60" s="79">
        <v>458</v>
      </c>
      <c r="AI60" s="79">
        <v>123</v>
      </c>
      <c r="AJ60" s="79">
        <v>45277</v>
      </c>
      <c r="AK60" s="79">
        <v>45277</v>
      </c>
      <c r="AL60" s="79">
        <v>35</v>
      </c>
      <c r="AM60" s="79">
        <v>0</v>
      </c>
      <c r="AN60" s="79">
        <v>0</v>
      </c>
      <c r="AO60" s="79">
        <v>3700</v>
      </c>
      <c r="AP60" s="79">
        <v>8739</v>
      </c>
      <c r="AQ60" s="79">
        <v>8234</v>
      </c>
      <c r="AR60" s="80">
        <v>5.5691309999999997E-3</v>
      </c>
      <c r="AS60" s="80">
        <v>6.7474800000000001E-3</v>
      </c>
      <c r="AT60" s="79">
        <v>79823.350999999995</v>
      </c>
      <c r="AU60" s="79">
        <v>0</v>
      </c>
      <c r="AV60" s="79">
        <v>2862</v>
      </c>
      <c r="AW60" s="79">
        <v>21230.228226887</v>
      </c>
      <c r="AX60" s="79">
        <v>7</v>
      </c>
      <c r="AY60" s="79">
        <v>7</v>
      </c>
      <c r="AZ60" s="79">
        <v>9341</v>
      </c>
      <c r="BA60" s="79">
        <v>1</v>
      </c>
      <c r="BB60" s="79">
        <v>0</v>
      </c>
      <c r="BC60" s="79">
        <v>0</v>
      </c>
      <c r="BD60" s="79">
        <v>0</v>
      </c>
      <c r="BE60" s="79">
        <v>0</v>
      </c>
      <c r="BF60" s="79">
        <v>0</v>
      </c>
      <c r="BG60" s="79">
        <v>0</v>
      </c>
      <c r="BH60" s="79">
        <v>0</v>
      </c>
      <c r="BI60" s="79">
        <v>0</v>
      </c>
      <c r="BJ60" s="79">
        <v>0</v>
      </c>
      <c r="BK60" s="79">
        <v>56</v>
      </c>
      <c r="BL60" s="79">
        <v>17687</v>
      </c>
      <c r="BM60" s="79">
        <v>458</v>
      </c>
      <c r="BN60" s="79">
        <v>123</v>
      </c>
      <c r="BO60">
        <v>23610</v>
      </c>
      <c r="BP60">
        <v>4435</v>
      </c>
      <c r="BQ60">
        <v>21529</v>
      </c>
      <c r="BR60">
        <v>4437</v>
      </c>
      <c r="BS60">
        <v>21501</v>
      </c>
      <c r="BT60">
        <v>4496</v>
      </c>
      <c r="BU60">
        <v>21437</v>
      </c>
      <c r="BV60">
        <v>4550</v>
      </c>
      <c r="BW60">
        <v>21346</v>
      </c>
      <c r="BX60">
        <v>4672</v>
      </c>
      <c r="BY60">
        <v>21222</v>
      </c>
      <c r="BZ60">
        <v>4728</v>
      </c>
      <c r="CA60">
        <v>20505</v>
      </c>
      <c r="CB60">
        <v>2649.8957237490399</v>
      </c>
      <c r="CC60">
        <v>382.29295591623998</v>
      </c>
      <c r="CD60">
        <v>407.35462786841401</v>
      </c>
      <c r="CE60">
        <v>27414.944739067301</v>
      </c>
      <c r="CF60">
        <v>6814.8780396666998</v>
      </c>
      <c r="CG60">
        <v>1043.54042237368</v>
      </c>
      <c r="CH60">
        <v>1220</v>
      </c>
      <c r="CI60">
        <v>865.15414602008298</v>
      </c>
      <c r="CJ60">
        <v>841.834860657018</v>
      </c>
      <c r="CK60" s="81">
        <v>6496</v>
      </c>
      <c r="CL60">
        <v>2015</v>
      </c>
      <c r="CM60">
        <v>14244.788014038801</v>
      </c>
      <c r="CN60">
        <v>7.4641243003184901</v>
      </c>
      <c r="CO60">
        <v>82202</v>
      </c>
      <c r="CP60">
        <v>9849</v>
      </c>
      <c r="CQ60">
        <v>2247</v>
      </c>
      <c r="CR60">
        <v>2377</v>
      </c>
      <c r="CS60">
        <v>1918</v>
      </c>
      <c r="CT60">
        <v>1142</v>
      </c>
      <c r="CU60">
        <v>1396.08638215868</v>
      </c>
      <c r="CV60">
        <v>845.54536993223098</v>
      </c>
      <c r="CW60">
        <v>344.72920409156899</v>
      </c>
      <c r="CX60">
        <v>3149.99944229011</v>
      </c>
      <c r="CY60">
        <v>1907.80991617379</v>
      </c>
      <c r="CZ60">
        <v>777.81490780714</v>
      </c>
      <c r="DA60">
        <v>68582.7</v>
      </c>
      <c r="DE60">
        <v>197</v>
      </c>
      <c r="DF60" t="s">
        <v>13</v>
      </c>
      <c r="DG60">
        <v>6163</v>
      </c>
      <c r="DH60">
        <v>6121</v>
      </c>
      <c r="DI60">
        <v>6018</v>
      </c>
      <c r="DJ60">
        <v>5963</v>
      </c>
      <c r="DK60">
        <v>5851</v>
      </c>
      <c r="DO60">
        <v>150</v>
      </c>
      <c r="DP60" t="s">
        <v>84</v>
      </c>
      <c r="DQ60">
        <v>45277</v>
      </c>
      <c r="DR60">
        <v>1</v>
      </c>
      <c r="DS60">
        <v>1763</v>
      </c>
      <c r="DV60">
        <v>312</v>
      </c>
      <c r="DW60" t="s">
        <v>65</v>
      </c>
      <c r="DX60">
        <v>1236.5870307167199</v>
      </c>
      <c r="DY60">
        <v>312</v>
      </c>
      <c r="DZ60">
        <v>369</v>
      </c>
      <c r="EA60">
        <v>193</v>
      </c>
      <c r="EB60">
        <v>1057</v>
      </c>
      <c r="EC60">
        <v>809</v>
      </c>
      <c r="ED60">
        <v>294</v>
      </c>
      <c r="EE60" s="82">
        <v>9.2285341426951203E-2</v>
      </c>
      <c r="EF60" s="82">
        <v>0.27136109216292698</v>
      </c>
    </row>
    <row r="61" spans="1:136" x14ac:dyDescent="0.35">
      <c r="A61" s="72">
        <v>1774</v>
      </c>
      <c r="B61" s="72">
        <v>4</v>
      </c>
      <c r="D61" s="72" t="s">
        <v>86</v>
      </c>
      <c r="E61" s="79">
        <v>2083600000</v>
      </c>
      <c r="F61" s="79">
        <v>407750000</v>
      </c>
      <c r="G61" s="79">
        <v>507850000</v>
      </c>
      <c r="H61" s="79">
        <v>26291</v>
      </c>
      <c r="I61" s="79">
        <v>4</v>
      </c>
      <c r="J61" s="79">
        <v>507.85</v>
      </c>
      <c r="K61" s="79">
        <v>6069</v>
      </c>
      <c r="L61" s="79">
        <v>5543</v>
      </c>
      <c r="M61" s="79">
        <v>1860</v>
      </c>
      <c r="N61" s="79">
        <v>2795</v>
      </c>
      <c r="O61" s="79">
        <v>1699.5</v>
      </c>
      <c r="P61" s="79">
        <v>213.333333333333</v>
      </c>
      <c r="Q61" s="79">
        <v>1276.3333333333301</v>
      </c>
      <c r="R61" s="79">
        <v>280</v>
      </c>
      <c r="S61" s="79">
        <v>0</v>
      </c>
      <c r="T61" s="79">
        <v>514</v>
      </c>
      <c r="U61" s="79">
        <v>10599</v>
      </c>
      <c r="V61" s="79">
        <v>21250</v>
      </c>
      <c r="W61" s="79">
        <v>8480</v>
      </c>
      <c r="X61" s="79">
        <v>6.92</v>
      </c>
      <c r="Y61" s="79">
        <v>290.39999999999998</v>
      </c>
      <c r="Z61" s="79">
        <v>0</v>
      </c>
      <c r="AA61" s="79">
        <v>0</v>
      </c>
      <c r="AB61" s="79">
        <v>8.7999999999999492</v>
      </c>
      <c r="AC61" s="79">
        <v>17568</v>
      </c>
      <c r="AD61" s="79">
        <v>17568</v>
      </c>
      <c r="AE61" s="79">
        <v>114</v>
      </c>
      <c r="AF61" s="79">
        <v>0</v>
      </c>
      <c r="AG61" s="79">
        <v>319</v>
      </c>
      <c r="AH61" s="79">
        <v>154</v>
      </c>
      <c r="AI61" s="79">
        <v>165</v>
      </c>
      <c r="AJ61" s="79">
        <v>10955</v>
      </c>
      <c r="AK61" s="79">
        <v>10955</v>
      </c>
      <c r="AL61" s="79">
        <v>6</v>
      </c>
      <c r="AM61" s="79">
        <v>0</v>
      </c>
      <c r="AN61" s="79">
        <v>0</v>
      </c>
      <c r="AO61" s="79">
        <v>0</v>
      </c>
      <c r="AP61" s="79">
        <v>0</v>
      </c>
      <c r="AQ61" s="79">
        <v>0</v>
      </c>
      <c r="AR61" s="80">
        <v>2.8437999999999998E-4</v>
      </c>
      <c r="AS61" s="80">
        <v>1.4677399999999999E-4</v>
      </c>
      <c r="AT61" s="79">
        <v>5083.12</v>
      </c>
      <c r="AU61" s="79">
        <v>0</v>
      </c>
      <c r="AV61" s="79">
        <v>1980</v>
      </c>
      <c r="AW61" s="79">
        <v>2944.0210383440799</v>
      </c>
      <c r="AX61" s="79">
        <v>11</v>
      </c>
      <c r="AY61" s="79">
        <v>11</v>
      </c>
      <c r="AZ61" s="79">
        <v>2994</v>
      </c>
      <c r="BA61" s="79">
        <v>1</v>
      </c>
      <c r="BB61" s="79">
        <v>0</v>
      </c>
      <c r="BC61" s="79">
        <v>0</v>
      </c>
      <c r="BD61" s="79">
        <v>0</v>
      </c>
      <c r="BE61" s="79">
        <v>0</v>
      </c>
      <c r="BF61" s="79">
        <v>0</v>
      </c>
      <c r="BG61" s="79">
        <v>0</v>
      </c>
      <c r="BH61" s="79">
        <v>0</v>
      </c>
      <c r="BI61" s="79">
        <v>0</v>
      </c>
      <c r="BJ61" s="79">
        <v>0</v>
      </c>
      <c r="BK61" s="79">
        <v>17</v>
      </c>
      <c r="BL61" s="79">
        <v>2569</v>
      </c>
      <c r="BM61" s="79">
        <v>154</v>
      </c>
      <c r="BN61" s="79">
        <v>165</v>
      </c>
      <c r="BO61">
        <v>7216</v>
      </c>
      <c r="BP61">
        <v>322</v>
      </c>
      <c r="BQ61">
        <v>6516</v>
      </c>
      <c r="BR61">
        <v>325</v>
      </c>
      <c r="BS61">
        <v>6369</v>
      </c>
      <c r="BT61">
        <v>335</v>
      </c>
      <c r="BU61">
        <v>6278</v>
      </c>
      <c r="BV61">
        <v>345</v>
      </c>
      <c r="BW61">
        <v>6157</v>
      </c>
      <c r="BX61">
        <v>342</v>
      </c>
      <c r="BY61">
        <v>6007</v>
      </c>
      <c r="BZ61">
        <v>355</v>
      </c>
      <c r="CA61">
        <v>5364</v>
      </c>
      <c r="CB61">
        <v>289.85246054991899</v>
      </c>
      <c r="CC61">
        <v>43.043779759119502</v>
      </c>
      <c r="CD61">
        <v>29.298502694844601</v>
      </c>
      <c r="CE61">
        <v>7046.19044194855</v>
      </c>
      <c r="CF61">
        <v>1994.0112317026301</v>
      </c>
      <c r="CG61">
        <v>72.9309588138386</v>
      </c>
      <c r="CH61">
        <v>227</v>
      </c>
      <c r="CI61">
        <v>58.098110582755403</v>
      </c>
      <c r="CJ61">
        <v>43.989685091222199</v>
      </c>
      <c r="CK61" s="81">
        <v>1063</v>
      </c>
      <c r="CL61">
        <v>311</v>
      </c>
      <c r="CM61">
        <v>3551.7007120980102</v>
      </c>
      <c r="CN61">
        <v>0.12511858596098599</v>
      </c>
      <c r="CO61">
        <v>20748</v>
      </c>
      <c r="CP61">
        <v>2996</v>
      </c>
      <c r="CQ61">
        <v>687</v>
      </c>
      <c r="CR61">
        <v>513</v>
      </c>
      <c r="CS61">
        <v>515</v>
      </c>
      <c r="CT61">
        <v>235</v>
      </c>
      <c r="CU61">
        <v>279.23080125520897</v>
      </c>
      <c r="CV61">
        <v>180.87950792420801</v>
      </c>
      <c r="CW61">
        <v>57.707698926076603</v>
      </c>
      <c r="CX61">
        <v>767.080921003924</v>
      </c>
      <c r="CY61">
        <v>496.89797438365298</v>
      </c>
      <c r="CZ61">
        <v>158.53005700747801</v>
      </c>
      <c r="DA61">
        <v>10661.9</v>
      </c>
      <c r="DE61">
        <v>200</v>
      </c>
      <c r="DF61" t="s">
        <v>27</v>
      </c>
      <c r="DG61">
        <v>33174</v>
      </c>
      <c r="DH61">
        <v>32882</v>
      </c>
      <c r="DI61">
        <v>32693</v>
      </c>
      <c r="DJ61">
        <v>32629</v>
      </c>
      <c r="DK61">
        <v>32311</v>
      </c>
      <c r="DO61">
        <v>1774</v>
      </c>
      <c r="DP61" t="s">
        <v>86</v>
      </c>
      <c r="DQ61">
        <v>10955</v>
      </c>
      <c r="DR61">
        <v>1</v>
      </c>
      <c r="DS61">
        <v>464</v>
      </c>
      <c r="DV61">
        <v>313</v>
      </c>
      <c r="DW61" t="s">
        <v>66</v>
      </c>
      <c r="DX61">
        <v>1970.5202312138699</v>
      </c>
      <c r="DY61">
        <v>333</v>
      </c>
      <c r="DZ61">
        <v>319</v>
      </c>
      <c r="EA61">
        <v>129</v>
      </c>
      <c r="EB61">
        <v>1274</v>
      </c>
      <c r="EC61">
        <v>692</v>
      </c>
      <c r="ED61">
        <v>189</v>
      </c>
      <c r="EE61" s="82">
        <v>0.13778450961914701</v>
      </c>
      <c r="EF61" s="82">
        <v>0.42241600566415499</v>
      </c>
    </row>
    <row r="62" spans="1:136" x14ac:dyDescent="0.35">
      <c r="A62" s="72">
        <v>153</v>
      </c>
      <c r="B62" s="72">
        <v>4</v>
      </c>
      <c r="D62" s="72" t="s">
        <v>106</v>
      </c>
      <c r="E62" s="79">
        <v>9614400000</v>
      </c>
      <c r="F62" s="79">
        <v>2338700000</v>
      </c>
      <c r="G62" s="79">
        <v>2431800000</v>
      </c>
      <c r="H62" s="79">
        <v>158261</v>
      </c>
      <c r="I62" s="79">
        <v>2</v>
      </c>
      <c r="J62" s="79">
        <v>2431.8000000000002</v>
      </c>
      <c r="K62" s="79">
        <v>34231</v>
      </c>
      <c r="L62" s="79">
        <v>27657</v>
      </c>
      <c r="M62" s="79">
        <v>8637</v>
      </c>
      <c r="N62" s="79">
        <v>27125</v>
      </c>
      <c r="O62" s="79">
        <v>19460.099999999999</v>
      </c>
      <c r="P62" s="79">
        <v>6930.3333333333303</v>
      </c>
      <c r="Q62" s="79">
        <v>18320.333333333299</v>
      </c>
      <c r="R62" s="79">
        <v>15905</v>
      </c>
      <c r="S62" s="79">
        <v>0</v>
      </c>
      <c r="T62" s="79">
        <v>5705</v>
      </c>
      <c r="U62" s="79">
        <v>80622</v>
      </c>
      <c r="V62" s="79">
        <v>166440</v>
      </c>
      <c r="W62" s="79">
        <v>247630</v>
      </c>
      <c r="X62" s="79">
        <v>5551.3014000000003</v>
      </c>
      <c r="Y62" s="79">
        <v>6229.6</v>
      </c>
      <c r="Z62" s="79">
        <v>0</v>
      </c>
      <c r="AA62" s="79">
        <v>0</v>
      </c>
      <c r="AB62" s="79">
        <v>0</v>
      </c>
      <c r="AC62" s="79">
        <v>14078</v>
      </c>
      <c r="AD62" s="79">
        <v>14078</v>
      </c>
      <c r="AE62" s="79">
        <v>194</v>
      </c>
      <c r="AF62" s="79">
        <v>0</v>
      </c>
      <c r="AG62" s="79">
        <v>906</v>
      </c>
      <c r="AH62" s="79">
        <v>762</v>
      </c>
      <c r="AI62" s="79">
        <v>144</v>
      </c>
      <c r="AJ62" s="79">
        <v>76649</v>
      </c>
      <c r="AK62" s="79">
        <v>76649</v>
      </c>
      <c r="AL62" s="79">
        <v>9</v>
      </c>
      <c r="AM62" s="79">
        <v>0</v>
      </c>
      <c r="AN62" s="79">
        <v>0</v>
      </c>
      <c r="AO62" s="79">
        <v>0</v>
      </c>
      <c r="AP62" s="79">
        <v>15963</v>
      </c>
      <c r="AQ62" s="79">
        <v>11523</v>
      </c>
      <c r="AR62" s="80">
        <v>1.0740938E-2</v>
      </c>
      <c r="AS62" s="80">
        <v>1.8027844000000001E-2</v>
      </c>
      <c r="AT62" s="79">
        <v>162112.63500000001</v>
      </c>
      <c r="AU62" s="79">
        <v>0</v>
      </c>
      <c r="AV62" s="79">
        <v>1997</v>
      </c>
      <c r="AW62" s="79">
        <v>22144.563971412601</v>
      </c>
      <c r="AX62" s="79">
        <v>7</v>
      </c>
      <c r="AY62" s="79">
        <v>7</v>
      </c>
      <c r="AZ62" s="79">
        <v>13587</v>
      </c>
      <c r="BA62" s="79">
        <v>1</v>
      </c>
      <c r="BB62" s="79">
        <v>0</v>
      </c>
      <c r="BC62" s="79">
        <v>0</v>
      </c>
      <c r="BD62" s="79">
        <v>0</v>
      </c>
      <c r="BE62" s="79">
        <v>0</v>
      </c>
      <c r="BF62" s="79">
        <v>0</v>
      </c>
      <c r="BG62" s="79">
        <v>0</v>
      </c>
      <c r="BH62" s="79">
        <v>0</v>
      </c>
      <c r="BI62" s="79">
        <v>0</v>
      </c>
      <c r="BJ62" s="79">
        <v>0</v>
      </c>
      <c r="BK62" s="79">
        <v>210</v>
      </c>
      <c r="BL62" s="79">
        <v>35463</v>
      </c>
      <c r="BM62" s="79">
        <v>762</v>
      </c>
      <c r="BN62" s="79">
        <v>144</v>
      </c>
      <c r="BO62">
        <v>35687</v>
      </c>
      <c r="BP62">
        <v>7552</v>
      </c>
      <c r="BQ62">
        <v>31080</v>
      </c>
      <c r="BR62">
        <v>7511</v>
      </c>
      <c r="BS62">
        <v>31036</v>
      </c>
      <c r="BT62">
        <v>7364</v>
      </c>
      <c r="BU62">
        <v>30994</v>
      </c>
      <c r="BV62">
        <v>7500</v>
      </c>
      <c r="BW62">
        <v>30734</v>
      </c>
      <c r="BX62">
        <v>7459</v>
      </c>
      <c r="BY62">
        <v>30602</v>
      </c>
      <c r="BZ62">
        <v>7677</v>
      </c>
      <c r="CA62">
        <v>29400</v>
      </c>
      <c r="CB62">
        <v>5748.3199546756196</v>
      </c>
      <c r="CC62">
        <v>611.23808642342101</v>
      </c>
      <c r="CD62">
        <v>599.38029061472798</v>
      </c>
      <c r="CE62">
        <v>37622.838050448903</v>
      </c>
      <c r="CF62">
        <v>8696.9516076360596</v>
      </c>
      <c r="CG62">
        <v>1017.23169051404</v>
      </c>
      <c r="CH62">
        <v>2167</v>
      </c>
      <c r="CI62">
        <v>2132.2747803248499</v>
      </c>
      <c r="CJ62">
        <v>1869.2068608520101</v>
      </c>
      <c r="CK62" s="81">
        <v>11390</v>
      </c>
      <c r="CL62">
        <v>3846</v>
      </c>
      <c r="CM62">
        <v>21689.545570788901</v>
      </c>
      <c r="CN62">
        <v>21.115621656576099</v>
      </c>
      <c r="CO62">
        <v>130604</v>
      </c>
      <c r="CP62">
        <v>15949</v>
      </c>
      <c r="CQ62">
        <v>3071</v>
      </c>
      <c r="CR62">
        <v>3997</v>
      </c>
      <c r="CS62">
        <v>3300</v>
      </c>
      <c r="CT62">
        <v>1552</v>
      </c>
      <c r="CU62">
        <v>2596.9758438179601</v>
      </c>
      <c r="CV62">
        <v>1564.68492770066</v>
      </c>
      <c r="CW62">
        <v>523.76196752335898</v>
      </c>
      <c r="CX62">
        <v>6068.3117433603002</v>
      </c>
      <c r="CY62">
        <v>3656.1741396353</v>
      </c>
      <c r="CZ62">
        <v>1223.86617719741</v>
      </c>
      <c r="DA62">
        <v>219181.8</v>
      </c>
      <c r="DE62">
        <v>202</v>
      </c>
      <c r="DF62" t="s">
        <v>29</v>
      </c>
      <c r="DG62">
        <v>28340</v>
      </c>
      <c r="DH62">
        <v>28747</v>
      </c>
      <c r="DI62">
        <v>28972</v>
      </c>
      <c r="DJ62">
        <v>29204</v>
      </c>
      <c r="DK62">
        <v>29553</v>
      </c>
      <c r="DO62">
        <v>153</v>
      </c>
      <c r="DP62" t="s">
        <v>106</v>
      </c>
      <c r="DQ62">
        <v>76649</v>
      </c>
      <c r="DR62">
        <v>1</v>
      </c>
      <c r="DS62">
        <v>2115</v>
      </c>
      <c r="DV62">
        <v>214</v>
      </c>
      <c r="DW62" t="s">
        <v>67</v>
      </c>
      <c r="DX62">
        <v>2673.3127279528699</v>
      </c>
      <c r="DY62">
        <v>545</v>
      </c>
      <c r="DZ62">
        <v>446</v>
      </c>
      <c r="EA62">
        <v>194</v>
      </c>
      <c r="EB62">
        <v>1980</v>
      </c>
      <c r="EC62">
        <v>975</v>
      </c>
      <c r="ED62">
        <v>273</v>
      </c>
      <c r="EE62" s="82">
        <v>0.14451776529341101</v>
      </c>
      <c r="EF62" s="82">
        <v>0.376279479847973</v>
      </c>
    </row>
    <row r="63" spans="1:136" x14ac:dyDescent="0.35">
      <c r="A63" s="72">
        <v>158</v>
      </c>
      <c r="B63" s="72">
        <v>4</v>
      </c>
      <c r="D63" s="72" t="s">
        <v>124</v>
      </c>
      <c r="E63" s="79">
        <v>1744800000</v>
      </c>
      <c r="F63" s="79">
        <v>312900000</v>
      </c>
      <c r="G63" s="79">
        <v>364700000</v>
      </c>
      <c r="H63" s="79">
        <v>24291</v>
      </c>
      <c r="I63" s="79">
        <v>1</v>
      </c>
      <c r="J63" s="79">
        <v>364.7</v>
      </c>
      <c r="K63" s="79">
        <v>5401</v>
      </c>
      <c r="L63" s="79">
        <v>5621</v>
      </c>
      <c r="M63" s="79">
        <v>1937</v>
      </c>
      <c r="N63" s="79">
        <v>2955</v>
      </c>
      <c r="O63" s="79">
        <v>1887.6</v>
      </c>
      <c r="P63" s="79">
        <v>373.66666666666703</v>
      </c>
      <c r="Q63" s="79">
        <v>1510.6666666666699</v>
      </c>
      <c r="R63" s="79">
        <v>945</v>
      </c>
      <c r="S63" s="79">
        <v>0</v>
      </c>
      <c r="T63" s="79">
        <v>592</v>
      </c>
      <c r="U63" s="79">
        <v>10465</v>
      </c>
      <c r="V63" s="79">
        <v>23720</v>
      </c>
      <c r="W63" s="79">
        <v>18320</v>
      </c>
      <c r="X63" s="79">
        <v>0</v>
      </c>
      <c r="Y63" s="79">
        <v>1284.8</v>
      </c>
      <c r="Z63" s="79">
        <v>0</v>
      </c>
      <c r="AA63" s="79">
        <v>0</v>
      </c>
      <c r="AB63" s="79">
        <v>0</v>
      </c>
      <c r="AC63" s="79">
        <v>10474</v>
      </c>
      <c r="AD63" s="79">
        <v>10474</v>
      </c>
      <c r="AE63" s="79">
        <v>76</v>
      </c>
      <c r="AF63" s="79">
        <v>0</v>
      </c>
      <c r="AG63" s="79">
        <v>251</v>
      </c>
      <c r="AH63" s="79">
        <v>156</v>
      </c>
      <c r="AI63" s="79">
        <v>95</v>
      </c>
      <c r="AJ63" s="79">
        <v>10674</v>
      </c>
      <c r="AK63" s="79">
        <v>10674</v>
      </c>
      <c r="AL63" s="79">
        <v>0</v>
      </c>
      <c r="AM63" s="79">
        <v>0</v>
      </c>
      <c r="AN63" s="79">
        <v>0</v>
      </c>
      <c r="AO63" s="79">
        <v>0</v>
      </c>
      <c r="AP63" s="79">
        <v>0</v>
      </c>
      <c r="AQ63" s="79">
        <v>0</v>
      </c>
      <c r="AR63" s="80">
        <v>3.3804199999999999E-4</v>
      </c>
      <c r="AS63" s="80">
        <v>2.4523999999999998E-4</v>
      </c>
      <c r="AT63" s="79">
        <v>10866.132</v>
      </c>
      <c r="AU63" s="79">
        <v>0</v>
      </c>
      <c r="AV63" s="79">
        <v>1787</v>
      </c>
      <c r="AW63" s="79">
        <v>4114.5039810426497</v>
      </c>
      <c r="AX63" s="79">
        <v>6</v>
      </c>
      <c r="AY63" s="79">
        <v>6</v>
      </c>
      <c r="AZ63" s="79">
        <v>2480</v>
      </c>
      <c r="BA63" s="79">
        <v>1</v>
      </c>
      <c r="BB63" s="79">
        <v>0</v>
      </c>
      <c r="BC63" s="79">
        <v>0</v>
      </c>
      <c r="BD63" s="79">
        <v>0</v>
      </c>
      <c r="BE63" s="79">
        <v>0</v>
      </c>
      <c r="BF63" s="79">
        <v>0</v>
      </c>
      <c r="BG63" s="79">
        <v>0</v>
      </c>
      <c r="BH63" s="79">
        <v>0</v>
      </c>
      <c r="BI63" s="79">
        <v>0</v>
      </c>
      <c r="BJ63" s="79">
        <v>0</v>
      </c>
      <c r="BK63" s="79">
        <v>14</v>
      </c>
      <c r="BL63" s="79">
        <v>2885</v>
      </c>
      <c r="BM63" s="79">
        <v>156</v>
      </c>
      <c r="BN63" s="79">
        <v>95</v>
      </c>
      <c r="BO63">
        <v>5971</v>
      </c>
      <c r="BP63">
        <v>1670</v>
      </c>
      <c r="BQ63">
        <v>5449</v>
      </c>
      <c r="BR63">
        <v>1637</v>
      </c>
      <c r="BS63">
        <v>5415</v>
      </c>
      <c r="BT63">
        <v>1599</v>
      </c>
      <c r="BU63">
        <v>5384</v>
      </c>
      <c r="BV63">
        <v>1611</v>
      </c>
      <c r="BW63">
        <v>5325</v>
      </c>
      <c r="BX63">
        <v>1629</v>
      </c>
      <c r="BY63">
        <v>5192</v>
      </c>
      <c r="BZ63">
        <v>1640</v>
      </c>
      <c r="CA63">
        <v>4792</v>
      </c>
      <c r="CB63">
        <v>402.291038675023</v>
      </c>
      <c r="CC63">
        <v>31.531136343835701</v>
      </c>
      <c r="CD63">
        <v>15.738961543221601</v>
      </c>
      <c r="CE63">
        <v>6520.4046896719301</v>
      </c>
      <c r="CF63">
        <v>1744.5873667235701</v>
      </c>
      <c r="CG63">
        <v>66.619189846642001</v>
      </c>
      <c r="CH63">
        <v>235</v>
      </c>
      <c r="CI63">
        <v>96.063259425463698</v>
      </c>
      <c r="CJ63">
        <v>78.755726534284804</v>
      </c>
      <c r="CK63" s="81">
        <v>1137</v>
      </c>
      <c r="CL63">
        <v>312</v>
      </c>
      <c r="CM63">
        <v>3564.1441952983701</v>
      </c>
      <c r="CN63">
        <v>0.65407521363818899</v>
      </c>
      <c r="CO63">
        <v>18670</v>
      </c>
      <c r="CP63">
        <v>3146</v>
      </c>
      <c r="CQ63">
        <v>538</v>
      </c>
      <c r="CR63">
        <v>575</v>
      </c>
      <c r="CS63">
        <v>566</v>
      </c>
      <c r="CT63">
        <v>245</v>
      </c>
      <c r="CU63">
        <v>332.83524453617099</v>
      </c>
      <c r="CV63">
        <v>226.016706969833</v>
      </c>
      <c r="CW63">
        <v>62.428714835955503</v>
      </c>
      <c r="CX63">
        <v>890.91889844453397</v>
      </c>
      <c r="CY63">
        <v>604.99168555372705</v>
      </c>
      <c r="CZ63">
        <v>167.10646713651499</v>
      </c>
      <c r="DA63">
        <v>26592.3</v>
      </c>
      <c r="DE63">
        <v>203</v>
      </c>
      <c r="DF63" t="s">
        <v>35</v>
      </c>
      <c r="DG63">
        <v>14339</v>
      </c>
      <c r="DH63">
        <v>14372</v>
      </c>
      <c r="DI63">
        <v>14442</v>
      </c>
      <c r="DJ63">
        <v>14432</v>
      </c>
      <c r="DK63">
        <v>14336</v>
      </c>
      <c r="DO63">
        <v>158</v>
      </c>
      <c r="DP63" t="s">
        <v>124</v>
      </c>
      <c r="DQ63">
        <v>10674</v>
      </c>
      <c r="DR63">
        <v>1</v>
      </c>
      <c r="DS63">
        <v>1018</v>
      </c>
      <c r="DV63">
        <v>502</v>
      </c>
      <c r="DW63" t="s">
        <v>68</v>
      </c>
      <c r="DX63">
        <v>9996.2282757720204</v>
      </c>
      <c r="DY63">
        <v>2026</v>
      </c>
      <c r="DZ63">
        <v>1438</v>
      </c>
      <c r="EA63">
        <v>859</v>
      </c>
      <c r="EB63">
        <v>5131</v>
      </c>
      <c r="EC63">
        <v>2657</v>
      </c>
      <c r="ED63">
        <v>1154</v>
      </c>
      <c r="EE63" s="82">
        <v>0.223251464098177</v>
      </c>
      <c r="EF63" s="82">
        <v>0.44529638226801799</v>
      </c>
    </row>
    <row r="64" spans="1:136" x14ac:dyDescent="0.35">
      <c r="A64" s="72">
        <v>160</v>
      </c>
      <c r="B64" s="72">
        <v>4</v>
      </c>
      <c r="D64" s="72" t="s">
        <v>129</v>
      </c>
      <c r="E64" s="79">
        <v>3919200000</v>
      </c>
      <c r="F64" s="79">
        <v>781550000</v>
      </c>
      <c r="G64" s="79">
        <v>855050000</v>
      </c>
      <c r="H64" s="79">
        <v>60539</v>
      </c>
      <c r="I64" s="79">
        <v>9</v>
      </c>
      <c r="J64" s="79">
        <v>855.05</v>
      </c>
      <c r="K64" s="79">
        <v>15165</v>
      </c>
      <c r="L64" s="79">
        <v>10934</v>
      </c>
      <c r="M64" s="79">
        <v>3478</v>
      </c>
      <c r="N64" s="79">
        <v>7024</v>
      </c>
      <c r="O64" s="79">
        <v>4438.7</v>
      </c>
      <c r="P64" s="79">
        <v>889.66666666666697</v>
      </c>
      <c r="Q64" s="79">
        <v>4120.6666666666697</v>
      </c>
      <c r="R64" s="79">
        <v>945</v>
      </c>
      <c r="S64" s="79">
        <v>0</v>
      </c>
      <c r="T64" s="79">
        <v>1335</v>
      </c>
      <c r="U64" s="79">
        <v>25048</v>
      </c>
      <c r="V64" s="79">
        <v>58920</v>
      </c>
      <c r="W64" s="79">
        <v>40690</v>
      </c>
      <c r="X64" s="79">
        <v>869.38</v>
      </c>
      <c r="Y64" s="79">
        <v>3300.8</v>
      </c>
      <c r="Z64" s="79">
        <v>0</v>
      </c>
      <c r="AA64" s="79">
        <v>0</v>
      </c>
      <c r="AB64" s="79">
        <v>0</v>
      </c>
      <c r="AC64" s="79">
        <v>31219</v>
      </c>
      <c r="AD64" s="79">
        <v>31219</v>
      </c>
      <c r="AE64" s="79">
        <v>496</v>
      </c>
      <c r="AF64" s="79">
        <v>0</v>
      </c>
      <c r="AG64" s="79">
        <v>649</v>
      </c>
      <c r="AH64" s="79">
        <v>343</v>
      </c>
      <c r="AI64" s="79">
        <v>306</v>
      </c>
      <c r="AJ64" s="79">
        <v>25853</v>
      </c>
      <c r="AK64" s="79">
        <v>25853</v>
      </c>
      <c r="AL64" s="79">
        <v>0</v>
      </c>
      <c r="AM64" s="79">
        <v>0</v>
      </c>
      <c r="AN64" s="79">
        <v>0</v>
      </c>
      <c r="AO64" s="79">
        <v>0</v>
      </c>
      <c r="AP64" s="79">
        <v>1013</v>
      </c>
      <c r="AQ64" s="79">
        <v>0</v>
      </c>
      <c r="AR64" s="80">
        <v>1.019977E-3</v>
      </c>
      <c r="AS64" s="80">
        <v>5.1633199999999999E-4</v>
      </c>
      <c r="AT64" s="79">
        <v>14141.591</v>
      </c>
      <c r="AU64" s="79">
        <v>0</v>
      </c>
      <c r="AV64" s="79">
        <v>5084</v>
      </c>
      <c r="AW64" s="79">
        <v>9704.5649061958102</v>
      </c>
      <c r="AX64" s="79">
        <v>24</v>
      </c>
      <c r="AY64" s="79">
        <v>24</v>
      </c>
      <c r="AZ64" s="79">
        <v>5604</v>
      </c>
      <c r="BA64" s="79">
        <v>1</v>
      </c>
      <c r="BB64" s="79">
        <v>0</v>
      </c>
      <c r="BC64" s="79">
        <v>0</v>
      </c>
      <c r="BD64" s="79">
        <v>0</v>
      </c>
      <c r="BE64" s="79">
        <v>0</v>
      </c>
      <c r="BF64" s="79">
        <v>0</v>
      </c>
      <c r="BG64" s="79">
        <v>0</v>
      </c>
      <c r="BH64" s="79">
        <v>0</v>
      </c>
      <c r="BI64" s="79">
        <v>0</v>
      </c>
      <c r="BJ64" s="79">
        <v>0</v>
      </c>
      <c r="BK64" s="79">
        <v>45</v>
      </c>
      <c r="BL64" s="79">
        <v>6623</v>
      </c>
      <c r="BM64" s="79">
        <v>343</v>
      </c>
      <c r="BN64" s="79">
        <v>306</v>
      </c>
      <c r="BO64">
        <v>15876</v>
      </c>
      <c r="BP64">
        <v>3892</v>
      </c>
      <c r="BQ64">
        <v>14459</v>
      </c>
      <c r="BR64">
        <v>3940</v>
      </c>
      <c r="BS64">
        <v>14411</v>
      </c>
      <c r="BT64">
        <v>3875</v>
      </c>
      <c r="BU64">
        <v>14302</v>
      </c>
      <c r="BV64">
        <v>3974</v>
      </c>
      <c r="BW64">
        <v>14139</v>
      </c>
      <c r="BX64">
        <v>4045</v>
      </c>
      <c r="BY64">
        <v>14029</v>
      </c>
      <c r="BZ64">
        <v>4103</v>
      </c>
      <c r="CA64">
        <v>13551</v>
      </c>
      <c r="CB64">
        <v>1072.36004161865</v>
      </c>
      <c r="CC64">
        <v>320.33814825516203</v>
      </c>
      <c r="CD64">
        <v>196.41885469673699</v>
      </c>
      <c r="CE64">
        <v>14222.8434163847</v>
      </c>
      <c r="CF64">
        <v>3966.4662793544599</v>
      </c>
      <c r="CG64">
        <v>583.34463892631402</v>
      </c>
      <c r="CH64">
        <v>522</v>
      </c>
      <c r="CI64">
        <v>258.146047425772</v>
      </c>
      <c r="CJ64">
        <v>225.269758330049</v>
      </c>
      <c r="CK64" s="81">
        <v>3231</v>
      </c>
      <c r="CL64">
        <v>1186</v>
      </c>
      <c r="CM64">
        <v>8026.5218362457499</v>
      </c>
      <c r="CN64">
        <v>1.7984402092182299</v>
      </c>
      <c r="CO64">
        <v>49605</v>
      </c>
      <c r="CP64">
        <v>6286</v>
      </c>
      <c r="CQ64">
        <v>1170</v>
      </c>
      <c r="CR64">
        <v>1067</v>
      </c>
      <c r="CS64">
        <v>1153</v>
      </c>
      <c r="CT64">
        <v>562</v>
      </c>
      <c r="CU64">
        <v>652.10011581239303</v>
      </c>
      <c r="CV64">
        <v>407.77719195745999</v>
      </c>
      <c r="CW64">
        <v>136.49804951839201</v>
      </c>
      <c r="CX64">
        <v>1995.5686155201399</v>
      </c>
      <c r="CY64">
        <v>1247.8871674197801</v>
      </c>
      <c r="CZ64">
        <v>417.71380972577902</v>
      </c>
      <c r="DA64">
        <v>103843.8</v>
      </c>
      <c r="DE64">
        <v>209</v>
      </c>
      <c r="DF64" t="s">
        <v>48</v>
      </c>
      <c r="DG64">
        <v>5926</v>
      </c>
      <c r="DH64">
        <v>5791</v>
      </c>
      <c r="DI64">
        <v>5688</v>
      </c>
      <c r="DJ64">
        <v>5597</v>
      </c>
      <c r="DK64">
        <v>5395</v>
      </c>
      <c r="DO64">
        <v>160</v>
      </c>
      <c r="DP64" t="s">
        <v>129</v>
      </c>
      <c r="DQ64">
        <v>25853</v>
      </c>
      <c r="DR64">
        <v>1</v>
      </c>
      <c r="DS64">
        <v>547</v>
      </c>
      <c r="DV64">
        <v>383</v>
      </c>
      <c r="DW64" t="s">
        <v>69</v>
      </c>
      <c r="DX64">
        <v>3649.60061094502</v>
      </c>
      <c r="DY64">
        <v>1008</v>
      </c>
      <c r="DZ64">
        <v>910</v>
      </c>
      <c r="EA64">
        <v>504</v>
      </c>
      <c r="EB64">
        <v>2984</v>
      </c>
      <c r="EC64">
        <v>1950</v>
      </c>
      <c r="ED64">
        <v>733</v>
      </c>
      <c r="EE64" s="82">
        <v>0.127531210158667</v>
      </c>
      <c r="EF64" s="82">
        <v>0.31034094060455802</v>
      </c>
    </row>
    <row r="65" spans="1:136" x14ac:dyDescent="0.35">
      <c r="A65" s="72">
        <v>163</v>
      </c>
      <c r="B65" s="72">
        <v>4</v>
      </c>
      <c r="D65" s="72" t="s">
        <v>142</v>
      </c>
      <c r="E65" s="79">
        <v>2722400000</v>
      </c>
      <c r="F65" s="79">
        <v>406700000</v>
      </c>
      <c r="G65" s="79">
        <v>455350000</v>
      </c>
      <c r="H65" s="79">
        <v>35796</v>
      </c>
      <c r="I65" s="79">
        <v>2</v>
      </c>
      <c r="J65" s="79">
        <v>455.35</v>
      </c>
      <c r="K65" s="79">
        <v>8285</v>
      </c>
      <c r="L65" s="79">
        <v>7604</v>
      </c>
      <c r="M65" s="79">
        <v>2377</v>
      </c>
      <c r="N65" s="79">
        <v>4371</v>
      </c>
      <c r="O65" s="79">
        <v>2842.2</v>
      </c>
      <c r="P65" s="79">
        <v>460</v>
      </c>
      <c r="Q65" s="79">
        <v>2262</v>
      </c>
      <c r="R65" s="79">
        <v>465</v>
      </c>
      <c r="S65" s="79">
        <v>0</v>
      </c>
      <c r="T65" s="79">
        <v>792</v>
      </c>
      <c r="U65" s="79">
        <v>15150</v>
      </c>
      <c r="V65" s="79">
        <v>36710</v>
      </c>
      <c r="W65" s="79">
        <v>36000</v>
      </c>
      <c r="X65" s="79">
        <v>982.36</v>
      </c>
      <c r="Y65" s="79">
        <v>1183.2</v>
      </c>
      <c r="Z65" s="79">
        <v>0</v>
      </c>
      <c r="AA65" s="79">
        <v>0</v>
      </c>
      <c r="AB65" s="79">
        <v>0</v>
      </c>
      <c r="AC65" s="79">
        <v>13791</v>
      </c>
      <c r="AD65" s="79">
        <v>13791</v>
      </c>
      <c r="AE65" s="79">
        <v>108</v>
      </c>
      <c r="AF65" s="79">
        <v>0</v>
      </c>
      <c r="AG65" s="79">
        <v>322</v>
      </c>
      <c r="AH65" s="79">
        <v>207</v>
      </c>
      <c r="AI65" s="79">
        <v>115</v>
      </c>
      <c r="AJ65" s="79">
        <v>15288</v>
      </c>
      <c r="AK65" s="79">
        <v>15288</v>
      </c>
      <c r="AL65" s="79">
        <v>0</v>
      </c>
      <c r="AM65" s="79">
        <v>0</v>
      </c>
      <c r="AN65" s="79">
        <v>0</v>
      </c>
      <c r="AO65" s="79">
        <v>0</v>
      </c>
      <c r="AP65" s="79">
        <v>1341</v>
      </c>
      <c r="AQ65" s="79">
        <v>0</v>
      </c>
      <c r="AR65" s="80">
        <v>6.3890099999999999E-4</v>
      </c>
      <c r="AS65" s="80">
        <v>2.7189E-4</v>
      </c>
      <c r="AT65" s="79">
        <v>12337.415999999999</v>
      </c>
      <c r="AU65" s="79">
        <v>0</v>
      </c>
      <c r="AV65" s="79">
        <v>1629</v>
      </c>
      <c r="AW65" s="79">
        <v>4195.3870062594397</v>
      </c>
      <c r="AX65" s="79">
        <v>8</v>
      </c>
      <c r="AY65" s="79">
        <v>8</v>
      </c>
      <c r="AZ65" s="79">
        <v>3173</v>
      </c>
      <c r="BA65" s="79">
        <v>1</v>
      </c>
      <c r="BB65" s="79">
        <v>0</v>
      </c>
      <c r="BC65" s="79">
        <v>0</v>
      </c>
      <c r="BD65" s="79">
        <v>0</v>
      </c>
      <c r="BE65" s="79">
        <v>0</v>
      </c>
      <c r="BF65" s="79">
        <v>0</v>
      </c>
      <c r="BG65" s="79">
        <v>0</v>
      </c>
      <c r="BH65" s="79">
        <v>0</v>
      </c>
      <c r="BI65" s="79">
        <v>0</v>
      </c>
      <c r="BJ65" s="79">
        <v>0</v>
      </c>
      <c r="BK65" s="79">
        <v>23</v>
      </c>
      <c r="BL65" s="79">
        <v>4005</v>
      </c>
      <c r="BM65" s="79">
        <v>207</v>
      </c>
      <c r="BN65" s="79">
        <v>115</v>
      </c>
      <c r="BO65">
        <v>8980</v>
      </c>
      <c r="BP65">
        <v>1553</v>
      </c>
      <c r="BQ65">
        <v>8034</v>
      </c>
      <c r="BR65">
        <v>1598</v>
      </c>
      <c r="BS65">
        <v>7994</v>
      </c>
      <c r="BT65">
        <v>1592</v>
      </c>
      <c r="BU65">
        <v>7938</v>
      </c>
      <c r="BV65">
        <v>1615</v>
      </c>
      <c r="BW65">
        <v>7918</v>
      </c>
      <c r="BX65">
        <v>1672</v>
      </c>
      <c r="BY65">
        <v>7793</v>
      </c>
      <c r="BZ65">
        <v>1719</v>
      </c>
      <c r="CA65">
        <v>7416</v>
      </c>
      <c r="CB65">
        <v>592.77008251627501</v>
      </c>
      <c r="CC65">
        <v>127.591716149921</v>
      </c>
      <c r="CD65">
        <v>35.5468987149535</v>
      </c>
      <c r="CE65">
        <v>9029.2859534036306</v>
      </c>
      <c r="CF65">
        <v>2396.1433826512498</v>
      </c>
      <c r="CG65">
        <v>261.51240764331197</v>
      </c>
      <c r="CH65">
        <v>314</v>
      </c>
      <c r="CI65">
        <v>132.578319677731</v>
      </c>
      <c r="CJ65">
        <v>127.711988974516</v>
      </c>
      <c r="CK65" s="81">
        <v>1802</v>
      </c>
      <c r="CL65">
        <v>508</v>
      </c>
      <c r="CM65">
        <v>5506.1840756219999</v>
      </c>
      <c r="CN65">
        <v>0.71795046470834001</v>
      </c>
      <c r="CO65">
        <v>28192</v>
      </c>
      <c r="CP65">
        <v>4379</v>
      </c>
      <c r="CQ65">
        <v>848</v>
      </c>
      <c r="CR65">
        <v>752</v>
      </c>
      <c r="CS65">
        <v>754</v>
      </c>
      <c r="CT65">
        <v>393</v>
      </c>
      <c r="CU65">
        <v>483.857212896325</v>
      </c>
      <c r="CV65">
        <v>293.51154020872002</v>
      </c>
      <c r="CW65">
        <v>107.255325332762</v>
      </c>
      <c r="CX65">
        <v>1298.2793519674799</v>
      </c>
      <c r="CY65">
        <v>787.54632991035498</v>
      </c>
      <c r="CZ65">
        <v>287.78608762398699</v>
      </c>
      <c r="DA65">
        <v>37469.1</v>
      </c>
      <c r="DE65">
        <v>213</v>
      </c>
      <c r="DF65" t="s">
        <v>63</v>
      </c>
      <c r="DG65">
        <v>4556</v>
      </c>
      <c r="DH65">
        <v>4529</v>
      </c>
      <c r="DI65">
        <v>4467</v>
      </c>
      <c r="DJ65">
        <v>4379</v>
      </c>
      <c r="DK65">
        <v>4246</v>
      </c>
      <c r="DO65">
        <v>163</v>
      </c>
      <c r="DP65" t="s">
        <v>142</v>
      </c>
      <c r="DQ65">
        <v>15288</v>
      </c>
      <c r="DR65">
        <v>1</v>
      </c>
      <c r="DS65">
        <v>807</v>
      </c>
      <c r="DV65">
        <v>109</v>
      </c>
      <c r="DW65" t="s">
        <v>70</v>
      </c>
      <c r="DX65">
        <v>5086.2994387155704</v>
      </c>
      <c r="DY65">
        <v>898</v>
      </c>
      <c r="DZ65">
        <v>886</v>
      </c>
      <c r="EA65">
        <v>492</v>
      </c>
      <c r="EB65">
        <v>2924</v>
      </c>
      <c r="EC65">
        <v>1783</v>
      </c>
      <c r="ED65">
        <v>664</v>
      </c>
      <c r="EE65" s="82">
        <v>0.194601763030152</v>
      </c>
      <c r="EF65" s="82">
        <v>0.50750240615976905</v>
      </c>
    </row>
    <row r="66" spans="1:136" x14ac:dyDescent="0.35">
      <c r="A66" s="72">
        <v>164</v>
      </c>
      <c r="B66" s="72">
        <v>4</v>
      </c>
      <c r="D66" s="72" t="s">
        <v>146</v>
      </c>
      <c r="E66" s="79">
        <v>5260000000</v>
      </c>
      <c r="F66" s="79">
        <v>1310050000</v>
      </c>
      <c r="G66" s="79">
        <v>1362200000</v>
      </c>
      <c r="H66" s="79">
        <v>80593</v>
      </c>
      <c r="I66" s="79">
        <v>1</v>
      </c>
      <c r="J66" s="79">
        <v>1362.2</v>
      </c>
      <c r="K66" s="79">
        <v>17953</v>
      </c>
      <c r="L66" s="79">
        <v>15779</v>
      </c>
      <c r="M66" s="79">
        <v>4995</v>
      </c>
      <c r="N66" s="79">
        <v>12661</v>
      </c>
      <c r="O66" s="79">
        <v>8811.4</v>
      </c>
      <c r="P66" s="79">
        <v>2342.6666666666702</v>
      </c>
      <c r="Q66" s="79">
        <v>7142.6666666666697</v>
      </c>
      <c r="R66" s="79">
        <v>6915</v>
      </c>
      <c r="S66" s="79">
        <v>0</v>
      </c>
      <c r="T66" s="79">
        <v>2708</v>
      </c>
      <c r="U66" s="79">
        <v>38076</v>
      </c>
      <c r="V66" s="79">
        <v>88370</v>
      </c>
      <c r="W66" s="79">
        <v>114430</v>
      </c>
      <c r="X66" s="79">
        <v>3731.34</v>
      </c>
      <c r="Y66" s="79">
        <v>5072</v>
      </c>
      <c r="Z66" s="79">
        <v>0</v>
      </c>
      <c r="AA66" s="79">
        <v>0</v>
      </c>
      <c r="AB66" s="79">
        <v>108.49999999999901</v>
      </c>
      <c r="AC66" s="79">
        <v>6082</v>
      </c>
      <c r="AD66" s="79">
        <v>6082</v>
      </c>
      <c r="AE66" s="79">
        <v>101</v>
      </c>
      <c r="AF66" s="79">
        <v>0</v>
      </c>
      <c r="AG66" s="79">
        <v>518</v>
      </c>
      <c r="AH66" s="79">
        <v>454</v>
      </c>
      <c r="AI66" s="79">
        <v>64</v>
      </c>
      <c r="AJ66" s="79">
        <v>38496</v>
      </c>
      <c r="AK66" s="79">
        <v>38496</v>
      </c>
      <c r="AL66" s="79">
        <v>0</v>
      </c>
      <c r="AM66" s="79">
        <v>0</v>
      </c>
      <c r="AN66" s="79">
        <v>0</v>
      </c>
      <c r="AO66" s="79">
        <v>0</v>
      </c>
      <c r="AP66" s="79">
        <v>6759</v>
      </c>
      <c r="AQ66" s="79">
        <v>0</v>
      </c>
      <c r="AR66" s="80">
        <v>4.4883340000000001E-3</v>
      </c>
      <c r="AS66" s="80">
        <v>7.1095209999999997E-3</v>
      </c>
      <c r="AT66" s="79">
        <v>69985.728000000003</v>
      </c>
      <c r="AU66" s="79">
        <v>0</v>
      </c>
      <c r="AV66" s="79">
        <v>1010</v>
      </c>
      <c r="AW66" s="79">
        <v>13164.9571405467</v>
      </c>
      <c r="AX66" s="79">
        <v>3</v>
      </c>
      <c r="AY66" s="79">
        <v>3</v>
      </c>
      <c r="AZ66" s="79">
        <v>7721</v>
      </c>
      <c r="BA66" s="79">
        <v>1</v>
      </c>
      <c r="BB66" s="79">
        <v>0</v>
      </c>
      <c r="BC66" s="79">
        <v>0</v>
      </c>
      <c r="BD66" s="79">
        <v>0</v>
      </c>
      <c r="BE66" s="79">
        <v>0</v>
      </c>
      <c r="BF66" s="79">
        <v>0</v>
      </c>
      <c r="BG66" s="79">
        <v>0</v>
      </c>
      <c r="BH66" s="79">
        <v>0</v>
      </c>
      <c r="BI66" s="79">
        <v>0</v>
      </c>
      <c r="BJ66" s="79">
        <v>0</v>
      </c>
      <c r="BK66" s="79">
        <v>81</v>
      </c>
      <c r="BL66" s="79">
        <v>14190</v>
      </c>
      <c r="BM66" s="79">
        <v>454</v>
      </c>
      <c r="BN66" s="79">
        <v>64</v>
      </c>
      <c r="BO66">
        <v>19652</v>
      </c>
      <c r="BP66">
        <v>5665</v>
      </c>
      <c r="BQ66">
        <v>17741</v>
      </c>
      <c r="BR66">
        <v>5611</v>
      </c>
      <c r="BS66">
        <v>17630</v>
      </c>
      <c r="BT66">
        <v>5582</v>
      </c>
      <c r="BU66">
        <v>17542</v>
      </c>
      <c r="BV66">
        <v>5597</v>
      </c>
      <c r="BW66">
        <v>17422</v>
      </c>
      <c r="BX66">
        <v>5597</v>
      </c>
      <c r="BY66">
        <v>17207</v>
      </c>
      <c r="BZ66">
        <v>5655</v>
      </c>
      <c r="CA66">
        <v>15912</v>
      </c>
      <c r="CB66">
        <v>2063.7812111944399</v>
      </c>
      <c r="CC66">
        <v>225.86092031260301</v>
      </c>
      <c r="CD66">
        <v>233.25491175273601</v>
      </c>
      <c r="CE66">
        <v>22228.8891708353</v>
      </c>
      <c r="CF66">
        <v>5223.1975141251696</v>
      </c>
      <c r="CG66">
        <v>470.64943345821803</v>
      </c>
      <c r="CH66">
        <v>975</v>
      </c>
      <c r="CI66">
        <v>629.85955972720399</v>
      </c>
      <c r="CJ66">
        <v>572.93017276067599</v>
      </c>
      <c r="CK66" s="81">
        <v>4800</v>
      </c>
      <c r="CL66">
        <v>1646</v>
      </c>
      <c r="CM66">
        <v>10633.405131051501</v>
      </c>
      <c r="CN66">
        <v>6.2204877369536504</v>
      </c>
      <c r="CO66">
        <v>64814</v>
      </c>
      <c r="CP66">
        <v>8717</v>
      </c>
      <c r="CQ66">
        <v>2067</v>
      </c>
      <c r="CR66">
        <v>2021</v>
      </c>
      <c r="CS66">
        <v>1808</v>
      </c>
      <c r="CT66">
        <v>1159</v>
      </c>
      <c r="CU66">
        <v>1279.5733467933601</v>
      </c>
      <c r="CV66">
        <v>802.07960772163199</v>
      </c>
      <c r="CW66">
        <v>357.31914031206298</v>
      </c>
      <c r="CX66">
        <v>2911.7667852487202</v>
      </c>
      <c r="CY66">
        <v>1825.19334803426</v>
      </c>
      <c r="CZ66">
        <v>813.10696811686</v>
      </c>
      <c r="DA66">
        <v>41789.1</v>
      </c>
      <c r="DE66">
        <v>214</v>
      </c>
      <c r="DF66" t="s">
        <v>67</v>
      </c>
      <c r="DG66">
        <v>5824</v>
      </c>
      <c r="DH66">
        <v>5847</v>
      </c>
      <c r="DI66">
        <v>5823</v>
      </c>
      <c r="DJ66">
        <v>5746</v>
      </c>
      <c r="DK66">
        <v>5675</v>
      </c>
      <c r="DO66">
        <v>164</v>
      </c>
      <c r="DP66" t="s">
        <v>146</v>
      </c>
      <c r="DQ66">
        <v>38496</v>
      </c>
      <c r="DR66">
        <v>1</v>
      </c>
      <c r="DS66">
        <v>1818</v>
      </c>
      <c r="DV66">
        <v>1706</v>
      </c>
      <c r="DW66" t="s">
        <v>71</v>
      </c>
      <c r="DX66">
        <v>2472.5232531500601</v>
      </c>
      <c r="DY66">
        <v>494</v>
      </c>
      <c r="DZ66">
        <v>435</v>
      </c>
      <c r="EA66">
        <v>209</v>
      </c>
      <c r="EB66">
        <v>1746</v>
      </c>
      <c r="EC66">
        <v>995</v>
      </c>
      <c r="ED66">
        <v>305</v>
      </c>
      <c r="EE66" s="82">
        <v>0.176537663924623</v>
      </c>
      <c r="EF66" s="82">
        <v>0.43372316852071502</v>
      </c>
    </row>
    <row r="67" spans="1:136" x14ac:dyDescent="0.35">
      <c r="A67" s="72">
        <v>1735</v>
      </c>
      <c r="B67" s="72">
        <v>4</v>
      </c>
      <c r="D67" s="72" t="s">
        <v>154</v>
      </c>
      <c r="E67" s="79">
        <v>2697200000</v>
      </c>
      <c r="F67" s="79">
        <v>519750000</v>
      </c>
      <c r="G67" s="79">
        <v>586250000</v>
      </c>
      <c r="H67" s="79">
        <v>34930</v>
      </c>
      <c r="I67" s="79">
        <v>5</v>
      </c>
      <c r="J67" s="79">
        <v>586.25</v>
      </c>
      <c r="K67" s="79">
        <v>7617</v>
      </c>
      <c r="L67" s="79">
        <v>8605</v>
      </c>
      <c r="M67" s="79">
        <v>2904</v>
      </c>
      <c r="N67" s="79">
        <v>4066</v>
      </c>
      <c r="O67" s="79">
        <v>2505.1</v>
      </c>
      <c r="P67" s="79">
        <v>416.33333333333297</v>
      </c>
      <c r="Q67" s="79">
        <v>1902.3333333333301</v>
      </c>
      <c r="R67" s="79">
        <v>675</v>
      </c>
      <c r="S67" s="79">
        <v>0</v>
      </c>
      <c r="T67" s="79">
        <v>780</v>
      </c>
      <c r="U67" s="79">
        <v>15125</v>
      </c>
      <c r="V67" s="79">
        <v>30150</v>
      </c>
      <c r="W67" s="79">
        <v>13320</v>
      </c>
      <c r="X67" s="79">
        <v>20.76</v>
      </c>
      <c r="Y67" s="79">
        <v>640</v>
      </c>
      <c r="Z67" s="79">
        <v>0</v>
      </c>
      <c r="AA67" s="79">
        <v>0</v>
      </c>
      <c r="AB67" s="79">
        <v>56.4</v>
      </c>
      <c r="AC67" s="79">
        <v>21240</v>
      </c>
      <c r="AD67" s="79">
        <v>21240</v>
      </c>
      <c r="AE67" s="79">
        <v>300</v>
      </c>
      <c r="AF67" s="79">
        <v>0</v>
      </c>
      <c r="AG67" s="79">
        <v>442</v>
      </c>
      <c r="AH67" s="79">
        <v>205</v>
      </c>
      <c r="AI67" s="79">
        <v>237</v>
      </c>
      <c r="AJ67" s="79">
        <v>15609</v>
      </c>
      <c r="AK67" s="79">
        <v>15609</v>
      </c>
      <c r="AL67" s="79">
        <v>17</v>
      </c>
      <c r="AM67" s="79">
        <v>0</v>
      </c>
      <c r="AN67" s="79">
        <v>0</v>
      </c>
      <c r="AO67" s="79">
        <v>0</v>
      </c>
      <c r="AP67" s="79">
        <v>1469</v>
      </c>
      <c r="AQ67" s="79">
        <v>1469</v>
      </c>
      <c r="AR67" s="80">
        <v>7.7573300000000002E-4</v>
      </c>
      <c r="AS67" s="80">
        <v>3.3383000000000002E-4</v>
      </c>
      <c r="AT67" s="79">
        <v>9427.8359999999993</v>
      </c>
      <c r="AU67" s="79">
        <v>0</v>
      </c>
      <c r="AV67" s="79">
        <v>2599</v>
      </c>
      <c r="AW67" s="79">
        <v>4214.6272051996302</v>
      </c>
      <c r="AX67" s="79">
        <v>9</v>
      </c>
      <c r="AY67" s="79">
        <v>9</v>
      </c>
      <c r="AZ67" s="79">
        <v>4160</v>
      </c>
      <c r="BA67" s="79">
        <v>1</v>
      </c>
      <c r="BB67" s="79">
        <v>0</v>
      </c>
      <c r="BC67" s="79">
        <v>0</v>
      </c>
      <c r="BD67" s="79">
        <v>0</v>
      </c>
      <c r="BE67" s="79">
        <v>0</v>
      </c>
      <c r="BF67" s="79">
        <v>0</v>
      </c>
      <c r="BG67" s="79">
        <v>0</v>
      </c>
      <c r="BH67" s="79">
        <v>0</v>
      </c>
      <c r="BI67" s="79">
        <v>0</v>
      </c>
      <c r="BJ67" s="79">
        <v>0</v>
      </c>
      <c r="BK67" s="79">
        <v>22</v>
      </c>
      <c r="BL67" s="79">
        <v>4337</v>
      </c>
      <c r="BM67" s="79">
        <v>205</v>
      </c>
      <c r="BN67" s="79">
        <v>237</v>
      </c>
      <c r="BO67">
        <v>8503</v>
      </c>
      <c r="BP67">
        <v>676</v>
      </c>
      <c r="BQ67">
        <v>7721</v>
      </c>
      <c r="BR67">
        <v>651</v>
      </c>
      <c r="BS67">
        <v>7718</v>
      </c>
      <c r="BT67">
        <v>689</v>
      </c>
      <c r="BU67">
        <v>7663</v>
      </c>
      <c r="BV67">
        <v>733</v>
      </c>
      <c r="BW67">
        <v>7563</v>
      </c>
      <c r="BX67">
        <v>760</v>
      </c>
      <c r="BY67">
        <v>7345</v>
      </c>
      <c r="BZ67">
        <v>800</v>
      </c>
      <c r="CA67">
        <v>6753</v>
      </c>
      <c r="CB67">
        <v>440.293548986377</v>
      </c>
      <c r="CC67">
        <v>66.803522170662603</v>
      </c>
      <c r="CD67">
        <v>37.268378046607502</v>
      </c>
      <c r="CE67">
        <v>10312.947493875299</v>
      </c>
      <c r="CF67">
        <v>2516.6476402767998</v>
      </c>
      <c r="CG67">
        <v>151.13404225352099</v>
      </c>
      <c r="CH67">
        <v>276</v>
      </c>
      <c r="CI67">
        <v>116.144144553853</v>
      </c>
      <c r="CJ67">
        <v>95.074480681028604</v>
      </c>
      <c r="CK67" s="81">
        <v>1486</v>
      </c>
      <c r="CL67">
        <v>404</v>
      </c>
      <c r="CM67">
        <v>5924.5910495685303</v>
      </c>
      <c r="CN67">
        <v>0.57154720647883395</v>
      </c>
      <c r="CO67">
        <v>26325</v>
      </c>
      <c r="CP67">
        <v>4692</v>
      </c>
      <c r="CQ67">
        <v>1009</v>
      </c>
      <c r="CR67">
        <v>787</v>
      </c>
      <c r="CS67">
        <v>955</v>
      </c>
      <c r="CT67">
        <v>514</v>
      </c>
      <c r="CU67">
        <v>447.91048186874502</v>
      </c>
      <c r="CV67">
        <v>316.47419213370301</v>
      </c>
      <c r="CW67">
        <v>113.30161239675201</v>
      </c>
      <c r="CX67">
        <v>1189.40158362331</v>
      </c>
      <c r="CY67">
        <v>840.37976456652098</v>
      </c>
      <c r="CZ67">
        <v>300.86618346042798</v>
      </c>
      <c r="DA67">
        <v>31752</v>
      </c>
      <c r="DE67">
        <v>216</v>
      </c>
      <c r="DF67" t="s">
        <v>73</v>
      </c>
      <c r="DG67">
        <v>6805</v>
      </c>
      <c r="DH67">
        <v>6710</v>
      </c>
      <c r="DI67">
        <v>6668</v>
      </c>
      <c r="DJ67">
        <v>6556</v>
      </c>
      <c r="DK67">
        <v>6425</v>
      </c>
      <c r="DO67">
        <v>1735</v>
      </c>
      <c r="DP67" t="s">
        <v>154</v>
      </c>
      <c r="DQ67">
        <v>15609</v>
      </c>
      <c r="DR67">
        <v>1</v>
      </c>
      <c r="DS67">
        <v>604</v>
      </c>
      <c r="DV67">
        <v>611</v>
      </c>
      <c r="DW67" t="s">
        <v>813</v>
      </c>
      <c r="DX67">
        <v>1314.54694921447</v>
      </c>
      <c r="DY67">
        <v>345</v>
      </c>
      <c r="DZ67">
        <v>261</v>
      </c>
      <c r="EA67">
        <v>132</v>
      </c>
      <c r="EB67">
        <v>1106</v>
      </c>
      <c r="EC67">
        <v>602</v>
      </c>
      <c r="ED67">
        <v>184</v>
      </c>
      <c r="EE67" s="82">
        <v>0.13270436346512099</v>
      </c>
      <c r="EF67" s="82">
        <v>0.34682182854538701</v>
      </c>
    </row>
    <row r="68" spans="1:136" x14ac:dyDescent="0.35">
      <c r="A68" s="72">
        <v>166</v>
      </c>
      <c r="B68" s="72">
        <v>4</v>
      </c>
      <c r="D68" s="72" t="s">
        <v>164</v>
      </c>
      <c r="E68" s="79">
        <v>3490800000</v>
      </c>
      <c r="F68" s="79">
        <v>696150000</v>
      </c>
      <c r="G68" s="79">
        <v>749700000</v>
      </c>
      <c r="H68" s="79">
        <v>53259</v>
      </c>
      <c r="I68" s="79">
        <v>1</v>
      </c>
      <c r="J68" s="79">
        <v>749.7</v>
      </c>
      <c r="K68" s="79">
        <v>14244</v>
      </c>
      <c r="L68" s="79">
        <v>8857</v>
      </c>
      <c r="M68" s="79">
        <v>2800</v>
      </c>
      <c r="N68" s="79">
        <v>6657</v>
      </c>
      <c r="O68" s="79">
        <v>4457.3999999999996</v>
      </c>
      <c r="P68" s="79">
        <v>821.66666666666697</v>
      </c>
      <c r="Q68" s="79">
        <v>3551.6666666666702</v>
      </c>
      <c r="R68" s="79">
        <v>1760</v>
      </c>
      <c r="S68" s="79">
        <v>0</v>
      </c>
      <c r="T68" s="79">
        <v>1254</v>
      </c>
      <c r="U68" s="79">
        <v>22359</v>
      </c>
      <c r="V68" s="79">
        <v>55430</v>
      </c>
      <c r="W68" s="79">
        <v>63560</v>
      </c>
      <c r="X68" s="79">
        <v>1219.6600000000001</v>
      </c>
      <c r="Y68" s="79">
        <v>3552.8</v>
      </c>
      <c r="Z68" s="79">
        <v>0</v>
      </c>
      <c r="AA68" s="79">
        <v>0</v>
      </c>
      <c r="AB68" s="79">
        <v>0</v>
      </c>
      <c r="AC68" s="79">
        <v>14206</v>
      </c>
      <c r="AD68" s="79">
        <v>14206</v>
      </c>
      <c r="AE68" s="79">
        <v>1973</v>
      </c>
      <c r="AF68" s="79">
        <v>0</v>
      </c>
      <c r="AG68" s="79">
        <v>366</v>
      </c>
      <c r="AH68" s="79">
        <v>262.14</v>
      </c>
      <c r="AI68" s="79">
        <v>109</v>
      </c>
      <c r="AJ68" s="79">
        <v>21996</v>
      </c>
      <c r="AK68" s="79">
        <v>22435.919999999998</v>
      </c>
      <c r="AL68" s="79">
        <v>36</v>
      </c>
      <c r="AM68" s="79">
        <v>0</v>
      </c>
      <c r="AN68" s="79">
        <v>0</v>
      </c>
      <c r="AO68" s="79">
        <v>5700</v>
      </c>
      <c r="AP68" s="79">
        <v>4545</v>
      </c>
      <c r="AQ68" s="79">
        <v>3052</v>
      </c>
      <c r="AR68" s="80">
        <v>2.5566830000000001E-3</v>
      </c>
      <c r="AS68" s="80">
        <v>2.1632019999999999E-3</v>
      </c>
      <c r="AT68" s="79">
        <v>32180.148000000001</v>
      </c>
      <c r="AU68" s="79">
        <v>0</v>
      </c>
      <c r="AV68" s="79">
        <v>5096</v>
      </c>
      <c r="AW68" s="79">
        <v>17111.0873354348</v>
      </c>
      <c r="AX68" s="79">
        <v>9</v>
      </c>
      <c r="AY68" s="79">
        <v>9</v>
      </c>
      <c r="AZ68" s="79">
        <v>4958</v>
      </c>
      <c r="BA68" s="79">
        <v>1</v>
      </c>
      <c r="BB68" s="79">
        <v>0</v>
      </c>
      <c r="BC68" s="79">
        <v>0</v>
      </c>
      <c r="BD68" s="79">
        <v>0</v>
      </c>
      <c r="BE68" s="79">
        <v>0</v>
      </c>
      <c r="BF68" s="79">
        <v>0</v>
      </c>
      <c r="BG68" s="79">
        <v>0</v>
      </c>
      <c r="BH68" s="79">
        <v>0</v>
      </c>
      <c r="BI68" s="79">
        <v>0</v>
      </c>
      <c r="BJ68" s="79">
        <v>0</v>
      </c>
      <c r="BK68" s="79">
        <v>36</v>
      </c>
      <c r="BL68" s="79">
        <v>6705</v>
      </c>
      <c r="BM68" s="79">
        <v>257</v>
      </c>
      <c r="BN68" s="79">
        <v>109</v>
      </c>
      <c r="BO68">
        <v>13755</v>
      </c>
      <c r="BP68">
        <v>4402</v>
      </c>
      <c r="BQ68">
        <v>12537</v>
      </c>
      <c r="BR68">
        <v>4269</v>
      </c>
      <c r="BS68">
        <v>12519</v>
      </c>
      <c r="BT68">
        <v>4150</v>
      </c>
      <c r="BU68">
        <v>12574</v>
      </c>
      <c r="BV68">
        <v>4237</v>
      </c>
      <c r="BW68">
        <v>12619</v>
      </c>
      <c r="BX68">
        <v>4252</v>
      </c>
      <c r="BY68">
        <v>12684</v>
      </c>
      <c r="BZ68">
        <v>4336</v>
      </c>
      <c r="CA68">
        <v>12820</v>
      </c>
      <c r="CB68">
        <v>1112.0211470168199</v>
      </c>
      <c r="CC68">
        <v>273.42564823088202</v>
      </c>
      <c r="CD68">
        <v>87.988461276375006</v>
      </c>
      <c r="CE68">
        <v>12451.618883740401</v>
      </c>
      <c r="CF68">
        <v>3577.1452435670899</v>
      </c>
      <c r="CG68">
        <v>519.37003738994099</v>
      </c>
      <c r="CH68">
        <v>485</v>
      </c>
      <c r="CI68">
        <v>243.777830996375</v>
      </c>
      <c r="CJ68">
        <v>195.470294235995</v>
      </c>
      <c r="CK68" s="81">
        <v>2730</v>
      </c>
      <c r="CL68">
        <v>1042</v>
      </c>
      <c r="CM68">
        <v>6544.8595957651596</v>
      </c>
      <c r="CN68">
        <v>1.4369128838422101</v>
      </c>
      <c r="CO68">
        <v>44402</v>
      </c>
      <c r="CP68">
        <v>5045</v>
      </c>
      <c r="CQ68">
        <v>1012</v>
      </c>
      <c r="CR68">
        <v>984</v>
      </c>
      <c r="CS68">
        <v>929</v>
      </c>
      <c r="CT68">
        <v>472</v>
      </c>
      <c r="CU68">
        <v>628.97933274604998</v>
      </c>
      <c r="CV68">
        <v>391.89627240040602</v>
      </c>
      <c r="CW68">
        <v>138.80503960407401</v>
      </c>
      <c r="CX68">
        <v>1673.90297207202</v>
      </c>
      <c r="CY68">
        <v>1042.9537203567299</v>
      </c>
      <c r="CZ68">
        <v>369.40191232903902</v>
      </c>
      <c r="DA68">
        <v>67719.100000000006</v>
      </c>
      <c r="DE68">
        <v>221</v>
      </c>
      <c r="DF68" t="s">
        <v>87</v>
      </c>
      <c r="DG68">
        <v>2518</v>
      </c>
      <c r="DH68">
        <v>2484</v>
      </c>
      <c r="DI68">
        <v>2443</v>
      </c>
      <c r="DJ68">
        <v>2410</v>
      </c>
      <c r="DK68">
        <v>2350</v>
      </c>
      <c r="DO68">
        <v>166</v>
      </c>
      <c r="DP68" t="s">
        <v>164</v>
      </c>
      <c r="DQ68">
        <v>21996</v>
      </c>
      <c r="DR68">
        <v>1.02</v>
      </c>
      <c r="DS68">
        <v>1463</v>
      </c>
      <c r="DV68">
        <v>1684</v>
      </c>
      <c r="DW68" t="s">
        <v>72</v>
      </c>
      <c r="DX68">
        <v>3275.66757749929</v>
      </c>
      <c r="DY68">
        <v>554</v>
      </c>
      <c r="DZ68">
        <v>537</v>
      </c>
      <c r="EA68">
        <v>251</v>
      </c>
      <c r="EB68">
        <v>1862</v>
      </c>
      <c r="EC68">
        <v>1117</v>
      </c>
      <c r="ED68">
        <v>347</v>
      </c>
      <c r="EE68" s="82">
        <v>0.197815035684998</v>
      </c>
      <c r="EF68" s="82">
        <v>0.48592072440140599</v>
      </c>
    </row>
    <row r="69" spans="1:136" x14ac:dyDescent="0.35">
      <c r="A69" s="72">
        <v>168</v>
      </c>
      <c r="B69" s="72">
        <v>4</v>
      </c>
      <c r="D69" s="72" t="s">
        <v>191</v>
      </c>
      <c r="E69" s="79">
        <v>1596400000</v>
      </c>
      <c r="F69" s="79">
        <v>223300000</v>
      </c>
      <c r="G69" s="79">
        <v>278600000</v>
      </c>
      <c r="H69" s="79">
        <v>22547</v>
      </c>
      <c r="I69" s="79">
        <v>3</v>
      </c>
      <c r="J69" s="79">
        <v>278.60000000000002</v>
      </c>
      <c r="K69" s="79">
        <v>4907</v>
      </c>
      <c r="L69" s="79">
        <v>5078</v>
      </c>
      <c r="M69" s="79">
        <v>1598</v>
      </c>
      <c r="N69" s="79">
        <v>2842</v>
      </c>
      <c r="O69" s="79">
        <v>1832.9</v>
      </c>
      <c r="P69" s="79">
        <v>384.66666666666703</v>
      </c>
      <c r="Q69" s="79">
        <v>1879.6666666666699</v>
      </c>
      <c r="R69" s="79">
        <v>450</v>
      </c>
      <c r="S69" s="79">
        <v>0</v>
      </c>
      <c r="T69" s="79">
        <v>611</v>
      </c>
      <c r="U69" s="79">
        <v>9851</v>
      </c>
      <c r="V69" s="79">
        <v>18200</v>
      </c>
      <c r="W69" s="79">
        <v>6750</v>
      </c>
      <c r="X69" s="79">
        <v>69.2</v>
      </c>
      <c r="Y69" s="79">
        <v>504.8</v>
      </c>
      <c r="Z69" s="79">
        <v>0</v>
      </c>
      <c r="AA69" s="79">
        <v>0</v>
      </c>
      <c r="AB69" s="79">
        <v>99.699999999999903</v>
      </c>
      <c r="AC69" s="79">
        <v>9876</v>
      </c>
      <c r="AD69" s="79">
        <v>9876</v>
      </c>
      <c r="AE69" s="79">
        <v>86</v>
      </c>
      <c r="AF69" s="79">
        <v>0</v>
      </c>
      <c r="AG69" s="79">
        <v>190</v>
      </c>
      <c r="AH69" s="79">
        <v>120</v>
      </c>
      <c r="AI69" s="79">
        <v>70</v>
      </c>
      <c r="AJ69" s="79">
        <v>10091</v>
      </c>
      <c r="AK69" s="79">
        <v>10091</v>
      </c>
      <c r="AL69" s="79">
        <v>0</v>
      </c>
      <c r="AM69" s="79">
        <v>0</v>
      </c>
      <c r="AN69" s="79">
        <v>0</v>
      </c>
      <c r="AO69" s="79">
        <v>0</v>
      </c>
      <c r="AP69" s="79">
        <v>0</v>
      </c>
      <c r="AQ69" s="79">
        <v>0</v>
      </c>
      <c r="AR69" s="80">
        <v>3.5065999999999998E-4</v>
      </c>
      <c r="AS69" s="80">
        <v>2.22866E-4</v>
      </c>
      <c r="AT69" s="79">
        <v>7477.4309999999996</v>
      </c>
      <c r="AU69" s="79">
        <v>0</v>
      </c>
      <c r="AV69" s="79">
        <v>1461</v>
      </c>
      <c r="AW69" s="79">
        <v>3306.6820919494098</v>
      </c>
      <c r="AX69" s="79">
        <v>7</v>
      </c>
      <c r="AY69" s="79">
        <v>7</v>
      </c>
      <c r="AZ69" s="79">
        <v>2019</v>
      </c>
      <c r="BA69" s="79">
        <v>1</v>
      </c>
      <c r="BB69" s="79">
        <v>0</v>
      </c>
      <c r="BC69" s="79">
        <v>0</v>
      </c>
      <c r="BD69" s="79">
        <v>0</v>
      </c>
      <c r="BE69" s="79">
        <v>0</v>
      </c>
      <c r="BF69" s="79">
        <v>0</v>
      </c>
      <c r="BG69" s="79">
        <v>0</v>
      </c>
      <c r="BH69" s="79">
        <v>0</v>
      </c>
      <c r="BI69" s="79">
        <v>0</v>
      </c>
      <c r="BJ69" s="79">
        <v>0</v>
      </c>
      <c r="BK69" s="79">
        <v>19</v>
      </c>
      <c r="BL69" s="79">
        <v>2473</v>
      </c>
      <c r="BM69" s="79">
        <v>120</v>
      </c>
      <c r="BN69" s="79">
        <v>70</v>
      </c>
      <c r="BO69">
        <v>5345</v>
      </c>
      <c r="BP69">
        <v>483</v>
      </c>
      <c r="BQ69">
        <v>4801</v>
      </c>
      <c r="BR69">
        <v>469</v>
      </c>
      <c r="BS69">
        <v>4780</v>
      </c>
      <c r="BT69">
        <v>508</v>
      </c>
      <c r="BU69">
        <v>4742</v>
      </c>
      <c r="BV69">
        <v>597</v>
      </c>
      <c r="BW69">
        <v>4720</v>
      </c>
      <c r="BX69">
        <v>623</v>
      </c>
      <c r="BY69">
        <v>4672</v>
      </c>
      <c r="BZ69">
        <v>616</v>
      </c>
      <c r="CA69">
        <v>4380</v>
      </c>
      <c r="CB69">
        <v>417.71537601598999</v>
      </c>
      <c r="CC69">
        <v>80.589200067056495</v>
      </c>
      <c r="CD69">
        <v>25.824482146828402</v>
      </c>
      <c r="CE69">
        <v>5627.0151715488601</v>
      </c>
      <c r="CF69">
        <v>1455.0283019288299</v>
      </c>
      <c r="CG69">
        <v>59.920257953568303</v>
      </c>
      <c r="CH69">
        <v>255</v>
      </c>
      <c r="CI69">
        <v>134.02119274191301</v>
      </c>
      <c r="CJ69">
        <v>110.683723777914</v>
      </c>
      <c r="CK69" s="81">
        <v>1495</v>
      </c>
      <c r="CL69">
        <v>550</v>
      </c>
      <c r="CM69">
        <v>3730.7630030297601</v>
      </c>
      <c r="CN69">
        <v>0.79005989102000096</v>
      </c>
      <c r="CO69">
        <v>17469</v>
      </c>
      <c r="CP69">
        <v>2994</v>
      </c>
      <c r="CQ69">
        <v>486</v>
      </c>
      <c r="CR69">
        <v>510</v>
      </c>
      <c r="CS69">
        <v>445</v>
      </c>
      <c r="CT69">
        <v>250</v>
      </c>
      <c r="CU69">
        <v>326.60606625741599</v>
      </c>
      <c r="CV69">
        <v>190.00553131549299</v>
      </c>
      <c r="CW69">
        <v>65.030573815436597</v>
      </c>
      <c r="CX69">
        <v>912.48932627526494</v>
      </c>
      <c r="CY69">
        <v>530.847516843118</v>
      </c>
      <c r="CZ69">
        <v>181.68586140519699</v>
      </c>
      <c r="DA69">
        <v>111519.1</v>
      </c>
      <c r="DE69">
        <v>222</v>
      </c>
      <c r="DF69" t="s">
        <v>88</v>
      </c>
      <c r="DG69">
        <v>12231</v>
      </c>
      <c r="DH69">
        <v>12067</v>
      </c>
      <c r="DI69">
        <v>11930</v>
      </c>
      <c r="DJ69">
        <v>11892</v>
      </c>
      <c r="DK69">
        <v>11796</v>
      </c>
      <c r="DO69">
        <v>168</v>
      </c>
      <c r="DP69" t="s">
        <v>191</v>
      </c>
      <c r="DQ69">
        <v>10091</v>
      </c>
      <c r="DR69">
        <v>1</v>
      </c>
      <c r="DS69">
        <v>741</v>
      </c>
      <c r="DV69">
        <v>216</v>
      </c>
      <c r="DW69" t="s">
        <v>73</v>
      </c>
      <c r="DX69">
        <v>3324.27624402115</v>
      </c>
      <c r="DY69">
        <v>706</v>
      </c>
      <c r="DZ69">
        <v>515</v>
      </c>
      <c r="EA69">
        <v>265</v>
      </c>
      <c r="EB69">
        <v>1933</v>
      </c>
      <c r="EC69">
        <v>1040</v>
      </c>
      <c r="ED69">
        <v>361</v>
      </c>
      <c r="EE69" s="82">
        <v>0.16748280045229699</v>
      </c>
      <c r="EF69" s="82">
        <v>0.43372316852071502</v>
      </c>
    </row>
    <row r="70" spans="1:136" x14ac:dyDescent="0.35">
      <c r="A70" s="72">
        <v>173</v>
      </c>
      <c r="B70" s="72">
        <v>4</v>
      </c>
      <c r="D70" s="72" t="s">
        <v>229</v>
      </c>
      <c r="E70" s="79">
        <v>2442800000</v>
      </c>
      <c r="F70" s="79">
        <v>523250000</v>
      </c>
      <c r="G70" s="79">
        <v>542150000</v>
      </c>
      <c r="H70" s="79">
        <v>31915</v>
      </c>
      <c r="I70" s="79">
        <v>1</v>
      </c>
      <c r="J70" s="79">
        <v>542.15</v>
      </c>
      <c r="K70" s="79">
        <v>7292</v>
      </c>
      <c r="L70" s="79">
        <v>7104</v>
      </c>
      <c r="M70" s="79">
        <v>2239</v>
      </c>
      <c r="N70" s="79">
        <v>4440</v>
      </c>
      <c r="O70" s="79">
        <v>2991.2</v>
      </c>
      <c r="P70" s="79">
        <v>564.33333333333303</v>
      </c>
      <c r="Q70" s="79">
        <v>2397.3333333333298</v>
      </c>
      <c r="R70" s="79">
        <v>1705</v>
      </c>
      <c r="S70" s="79">
        <v>0</v>
      </c>
      <c r="T70" s="79">
        <v>892</v>
      </c>
      <c r="U70" s="79">
        <v>14358</v>
      </c>
      <c r="V70" s="79">
        <v>33340</v>
      </c>
      <c r="W70" s="79">
        <v>30270</v>
      </c>
      <c r="X70" s="79">
        <v>789.32</v>
      </c>
      <c r="Y70" s="79">
        <v>3314.4</v>
      </c>
      <c r="Z70" s="79">
        <v>0</v>
      </c>
      <c r="AA70" s="79">
        <v>0</v>
      </c>
      <c r="AB70" s="79">
        <v>0</v>
      </c>
      <c r="AC70" s="79">
        <v>2155</v>
      </c>
      <c r="AD70" s="79">
        <v>2155</v>
      </c>
      <c r="AE70" s="79">
        <v>40</v>
      </c>
      <c r="AF70" s="79">
        <v>0</v>
      </c>
      <c r="AG70" s="79">
        <v>233</v>
      </c>
      <c r="AH70" s="79">
        <v>212</v>
      </c>
      <c r="AI70" s="79">
        <v>21</v>
      </c>
      <c r="AJ70" s="79">
        <v>14488</v>
      </c>
      <c r="AK70" s="79">
        <v>14488</v>
      </c>
      <c r="AL70" s="79">
        <v>8</v>
      </c>
      <c r="AM70" s="79">
        <v>0</v>
      </c>
      <c r="AN70" s="79">
        <v>0</v>
      </c>
      <c r="AO70" s="79">
        <v>0</v>
      </c>
      <c r="AP70" s="79">
        <v>2091</v>
      </c>
      <c r="AQ70" s="79">
        <v>2091</v>
      </c>
      <c r="AR70" s="80">
        <v>6.3914199999999999E-4</v>
      </c>
      <c r="AS70" s="80">
        <v>7.6082799999999996E-4</v>
      </c>
      <c r="AT70" s="79">
        <v>21036.576000000001</v>
      </c>
      <c r="AU70" s="79">
        <v>0</v>
      </c>
      <c r="AV70" s="79">
        <v>322</v>
      </c>
      <c r="AW70" s="79">
        <v>4681.8359908883804</v>
      </c>
      <c r="AX70" s="79">
        <v>2</v>
      </c>
      <c r="AY70" s="79">
        <v>2</v>
      </c>
      <c r="AZ70" s="79">
        <v>3083</v>
      </c>
      <c r="BA70" s="79">
        <v>1</v>
      </c>
      <c r="BB70" s="79">
        <v>0</v>
      </c>
      <c r="BC70" s="79">
        <v>0</v>
      </c>
      <c r="BD70" s="79">
        <v>0</v>
      </c>
      <c r="BE70" s="79">
        <v>0</v>
      </c>
      <c r="BF70" s="79">
        <v>0</v>
      </c>
      <c r="BG70" s="79">
        <v>0</v>
      </c>
      <c r="BH70" s="79">
        <v>0</v>
      </c>
      <c r="BI70" s="79">
        <v>0</v>
      </c>
      <c r="BJ70" s="79">
        <v>0</v>
      </c>
      <c r="BK70" s="79">
        <v>34</v>
      </c>
      <c r="BL70" s="79">
        <v>4613</v>
      </c>
      <c r="BM70" s="79">
        <v>212</v>
      </c>
      <c r="BN70" s="79">
        <v>21</v>
      </c>
      <c r="BO70">
        <v>7763</v>
      </c>
      <c r="BP70">
        <v>4020</v>
      </c>
      <c r="BQ70">
        <v>7077</v>
      </c>
      <c r="BR70">
        <v>3960</v>
      </c>
      <c r="BS70">
        <v>7122</v>
      </c>
      <c r="BT70">
        <v>3961</v>
      </c>
      <c r="BU70">
        <v>7116</v>
      </c>
      <c r="BV70">
        <v>3953</v>
      </c>
      <c r="BW70">
        <v>7058</v>
      </c>
      <c r="BX70">
        <v>3904</v>
      </c>
      <c r="BY70">
        <v>7017</v>
      </c>
      <c r="BZ70">
        <v>3952</v>
      </c>
      <c r="CA70">
        <v>6554</v>
      </c>
      <c r="CB70">
        <v>644.91120905052196</v>
      </c>
      <c r="CC70">
        <v>116.44204435813801</v>
      </c>
      <c r="CD70">
        <v>89.870495265942296</v>
      </c>
      <c r="CE70">
        <v>8963.0574917360991</v>
      </c>
      <c r="CF70">
        <v>2326.6624402047701</v>
      </c>
      <c r="CG70">
        <v>155.452604613517</v>
      </c>
      <c r="CH70">
        <v>378</v>
      </c>
      <c r="CI70">
        <v>163.73853899712299</v>
      </c>
      <c r="CJ70">
        <v>137.99989919746301</v>
      </c>
      <c r="CK70" s="81">
        <v>1833</v>
      </c>
      <c r="CL70">
        <v>516</v>
      </c>
      <c r="CM70">
        <v>5090.6959514170003</v>
      </c>
      <c r="CN70">
        <v>1.18505815351025</v>
      </c>
      <c r="CO70">
        <v>24811</v>
      </c>
      <c r="CP70">
        <v>4088</v>
      </c>
      <c r="CQ70">
        <v>777</v>
      </c>
      <c r="CR70">
        <v>838</v>
      </c>
      <c r="CS70">
        <v>759</v>
      </c>
      <c r="CT70">
        <v>420</v>
      </c>
      <c r="CU70">
        <v>520.44948663617595</v>
      </c>
      <c r="CV70">
        <v>321.43587889429898</v>
      </c>
      <c r="CW70">
        <v>113.957999453855</v>
      </c>
      <c r="CX70">
        <v>1203.85994260286</v>
      </c>
      <c r="CY70">
        <v>743.51841754567795</v>
      </c>
      <c r="CZ70">
        <v>263.59805169249501</v>
      </c>
      <c r="DA70">
        <v>40377</v>
      </c>
      <c r="DE70">
        <v>225</v>
      </c>
      <c r="DF70" t="s">
        <v>94</v>
      </c>
      <c r="DG70">
        <v>4251</v>
      </c>
      <c r="DH70">
        <v>4206</v>
      </c>
      <c r="DI70">
        <v>4172</v>
      </c>
      <c r="DJ70">
        <v>4160</v>
      </c>
      <c r="DK70">
        <v>4105</v>
      </c>
      <c r="DO70">
        <v>173</v>
      </c>
      <c r="DP70" t="s">
        <v>229</v>
      </c>
      <c r="DQ70">
        <v>14488</v>
      </c>
      <c r="DR70">
        <v>1</v>
      </c>
      <c r="DS70">
        <v>1452</v>
      </c>
      <c r="DV70">
        <v>148</v>
      </c>
      <c r="DW70" t="s">
        <v>74</v>
      </c>
      <c r="DX70">
        <v>2861.87951807229</v>
      </c>
      <c r="DY70">
        <v>523</v>
      </c>
      <c r="DZ70">
        <v>577</v>
      </c>
      <c r="EA70">
        <v>295</v>
      </c>
      <c r="EB70">
        <v>1958</v>
      </c>
      <c r="EC70">
        <v>1290</v>
      </c>
      <c r="ED70">
        <v>440</v>
      </c>
      <c r="EE70" s="82">
        <v>0.14126450160784801</v>
      </c>
      <c r="EF70" s="82">
        <v>0.44529638226801799</v>
      </c>
    </row>
    <row r="71" spans="1:136" x14ac:dyDescent="0.35">
      <c r="A71" s="72">
        <v>1773</v>
      </c>
      <c r="B71" s="72">
        <v>4</v>
      </c>
      <c r="D71" s="72" t="s">
        <v>230</v>
      </c>
      <c r="E71" s="79">
        <v>1355200000</v>
      </c>
      <c r="F71" s="79">
        <v>161700000</v>
      </c>
      <c r="G71" s="79">
        <v>205100000</v>
      </c>
      <c r="H71" s="79">
        <v>18023</v>
      </c>
      <c r="I71" s="79">
        <v>2</v>
      </c>
      <c r="J71" s="79">
        <v>205.1</v>
      </c>
      <c r="K71" s="79">
        <v>4036</v>
      </c>
      <c r="L71" s="79">
        <v>3756</v>
      </c>
      <c r="M71" s="79">
        <v>1101</v>
      </c>
      <c r="N71" s="79">
        <v>2058</v>
      </c>
      <c r="O71" s="79">
        <v>1275</v>
      </c>
      <c r="P71" s="79">
        <v>191</v>
      </c>
      <c r="Q71" s="79">
        <v>1151</v>
      </c>
      <c r="R71" s="79">
        <v>370</v>
      </c>
      <c r="S71" s="79">
        <v>0</v>
      </c>
      <c r="T71" s="79">
        <v>391</v>
      </c>
      <c r="U71" s="79">
        <v>7822</v>
      </c>
      <c r="V71" s="79">
        <v>15120</v>
      </c>
      <c r="W71" s="79">
        <v>3950</v>
      </c>
      <c r="X71" s="79">
        <v>0</v>
      </c>
      <c r="Y71" s="79">
        <v>349.6</v>
      </c>
      <c r="Z71" s="79">
        <v>0</v>
      </c>
      <c r="AA71" s="79">
        <v>0</v>
      </c>
      <c r="AB71" s="79">
        <v>75.099999999999994</v>
      </c>
      <c r="AC71" s="79">
        <v>11371</v>
      </c>
      <c r="AD71" s="79">
        <v>11371</v>
      </c>
      <c r="AE71" s="79">
        <v>466</v>
      </c>
      <c r="AF71" s="79">
        <v>0</v>
      </c>
      <c r="AG71" s="79">
        <v>177</v>
      </c>
      <c r="AH71" s="79">
        <v>81</v>
      </c>
      <c r="AI71" s="79">
        <v>97</v>
      </c>
      <c r="AJ71" s="79">
        <v>7830</v>
      </c>
      <c r="AK71" s="79">
        <v>7830</v>
      </c>
      <c r="AL71" s="79">
        <v>0</v>
      </c>
      <c r="AM71" s="79">
        <v>0</v>
      </c>
      <c r="AN71" s="79">
        <v>0</v>
      </c>
      <c r="AO71" s="79">
        <v>0</v>
      </c>
      <c r="AP71" s="79">
        <v>526</v>
      </c>
      <c r="AQ71" s="79">
        <v>0</v>
      </c>
      <c r="AR71" s="80">
        <v>3.7635300000000001E-4</v>
      </c>
      <c r="AS71" s="80">
        <v>1.6223E-4</v>
      </c>
      <c r="AT71" s="79">
        <v>3633.12</v>
      </c>
      <c r="AU71" s="79">
        <v>0</v>
      </c>
      <c r="AV71" s="79">
        <v>2890</v>
      </c>
      <c r="AW71" s="79">
        <v>4400.3100447748602</v>
      </c>
      <c r="AX71" s="79">
        <v>8</v>
      </c>
      <c r="AY71" s="79">
        <v>8</v>
      </c>
      <c r="AZ71" s="79">
        <v>1776</v>
      </c>
      <c r="BA71" s="79">
        <v>1</v>
      </c>
      <c r="BB71" s="79">
        <v>0</v>
      </c>
      <c r="BC71" s="79">
        <v>0</v>
      </c>
      <c r="BD71" s="79">
        <v>0</v>
      </c>
      <c r="BE71" s="79">
        <v>0</v>
      </c>
      <c r="BF71" s="79">
        <v>0</v>
      </c>
      <c r="BG71" s="79">
        <v>0</v>
      </c>
      <c r="BH71" s="79">
        <v>0</v>
      </c>
      <c r="BI71" s="79">
        <v>0</v>
      </c>
      <c r="BJ71" s="79">
        <v>0</v>
      </c>
      <c r="BK71" s="79">
        <v>4</v>
      </c>
      <c r="BL71" s="79">
        <v>2085</v>
      </c>
      <c r="BM71" s="79">
        <v>81</v>
      </c>
      <c r="BN71" s="79">
        <v>97</v>
      </c>
      <c r="BO71">
        <v>4492</v>
      </c>
      <c r="BP71">
        <v>329</v>
      </c>
      <c r="BQ71">
        <v>4100</v>
      </c>
      <c r="BR71">
        <v>408</v>
      </c>
      <c r="BS71">
        <v>4047</v>
      </c>
      <c r="BT71">
        <v>455</v>
      </c>
      <c r="BU71">
        <v>3990</v>
      </c>
      <c r="BV71">
        <v>530</v>
      </c>
      <c r="BW71">
        <v>3959</v>
      </c>
      <c r="BX71">
        <v>517</v>
      </c>
      <c r="BY71">
        <v>3874</v>
      </c>
      <c r="BZ71">
        <v>503</v>
      </c>
      <c r="CA71">
        <v>3591</v>
      </c>
      <c r="CB71">
        <v>257.80696548564299</v>
      </c>
      <c r="CC71">
        <v>34.261165973508497</v>
      </c>
      <c r="CD71">
        <v>30.294391644024099</v>
      </c>
      <c r="CE71">
        <v>4869.6711835242104</v>
      </c>
      <c r="CF71">
        <v>1304.5498708479299</v>
      </c>
      <c r="CG71">
        <v>118.000131059246</v>
      </c>
      <c r="CH71">
        <v>169</v>
      </c>
      <c r="CI71">
        <v>61.825528386481999</v>
      </c>
      <c r="CJ71">
        <v>48.601506915301897</v>
      </c>
      <c r="CK71" s="81">
        <v>960</v>
      </c>
      <c r="CL71">
        <v>388</v>
      </c>
      <c r="CM71">
        <v>2849.3389600805099</v>
      </c>
      <c r="CN71">
        <v>0.118889265154971</v>
      </c>
      <c r="CO71">
        <v>14267</v>
      </c>
      <c r="CP71">
        <v>2185</v>
      </c>
      <c r="CQ71">
        <v>470</v>
      </c>
      <c r="CR71">
        <v>366</v>
      </c>
      <c r="CS71">
        <v>367</v>
      </c>
      <c r="CT71">
        <v>209</v>
      </c>
      <c r="CU71">
        <v>211.33247572403999</v>
      </c>
      <c r="CV71">
        <v>124.87828110965999</v>
      </c>
      <c r="CW71">
        <v>50.146689154857</v>
      </c>
      <c r="CX71">
        <v>588.20731054107205</v>
      </c>
      <c r="CY71">
        <v>347.57704713790599</v>
      </c>
      <c r="CZ71">
        <v>139.574616060593</v>
      </c>
      <c r="DA71">
        <v>41245</v>
      </c>
      <c r="DE71">
        <v>226</v>
      </c>
      <c r="DF71" t="s">
        <v>95</v>
      </c>
      <c r="DG71">
        <v>6535</v>
      </c>
      <c r="DH71">
        <v>6375</v>
      </c>
      <c r="DI71">
        <v>6202</v>
      </c>
      <c r="DJ71">
        <v>6068</v>
      </c>
      <c r="DK71">
        <v>5891</v>
      </c>
      <c r="DO71">
        <v>1773</v>
      </c>
      <c r="DP71" t="s">
        <v>230</v>
      </c>
      <c r="DQ71">
        <v>7830</v>
      </c>
      <c r="DR71">
        <v>1</v>
      </c>
      <c r="DS71">
        <v>464</v>
      </c>
      <c r="DV71">
        <v>1891</v>
      </c>
      <c r="DW71" t="s">
        <v>75</v>
      </c>
      <c r="DX71">
        <v>2806.4494251388701</v>
      </c>
      <c r="DY71">
        <v>417</v>
      </c>
      <c r="DZ71">
        <v>447</v>
      </c>
      <c r="EA71">
        <v>184</v>
      </c>
      <c r="EB71">
        <v>1416</v>
      </c>
      <c r="EC71">
        <v>909</v>
      </c>
      <c r="ED71">
        <v>257</v>
      </c>
      <c r="EE71" s="82">
        <v>0.23910698708782899</v>
      </c>
      <c r="EF71" s="82">
        <v>0.60890674647645904</v>
      </c>
    </row>
    <row r="72" spans="1:136" x14ac:dyDescent="0.35">
      <c r="A72" s="72">
        <v>175</v>
      </c>
      <c r="B72" s="72">
        <v>4</v>
      </c>
      <c r="D72" s="72" t="s">
        <v>231</v>
      </c>
      <c r="E72" s="79">
        <v>1412000000</v>
      </c>
      <c r="F72" s="79">
        <v>323750000</v>
      </c>
      <c r="G72" s="79">
        <v>362950000</v>
      </c>
      <c r="H72" s="79">
        <v>17630</v>
      </c>
      <c r="I72" s="79">
        <v>1</v>
      </c>
      <c r="J72" s="79">
        <v>362.95</v>
      </c>
      <c r="K72" s="79">
        <v>4093</v>
      </c>
      <c r="L72" s="79">
        <v>3788</v>
      </c>
      <c r="M72" s="79">
        <v>1128</v>
      </c>
      <c r="N72" s="79">
        <v>2059</v>
      </c>
      <c r="O72" s="79">
        <v>1218.3</v>
      </c>
      <c r="P72" s="79">
        <v>213.666666666667</v>
      </c>
      <c r="Q72" s="79">
        <v>1105.6666666666699</v>
      </c>
      <c r="R72" s="79">
        <v>175</v>
      </c>
      <c r="S72" s="79">
        <v>0</v>
      </c>
      <c r="T72" s="79">
        <v>352</v>
      </c>
      <c r="U72" s="79">
        <v>7562</v>
      </c>
      <c r="V72" s="79">
        <v>17020</v>
      </c>
      <c r="W72" s="79">
        <v>11740</v>
      </c>
      <c r="X72" s="79">
        <v>1124.8599999999999</v>
      </c>
      <c r="Y72" s="79">
        <v>1176</v>
      </c>
      <c r="Z72" s="79">
        <v>0</v>
      </c>
      <c r="AA72" s="79">
        <v>0</v>
      </c>
      <c r="AB72" s="79">
        <v>717.6</v>
      </c>
      <c r="AC72" s="79">
        <v>17983</v>
      </c>
      <c r="AD72" s="79">
        <v>17983</v>
      </c>
      <c r="AE72" s="79">
        <v>219</v>
      </c>
      <c r="AF72" s="79">
        <v>0</v>
      </c>
      <c r="AG72" s="79">
        <v>225</v>
      </c>
      <c r="AH72" s="79">
        <v>99</v>
      </c>
      <c r="AI72" s="79">
        <v>126</v>
      </c>
      <c r="AJ72" s="79">
        <v>8407</v>
      </c>
      <c r="AK72" s="79">
        <v>8407</v>
      </c>
      <c r="AL72" s="79">
        <v>5</v>
      </c>
      <c r="AM72" s="79">
        <v>0</v>
      </c>
      <c r="AN72" s="79">
        <v>0</v>
      </c>
      <c r="AO72" s="79">
        <v>0</v>
      </c>
      <c r="AP72" s="79">
        <v>0</v>
      </c>
      <c r="AQ72" s="79">
        <v>0</v>
      </c>
      <c r="AR72" s="80">
        <v>2.7506699999999999E-4</v>
      </c>
      <c r="AS72" s="80">
        <v>1.7006200000000001E-4</v>
      </c>
      <c r="AT72" s="79">
        <v>4102.616</v>
      </c>
      <c r="AU72" s="79">
        <v>0</v>
      </c>
      <c r="AV72" s="79">
        <v>2583</v>
      </c>
      <c r="AW72" s="79">
        <v>2501.82891989891</v>
      </c>
      <c r="AX72" s="79">
        <v>15</v>
      </c>
      <c r="AY72" s="79">
        <v>15</v>
      </c>
      <c r="AZ72" s="79">
        <v>1973</v>
      </c>
      <c r="BA72" s="79">
        <v>1</v>
      </c>
      <c r="BB72" s="79">
        <v>0</v>
      </c>
      <c r="BC72" s="79">
        <v>0</v>
      </c>
      <c r="BD72" s="79">
        <v>0</v>
      </c>
      <c r="BE72" s="79">
        <v>0</v>
      </c>
      <c r="BF72" s="79">
        <v>0</v>
      </c>
      <c r="BG72" s="79">
        <v>0</v>
      </c>
      <c r="BH72" s="79">
        <v>0</v>
      </c>
      <c r="BI72" s="79">
        <v>0</v>
      </c>
      <c r="BJ72" s="79">
        <v>0</v>
      </c>
      <c r="BK72" s="79">
        <v>20</v>
      </c>
      <c r="BL72" s="79">
        <v>2177</v>
      </c>
      <c r="BM72" s="79">
        <v>99</v>
      </c>
      <c r="BN72" s="79">
        <v>126</v>
      </c>
      <c r="BO72">
        <v>4240</v>
      </c>
      <c r="BP72">
        <v>684</v>
      </c>
      <c r="BQ72">
        <v>3774</v>
      </c>
      <c r="BR72">
        <v>724</v>
      </c>
      <c r="BS72">
        <v>3741</v>
      </c>
      <c r="BT72">
        <v>838</v>
      </c>
      <c r="BU72">
        <v>3696</v>
      </c>
      <c r="BV72">
        <v>876</v>
      </c>
      <c r="BW72">
        <v>3702</v>
      </c>
      <c r="BX72">
        <v>923</v>
      </c>
      <c r="BY72">
        <v>3681</v>
      </c>
      <c r="BZ72">
        <v>1014</v>
      </c>
      <c r="CA72">
        <v>3679</v>
      </c>
      <c r="CB72">
        <v>291.97070094719498</v>
      </c>
      <c r="CC72">
        <v>84.667789906787903</v>
      </c>
      <c r="CD72">
        <v>34.804371009203699</v>
      </c>
      <c r="CE72">
        <v>4805.3806684084002</v>
      </c>
      <c r="CF72">
        <v>1123.45261168604</v>
      </c>
      <c r="CG72">
        <v>118.538146162746</v>
      </c>
      <c r="CH72">
        <v>119</v>
      </c>
      <c r="CI72">
        <v>59.330889654875797</v>
      </c>
      <c r="CJ72">
        <v>43.989685091222199</v>
      </c>
      <c r="CK72" s="81">
        <v>892</v>
      </c>
      <c r="CL72">
        <v>319</v>
      </c>
      <c r="CM72">
        <v>2081.6869575045198</v>
      </c>
      <c r="CN72">
        <v>0.30657003941093303</v>
      </c>
      <c r="CO72">
        <v>13842</v>
      </c>
      <c r="CP72">
        <v>2208</v>
      </c>
      <c r="CQ72">
        <v>452</v>
      </c>
      <c r="CR72">
        <v>363</v>
      </c>
      <c r="CS72">
        <v>356</v>
      </c>
      <c r="CT72">
        <v>236</v>
      </c>
      <c r="CU72">
        <v>190.19092736609801</v>
      </c>
      <c r="CV72">
        <v>110.751424167453</v>
      </c>
      <c r="CW72">
        <v>48.562470021069103</v>
      </c>
      <c r="CX72">
        <v>599.77443512535001</v>
      </c>
      <c r="CY72">
        <v>349.25889362482201</v>
      </c>
      <c r="CZ72">
        <v>153.14362482240301</v>
      </c>
      <c r="DA72">
        <v>0</v>
      </c>
      <c r="DE72">
        <v>228</v>
      </c>
      <c r="DF72" t="s">
        <v>98</v>
      </c>
      <c r="DG72">
        <v>25938</v>
      </c>
      <c r="DH72">
        <v>25631</v>
      </c>
      <c r="DI72">
        <v>25635</v>
      </c>
      <c r="DJ72">
        <v>25383</v>
      </c>
      <c r="DK72">
        <v>25316</v>
      </c>
      <c r="DO72">
        <v>175</v>
      </c>
      <c r="DP72" t="s">
        <v>231</v>
      </c>
      <c r="DQ72">
        <v>8407</v>
      </c>
      <c r="DR72">
        <v>1</v>
      </c>
      <c r="DS72">
        <v>488</v>
      </c>
      <c r="DV72">
        <v>310</v>
      </c>
      <c r="DW72" t="s">
        <v>76</v>
      </c>
      <c r="DX72">
        <v>4971.4534158261404</v>
      </c>
      <c r="DY72">
        <v>1284</v>
      </c>
      <c r="DZ72">
        <v>1228</v>
      </c>
      <c r="EA72">
        <v>842</v>
      </c>
      <c r="EB72">
        <v>3341</v>
      </c>
      <c r="EC72">
        <v>2281</v>
      </c>
      <c r="ED72">
        <v>1159</v>
      </c>
      <c r="EE72" s="82">
        <v>0.14745910481961899</v>
      </c>
      <c r="EF72" s="82">
        <v>0.2456130955434</v>
      </c>
    </row>
    <row r="73" spans="1:136" x14ac:dyDescent="0.35">
      <c r="A73" s="72">
        <v>177</v>
      </c>
      <c r="B73" s="72">
        <v>4</v>
      </c>
      <c r="D73" s="72" t="s">
        <v>249</v>
      </c>
      <c r="E73" s="79">
        <v>2875600000</v>
      </c>
      <c r="F73" s="79">
        <v>509250000</v>
      </c>
      <c r="G73" s="79">
        <v>595700000</v>
      </c>
      <c r="H73" s="79">
        <v>37158</v>
      </c>
      <c r="I73" s="79">
        <v>4</v>
      </c>
      <c r="J73" s="79">
        <v>595.70000000000005</v>
      </c>
      <c r="K73" s="79">
        <v>8336</v>
      </c>
      <c r="L73" s="79">
        <v>7840</v>
      </c>
      <c r="M73" s="79">
        <v>2480</v>
      </c>
      <c r="N73" s="79">
        <v>4402</v>
      </c>
      <c r="O73" s="79">
        <v>2780.4</v>
      </c>
      <c r="P73" s="79">
        <v>388</v>
      </c>
      <c r="Q73" s="79">
        <v>2151</v>
      </c>
      <c r="R73" s="79">
        <v>625</v>
      </c>
      <c r="S73" s="79">
        <v>0</v>
      </c>
      <c r="T73" s="79">
        <v>769</v>
      </c>
      <c r="U73" s="79">
        <v>15953</v>
      </c>
      <c r="V73" s="79">
        <v>34140</v>
      </c>
      <c r="W73" s="79">
        <v>21190</v>
      </c>
      <c r="X73" s="79">
        <v>866.26</v>
      </c>
      <c r="Y73" s="79">
        <v>2227.1999999999998</v>
      </c>
      <c r="Z73" s="79">
        <v>0</v>
      </c>
      <c r="AA73" s="79">
        <v>0</v>
      </c>
      <c r="AB73" s="79">
        <v>0</v>
      </c>
      <c r="AC73" s="79">
        <v>17096</v>
      </c>
      <c r="AD73" s="79">
        <v>17096</v>
      </c>
      <c r="AE73" s="79">
        <v>133</v>
      </c>
      <c r="AF73" s="79">
        <v>0</v>
      </c>
      <c r="AG73" s="79">
        <v>393</v>
      </c>
      <c r="AH73" s="79">
        <v>207</v>
      </c>
      <c r="AI73" s="79">
        <v>187</v>
      </c>
      <c r="AJ73" s="79">
        <v>16216</v>
      </c>
      <c r="AK73" s="79">
        <v>16216</v>
      </c>
      <c r="AL73" s="79">
        <v>0</v>
      </c>
      <c r="AM73" s="79">
        <v>0</v>
      </c>
      <c r="AN73" s="79">
        <v>0</v>
      </c>
      <c r="AO73" s="79">
        <v>0</v>
      </c>
      <c r="AP73" s="79">
        <v>532</v>
      </c>
      <c r="AQ73" s="79">
        <v>0</v>
      </c>
      <c r="AR73" s="80">
        <v>4.2256800000000001E-4</v>
      </c>
      <c r="AS73" s="80">
        <v>2.2431099999999999E-4</v>
      </c>
      <c r="AT73" s="79">
        <v>10702.56</v>
      </c>
      <c r="AU73" s="79">
        <v>0</v>
      </c>
      <c r="AV73" s="79">
        <v>2226</v>
      </c>
      <c r="AW73" s="79">
        <v>4800.8420686052596</v>
      </c>
      <c r="AX73" s="79">
        <v>15</v>
      </c>
      <c r="AY73" s="79">
        <v>15</v>
      </c>
      <c r="AZ73" s="79">
        <v>3566</v>
      </c>
      <c r="BA73" s="79">
        <v>1</v>
      </c>
      <c r="BB73" s="79">
        <v>0</v>
      </c>
      <c r="BC73" s="79">
        <v>0</v>
      </c>
      <c r="BD73" s="79">
        <v>0</v>
      </c>
      <c r="BE73" s="79">
        <v>0</v>
      </c>
      <c r="BF73" s="79">
        <v>0</v>
      </c>
      <c r="BG73" s="79">
        <v>0</v>
      </c>
      <c r="BH73" s="79">
        <v>0</v>
      </c>
      <c r="BI73" s="79">
        <v>0</v>
      </c>
      <c r="BJ73" s="79">
        <v>0</v>
      </c>
      <c r="BK73" s="79">
        <v>10</v>
      </c>
      <c r="BL73" s="79">
        <v>4308</v>
      </c>
      <c r="BM73" s="79">
        <v>207</v>
      </c>
      <c r="BN73" s="79">
        <v>187</v>
      </c>
      <c r="BO73">
        <v>9609</v>
      </c>
      <c r="BP73">
        <v>2911</v>
      </c>
      <c r="BQ73">
        <v>8519</v>
      </c>
      <c r="BR73">
        <v>2818</v>
      </c>
      <c r="BS73">
        <v>8320</v>
      </c>
      <c r="BT73">
        <v>2821</v>
      </c>
      <c r="BU73">
        <v>8202</v>
      </c>
      <c r="BV73">
        <v>2744</v>
      </c>
      <c r="BW73">
        <v>8026</v>
      </c>
      <c r="BX73">
        <v>2746</v>
      </c>
      <c r="BY73">
        <v>7837</v>
      </c>
      <c r="BZ73">
        <v>2807</v>
      </c>
      <c r="CA73">
        <v>7448</v>
      </c>
      <c r="CB73">
        <v>549.84660691916395</v>
      </c>
      <c r="CC73">
        <v>72.485621895171505</v>
      </c>
      <c r="CD73">
        <v>63.441790373042203</v>
      </c>
      <c r="CE73">
        <v>9950.3409362975599</v>
      </c>
      <c r="CF73">
        <v>2537.3631567183102</v>
      </c>
      <c r="CG73">
        <v>230.27978599084801</v>
      </c>
      <c r="CH73">
        <v>307</v>
      </c>
      <c r="CI73">
        <v>122.34499591264</v>
      </c>
      <c r="CJ73">
        <v>117.06932322663999</v>
      </c>
      <c r="CK73" s="81">
        <v>1763</v>
      </c>
      <c r="CL73">
        <v>581</v>
      </c>
      <c r="CM73">
        <v>5208.1948773841996</v>
      </c>
      <c r="CN73">
        <v>0.27154395034293799</v>
      </c>
      <c r="CO73">
        <v>29318</v>
      </c>
      <c r="CP73">
        <v>4410</v>
      </c>
      <c r="CQ73">
        <v>950</v>
      </c>
      <c r="CR73">
        <v>745</v>
      </c>
      <c r="CS73">
        <v>794</v>
      </c>
      <c r="CT73">
        <v>418</v>
      </c>
      <c r="CU73">
        <v>460.56399164035201</v>
      </c>
      <c r="CV73">
        <v>287.03802010645899</v>
      </c>
      <c r="CW73">
        <v>107.33918792511599</v>
      </c>
      <c r="CX73">
        <v>1238.6695263220499</v>
      </c>
      <c r="CY73">
        <v>771.97795497509503</v>
      </c>
      <c r="CZ73">
        <v>288.68470717706703</v>
      </c>
      <c r="DA73">
        <v>55646</v>
      </c>
      <c r="DE73">
        <v>230</v>
      </c>
      <c r="DF73" t="s">
        <v>103</v>
      </c>
      <c r="DG73">
        <v>5429</v>
      </c>
      <c r="DH73">
        <v>5419</v>
      </c>
      <c r="DI73">
        <v>5412</v>
      </c>
      <c r="DJ73">
        <v>5394</v>
      </c>
      <c r="DK73">
        <v>5387</v>
      </c>
      <c r="DO73">
        <v>177</v>
      </c>
      <c r="DP73" t="s">
        <v>249</v>
      </c>
      <c r="DQ73">
        <v>16216</v>
      </c>
      <c r="DR73">
        <v>1</v>
      </c>
      <c r="DS73">
        <v>660</v>
      </c>
      <c r="DV73">
        <v>1940</v>
      </c>
      <c r="DW73" t="s">
        <v>77</v>
      </c>
      <c r="DX73">
        <v>6674.0432742677503</v>
      </c>
      <c r="DY73">
        <v>1217</v>
      </c>
      <c r="DZ73">
        <v>1111</v>
      </c>
      <c r="EA73">
        <v>669</v>
      </c>
      <c r="EB73">
        <v>4117</v>
      </c>
      <c r="EC73">
        <v>2403</v>
      </c>
      <c r="ED73">
        <v>894</v>
      </c>
      <c r="EE73" s="82">
        <v>0.16938620683219999</v>
      </c>
      <c r="EF73" s="82">
        <v>0.48170966454611602</v>
      </c>
    </row>
    <row r="74" spans="1:136" x14ac:dyDescent="0.35">
      <c r="A74" s="72">
        <v>1742</v>
      </c>
      <c r="B74" s="72">
        <v>4</v>
      </c>
      <c r="D74" s="72" t="s">
        <v>257</v>
      </c>
      <c r="E74" s="79">
        <v>2704400000</v>
      </c>
      <c r="F74" s="79">
        <v>526050000</v>
      </c>
      <c r="G74" s="79">
        <v>561050000</v>
      </c>
      <c r="H74" s="79">
        <v>38097</v>
      </c>
      <c r="I74" s="79">
        <v>2</v>
      </c>
      <c r="J74" s="79">
        <v>561.04999999999995</v>
      </c>
      <c r="K74" s="79">
        <v>10432</v>
      </c>
      <c r="L74" s="79">
        <v>6912</v>
      </c>
      <c r="M74" s="79">
        <v>2228</v>
      </c>
      <c r="N74" s="79">
        <v>3798</v>
      </c>
      <c r="O74" s="79">
        <v>2250.6</v>
      </c>
      <c r="P74" s="79">
        <v>377</v>
      </c>
      <c r="Q74" s="79">
        <v>2006</v>
      </c>
      <c r="R74" s="79">
        <v>1355</v>
      </c>
      <c r="S74" s="79">
        <v>0</v>
      </c>
      <c r="T74" s="79">
        <v>674</v>
      </c>
      <c r="U74" s="79">
        <v>14583</v>
      </c>
      <c r="V74" s="79">
        <v>39530</v>
      </c>
      <c r="W74" s="79">
        <v>34790</v>
      </c>
      <c r="X74" s="79">
        <v>471.24</v>
      </c>
      <c r="Y74" s="79">
        <v>3303.2</v>
      </c>
      <c r="Z74" s="79">
        <v>0</v>
      </c>
      <c r="AA74" s="79">
        <v>0</v>
      </c>
      <c r="AB74" s="79">
        <v>0</v>
      </c>
      <c r="AC74" s="79">
        <v>9411</v>
      </c>
      <c r="AD74" s="79">
        <v>9411</v>
      </c>
      <c r="AE74" s="79">
        <v>27</v>
      </c>
      <c r="AF74" s="79">
        <v>0</v>
      </c>
      <c r="AG74" s="79">
        <v>305</v>
      </c>
      <c r="AH74" s="79">
        <v>234</v>
      </c>
      <c r="AI74" s="79">
        <v>70</v>
      </c>
      <c r="AJ74" s="79">
        <v>15474</v>
      </c>
      <c r="AK74" s="79">
        <v>15474</v>
      </c>
      <c r="AL74" s="79">
        <v>8</v>
      </c>
      <c r="AM74" s="79">
        <v>0</v>
      </c>
      <c r="AN74" s="79">
        <v>0</v>
      </c>
      <c r="AO74" s="79">
        <v>0</v>
      </c>
      <c r="AP74" s="79">
        <v>1782</v>
      </c>
      <c r="AQ74" s="79">
        <v>1782</v>
      </c>
      <c r="AR74" s="80">
        <v>4.26606E-4</v>
      </c>
      <c r="AS74" s="80">
        <v>2.66956E-4</v>
      </c>
      <c r="AT74" s="79">
        <v>16835.712</v>
      </c>
      <c r="AU74" s="79">
        <v>0</v>
      </c>
      <c r="AV74" s="79">
        <v>915</v>
      </c>
      <c r="AW74" s="79">
        <v>3693.4472345836002</v>
      </c>
      <c r="AX74" s="79">
        <v>8</v>
      </c>
      <c r="AY74" s="79">
        <v>8</v>
      </c>
      <c r="AZ74" s="79">
        <v>3540</v>
      </c>
      <c r="BA74" s="79">
        <v>1</v>
      </c>
      <c r="BB74" s="79">
        <v>0</v>
      </c>
      <c r="BC74" s="79">
        <v>0</v>
      </c>
      <c r="BD74" s="79">
        <v>0</v>
      </c>
      <c r="BE74" s="79">
        <v>0</v>
      </c>
      <c r="BF74" s="79">
        <v>0</v>
      </c>
      <c r="BG74" s="79">
        <v>0</v>
      </c>
      <c r="BH74" s="79">
        <v>0</v>
      </c>
      <c r="BI74" s="79">
        <v>0</v>
      </c>
      <c r="BJ74" s="79">
        <v>0</v>
      </c>
      <c r="BK74" s="79">
        <v>31</v>
      </c>
      <c r="BL74" s="79">
        <v>3525</v>
      </c>
      <c r="BM74" s="79">
        <v>234</v>
      </c>
      <c r="BN74" s="79">
        <v>70</v>
      </c>
      <c r="BO74">
        <v>10649</v>
      </c>
      <c r="BP74">
        <v>3864</v>
      </c>
      <c r="BQ74">
        <v>9685</v>
      </c>
      <c r="BR74">
        <v>3859</v>
      </c>
      <c r="BS74">
        <v>9752</v>
      </c>
      <c r="BT74">
        <v>3831</v>
      </c>
      <c r="BU74">
        <v>9810</v>
      </c>
      <c r="BV74">
        <v>3772</v>
      </c>
      <c r="BW74">
        <v>9734</v>
      </c>
      <c r="BX74">
        <v>3840</v>
      </c>
      <c r="BY74">
        <v>9685</v>
      </c>
      <c r="BZ74">
        <v>3923</v>
      </c>
      <c r="CA74">
        <v>9447</v>
      </c>
      <c r="CB74">
        <v>552.65974804146094</v>
      </c>
      <c r="CC74">
        <v>161.12084306015001</v>
      </c>
      <c r="CD74">
        <v>37.729995649782502</v>
      </c>
      <c r="CE74">
        <v>9099.1141356420794</v>
      </c>
      <c r="CF74">
        <v>2758.5112442442801</v>
      </c>
      <c r="CG74">
        <v>416.80836213468899</v>
      </c>
      <c r="CH74">
        <v>275</v>
      </c>
      <c r="CI74">
        <v>115.348395382763</v>
      </c>
      <c r="CJ74">
        <v>100.041058030038</v>
      </c>
      <c r="CK74" s="81">
        <v>1629</v>
      </c>
      <c r="CL74">
        <v>529</v>
      </c>
      <c r="CM74">
        <v>5073.5648316831703</v>
      </c>
      <c r="CN74">
        <v>0.40336918990340898</v>
      </c>
      <c r="CO74">
        <v>31185</v>
      </c>
      <c r="CP74">
        <v>3801</v>
      </c>
      <c r="CQ74">
        <v>883</v>
      </c>
      <c r="CR74">
        <v>621</v>
      </c>
      <c r="CS74">
        <v>714</v>
      </c>
      <c r="CT74">
        <v>434</v>
      </c>
      <c r="CU74">
        <v>329.578511634655</v>
      </c>
      <c r="CV74">
        <v>220.49471475645899</v>
      </c>
      <c r="CW74">
        <v>92.357614690205594</v>
      </c>
      <c r="CX74">
        <v>1082.08910350578</v>
      </c>
      <c r="CY74">
        <v>723.93957674967703</v>
      </c>
      <c r="CZ74">
        <v>303.23326598683701</v>
      </c>
      <c r="DA74">
        <v>18888</v>
      </c>
      <c r="DE74">
        <v>232</v>
      </c>
      <c r="DF74" t="s">
        <v>107</v>
      </c>
      <c r="DG74">
        <v>6825</v>
      </c>
      <c r="DH74">
        <v>6754</v>
      </c>
      <c r="DI74">
        <v>6708</v>
      </c>
      <c r="DJ74">
        <v>6521</v>
      </c>
      <c r="DK74">
        <v>6415</v>
      </c>
      <c r="DO74">
        <v>1742</v>
      </c>
      <c r="DP74" t="s">
        <v>257</v>
      </c>
      <c r="DQ74">
        <v>15474</v>
      </c>
      <c r="DR74">
        <v>1</v>
      </c>
      <c r="DS74">
        <v>1088</v>
      </c>
      <c r="DV74">
        <v>1663</v>
      </c>
      <c r="DW74" t="s">
        <v>795</v>
      </c>
      <c r="DX74">
        <v>1709.76615847112</v>
      </c>
      <c r="DY74">
        <v>368</v>
      </c>
      <c r="DZ74">
        <v>248</v>
      </c>
      <c r="EA74">
        <v>127</v>
      </c>
      <c r="EB74">
        <v>958</v>
      </c>
      <c r="EC74">
        <v>505</v>
      </c>
      <c r="ED74">
        <v>183</v>
      </c>
      <c r="EE74" s="82">
        <v>0.22616676048666901</v>
      </c>
      <c r="EF74" s="82">
        <v>0.57301140477143597</v>
      </c>
    </row>
    <row r="75" spans="1:136" x14ac:dyDescent="0.35">
      <c r="A75" s="72">
        <v>180</v>
      </c>
      <c r="B75" s="72">
        <v>4</v>
      </c>
      <c r="D75" s="72" t="s">
        <v>283</v>
      </c>
      <c r="E75" s="79">
        <v>1134400000</v>
      </c>
      <c r="F75" s="79">
        <v>295050000</v>
      </c>
      <c r="G75" s="79">
        <v>343000000</v>
      </c>
      <c r="H75" s="79">
        <v>16797</v>
      </c>
      <c r="I75" s="79">
        <v>2</v>
      </c>
      <c r="J75" s="79">
        <v>343</v>
      </c>
      <c r="K75" s="79">
        <v>5210</v>
      </c>
      <c r="L75" s="79">
        <v>2528</v>
      </c>
      <c r="M75" s="79">
        <v>777</v>
      </c>
      <c r="N75" s="79">
        <v>1352</v>
      </c>
      <c r="O75" s="79">
        <v>738.9</v>
      </c>
      <c r="P75" s="79">
        <v>144</v>
      </c>
      <c r="Q75" s="79">
        <v>638</v>
      </c>
      <c r="R75" s="79">
        <v>145</v>
      </c>
      <c r="S75" s="79">
        <v>0</v>
      </c>
      <c r="T75" s="79">
        <v>247</v>
      </c>
      <c r="U75" s="79">
        <v>5861</v>
      </c>
      <c r="V75" s="79">
        <v>15800</v>
      </c>
      <c r="W75" s="79">
        <v>10120</v>
      </c>
      <c r="X75" s="79">
        <v>0</v>
      </c>
      <c r="Y75" s="79">
        <v>356.8</v>
      </c>
      <c r="Z75" s="79">
        <v>0</v>
      </c>
      <c r="AA75" s="79">
        <v>0</v>
      </c>
      <c r="AB75" s="79">
        <v>5.9999999999999396</v>
      </c>
      <c r="AC75" s="79">
        <v>13398</v>
      </c>
      <c r="AD75" s="79">
        <v>13398</v>
      </c>
      <c r="AE75" s="79">
        <v>171</v>
      </c>
      <c r="AF75" s="79">
        <v>0</v>
      </c>
      <c r="AG75" s="79">
        <v>206</v>
      </c>
      <c r="AH75" s="79">
        <v>123</v>
      </c>
      <c r="AI75" s="79">
        <v>83</v>
      </c>
      <c r="AJ75" s="79">
        <v>6131</v>
      </c>
      <c r="AK75" s="79">
        <v>6131</v>
      </c>
      <c r="AL75" s="79">
        <v>0</v>
      </c>
      <c r="AM75" s="79">
        <v>0</v>
      </c>
      <c r="AN75" s="79">
        <v>0</v>
      </c>
      <c r="AO75" s="79">
        <v>0</v>
      </c>
      <c r="AP75" s="79">
        <v>660</v>
      </c>
      <c r="AQ75" s="79">
        <v>0</v>
      </c>
      <c r="AR75" s="80">
        <v>3.6141800000000001E-4</v>
      </c>
      <c r="AS75" s="80">
        <v>4.5343000000000003E-5</v>
      </c>
      <c r="AT75" s="79">
        <v>2170.3739999999998</v>
      </c>
      <c r="AU75" s="79">
        <v>0</v>
      </c>
      <c r="AV75" s="79">
        <v>2586</v>
      </c>
      <c r="AW75" s="79">
        <v>3201.1969931461399</v>
      </c>
      <c r="AX75" s="79">
        <v>6</v>
      </c>
      <c r="AY75" s="79">
        <v>6</v>
      </c>
      <c r="AZ75" s="79">
        <v>1859</v>
      </c>
      <c r="BA75" s="79">
        <v>1</v>
      </c>
      <c r="BB75" s="79">
        <v>0</v>
      </c>
      <c r="BC75" s="79">
        <v>0</v>
      </c>
      <c r="BD75" s="79">
        <v>0</v>
      </c>
      <c r="BE75" s="79">
        <v>0</v>
      </c>
      <c r="BF75" s="79">
        <v>0</v>
      </c>
      <c r="BG75" s="79">
        <v>0</v>
      </c>
      <c r="BH75" s="79">
        <v>0</v>
      </c>
      <c r="BI75" s="79">
        <v>0</v>
      </c>
      <c r="BJ75" s="79">
        <v>0</v>
      </c>
      <c r="BK75" s="79">
        <v>9</v>
      </c>
      <c r="BL75" s="79">
        <v>1362</v>
      </c>
      <c r="BM75" s="79">
        <v>123</v>
      </c>
      <c r="BN75" s="79">
        <v>83</v>
      </c>
      <c r="BO75">
        <v>5393</v>
      </c>
      <c r="BP75">
        <v>400</v>
      </c>
      <c r="BQ75">
        <v>4863</v>
      </c>
      <c r="BR75">
        <v>403</v>
      </c>
      <c r="BS75">
        <v>4899</v>
      </c>
      <c r="BT75">
        <v>411</v>
      </c>
      <c r="BU75">
        <v>4844</v>
      </c>
      <c r="BV75">
        <v>424</v>
      </c>
      <c r="BW75">
        <v>4805</v>
      </c>
      <c r="BX75">
        <v>421</v>
      </c>
      <c r="BY75">
        <v>4749</v>
      </c>
      <c r="BZ75">
        <v>440</v>
      </c>
      <c r="CA75">
        <v>4679</v>
      </c>
      <c r="CB75">
        <v>302.59889150780401</v>
      </c>
      <c r="CC75">
        <v>253.06530195071699</v>
      </c>
      <c r="CD75">
        <v>20.8874117591008</v>
      </c>
      <c r="CE75">
        <v>3675.7302803422899</v>
      </c>
      <c r="CF75">
        <v>1128.7434409403299</v>
      </c>
      <c r="CG75">
        <v>113.202262553802</v>
      </c>
      <c r="CH75">
        <v>89</v>
      </c>
      <c r="CI75">
        <v>42.617632243647201</v>
      </c>
      <c r="CJ75">
        <v>29.089953044195301</v>
      </c>
      <c r="CK75" s="81">
        <v>494</v>
      </c>
      <c r="CL75">
        <v>173</v>
      </c>
      <c r="CM75">
        <v>1090.13992021277</v>
      </c>
      <c r="CN75">
        <v>9.43867000582395E-2</v>
      </c>
      <c r="CO75">
        <v>14269</v>
      </c>
      <c r="CP75">
        <v>1480</v>
      </c>
      <c r="CQ75">
        <v>271</v>
      </c>
      <c r="CR75">
        <v>208</v>
      </c>
      <c r="CS75">
        <v>256</v>
      </c>
      <c r="CT75">
        <v>140</v>
      </c>
      <c r="CU75">
        <v>103.845229947045</v>
      </c>
      <c r="CV75">
        <v>67.704198642968905</v>
      </c>
      <c r="CW75">
        <v>25.6601322258939</v>
      </c>
      <c r="CX75">
        <v>418.86366443401198</v>
      </c>
      <c r="CY75">
        <v>273.08744711358997</v>
      </c>
      <c r="CZ75">
        <v>103.5011142975</v>
      </c>
      <c r="DA75">
        <v>312</v>
      </c>
      <c r="DE75">
        <v>233</v>
      </c>
      <c r="DF75" t="s">
        <v>108</v>
      </c>
      <c r="DG75">
        <v>5704</v>
      </c>
      <c r="DH75">
        <v>5565</v>
      </c>
      <c r="DI75">
        <v>5491</v>
      </c>
      <c r="DJ75">
        <v>5447</v>
      </c>
      <c r="DK75">
        <v>5357</v>
      </c>
      <c r="DO75">
        <v>180</v>
      </c>
      <c r="DP75" t="s">
        <v>283</v>
      </c>
      <c r="DQ75">
        <v>6131</v>
      </c>
      <c r="DR75">
        <v>1</v>
      </c>
      <c r="DS75">
        <v>354</v>
      </c>
      <c r="DV75">
        <v>736</v>
      </c>
      <c r="DW75" t="s">
        <v>78</v>
      </c>
      <c r="DX75">
        <v>4376.2830511278999</v>
      </c>
      <c r="DY75">
        <v>1046</v>
      </c>
      <c r="DZ75">
        <v>897</v>
      </c>
      <c r="EA75">
        <v>468</v>
      </c>
      <c r="EB75">
        <v>3204</v>
      </c>
      <c r="EC75">
        <v>1917</v>
      </c>
      <c r="ED75">
        <v>688</v>
      </c>
      <c r="EE75" s="82">
        <v>0.12972614441616301</v>
      </c>
      <c r="EF75" s="82">
        <v>0.27941365189001499</v>
      </c>
    </row>
    <row r="76" spans="1:136" x14ac:dyDescent="0.35">
      <c r="A76" s="72">
        <v>1708</v>
      </c>
      <c r="B76" s="72">
        <v>4</v>
      </c>
      <c r="D76" s="72" t="s">
        <v>286</v>
      </c>
      <c r="E76" s="79">
        <v>3183200000</v>
      </c>
      <c r="F76" s="79">
        <v>595350000</v>
      </c>
      <c r="G76" s="79">
        <v>654150000</v>
      </c>
      <c r="H76" s="79">
        <v>43768</v>
      </c>
      <c r="I76" s="79">
        <v>8</v>
      </c>
      <c r="J76" s="79">
        <v>654.15</v>
      </c>
      <c r="K76" s="79">
        <v>9936</v>
      </c>
      <c r="L76" s="79">
        <v>9442</v>
      </c>
      <c r="M76" s="79">
        <v>3019</v>
      </c>
      <c r="N76" s="79">
        <v>6246</v>
      </c>
      <c r="O76" s="79">
        <v>4173.3</v>
      </c>
      <c r="P76" s="79">
        <v>864</v>
      </c>
      <c r="Q76" s="79">
        <v>3111</v>
      </c>
      <c r="R76" s="79">
        <v>955</v>
      </c>
      <c r="S76" s="79">
        <v>0</v>
      </c>
      <c r="T76" s="79">
        <v>1134</v>
      </c>
      <c r="U76" s="79">
        <v>19548</v>
      </c>
      <c r="V76" s="79">
        <v>42040</v>
      </c>
      <c r="W76" s="79">
        <v>28580</v>
      </c>
      <c r="X76" s="79">
        <v>934.28</v>
      </c>
      <c r="Y76" s="79">
        <v>1610.4</v>
      </c>
      <c r="Z76" s="79">
        <v>0</v>
      </c>
      <c r="AA76" s="79">
        <v>0</v>
      </c>
      <c r="AB76" s="79">
        <v>83.599999999999895</v>
      </c>
      <c r="AC76" s="79">
        <v>28814</v>
      </c>
      <c r="AD76" s="79">
        <v>28814</v>
      </c>
      <c r="AE76" s="79">
        <v>3345</v>
      </c>
      <c r="AF76" s="79">
        <v>0</v>
      </c>
      <c r="AG76" s="79">
        <v>425</v>
      </c>
      <c r="AH76" s="79">
        <v>265</v>
      </c>
      <c r="AI76" s="79">
        <v>160</v>
      </c>
      <c r="AJ76" s="79">
        <v>20727</v>
      </c>
      <c r="AK76" s="79">
        <v>20727</v>
      </c>
      <c r="AL76" s="79">
        <v>27</v>
      </c>
      <c r="AM76" s="79">
        <v>0</v>
      </c>
      <c r="AN76" s="79">
        <v>0</v>
      </c>
      <c r="AO76" s="79">
        <v>5750</v>
      </c>
      <c r="AP76" s="79">
        <v>1650</v>
      </c>
      <c r="AQ76" s="79">
        <v>1650</v>
      </c>
      <c r="AR76" s="80">
        <v>1.4218099999999999E-3</v>
      </c>
      <c r="AS76" s="80">
        <v>8.3077599999999998E-4</v>
      </c>
      <c r="AT76" s="79">
        <v>12332.565000000001</v>
      </c>
      <c r="AU76" s="79">
        <v>0</v>
      </c>
      <c r="AV76" s="79">
        <v>15713</v>
      </c>
      <c r="AW76" s="79">
        <v>21436.915575733099</v>
      </c>
      <c r="AX76" s="79">
        <v>34</v>
      </c>
      <c r="AY76" s="79">
        <v>34</v>
      </c>
      <c r="AZ76" s="79">
        <v>4881</v>
      </c>
      <c r="BA76" s="79">
        <v>1</v>
      </c>
      <c r="BB76" s="79">
        <v>0</v>
      </c>
      <c r="BC76" s="79">
        <v>0</v>
      </c>
      <c r="BD76" s="79">
        <v>0</v>
      </c>
      <c r="BE76" s="79">
        <v>0</v>
      </c>
      <c r="BF76" s="79">
        <v>0</v>
      </c>
      <c r="BG76" s="79">
        <v>0</v>
      </c>
      <c r="BH76" s="79">
        <v>0</v>
      </c>
      <c r="BI76" s="79">
        <v>0</v>
      </c>
      <c r="BJ76" s="79">
        <v>0</v>
      </c>
      <c r="BK76" s="79">
        <v>8</v>
      </c>
      <c r="BL76" s="79">
        <v>6122</v>
      </c>
      <c r="BM76" s="79">
        <v>265</v>
      </c>
      <c r="BN76" s="79">
        <v>160</v>
      </c>
      <c r="BO76">
        <v>10864</v>
      </c>
      <c r="BP76">
        <v>1754</v>
      </c>
      <c r="BQ76">
        <v>9644</v>
      </c>
      <c r="BR76">
        <v>1773</v>
      </c>
      <c r="BS76">
        <v>9504</v>
      </c>
      <c r="BT76">
        <v>1790</v>
      </c>
      <c r="BU76">
        <v>9420</v>
      </c>
      <c r="BV76">
        <v>1830</v>
      </c>
      <c r="BW76">
        <v>9336</v>
      </c>
      <c r="BX76">
        <v>1912</v>
      </c>
      <c r="BY76">
        <v>9252</v>
      </c>
      <c r="BZ76">
        <v>1979</v>
      </c>
      <c r="CA76">
        <v>8875</v>
      </c>
      <c r="CB76">
        <v>972.59763820055502</v>
      </c>
      <c r="CC76">
        <v>151.927802536022</v>
      </c>
      <c r="CD76">
        <v>54.5223997195667</v>
      </c>
      <c r="CE76">
        <v>11452.781040991</v>
      </c>
      <c r="CF76">
        <v>2698.0744123892</v>
      </c>
      <c r="CG76">
        <v>346.15237929970698</v>
      </c>
      <c r="CH76">
        <v>460</v>
      </c>
      <c r="CI76">
        <v>267.72573455293502</v>
      </c>
      <c r="CJ76">
        <v>245.136067726085</v>
      </c>
      <c r="CK76" s="81">
        <v>2247</v>
      </c>
      <c r="CL76">
        <v>660</v>
      </c>
      <c r="CM76">
        <v>6883.45304317726</v>
      </c>
      <c r="CN76">
        <v>1.7418784002101799</v>
      </c>
      <c r="CO76">
        <v>34326</v>
      </c>
      <c r="CP76">
        <v>5339</v>
      </c>
      <c r="CQ76">
        <v>1084</v>
      </c>
      <c r="CR76">
        <v>1086</v>
      </c>
      <c r="CS76">
        <v>1007</v>
      </c>
      <c r="CT76">
        <v>562</v>
      </c>
      <c r="CU76">
        <v>670.64461310199295</v>
      </c>
      <c r="CV76">
        <v>421.59406179392801</v>
      </c>
      <c r="CW76">
        <v>157.44343663937499</v>
      </c>
      <c r="CX76">
        <v>1750.1945914422299</v>
      </c>
      <c r="CY76">
        <v>1100.2424120324299</v>
      </c>
      <c r="CZ76">
        <v>410.88326944095502</v>
      </c>
      <c r="DA76">
        <v>15876</v>
      </c>
      <c r="DE76">
        <v>236</v>
      </c>
      <c r="DF76" t="s">
        <v>807</v>
      </c>
      <c r="DG76">
        <v>6507</v>
      </c>
      <c r="DH76">
        <v>6430</v>
      </c>
      <c r="DI76">
        <v>6352</v>
      </c>
      <c r="DJ76">
        <v>6335</v>
      </c>
      <c r="DK76">
        <v>6189</v>
      </c>
      <c r="DO76">
        <v>1708</v>
      </c>
      <c r="DP76" t="s">
        <v>286</v>
      </c>
      <c r="DQ76">
        <v>20727</v>
      </c>
      <c r="DR76">
        <v>1</v>
      </c>
      <c r="DS76">
        <v>595</v>
      </c>
      <c r="DV76">
        <v>1690</v>
      </c>
      <c r="DW76" t="s">
        <v>79</v>
      </c>
      <c r="DX76">
        <v>2762.5795844260601</v>
      </c>
      <c r="DY76">
        <v>547</v>
      </c>
      <c r="DZ76">
        <v>531</v>
      </c>
      <c r="EA76">
        <v>363</v>
      </c>
      <c r="EB76">
        <v>1869</v>
      </c>
      <c r="EC76">
        <v>1193</v>
      </c>
      <c r="ED76">
        <v>499</v>
      </c>
      <c r="EE76" s="82">
        <v>0.154568704794145</v>
      </c>
      <c r="EF76" s="82">
        <v>0.44140850577478302</v>
      </c>
    </row>
    <row r="77" spans="1:136" x14ac:dyDescent="0.35">
      <c r="A77" s="72">
        <v>183</v>
      </c>
      <c r="B77" s="72">
        <v>4</v>
      </c>
      <c r="D77" s="72" t="s">
        <v>297</v>
      </c>
      <c r="E77" s="79">
        <v>1577600000</v>
      </c>
      <c r="F77" s="79">
        <v>349300000</v>
      </c>
      <c r="G77" s="79">
        <v>444850000</v>
      </c>
      <c r="H77" s="79">
        <v>21213</v>
      </c>
      <c r="I77" s="79">
        <v>4</v>
      </c>
      <c r="J77" s="79">
        <v>444.85</v>
      </c>
      <c r="K77" s="79">
        <v>5282</v>
      </c>
      <c r="L77" s="79">
        <v>3893</v>
      </c>
      <c r="M77" s="79">
        <v>1231</v>
      </c>
      <c r="N77" s="79">
        <v>2053</v>
      </c>
      <c r="O77" s="79">
        <v>1190.9000000000001</v>
      </c>
      <c r="P77" s="79">
        <v>144</v>
      </c>
      <c r="Q77" s="79">
        <v>1042</v>
      </c>
      <c r="R77" s="79">
        <v>135</v>
      </c>
      <c r="S77" s="79">
        <v>0</v>
      </c>
      <c r="T77" s="79">
        <v>385</v>
      </c>
      <c r="U77" s="79">
        <v>8243</v>
      </c>
      <c r="V77" s="79">
        <v>15400</v>
      </c>
      <c r="W77" s="79">
        <v>3060</v>
      </c>
      <c r="X77" s="79">
        <v>0</v>
      </c>
      <c r="Y77" s="79">
        <v>676.8</v>
      </c>
      <c r="Z77" s="79">
        <v>0</v>
      </c>
      <c r="AA77" s="79">
        <v>0</v>
      </c>
      <c r="AB77" s="79">
        <v>0</v>
      </c>
      <c r="AC77" s="79">
        <v>14702</v>
      </c>
      <c r="AD77" s="79">
        <v>14702</v>
      </c>
      <c r="AE77" s="79">
        <v>42</v>
      </c>
      <c r="AF77" s="79">
        <v>0</v>
      </c>
      <c r="AG77" s="79">
        <v>293</v>
      </c>
      <c r="AH77" s="79">
        <v>117</v>
      </c>
      <c r="AI77" s="79">
        <v>176</v>
      </c>
      <c r="AJ77" s="79">
        <v>8621</v>
      </c>
      <c r="AK77" s="79">
        <v>8621</v>
      </c>
      <c r="AL77" s="79">
        <v>0</v>
      </c>
      <c r="AM77" s="79">
        <v>0</v>
      </c>
      <c r="AN77" s="79">
        <v>0</v>
      </c>
      <c r="AO77" s="79">
        <v>0</v>
      </c>
      <c r="AP77" s="79">
        <v>0</v>
      </c>
      <c r="AQ77" s="79">
        <v>0</v>
      </c>
      <c r="AR77" s="80">
        <v>1.32812E-4</v>
      </c>
      <c r="AS77" s="80">
        <v>6.4517999999999995E-5</v>
      </c>
      <c r="AT77" s="79">
        <v>2422.5010000000002</v>
      </c>
      <c r="AU77" s="79">
        <v>0</v>
      </c>
      <c r="AV77" s="79">
        <v>1089</v>
      </c>
      <c r="AW77" s="79">
        <v>1566.8039202387399</v>
      </c>
      <c r="AX77" s="79">
        <v>11</v>
      </c>
      <c r="AY77" s="79">
        <v>11</v>
      </c>
      <c r="AZ77" s="79">
        <v>2421</v>
      </c>
      <c r="BA77" s="79">
        <v>1</v>
      </c>
      <c r="BB77" s="79">
        <v>0</v>
      </c>
      <c r="BC77" s="79">
        <v>0</v>
      </c>
      <c r="BD77" s="79">
        <v>0</v>
      </c>
      <c r="BE77" s="79">
        <v>0</v>
      </c>
      <c r="BF77" s="79">
        <v>0</v>
      </c>
      <c r="BG77" s="79">
        <v>0</v>
      </c>
      <c r="BH77" s="79">
        <v>0</v>
      </c>
      <c r="BI77" s="79">
        <v>0</v>
      </c>
      <c r="BJ77" s="79">
        <v>0</v>
      </c>
      <c r="BK77" s="79">
        <v>16</v>
      </c>
      <c r="BL77" s="79">
        <v>1950</v>
      </c>
      <c r="BM77" s="79">
        <v>117</v>
      </c>
      <c r="BN77" s="79">
        <v>176</v>
      </c>
      <c r="BO77">
        <v>6088</v>
      </c>
      <c r="BP77">
        <v>776</v>
      </c>
      <c r="BQ77">
        <v>5544</v>
      </c>
      <c r="BR77">
        <v>788</v>
      </c>
      <c r="BS77">
        <v>5465</v>
      </c>
      <c r="BT77">
        <v>754</v>
      </c>
      <c r="BU77">
        <v>5372</v>
      </c>
      <c r="BV77">
        <v>759</v>
      </c>
      <c r="BW77">
        <v>5251</v>
      </c>
      <c r="BX77">
        <v>733</v>
      </c>
      <c r="BY77">
        <v>5170</v>
      </c>
      <c r="BZ77">
        <v>757</v>
      </c>
      <c r="CA77">
        <v>4672</v>
      </c>
      <c r="CB77">
        <v>229.79714971361099</v>
      </c>
      <c r="CC77">
        <v>47.710565618501803</v>
      </c>
      <c r="CD77">
        <v>16.5247102819262</v>
      </c>
      <c r="CE77">
        <v>5429.7176404342099</v>
      </c>
      <c r="CF77">
        <v>1650.45603704013</v>
      </c>
      <c r="CG77">
        <v>63.967295154185003</v>
      </c>
      <c r="CH77">
        <v>166</v>
      </c>
      <c r="CI77">
        <v>32.801917801998997</v>
      </c>
      <c r="CJ77">
        <v>22.704353595469499</v>
      </c>
      <c r="CK77" s="81">
        <v>898</v>
      </c>
      <c r="CL77">
        <v>222</v>
      </c>
      <c r="CM77">
        <v>2743.6283522727299</v>
      </c>
      <c r="CN77">
        <v>0.103420891902562</v>
      </c>
      <c r="CO77">
        <v>17320</v>
      </c>
      <c r="CP77">
        <v>2212</v>
      </c>
      <c r="CQ77">
        <v>450</v>
      </c>
      <c r="CR77">
        <v>369</v>
      </c>
      <c r="CS77">
        <v>420</v>
      </c>
      <c r="CT77">
        <v>240</v>
      </c>
      <c r="CU77">
        <v>185.94840359282401</v>
      </c>
      <c r="CV77">
        <v>117.841001682525</v>
      </c>
      <c r="CW77">
        <v>45.3128353480285</v>
      </c>
      <c r="CX77">
        <v>599.36893053275196</v>
      </c>
      <c r="CY77">
        <v>379.83781407461902</v>
      </c>
      <c r="CZ77">
        <v>146.05721338391001</v>
      </c>
      <c r="DA77">
        <v>7938</v>
      </c>
      <c r="DE77">
        <v>243</v>
      </c>
      <c r="DF77" t="s">
        <v>130</v>
      </c>
      <c r="DG77">
        <v>9972</v>
      </c>
      <c r="DH77">
        <v>10121</v>
      </c>
      <c r="DI77">
        <v>10283</v>
      </c>
      <c r="DJ77">
        <v>10394</v>
      </c>
      <c r="DK77">
        <v>10457</v>
      </c>
      <c r="DO77">
        <v>183</v>
      </c>
      <c r="DP77" t="s">
        <v>297</v>
      </c>
      <c r="DQ77">
        <v>8621</v>
      </c>
      <c r="DR77">
        <v>1</v>
      </c>
      <c r="DS77">
        <v>281</v>
      </c>
      <c r="DV77">
        <v>503</v>
      </c>
      <c r="DW77" t="s">
        <v>80</v>
      </c>
      <c r="DX77">
        <v>15122.637678118699</v>
      </c>
      <c r="DY77">
        <v>2958</v>
      </c>
      <c r="DZ77">
        <v>1889</v>
      </c>
      <c r="EA77">
        <v>1148</v>
      </c>
      <c r="EB77">
        <v>6429</v>
      </c>
      <c r="EC77">
        <v>3353</v>
      </c>
      <c r="ED77">
        <v>1522</v>
      </c>
      <c r="EE77" s="82">
        <v>0.18268197615041401</v>
      </c>
      <c r="EF77" s="82">
        <v>0.48592072440140599</v>
      </c>
    </row>
    <row r="78" spans="1:136" x14ac:dyDescent="0.35">
      <c r="A78" s="72">
        <v>1700</v>
      </c>
      <c r="B78" s="72">
        <v>4</v>
      </c>
      <c r="D78" s="72" t="s">
        <v>298</v>
      </c>
      <c r="E78" s="79">
        <v>2138400000</v>
      </c>
      <c r="F78" s="79">
        <v>349650000</v>
      </c>
      <c r="G78" s="79">
        <v>415450000</v>
      </c>
      <c r="H78" s="79">
        <v>33903</v>
      </c>
      <c r="I78" s="79">
        <v>4</v>
      </c>
      <c r="J78" s="79">
        <v>415.45</v>
      </c>
      <c r="K78" s="79">
        <v>8795</v>
      </c>
      <c r="L78" s="79">
        <v>6175</v>
      </c>
      <c r="M78" s="79">
        <v>1822</v>
      </c>
      <c r="N78" s="79">
        <v>4038</v>
      </c>
      <c r="O78" s="79">
        <v>2654.4</v>
      </c>
      <c r="P78" s="79">
        <v>530</v>
      </c>
      <c r="Q78" s="79">
        <v>2682</v>
      </c>
      <c r="R78" s="79">
        <v>310</v>
      </c>
      <c r="S78" s="79">
        <v>0</v>
      </c>
      <c r="T78" s="79">
        <v>771</v>
      </c>
      <c r="U78" s="79">
        <v>13460</v>
      </c>
      <c r="V78" s="79">
        <v>32360</v>
      </c>
      <c r="W78" s="79">
        <v>14800</v>
      </c>
      <c r="X78" s="79">
        <v>201.96</v>
      </c>
      <c r="Y78" s="79">
        <v>972.8</v>
      </c>
      <c r="Z78" s="79">
        <v>0</v>
      </c>
      <c r="AA78" s="79">
        <v>0</v>
      </c>
      <c r="AB78" s="79">
        <v>121.5</v>
      </c>
      <c r="AC78" s="79">
        <v>10616</v>
      </c>
      <c r="AD78" s="79">
        <v>10616</v>
      </c>
      <c r="AE78" s="79">
        <v>198</v>
      </c>
      <c r="AF78" s="79">
        <v>0</v>
      </c>
      <c r="AG78" s="79">
        <v>309</v>
      </c>
      <c r="AH78" s="79">
        <v>222</v>
      </c>
      <c r="AI78" s="79">
        <v>87</v>
      </c>
      <c r="AJ78" s="79">
        <v>13836</v>
      </c>
      <c r="AK78" s="79">
        <v>13836</v>
      </c>
      <c r="AL78" s="79">
        <v>0</v>
      </c>
      <c r="AM78" s="79">
        <v>0</v>
      </c>
      <c r="AN78" s="79">
        <v>0</v>
      </c>
      <c r="AO78" s="79">
        <v>0</v>
      </c>
      <c r="AP78" s="79">
        <v>1038</v>
      </c>
      <c r="AQ78" s="79">
        <v>0</v>
      </c>
      <c r="AR78" s="80">
        <v>5.0626600000000001E-4</v>
      </c>
      <c r="AS78" s="80">
        <v>2.1592700000000001E-4</v>
      </c>
      <c r="AT78" s="79">
        <v>8177.076</v>
      </c>
      <c r="AU78" s="79">
        <v>0</v>
      </c>
      <c r="AV78" s="79">
        <v>2713</v>
      </c>
      <c r="AW78" s="79">
        <v>8505.5334751248392</v>
      </c>
      <c r="AX78" s="79">
        <v>9</v>
      </c>
      <c r="AY78" s="79">
        <v>9</v>
      </c>
      <c r="AZ78" s="79">
        <v>2852</v>
      </c>
      <c r="BA78" s="79">
        <v>1</v>
      </c>
      <c r="BB78" s="79">
        <v>0</v>
      </c>
      <c r="BC78" s="79">
        <v>0</v>
      </c>
      <c r="BD78" s="79">
        <v>0</v>
      </c>
      <c r="BE78" s="79">
        <v>0</v>
      </c>
      <c r="BF78" s="79">
        <v>0</v>
      </c>
      <c r="BG78" s="79">
        <v>0</v>
      </c>
      <c r="BH78" s="79">
        <v>0</v>
      </c>
      <c r="BI78" s="79">
        <v>0</v>
      </c>
      <c r="BJ78" s="79">
        <v>0</v>
      </c>
      <c r="BK78" s="79">
        <v>34</v>
      </c>
      <c r="BL78" s="79">
        <v>3302</v>
      </c>
      <c r="BM78" s="79">
        <v>222</v>
      </c>
      <c r="BN78" s="79">
        <v>87</v>
      </c>
      <c r="BO78">
        <v>8988</v>
      </c>
      <c r="BP78">
        <v>995</v>
      </c>
      <c r="BQ78">
        <v>8179</v>
      </c>
      <c r="BR78">
        <v>922</v>
      </c>
      <c r="BS78">
        <v>8152</v>
      </c>
      <c r="BT78">
        <v>872</v>
      </c>
      <c r="BU78">
        <v>8162</v>
      </c>
      <c r="BV78">
        <v>871</v>
      </c>
      <c r="BW78">
        <v>8193</v>
      </c>
      <c r="BX78">
        <v>899</v>
      </c>
      <c r="BY78">
        <v>8159</v>
      </c>
      <c r="BZ78">
        <v>1007</v>
      </c>
      <c r="CA78">
        <v>7864</v>
      </c>
      <c r="CB78">
        <v>709.62483446477495</v>
      </c>
      <c r="CC78">
        <v>341.92248188199</v>
      </c>
      <c r="CD78">
        <v>81.647468184544294</v>
      </c>
      <c r="CE78">
        <v>7547.4587385023497</v>
      </c>
      <c r="CF78">
        <v>2190.59313329522</v>
      </c>
      <c r="CG78">
        <v>248.53007144126499</v>
      </c>
      <c r="CH78">
        <v>318</v>
      </c>
      <c r="CI78">
        <v>170.560469041717</v>
      </c>
      <c r="CJ78">
        <v>160.34949726800301</v>
      </c>
      <c r="CK78" s="81">
        <v>2152</v>
      </c>
      <c r="CL78">
        <v>588</v>
      </c>
      <c r="CM78">
        <v>5585.8713419606502</v>
      </c>
      <c r="CN78">
        <v>1.0963328225112901</v>
      </c>
      <c r="CO78">
        <v>27728</v>
      </c>
      <c r="CP78">
        <v>3723</v>
      </c>
      <c r="CQ78">
        <v>630</v>
      </c>
      <c r="CR78">
        <v>670</v>
      </c>
      <c r="CS78">
        <v>612</v>
      </c>
      <c r="CT78">
        <v>313</v>
      </c>
      <c r="CU78">
        <v>433.327924211641</v>
      </c>
      <c r="CV78">
        <v>244.957839406049</v>
      </c>
      <c r="CW78">
        <v>80.757439616246501</v>
      </c>
      <c r="CX78">
        <v>1261.19849136935</v>
      </c>
      <c r="CY78">
        <v>712.94841676788701</v>
      </c>
      <c r="CZ78">
        <v>235.044074752764</v>
      </c>
      <c r="DA78">
        <v>3969</v>
      </c>
      <c r="DE78">
        <v>244</v>
      </c>
      <c r="DF78" t="s">
        <v>133</v>
      </c>
      <c r="DG78">
        <v>2726</v>
      </c>
      <c r="DH78">
        <v>2718</v>
      </c>
      <c r="DI78">
        <v>2670</v>
      </c>
      <c r="DJ78">
        <v>2639</v>
      </c>
      <c r="DK78">
        <v>2609</v>
      </c>
      <c r="DO78">
        <v>1700</v>
      </c>
      <c r="DP78" t="s">
        <v>298</v>
      </c>
      <c r="DQ78">
        <v>13836</v>
      </c>
      <c r="DR78">
        <v>1</v>
      </c>
      <c r="DS78">
        <v>591</v>
      </c>
      <c r="DV78">
        <v>10</v>
      </c>
      <c r="DW78" t="s">
        <v>81</v>
      </c>
      <c r="DX78">
        <v>4307.3703478788902</v>
      </c>
      <c r="DY78">
        <v>798</v>
      </c>
      <c r="DZ78">
        <v>741</v>
      </c>
      <c r="EA78">
        <v>324</v>
      </c>
      <c r="EB78">
        <v>2167</v>
      </c>
      <c r="EC78">
        <v>1452</v>
      </c>
      <c r="ED78">
        <v>477</v>
      </c>
      <c r="EE78" s="82">
        <v>0.249425679230867</v>
      </c>
      <c r="EF78" s="82">
        <v>0.58303829231403803</v>
      </c>
    </row>
    <row r="79" spans="1:136" x14ac:dyDescent="0.35">
      <c r="A79" s="72">
        <v>189</v>
      </c>
      <c r="B79" s="72">
        <v>4</v>
      </c>
      <c r="D79" s="72" t="s">
        <v>343</v>
      </c>
      <c r="E79" s="79">
        <v>1898000000</v>
      </c>
      <c r="F79" s="79">
        <v>260050000</v>
      </c>
      <c r="G79" s="79">
        <v>292600000</v>
      </c>
      <c r="H79" s="79">
        <v>24258</v>
      </c>
      <c r="I79" s="79">
        <v>2</v>
      </c>
      <c r="J79" s="79">
        <v>292.60000000000002</v>
      </c>
      <c r="K79" s="79">
        <v>5925</v>
      </c>
      <c r="L79" s="79">
        <v>4950</v>
      </c>
      <c r="M79" s="79">
        <v>1560</v>
      </c>
      <c r="N79" s="79">
        <v>2372</v>
      </c>
      <c r="O79" s="79">
        <v>1357.4</v>
      </c>
      <c r="P79" s="79">
        <v>209.333333333333</v>
      </c>
      <c r="Q79" s="79">
        <v>1143.3333333333301</v>
      </c>
      <c r="R79" s="79">
        <v>350</v>
      </c>
      <c r="S79" s="79">
        <v>0</v>
      </c>
      <c r="T79" s="79">
        <v>484</v>
      </c>
      <c r="U79" s="79">
        <v>9595</v>
      </c>
      <c r="V79" s="79">
        <v>21340</v>
      </c>
      <c r="W79" s="79">
        <v>10520</v>
      </c>
      <c r="X79" s="79">
        <v>0</v>
      </c>
      <c r="Y79" s="79">
        <v>494.4</v>
      </c>
      <c r="Z79" s="79">
        <v>0</v>
      </c>
      <c r="AA79" s="79">
        <v>0</v>
      </c>
      <c r="AB79" s="79">
        <v>618</v>
      </c>
      <c r="AC79" s="79">
        <v>9460</v>
      </c>
      <c r="AD79" s="79">
        <v>9460</v>
      </c>
      <c r="AE79" s="79">
        <v>79</v>
      </c>
      <c r="AF79" s="79">
        <v>0</v>
      </c>
      <c r="AG79" s="79">
        <v>223</v>
      </c>
      <c r="AH79" s="79">
        <v>134</v>
      </c>
      <c r="AI79" s="79">
        <v>89</v>
      </c>
      <c r="AJ79" s="79">
        <v>10146</v>
      </c>
      <c r="AK79" s="79">
        <v>10146</v>
      </c>
      <c r="AL79" s="79">
        <v>0</v>
      </c>
      <c r="AM79" s="79">
        <v>0</v>
      </c>
      <c r="AN79" s="79">
        <v>0</v>
      </c>
      <c r="AO79" s="79">
        <v>0</v>
      </c>
      <c r="AP79" s="79">
        <v>0</v>
      </c>
      <c r="AQ79" s="79">
        <v>0</v>
      </c>
      <c r="AR79" s="80">
        <v>2.53959E-4</v>
      </c>
      <c r="AS79" s="80">
        <v>1.17432E-4</v>
      </c>
      <c r="AT79" s="79">
        <v>7041.3239999999996</v>
      </c>
      <c r="AU79" s="79">
        <v>0</v>
      </c>
      <c r="AV79" s="79">
        <v>1517</v>
      </c>
      <c r="AW79" s="79">
        <v>3857.78236712444</v>
      </c>
      <c r="AX79" s="79">
        <v>9</v>
      </c>
      <c r="AY79" s="79">
        <v>9</v>
      </c>
      <c r="AZ79" s="79">
        <v>2496</v>
      </c>
      <c r="BA79" s="79">
        <v>1</v>
      </c>
      <c r="BB79" s="79">
        <v>0</v>
      </c>
      <c r="BC79" s="79">
        <v>0</v>
      </c>
      <c r="BD79" s="79">
        <v>0</v>
      </c>
      <c r="BE79" s="79">
        <v>0</v>
      </c>
      <c r="BF79" s="79">
        <v>0</v>
      </c>
      <c r="BG79" s="79">
        <v>0</v>
      </c>
      <c r="BH79" s="79">
        <v>0</v>
      </c>
      <c r="BI79" s="79">
        <v>0</v>
      </c>
      <c r="BJ79" s="79">
        <v>0</v>
      </c>
      <c r="BK79" s="79">
        <v>21</v>
      </c>
      <c r="BL79" s="79">
        <v>2318</v>
      </c>
      <c r="BM79" s="79">
        <v>134</v>
      </c>
      <c r="BN79" s="79">
        <v>89</v>
      </c>
      <c r="BO79">
        <v>6156</v>
      </c>
      <c r="BP79">
        <v>0</v>
      </c>
      <c r="BQ79">
        <v>5542</v>
      </c>
      <c r="BR79">
        <v>31</v>
      </c>
      <c r="BS79">
        <v>5493</v>
      </c>
      <c r="BT79">
        <v>92</v>
      </c>
      <c r="BU79">
        <v>5476</v>
      </c>
      <c r="BV79">
        <v>142</v>
      </c>
      <c r="BW79">
        <v>5421</v>
      </c>
      <c r="BX79">
        <v>208</v>
      </c>
      <c r="BY79">
        <v>5354</v>
      </c>
      <c r="BZ79">
        <v>258</v>
      </c>
      <c r="CA79">
        <v>5328</v>
      </c>
      <c r="CB79">
        <v>362.061650866516</v>
      </c>
      <c r="CC79">
        <v>63.450072489494097</v>
      </c>
      <c r="CD79">
        <v>15.8357478769077</v>
      </c>
      <c r="CE79">
        <v>6797.1451726042596</v>
      </c>
      <c r="CF79">
        <v>1859.74549143642</v>
      </c>
      <c r="CG79">
        <v>110.11199999999999</v>
      </c>
      <c r="CH79">
        <v>189</v>
      </c>
      <c r="CI79">
        <v>64.514524188723598</v>
      </c>
      <c r="CJ79">
        <v>52.503817689523203</v>
      </c>
      <c r="CK79" s="81">
        <v>934</v>
      </c>
      <c r="CL79">
        <v>213</v>
      </c>
      <c r="CM79">
        <v>3256.84310621243</v>
      </c>
      <c r="CN79">
        <v>0.11358625779279501</v>
      </c>
      <c r="CO79">
        <v>19308</v>
      </c>
      <c r="CP79">
        <v>2863</v>
      </c>
      <c r="CQ79">
        <v>527</v>
      </c>
      <c r="CR79">
        <v>421</v>
      </c>
      <c r="CS79">
        <v>457</v>
      </c>
      <c r="CT79">
        <v>260</v>
      </c>
      <c r="CU79">
        <v>222.79813290105201</v>
      </c>
      <c r="CV79">
        <v>139.432825515253</v>
      </c>
      <c r="CW79">
        <v>50.1797596623991</v>
      </c>
      <c r="CX79">
        <v>684.92409659637804</v>
      </c>
      <c r="CY79">
        <v>428.64318838043602</v>
      </c>
      <c r="CZ79">
        <v>154.26218391810301</v>
      </c>
      <c r="DA79">
        <v>0</v>
      </c>
      <c r="DE79">
        <v>246</v>
      </c>
      <c r="DF79" t="s">
        <v>136</v>
      </c>
      <c r="DG79">
        <v>4014</v>
      </c>
      <c r="DH79">
        <v>3944</v>
      </c>
      <c r="DI79">
        <v>3919</v>
      </c>
      <c r="DJ79">
        <v>3850</v>
      </c>
      <c r="DK79">
        <v>3835</v>
      </c>
      <c r="DO79">
        <v>189</v>
      </c>
      <c r="DP79" t="s">
        <v>343</v>
      </c>
      <c r="DQ79">
        <v>10146</v>
      </c>
      <c r="DR79">
        <v>1</v>
      </c>
      <c r="DS79">
        <v>694</v>
      </c>
      <c r="DV79">
        <v>400</v>
      </c>
      <c r="DW79" t="s">
        <v>82</v>
      </c>
      <c r="DX79">
        <v>9427.8934038721309</v>
      </c>
      <c r="DY79">
        <v>1853</v>
      </c>
      <c r="DZ79">
        <v>1343</v>
      </c>
      <c r="EA79">
        <v>660</v>
      </c>
      <c r="EB79">
        <v>4617</v>
      </c>
      <c r="EC79">
        <v>2626</v>
      </c>
      <c r="ED79">
        <v>906</v>
      </c>
      <c r="EE79" s="82">
        <v>0.213792424825166</v>
      </c>
      <c r="EF79" s="82">
        <v>0.54870379860755203</v>
      </c>
    </row>
    <row r="80" spans="1:136" x14ac:dyDescent="0.35">
      <c r="A80" s="72">
        <v>1896</v>
      </c>
      <c r="B80" s="72">
        <v>4</v>
      </c>
      <c r="D80" s="72" t="s">
        <v>363</v>
      </c>
      <c r="E80" s="79">
        <v>1365600000</v>
      </c>
      <c r="F80" s="79">
        <v>440300000</v>
      </c>
      <c r="G80" s="79">
        <v>477050000</v>
      </c>
      <c r="H80" s="79">
        <v>22468</v>
      </c>
      <c r="I80" s="79">
        <v>3</v>
      </c>
      <c r="J80" s="79">
        <v>477.05</v>
      </c>
      <c r="K80" s="79">
        <v>6368</v>
      </c>
      <c r="L80" s="79">
        <v>3700</v>
      </c>
      <c r="M80" s="79">
        <v>1046</v>
      </c>
      <c r="N80" s="79">
        <v>2261</v>
      </c>
      <c r="O80" s="79">
        <v>1376.7</v>
      </c>
      <c r="P80" s="79">
        <v>210.333333333333</v>
      </c>
      <c r="Q80" s="79">
        <v>1053.3333333333301</v>
      </c>
      <c r="R80" s="79">
        <v>295</v>
      </c>
      <c r="S80" s="79">
        <v>0</v>
      </c>
      <c r="T80" s="79">
        <v>408</v>
      </c>
      <c r="U80" s="79">
        <v>8677</v>
      </c>
      <c r="V80" s="79">
        <v>20110</v>
      </c>
      <c r="W80" s="79">
        <v>7310</v>
      </c>
      <c r="X80" s="79">
        <v>0</v>
      </c>
      <c r="Y80" s="79">
        <v>553.6</v>
      </c>
      <c r="Z80" s="79">
        <v>0</v>
      </c>
      <c r="AA80" s="79">
        <v>0</v>
      </c>
      <c r="AB80" s="79">
        <v>186</v>
      </c>
      <c r="AC80" s="79">
        <v>8244</v>
      </c>
      <c r="AD80" s="79">
        <v>8326.44</v>
      </c>
      <c r="AE80" s="79">
        <v>542</v>
      </c>
      <c r="AF80" s="79">
        <v>0</v>
      </c>
      <c r="AG80" s="79">
        <v>226</v>
      </c>
      <c r="AH80" s="79">
        <v>158.1</v>
      </c>
      <c r="AI80" s="79">
        <v>71.709999999999994</v>
      </c>
      <c r="AJ80" s="79">
        <v>8843</v>
      </c>
      <c r="AK80" s="79">
        <v>9019.86</v>
      </c>
      <c r="AL80" s="79">
        <v>23</v>
      </c>
      <c r="AM80" s="79">
        <v>0</v>
      </c>
      <c r="AN80" s="79">
        <v>0</v>
      </c>
      <c r="AO80" s="79">
        <v>4550</v>
      </c>
      <c r="AP80" s="79">
        <v>1380</v>
      </c>
      <c r="AQ80" s="79">
        <v>1380</v>
      </c>
      <c r="AR80" s="80">
        <v>4.0715899999999998E-4</v>
      </c>
      <c r="AS80" s="80">
        <v>1.6422E-4</v>
      </c>
      <c r="AT80" s="79">
        <v>6313.902</v>
      </c>
      <c r="AU80" s="79">
        <v>0</v>
      </c>
      <c r="AV80" s="79">
        <v>2883.55</v>
      </c>
      <c r="AW80" s="79">
        <v>7534.0937354882799</v>
      </c>
      <c r="AX80" s="79">
        <v>4</v>
      </c>
      <c r="AY80" s="79">
        <v>4.04</v>
      </c>
      <c r="AZ80" s="79">
        <v>2169</v>
      </c>
      <c r="BA80" s="79">
        <v>1</v>
      </c>
      <c r="BB80" s="79">
        <v>0</v>
      </c>
      <c r="BC80" s="79">
        <v>0</v>
      </c>
      <c r="BD80" s="79">
        <v>0</v>
      </c>
      <c r="BE80" s="79">
        <v>0</v>
      </c>
      <c r="BF80" s="79">
        <v>0</v>
      </c>
      <c r="BG80" s="79">
        <v>0</v>
      </c>
      <c r="BH80" s="79">
        <v>0</v>
      </c>
      <c r="BI80" s="79">
        <v>0</v>
      </c>
      <c r="BJ80" s="79">
        <v>0</v>
      </c>
      <c r="BK80" s="79">
        <v>12</v>
      </c>
      <c r="BL80" s="79">
        <v>2151</v>
      </c>
      <c r="BM80" s="79">
        <v>155</v>
      </c>
      <c r="BN80" s="79">
        <v>71</v>
      </c>
      <c r="BO80">
        <v>6849</v>
      </c>
      <c r="BP80">
        <v>460</v>
      </c>
      <c r="BQ80">
        <v>6199</v>
      </c>
      <c r="BR80">
        <v>472</v>
      </c>
      <c r="BS80">
        <v>6165</v>
      </c>
      <c r="BT80">
        <v>488</v>
      </c>
      <c r="BU80">
        <v>6120</v>
      </c>
      <c r="BV80">
        <v>539</v>
      </c>
      <c r="BW80">
        <v>6050</v>
      </c>
      <c r="BX80">
        <v>565</v>
      </c>
      <c r="BY80">
        <v>6056</v>
      </c>
      <c r="BZ80">
        <v>601</v>
      </c>
      <c r="CA80">
        <v>5744</v>
      </c>
      <c r="CB80">
        <v>299.44959463264303</v>
      </c>
      <c r="CC80">
        <v>187.01941447923201</v>
      </c>
      <c r="CD80">
        <v>33.7655795372402</v>
      </c>
      <c r="CE80">
        <v>5493.8074371332004</v>
      </c>
      <c r="CF80">
        <v>1676.19071301182</v>
      </c>
      <c r="CG80">
        <v>247.27352158173201</v>
      </c>
      <c r="CH80">
        <v>162</v>
      </c>
      <c r="CI80">
        <v>62.831552621169003</v>
      </c>
      <c r="CJ80">
        <v>55.696617413886102</v>
      </c>
      <c r="CK80" s="81">
        <v>843</v>
      </c>
      <c r="CL80">
        <v>331</v>
      </c>
      <c r="CM80">
        <v>2388.84116707065</v>
      </c>
      <c r="CN80">
        <v>0.12226556776936399</v>
      </c>
      <c r="CO80">
        <v>18768</v>
      </c>
      <c r="CP80">
        <v>2291</v>
      </c>
      <c r="CQ80">
        <v>363</v>
      </c>
      <c r="CR80">
        <v>369</v>
      </c>
      <c r="CS80">
        <v>329</v>
      </c>
      <c r="CT80">
        <v>205</v>
      </c>
      <c r="CU80">
        <v>215.32958235300001</v>
      </c>
      <c r="CV80">
        <v>115.06042036071401</v>
      </c>
      <c r="CW80">
        <v>42.972497996694102</v>
      </c>
      <c r="CX80">
        <v>649.01344840381705</v>
      </c>
      <c r="CY80">
        <v>346.79749701404302</v>
      </c>
      <c r="CZ80">
        <v>129.521122024189</v>
      </c>
      <c r="DA80">
        <v>0</v>
      </c>
      <c r="DE80">
        <v>252</v>
      </c>
      <c r="DF80" t="s">
        <v>148</v>
      </c>
      <c r="DG80">
        <v>3954</v>
      </c>
      <c r="DH80">
        <v>3870</v>
      </c>
      <c r="DI80">
        <v>3775</v>
      </c>
      <c r="DJ80">
        <v>3665</v>
      </c>
      <c r="DK80">
        <v>3623</v>
      </c>
      <c r="DO80">
        <v>1896</v>
      </c>
      <c r="DP80" t="s">
        <v>363</v>
      </c>
      <c r="DQ80">
        <v>8843</v>
      </c>
      <c r="DR80">
        <v>1.02</v>
      </c>
      <c r="DS80">
        <v>714</v>
      </c>
      <c r="DV80">
        <v>762</v>
      </c>
      <c r="DW80" t="s">
        <v>83</v>
      </c>
      <c r="DX80">
        <v>3902.83664624122</v>
      </c>
      <c r="DY80">
        <v>661</v>
      </c>
      <c r="DZ80">
        <v>756</v>
      </c>
      <c r="EA80">
        <v>343</v>
      </c>
      <c r="EB80">
        <v>2327</v>
      </c>
      <c r="EC80">
        <v>1549</v>
      </c>
      <c r="ED80">
        <v>480</v>
      </c>
      <c r="EE80" s="82">
        <v>0.179753182298131</v>
      </c>
      <c r="EF80" s="82">
        <v>0.46927942762387398</v>
      </c>
    </row>
    <row r="81" spans="1:136" x14ac:dyDescent="0.35">
      <c r="A81" s="72">
        <v>193</v>
      </c>
      <c r="B81" s="72">
        <v>4</v>
      </c>
      <c r="D81" s="72" t="s">
        <v>365</v>
      </c>
      <c r="E81" s="79">
        <v>9783200000</v>
      </c>
      <c r="F81" s="79">
        <v>2751000000</v>
      </c>
      <c r="G81" s="79">
        <v>2810150000</v>
      </c>
      <c r="H81" s="79">
        <v>126116</v>
      </c>
      <c r="I81" s="79">
        <v>1</v>
      </c>
      <c r="J81" s="79">
        <v>2810.15</v>
      </c>
      <c r="K81" s="79">
        <v>30396</v>
      </c>
      <c r="L81" s="79">
        <v>19300</v>
      </c>
      <c r="M81" s="79">
        <v>5879</v>
      </c>
      <c r="N81" s="79">
        <v>17789</v>
      </c>
      <c r="O81" s="79">
        <v>12019</v>
      </c>
      <c r="P81" s="79">
        <v>3562.3333333333298</v>
      </c>
      <c r="Q81" s="79">
        <v>10469.333333333299</v>
      </c>
      <c r="R81" s="79">
        <v>7165</v>
      </c>
      <c r="S81" s="79">
        <v>0</v>
      </c>
      <c r="T81" s="79">
        <v>3981</v>
      </c>
      <c r="U81" s="79">
        <v>60475</v>
      </c>
      <c r="V81" s="79">
        <v>140480</v>
      </c>
      <c r="W81" s="79">
        <v>237320</v>
      </c>
      <c r="X81" s="79">
        <v>7042.5403999999999</v>
      </c>
      <c r="Y81" s="79">
        <v>8104</v>
      </c>
      <c r="Z81" s="79">
        <v>0</v>
      </c>
      <c r="AA81" s="79">
        <v>0</v>
      </c>
      <c r="AB81" s="79">
        <v>0</v>
      </c>
      <c r="AC81" s="79">
        <v>11070</v>
      </c>
      <c r="AD81" s="79">
        <v>11070</v>
      </c>
      <c r="AE81" s="79">
        <v>867</v>
      </c>
      <c r="AF81" s="79">
        <v>0</v>
      </c>
      <c r="AG81" s="79">
        <v>666</v>
      </c>
      <c r="AH81" s="79">
        <v>553</v>
      </c>
      <c r="AI81" s="79">
        <v>113</v>
      </c>
      <c r="AJ81" s="79">
        <v>57700</v>
      </c>
      <c r="AK81" s="79">
        <v>57700</v>
      </c>
      <c r="AL81" s="79">
        <v>0</v>
      </c>
      <c r="AM81" s="79">
        <v>41</v>
      </c>
      <c r="AN81" s="79">
        <v>0</v>
      </c>
      <c r="AO81" s="79">
        <v>4550</v>
      </c>
      <c r="AP81" s="79">
        <v>9313</v>
      </c>
      <c r="AQ81" s="79">
        <v>9313</v>
      </c>
      <c r="AR81" s="80">
        <v>5.7861910000000004E-3</v>
      </c>
      <c r="AS81" s="80">
        <v>7.03815E-3</v>
      </c>
      <c r="AT81" s="79">
        <v>114996.1</v>
      </c>
      <c r="AU81" s="79">
        <v>0</v>
      </c>
      <c r="AV81" s="79">
        <v>5259</v>
      </c>
      <c r="AW81" s="79">
        <v>55562.0376979141</v>
      </c>
      <c r="AX81" s="79">
        <v>4</v>
      </c>
      <c r="AY81" s="79">
        <v>4</v>
      </c>
      <c r="AZ81" s="79">
        <v>12446</v>
      </c>
      <c r="BA81" s="79">
        <v>1</v>
      </c>
      <c r="BB81" s="79">
        <v>0</v>
      </c>
      <c r="BC81" s="79">
        <v>0</v>
      </c>
      <c r="BD81" s="79">
        <v>0</v>
      </c>
      <c r="BE81" s="79">
        <v>0</v>
      </c>
      <c r="BF81" s="79">
        <v>0</v>
      </c>
      <c r="BG81" s="79">
        <v>0</v>
      </c>
      <c r="BH81" s="79">
        <v>0</v>
      </c>
      <c r="BI81" s="79">
        <v>0</v>
      </c>
      <c r="BJ81" s="79">
        <v>0</v>
      </c>
      <c r="BK81" s="79">
        <v>78</v>
      </c>
      <c r="BL81" s="79">
        <v>23896</v>
      </c>
      <c r="BM81" s="79">
        <v>553</v>
      </c>
      <c r="BN81" s="79">
        <v>113</v>
      </c>
      <c r="BO81">
        <v>28574</v>
      </c>
      <c r="BP81">
        <v>9236</v>
      </c>
      <c r="BQ81">
        <v>25847</v>
      </c>
      <c r="BR81">
        <v>9054</v>
      </c>
      <c r="BS81">
        <v>26120</v>
      </c>
      <c r="BT81">
        <v>8921</v>
      </c>
      <c r="BU81">
        <v>26361</v>
      </c>
      <c r="BV81">
        <v>9022</v>
      </c>
      <c r="BW81">
        <v>26735</v>
      </c>
      <c r="BX81">
        <v>9035</v>
      </c>
      <c r="BY81">
        <v>26968</v>
      </c>
      <c r="BZ81">
        <v>9194</v>
      </c>
      <c r="CA81">
        <v>27302</v>
      </c>
      <c r="CB81">
        <v>3137.3719235449098</v>
      </c>
      <c r="CC81">
        <v>327.34774282233798</v>
      </c>
      <c r="CD81">
        <v>265.21077307014502</v>
      </c>
      <c r="CE81">
        <v>35252.417363343397</v>
      </c>
      <c r="CF81">
        <v>9070.8525912718906</v>
      </c>
      <c r="CG81">
        <v>1186.57595855309</v>
      </c>
      <c r="CH81">
        <v>1517</v>
      </c>
      <c r="CI81">
        <v>964.07881680107801</v>
      </c>
      <c r="CJ81">
        <v>926.62143111509897</v>
      </c>
      <c r="CK81" s="81">
        <v>6907</v>
      </c>
      <c r="CL81">
        <v>2881</v>
      </c>
      <c r="CM81">
        <v>13425.351938252599</v>
      </c>
      <c r="CN81">
        <v>8.3835743378797005</v>
      </c>
      <c r="CO81">
        <v>106816</v>
      </c>
      <c r="CP81">
        <v>11033</v>
      </c>
      <c r="CQ81">
        <v>2388</v>
      </c>
      <c r="CR81">
        <v>2800</v>
      </c>
      <c r="CS81">
        <v>2168</v>
      </c>
      <c r="CT81">
        <v>1211</v>
      </c>
      <c r="CU81">
        <v>1483.09467667483</v>
      </c>
      <c r="CV81">
        <v>866.73552663539101</v>
      </c>
      <c r="CW81">
        <v>342.23659463156599</v>
      </c>
      <c r="CX81">
        <v>3341.2695246819799</v>
      </c>
      <c r="CY81">
        <v>1952.6716983429401</v>
      </c>
      <c r="CZ81">
        <v>771.02609958602397</v>
      </c>
      <c r="DA81">
        <v>160062.70000000001</v>
      </c>
      <c r="DE81">
        <v>262</v>
      </c>
      <c r="DF81" t="s">
        <v>187</v>
      </c>
      <c r="DG81">
        <v>6993</v>
      </c>
      <c r="DH81">
        <v>6935</v>
      </c>
      <c r="DI81">
        <v>6807</v>
      </c>
      <c r="DJ81">
        <v>6683</v>
      </c>
      <c r="DK81">
        <v>6608</v>
      </c>
      <c r="DO81">
        <v>193</v>
      </c>
      <c r="DP81" t="s">
        <v>365</v>
      </c>
      <c r="DQ81">
        <v>57700</v>
      </c>
      <c r="DR81">
        <v>1</v>
      </c>
      <c r="DS81">
        <v>1993</v>
      </c>
      <c r="DV81">
        <v>150</v>
      </c>
      <c r="DW81" t="s">
        <v>84</v>
      </c>
      <c r="DX81">
        <v>14623.6276673053</v>
      </c>
      <c r="DY81">
        <v>2377</v>
      </c>
      <c r="DZ81">
        <v>1918</v>
      </c>
      <c r="EA81">
        <v>1142</v>
      </c>
      <c r="EB81">
        <v>6261</v>
      </c>
      <c r="EC81">
        <v>3792</v>
      </c>
      <c r="ED81">
        <v>1546</v>
      </c>
      <c r="EE81" s="82">
        <v>0.22298137392727599</v>
      </c>
      <c r="EF81" s="82">
        <v>0.50311442937072404</v>
      </c>
    </row>
    <row r="82" spans="1:136" x14ac:dyDescent="0.35">
      <c r="A82" s="72">
        <v>197</v>
      </c>
      <c r="B82" s="72">
        <v>5</v>
      </c>
      <c r="D82" s="72" t="s">
        <v>13</v>
      </c>
      <c r="E82" s="79">
        <v>1818000000</v>
      </c>
      <c r="F82" s="79">
        <v>314650000</v>
      </c>
      <c r="G82" s="79">
        <v>343350000</v>
      </c>
      <c r="H82" s="79">
        <v>26962</v>
      </c>
      <c r="I82" s="79">
        <v>3</v>
      </c>
      <c r="J82" s="79">
        <v>343.35</v>
      </c>
      <c r="K82" s="79">
        <v>6087</v>
      </c>
      <c r="L82" s="79">
        <v>5838</v>
      </c>
      <c r="M82" s="79">
        <v>1807</v>
      </c>
      <c r="N82" s="79">
        <v>3691</v>
      </c>
      <c r="O82" s="79">
        <v>2472</v>
      </c>
      <c r="P82" s="79">
        <v>336.66666666666703</v>
      </c>
      <c r="Q82" s="79">
        <v>1861.6666666666699</v>
      </c>
      <c r="R82" s="79">
        <v>575</v>
      </c>
      <c r="S82" s="79">
        <v>0</v>
      </c>
      <c r="T82" s="79">
        <v>629</v>
      </c>
      <c r="U82" s="79">
        <v>11790</v>
      </c>
      <c r="V82" s="79">
        <v>26630</v>
      </c>
      <c r="W82" s="79">
        <v>17750</v>
      </c>
      <c r="X82" s="79">
        <v>203.94</v>
      </c>
      <c r="Y82" s="79">
        <v>1243.2</v>
      </c>
      <c r="Z82" s="79">
        <v>0</v>
      </c>
      <c r="AA82" s="79">
        <v>0</v>
      </c>
      <c r="AB82" s="79">
        <v>0</v>
      </c>
      <c r="AC82" s="79">
        <v>9653</v>
      </c>
      <c r="AD82" s="79">
        <v>9653</v>
      </c>
      <c r="AE82" s="79">
        <v>52</v>
      </c>
      <c r="AF82" s="79">
        <v>0</v>
      </c>
      <c r="AG82" s="79">
        <v>271</v>
      </c>
      <c r="AH82" s="79">
        <v>158</v>
      </c>
      <c r="AI82" s="79">
        <v>114</v>
      </c>
      <c r="AJ82" s="79">
        <v>12190</v>
      </c>
      <c r="AK82" s="79">
        <v>12190</v>
      </c>
      <c r="AL82" s="79">
        <v>5</v>
      </c>
      <c r="AM82" s="79">
        <v>0</v>
      </c>
      <c r="AN82" s="79">
        <v>0</v>
      </c>
      <c r="AO82" s="79">
        <v>0</v>
      </c>
      <c r="AP82" s="79">
        <v>996</v>
      </c>
      <c r="AQ82" s="79">
        <v>0</v>
      </c>
      <c r="AR82" s="80">
        <v>6.4835299999999995E-4</v>
      </c>
      <c r="AS82" s="80">
        <v>1.9834099999999999E-4</v>
      </c>
      <c r="AT82" s="79">
        <v>9532.58</v>
      </c>
      <c r="AU82" s="79">
        <v>0</v>
      </c>
      <c r="AV82" s="79">
        <v>925</v>
      </c>
      <c r="AW82" s="79">
        <v>2569.7939206594501</v>
      </c>
      <c r="AX82" s="79">
        <v>9</v>
      </c>
      <c r="AY82" s="79">
        <v>9</v>
      </c>
      <c r="AZ82" s="79">
        <v>2476</v>
      </c>
      <c r="BA82" s="79">
        <v>1</v>
      </c>
      <c r="BB82" s="79">
        <v>0</v>
      </c>
      <c r="BC82" s="79">
        <v>0</v>
      </c>
      <c r="BD82" s="79">
        <v>0</v>
      </c>
      <c r="BE82" s="79">
        <v>0</v>
      </c>
      <c r="BF82" s="79">
        <v>0</v>
      </c>
      <c r="BG82" s="79">
        <v>0</v>
      </c>
      <c r="BH82" s="79">
        <v>0</v>
      </c>
      <c r="BI82" s="79">
        <v>0</v>
      </c>
      <c r="BJ82" s="79">
        <v>0</v>
      </c>
      <c r="BK82" s="79">
        <v>11</v>
      </c>
      <c r="BL82" s="79">
        <v>3335</v>
      </c>
      <c r="BM82" s="79">
        <v>158</v>
      </c>
      <c r="BN82" s="79">
        <v>114</v>
      </c>
      <c r="BO82">
        <v>6833</v>
      </c>
      <c r="BP82">
        <v>1787</v>
      </c>
      <c r="BQ82">
        <v>6163</v>
      </c>
      <c r="BR82">
        <v>1768</v>
      </c>
      <c r="BS82">
        <v>6121</v>
      </c>
      <c r="BT82">
        <v>1756</v>
      </c>
      <c r="BU82">
        <v>6018</v>
      </c>
      <c r="BV82">
        <v>1729</v>
      </c>
      <c r="BW82">
        <v>5963</v>
      </c>
      <c r="BX82">
        <v>1721</v>
      </c>
      <c r="BY82">
        <v>5851</v>
      </c>
      <c r="BZ82">
        <v>1717</v>
      </c>
      <c r="CA82">
        <v>5431</v>
      </c>
      <c r="CB82">
        <v>381.98395799875402</v>
      </c>
      <c r="CC82">
        <v>111.03416040264899</v>
      </c>
      <c r="CD82">
        <v>30.4092921289391</v>
      </c>
      <c r="CE82">
        <v>6869.3589834570303</v>
      </c>
      <c r="CF82">
        <v>1673.65569352887</v>
      </c>
      <c r="CG82">
        <v>185.59037931034501</v>
      </c>
      <c r="CH82">
        <v>229</v>
      </c>
      <c r="CI82">
        <v>91.977701166656999</v>
      </c>
      <c r="CJ82">
        <v>91.881680956665605</v>
      </c>
      <c r="CK82" s="81">
        <v>1525</v>
      </c>
      <c r="CL82">
        <v>403</v>
      </c>
      <c r="CM82">
        <v>4505.9160493460204</v>
      </c>
      <c r="CN82">
        <v>0.39797496807261401</v>
      </c>
      <c r="CO82">
        <v>21124</v>
      </c>
      <c r="CP82">
        <v>3352</v>
      </c>
      <c r="CQ82">
        <v>679</v>
      </c>
      <c r="CR82">
        <v>594</v>
      </c>
      <c r="CS82">
        <v>602</v>
      </c>
      <c r="CT82">
        <v>343</v>
      </c>
      <c r="CU82">
        <v>411.07805903519301</v>
      </c>
      <c r="CV82">
        <v>255.73232976979699</v>
      </c>
      <c r="CW82">
        <v>97.9529859467184</v>
      </c>
      <c r="CX82">
        <v>1046.72046448993</v>
      </c>
      <c r="CY82">
        <v>651.16650504282597</v>
      </c>
      <c r="CZ82">
        <v>249.41587782369899</v>
      </c>
      <c r="DA82">
        <v>18250</v>
      </c>
      <c r="DE82">
        <v>263</v>
      </c>
      <c r="DF82" t="s">
        <v>192</v>
      </c>
      <c r="DG82">
        <v>5371</v>
      </c>
      <c r="DH82">
        <v>5316</v>
      </c>
      <c r="DI82">
        <v>5305</v>
      </c>
      <c r="DJ82">
        <v>5255</v>
      </c>
      <c r="DK82">
        <v>5233</v>
      </c>
      <c r="DO82">
        <v>197</v>
      </c>
      <c r="DP82" t="s">
        <v>13</v>
      </c>
      <c r="DQ82">
        <v>12190</v>
      </c>
      <c r="DR82">
        <v>1</v>
      </c>
      <c r="DS82">
        <v>782</v>
      </c>
      <c r="DV82">
        <v>384</v>
      </c>
      <c r="DW82" t="s">
        <v>85</v>
      </c>
      <c r="DX82">
        <v>3656.3457532639</v>
      </c>
      <c r="DY82">
        <v>683</v>
      </c>
      <c r="DZ82">
        <v>489</v>
      </c>
      <c r="EA82">
        <v>292</v>
      </c>
      <c r="EB82">
        <v>1688</v>
      </c>
      <c r="EC82">
        <v>946</v>
      </c>
      <c r="ED82">
        <v>411</v>
      </c>
      <c r="EE82" s="82">
        <v>0.167061993518655</v>
      </c>
      <c r="EF82" s="82">
        <v>0.418704494192155</v>
      </c>
    </row>
    <row r="83" spans="1:136" x14ac:dyDescent="0.35">
      <c r="A83" s="72">
        <v>200</v>
      </c>
      <c r="B83" s="72">
        <v>5</v>
      </c>
      <c r="D83" s="72" t="s">
        <v>27</v>
      </c>
      <c r="E83" s="79">
        <v>12802800000</v>
      </c>
      <c r="F83" s="79">
        <v>2670850000</v>
      </c>
      <c r="G83" s="79">
        <v>2782150000</v>
      </c>
      <c r="H83" s="79">
        <v>161156</v>
      </c>
      <c r="I83" s="79">
        <v>6</v>
      </c>
      <c r="J83" s="79">
        <v>2782.15</v>
      </c>
      <c r="K83" s="79">
        <v>35774</v>
      </c>
      <c r="L83" s="79">
        <v>32919</v>
      </c>
      <c r="M83" s="79">
        <v>9868</v>
      </c>
      <c r="N83" s="79">
        <v>22695</v>
      </c>
      <c r="O83" s="79">
        <v>15122.2</v>
      </c>
      <c r="P83" s="79">
        <v>3537</v>
      </c>
      <c r="Q83" s="79">
        <v>12978</v>
      </c>
      <c r="R83" s="79">
        <v>8600</v>
      </c>
      <c r="S83" s="79">
        <v>0</v>
      </c>
      <c r="T83" s="79">
        <v>5076</v>
      </c>
      <c r="U83" s="79">
        <v>75639</v>
      </c>
      <c r="V83" s="79">
        <v>168210</v>
      </c>
      <c r="W83" s="79">
        <v>251990</v>
      </c>
      <c r="X83" s="79">
        <v>5586.66</v>
      </c>
      <c r="Y83" s="79">
        <v>9232.7999999999993</v>
      </c>
      <c r="Z83" s="79">
        <v>0</v>
      </c>
      <c r="AA83" s="79">
        <v>0</v>
      </c>
      <c r="AB83" s="79">
        <v>0</v>
      </c>
      <c r="AC83" s="79">
        <v>33984</v>
      </c>
      <c r="AD83" s="79">
        <v>33984</v>
      </c>
      <c r="AE83" s="79">
        <v>131</v>
      </c>
      <c r="AF83" s="79">
        <v>0</v>
      </c>
      <c r="AG83" s="79">
        <v>1000</v>
      </c>
      <c r="AH83" s="79">
        <v>811</v>
      </c>
      <c r="AI83" s="79">
        <v>188</v>
      </c>
      <c r="AJ83" s="79">
        <v>75728</v>
      </c>
      <c r="AK83" s="79">
        <v>75728</v>
      </c>
      <c r="AL83" s="79">
        <v>0</v>
      </c>
      <c r="AM83" s="79">
        <v>0</v>
      </c>
      <c r="AN83" s="79">
        <v>0</v>
      </c>
      <c r="AO83" s="79">
        <v>0</v>
      </c>
      <c r="AP83" s="79">
        <v>11306</v>
      </c>
      <c r="AQ83" s="79">
        <v>0</v>
      </c>
      <c r="AR83" s="80">
        <v>3.582399E-3</v>
      </c>
      <c r="AS83" s="80">
        <v>4.7824729999999998E-3</v>
      </c>
      <c r="AT83" s="79">
        <v>129873.52</v>
      </c>
      <c r="AU83" s="79">
        <v>0</v>
      </c>
      <c r="AV83" s="79">
        <v>2412</v>
      </c>
      <c r="AW83" s="79">
        <v>11394.0575113586</v>
      </c>
      <c r="AX83" s="79">
        <v>24</v>
      </c>
      <c r="AY83" s="79">
        <v>24</v>
      </c>
      <c r="AZ83" s="79">
        <v>15837</v>
      </c>
      <c r="BA83" s="79">
        <v>1</v>
      </c>
      <c r="BB83" s="79">
        <v>0</v>
      </c>
      <c r="BC83" s="79">
        <v>0</v>
      </c>
      <c r="BD83" s="79">
        <v>0</v>
      </c>
      <c r="BE83" s="79">
        <v>0</v>
      </c>
      <c r="BF83" s="79">
        <v>0</v>
      </c>
      <c r="BG83" s="79">
        <v>0</v>
      </c>
      <c r="BH83" s="79">
        <v>0</v>
      </c>
      <c r="BI83" s="79">
        <v>0</v>
      </c>
      <c r="BJ83" s="79">
        <v>0</v>
      </c>
      <c r="BK83" s="79">
        <v>63</v>
      </c>
      <c r="BL83" s="79">
        <v>25879</v>
      </c>
      <c r="BM83" s="79">
        <v>811</v>
      </c>
      <c r="BN83" s="79">
        <v>188</v>
      </c>
      <c r="BO83">
        <v>36879</v>
      </c>
      <c r="BP83">
        <v>11811</v>
      </c>
      <c r="BQ83">
        <v>33174</v>
      </c>
      <c r="BR83">
        <v>11762</v>
      </c>
      <c r="BS83">
        <v>32882</v>
      </c>
      <c r="BT83">
        <v>11751</v>
      </c>
      <c r="BU83">
        <v>32693</v>
      </c>
      <c r="BV83">
        <v>11816</v>
      </c>
      <c r="BW83">
        <v>32629</v>
      </c>
      <c r="BX83">
        <v>11725</v>
      </c>
      <c r="BY83">
        <v>32311</v>
      </c>
      <c r="BZ83">
        <v>11558</v>
      </c>
      <c r="CA83">
        <v>31873</v>
      </c>
      <c r="CB83">
        <v>3544.3361281027901</v>
      </c>
      <c r="CC83">
        <v>553.25564058517796</v>
      </c>
      <c r="CD83">
        <v>356.62513968143202</v>
      </c>
      <c r="CE83">
        <v>46771.923438532402</v>
      </c>
      <c r="CF83">
        <v>11220.1782551833</v>
      </c>
      <c r="CG83">
        <v>1267.5534592444501</v>
      </c>
      <c r="CH83">
        <v>1828</v>
      </c>
      <c r="CI83">
        <v>1056.5694389001901</v>
      </c>
      <c r="CJ83">
        <v>992.96071427686195</v>
      </c>
      <c r="CK83" s="81">
        <v>9441</v>
      </c>
      <c r="CL83">
        <v>3157</v>
      </c>
      <c r="CM83">
        <v>27001.0404904889</v>
      </c>
      <c r="CN83">
        <v>8.0303055752511892</v>
      </c>
      <c r="CO83">
        <v>128237</v>
      </c>
      <c r="CP83">
        <v>19113</v>
      </c>
      <c r="CQ83">
        <v>3938</v>
      </c>
      <c r="CR83">
        <v>4122</v>
      </c>
      <c r="CS83">
        <v>3397</v>
      </c>
      <c r="CT83">
        <v>2022</v>
      </c>
      <c r="CU83">
        <v>2337.1403808014302</v>
      </c>
      <c r="CV83">
        <v>1361.4681404907899</v>
      </c>
      <c r="CW83">
        <v>547.74231583546896</v>
      </c>
      <c r="CX83">
        <v>5257.6108614430896</v>
      </c>
      <c r="CY83">
        <v>3062.7469970368202</v>
      </c>
      <c r="CZ83">
        <v>1232.1963937917301</v>
      </c>
      <c r="DA83">
        <v>489091.8</v>
      </c>
      <c r="DE83">
        <v>267</v>
      </c>
      <c r="DF83" t="s">
        <v>214</v>
      </c>
      <c r="DG83">
        <v>9491</v>
      </c>
      <c r="DH83">
        <v>9520</v>
      </c>
      <c r="DI83">
        <v>9504</v>
      </c>
      <c r="DJ83">
        <v>9626</v>
      </c>
      <c r="DK83">
        <v>9594</v>
      </c>
      <c r="DO83">
        <v>200</v>
      </c>
      <c r="DP83" t="s">
        <v>27</v>
      </c>
      <c r="DQ83">
        <v>75728</v>
      </c>
      <c r="DR83">
        <v>1</v>
      </c>
      <c r="DS83">
        <v>1715</v>
      </c>
      <c r="DV83">
        <v>1774</v>
      </c>
      <c r="DW83" t="s">
        <v>86</v>
      </c>
      <c r="DX83">
        <v>2794.9296820837899</v>
      </c>
      <c r="DY83">
        <v>513</v>
      </c>
      <c r="DZ83">
        <v>515</v>
      </c>
      <c r="EA83">
        <v>235</v>
      </c>
      <c r="EB83">
        <v>1800</v>
      </c>
      <c r="EC83">
        <v>1166</v>
      </c>
      <c r="ED83">
        <v>372</v>
      </c>
      <c r="EE83" s="82">
        <v>0.15512822291956099</v>
      </c>
      <c r="EF83" s="82">
        <v>0.42615606722440202</v>
      </c>
    </row>
    <row r="84" spans="1:136" x14ac:dyDescent="0.35">
      <c r="A84" s="72">
        <v>202</v>
      </c>
      <c r="B84" s="72">
        <v>5</v>
      </c>
      <c r="D84" s="72" t="s">
        <v>29</v>
      </c>
      <c r="E84" s="79">
        <v>10841600000</v>
      </c>
      <c r="F84" s="79">
        <v>2607500000</v>
      </c>
      <c r="G84" s="79">
        <v>2623600000</v>
      </c>
      <c r="H84" s="79">
        <v>157223</v>
      </c>
      <c r="I84" s="79">
        <v>1</v>
      </c>
      <c r="J84" s="79">
        <v>2623.6</v>
      </c>
      <c r="K84" s="79">
        <v>34405</v>
      </c>
      <c r="L84" s="79">
        <v>23488</v>
      </c>
      <c r="M84" s="79">
        <v>6781</v>
      </c>
      <c r="N84" s="79">
        <v>28516</v>
      </c>
      <c r="O84" s="79">
        <v>20853.099999999999</v>
      </c>
      <c r="P84" s="79">
        <v>7701</v>
      </c>
      <c r="Q84" s="79">
        <v>18367</v>
      </c>
      <c r="R84" s="79">
        <v>19815</v>
      </c>
      <c r="S84" s="79">
        <v>0</v>
      </c>
      <c r="T84" s="79">
        <v>6354</v>
      </c>
      <c r="U84" s="79">
        <v>82447</v>
      </c>
      <c r="V84" s="79">
        <v>187070</v>
      </c>
      <c r="W84" s="79">
        <v>329920</v>
      </c>
      <c r="X84" s="79">
        <v>6679.1491999999998</v>
      </c>
      <c r="Y84" s="79">
        <v>7250.4</v>
      </c>
      <c r="Z84" s="79">
        <v>0</v>
      </c>
      <c r="AA84" s="79">
        <v>56.399999999994201</v>
      </c>
      <c r="AB84" s="79">
        <v>0</v>
      </c>
      <c r="AC84" s="79">
        <v>9773</v>
      </c>
      <c r="AD84" s="79">
        <v>9773</v>
      </c>
      <c r="AE84" s="79">
        <v>381</v>
      </c>
      <c r="AF84" s="79">
        <v>0</v>
      </c>
      <c r="AG84" s="79">
        <v>657</v>
      </c>
      <c r="AH84" s="79">
        <v>612.05999999999995</v>
      </c>
      <c r="AI84" s="79">
        <v>51</v>
      </c>
      <c r="AJ84" s="79">
        <v>76629</v>
      </c>
      <c r="AK84" s="79">
        <v>77395.289999999994</v>
      </c>
      <c r="AL84" s="79">
        <v>18</v>
      </c>
      <c r="AM84" s="79">
        <v>0</v>
      </c>
      <c r="AN84" s="79">
        <v>0</v>
      </c>
      <c r="AO84" s="79">
        <v>0</v>
      </c>
      <c r="AP84" s="79">
        <v>18048</v>
      </c>
      <c r="AQ84" s="79">
        <v>18048</v>
      </c>
      <c r="AR84" s="80">
        <v>1.6613725999999999E-2</v>
      </c>
      <c r="AS84" s="80">
        <v>2.0141675000000001E-2</v>
      </c>
      <c r="AT84" s="79">
        <v>164369.20499999999</v>
      </c>
      <c r="AU84" s="79">
        <v>0</v>
      </c>
      <c r="AV84" s="79">
        <v>2305</v>
      </c>
      <c r="AW84" s="79">
        <v>35907.045203860602</v>
      </c>
      <c r="AX84" s="79">
        <v>5</v>
      </c>
      <c r="AY84" s="79">
        <v>5</v>
      </c>
      <c r="AZ84" s="79">
        <v>17069</v>
      </c>
      <c r="BA84" s="79">
        <v>1</v>
      </c>
      <c r="BB84" s="79">
        <v>0</v>
      </c>
      <c r="BC84" s="79">
        <v>0</v>
      </c>
      <c r="BD84" s="79">
        <v>0</v>
      </c>
      <c r="BE84" s="79">
        <v>0</v>
      </c>
      <c r="BF84" s="79">
        <v>0</v>
      </c>
      <c r="BG84" s="79">
        <v>0</v>
      </c>
      <c r="BH84" s="79">
        <v>0</v>
      </c>
      <c r="BI84" s="79">
        <v>0</v>
      </c>
      <c r="BJ84" s="79">
        <v>0</v>
      </c>
      <c r="BK84" s="79">
        <v>59</v>
      </c>
      <c r="BL84" s="79">
        <v>37824</v>
      </c>
      <c r="BM84" s="79">
        <v>606</v>
      </c>
      <c r="BN84" s="79">
        <v>51</v>
      </c>
      <c r="BO84">
        <v>31226</v>
      </c>
      <c r="BP84">
        <v>8593</v>
      </c>
      <c r="BQ84">
        <v>28340</v>
      </c>
      <c r="BR84">
        <v>8867</v>
      </c>
      <c r="BS84">
        <v>28747</v>
      </c>
      <c r="BT84">
        <v>8822</v>
      </c>
      <c r="BU84">
        <v>28972</v>
      </c>
      <c r="BV84">
        <v>8823</v>
      </c>
      <c r="BW84">
        <v>29204</v>
      </c>
      <c r="BX84">
        <v>8666</v>
      </c>
      <c r="BY84">
        <v>29553</v>
      </c>
      <c r="BZ84">
        <v>8574</v>
      </c>
      <c r="CA84">
        <v>30404</v>
      </c>
      <c r="CB84">
        <v>5975.8865073628303</v>
      </c>
      <c r="CC84">
        <v>584.55032759918595</v>
      </c>
      <c r="CD84">
        <v>671.64892047334399</v>
      </c>
      <c r="CE84">
        <v>42294.189680920601</v>
      </c>
      <c r="CF84">
        <v>9766.5302985624203</v>
      </c>
      <c r="CG84">
        <v>1353.2636014101499</v>
      </c>
      <c r="CH84">
        <v>2199</v>
      </c>
      <c r="CI84">
        <v>2134.5613673864</v>
      </c>
      <c r="CJ84">
        <v>1996.91884982653</v>
      </c>
      <c r="CK84" s="81">
        <v>10666</v>
      </c>
      <c r="CL84">
        <v>4135</v>
      </c>
      <c r="CM84">
        <v>18728.4444819202</v>
      </c>
      <c r="CN84">
        <v>22.70710179212</v>
      </c>
      <c r="CO84">
        <v>133735</v>
      </c>
      <c r="CP84">
        <v>13889</v>
      </c>
      <c r="CQ84">
        <v>2818</v>
      </c>
      <c r="CR84">
        <v>4413</v>
      </c>
      <c r="CS84">
        <v>2744</v>
      </c>
      <c r="CT84">
        <v>1346</v>
      </c>
      <c r="CU84">
        <v>2564.50778898505</v>
      </c>
      <c r="CV84">
        <v>1329.60367752345</v>
      </c>
      <c r="CW84">
        <v>484.92708828219099</v>
      </c>
      <c r="CX84">
        <v>5126.3544920513796</v>
      </c>
      <c r="CY84">
        <v>2657.8276791344501</v>
      </c>
      <c r="CZ84">
        <v>969.35098735521501</v>
      </c>
      <c r="DA84">
        <v>392735.1</v>
      </c>
      <c r="DE84">
        <v>268</v>
      </c>
      <c r="DF84" t="s">
        <v>215</v>
      </c>
      <c r="DG84">
        <v>28481</v>
      </c>
      <c r="DH84">
        <v>28429</v>
      </c>
      <c r="DI84">
        <v>28488</v>
      </c>
      <c r="DJ84">
        <v>28599</v>
      </c>
      <c r="DK84">
        <v>28579</v>
      </c>
      <c r="DO84">
        <v>202</v>
      </c>
      <c r="DP84" t="s">
        <v>29</v>
      </c>
      <c r="DQ84">
        <v>76629</v>
      </c>
      <c r="DR84">
        <v>1.01</v>
      </c>
      <c r="DS84">
        <v>2145</v>
      </c>
      <c r="DV84">
        <v>221</v>
      </c>
      <c r="DW84" t="s">
        <v>87</v>
      </c>
      <c r="DX84">
        <v>1942.12406376032</v>
      </c>
      <c r="DY84">
        <v>405</v>
      </c>
      <c r="DZ84">
        <v>286</v>
      </c>
      <c r="EA84">
        <v>128</v>
      </c>
      <c r="EB84">
        <v>1076</v>
      </c>
      <c r="EC84">
        <v>565</v>
      </c>
      <c r="ED84">
        <v>175</v>
      </c>
      <c r="EE84" s="82">
        <v>0.26685380879492299</v>
      </c>
      <c r="EF84" s="82">
        <v>0.53927286471392499</v>
      </c>
    </row>
    <row r="85" spans="1:136" x14ac:dyDescent="0.35">
      <c r="A85" s="72">
        <v>203</v>
      </c>
      <c r="B85" s="72">
        <v>5</v>
      </c>
      <c r="D85" s="72" t="s">
        <v>35</v>
      </c>
      <c r="E85" s="79">
        <v>4724800000</v>
      </c>
      <c r="F85" s="79">
        <v>1319150000</v>
      </c>
      <c r="G85" s="79">
        <v>1420300000</v>
      </c>
      <c r="H85" s="79">
        <v>57339</v>
      </c>
      <c r="I85" s="79">
        <v>6</v>
      </c>
      <c r="J85" s="79">
        <v>1420.3</v>
      </c>
      <c r="K85" s="79">
        <v>16681</v>
      </c>
      <c r="L85" s="79">
        <v>9214</v>
      </c>
      <c r="M85" s="79">
        <v>2936</v>
      </c>
      <c r="N85" s="79">
        <v>5429</v>
      </c>
      <c r="O85" s="79">
        <v>2864.3</v>
      </c>
      <c r="P85" s="79">
        <v>552</v>
      </c>
      <c r="Q85" s="79">
        <v>2473</v>
      </c>
      <c r="R85" s="79">
        <v>1660</v>
      </c>
      <c r="S85" s="79">
        <v>0</v>
      </c>
      <c r="T85" s="79">
        <v>1077</v>
      </c>
      <c r="U85" s="79">
        <v>22289</v>
      </c>
      <c r="V85" s="79">
        <v>54050</v>
      </c>
      <c r="W85" s="79">
        <v>32720</v>
      </c>
      <c r="X85" s="79">
        <v>2028.84</v>
      </c>
      <c r="Y85" s="79">
        <v>4159.2</v>
      </c>
      <c r="Z85" s="79">
        <v>0</v>
      </c>
      <c r="AA85" s="79">
        <v>0</v>
      </c>
      <c r="AB85" s="79">
        <v>0</v>
      </c>
      <c r="AC85" s="79">
        <v>17586</v>
      </c>
      <c r="AD85" s="79">
        <v>17586</v>
      </c>
      <c r="AE85" s="79">
        <v>80</v>
      </c>
      <c r="AF85" s="79">
        <v>0</v>
      </c>
      <c r="AG85" s="79">
        <v>615</v>
      </c>
      <c r="AH85" s="79">
        <v>350</v>
      </c>
      <c r="AI85" s="79">
        <v>265</v>
      </c>
      <c r="AJ85" s="79">
        <v>25647</v>
      </c>
      <c r="AK85" s="79">
        <v>25647</v>
      </c>
      <c r="AL85" s="79">
        <v>0</v>
      </c>
      <c r="AM85" s="79">
        <v>0</v>
      </c>
      <c r="AN85" s="79">
        <v>0</v>
      </c>
      <c r="AO85" s="79">
        <v>0</v>
      </c>
      <c r="AP85" s="79">
        <v>920</v>
      </c>
      <c r="AQ85" s="79">
        <v>0</v>
      </c>
      <c r="AR85" s="80">
        <v>4.0559299999999999E-4</v>
      </c>
      <c r="AS85" s="80">
        <v>1.9817000000000001E-4</v>
      </c>
      <c r="AT85" s="79">
        <v>21825.597000000002</v>
      </c>
      <c r="AU85" s="79">
        <v>0</v>
      </c>
      <c r="AV85" s="79">
        <v>1220</v>
      </c>
      <c r="AW85" s="79">
        <v>3959.7860296614999</v>
      </c>
      <c r="AX85" s="79">
        <v>18</v>
      </c>
      <c r="AY85" s="79">
        <v>18</v>
      </c>
      <c r="AZ85" s="79">
        <v>7227</v>
      </c>
      <c r="BA85" s="79">
        <v>1</v>
      </c>
      <c r="BB85" s="79">
        <v>0</v>
      </c>
      <c r="BC85" s="79">
        <v>0</v>
      </c>
      <c r="BD85" s="79">
        <v>0</v>
      </c>
      <c r="BE85" s="79">
        <v>0</v>
      </c>
      <c r="BF85" s="79">
        <v>0</v>
      </c>
      <c r="BG85" s="79">
        <v>0</v>
      </c>
      <c r="BH85" s="79">
        <v>0</v>
      </c>
      <c r="BI85" s="79">
        <v>0</v>
      </c>
      <c r="BJ85" s="79">
        <v>0</v>
      </c>
      <c r="BK85" s="79">
        <v>39</v>
      </c>
      <c r="BL85" s="79">
        <v>5952</v>
      </c>
      <c r="BM85" s="79">
        <v>350</v>
      </c>
      <c r="BN85" s="79">
        <v>265</v>
      </c>
      <c r="BO85">
        <v>15885</v>
      </c>
      <c r="BP85">
        <v>4869</v>
      </c>
      <c r="BQ85">
        <v>14339</v>
      </c>
      <c r="BR85">
        <v>4771</v>
      </c>
      <c r="BS85">
        <v>14372</v>
      </c>
      <c r="BT85">
        <v>4780</v>
      </c>
      <c r="BU85">
        <v>14442</v>
      </c>
      <c r="BV85">
        <v>4768</v>
      </c>
      <c r="BW85">
        <v>14432</v>
      </c>
      <c r="BX85">
        <v>4864</v>
      </c>
      <c r="BY85">
        <v>14336</v>
      </c>
      <c r="BZ85">
        <v>4984</v>
      </c>
      <c r="CA85">
        <v>14967</v>
      </c>
      <c r="CB85">
        <v>972.859415216147</v>
      </c>
      <c r="CC85">
        <v>839.399357387446</v>
      </c>
      <c r="CD85">
        <v>111.32621102948001</v>
      </c>
      <c r="CE85">
        <v>14468.277914611601</v>
      </c>
      <c r="CF85">
        <v>4377.3913971823904</v>
      </c>
      <c r="CG85">
        <v>564.03807042253504</v>
      </c>
      <c r="CH85">
        <v>450</v>
      </c>
      <c r="CI85">
        <v>184.19970688171799</v>
      </c>
      <c r="CJ85">
        <v>145.80452074590599</v>
      </c>
      <c r="CK85" s="81">
        <v>1921</v>
      </c>
      <c r="CL85">
        <v>650</v>
      </c>
      <c r="CM85">
        <v>6278.9209451488996</v>
      </c>
      <c r="CN85">
        <v>0.266104507535181</v>
      </c>
      <c r="CO85">
        <v>48125</v>
      </c>
      <c r="CP85">
        <v>5121</v>
      </c>
      <c r="CQ85">
        <v>1157</v>
      </c>
      <c r="CR85">
        <v>887</v>
      </c>
      <c r="CS85">
        <v>928</v>
      </c>
      <c r="CT85">
        <v>543</v>
      </c>
      <c r="CU85">
        <v>342.38545897524602</v>
      </c>
      <c r="CV85">
        <v>223.790104300846</v>
      </c>
      <c r="CW85">
        <v>87.773963064104194</v>
      </c>
      <c r="CX85">
        <v>1329.79523468451</v>
      </c>
      <c r="CY85">
        <v>869.18122971551395</v>
      </c>
      <c r="CZ85">
        <v>340.90641045728199</v>
      </c>
      <c r="DA85">
        <v>11907</v>
      </c>
      <c r="DE85">
        <v>269</v>
      </c>
      <c r="DF85" t="s">
        <v>228</v>
      </c>
      <c r="DG85">
        <v>5435</v>
      </c>
      <c r="DH85">
        <v>5440</v>
      </c>
      <c r="DI85">
        <v>5338</v>
      </c>
      <c r="DJ85">
        <v>5314</v>
      </c>
      <c r="DK85">
        <v>5252</v>
      </c>
      <c r="DO85">
        <v>203</v>
      </c>
      <c r="DP85" t="s">
        <v>35</v>
      </c>
      <c r="DQ85">
        <v>25647</v>
      </c>
      <c r="DR85">
        <v>1</v>
      </c>
      <c r="DS85">
        <v>851</v>
      </c>
      <c r="DV85">
        <v>222</v>
      </c>
      <c r="DW85" t="s">
        <v>88</v>
      </c>
      <c r="DX85">
        <v>8336.7819590701401</v>
      </c>
      <c r="DY85">
        <v>1429</v>
      </c>
      <c r="DZ85">
        <v>1273</v>
      </c>
      <c r="EA85">
        <v>678</v>
      </c>
      <c r="EB85">
        <v>4186</v>
      </c>
      <c r="EC85">
        <v>2521</v>
      </c>
      <c r="ED85">
        <v>938</v>
      </c>
      <c r="EE85" s="82">
        <v>0.217555401632961</v>
      </c>
      <c r="EF85" s="82">
        <v>0.49444682089853698</v>
      </c>
    </row>
    <row r="86" spans="1:136" x14ac:dyDescent="0.35">
      <c r="A86" s="72">
        <v>1945</v>
      </c>
      <c r="B86" s="72">
        <v>5</v>
      </c>
      <c r="D86" s="72" t="s">
        <v>40</v>
      </c>
      <c r="E86" s="79">
        <v>2814000000</v>
      </c>
      <c r="F86" s="79">
        <v>323050000</v>
      </c>
      <c r="G86" s="79">
        <v>358750000</v>
      </c>
      <c r="H86" s="79">
        <v>34748</v>
      </c>
      <c r="I86" s="79">
        <v>5</v>
      </c>
      <c r="J86" s="79">
        <v>358.75</v>
      </c>
      <c r="K86" s="79">
        <v>6834</v>
      </c>
      <c r="L86" s="79">
        <v>8343</v>
      </c>
      <c r="M86" s="79">
        <v>2625</v>
      </c>
      <c r="N86" s="79">
        <v>5075</v>
      </c>
      <c r="O86" s="79">
        <v>3446</v>
      </c>
      <c r="P86" s="79">
        <v>782.66666666666697</v>
      </c>
      <c r="Q86" s="79">
        <v>2824.6666666666702</v>
      </c>
      <c r="R86" s="79">
        <v>690</v>
      </c>
      <c r="S86" s="79">
        <v>0</v>
      </c>
      <c r="T86" s="79">
        <v>996</v>
      </c>
      <c r="U86" s="79">
        <v>16492</v>
      </c>
      <c r="V86" s="79">
        <v>26980</v>
      </c>
      <c r="W86" s="79">
        <v>8050</v>
      </c>
      <c r="X86" s="79">
        <v>2638.2</v>
      </c>
      <c r="Y86" s="79">
        <v>704</v>
      </c>
      <c r="Z86" s="79">
        <v>0</v>
      </c>
      <c r="AA86" s="79">
        <v>0</v>
      </c>
      <c r="AB86" s="79">
        <v>0</v>
      </c>
      <c r="AC86" s="79">
        <v>8638</v>
      </c>
      <c r="AD86" s="79">
        <v>8638</v>
      </c>
      <c r="AE86" s="79">
        <v>693</v>
      </c>
      <c r="AF86" s="79">
        <v>0</v>
      </c>
      <c r="AG86" s="79">
        <v>235</v>
      </c>
      <c r="AH86" s="79">
        <v>183</v>
      </c>
      <c r="AI86" s="79">
        <v>52</v>
      </c>
      <c r="AJ86" s="79">
        <v>16290</v>
      </c>
      <c r="AK86" s="79">
        <v>16290</v>
      </c>
      <c r="AL86" s="79">
        <v>0</v>
      </c>
      <c r="AM86" s="79">
        <v>0</v>
      </c>
      <c r="AN86" s="79">
        <v>0</v>
      </c>
      <c r="AO86" s="79">
        <v>0</v>
      </c>
      <c r="AP86" s="79">
        <v>1067</v>
      </c>
      <c r="AQ86" s="79">
        <v>0</v>
      </c>
      <c r="AR86" s="80">
        <v>3.8512900000000001E-4</v>
      </c>
      <c r="AS86" s="80">
        <v>2.6932900000000001E-4</v>
      </c>
      <c r="AT86" s="79">
        <v>10474.469999999999</v>
      </c>
      <c r="AU86" s="79">
        <v>0</v>
      </c>
      <c r="AV86" s="79">
        <v>1989</v>
      </c>
      <c r="AW86" s="79">
        <v>7578.1995498874703</v>
      </c>
      <c r="AX86" s="79">
        <v>12</v>
      </c>
      <c r="AY86" s="79">
        <v>12</v>
      </c>
      <c r="AZ86" s="79">
        <v>3399</v>
      </c>
      <c r="BA86" s="79">
        <v>1</v>
      </c>
      <c r="BB86" s="79">
        <v>0</v>
      </c>
      <c r="BC86" s="79">
        <v>0</v>
      </c>
      <c r="BD86" s="79">
        <v>0</v>
      </c>
      <c r="BE86" s="79">
        <v>0</v>
      </c>
      <c r="BF86" s="79">
        <v>0</v>
      </c>
      <c r="BG86" s="79">
        <v>0</v>
      </c>
      <c r="BH86" s="79">
        <v>0</v>
      </c>
      <c r="BI86" s="79">
        <v>0</v>
      </c>
      <c r="BJ86" s="79">
        <v>0</v>
      </c>
      <c r="BK86" s="79">
        <v>20</v>
      </c>
      <c r="BL86" s="79">
        <v>5335</v>
      </c>
      <c r="BM86" s="79">
        <v>183</v>
      </c>
      <c r="BN86" s="79">
        <v>52</v>
      </c>
      <c r="BO86">
        <v>7853</v>
      </c>
      <c r="BP86">
        <v>1026</v>
      </c>
      <c r="BQ86">
        <v>6952</v>
      </c>
      <c r="BR86">
        <v>972</v>
      </c>
      <c r="BS86">
        <v>6878</v>
      </c>
      <c r="BT86">
        <v>931</v>
      </c>
      <c r="BU86">
        <v>6746</v>
      </c>
      <c r="BV86">
        <v>926</v>
      </c>
      <c r="BW86">
        <v>6569</v>
      </c>
      <c r="BX86">
        <v>900</v>
      </c>
      <c r="BY86">
        <v>6472</v>
      </c>
      <c r="BZ86">
        <v>876</v>
      </c>
      <c r="CA86">
        <v>6029</v>
      </c>
      <c r="CB86">
        <v>508.27228303008002</v>
      </c>
      <c r="CC86">
        <v>60.533542075201098</v>
      </c>
      <c r="CD86">
        <v>48.734986412413697</v>
      </c>
      <c r="CE86">
        <v>9924.6136619429508</v>
      </c>
      <c r="CF86">
        <v>2311.0070074213199</v>
      </c>
      <c r="CG86">
        <v>178.13553551912599</v>
      </c>
      <c r="CH86">
        <v>325</v>
      </c>
      <c r="CI86">
        <v>181.09772009239001</v>
      </c>
      <c r="CJ86">
        <v>166.3803411918</v>
      </c>
      <c r="CK86" s="81">
        <v>2042</v>
      </c>
      <c r="CL86">
        <v>706</v>
      </c>
      <c r="CM86">
        <v>6354.9422618152403</v>
      </c>
      <c r="CN86">
        <v>1.9251044903290999</v>
      </c>
      <c r="CO86">
        <v>26405</v>
      </c>
      <c r="CP86">
        <v>4703</v>
      </c>
      <c r="CQ86">
        <v>1015</v>
      </c>
      <c r="CR86">
        <v>1037</v>
      </c>
      <c r="CS86">
        <v>883</v>
      </c>
      <c r="CT86">
        <v>466</v>
      </c>
      <c r="CU86">
        <v>624.91534858975899</v>
      </c>
      <c r="CV86">
        <v>373.80684528033299</v>
      </c>
      <c r="CW86">
        <v>139.62225120827401</v>
      </c>
      <c r="CX86">
        <v>1374.2076234841199</v>
      </c>
      <c r="CY86">
        <v>822.012481616939</v>
      </c>
      <c r="CZ86">
        <v>307.03352454282998</v>
      </c>
      <c r="DA86">
        <v>160408.29999999999</v>
      </c>
      <c r="DE86">
        <v>273</v>
      </c>
      <c r="DF86" t="s">
        <v>248</v>
      </c>
      <c r="DG86">
        <v>5721</v>
      </c>
      <c r="DH86">
        <v>5661</v>
      </c>
      <c r="DI86">
        <v>5653</v>
      </c>
      <c r="DJ86">
        <v>5583</v>
      </c>
      <c r="DK86">
        <v>5552</v>
      </c>
      <c r="DO86">
        <v>1945</v>
      </c>
      <c r="DP86" t="s">
        <v>40</v>
      </c>
      <c r="DQ86">
        <v>16290</v>
      </c>
      <c r="DR86">
        <v>1</v>
      </c>
      <c r="DS86">
        <v>643</v>
      </c>
      <c r="DV86">
        <v>766</v>
      </c>
      <c r="DW86" t="s">
        <v>89</v>
      </c>
      <c r="DX86">
        <v>3056.3178673554098</v>
      </c>
      <c r="DY86">
        <v>591</v>
      </c>
      <c r="DZ86">
        <v>522</v>
      </c>
      <c r="EA86">
        <v>286</v>
      </c>
      <c r="EB86">
        <v>1926</v>
      </c>
      <c r="EC86">
        <v>1094</v>
      </c>
      <c r="ED86">
        <v>383</v>
      </c>
      <c r="EE86" s="82">
        <v>0.17440454905327801</v>
      </c>
      <c r="EF86" s="82">
        <v>0.44140850577478302</v>
      </c>
    </row>
    <row r="87" spans="1:136" x14ac:dyDescent="0.35">
      <c r="A87" s="72">
        <v>1859</v>
      </c>
      <c r="B87" s="72">
        <v>5</v>
      </c>
      <c r="D87" s="72" t="s">
        <v>45</v>
      </c>
      <c r="E87" s="79">
        <v>3240400000</v>
      </c>
      <c r="F87" s="79">
        <v>647150000</v>
      </c>
      <c r="G87" s="79">
        <v>765450000</v>
      </c>
      <c r="H87" s="79">
        <v>44032</v>
      </c>
      <c r="I87" s="79">
        <v>5</v>
      </c>
      <c r="J87" s="79">
        <v>765.45</v>
      </c>
      <c r="K87" s="79">
        <v>9392</v>
      </c>
      <c r="L87" s="79">
        <v>10555</v>
      </c>
      <c r="M87" s="79">
        <v>3370</v>
      </c>
      <c r="N87" s="79">
        <v>5634</v>
      </c>
      <c r="O87" s="79">
        <v>3622.9</v>
      </c>
      <c r="P87" s="79">
        <v>583</v>
      </c>
      <c r="Q87" s="79">
        <v>2862</v>
      </c>
      <c r="R87" s="79">
        <v>740</v>
      </c>
      <c r="S87" s="79">
        <v>0</v>
      </c>
      <c r="T87" s="79">
        <v>1008</v>
      </c>
      <c r="U87" s="79">
        <v>19330</v>
      </c>
      <c r="V87" s="79">
        <v>42410</v>
      </c>
      <c r="W87" s="79">
        <v>19280</v>
      </c>
      <c r="X87" s="79">
        <v>2122.98</v>
      </c>
      <c r="Y87" s="79">
        <v>1387.2</v>
      </c>
      <c r="Z87" s="79">
        <v>0</v>
      </c>
      <c r="AA87" s="79">
        <v>0</v>
      </c>
      <c r="AB87" s="79">
        <v>79.599999999999895</v>
      </c>
      <c r="AC87" s="79">
        <v>25837</v>
      </c>
      <c r="AD87" s="79">
        <v>25837</v>
      </c>
      <c r="AE87" s="79">
        <v>216</v>
      </c>
      <c r="AF87" s="79">
        <v>0</v>
      </c>
      <c r="AG87" s="79">
        <v>540</v>
      </c>
      <c r="AH87" s="79">
        <v>263</v>
      </c>
      <c r="AI87" s="79">
        <v>277</v>
      </c>
      <c r="AJ87" s="79">
        <v>20111</v>
      </c>
      <c r="AK87" s="79">
        <v>20111</v>
      </c>
      <c r="AL87" s="79">
        <v>5</v>
      </c>
      <c r="AM87" s="79">
        <v>0</v>
      </c>
      <c r="AN87" s="79">
        <v>0</v>
      </c>
      <c r="AO87" s="79">
        <v>1750</v>
      </c>
      <c r="AP87" s="79">
        <v>1204</v>
      </c>
      <c r="AQ87" s="79">
        <v>524</v>
      </c>
      <c r="AR87" s="80">
        <v>7.9470400000000003E-4</v>
      </c>
      <c r="AS87" s="80">
        <v>2.69938E-4</v>
      </c>
      <c r="AT87" s="79">
        <v>13192.816000000001</v>
      </c>
      <c r="AU87" s="79">
        <v>0</v>
      </c>
      <c r="AV87" s="79">
        <v>3413</v>
      </c>
      <c r="AW87" s="79">
        <v>5768.2883353164698</v>
      </c>
      <c r="AX87" s="79">
        <v>23</v>
      </c>
      <c r="AY87" s="79">
        <v>23</v>
      </c>
      <c r="AZ87" s="79">
        <v>4541</v>
      </c>
      <c r="BA87" s="79">
        <v>1</v>
      </c>
      <c r="BB87" s="79">
        <v>0</v>
      </c>
      <c r="BC87" s="79">
        <v>0</v>
      </c>
      <c r="BD87" s="79">
        <v>0</v>
      </c>
      <c r="BE87" s="79">
        <v>0</v>
      </c>
      <c r="BF87" s="79">
        <v>0</v>
      </c>
      <c r="BG87" s="79">
        <v>0</v>
      </c>
      <c r="BH87" s="79">
        <v>0</v>
      </c>
      <c r="BI87" s="79">
        <v>0</v>
      </c>
      <c r="BJ87" s="79">
        <v>0</v>
      </c>
      <c r="BK87" s="79">
        <v>31</v>
      </c>
      <c r="BL87" s="79">
        <v>5379</v>
      </c>
      <c r="BM87" s="79">
        <v>263</v>
      </c>
      <c r="BN87" s="79">
        <v>277</v>
      </c>
      <c r="BO87">
        <v>11061</v>
      </c>
      <c r="BP87">
        <v>1504</v>
      </c>
      <c r="BQ87">
        <v>9975</v>
      </c>
      <c r="BR87">
        <v>1539</v>
      </c>
      <c r="BS87">
        <v>9830</v>
      </c>
      <c r="BT87">
        <v>1596</v>
      </c>
      <c r="BU87">
        <v>9674</v>
      </c>
      <c r="BV87">
        <v>1501</v>
      </c>
      <c r="BW87">
        <v>9591</v>
      </c>
      <c r="BX87">
        <v>1453</v>
      </c>
      <c r="BY87">
        <v>9366</v>
      </c>
      <c r="BZ87">
        <v>1500</v>
      </c>
      <c r="CA87">
        <v>8363</v>
      </c>
      <c r="CB87">
        <v>581.86112271824504</v>
      </c>
      <c r="CC87">
        <v>147.11777418111799</v>
      </c>
      <c r="CD87">
        <v>64.194612443373799</v>
      </c>
      <c r="CE87">
        <v>11879.3848873357</v>
      </c>
      <c r="CF87">
        <v>2843.3618270291599</v>
      </c>
      <c r="CG87">
        <v>136.072822061918</v>
      </c>
      <c r="CH87">
        <v>366</v>
      </c>
      <c r="CI87">
        <v>151.565623798404</v>
      </c>
      <c r="CJ87">
        <v>146.514031795764</v>
      </c>
      <c r="CK87" s="81">
        <v>2279</v>
      </c>
      <c r="CL87">
        <v>629</v>
      </c>
      <c r="CM87">
        <v>7761.1738398181697</v>
      </c>
      <c r="CN87">
        <v>0.99516083413427403</v>
      </c>
      <c r="CO87">
        <v>33477</v>
      </c>
      <c r="CP87">
        <v>6059</v>
      </c>
      <c r="CQ87">
        <v>1126</v>
      </c>
      <c r="CR87">
        <v>1032</v>
      </c>
      <c r="CS87">
        <v>1081</v>
      </c>
      <c r="CT87">
        <v>576</v>
      </c>
      <c r="CU87">
        <v>654.11271369295503</v>
      </c>
      <c r="CV87">
        <v>415.59846612218303</v>
      </c>
      <c r="CW87">
        <v>142.49604971939601</v>
      </c>
      <c r="CX87">
        <v>1779.7938394420901</v>
      </c>
      <c r="CY87">
        <v>1130.8136567317299</v>
      </c>
      <c r="CZ87">
        <v>387.72154420233801</v>
      </c>
      <c r="DA87">
        <v>3952</v>
      </c>
      <c r="DE87">
        <v>274</v>
      </c>
      <c r="DF87" t="s">
        <v>251</v>
      </c>
      <c r="DG87">
        <v>6330</v>
      </c>
      <c r="DH87">
        <v>6283</v>
      </c>
      <c r="DI87">
        <v>6217</v>
      </c>
      <c r="DJ87">
        <v>6186</v>
      </c>
      <c r="DK87">
        <v>6073</v>
      </c>
      <c r="DO87">
        <v>1859</v>
      </c>
      <c r="DP87" t="s">
        <v>45</v>
      </c>
      <c r="DQ87">
        <v>20111</v>
      </c>
      <c r="DR87">
        <v>1</v>
      </c>
      <c r="DS87">
        <v>656</v>
      </c>
      <c r="DV87">
        <v>58</v>
      </c>
      <c r="DW87" t="s">
        <v>804</v>
      </c>
      <c r="DX87">
        <v>3822.1147525041301</v>
      </c>
      <c r="DY87">
        <v>627</v>
      </c>
      <c r="DZ87">
        <v>561</v>
      </c>
      <c r="EA87">
        <v>279</v>
      </c>
      <c r="EB87">
        <v>1768</v>
      </c>
      <c r="EC87">
        <v>1160</v>
      </c>
      <c r="ED87">
        <v>387</v>
      </c>
      <c r="EE87" s="82">
        <v>0.23060416508123299</v>
      </c>
      <c r="EF87" s="82">
        <v>0.59841890261694397</v>
      </c>
    </row>
    <row r="88" spans="1:136" x14ac:dyDescent="0.35">
      <c r="A88" s="72">
        <v>209</v>
      </c>
      <c r="B88" s="72">
        <v>5</v>
      </c>
      <c r="D88" s="72" t="s">
        <v>48</v>
      </c>
      <c r="E88" s="79">
        <v>2058000000</v>
      </c>
      <c r="F88" s="79">
        <v>225400000</v>
      </c>
      <c r="G88" s="79">
        <v>240800000</v>
      </c>
      <c r="H88" s="79">
        <v>25798</v>
      </c>
      <c r="I88" s="79">
        <v>3</v>
      </c>
      <c r="J88" s="79">
        <v>240.8</v>
      </c>
      <c r="K88" s="79">
        <v>5648</v>
      </c>
      <c r="L88" s="79">
        <v>4796</v>
      </c>
      <c r="M88" s="79">
        <v>1458</v>
      </c>
      <c r="N88" s="79">
        <v>2919</v>
      </c>
      <c r="O88" s="79">
        <v>1787.7</v>
      </c>
      <c r="P88" s="79">
        <v>404.66666666666703</v>
      </c>
      <c r="Q88" s="79">
        <v>1567.6666666666699</v>
      </c>
      <c r="R88" s="79">
        <v>690</v>
      </c>
      <c r="S88" s="79">
        <v>0</v>
      </c>
      <c r="T88" s="79">
        <v>767</v>
      </c>
      <c r="U88" s="79">
        <v>11195</v>
      </c>
      <c r="V88" s="79">
        <v>22200</v>
      </c>
      <c r="W88" s="79">
        <v>9770</v>
      </c>
      <c r="X88" s="79">
        <v>132.66</v>
      </c>
      <c r="Y88" s="79">
        <v>0</v>
      </c>
      <c r="Z88" s="79">
        <v>0</v>
      </c>
      <c r="AA88" s="79">
        <v>0</v>
      </c>
      <c r="AB88" s="79">
        <v>0</v>
      </c>
      <c r="AC88" s="79">
        <v>4355</v>
      </c>
      <c r="AD88" s="79">
        <v>4398.55</v>
      </c>
      <c r="AE88" s="79">
        <v>354</v>
      </c>
      <c r="AF88" s="79">
        <v>0</v>
      </c>
      <c r="AG88" s="79">
        <v>167</v>
      </c>
      <c r="AH88" s="79">
        <v>129.28</v>
      </c>
      <c r="AI88" s="79">
        <v>39</v>
      </c>
      <c r="AJ88" s="79">
        <v>11313</v>
      </c>
      <c r="AK88" s="79">
        <v>11426.13</v>
      </c>
      <c r="AL88" s="79">
        <v>0</v>
      </c>
      <c r="AM88" s="79">
        <v>0</v>
      </c>
      <c r="AN88" s="79">
        <v>0</v>
      </c>
      <c r="AO88" s="79">
        <v>0</v>
      </c>
      <c r="AP88" s="79">
        <v>0</v>
      </c>
      <c r="AQ88" s="79">
        <v>0</v>
      </c>
      <c r="AR88" s="80">
        <v>1.41142E-4</v>
      </c>
      <c r="AS88" s="80">
        <v>8.6934000000000005E-5</v>
      </c>
      <c r="AT88" s="79">
        <v>11267.748</v>
      </c>
      <c r="AU88" s="79">
        <v>0</v>
      </c>
      <c r="AV88" s="79">
        <v>1282.7</v>
      </c>
      <c r="AW88" s="79">
        <v>7093.6008409428696</v>
      </c>
      <c r="AX88" s="79">
        <v>7</v>
      </c>
      <c r="AY88" s="79">
        <v>7</v>
      </c>
      <c r="AZ88" s="79">
        <v>2529</v>
      </c>
      <c r="BA88" s="79">
        <v>1</v>
      </c>
      <c r="BB88" s="79">
        <v>0</v>
      </c>
      <c r="BC88" s="79">
        <v>0</v>
      </c>
      <c r="BD88" s="79">
        <v>0</v>
      </c>
      <c r="BE88" s="79">
        <v>0</v>
      </c>
      <c r="BF88" s="79">
        <v>0</v>
      </c>
      <c r="BG88" s="79">
        <v>0</v>
      </c>
      <c r="BH88" s="79">
        <v>0</v>
      </c>
      <c r="BI88" s="79">
        <v>0</v>
      </c>
      <c r="BJ88" s="79">
        <v>0</v>
      </c>
      <c r="BK88" s="79">
        <v>13</v>
      </c>
      <c r="BL88" s="79">
        <v>3063</v>
      </c>
      <c r="BM88" s="79">
        <v>128</v>
      </c>
      <c r="BN88" s="79">
        <v>39</v>
      </c>
      <c r="BO88">
        <v>6686</v>
      </c>
      <c r="BP88">
        <v>0</v>
      </c>
      <c r="BQ88">
        <v>5926</v>
      </c>
      <c r="BR88">
        <v>0</v>
      </c>
      <c r="BS88">
        <v>5791</v>
      </c>
      <c r="BT88">
        <v>0</v>
      </c>
      <c r="BU88">
        <v>5688</v>
      </c>
      <c r="BV88">
        <v>0</v>
      </c>
      <c r="BW88">
        <v>5597</v>
      </c>
      <c r="BX88">
        <v>0</v>
      </c>
      <c r="BY88">
        <v>5395</v>
      </c>
      <c r="BZ88">
        <v>0</v>
      </c>
      <c r="CA88">
        <v>4991</v>
      </c>
      <c r="CB88">
        <v>433.19898065126</v>
      </c>
      <c r="CC88">
        <v>50.158391805702401</v>
      </c>
      <c r="CD88">
        <v>32.047195146941696</v>
      </c>
      <c r="CE88">
        <v>7720.74581796442</v>
      </c>
      <c r="CF88">
        <v>2025.97103979024</v>
      </c>
      <c r="CG88">
        <v>158.43237748344399</v>
      </c>
      <c r="CH88">
        <v>287</v>
      </c>
      <c r="CI88">
        <v>118.071435464239</v>
      </c>
      <c r="CJ88">
        <v>111.39323482777201</v>
      </c>
      <c r="CK88" s="81">
        <v>1163</v>
      </c>
      <c r="CL88">
        <v>251</v>
      </c>
      <c r="CM88">
        <v>3739.0930981849801</v>
      </c>
      <c r="CN88">
        <v>0.63943579945133</v>
      </c>
      <c r="CO88">
        <v>21002</v>
      </c>
      <c r="CP88">
        <v>2917</v>
      </c>
      <c r="CQ88">
        <v>421</v>
      </c>
      <c r="CR88">
        <v>544</v>
      </c>
      <c r="CS88">
        <v>471</v>
      </c>
      <c r="CT88">
        <v>194</v>
      </c>
      <c r="CU88">
        <v>287.90176351929699</v>
      </c>
      <c r="CV88">
        <v>158.01414024110699</v>
      </c>
      <c r="CW88">
        <v>45.034029968715402</v>
      </c>
      <c r="CX88">
        <v>756.16863941271401</v>
      </c>
      <c r="CY88">
        <v>415.02120714199498</v>
      </c>
      <c r="CZ88">
        <v>118.281044035468</v>
      </c>
      <c r="DA88">
        <v>15876</v>
      </c>
      <c r="DE88">
        <v>275</v>
      </c>
      <c r="DF88" t="s">
        <v>254</v>
      </c>
      <c r="DG88">
        <v>8274</v>
      </c>
      <c r="DH88">
        <v>8246</v>
      </c>
      <c r="DI88">
        <v>8305</v>
      </c>
      <c r="DJ88">
        <v>8151</v>
      </c>
      <c r="DK88">
        <v>8088</v>
      </c>
      <c r="DO88">
        <v>209</v>
      </c>
      <c r="DP88" t="s">
        <v>48</v>
      </c>
      <c r="DQ88">
        <v>11313</v>
      </c>
      <c r="DR88">
        <v>1.01</v>
      </c>
      <c r="DS88">
        <v>996</v>
      </c>
      <c r="DV88">
        <v>505</v>
      </c>
      <c r="DW88" t="s">
        <v>90</v>
      </c>
      <c r="DX88">
        <v>18559.879778040598</v>
      </c>
      <c r="DY88">
        <v>3336</v>
      </c>
      <c r="DZ88">
        <v>2571</v>
      </c>
      <c r="EA88">
        <v>1465</v>
      </c>
      <c r="EB88">
        <v>8190</v>
      </c>
      <c r="EC88">
        <v>4828</v>
      </c>
      <c r="ED88">
        <v>2005</v>
      </c>
      <c r="EE88" s="82">
        <v>0.23480436146911801</v>
      </c>
      <c r="EF88" s="82">
        <v>0.49876271685266299</v>
      </c>
    </row>
    <row r="89" spans="1:136" x14ac:dyDescent="0.35">
      <c r="A89" s="72">
        <v>1876</v>
      </c>
      <c r="B89" s="72">
        <v>5</v>
      </c>
      <c r="D89" s="72" t="s">
        <v>62</v>
      </c>
      <c r="E89" s="79">
        <v>3099600000</v>
      </c>
      <c r="F89" s="79">
        <v>434000000</v>
      </c>
      <c r="G89" s="79">
        <v>533400000</v>
      </c>
      <c r="H89" s="79">
        <v>36352</v>
      </c>
      <c r="I89" s="79">
        <v>6</v>
      </c>
      <c r="J89" s="79">
        <v>533.4</v>
      </c>
      <c r="K89" s="79">
        <v>7606</v>
      </c>
      <c r="L89" s="79">
        <v>9003</v>
      </c>
      <c r="M89" s="79">
        <v>2781</v>
      </c>
      <c r="N89" s="79">
        <v>4328</v>
      </c>
      <c r="O89" s="79">
        <v>2675.7</v>
      </c>
      <c r="P89" s="79">
        <v>364</v>
      </c>
      <c r="Q89" s="79">
        <v>1935</v>
      </c>
      <c r="R89" s="79">
        <v>425</v>
      </c>
      <c r="S89" s="79">
        <v>0</v>
      </c>
      <c r="T89" s="79">
        <v>754</v>
      </c>
      <c r="U89" s="79">
        <v>15890</v>
      </c>
      <c r="V89" s="79">
        <v>28920</v>
      </c>
      <c r="W89" s="79">
        <v>7040</v>
      </c>
      <c r="X89" s="79">
        <v>0</v>
      </c>
      <c r="Y89" s="79">
        <v>370.4</v>
      </c>
      <c r="Z89" s="79">
        <v>0</v>
      </c>
      <c r="AA89" s="79">
        <v>0</v>
      </c>
      <c r="AB89" s="79">
        <v>52.7</v>
      </c>
      <c r="AC89" s="79">
        <v>28347</v>
      </c>
      <c r="AD89" s="79">
        <v>28347</v>
      </c>
      <c r="AE89" s="79">
        <v>295</v>
      </c>
      <c r="AF89" s="79">
        <v>0</v>
      </c>
      <c r="AG89" s="79">
        <v>460</v>
      </c>
      <c r="AH89" s="79">
        <v>188</v>
      </c>
      <c r="AI89" s="79">
        <v>272</v>
      </c>
      <c r="AJ89" s="79">
        <v>16523</v>
      </c>
      <c r="AK89" s="79">
        <v>16523</v>
      </c>
      <c r="AL89" s="79">
        <v>0</v>
      </c>
      <c r="AM89" s="79">
        <v>0</v>
      </c>
      <c r="AN89" s="79">
        <v>0</v>
      </c>
      <c r="AO89" s="79">
        <v>0</v>
      </c>
      <c r="AP89" s="79">
        <v>0</v>
      </c>
      <c r="AQ89" s="79">
        <v>0</v>
      </c>
      <c r="AR89" s="80">
        <v>6.80644E-4</v>
      </c>
      <c r="AS89" s="80">
        <v>1.5694299999999999E-4</v>
      </c>
      <c r="AT89" s="79">
        <v>6212.6480000000001</v>
      </c>
      <c r="AU89" s="79">
        <v>0</v>
      </c>
      <c r="AV89" s="79">
        <v>3461</v>
      </c>
      <c r="AW89" s="79">
        <v>4392.6496753020001</v>
      </c>
      <c r="AX89" s="79">
        <v>24</v>
      </c>
      <c r="AY89" s="79">
        <v>24</v>
      </c>
      <c r="AZ89" s="79">
        <v>4551</v>
      </c>
      <c r="BA89" s="79">
        <v>1</v>
      </c>
      <c r="BB89" s="79">
        <v>0</v>
      </c>
      <c r="BC89" s="79">
        <v>0</v>
      </c>
      <c r="BD89" s="79">
        <v>0</v>
      </c>
      <c r="BE89" s="79">
        <v>0</v>
      </c>
      <c r="BF89" s="79">
        <v>0</v>
      </c>
      <c r="BG89" s="79">
        <v>0</v>
      </c>
      <c r="BH89" s="79">
        <v>0</v>
      </c>
      <c r="BI89" s="79">
        <v>0</v>
      </c>
      <c r="BJ89" s="79">
        <v>0</v>
      </c>
      <c r="BK89" s="79">
        <v>26</v>
      </c>
      <c r="BL89" s="79">
        <v>4338</v>
      </c>
      <c r="BM89" s="79">
        <v>188</v>
      </c>
      <c r="BN89" s="79">
        <v>272</v>
      </c>
      <c r="BO89">
        <v>9071</v>
      </c>
      <c r="BP89">
        <v>373</v>
      </c>
      <c r="BQ89">
        <v>8330</v>
      </c>
      <c r="BR89">
        <v>344</v>
      </c>
      <c r="BS89">
        <v>8175</v>
      </c>
      <c r="BT89">
        <v>352</v>
      </c>
      <c r="BU89">
        <v>8016</v>
      </c>
      <c r="BV89">
        <v>382</v>
      </c>
      <c r="BW89">
        <v>7793</v>
      </c>
      <c r="BX89">
        <v>424</v>
      </c>
      <c r="BY89">
        <v>7613</v>
      </c>
      <c r="BZ89">
        <v>436</v>
      </c>
      <c r="CA89">
        <v>6716</v>
      </c>
      <c r="CB89">
        <v>475.35634782519998</v>
      </c>
      <c r="CC89">
        <v>102.796651517767</v>
      </c>
      <c r="CD89">
        <v>25.411451027810902</v>
      </c>
      <c r="CE89">
        <v>10734.4979837215</v>
      </c>
      <c r="CF89">
        <v>2426.3893310685298</v>
      </c>
      <c r="CG89">
        <v>118.27380971734701</v>
      </c>
      <c r="CH89">
        <v>304</v>
      </c>
      <c r="CI89">
        <v>108.416500490224</v>
      </c>
      <c r="CJ89">
        <v>85.850837032869094</v>
      </c>
      <c r="CK89" s="81">
        <v>1571</v>
      </c>
      <c r="CL89">
        <v>429</v>
      </c>
      <c r="CM89">
        <v>6294.4418953711302</v>
      </c>
      <c r="CN89">
        <v>0.22298204041644301</v>
      </c>
      <c r="CO89">
        <v>27349</v>
      </c>
      <c r="CP89">
        <v>5200</v>
      </c>
      <c r="CQ89">
        <v>1022</v>
      </c>
      <c r="CR89">
        <v>891</v>
      </c>
      <c r="CS89">
        <v>927</v>
      </c>
      <c r="CT89">
        <v>579</v>
      </c>
      <c r="CU89">
        <v>506.723971534518</v>
      </c>
      <c r="CV89">
        <v>316.76321135235401</v>
      </c>
      <c r="CW89">
        <v>129.23161690142101</v>
      </c>
      <c r="CX89">
        <v>1345.23535494108</v>
      </c>
      <c r="CY89">
        <v>840.93331871676401</v>
      </c>
      <c r="CZ89">
        <v>343.08015763598098</v>
      </c>
      <c r="DA89">
        <v>12822</v>
      </c>
      <c r="DE89">
        <v>277</v>
      </c>
      <c r="DF89" t="s">
        <v>263</v>
      </c>
      <c r="DG89">
        <v>340</v>
      </c>
      <c r="DH89">
        <v>327</v>
      </c>
      <c r="DI89">
        <v>333</v>
      </c>
      <c r="DJ89">
        <v>343</v>
      </c>
      <c r="DK89">
        <v>338</v>
      </c>
      <c r="DO89">
        <v>1876</v>
      </c>
      <c r="DP89" t="s">
        <v>62</v>
      </c>
      <c r="DQ89">
        <v>16523</v>
      </c>
      <c r="DR89">
        <v>1</v>
      </c>
      <c r="DS89">
        <v>376</v>
      </c>
      <c r="DV89">
        <v>498</v>
      </c>
      <c r="DW89" t="s">
        <v>91</v>
      </c>
      <c r="DX89">
        <v>2136.3657257057198</v>
      </c>
      <c r="DY89">
        <v>425</v>
      </c>
      <c r="DZ89">
        <v>316</v>
      </c>
      <c r="EA89">
        <v>173</v>
      </c>
      <c r="EB89">
        <v>1556</v>
      </c>
      <c r="EC89">
        <v>770</v>
      </c>
      <c r="ED89">
        <v>248</v>
      </c>
      <c r="EE89" s="82">
        <v>0.15572967748452499</v>
      </c>
      <c r="EF89" s="82">
        <v>0.41136582378160802</v>
      </c>
    </row>
    <row r="90" spans="1:136" x14ac:dyDescent="0.35">
      <c r="A90" s="72">
        <v>213</v>
      </c>
      <c r="B90" s="72">
        <v>5</v>
      </c>
      <c r="D90" s="72" t="s">
        <v>63</v>
      </c>
      <c r="E90" s="79">
        <v>1774400000</v>
      </c>
      <c r="F90" s="79">
        <v>222600000</v>
      </c>
      <c r="G90" s="79">
        <v>253050000</v>
      </c>
      <c r="H90" s="79">
        <v>20771</v>
      </c>
      <c r="I90" s="79">
        <v>2</v>
      </c>
      <c r="J90" s="79">
        <v>253.05</v>
      </c>
      <c r="K90" s="79">
        <v>4204</v>
      </c>
      <c r="L90" s="79">
        <v>5095</v>
      </c>
      <c r="M90" s="79">
        <v>1718</v>
      </c>
      <c r="N90" s="79">
        <v>2491</v>
      </c>
      <c r="O90" s="79">
        <v>1520.2</v>
      </c>
      <c r="P90" s="79">
        <v>308</v>
      </c>
      <c r="Q90" s="79">
        <v>1356</v>
      </c>
      <c r="R90" s="79">
        <v>895</v>
      </c>
      <c r="S90" s="79">
        <v>0</v>
      </c>
      <c r="T90" s="79">
        <v>564</v>
      </c>
      <c r="U90" s="79">
        <v>9326</v>
      </c>
      <c r="V90" s="79">
        <v>18320</v>
      </c>
      <c r="W90" s="79">
        <v>5530</v>
      </c>
      <c r="X90" s="79">
        <v>186.84</v>
      </c>
      <c r="Y90" s="79">
        <v>0</v>
      </c>
      <c r="Z90" s="79">
        <v>0</v>
      </c>
      <c r="AA90" s="79">
        <v>0</v>
      </c>
      <c r="AB90" s="79">
        <v>0</v>
      </c>
      <c r="AC90" s="79">
        <v>8361</v>
      </c>
      <c r="AD90" s="79">
        <v>8361</v>
      </c>
      <c r="AE90" s="79">
        <v>140</v>
      </c>
      <c r="AF90" s="79">
        <v>0</v>
      </c>
      <c r="AG90" s="79">
        <v>179</v>
      </c>
      <c r="AH90" s="79">
        <v>118</v>
      </c>
      <c r="AI90" s="79">
        <v>61</v>
      </c>
      <c r="AJ90" s="79">
        <v>9708</v>
      </c>
      <c r="AK90" s="79">
        <v>9708</v>
      </c>
      <c r="AL90" s="79">
        <v>0</v>
      </c>
      <c r="AM90" s="79">
        <v>0</v>
      </c>
      <c r="AN90" s="79">
        <v>0</v>
      </c>
      <c r="AO90" s="79">
        <v>0</v>
      </c>
      <c r="AP90" s="79">
        <v>509</v>
      </c>
      <c r="AQ90" s="79">
        <v>0</v>
      </c>
      <c r="AR90" s="80">
        <v>3.5796299999999999E-4</v>
      </c>
      <c r="AS90" s="80">
        <v>1.11223E-4</v>
      </c>
      <c r="AT90" s="79">
        <v>7397.4960000000001</v>
      </c>
      <c r="AU90" s="79">
        <v>0</v>
      </c>
      <c r="AV90" s="79">
        <v>1339</v>
      </c>
      <c r="AW90" s="79">
        <v>3271.6585107634401</v>
      </c>
      <c r="AX90" s="79">
        <v>7</v>
      </c>
      <c r="AY90" s="79">
        <v>7</v>
      </c>
      <c r="AZ90" s="79">
        <v>2057</v>
      </c>
      <c r="BA90" s="79">
        <v>1</v>
      </c>
      <c r="BB90" s="79">
        <v>0</v>
      </c>
      <c r="BC90" s="79">
        <v>0</v>
      </c>
      <c r="BD90" s="79">
        <v>0</v>
      </c>
      <c r="BE90" s="79">
        <v>0</v>
      </c>
      <c r="BF90" s="79">
        <v>0</v>
      </c>
      <c r="BG90" s="79">
        <v>0</v>
      </c>
      <c r="BH90" s="79">
        <v>0</v>
      </c>
      <c r="BI90" s="79">
        <v>0</v>
      </c>
      <c r="BJ90" s="79">
        <v>0</v>
      </c>
      <c r="BK90" s="79">
        <v>20</v>
      </c>
      <c r="BL90" s="79">
        <v>2586</v>
      </c>
      <c r="BM90" s="79">
        <v>118</v>
      </c>
      <c r="BN90" s="79">
        <v>61</v>
      </c>
      <c r="BO90">
        <v>5135</v>
      </c>
      <c r="BP90">
        <v>0</v>
      </c>
      <c r="BQ90">
        <v>4556</v>
      </c>
      <c r="BR90">
        <v>0</v>
      </c>
      <c r="BS90">
        <v>4529</v>
      </c>
      <c r="BT90">
        <v>0</v>
      </c>
      <c r="BU90">
        <v>4467</v>
      </c>
      <c r="BV90">
        <v>0</v>
      </c>
      <c r="BW90">
        <v>4379</v>
      </c>
      <c r="BX90">
        <v>0</v>
      </c>
      <c r="BY90">
        <v>4246</v>
      </c>
      <c r="BZ90">
        <v>0</v>
      </c>
      <c r="CA90">
        <v>3687</v>
      </c>
      <c r="CB90">
        <v>291.746809310218</v>
      </c>
      <c r="CC90">
        <v>70.840040718528599</v>
      </c>
      <c r="CD90">
        <v>32.938309534810799</v>
      </c>
      <c r="CE90">
        <v>6227.6620625487603</v>
      </c>
      <c r="CF90">
        <v>1379.3478068582999</v>
      </c>
      <c r="CG90">
        <v>138.97108612440201</v>
      </c>
      <c r="CH90">
        <v>204</v>
      </c>
      <c r="CI90">
        <v>91.566410337747399</v>
      </c>
      <c r="CJ90">
        <v>92.945947531453299</v>
      </c>
      <c r="CK90" s="81">
        <v>1048</v>
      </c>
      <c r="CL90">
        <v>307</v>
      </c>
      <c r="CM90">
        <v>3825.6813086254601</v>
      </c>
      <c r="CN90">
        <v>0.52538621598148505</v>
      </c>
      <c r="CO90">
        <v>15676</v>
      </c>
      <c r="CP90">
        <v>2810</v>
      </c>
      <c r="CQ90">
        <v>567</v>
      </c>
      <c r="CR90">
        <v>486</v>
      </c>
      <c r="CS90">
        <v>514</v>
      </c>
      <c r="CT90">
        <v>302</v>
      </c>
      <c r="CU90">
        <v>262.41920668229898</v>
      </c>
      <c r="CV90">
        <v>180.84378503463901</v>
      </c>
      <c r="CW90">
        <v>67.483698138467204</v>
      </c>
      <c r="CX90">
        <v>720.55431603747297</v>
      </c>
      <c r="CY90">
        <v>496.56338605207702</v>
      </c>
      <c r="CZ90">
        <v>185.29767912419501</v>
      </c>
      <c r="DA90">
        <v>70080</v>
      </c>
      <c r="DE90">
        <v>279</v>
      </c>
      <c r="DF90" t="s">
        <v>266</v>
      </c>
      <c r="DG90">
        <v>2368</v>
      </c>
      <c r="DH90">
        <v>2386</v>
      </c>
      <c r="DI90">
        <v>2369</v>
      </c>
      <c r="DJ90">
        <v>2367</v>
      </c>
      <c r="DK90">
        <v>2374</v>
      </c>
      <c r="DO90">
        <v>213</v>
      </c>
      <c r="DP90" t="s">
        <v>63</v>
      </c>
      <c r="DQ90">
        <v>9708</v>
      </c>
      <c r="DR90">
        <v>1</v>
      </c>
      <c r="DS90">
        <v>762</v>
      </c>
      <c r="DV90">
        <v>1719</v>
      </c>
      <c r="DW90" t="s">
        <v>92</v>
      </c>
      <c r="DX90">
        <v>2965.7205402065501</v>
      </c>
      <c r="DY90">
        <v>597</v>
      </c>
      <c r="DZ90">
        <v>549</v>
      </c>
      <c r="EA90">
        <v>283</v>
      </c>
      <c r="EB90">
        <v>2160</v>
      </c>
      <c r="EC90">
        <v>1181</v>
      </c>
      <c r="ED90">
        <v>412</v>
      </c>
      <c r="EE90" s="82">
        <v>0.149513759061631</v>
      </c>
      <c r="EF90" s="82">
        <v>0.39701708014307702</v>
      </c>
    </row>
    <row r="91" spans="1:136" x14ac:dyDescent="0.35">
      <c r="A91" s="72">
        <v>214</v>
      </c>
      <c r="B91" s="72">
        <v>5</v>
      </c>
      <c r="D91" s="72" t="s">
        <v>67</v>
      </c>
      <c r="E91" s="79">
        <v>2350800000</v>
      </c>
      <c r="F91" s="79">
        <v>285600000</v>
      </c>
      <c r="G91" s="79">
        <v>322350000</v>
      </c>
      <c r="H91" s="79">
        <v>26365</v>
      </c>
      <c r="I91" s="79">
        <v>8</v>
      </c>
      <c r="J91" s="79">
        <v>322.35000000000002</v>
      </c>
      <c r="K91" s="79">
        <v>5972</v>
      </c>
      <c r="L91" s="79">
        <v>5123</v>
      </c>
      <c r="M91" s="79">
        <v>1402</v>
      </c>
      <c r="N91" s="79">
        <v>2673</v>
      </c>
      <c r="O91" s="79">
        <v>1579.7</v>
      </c>
      <c r="P91" s="79">
        <v>236.666666666667</v>
      </c>
      <c r="Q91" s="79">
        <v>1201.6666666666699</v>
      </c>
      <c r="R91" s="79">
        <v>360</v>
      </c>
      <c r="S91" s="79">
        <v>0</v>
      </c>
      <c r="T91" s="79">
        <v>647</v>
      </c>
      <c r="U91" s="79">
        <v>10963</v>
      </c>
      <c r="V91" s="79">
        <v>17440</v>
      </c>
      <c r="W91" s="79">
        <v>1000</v>
      </c>
      <c r="X91" s="79">
        <v>0</v>
      </c>
      <c r="Y91" s="79">
        <v>0</v>
      </c>
      <c r="Z91" s="79">
        <v>0</v>
      </c>
      <c r="AA91" s="79">
        <v>0</v>
      </c>
      <c r="AB91" s="79">
        <v>0</v>
      </c>
      <c r="AC91" s="79">
        <v>13382</v>
      </c>
      <c r="AD91" s="79">
        <v>15255.48</v>
      </c>
      <c r="AE91" s="79">
        <v>910</v>
      </c>
      <c r="AF91" s="79">
        <v>0</v>
      </c>
      <c r="AG91" s="79">
        <v>271</v>
      </c>
      <c r="AH91" s="79">
        <v>164.16</v>
      </c>
      <c r="AI91" s="79">
        <v>136.85</v>
      </c>
      <c r="AJ91" s="79">
        <v>10933</v>
      </c>
      <c r="AK91" s="79">
        <v>11807.64</v>
      </c>
      <c r="AL91" s="79">
        <v>6</v>
      </c>
      <c r="AM91" s="79">
        <v>0</v>
      </c>
      <c r="AN91" s="79">
        <v>0</v>
      </c>
      <c r="AO91" s="79">
        <v>1150</v>
      </c>
      <c r="AP91" s="79">
        <v>0</v>
      </c>
      <c r="AQ91" s="79">
        <v>0</v>
      </c>
      <c r="AR91" s="80">
        <v>3.7707300000000001E-4</v>
      </c>
      <c r="AS91" s="80">
        <v>8.2724000000000003E-5</v>
      </c>
      <c r="AT91" s="79">
        <v>2995.6419999999998</v>
      </c>
      <c r="AU91" s="79">
        <v>0</v>
      </c>
      <c r="AV91" s="79">
        <v>3594.42</v>
      </c>
      <c r="AW91" s="79">
        <v>9095.4822628043694</v>
      </c>
      <c r="AX91" s="79">
        <v>22</v>
      </c>
      <c r="AY91" s="79">
        <v>25.3</v>
      </c>
      <c r="AZ91" s="79">
        <v>3567</v>
      </c>
      <c r="BA91" s="79">
        <v>1</v>
      </c>
      <c r="BB91" s="79">
        <v>0</v>
      </c>
      <c r="BC91" s="79">
        <v>0</v>
      </c>
      <c r="BD91" s="79">
        <v>0</v>
      </c>
      <c r="BE91" s="79">
        <v>0</v>
      </c>
      <c r="BF91" s="79">
        <v>0</v>
      </c>
      <c r="BG91" s="79">
        <v>0</v>
      </c>
      <c r="BH91" s="79">
        <v>0</v>
      </c>
      <c r="BI91" s="79">
        <v>0</v>
      </c>
      <c r="BJ91" s="79">
        <v>0</v>
      </c>
      <c r="BK91" s="79">
        <v>8</v>
      </c>
      <c r="BL91" s="79">
        <v>2689</v>
      </c>
      <c r="BM91" s="79">
        <v>152</v>
      </c>
      <c r="BN91" s="79">
        <v>119</v>
      </c>
      <c r="BO91">
        <v>6563</v>
      </c>
      <c r="BP91">
        <v>0</v>
      </c>
      <c r="BQ91">
        <v>5824</v>
      </c>
      <c r="BR91">
        <v>0</v>
      </c>
      <c r="BS91">
        <v>5847</v>
      </c>
      <c r="BT91">
        <v>0</v>
      </c>
      <c r="BU91">
        <v>5823</v>
      </c>
      <c r="BV91">
        <v>0</v>
      </c>
      <c r="BW91">
        <v>5746</v>
      </c>
      <c r="BX91">
        <v>0</v>
      </c>
      <c r="BY91">
        <v>5675</v>
      </c>
      <c r="BZ91">
        <v>0</v>
      </c>
      <c r="CA91">
        <v>5297</v>
      </c>
      <c r="CB91">
        <v>405.95611507733503</v>
      </c>
      <c r="CC91">
        <v>108.732767723219</v>
      </c>
      <c r="CD91">
        <v>21.322177207004501</v>
      </c>
      <c r="CE91">
        <v>8162.4001688487297</v>
      </c>
      <c r="CF91">
        <v>2147.15344018318</v>
      </c>
      <c r="CG91">
        <v>143.95055846585601</v>
      </c>
      <c r="CH91">
        <v>279</v>
      </c>
      <c r="CI91">
        <v>78.457849811602898</v>
      </c>
      <c r="CJ91">
        <v>63.501238962328799</v>
      </c>
      <c r="CK91" s="81">
        <v>965</v>
      </c>
      <c r="CL91">
        <v>193</v>
      </c>
      <c r="CM91">
        <v>3696.6140905274401</v>
      </c>
      <c r="CN91">
        <v>0.12878144068369299</v>
      </c>
      <c r="CO91">
        <v>21242</v>
      </c>
      <c r="CP91">
        <v>3305</v>
      </c>
      <c r="CQ91">
        <v>416</v>
      </c>
      <c r="CR91">
        <v>545</v>
      </c>
      <c r="CS91">
        <v>446</v>
      </c>
      <c r="CT91">
        <v>194</v>
      </c>
      <c r="CU91">
        <v>286.14517528095502</v>
      </c>
      <c r="CV91">
        <v>140.904821161076</v>
      </c>
      <c r="CW91">
        <v>39.4533499251013</v>
      </c>
      <c r="CX91">
        <v>745.03337009898598</v>
      </c>
      <c r="CY91">
        <v>366.87249285177398</v>
      </c>
      <c r="CZ91">
        <v>102.72429799849699</v>
      </c>
      <c r="DA91">
        <v>0</v>
      </c>
      <c r="DE91">
        <v>281</v>
      </c>
      <c r="DF91" t="s">
        <v>295</v>
      </c>
      <c r="DG91">
        <v>9728</v>
      </c>
      <c r="DH91">
        <v>9667</v>
      </c>
      <c r="DI91">
        <v>9543</v>
      </c>
      <c r="DJ91">
        <v>9528</v>
      </c>
      <c r="DK91">
        <v>9354</v>
      </c>
      <c r="DO91">
        <v>214</v>
      </c>
      <c r="DP91" t="s">
        <v>67</v>
      </c>
      <c r="DQ91">
        <v>10933</v>
      </c>
      <c r="DR91">
        <v>1.08</v>
      </c>
      <c r="DS91">
        <v>274</v>
      </c>
      <c r="DV91">
        <v>303</v>
      </c>
      <c r="DW91" t="s">
        <v>93</v>
      </c>
      <c r="DX91">
        <v>4413.6624590930296</v>
      </c>
      <c r="DY91">
        <v>710</v>
      </c>
      <c r="DZ91">
        <v>661</v>
      </c>
      <c r="EA91">
        <v>396</v>
      </c>
      <c r="EB91">
        <v>2458</v>
      </c>
      <c r="EC91">
        <v>1506</v>
      </c>
      <c r="ED91">
        <v>599</v>
      </c>
      <c r="EE91" s="82">
        <v>0.14366028812482201</v>
      </c>
      <c r="EF91" s="82">
        <v>0.45316433785906901</v>
      </c>
    </row>
    <row r="92" spans="1:136" x14ac:dyDescent="0.35">
      <c r="A92" s="72">
        <v>216</v>
      </c>
      <c r="B92" s="72">
        <v>5</v>
      </c>
      <c r="D92" s="72" t="s">
        <v>73</v>
      </c>
      <c r="E92" s="79">
        <v>2130400000</v>
      </c>
      <c r="F92" s="79">
        <v>353850000</v>
      </c>
      <c r="G92" s="79">
        <v>365050000</v>
      </c>
      <c r="H92" s="79">
        <v>28195</v>
      </c>
      <c r="I92" s="79">
        <v>1</v>
      </c>
      <c r="J92" s="79">
        <v>365.05</v>
      </c>
      <c r="K92" s="79">
        <v>6750</v>
      </c>
      <c r="L92" s="79">
        <v>5037</v>
      </c>
      <c r="M92" s="79">
        <v>1492</v>
      </c>
      <c r="N92" s="79">
        <v>3324</v>
      </c>
      <c r="O92" s="79">
        <v>2081.1999999999998</v>
      </c>
      <c r="P92" s="79">
        <v>575</v>
      </c>
      <c r="Q92" s="79">
        <v>1827</v>
      </c>
      <c r="R92" s="79">
        <v>3170</v>
      </c>
      <c r="S92" s="79">
        <v>0</v>
      </c>
      <c r="T92" s="79">
        <v>938</v>
      </c>
      <c r="U92" s="79">
        <v>12433</v>
      </c>
      <c r="V92" s="79">
        <v>29660</v>
      </c>
      <c r="W92" s="79">
        <v>15190</v>
      </c>
      <c r="X92" s="79">
        <v>407.88</v>
      </c>
      <c r="Y92" s="79">
        <v>3480</v>
      </c>
      <c r="Z92" s="79">
        <v>0</v>
      </c>
      <c r="AA92" s="79">
        <v>0</v>
      </c>
      <c r="AB92" s="79">
        <v>64.399999999999594</v>
      </c>
      <c r="AC92" s="79">
        <v>2931</v>
      </c>
      <c r="AD92" s="79">
        <v>3839.61</v>
      </c>
      <c r="AE92" s="79">
        <v>184</v>
      </c>
      <c r="AF92" s="79">
        <v>0</v>
      </c>
      <c r="AG92" s="79">
        <v>180</v>
      </c>
      <c r="AH92" s="79">
        <v>203.82</v>
      </c>
      <c r="AI92" s="79">
        <v>29.04</v>
      </c>
      <c r="AJ92" s="79">
        <v>12428</v>
      </c>
      <c r="AK92" s="79">
        <v>16032.12</v>
      </c>
      <c r="AL92" s="79">
        <v>17</v>
      </c>
      <c r="AM92" s="79">
        <v>0</v>
      </c>
      <c r="AN92" s="79">
        <v>0</v>
      </c>
      <c r="AO92" s="79">
        <v>3100</v>
      </c>
      <c r="AP92" s="79">
        <v>1899</v>
      </c>
      <c r="AQ92" s="79">
        <v>1899</v>
      </c>
      <c r="AR92" s="80">
        <v>4.32459E-4</v>
      </c>
      <c r="AS92" s="80">
        <v>3.9749700000000002E-4</v>
      </c>
      <c r="AT92" s="79">
        <v>18020.599999999999</v>
      </c>
      <c r="AU92" s="79">
        <v>0</v>
      </c>
      <c r="AV92" s="79">
        <v>1472.44</v>
      </c>
      <c r="AW92" s="79">
        <v>26655.181894060999</v>
      </c>
      <c r="AX92" s="79">
        <v>1</v>
      </c>
      <c r="AY92" s="79">
        <v>1.32</v>
      </c>
      <c r="AZ92" s="79">
        <v>3060</v>
      </c>
      <c r="BA92" s="79">
        <v>1</v>
      </c>
      <c r="BB92" s="79">
        <v>0</v>
      </c>
      <c r="BC92" s="79">
        <v>0</v>
      </c>
      <c r="BD92" s="79">
        <v>0</v>
      </c>
      <c r="BE92" s="79">
        <v>0</v>
      </c>
      <c r="BF92" s="79">
        <v>0</v>
      </c>
      <c r="BG92" s="79">
        <v>0</v>
      </c>
      <c r="BH92" s="79">
        <v>0</v>
      </c>
      <c r="BI92" s="79">
        <v>0</v>
      </c>
      <c r="BJ92" s="79">
        <v>0</v>
      </c>
      <c r="BK92" s="79">
        <v>11</v>
      </c>
      <c r="BL92" s="79">
        <v>3904</v>
      </c>
      <c r="BM92" s="79">
        <v>158</v>
      </c>
      <c r="BN92" s="79">
        <v>22</v>
      </c>
      <c r="BO92">
        <v>7496</v>
      </c>
      <c r="BP92">
        <v>3896</v>
      </c>
      <c r="BQ92">
        <v>6805</v>
      </c>
      <c r="BR92">
        <v>4018</v>
      </c>
      <c r="BS92">
        <v>6710</v>
      </c>
      <c r="BT92">
        <v>4098</v>
      </c>
      <c r="BU92">
        <v>6668</v>
      </c>
      <c r="BV92">
        <v>4070</v>
      </c>
      <c r="BW92">
        <v>6556</v>
      </c>
      <c r="BX92">
        <v>4077</v>
      </c>
      <c r="BY92">
        <v>6425</v>
      </c>
      <c r="BZ92">
        <v>4077</v>
      </c>
      <c r="CA92">
        <v>6039</v>
      </c>
      <c r="CB92">
        <v>606.50494478244798</v>
      </c>
      <c r="CC92">
        <v>60.999226367596997</v>
      </c>
      <c r="CD92">
        <v>128.78066095234399</v>
      </c>
      <c r="CE92">
        <v>8218.7207972750402</v>
      </c>
      <c r="CF92">
        <v>2246.9946551284002</v>
      </c>
      <c r="CG92">
        <v>235.363529335072</v>
      </c>
      <c r="CH92">
        <v>328</v>
      </c>
      <c r="CI92">
        <v>202.67242172637799</v>
      </c>
      <c r="CJ92">
        <v>148.99732047026899</v>
      </c>
      <c r="CK92" s="81">
        <v>1252</v>
      </c>
      <c r="CL92">
        <v>325</v>
      </c>
      <c r="CM92">
        <v>3943.7914339458798</v>
      </c>
      <c r="CN92">
        <v>1.2248324526760099</v>
      </c>
      <c r="CO92">
        <v>23158</v>
      </c>
      <c r="CP92">
        <v>3016</v>
      </c>
      <c r="CQ92">
        <v>529</v>
      </c>
      <c r="CR92">
        <v>706</v>
      </c>
      <c r="CS92">
        <v>515</v>
      </c>
      <c r="CT92">
        <v>265</v>
      </c>
      <c r="CU92">
        <v>323.74425327428997</v>
      </c>
      <c r="CV92">
        <v>174.182112470389</v>
      </c>
      <c r="CW92">
        <v>60.461290963279197</v>
      </c>
      <c r="CX92">
        <v>838.386884750543</v>
      </c>
      <c r="CY92">
        <v>451.07209526154401</v>
      </c>
      <c r="CZ92">
        <v>156.574063835978</v>
      </c>
      <c r="DA92">
        <v>19845</v>
      </c>
      <c r="DE92">
        <v>285</v>
      </c>
      <c r="DF92" t="s">
        <v>323</v>
      </c>
      <c r="DG92">
        <v>4953</v>
      </c>
      <c r="DH92">
        <v>4875</v>
      </c>
      <c r="DI92">
        <v>4794</v>
      </c>
      <c r="DJ92">
        <v>4774</v>
      </c>
      <c r="DK92">
        <v>4750</v>
      </c>
      <c r="DO92">
        <v>216</v>
      </c>
      <c r="DP92" t="s">
        <v>73</v>
      </c>
      <c r="DQ92">
        <v>12428</v>
      </c>
      <c r="DR92">
        <v>1.29</v>
      </c>
      <c r="DS92">
        <v>1450</v>
      </c>
      <c r="DV92">
        <v>225</v>
      </c>
      <c r="DW92" t="s">
        <v>94</v>
      </c>
      <c r="DX92">
        <v>2294.5387647831799</v>
      </c>
      <c r="DY92">
        <v>365</v>
      </c>
      <c r="DZ92">
        <v>325</v>
      </c>
      <c r="EA92">
        <v>159</v>
      </c>
      <c r="EB92">
        <v>1256</v>
      </c>
      <c r="EC92">
        <v>711</v>
      </c>
      <c r="ED92">
        <v>223</v>
      </c>
      <c r="EE92" s="82">
        <v>0.17873405791826799</v>
      </c>
      <c r="EF92" s="82">
        <v>0.46115767919659201</v>
      </c>
    </row>
    <row r="93" spans="1:136" x14ac:dyDescent="0.35">
      <c r="A93" s="72">
        <v>221</v>
      </c>
      <c r="B93" s="72">
        <v>5</v>
      </c>
      <c r="D93" s="72" t="s">
        <v>87</v>
      </c>
      <c r="E93" s="79">
        <v>802000000</v>
      </c>
      <c r="F93" s="79">
        <v>83300000</v>
      </c>
      <c r="G93" s="79">
        <v>91350000</v>
      </c>
      <c r="H93" s="79">
        <v>11328</v>
      </c>
      <c r="I93" s="79">
        <v>1</v>
      </c>
      <c r="J93" s="79">
        <v>91.35</v>
      </c>
      <c r="K93" s="79">
        <v>2287</v>
      </c>
      <c r="L93" s="79">
        <v>2690</v>
      </c>
      <c r="M93" s="79">
        <v>795</v>
      </c>
      <c r="N93" s="79">
        <v>1942</v>
      </c>
      <c r="O93" s="79">
        <v>1412.6</v>
      </c>
      <c r="P93" s="79">
        <v>330.33333333333297</v>
      </c>
      <c r="Q93" s="79">
        <v>1157.3333333333301</v>
      </c>
      <c r="R93" s="79">
        <v>945</v>
      </c>
      <c r="S93" s="79">
        <v>0</v>
      </c>
      <c r="T93" s="79">
        <v>453</v>
      </c>
      <c r="U93" s="79">
        <v>5359</v>
      </c>
      <c r="V93" s="79">
        <v>11200</v>
      </c>
      <c r="W93" s="79">
        <v>4890</v>
      </c>
      <c r="X93" s="79">
        <v>0</v>
      </c>
      <c r="Y93" s="79">
        <v>0</v>
      </c>
      <c r="Z93" s="79">
        <v>0</v>
      </c>
      <c r="AA93" s="79">
        <v>0</v>
      </c>
      <c r="AB93" s="79">
        <v>0</v>
      </c>
      <c r="AC93" s="79">
        <v>1157</v>
      </c>
      <c r="AD93" s="79">
        <v>1157</v>
      </c>
      <c r="AE93" s="79">
        <v>139</v>
      </c>
      <c r="AF93" s="79">
        <v>0</v>
      </c>
      <c r="AG93" s="79">
        <v>62</v>
      </c>
      <c r="AH93" s="79">
        <v>51</v>
      </c>
      <c r="AI93" s="79">
        <v>11</v>
      </c>
      <c r="AJ93" s="79">
        <v>5294</v>
      </c>
      <c r="AK93" s="79">
        <v>5294</v>
      </c>
      <c r="AL93" s="79">
        <v>18</v>
      </c>
      <c r="AM93" s="79">
        <v>0</v>
      </c>
      <c r="AN93" s="79">
        <v>0</v>
      </c>
      <c r="AO93" s="79">
        <v>7400</v>
      </c>
      <c r="AP93" s="79">
        <v>1178</v>
      </c>
      <c r="AQ93" s="79">
        <v>1178</v>
      </c>
      <c r="AR93" s="80">
        <v>3.1146199999999998E-4</v>
      </c>
      <c r="AS93" s="80">
        <v>1.8726699999999999E-4</v>
      </c>
      <c r="AT93" s="79">
        <v>4552.84</v>
      </c>
      <c r="AU93" s="79">
        <v>0</v>
      </c>
      <c r="AV93" s="79">
        <v>606</v>
      </c>
      <c r="AW93" s="79">
        <v>5296.8888888888896</v>
      </c>
      <c r="AX93" s="79">
        <v>1</v>
      </c>
      <c r="AY93" s="79">
        <v>1</v>
      </c>
      <c r="AZ93" s="79">
        <v>978</v>
      </c>
      <c r="BA93" s="79">
        <v>1</v>
      </c>
      <c r="BB93" s="79">
        <v>0</v>
      </c>
      <c r="BC93" s="79">
        <v>0</v>
      </c>
      <c r="BD93" s="79">
        <v>0</v>
      </c>
      <c r="BE93" s="79">
        <v>0</v>
      </c>
      <c r="BF93" s="79">
        <v>0</v>
      </c>
      <c r="BG93" s="79">
        <v>0</v>
      </c>
      <c r="BH93" s="79">
        <v>0</v>
      </c>
      <c r="BI93" s="79">
        <v>0</v>
      </c>
      <c r="BJ93" s="79">
        <v>0</v>
      </c>
      <c r="BK93" s="79">
        <v>7</v>
      </c>
      <c r="BL93" s="79">
        <v>1849</v>
      </c>
      <c r="BM93" s="79">
        <v>51</v>
      </c>
      <c r="BN93" s="79">
        <v>11</v>
      </c>
      <c r="BO93">
        <v>2803</v>
      </c>
      <c r="BP93">
        <v>0</v>
      </c>
      <c r="BQ93">
        <v>2518</v>
      </c>
      <c r="BR93">
        <v>0</v>
      </c>
      <c r="BS93">
        <v>2484</v>
      </c>
      <c r="BT93">
        <v>0</v>
      </c>
      <c r="BU93">
        <v>2443</v>
      </c>
      <c r="BV93">
        <v>0</v>
      </c>
      <c r="BW93">
        <v>2410</v>
      </c>
      <c r="BX93">
        <v>0</v>
      </c>
      <c r="BY93">
        <v>2350</v>
      </c>
      <c r="BZ93">
        <v>0</v>
      </c>
      <c r="CA93">
        <v>1989</v>
      </c>
      <c r="CB93">
        <v>304.58020098884202</v>
      </c>
      <c r="CC93">
        <v>67.303667986916096</v>
      </c>
      <c r="CD93">
        <v>34.554900094447497</v>
      </c>
      <c r="CE93">
        <v>3100.8768490808002</v>
      </c>
      <c r="CF93">
        <v>659.47060493979995</v>
      </c>
      <c r="CG93">
        <v>113.14458726549201</v>
      </c>
      <c r="CH93">
        <v>152</v>
      </c>
      <c r="CI93">
        <v>92.656228086496199</v>
      </c>
      <c r="CJ93">
        <v>97.9125248804622</v>
      </c>
      <c r="CK93" s="81">
        <v>827</v>
      </c>
      <c r="CL93">
        <v>224</v>
      </c>
      <c r="CM93">
        <v>2164.1516443189798</v>
      </c>
      <c r="CN93">
        <v>0.84863498895754497</v>
      </c>
      <c r="CO93">
        <v>8638</v>
      </c>
      <c r="CP93">
        <v>1665</v>
      </c>
      <c r="CQ93">
        <v>230</v>
      </c>
      <c r="CR93">
        <v>405</v>
      </c>
      <c r="CS93">
        <v>286</v>
      </c>
      <c r="CT93">
        <v>128</v>
      </c>
      <c r="CU93">
        <v>287.13469826333699</v>
      </c>
      <c r="CV93">
        <v>150.77240196913201</v>
      </c>
      <c r="CW93">
        <v>46.699416539111503</v>
      </c>
      <c r="CX93">
        <v>580.25760243218303</v>
      </c>
      <c r="CY93">
        <v>304.68916856336801</v>
      </c>
      <c r="CZ93">
        <v>94.3727513249369</v>
      </c>
      <c r="DA93">
        <v>6205</v>
      </c>
      <c r="DE93">
        <v>289</v>
      </c>
      <c r="DF93" t="s">
        <v>329</v>
      </c>
      <c r="DG93">
        <v>6107</v>
      </c>
      <c r="DH93">
        <v>6133</v>
      </c>
      <c r="DI93">
        <v>6106</v>
      </c>
      <c r="DJ93">
        <v>6081</v>
      </c>
      <c r="DK93">
        <v>6003</v>
      </c>
      <c r="DO93">
        <v>221</v>
      </c>
      <c r="DP93" t="s">
        <v>87</v>
      </c>
      <c r="DQ93">
        <v>5294</v>
      </c>
      <c r="DR93">
        <v>1</v>
      </c>
      <c r="DS93">
        <v>860</v>
      </c>
      <c r="DV93">
        <v>226</v>
      </c>
      <c r="DW93" t="s">
        <v>95</v>
      </c>
      <c r="DX93">
        <v>2837.69551282051</v>
      </c>
      <c r="DY93">
        <v>514</v>
      </c>
      <c r="DZ93">
        <v>472</v>
      </c>
      <c r="EA93">
        <v>234</v>
      </c>
      <c r="EB93">
        <v>1671</v>
      </c>
      <c r="EC93">
        <v>964</v>
      </c>
      <c r="ED93">
        <v>337</v>
      </c>
      <c r="EE93" s="82">
        <v>0.16475979780001099</v>
      </c>
      <c r="EF93" s="82">
        <v>0.44529638226801799</v>
      </c>
    </row>
    <row r="94" spans="1:136" x14ac:dyDescent="0.35">
      <c r="A94" s="72">
        <v>222</v>
      </c>
      <c r="B94" s="72">
        <v>5</v>
      </c>
      <c r="D94" s="72" t="s">
        <v>88</v>
      </c>
      <c r="E94" s="79">
        <v>4038800000</v>
      </c>
      <c r="F94" s="79">
        <v>808850000</v>
      </c>
      <c r="G94" s="79">
        <v>836150000</v>
      </c>
      <c r="H94" s="79">
        <v>57382</v>
      </c>
      <c r="I94" s="79">
        <v>3</v>
      </c>
      <c r="J94" s="79">
        <v>836.15</v>
      </c>
      <c r="K94" s="79">
        <v>12694</v>
      </c>
      <c r="L94" s="79">
        <v>11728</v>
      </c>
      <c r="M94" s="79">
        <v>3660</v>
      </c>
      <c r="N94" s="79">
        <v>8337</v>
      </c>
      <c r="O94" s="79">
        <v>5711.7</v>
      </c>
      <c r="P94" s="79">
        <v>1231.6666666666699</v>
      </c>
      <c r="Q94" s="79">
        <v>5286.6666666666697</v>
      </c>
      <c r="R94" s="79">
        <v>2580</v>
      </c>
      <c r="S94" s="79">
        <v>0</v>
      </c>
      <c r="T94" s="79">
        <v>1717</v>
      </c>
      <c r="U94" s="79">
        <v>26659</v>
      </c>
      <c r="V94" s="79">
        <v>62550</v>
      </c>
      <c r="W94" s="79">
        <v>64800</v>
      </c>
      <c r="X94" s="79">
        <v>3360.42</v>
      </c>
      <c r="Y94" s="79">
        <v>4815.2</v>
      </c>
      <c r="Z94" s="79">
        <v>0</v>
      </c>
      <c r="AA94" s="79">
        <v>0</v>
      </c>
      <c r="AB94" s="79">
        <v>185.7</v>
      </c>
      <c r="AC94" s="79">
        <v>7900</v>
      </c>
      <c r="AD94" s="79">
        <v>7900</v>
      </c>
      <c r="AE94" s="79">
        <v>65</v>
      </c>
      <c r="AF94" s="79">
        <v>0</v>
      </c>
      <c r="AG94" s="79">
        <v>429</v>
      </c>
      <c r="AH94" s="79">
        <v>353</v>
      </c>
      <c r="AI94" s="79">
        <v>76</v>
      </c>
      <c r="AJ94" s="79">
        <v>26253</v>
      </c>
      <c r="AK94" s="79">
        <v>26253</v>
      </c>
      <c r="AL94" s="79">
        <v>10</v>
      </c>
      <c r="AM94" s="79">
        <v>0</v>
      </c>
      <c r="AN94" s="79">
        <v>0</v>
      </c>
      <c r="AO94" s="79">
        <v>0</v>
      </c>
      <c r="AP94" s="79">
        <v>1667</v>
      </c>
      <c r="AQ94" s="79">
        <v>1667</v>
      </c>
      <c r="AR94" s="80">
        <v>7.53153E-4</v>
      </c>
      <c r="AS94" s="80">
        <v>1.0983119999999999E-3</v>
      </c>
      <c r="AT94" s="79">
        <v>29770.901999999998</v>
      </c>
      <c r="AU94" s="79">
        <v>0</v>
      </c>
      <c r="AV94" s="79">
        <v>1089</v>
      </c>
      <c r="AW94" s="79">
        <v>7845.4485875706196</v>
      </c>
      <c r="AX94" s="79">
        <v>7</v>
      </c>
      <c r="AY94" s="79">
        <v>7</v>
      </c>
      <c r="AZ94" s="79">
        <v>5874</v>
      </c>
      <c r="BA94" s="79">
        <v>1</v>
      </c>
      <c r="BB94" s="79">
        <v>0</v>
      </c>
      <c r="BC94" s="79">
        <v>0</v>
      </c>
      <c r="BD94" s="79">
        <v>0</v>
      </c>
      <c r="BE94" s="79">
        <v>0</v>
      </c>
      <c r="BF94" s="79">
        <v>0</v>
      </c>
      <c r="BG94" s="79">
        <v>0</v>
      </c>
      <c r="BH94" s="79">
        <v>0</v>
      </c>
      <c r="BI94" s="79">
        <v>0</v>
      </c>
      <c r="BJ94" s="79">
        <v>0</v>
      </c>
      <c r="BK94" s="79">
        <v>67</v>
      </c>
      <c r="BL94" s="79">
        <v>8742</v>
      </c>
      <c r="BM94" s="79">
        <v>353</v>
      </c>
      <c r="BN94" s="79">
        <v>76</v>
      </c>
      <c r="BO94">
        <v>13602</v>
      </c>
      <c r="BP94">
        <v>5303</v>
      </c>
      <c r="BQ94">
        <v>12231</v>
      </c>
      <c r="BR94">
        <v>5489</v>
      </c>
      <c r="BS94">
        <v>12067</v>
      </c>
      <c r="BT94">
        <v>5517</v>
      </c>
      <c r="BU94">
        <v>11930</v>
      </c>
      <c r="BV94">
        <v>5660</v>
      </c>
      <c r="BW94">
        <v>11892</v>
      </c>
      <c r="BX94">
        <v>5695</v>
      </c>
      <c r="BY94">
        <v>11796</v>
      </c>
      <c r="BZ94">
        <v>5687</v>
      </c>
      <c r="CA94">
        <v>11311</v>
      </c>
      <c r="CB94">
        <v>1236.35906624372</v>
      </c>
      <c r="CC94">
        <v>210.40965657196199</v>
      </c>
      <c r="CD94">
        <v>139.05020200952001</v>
      </c>
      <c r="CE94">
        <v>15604.3079250518</v>
      </c>
      <c r="CF94">
        <v>3808.5245190921401</v>
      </c>
      <c r="CG94">
        <v>453.84090366972498</v>
      </c>
      <c r="CH94">
        <v>669</v>
      </c>
      <c r="CI94">
        <v>356.805145699832</v>
      </c>
      <c r="CJ94">
        <v>323.182283210511</v>
      </c>
      <c r="CK94" s="81">
        <v>4055</v>
      </c>
      <c r="CL94">
        <v>1478</v>
      </c>
      <c r="CM94">
        <v>10055.0123061221</v>
      </c>
      <c r="CN94">
        <v>2.8775260123579698</v>
      </c>
      <c r="CO94">
        <v>45654</v>
      </c>
      <c r="CP94">
        <v>6699</v>
      </c>
      <c r="CQ94">
        <v>1369</v>
      </c>
      <c r="CR94">
        <v>1429</v>
      </c>
      <c r="CS94">
        <v>1273</v>
      </c>
      <c r="CT94">
        <v>678</v>
      </c>
      <c r="CU94">
        <v>910.68691123557699</v>
      </c>
      <c r="CV94">
        <v>548.45716751669602</v>
      </c>
      <c r="CW94">
        <v>204.066966731718</v>
      </c>
      <c r="CX94">
        <v>2069.7543922812802</v>
      </c>
      <c r="CY94">
        <v>1246.5004354852099</v>
      </c>
      <c r="CZ94">
        <v>463.791118002828</v>
      </c>
      <c r="DA94">
        <v>135697.1</v>
      </c>
      <c r="DE94">
        <v>293</v>
      </c>
      <c r="DF94" t="s">
        <v>338</v>
      </c>
      <c r="DG94">
        <v>3425</v>
      </c>
      <c r="DH94">
        <v>3296</v>
      </c>
      <c r="DI94">
        <v>3271</v>
      </c>
      <c r="DJ94">
        <v>3162</v>
      </c>
      <c r="DK94">
        <v>3052</v>
      </c>
      <c r="DO94">
        <v>222</v>
      </c>
      <c r="DP94" t="s">
        <v>88</v>
      </c>
      <c r="DQ94">
        <v>26253</v>
      </c>
      <c r="DR94">
        <v>1</v>
      </c>
      <c r="DS94">
        <v>1134</v>
      </c>
      <c r="DV94">
        <v>1711</v>
      </c>
      <c r="DW94" t="s">
        <v>96</v>
      </c>
      <c r="DX94">
        <v>4528.9239122769904</v>
      </c>
      <c r="DY94">
        <v>864</v>
      </c>
      <c r="DZ94">
        <v>733</v>
      </c>
      <c r="EA94">
        <v>409</v>
      </c>
      <c r="EB94">
        <v>2781</v>
      </c>
      <c r="EC94">
        <v>1618</v>
      </c>
      <c r="ED94">
        <v>574</v>
      </c>
      <c r="EE94" s="82">
        <v>0.193419106723485</v>
      </c>
      <c r="EF94" s="82">
        <v>0.46927942762387398</v>
      </c>
    </row>
    <row r="95" spans="1:136" x14ac:dyDescent="0.35">
      <c r="A95" s="72">
        <v>225</v>
      </c>
      <c r="B95" s="72">
        <v>5</v>
      </c>
      <c r="D95" s="72" t="s">
        <v>94</v>
      </c>
      <c r="E95" s="79">
        <v>1374400000</v>
      </c>
      <c r="F95" s="79">
        <v>211050000</v>
      </c>
      <c r="G95" s="79">
        <v>243250000</v>
      </c>
      <c r="H95" s="79">
        <v>18701</v>
      </c>
      <c r="I95" s="79">
        <v>4</v>
      </c>
      <c r="J95" s="79">
        <v>243.25</v>
      </c>
      <c r="K95" s="79">
        <v>4277</v>
      </c>
      <c r="L95" s="79">
        <v>3480</v>
      </c>
      <c r="M95" s="79">
        <v>1078</v>
      </c>
      <c r="N95" s="79">
        <v>2295</v>
      </c>
      <c r="O95" s="79">
        <v>1471.8</v>
      </c>
      <c r="P95" s="79">
        <v>280.33333333333297</v>
      </c>
      <c r="Q95" s="79">
        <v>1365.3333333333301</v>
      </c>
      <c r="R95" s="79">
        <v>880</v>
      </c>
      <c r="S95" s="79">
        <v>0</v>
      </c>
      <c r="T95" s="79">
        <v>544</v>
      </c>
      <c r="U95" s="79">
        <v>8203</v>
      </c>
      <c r="V95" s="79">
        <v>17080</v>
      </c>
      <c r="W95" s="79">
        <v>5880</v>
      </c>
      <c r="X95" s="79">
        <v>837.1</v>
      </c>
      <c r="Y95" s="79">
        <v>1430.4</v>
      </c>
      <c r="Z95" s="79">
        <v>0</v>
      </c>
      <c r="AA95" s="79">
        <v>0</v>
      </c>
      <c r="AB95" s="79">
        <v>0</v>
      </c>
      <c r="AC95" s="79">
        <v>3757</v>
      </c>
      <c r="AD95" s="79">
        <v>3794.57</v>
      </c>
      <c r="AE95" s="79">
        <v>489</v>
      </c>
      <c r="AF95" s="79">
        <v>0</v>
      </c>
      <c r="AG95" s="79">
        <v>145</v>
      </c>
      <c r="AH95" s="79">
        <v>111.18</v>
      </c>
      <c r="AI95" s="79">
        <v>36.36</v>
      </c>
      <c r="AJ95" s="79">
        <v>8232</v>
      </c>
      <c r="AK95" s="79">
        <v>8396.64</v>
      </c>
      <c r="AL95" s="79">
        <v>0</v>
      </c>
      <c r="AM95" s="79">
        <v>0</v>
      </c>
      <c r="AN95" s="79">
        <v>0</v>
      </c>
      <c r="AO95" s="79">
        <v>0</v>
      </c>
      <c r="AP95" s="79">
        <v>0</v>
      </c>
      <c r="AQ95" s="79">
        <v>0</v>
      </c>
      <c r="AR95" s="80">
        <v>1.5596300000000001E-4</v>
      </c>
      <c r="AS95" s="80">
        <v>8.2058999999999995E-5</v>
      </c>
      <c r="AT95" s="79">
        <v>6560.9040000000005</v>
      </c>
      <c r="AU95" s="79">
        <v>0</v>
      </c>
      <c r="AV95" s="79">
        <v>1320.07</v>
      </c>
      <c r="AW95" s="79">
        <v>5867.4717828544499</v>
      </c>
      <c r="AX95" s="79">
        <v>5</v>
      </c>
      <c r="AY95" s="79">
        <v>5.05</v>
      </c>
      <c r="AZ95" s="79">
        <v>1897</v>
      </c>
      <c r="BA95" s="79">
        <v>1</v>
      </c>
      <c r="BB95" s="79">
        <v>0</v>
      </c>
      <c r="BC95" s="79">
        <v>0</v>
      </c>
      <c r="BD95" s="79">
        <v>0</v>
      </c>
      <c r="BE95" s="79">
        <v>0</v>
      </c>
      <c r="BF95" s="79">
        <v>0</v>
      </c>
      <c r="BG95" s="79">
        <v>0</v>
      </c>
      <c r="BH95" s="79">
        <v>0</v>
      </c>
      <c r="BI95" s="79">
        <v>0</v>
      </c>
      <c r="BJ95" s="79">
        <v>0</v>
      </c>
      <c r="BK95" s="79">
        <v>8</v>
      </c>
      <c r="BL95" s="79">
        <v>2150</v>
      </c>
      <c r="BM95" s="79">
        <v>109</v>
      </c>
      <c r="BN95" s="79">
        <v>36</v>
      </c>
      <c r="BO95">
        <v>4722</v>
      </c>
      <c r="BP95">
        <v>1821</v>
      </c>
      <c r="BQ95">
        <v>4251</v>
      </c>
      <c r="BR95">
        <v>1821</v>
      </c>
      <c r="BS95">
        <v>4206</v>
      </c>
      <c r="BT95">
        <v>1843</v>
      </c>
      <c r="BU95">
        <v>4172</v>
      </c>
      <c r="BV95">
        <v>1917</v>
      </c>
      <c r="BW95">
        <v>4160</v>
      </c>
      <c r="BX95">
        <v>1914</v>
      </c>
      <c r="BY95">
        <v>4105</v>
      </c>
      <c r="BZ95">
        <v>1910</v>
      </c>
      <c r="CA95">
        <v>3799</v>
      </c>
      <c r="CB95">
        <v>342.37469850314699</v>
      </c>
      <c r="CC95">
        <v>77.360300008359701</v>
      </c>
      <c r="CD95">
        <v>47.525996029457602</v>
      </c>
      <c r="CE95">
        <v>4905.7010581208096</v>
      </c>
      <c r="CF95">
        <v>1391.38079138802</v>
      </c>
      <c r="CG95">
        <v>149.99922580645199</v>
      </c>
      <c r="CH95">
        <v>197</v>
      </c>
      <c r="CI95">
        <v>78.231780189603597</v>
      </c>
      <c r="CJ95">
        <v>85.850837032869094</v>
      </c>
      <c r="CK95" s="81">
        <v>1085</v>
      </c>
      <c r="CL95">
        <v>450</v>
      </c>
      <c r="CM95">
        <v>2908.89091975879</v>
      </c>
      <c r="CN95">
        <v>0.41831187282305199</v>
      </c>
      <c r="CO95">
        <v>15221</v>
      </c>
      <c r="CP95">
        <v>2087</v>
      </c>
      <c r="CQ95">
        <v>315</v>
      </c>
      <c r="CR95">
        <v>365</v>
      </c>
      <c r="CS95">
        <v>325</v>
      </c>
      <c r="CT95">
        <v>159</v>
      </c>
      <c r="CU95">
        <v>224.48997674534399</v>
      </c>
      <c r="CV95">
        <v>127.079915179888</v>
      </c>
      <c r="CW95">
        <v>39.857694915773699</v>
      </c>
      <c r="CX95">
        <v>579.21404507091904</v>
      </c>
      <c r="CY95">
        <v>327.88310990877699</v>
      </c>
      <c r="CZ95">
        <v>102.83816246084</v>
      </c>
      <c r="DA95">
        <v>124465</v>
      </c>
      <c r="DE95">
        <v>294</v>
      </c>
      <c r="DF95" t="s">
        <v>347</v>
      </c>
      <c r="DG95">
        <v>6336</v>
      </c>
      <c r="DH95">
        <v>6300</v>
      </c>
      <c r="DI95">
        <v>6232</v>
      </c>
      <c r="DJ95">
        <v>6053</v>
      </c>
      <c r="DK95">
        <v>5983</v>
      </c>
      <c r="DO95">
        <v>225</v>
      </c>
      <c r="DP95" t="s">
        <v>94</v>
      </c>
      <c r="DQ95">
        <v>8232</v>
      </c>
      <c r="DR95">
        <v>1.02</v>
      </c>
      <c r="DS95">
        <v>797</v>
      </c>
      <c r="DV95">
        <v>385</v>
      </c>
      <c r="DW95" t="s">
        <v>97</v>
      </c>
      <c r="DX95">
        <v>3670.7684924933201</v>
      </c>
      <c r="DY95">
        <v>856</v>
      </c>
      <c r="DZ95">
        <v>703</v>
      </c>
      <c r="EA95">
        <v>264</v>
      </c>
      <c r="EB95">
        <v>2812</v>
      </c>
      <c r="EC95">
        <v>1519</v>
      </c>
      <c r="ED95">
        <v>381</v>
      </c>
      <c r="EE95" s="82">
        <v>0.141800177359417</v>
      </c>
      <c r="EF95" s="82">
        <v>0.35643063385123003</v>
      </c>
    </row>
    <row r="96" spans="1:136" x14ac:dyDescent="0.35">
      <c r="A96" s="72">
        <v>226</v>
      </c>
      <c r="B96" s="72">
        <v>5</v>
      </c>
      <c r="D96" s="72" t="s">
        <v>95</v>
      </c>
      <c r="E96" s="79">
        <v>1767200000</v>
      </c>
      <c r="F96" s="79">
        <v>466900000</v>
      </c>
      <c r="G96" s="79">
        <v>483700000</v>
      </c>
      <c r="H96" s="79">
        <v>25438</v>
      </c>
      <c r="I96" s="79">
        <v>1</v>
      </c>
      <c r="J96" s="79">
        <v>483.7</v>
      </c>
      <c r="K96" s="79">
        <v>5866</v>
      </c>
      <c r="L96" s="79">
        <v>4492</v>
      </c>
      <c r="M96" s="79">
        <v>1386</v>
      </c>
      <c r="N96" s="79">
        <v>2838</v>
      </c>
      <c r="O96" s="79">
        <v>1766.2</v>
      </c>
      <c r="P96" s="79">
        <v>459.33333333333297</v>
      </c>
      <c r="Q96" s="79">
        <v>1668.3333333333301</v>
      </c>
      <c r="R96" s="79">
        <v>785</v>
      </c>
      <c r="S96" s="79">
        <v>0</v>
      </c>
      <c r="T96" s="79">
        <v>787</v>
      </c>
      <c r="U96" s="79">
        <v>10797</v>
      </c>
      <c r="V96" s="79">
        <v>25450</v>
      </c>
      <c r="W96" s="79">
        <v>16690</v>
      </c>
      <c r="X96" s="79">
        <v>0</v>
      </c>
      <c r="Y96" s="79">
        <v>1679.2</v>
      </c>
      <c r="Z96" s="79">
        <v>0</v>
      </c>
      <c r="AA96" s="79">
        <v>0</v>
      </c>
      <c r="AB96" s="79">
        <v>0</v>
      </c>
      <c r="AC96" s="79">
        <v>3391</v>
      </c>
      <c r="AD96" s="79">
        <v>3391</v>
      </c>
      <c r="AE96" s="79">
        <v>128</v>
      </c>
      <c r="AF96" s="79">
        <v>0</v>
      </c>
      <c r="AG96" s="79">
        <v>189</v>
      </c>
      <c r="AH96" s="79">
        <v>142</v>
      </c>
      <c r="AI96" s="79">
        <v>47</v>
      </c>
      <c r="AJ96" s="79">
        <v>10718</v>
      </c>
      <c r="AK96" s="79">
        <v>10718</v>
      </c>
      <c r="AL96" s="79">
        <v>0</v>
      </c>
      <c r="AM96" s="79">
        <v>0</v>
      </c>
      <c r="AN96" s="79">
        <v>0</v>
      </c>
      <c r="AO96" s="79">
        <v>0</v>
      </c>
      <c r="AP96" s="79">
        <v>0</v>
      </c>
      <c r="AQ96" s="79">
        <v>0</v>
      </c>
      <c r="AR96" s="80">
        <v>6.6382000000000002E-5</v>
      </c>
      <c r="AS96" s="80">
        <v>4.9979999999999999E-5</v>
      </c>
      <c r="AT96" s="79">
        <v>12357.853999999999</v>
      </c>
      <c r="AU96" s="79">
        <v>0</v>
      </c>
      <c r="AV96" s="79">
        <v>821</v>
      </c>
      <c r="AW96" s="79">
        <v>5934.8104575163397</v>
      </c>
      <c r="AX96" s="79">
        <v>5</v>
      </c>
      <c r="AY96" s="79">
        <v>5</v>
      </c>
      <c r="AZ96" s="79">
        <v>2346</v>
      </c>
      <c r="BA96" s="79">
        <v>1</v>
      </c>
      <c r="BB96" s="79">
        <v>0</v>
      </c>
      <c r="BC96" s="79">
        <v>0</v>
      </c>
      <c r="BD96" s="79">
        <v>0</v>
      </c>
      <c r="BE96" s="79">
        <v>0</v>
      </c>
      <c r="BF96" s="79">
        <v>0</v>
      </c>
      <c r="BG96" s="79">
        <v>0</v>
      </c>
      <c r="BH96" s="79">
        <v>0</v>
      </c>
      <c r="BI96" s="79">
        <v>0</v>
      </c>
      <c r="BJ96" s="79">
        <v>0</v>
      </c>
      <c r="BK96" s="79">
        <v>17</v>
      </c>
      <c r="BL96" s="79">
        <v>2873</v>
      </c>
      <c r="BM96" s="79">
        <v>142</v>
      </c>
      <c r="BN96" s="79">
        <v>47</v>
      </c>
      <c r="BO96">
        <v>7222</v>
      </c>
      <c r="BP96">
        <v>2534</v>
      </c>
      <c r="BQ96">
        <v>6535</v>
      </c>
      <c r="BR96">
        <v>2461</v>
      </c>
      <c r="BS96">
        <v>6375</v>
      </c>
      <c r="BT96">
        <v>2473</v>
      </c>
      <c r="BU96">
        <v>6202</v>
      </c>
      <c r="BV96">
        <v>2450</v>
      </c>
      <c r="BW96">
        <v>6068</v>
      </c>
      <c r="BX96">
        <v>2436</v>
      </c>
      <c r="BY96">
        <v>5891</v>
      </c>
      <c r="BZ96">
        <v>2426</v>
      </c>
      <c r="CA96">
        <v>5109</v>
      </c>
      <c r="CB96">
        <v>403.255957166678</v>
      </c>
      <c r="CC96">
        <v>46.825028136355201</v>
      </c>
      <c r="CD96">
        <v>21.425251957516899</v>
      </c>
      <c r="CE96">
        <v>7315.9511804559497</v>
      </c>
      <c r="CF96">
        <v>1975.9966946146501</v>
      </c>
      <c r="CG96">
        <v>180.67496396396399</v>
      </c>
      <c r="CH96">
        <v>272</v>
      </c>
      <c r="CI96">
        <v>132.526003244241</v>
      </c>
      <c r="CJ96">
        <v>131.61429974873701</v>
      </c>
      <c r="CK96" s="81">
        <v>1209</v>
      </c>
      <c r="CL96">
        <v>338</v>
      </c>
      <c r="CM96">
        <v>3931.8128227106499</v>
      </c>
      <c r="CN96">
        <v>0.75812932026486102</v>
      </c>
      <c r="CO96">
        <v>20946</v>
      </c>
      <c r="CP96">
        <v>2646</v>
      </c>
      <c r="CQ96">
        <v>460</v>
      </c>
      <c r="CR96">
        <v>514</v>
      </c>
      <c r="CS96">
        <v>472</v>
      </c>
      <c r="CT96">
        <v>234</v>
      </c>
      <c r="CU96">
        <v>275.31362212381799</v>
      </c>
      <c r="CV96">
        <v>158.82844507921001</v>
      </c>
      <c r="CW96">
        <v>55.524051858603499</v>
      </c>
      <c r="CX96">
        <v>744.09025476985801</v>
      </c>
      <c r="CY96">
        <v>429.26571250636903</v>
      </c>
      <c r="CZ96">
        <v>150.06488082432199</v>
      </c>
      <c r="DA96">
        <v>0</v>
      </c>
      <c r="DE96">
        <v>296</v>
      </c>
      <c r="DF96" t="s">
        <v>344</v>
      </c>
      <c r="DG96">
        <v>9274</v>
      </c>
      <c r="DH96">
        <v>9179</v>
      </c>
      <c r="DI96">
        <v>9106</v>
      </c>
      <c r="DJ96">
        <v>9028</v>
      </c>
      <c r="DK96">
        <v>8998</v>
      </c>
      <c r="DO96">
        <v>226</v>
      </c>
      <c r="DP96" t="s">
        <v>95</v>
      </c>
      <c r="DQ96">
        <v>10718</v>
      </c>
      <c r="DR96">
        <v>1</v>
      </c>
      <c r="DS96">
        <v>1153</v>
      </c>
      <c r="DV96">
        <v>228</v>
      </c>
      <c r="DW96" t="s">
        <v>98</v>
      </c>
      <c r="DX96">
        <v>12946.6983028091</v>
      </c>
      <c r="DY96">
        <v>2247</v>
      </c>
      <c r="DZ96">
        <v>2163</v>
      </c>
      <c r="EA96">
        <v>1328</v>
      </c>
      <c r="EB96">
        <v>6920</v>
      </c>
      <c r="EC96">
        <v>4430</v>
      </c>
      <c r="ED96">
        <v>1909</v>
      </c>
      <c r="EE96" s="82">
        <v>0.16512734073576901</v>
      </c>
      <c r="EF96" s="82">
        <v>0.43755088512974499</v>
      </c>
    </row>
    <row r="97" spans="1:136" x14ac:dyDescent="0.35">
      <c r="A97" s="72">
        <v>228</v>
      </c>
      <c r="B97" s="72">
        <v>5</v>
      </c>
      <c r="D97" s="72" t="s">
        <v>98</v>
      </c>
      <c r="E97" s="79">
        <v>9105600000</v>
      </c>
      <c r="F97" s="79">
        <v>1893150000</v>
      </c>
      <c r="G97" s="79">
        <v>2037700000</v>
      </c>
      <c r="H97" s="79">
        <v>114682</v>
      </c>
      <c r="I97" s="79">
        <v>6</v>
      </c>
      <c r="J97" s="79">
        <v>2037.7</v>
      </c>
      <c r="K97" s="79">
        <v>28785</v>
      </c>
      <c r="L97" s="79">
        <v>20403</v>
      </c>
      <c r="M97" s="79">
        <v>6435</v>
      </c>
      <c r="N97" s="79">
        <v>12947</v>
      </c>
      <c r="O97" s="79">
        <v>8063.8</v>
      </c>
      <c r="P97" s="79">
        <v>1867</v>
      </c>
      <c r="Q97" s="79">
        <v>7170</v>
      </c>
      <c r="R97" s="79">
        <v>6500</v>
      </c>
      <c r="S97" s="79">
        <v>0</v>
      </c>
      <c r="T97" s="79">
        <v>2666</v>
      </c>
      <c r="U97" s="79">
        <v>49974</v>
      </c>
      <c r="V97" s="79">
        <v>118780</v>
      </c>
      <c r="W97" s="79">
        <v>135120</v>
      </c>
      <c r="X97" s="79">
        <v>2822.6</v>
      </c>
      <c r="Y97" s="79">
        <v>3949.6</v>
      </c>
      <c r="Z97" s="79">
        <v>0</v>
      </c>
      <c r="AA97" s="79">
        <v>0</v>
      </c>
      <c r="AB97" s="79">
        <v>0</v>
      </c>
      <c r="AC97" s="79">
        <v>31814</v>
      </c>
      <c r="AD97" s="79">
        <v>31814</v>
      </c>
      <c r="AE97" s="79">
        <v>48</v>
      </c>
      <c r="AF97" s="79">
        <v>0</v>
      </c>
      <c r="AG97" s="79">
        <v>875</v>
      </c>
      <c r="AH97" s="79">
        <v>563</v>
      </c>
      <c r="AI97" s="79">
        <v>311</v>
      </c>
      <c r="AJ97" s="79">
        <v>48832</v>
      </c>
      <c r="AK97" s="79">
        <v>48832</v>
      </c>
      <c r="AL97" s="79">
        <v>0</v>
      </c>
      <c r="AM97" s="79">
        <v>0</v>
      </c>
      <c r="AN97" s="79">
        <v>0</v>
      </c>
      <c r="AO97" s="79">
        <v>0</v>
      </c>
      <c r="AP97" s="79">
        <v>3234</v>
      </c>
      <c r="AQ97" s="79">
        <v>0</v>
      </c>
      <c r="AR97" s="80">
        <v>1.106171E-3</v>
      </c>
      <c r="AS97" s="80">
        <v>1.8963160000000001E-3</v>
      </c>
      <c r="AT97" s="79">
        <v>74468.800000000003</v>
      </c>
      <c r="AU97" s="79">
        <v>0</v>
      </c>
      <c r="AV97" s="79">
        <v>1664</v>
      </c>
      <c r="AW97" s="79">
        <v>5989.2928253091504</v>
      </c>
      <c r="AX97" s="79">
        <v>23</v>
      </c>
      <c r="AY97" s="79">
        <v>23</v>
      </c>
      <c r="AZ97" s="79">
        <v>12483</v>
      </c>
      <c r="BA97" s="79">
        <v>1</v>
      </c>
      <c r="BB97" s="79">
        <v>0</v>
      </c>
      <c r="BC97" s="79">
        <v>0</v>
      </c>
      <c r="BD97" s="79">
        <v>0</v>
      </c>
      <c r="BE97" s="79">
        <v>0</v>
      </c>
      <c r="BF97" s="79">
        <v>0</v>
      </c>
      <c r="BG97" s="79">
        <v>0</v>
      </c>
      <c r="BH97" s="79">
        <v>0</v>
      </c>
      <c r="BI97" s="79">
        <v>0</v>
      </c>
      <c r="BJ97" s="79">
        <v>0</v>
      </c>
      <c r="BK97" s="79">
        <v>87</v>
      </c>
      <c r="BL97" s="79">
        <v>16698</v>
      </c>
      <c r="BM97" s="79">
        <v>563</v>
      </c>
      <c r="BN97" s="79">
        <v>311</v>
      </c>
      <c r="BO97">
        <v>29214</v>
      </c>
      <c r="BP97">
        <v>4567</v>
      </c>
      <c r="BQ97">
        <v>25938</v>
      </c>
      <c r="BR97">
        <v>4524</v>
      </c>
      <c r="BS97">
        <v>25631</v>
      </c>
      <c r="BT97">
        <v>4510</v>
      </c>
      <c r="BU97">
        <v>25635</v>
      </c>
      <c r="BV97">
        <v>4626</v>
      </c>
      <c r="BW97">
        <v>25383</v>
      </c>
      <c r="BX97">
        <v>4646</v>
      </c>
      <c r="BY97">
        <v>25316</v>
      </c>
      <c r="BZ97">
        <v>4750</v>
      </c>
      <c r="CA97">
        <v>25538</v>
      </c>
      <c r="CB97">
        <v>2541.5146540052901</v>
      </c>
      <c r="CC97">
        <v>629.04691410436203</v>
      </c>
      <c r="CD97">
        <v>461.254709799728</v>
      </c>
      <c r="CE97">
        <v>31118.214030528299</v>
      </c>
      <c r="CF97">
        <v>8184.0255633082897</v>
      </c>
      <c r="CG97">
        <v>1105.0118699311399</v>
      </c>
      <c r="CH97">
        <v>1046</v>
      </c>
      <c r="CI97">
        <v>585.05432959052996</v>
      </c>
      <c r="CJ97">
        <v>445.21818378616001</v>
      </c>
      <c r="CK97" s="81">
        <v>5303</v>
      </c>
      <c r="CL97">
        <v>1928</v>
      </c>
      <c r="CM97">
        <v>13594.0609490603</v>
      </c>
      <c r="CN97">
        <v>3.0899895259468599</v>
      </c>
      <c r="CO97">
        <v>94279</v>
      </c>
      <c r="CP97">
        <v>11318</v>
      </c>
      <c r="CQ97">
        <v>2650</v>
      </c>
      <c r="CR97">
        <v>2247</v>
      </c>
      <c r="CS97">
        <v>2163</v>
      </c>
      <c r="CT97">
        <v>1328</v>
      </c>
      <c r="CU97">
        <v>1142.68119789152</v>
      </c>
      <c r="CV97">
        <v>731.51411945945699</v>
      </c>
      <c r="CW97">
        <v>315.22809346458303</v>
      </c>
      <c r="CX97">
        <v>3027.8521250978401</v>
      </c>
      <c r="CY97">
        <v>1938.35042112477</v>
      </c>
      <c r="CZ97">
        <v>835.284639712684</v>
      </c>
      <c r="DA97">
        <v>187157.6</v>
      </c>
      <c r="DE97">
        <v>297</v>
      </c>
      <c r="DF97" t="s">
        <v>353</v>
      </c>
      <c r="DG97">
        <v>6795</v>
      </c>
      <c r="DH97">
        <v>6815</v>
      </c>
      <c r="DI97">
        <v>6767</v>
      </c>
      <c r="DJ97">
        <v>6708</v>
      </c>
      <c r="DK97">
        <v>6698</v>
      </c>
      <c r="DO97">
        <v>228</v>
      </c>
      <c r="DP97" t="s">
        <v>98</v>
      </c>
      <c r="DQ97">
        <v>48832</v>
      </c>
      <c r="DR97">
        <v>1</v>
      </c>
      <c r="DS97">
        <v>1525</v>
      </c>
      <c r="DV97">
        <v>317</v>
      </c>
      <c r="DW97" t="s">
        <v>99</v>
      </c>
      <c r="DX97">
        <v>840.87196409714898</v>
      </c>
      <c r="DY97">
        <v>261</v>
      </c>
      <c r="DZ97">
        <v>191</v>
      </c>
      <c r="EA97">
        <v>86</v>
      </c>
      <c r="EB97">
        <v>724</v>
      </c>
      <c r="EC97">
        <v>389</v>
      </c>
      <c r="ED97">
        <v>129</v>
      </c>
      <c r="EE97" s="82">
        <v>0.120238859113973</v>
      </c>
      <c r="EF97" s="82">
        <v>0.32517440509773998</v>
      </c>
    </row>
    <row r="98" spans="1:136" x14ac:dyDescent="0.35">
      <c r="A98" s="72">
        <v>230</v>
      </c>
      <c r="B98" s="72">
        <v>5</v>
      </c>
      <c r="D98" s="72" t="s">
        <v>103</v>
      </c>
      <c r="E98" s="79">
        <v>1692400000</v>
      </c>
      <c r="F98" s="79">
        <v>299250000</v>
      </c>
      <c r="G98" s="79">
        <v>317800000</v>
      </c>
      <c r="H98" s="79">
        <v>23107</v>
      </c>
      <c r="I98" s="79">
        <v>3</v>
      </c>
      <c r="J98" s="79">
        <v>317.8</v>
      </c>
      <c r="K98" s="79">
        <v>5965</v>
      </c>
      <c r="L98" s="79">
        <v>4428</v>
      </c>
      <c r="M98" s="79">
        <v>1288</v>
      </c>
      <c r="N98" s="79">
        <v>2450</v>
      </c>
      <c r="O98" s="79">
        <v>1474.2</v>
      </c>
      <c r="P98" s="79">
        <v>240.333333333333</v>
      </c>
      <c r="Q98" s="79">
        <v>1361.3333333333301</v>
      </c>
      <c r="R98" s="79">
        <v>285</v>
      </c>
      <c r="S98" s="79">
        <v>0</v>
      </c>
      <c r="T98" s="79">
        <v>504</v>
      </c>
      <c r="U98" s="79">
        <v>9465</v>
      </c>
      <c r="V98" s="79">
        <v>21800</v>
      </c>
      <c r="W98" s="79">
        <v>8940</v>
      </c>
      <c r="X98" s="79">
        <v>89.96</v>
      </c>
      <c r="Y98" s="79">
        <v>1717.6</v>
      </c>
      <c r="Z98" s="79">
        <v>0</v>
      </c>
      <c r="AA98" s="79">
        <v>0</v>
      </c>
      <c r="AB98" s="79">
        <v>0</v>
      </c>
      <c r="AC98" s="79">
        <v>6382</v>
      </c>
      <c r="AD98" s="79">
        <v>6382</v>
      </c>
      <c r="AE98" s="79">
        <v>209</v>
      </c>
      <c r="AF98" s="79">
        <v>0</v>
      </c>
      <c r="AG98" s="79">
        <v>162</v>
      </c>
      <c r="AH98" s="79">
        <v>128</v>
      </c>
      <c r="AI98" s="79">
        <v>34</v>
      </c>
      <c r="AJ98" s="79">
        <v>9758</v>
      </c>
      <c r="AK98" s="79">
        <v>9758</v>
      </c>
      <c r="AL98" s="79">
        <v>9</v>
      </c>
      <c r="AM98" s="79">
        <v>0</v>
      </c>
      <c r="AN98" s="79">
        <v>0</v>
      </c>
      <c r="AO98" s="79">
        <v>2500</v>
      </c>
      <c r="AP98" s="79">
        <v>579</v>
      </c>
      <c r="AQ98" s="79">
        <v>579</v>
      </c>
      <c r="AR98" s="80">
        <v>3.3823700000000002E-4</v>
      </c>
      <c r="AS98" s="80">
        <v>1.12794E-4</v>
      </c>
      <c r="AT98" s="79">
        <v>6508.5860000000002</v>
      </c>
      <c r="AU98" s="79">
        <v>0</v>
      </c>
      <c r="AV98" s="79">
        <v>609</v>
      </c>
      <c r="AW98" s="79">
        <v>2135.0573509330902</v>
      </c>
      <c r="AX98" s="79">
        <v>7</v>
      </c>
      <c r="AY98" s="79">
        <v>7</v>
      </c>
      <c r="AZ98" s="79">
        <v>2066</v>
      </c>
      <c r="BA98" s="79">
        <v>1</v>
      </c>
      <c r="BB98" s="79">
        <v>0</v>
      </c>
      <c r="BC98" s="79">
        <v>0</v>
      </c>
      <c r="BD98" s="79">
        <v>0</v>
      </c>
      <c r="BE98" s="79">
        <v>0</v>
      </c>
      <c r="BF98" s="79">
        <v>0</v>
      </c>
      <c r="BG98" s="79">
        <v>0</v>
      </c>
      <c r="BH98" s="79">
        <v>0</v>
      </c>
      <c r="BI98" s="79">
        <v>0</v>
      </c>
      <c r="BJ98" s="79">
        <v>0</v>
      </c>
      <c r="BK98" s="79">
        <v>7</v>
      </c>
      <c r="BL98" s="79">
        <v>2415</v>
      </c>
      <c r="BM98" s="79">
        <v>128</v>
      </c>
      <c r="BN98" s="79">
        <v>34</v>
      </c>
      <c r="BO98">
        <v>6046</v>
      </c>
      <c r="BP98">
        <v>1990</v>
      </c>
      <c r="BQ98">
        <v>5429</v>
      </c>
      <c r="BR98">
        <v>1971</v>
      </c>
      <c r="BS98">
        <v>5419</v>
      </c>
      <c r="BT98">
        <v>1993</v>
      </c>
      <c r="BU98">
        <v>5412</v>
      </c>
      <c r="BV98">
        <v>2063</v>
      </c>
      <c r="BW98">
        <v>5394</v>
      </c>
      <c r="BX98">
        <v>2088</v>
      </c>
      <c r="BY98">
        <v>5387</v>
      </c>
      <c r="BZ98">
        <v>2181</v>
      </c>
      <c r="CA98">
        <v>5355</v>
      </c>
      <c r="CB98">
        <v>402.99449605132298</v>
      </c>
      <c r="CC98">
        <v>139.124991200577</v>
      </c>
      <c r="CD98">
        <v>40.386511497803497</v>
      </c>
      <c r="CE98">
        <v>5701.3512811300498</v>
      </c>
      <c r="CF98">
        <v>1601.7226696545499</v>
      </c>
      <c r="CG98">
        <v>263.94402676399</v>
      </c>
      <c r="CH98">
        <v>196</v>
      </c>
      <c r="CI98">
        <v>76.749574723811094</v>
      </c>
      <c r="CJ98">
        <v>67.403549736550104</v>
      </c>
      <c r="CK98" s="81">
        <v>1121</v>
      </c>
      <c r="CL98">
        <v>364</v>
      </c>
      <c r="CM98">
        <v>3418.85645427188</v>
      </c>
      <c r="CN98">
        <v>0.242576863581</v>
      </c>
      <c r="CO98">
        <v>18679</v>
      </c>
      <c r="CP98">
        <v>2654</v>
      </c>
      <c r="CQ98">
        <v>486</v>
      </c>
      <c r="CR98">
        <v>453</v>
      </c>
      <c r="CS98">
        <v>413</v>
      </c>
      <c r="CT98">
        <v>215</v>
      </c>
      <c r="CU98">
        <v>241.366292831327</v>
      </c>
      <c r="CV98">
        <v>133.67282174951501</v>
      </c>
      <c r="CW98">
        <v>46.823248296440198</v>
      </c>
      <c r="CX98">
        <v>783.28574922292898</v>
      </c>
      <c r="CY98">
        <v>433.79717650957002</v>
      </c>
      <c r="CZ98">
        <v>151.95155335363501</v>
      </c>
      <c r="DA98">
        <v>11907</v>
      </c>
      <c r="DE98">
        <v>299</v>
      </c>
      <c r="DF98" t="s">
        <v>357</v>
      </c>
      <c r="DG98">
        <v>8879</v>
      </c>
      <c r="DH98">
        <v>8755</v>
      </c>
      <c r="DI98">
        <v>8688</v>
      </c>
      <c r="DJ98">
        <v>8634</v>
      </c>
      <c r="DK98">
        <v>8476</v>
      </c>
      <c r="DO98">
        <v>230</v>
      </c>
      <c r="DP98" t="s">
        <v>103</v>
      </c>
      <c r="DQ98">
        <v>9758</v>
      </c>
      <c r="DR98">
        <v>1</v>
      </c>
      <c r="DS98">
        <v>667</v>
      </c>
      <c r="DV98">
        <v>1651</v>
      </c>
      <c r="DW98" t="s">
        <v>796</v>
      </c>
      <c r="DX98">
        <v>2616.1271684387202</v>
      </c>
      <c r="DY98">
        <v>458</v>
      </c>
      <c r="DZ98">
        <v>389</v>
      </c>
      <c r="EA98">
        <v>233</v>
      </c>
      <c r="EB98">
        <v>1354</v>
      </c>
      <c r="EC98">
        <v>764</v>
      </c>
      <c r="ED98">
        <v>308</v>
      </c>
      <c r="EE98" s="82">
        <v>0.25167726420738301</v>
      </c>
      <c r="EF98" s="82">
        <v>0.59841890261694397</v>
      </c>
    </row>
    <row r="99" spans="1:136" x14ac:dyDescent="0.35">
      <c r="A99" s="72">
        <v>232</v>
      </c>
      <c r="B99" s="72">
        <v>5</v>
      </c>
      <c r="D99" s="72" t="s">
        <v>107</v>
      </c>
      <c r="E99" s="79">
        <v>3118400000</v>
      </c>
      <c r="F99" s="79">
        <v>429800000</v>
      </c>
      <c r="G99" s="79">
        <v>469700000</v>
      </c>
      <c r="H99" s="79">
        <v>32863</v>
      </c>
      <c r="I99" s="79">
        <v>4</v>
      </c>
      <c r="J99" s="79">
        <v>469.7</v>
      </c>
      <c r="K99" s="79">
        <v>6981</v>
      </c>
      <c r="L99" s="79">
        <v>8071</v>
      </c>
      <c r="M99" s="79">
        <v>2555</v>
      </c>
      <c r="N99" s="79">
        <v>4092</v>
      </c>
      <c r="O99" s="79">
        <v>2582.9</v>
      </c>
      <c r="P99" s="79">
        <v>417.33333333333297</v>
      </c>
      <c r="Q99" s="79">
        <v>2117.3333333333298</v>
      </c>
      <c r="R99" s="79">
        <v>1305</v>
      </c>
      <c r="S99" s="79">
        <v>0</v>
      </c>
      <c r="T99" s="79">
        <v>813</v>
      </c>
      <c r="U99" s="79">
        <v>14549</v>
      </c>
      <c r="V99" s="79">
        <v>30100</v>
      </c>
      <c r="W99" s="79">
        <v>13820</v>
      </c>
      <c r="X99" s="79">
        <v>114.32</v>
      </c>
      <c r="Y99" s="79">
        <v>891.2</v>
      </c>
      <c r="Z99" s="79">
        <v>0</v>
      </c>
      <c r="AA99" s="79">
        <v>0</v>
      </c>
      <c r="AB99" s="79">
        <v>60.199999999999797</v>
      </c>
      <c r="AC99" s="79">
        <v>15610</v>
      </c>
      <c r="AD99" s="79">
        <v>15610</v>
      </c>
      <c r="AE99" s="79">
        <v>127</v>
      </c>
      <c r="AF99" s="79">
        <v>0</v>
      </c>
      <c r="AG99" s="79">
        <v>287</v>
      </c>
      <c r="AH99" s="79">
        <v>173</v>
      </c>
      <c r="AI99" s="79">
        <v>113</v>
      </c>
      <c r="AJ99" s="79">
        <v>15091</v>
      </c>
      <c r="AK99" s="79">
        <v>15091</v>
      </c>
      <c r="AL99" s="79">
        <v>0</v>
      </c>
      <c r="AM99" s="79">
        <v>0</v>
      </c>
      <c r="AN99" s="79">
        <v>0</v>
      </c>
      <c r="AO99" s="79">
        <v>0</v>
      </c>
      <c r="AP99" s="79">
        <v>604</v>
      </c>
      <c r="AQ99" s="79">
        <v>0</v>
      </c>
      <c r="AR99" s="80">
        <v>5.4474500000000002E-4</v>
      </c>
      <c r="AS99" s="80">
        <v>3.8825200000000001E-4</v>
      </c>
      <c r="AT99" s="79">
        <v>10940.975</v>
      </c>
      <c r="AU99" s="79">
        <v>0</v>
      </c>
      <c r="AV99" s="79">
        <v>1625</v>
      </c>
      <c r="AW99" s="79">
        <v>3393.42790875008</v>
      </c>
      <c r="AX99" s="79">
        <v>12</v>
      </c>
      <c r="AY99" s="79">
        <v>12</v>
      </c>
      <c r="AZ99" s="79">
        <v>3317</v>
      </c>
      <c r="BA99" s="79">
        <v>1</v>
      </c>
      <c r="BB99" s="79">
        <v>0</v>
      </c>
      <c r="BC99" s="79">
        <v>0</v>
      </c>
      <c r="BD99" s="79">
        <v>0</v>
      </c>
      <c r="BE99" s="79">
        <v>0</v>
      </c>
      <c r="BF99" s="79">
        <v>0</v>
      </c>
      <c r="BG99" s="79">
        <v>0</v>
      </c>
      <c r="BH99" s="79">
        <v>0</v>
      </c>
      <c r="BI99" s="79">
        <v>0</v>
      </c>
      <c r="BJ99" s="79">
        <v>0</v>
      </c>
      <c r="BK99" s="79">
        <v>20</v>
      </c>
      <c r="BL99" s="79">
        <v>4244</v>
      </c>
      <c r="BM99" s="79">
        <v>173</v>
      </c>
      <c r="BN99" s="79">
        <v>113</v>
      </c>
      <c r="BO99">
        <v>7592</v>
      </c>
      <c r="BP99">
        <v>958</v>
      </c>
      <c r="BQ99">
        <v>6825</v>
      </c>
      <c r="BR99">
        <v>949</v>
      </c>
      <c r="BS99">
        <v>6754</v>
      </c>
      <c r="BT99">
        <v>917</v>
      </c>
      <c r="BU99">
        <v>6708</v>
      </c>
      <c r="BV99">
        <v>924</v>
      </c>
      <c r="BW99">
        <v>6521</v>
      </c>
      <c r="BX99">
        <v>958</v>
      </c>
      <c r="BY99">
        <v>6415</v>
      </c>
      <c r="BZ99">
        <v>1017</v>
      </c>
      <c r="CA99">
        <v>6190</v>
      </c>
      <c r="CB99">
        <v>567.32709697620305</v>
      </c>
      <c r="CC99">
        <v>103.232554331702</v>
      </c>
      <c r="CD99">
        <v>79.044742208772604</v>
      </c>
      <c r="CE99">
        <v>9740.5889064789408</v>
      </c>
      <c r="CF99">
        <v>2191.4097705986201</v>
      </c>
      <c r="CG99">
        <v>210.44094602914001</v>
      </c>
      <c r="CH99">
        <v>298</v>
      </c>
      <c r="CI99">
        <v>138.942538739388</v>
      </c>
      <c r="CJ99">
        <v>114.94079007706399</v>
      </c>
      <c r="CK99" s="81">
        <v>1700</v>
      </c>
      <c r="CL99">
        <v>482</v>
      </c>
      <c r="CM99">
        <v>6432.8900030977002</v>
      </c>
      <c r="CN99">
        <v>0.65196477565373501</v>
      </c>
      <c r="CO99">
        <v>24792</v>
      </c>
      <c r="CP99">
        <v>4551</v>
      </c>
      <c r="CQ99">
        <v>965</v>
      </c>
      <c r="CR99">
        <v>785</v>
      </c>
      <c r="CS99">
        <v>787</v>
      </c>
      <c r="CT99">
        <v>493</v>
      </c>
      <c r="CU99">
        <v>460.50135758145802</v>
      </c>
      <c r="CV99">
        <v>298.44458105613597</v>
      </c>
      <c r="CW99">
        <v>120.13078893429299</v>
      </c>
      <c r="CX99">
        <v>1146.7859769008701</v>
      </c>
      <c r="CY99">
        <v>743.21618123935696</v>
      </c>
      <c r="CZ99">
        <v>299.16155919152999</v>
      </c>
      <c r="DA99">
        <v>25550</v>
      </c>
      <c r="DE99">
        <v>301</v>
      </c>
      <c r="DF99" t="s">
        <v>362</v>
      </c>
      <c r="DG99">
        <v>10626</v>
      </c>
      <c r="DH99">
        <v>10547</v>
      </c>
      <c r="DI99">
        <v>10524</v>
      </c>
      <c r="DJ99">
        <v>10378</v>
      </c>
      <c r="DK99">
        <v>10184</v>
      </c>
      <c r="DO99">
        <v>232</v>
      </c>
      <c r="DP99" t="s">
        <v>107</v>
      </c>
      <c r="DQ99">
        <v>15091</v>
      </c>
      <c r="DR99">
        <v>1</v>
      </c>
      <c r="DS99">
        <v>725</v>
      </c>
      <c r="DV99">
        <v>770</v>
      </c>
      <c r="DW99" t="s">
        <v>100</v>
      </c>
      <c r="DX99">
        <v>1846.0816748513801</v>
      </c>
      <c r="DY99">
        <v>348</v>
      </c>
      <c r="DZ99">
        <v>444</v>
      </c>
      <c r="EA99">
        <v>211</v>
      </c>
      <c r="EB99">
        <v>1320</v>
      </c>
      <c r="EC99">
        <v>968</v>
      </c>
      <c r="ED99">
        <v>322</v>
      </c>
      <c r="EE99" s="82">
        <v>0.116981861172001</v>
      </c>
      <c r="EF99" s="82">
        <v>0.350002047795548</v>
      </c>
    </row>
    <row r="100" spans="1:136" x14ac:dyDescent="0.35">
      <c r="A100" s="72">
        <v>233</v>
      </c>
      <c r="B100" s="72">
        <v>5</v>
      </c>
      <c r="D100" s="72" t="s">
        <v>108</v>
      </c>
      <c r="E100" s="79">
        <v>2451200000</v>
      </c>
      <c r="F100" s="79">
        <v>441350000</v>
      </c>
      <c r="G100" s="79">
        <v>463400000</v>
      </c>
      <c r="H100" s="79">
        <v>26793</v>
      </c>
      <c r="I100" s="79">
        <v>1</v>
      </c>
      <c r="J100" s="79">
        <v>463.4</v>
      </c>
      <c r="K100" s="79">
        <v>5959</v>
      </c>
      <c r="L100" s="79">
        <v>6096</v>
      </c>
      <c r="M100" s="79">
        <v>1942</v>
      </c>
      <c r="N100" s="79">
        <v>3330</v>
      </c>
      <c r="O100" s="79">
        <v>1842.4</v>
      </c>
      <c r="P100" s="79">
        <v>340.33333333333297</v>
      </c>
      <c r="Q100" s="79">
        <v>2128.3333333333298</v>
      </c>
      <c r="R100" s="79">
        <v>705</v>
      </c>
      <c r="S100" s="79">
        <v>0</v>
      </c>
      <c r="T100" s="79">
        <v>587</v>
      </c>
      <c r="U100" s="79">
        <v>12350</v>
      </c>
      <c r="V100" s="79">
        <v>26890</v>
      </c>
      <c r="W100" s="79">
        <v>16500</v>
      </c>
      <c r="X100" s="79">
        <v>1176.4000000000001</v>
      </c>
      <c r="Y100" s="79">
        <v>2048.8000000000002</v>
      </c>
      <c r="Z100" s="79">
        <v>0</v>
      </c>
      <c r="AA100" s="79">
        <v>0</v>
      </c>
      <c r="AB100" s="79">
        <v>91.5</v>
      </c>
      <c r="AC100" s="79">
        <v>8562</v>
      </c>
      <c r="AD100" s="79">
        <v>8562</v>
      </c>
      <c r="AE100" s="79">
        <v>170</v>
      </c>
      <c r="AF100" s="79">
        <v>0</v>
      </c>
      <c r="AG100" s="79">
        <v>228</v>
      </c>
      <c r="AH100" s="79">
        <v>188</v>
      </c>
      <c r="AI100" s="79">
        <v>40</v>
      </c>
      <c r="AJ100" s="79">
        <v>14876</v>
      </c>
      <c r="AK100" s="79">
        <v>14876</v>
      </c>
      <c r="AL100" s="79">
        <v>0</v>
      </c>
      <c r="AM100" s="79">
        <v>0</v>
      </c>
      <c r="AN100" s="79">
        <v>0</v>
      </c>
      <c r="AO100" s="79">
        <v>0</v>
      </c>
      <c r="AP100" s="79">
        <v>645</v>
      </c>
      <c r="AQ100" s="79">
        <v>0</v>
      </c>
      <c r="AR100" s="80">
        <v>2.2730600000000001E-4</v>
      </c>
      <c r="AS100" s="80">
        <v>1.7026500000000001E-4</v>
      </c>
      <c r="AT100" s="79">
        <v>12986.748</v>
      </c>
      <c r="AU100" s="79">
        <v>0</v>
      </c>
      <c r="AV100" s="79">
        <v>280</v>
      </c>
      <c r="AW100" s="79">
        <v>859.14338066880498</v>
      </c>
      <c r="AX100" s="79">
        <v>8</v>
      </c>
      <c r="AY100" s="79">
        <v>8</v>
      </c>
      <c r="AZ100" s="79">
        <v>2965</v>
      </c>
      <c r="BA100" s="79">
        <v>1</v>
      </c>
      <c r="BB100" s="79">
        <v>0</v>
      </c>
      <c r="BC100" s="79">
        <v>0</v>
      </c>
      <c r="BD100" s="79">
        <v>0</v>
      </c>
      <c r="BE100" s="79">
        <v>0</v>
      </c>
      <c r="BF100" s="79">
        <v>0</v>
      </c>
      <c r="BG100" s="79">
        <v>0</v>
      </c>
      <c r="BH100" s="79">
        <v>0</v>
      </c>
      <c r="BI100" s="79">
        <v>0</v>
      </c>
      <c r="BJ100" s="79">
        <v>0</v>
      </c>
      <c r="BK100" s="79">
        <v>15</v>
      </c>
      <c r="BL100" s="79">
        <v>3763</v>
      </c>
      <c r="BM100" s="79">
        <v>188</v>
      </c>
      <c r="BN100" s="79">
        <v>40</v>
      </c>
      <c r="BO100">
        <v>6529</v>
      </c>
      <c r="BP100">
        <v>2245</v>
      </c>
      <c r="BQ100">
        <v>5704</v>
      </c>
      <c r="BR100">
        <v>2186</v>
      </c>
      <c r="BS100">
        <v>5565</v>
      </c>
      <c r="BT100">
        <v>2133</v>
      </c>
      <c r="BU100">
        <v>5491</v>
      </c>
      <c r="BV100">
        <v>2202</v>
      </c>
      <c r="BW100">
        <v>5447</v>
      </c>
      <c r="BX100">
        <v>2276</v>
      </c>
      <c r="BY100">
        <v>5357</v>
      </c>
      <c r="BZ100">
        <v>2324</v>
      </c>
      <c r="CA100">
        <v>5253</v>
      </c>
      <c r="CB100">
        <v>433.83728193296298</v>
      </c>
      <c r="CC100">
        <v>77.976647544908801</v>
      </c>
      <c r="CD100">
        <v>49.537759670429502</v>
      </c>
      <c r="CE100">
        <v>7551.12645878698</v>
      </c>
      <c r="CF100">
        <v>1847.2826897321099</v>
      </c>
      <c r="CG100">
        <v>192.852159574468</v>
      </c>
      <c r="CH100">
        <v>237</v>
      </c>
      <c r="CI100">
        <v>86.831784349718006</v>
      </c>
      <c r="CJ100">
        <v>70.596349460913004</v>
      </c>
      <c r="CK100" s="81">
        <v>1788</v>
      </c>
      <c r="CL100">
        <v>819</v>
      </c>
      <c r="CM100">
        <v>4202.0141049534104</v>
      </c>
      <c r="CN100">
        <v>0.36078011557055201</v>
      </c>
      <c r="CO100">
        <v>20697</v>
      </c>
      <c r="CP100">
        <v>3415</v>
      </c>
      <c r="CQ100">
        <v>739</v>
      </c>
      <c r="CR100">
        <v>638</v>
      </c>
      <c r="CS100">
        <v>552</v>
      </c>
      <c r="CT100">
        <v>335</v>
      </c>
      <c r="CU100">
        <v>246.56719774939299</v>
      </c>
      <c r="CV100">
        <v>151.45739972250499</v>
      </c>
      <c r="CW100">
        <v>57.586010524092302</v>
      </c>
      <c r="CX100">
        <v>783.45167196797001</v>
      </c>
      <c r="CY100">
        <v>481.24630578444402</v>
      </c>
      <c r="CZ100">
        <v>182.975905306432</v>
      </c>
      <c r="DA100">
        <v>450229</v>
      </c>
      <c r="DE100">
        <v>302</v>
      </c>
      <c r="DF100" t="s">
        <v>223</v>
      </c>
      <c r="DG100">
        <v>6620</v>
      </c>
      <c r="DH100">
        <v>6553</v>
      </c>
      <c r="DI100">
        <v>6508</v>
      </c>
      <c r="DJ100">
        <v>6380</v>
      </c>
      <c r="DK100">
        <v>6315</v>
      </c>
      <c r="DO100">
        <v>233</v>
      </c>
      <c r="DP100" t="s">
        <v>108</v>
      </c>
      <c r="DQ100">
        <v>14876</v>
      </c>
      <c r="DR100">
        <v>1</v>
      </c>
      <c r="DS100">
        <v>873</v>
      </c>
      <c r="DV100">
        <v>1903</v>
      </c>
      <c r="DW100" t="s">
        <v>101</v>
      </c>
      <c r="DX100">
        <v>2606.15991095446</v>
      </c>
      <c r="DY100">
        <v>555</v>
      </c>
      <c r="DZ100">
        <v>556</v>
      </c>
      <c r="EA100">
        <v>259</v>
      </c>
      <c r="EB100">
        <v>2122</v>
      </c>
      <c r="EC100">
        <v>1343</v>
      </c>
      <c r="ED100">
        <v>411</v>
      </c>
      <c r="EE100" s="82">
        <v>0.12620952269372901</v>
      </c>
      <c r="EF100" s="82">
        <v>0.37967244497562103</v>
      </c>
    </row>
    <row r="101" spans="1:136" x14ac:dyDescent="0.35">
      <c r="A101" s="72">
        <v>236</v>
      </c>
      <c r="B101" s="72">
        <v>5</v>
      </c>
      <c r="D101" s="72" t="s">
        <v>807</v>
      </c>
      <c r="E101" s="79">
        <v>2295600000</v>
      </c>
      <c r="F101" s="79">
        <v>426650000</v>
      </c>
      <c r="G101" s="79">
        <v>470750000</v>
      </c>
      <c r="H101" s="79">
        <v>26818</v>
      </c>
      <c r="I101" s="79">
        <v>3</v>
      </c>
      <c r="J101" s="79">
        <v>470.75</v>
      </c>
      <c r="K101" s="79">
        <v>6627</v>
      </c>
      <c r="L101" s="79">
        <v>5063</v>
      </c>
      <c r="M101" s="79">
        <v>1490</v>
      </c>
      <c r="N101" s="79">
        <v>2581</v>
      </c>
      <c r="O101" s="79">
        <v>1482.9</v>
      </c>
      <c r="P101" s="79">
        <v>254</v>
      </c>
      <c r="Q101" s="79">
        <v>1195</v>
      </c>
      <c r="R101" s="79">
        <v>640</v>
      </c>
      <c r="S101" s="79">
        <v>0</v>
      </c>
      <c r="T101" s="79">
        <v>642</v>
      </c>
      <c r="U101" s="79">
        <v>11034</v>
      </c>
      <c r="V101" s="79">
        <v>25910</v>
      </c>
      <c r="W101" s="79">
        <v>8850</v>
      </c>
      <c r="X101" s="79">
        <v>0</v>
      </c>
      <c r="Y101" s="79">
        <v>1058.4000000000001</v>
      </c>
      <c r="Z101" s="79">
        <v>0</v>
      </c>
      <c r="AA101" s="79">
        <v>0</v>
      </c>
      <c r="AB101" s="79">
        <v>516.70000000000005</v>
      </c>
      <c r="AC101" s="79">
        <v>9968</v>
      </c>
      <c r="AD101" s="79">
        <v>12460</v>
      </c>
      <c r="AE101" s="79">
        <v>205</v>
      </c>
      <c r="AF101" s="79">
        <v>0</v>
      </c>
      <c r="AG101" s="79">
        <v>271</v>
      </c>
      <c r="AH101" s="79">
        <v>194.35</v>
      </c>
      <c r="AI101" s="79">
        <v>130.56</v>
      </c>
      <c r="AJ101" s="79">
        <v>10981</v>
      </c>
      <c r="AK101" s="79">
        <v>12628.15</v>
      </c>
      <c r="AL101" s="79">
        <v>0</v>
      </c>
      <c r="AM101" s="79">
        <v>0</v>
      </c>
      <c r="AN101" s="79">
        <v>0</v>
      </c>
      <c r="AO101" s="79">
        <v>0</v>
      </c>
      <c r="AP101" s="79">
        <v>0</v>
      </c>
      <c r="AQ101" s="79">
        <v>0</v>
      </c>
      <c r="AR101" s="80">
        <v>3.4884299999999999E-4</v>
      </c>
      <c r="AS101" s="80">
        <v>1.0871599999999999E-4</v>
      </c>
      <c r="AT101" s="79">
        <v>6643.5050000000001</v>
      </c>
      <c r="AU101" s="79">
        <v>0</v>
      </c>
      <c r="AV101" s="79">
        <v>3448.75</v>
      </c>
      <c r="AW101" s="79">
        <v>15510.705544087299</v>
      </c>
      <c r="AX101" s="79">
        <v>7</v>
      </c>
      <c r="AY101" s="79">
        <v>8.9600000000000009</v>
      </c>
      <c r="AZ101" s="79">
        <v>3367</v>
      </c>
      <c r="BA101" s="79">
        <v>1</v>
      </c>
      <c r="BB101" s="79">
        <v>0</v>
      </c>
      <c r="BC101" s="79">
        <v>0</v>
      </c>
      <c r="BD101" s="79">
        <v>0</v>
      </c>
      <c r="BE101" s="79">
        <v>0</v>
      </c>
      <c r="BF101" s="79">
        <v>0</v>
      </c>
      <c r="BG101" s="79">
        <v>0</v>
      </c>
      <c r="BH101" s="79">
        <v>0</v>
      </c>
      <c r="BI101" s="79">
        <v>0</v>
      </c>
      <c r="BJ101" s="79">
        <v>0</v>
      </c>
      <c r="BK101" s="79">
        <v>13</v>
      </c>
      <c r="BL101" s="79">
        <v>2825</v>
      </c>
      <c r="BM101" s="79">
        <v>169</v>
      </c>
      <c r="BN101" s="79">
        <v>102</v>
      </c>
      <c r="BO101">
        <v>7149</v>
      </c>
      <c r="BP101">
        <v>733</v>
      </c>
      <c r="BQ101">
        <v>6507</v>
      </c>
      <c r="BR101">
        <v>712</v>
      </c>
      <c r="BS101">
        <v>6430</v>
      </c>
      <c r="BT101">
        <v>741</v>
      </c>
      <c r="BU101">
        <v>6352</v>
      </c>
      <c r="BV101">
        <v>758</v>
      </c>
      <c r="BW101">
        <v>6335</v>
      </c>
      <c r="BX101">
        <v>820</v>
      </c>
      <c r="BY101">
        <v>6189</v>
      </c>
      <c r="BZ101">
        <v>971</v>
      </c>
      <c r="CA101">
        <v>5898</v>
      </c>
      <c r="CB101">
        <v>406.69112401602098</v>
      </c>
      <c r="CC101">
        <v>227.184766031539</v>
      </c>
      <c r="CD101">
        <v>50.290736252361398</v>
      </c>
      <c r="CE101">
        <v>8063.9292419076</v>
      </c>
      <c r="CF101">
        <v>2277.6864783364699</v>
      </c>
      <c r="CG101">
        <v>211.00508411215</v>
      </c>
      <c r="CH101">
        <v>231</v>
      </c>
      <c r="CI101">
        <v>84.405373606442495</v>
      </c>
      <c r="CJ101">
        <v>81.239015208789297</v>
      </c>
      <c r="CK101" s="81">
        <v>941</v>
      </c>
      <c r="CL101">
        <v>271</v>
      </c>
      <c r="CM101">
        <v>3815.6356426022899</v>
      </c>
      <c r="CN101">
        <v>0.12775433090577901</v>
      </c>
      <c r="CO101">
        <v>21755</v>
      </c>
      <c r="CP101">
        <v>3118</v>
      </c>
      <c r="CQ101">
        <v>455</v>
      </c>
      <c r="CR101">
        <v>542</v>
      </c>
      <c r="CS101">
        <v>485</v>
      </c>
      <c r="CT101">
        <v>226</v>
      </c>
      <c r="CU101">
        <v>254.671996592786</v>
      </c>
      <c r="CV101">
        <v>139.75902252043099</v>
      </c>
      <c r="CW101">
        <v>42.805420424132102</v>
      </c>
      <c r="CX101">
        <v>690.74292102584104</v>
      </c>
      <c r="CY101">
        <v>379.06623714832699</v>
      </c>
      <c r="CZ101">
        <v>116.100480363304</v>
      </c>
      <c r="DA101">
        <v>52879</v>
      </c>
      <c r="DE101">
        <v>303</v>
      </c>
      <c r="DF101" t="s">
        <v>93</v>
      </c>
      <c r="DG101">
        <v>9601</v>
      </c>
      <c r="DH101">
        <v>9642</v>
      </c>
      <c r="DI101">
        <v>9613</v>
      </c>
      <c r="DJ101">
        <v>9580</v>
      </c>
      <c r="DK101">
        <v>9451</v>
      </c>
      <c r="DO101">
        <v>236</v>
      </c>
      <c r="DP101" t="s">
        <v>807</v>
      </c>
      <c r="DQ101">
        <v>10981</v>
      </c>
      <c r="DR101">
        <v>1.1499999999999999</v>
      </c>
      <c r="DS101">
        <v>605</v>
      </c>
      <c r="DV101">
        <v>772</v>
      </c>
      <c r="DW101" t="s">
        <v>102</v>
      </c>
      <c r="DX101">
        <v>37147.481623810403</v>
      </c>
      <c r="DY101">
        <v>5804</v>
      </c>
      <c r="DZ101">
        <v>4862</v>
      </c>
      <c r="EA101">
        <v>2931</v>
      </c>
      <c r="EB101">
        <v>13599</v>
      </c>
      <c r="EC101">
        <v>9111</v>
      </c>
      <c r="ED101">
        <v>3960</v>
      </c>
      <c r="EE101" s="82">
        <v>0.229973987793336</v>
      </c>
      <c r="EF101" s="82">
        <v>0.48170966454611602</v>
      </c>
    </row>
    <row r="102" spans="1:136" x14ac:dyDescent="0.35">
      <c r="A102" s="72">
        <v>243</v>
      </c>
      <c r="B102" s="72">
        <v>5</v>
      </c>
      <c r="D102" s="72" t="s">
        <v>130</v>
      </c>
      <c r="E102" s="79">
        <v>3768800000</v>
      </c>
      <c r="F102" s="79">
        <v>637350000</v>
      </c>
      <c r="G102" s="79">
        <v>648550000</v>
      </c>
      <c r="H102" s="79">
        <v>46832</v>
      </c>
      <c r="I102" s="79">
        <v>1</v>
      </c>
      <c r="J102" s="79">
        <v>648.54999999999995</v>
      </c>
      <c r="K102" s="79">
        <v>11600</v>
      </c>
      <c r="L102" s="79">
        <v>8317</v>
      </c>
      <c r="M102" s="79">
        <v>2549</v>
      </c>
      <c r="N102" s="79">
        <v>5666</v>
      </c>
      <c r="O102" s="79">
        <v>3654.1</v>
      </c>
      <c r="P102" s="79">
        <v>870.66666666666697</v>
      </c>
      <c r="Q102" s="79">
        <v>3398.6666666666702</v>
      </c>
      <c r="R102" s="79">
        <v>4250</v>
      </c>
      <c r="S102" s="79">
        <v>0</v>
      </c>
      <c r="T102" s="79">
        <v>1418</v>
      </c>
      <c r="U102" s="79">
        <v>20601</v>
      </c>
      <c r="V102" s="79">
        <v>50010</v>
      </c>
      <c r="W102" s="79">
        <v>46330</v>
      </c>
      <c r="X102" s="79">
        <v>1202.18</v>
      </c>
      <c r="Y102" s="79">
        <v>3286.4</v>
      </c>
      <c r="Z102" s="79">
        <v>0</v>
      </c>
      <c r="AA102" s="79">
        <v>0</v>
      </c>
      <c r="AB102" s="79">
        <v>0</v>
      </c>
      <c r="AC102" s="79">
        <v>3892</v>
      </c>
      <c r="AD102" s="79">
        <v>3892</v>
      </c>
      <c r="AE102" s="79">
        <v>935</v>
      </c>
      <c r="AF102" s="79">
        <v>0</v>
      </c>
      <c r="AG102" s="79">
        <v>275</v>
      </c>
      <c r="AH102" s="79">
        <v>248</v>
      </c>
      <c r="AI102" s="79">
        <v>28</v>
      </c>
      <c r="AJ102" s="79">
        <v>20119</v>
      </c>
      <c r="AK102" s="79">
        <v>20119</v>
      </c>
      <c r="AL102" s="79">
        <v>19</v>
      </c>
      <c r="AM102" s="79">
        <v>0</v>
      </c>
      <c r="AN102" s="79">
        <v>0</v>
      </c>
      <c r="AO102" s="79">
        <v>1650</v>
      </c>
      <c r="AP102" s="79">
        <v>1443</v>
      </c>
      <c r="AQ102" s="79">
        <v>1443</v>
      </c>
      <c r="AR102" s="80">
        <v>4.2419799999999998E-4</v>
      </c>
      <c r="AS102" s="80">
        <v>5.6964699999999995E-4</v>
      </c>
      <c r="AT102" s="79">
        <v>30600.999</v>
      </c>
      <c r="AU102" s="79">
        <v>0</v>
      </c>
      <c r="AV102" s="79">
        <v>692</v>
      </c>
      <c r="AW102" s="79">
        <v>6713.8479386782701</v>
      </c>
      <c r="AX102" s="79">
        <v>2</v>
      </c>
      <c r="AY102" s="79">
        <v>2</v>
      </c>
      <c r="AZ102" s="79">
        <v>4617</v>
      </c>
      <c r="BA102" s="79">
        <v>1</v>
      </c>
      <c r="BB102" s="79">
        <v>0</v>
      </c>
      <c r="BC102" s="79">
        <v>0</v>
      </c>
      <c r="BD102" s="79">
        <v>0</v>
      </c>
      <c r="BE102" s="79">
        <v>0</v>
      </c>
      <c r="BF102" s="79">
        <v>0</v>
      </c>
      <c r="BG102" s="79">
        <v>0</v>
      </c>
      <c r="BH102" s="79">
        <v>0</v>
      </c>
      <c r="BI102" s="79">
        <v>0</v>
      </c>
      <c r="BJ102" s="79">
        <v>0</v>
      </c>
      <c r="BK102" s="79">
        <v>31</v>
      </c>
      <c r="BL102" s="79">
        <v>6542</v>
      </c>
      <c r="BM102" s="79">
        <v>248</v>
      </c>
      <c r="BN102" s="79">
        <v>28</v>
      </c>
      <c r="BO102">
        <v>11001</v>
      </c>
      <c r="BP102">
        <v>3755</v>
      </c>
      <c r="BQ102">
        <v>9972</v>
      </c>
      <c r="BR102">
        <v>3702</v>
      </c>
      <c r="BS102">
        <v>10121</v>
      </c>
      <c r="BT102">
        <v>3772</v>
      </c>
      <c r="BU102">
        <v>10283</v>
      </c>
      <c r="BV102">
        <v>3877</v>
      </c>
      <c r="BW102">
        <v>10394</v>
      </c>
      <c r="BX102">
        <v>3679</v>
      </c>
      <c r="BY102">
        <v>10457</v>
      </c>
      <c r="BZ102">
        <v>3788</v>
      </c>
      <c r="CA102">
        <v>10419</v>
      </c>
      <c r="CB102">
        <v>1124.54017940016</v>
      </c>
      <c r="CC102">
        <v>187.82177487612</v>
      </c>
      <c r="CD102">
        <v>208.56148769716501</v>
      </c>
      <c r="CE102">
        <v>12934.720607097101</v>
      </c>
      <c r="CF102">
        <v>3393.4085891711902</v>
      </c>
      <c r="CG102">
        <v>553.08235820695199</v>
      </c>
      <c r="CH102">
        <v>564</v>
      </c>
      <c r="CI102">
        <v>293.41503357621002</v>
      </c>
      <c r="CJ102">
        <v>250.10264507509399</v>
      </c>
      <c r="CK102" s="81">
        <v>2528</v>
      </c>
      <c r="CL102">
        <v>708</v>
      </c>
      <c r="CM102">
        <v>7150.3007127006904</v>
      </c>
      <c r="CN102">
        <v>1.58318452941944</v>
      </c>
      <c r="CO102">
        <v>38515</v>
      </c>
      <c r="CP102">
        <v>4838</v>
      </c>
      <c r="CQ102">
        <v>930</v>
      </c>
      <c r="CR102">
        <v>1006</v>
      </c>
      <c r="CS102">
        <v>920</v>
      </c>
      <c r="CT102">
        <v>490</v>
      </c>
      <c r="CU102">
        <v>541.07444595716902</v>
      </c>
      <c r="CV102">
        <v>326.025052196415</v>
      </c>
      <c r="CW102">
        <v>124.779504656789</v>
      </c>
      <c r="CX102">
        <v>1373.78872632665</v>
      </c>
      <c r="CY102">
        <v>827.77803415788196</v>
      </c>
      <c r="CZ102">
        <v>316.81532560805903</v>
      </c>
      <c r="DA102">
        <v>36543</v>
      </c>
      <c r="DE102">
        <v>304</v>
      </c>
      <c r="DF102" t="s">
        <v>809</v>
      </c>
      <c r="DG102">
        <v>2966</v>
      </c>
      <c r="DH102">
        <v>2974</v>
      </c>
      <c r="DI102">
        <v>2941</v>
      </c>
      <c r="DJ102">
        <v>2928</v>
      </c>
      <c r="DK102">
        <v>2927</v>
      </c>
      <c r="DO102">
        <v>243</v>
      </c>
      <c r="DP102" t="s">
        <v>130</v>
      </c>
      <c r="DQ102">
        <v>20119</v>
      </c>
      <c r="DR102">
        <v>1</v>
      </c>
      <c r="DS102">
        <v>1521</v>
      </c>
      <c r="DV102">
        <v>230</v>
      </c>
      <c r="DW102" t="s">
        <v>103</v>
      </c>
      <c r="DX102">
        <v>2449.6750221827901</v>
      </c>
      <c r="DY102">
        <v>453</v>
      </c>
      <c r="DZ102">
        <v>413</v>
      </c>
      <c r="EA102">
        <v>215</v>
      </c>
      <c r="EB102">
        <v>1598</v>
      </c>
      <c r="EC102">
        <v>885</v>
      </c>
      <c r="ED102">
        <v>310</v>
      </c>
      <c r="EE102" s="82">
        <v>0.15104273644013</v>
      </c>
      <c r="EF102" s="82">
        <v>0.49016630114075599</v>
      </c>
    </row>
    <row r="103" spans="1:136" x14ac:dyDescent="0.35">
      <c r="A103" s="72">
        <v>244</v>
      </c>
      <c r="B103" s="72">
        <v>5</v>
      </c>
      <c r="D103" s="72" t="s">
        <v>133</v>
      </c>
      <c r="E103" s="79">
        <v>1066400000</v>
      </c>
      <c r="F103" s="79">
        <v>90650000</v>
      </c>
      <c r="G103" s="79">
        <v>97650000</v>
      </c>
      <c r="H103" s="79">
        <v>12154</v>
      </c>
      <c r="I103" s="79">
        <v>1</v>
      </c>
      <c r="J103" s="79">
        <v>97.65</v>
      </c>
      <c r="K103" s="79">
        <v>2952</v>
      </c>
      <c r="L103" s="79">
        <v>2688</v>
      </c>
      <c r="M103" s="79">
        <v>840</v>
      </c>
      <c r="N103" s="79">
        <v>1334</v>
      </c>
      <c r="O103" s="79">
        <v>791.2</v>
      </c>
      <c r="P103" s="79">
        <v>120.333333333333</v>
      </c>
      <c r="Q103" s="79">
        <v>588.33333333333303</v>
      </c>
      <c r="R103" s="79">
        <v>175</v>
      </c>
      <c r="S103" s="79">
        <v>0</v>
      </c>
      <c r="T103" s="79">
        <v>256</v>
      </c>
      <c r="U103" s="79">
        <v>5170</v>
      </c>
      <c r="V103" s="79">
        <v>10010</v>
      </c>
      <c r="W103" s="79">
        <v>3150</v>
      </c>
      <c r="X103" s="79">
        <v>0</v>
      </c>
      <c r="Y103" s="79">
        <v>0</v>
      </c>
      <c r="Z103" s="79">
        <v>0</v>
      </c>
      <c r="AA103" s="79">
        <v>0</v>
      </c>
      <c r="AB103" s="79">
        <v>0</v>
      </c>
      <c r="AC103" s="79">
        <v>2307</v>
      </c>
      <c r="AD103" s="79">
        <v>2307</v>
      </c>
      <c r="AE103" s="79">
        <v>108</v>
      </c>
      <c r="AF103" s="79">
        <v>0</v>
      </c>
      <c r="AG103" s="79">
        <v>78</v>
      </c>
      <c r="AH103" s="79">
        <v>65</v>
      </c>
      <c r="AI103" s="79">
        <v>12</v>
      </c>
      <c r="AJ103" s="79">
        <v>5428</v>
      </c>
      <c r="AK103" s="79">
        <v>5428</v>
      </c>
      <c r="AL103" s="79">
        <v>7</v>
      </c>
      <c r="AM103" s="79">
        <v>0</v>
      </c>
      <c r="AN103" s="79">
        <v>0</v>
      </c>
      <c r="AO103" s="79">
        <v>1000</v>
      </c>
      <c r="AP103" s="79">
        <v>652</v>
      </c>
      <c r="AQ103" s="79">
        <v>652</v>
      </c>
      <c r="AR103" s="80">
        <v>2.59323E-4</v>
      </c>
      <c r="AS103" s="80">
        <v>1.18373E-4</v>
      </c>
      <c r="AT103" s="79">
        <v>4570.3760000000002</v>
      </c>
      <c r="AU103" s="79">
        <v>0</v>
      </c>
      <c r="AV103" s="79">
        <v>617</v>
      </c>
      <c r="AW103" s="79">
        <v>3105.1834368529999</v>
      </c>
      <c r="AX103" s="79">
        <v>2</v>
      </c>
      <c r="AY103" s="79">
        <v>2</v>
      </c>
      <c r="AZ103" s="79">
        <v>1173</v>
      </c>
      <c r="BA103" s="79">
        <v>1</v>
      </c>
      <c r="BB103" s="79">
        <v>0</v>
      </c>
      <c r="BC103" s="79">
        <v>0</v>
      </c>
      <c r="BD103" s="79">
        <v>0</v>
      </c>
      <c r="BE103" s="79">
        <v>0</v>
      </c>
      <c r="BF103" s="79">
        <v>0</v>
      </c>
      <c r="BG103" s="79">
        <v>0</v>
      </c>
      <c r="BH103" s="79">
        <v>0</v>
      </c>
      <c r="BI103" s="79">
        <v>0</v>
      </c>
      <c r="BJ103" s="79">
        <v>0</v>
      </c>
      <c r="BK103" s="79">
        <v>3</v>
      </c>
      <c r="BL103" s="79">
        <v>1428</v>
      </c>
      <c r="BM103" s="79">
        <v>65</v>
      </c>
      <c r="BN103" s="79">
        <v>12</v>
      </c>
      <c r="BO103">
        <v>3013</v>
      </c>
      <c r="BP103">
        <v>274</v>
      </c>
      <c r="BQ103">
        <v>2726</v>
      </c>
      <c r="BR103">
        <v>297</v>
      </c>
      <c r="BS103">
        <v>2718</v>
      </c>
      <c r="BT103">
        <v>259</v>
      </c>
      <c r="BU103">
        <v>2670</v>
      </c>
      <c r="BV103">
        <v>243</v>
      </c>
      <c r="BW103">
        <v>2639</v>
      </c>
      <c r="BX103">
        <v>233</v>
      </c>
      <c r="BY103">
        <v>2609</v>
      </c>
      <c r="BZ103">
        <v>210</v>
      </c>
      <c r="CA103">
        <v>2660</v>
      </c>
      <c r="CB103">
        <v>215.16873536461901</v>
      </c>
      <c r="CC103">
        <v>33.280296461360301</v>
      </c>
      <c r="CD103">
        <v>21.142628976374301</v>
      </c>
      <c r="CE103">
        <v>3605.5427310519599</v>
      </c>
      <c r="CF103">
        <v>915.23001568118104</v>
      </c>
      <c r="CG103">
        <v>93.818456591639901</v>
      </c>
      <c r="CH103">
        <v>106</v>
      </c>
      <c r="CI103">
        <v>36.569633963464902</v>
      </c>
      <c r="CJ103">
        <v>28.735197519266102</v>
      </c>
      <c r="CK103" s="81">
        <v>468</v>
      </c>
      <c r="CL103">
        <v>126</v>
      </c>
      <c r="CM103">
        <v>1730.7950210260699</v>
      </c>
      <c r="CN103">
        <v>0.13109291310326901</v>
      </c>
      <c r="CO103">
        <v>9466</v>
      </c>
      <c r="CP103">
        <v>1536</v>
      </c>
      <c r="CQ103">
        <v>312</v>
      </c>
      <c r="CR103">
        <v>254</v>
      </c>
      <c r="CS103">
        <v>267</v>
      </c>
      <c r="CT103">
        <v>161</v>
      </c>
      <c r="CU103">
        <v>134.86192094923399</v>
      </c>
      <c r="CV103">
        <v>85.582646051027396</v>
      </c>
      <c r="CW103">
        <v>33.095844384298502</v>
      </c>
      <c r="CX103">
        <v>373.82719611830299</v>
      </c>
      <c r="CY103">
        <v>237.22871796912901</v>
      </c>
      <c r="CZ103">
        <v>91.739214614978295</v>
      </c>
      <c r="DA103">
        <v>0</v>
      </c>
      <c r="DE103">
        <v>307</v>
      </c>
      <c r="DF103" t="s">
        <v>24</v>
      </c>
      <c r="DG103">
        <v>34932</v>
      </c>
      <c r="DH103">
        <v>35280</v>
      </c>
      <c r="DI103">
        <v>35646</v>
      </c>
      <c r="DJ103">
        <v>35992</v>
      </c>
      <c r="DK103">
        <v>36216</v>
      </c>
      <c r="DO103">
        <v>244</v>
      </c>
      <c r="DP103" t="s">
        <v>133</v>
      </c>
      <c r="DQ103">
        <v>5428</v>
      </c>
      <c r="DR103">
        <v>1</v>
      </c>
      <c r="DS103">
        <v>842</v>
      </c>
      <c r="DV103">
        <v>114</v>
      </c>
      <c r="DW103" t="s">
        <v>104</v>
      </c>
      <c r="DX103">
        <v>17655.582926021001</v>
      </c>
      <c r="DY103">
        <v>2898</v>
      </c>
      <c r="DZ103">
        <v>2614</v>
      </c>
      <c r="EA103">
        <v>1354</v>
      </c>
      <c r="EB103">
        <v>8560</v>
      </c>
      <c r="EC103">
        <v>5246</v>
      </c>
      <c r="ED103">
        <v>1821</v>
      </c>
      <c r="EE103" s="82">
        <v>0.25695246706605102</v>
      </c>
      <c r="EF103" s="82">
        <v>0.58811918151723996</v>
      </c>
    </row>
    <row r="104" spans="1:136" x14ac:dyDescent="0.35">
      <c r="A104" s="72">
        <v>246</v>
      </c>
      <c r="B104" s="72">
        <v>5</v>
      </c>
      <c r="D104" s="72" t="s">
        <v>136</v>
      </c>
      <c r="E104" s="79">
        <v>1577200000</v>
      </c>
      <c r="F104" s="79">
        <v>168700000</v>
      </c>
      <c r="G104" s="79">
        <v>188650000</v>
      </c>
      <c r="H104" s="79">
        <v>18603</v>
      </c>
      <c r="I104" s="79">
        <v>2</v>
      </c>
      <c r="J104" s="79">
        <v>188.65</v>
      </c>
      <c r="K104" s="79">
        <v>4208</v>
      </c>
      <c r="L104" s="79">
        <v>4245</v>
      </c>
      <c r="M104" s="79">
        <v>1319</v>
      </c>
      <c r="N104" s="79">
        <v>2119</v>
      </c>
      <c r="O104" s="79">
        <v>1322.8</v>
      </c>
      <c r="P104" s="79">
        <v>175.333333333333</v>
      </c>
      <c r="Q104" s="79">
        <v>1035.3333333333301</v>
      </c>
      <c r="R104" s="79">
        <v>235</v>
      </c>
      <c r="S104" s="79">
        <v>0</v>
      </c>
      <c r="T104" s="79">
        <v>365</v>
      </c>
      <c r="U104" s="79">
        <v>7919</v>
      </c>
      <c r="V104" s="79">
        <v>16470</v>
      </c>
      <c r="W104" s="79">
        <v>5660</v>
      </c>
      <c r="X104" s="79">
        <v>145.32</v>
      </c>
      <c r="Y104" s="79">
        <v>826.4</v>
      </c>
      <c r="Z104" s="79">
        <v>0</v>
      </c>
      <c r="AA104" s="79">
        <v>0</v>
      </c>
      <c r="AB104" s="79">
        <v>0</v>
      </c>
      <c r="AC104" s="79">
        <v>7861</v>
      </c>
      <c r="AD104" s="79">
        <v>7861</v>
      </c>
      <c r="AE104" s="79">
        <v>181</v>
      </c>
      <c r="AF104" s="79">
        <v>0</v>
      </c>
      <c r="AG104" s="79">
        <v>153</v>
      </c>
      <c r="AH104" s="79">
        <v>106</v>
      </c>
      <c r="AI104" s="79">
        <v>47</v>
      </c>
      <c r="AJ104" s="79">
        <v>7962</v>
      </c>
      <c r="AK104" s="79">
        <v>7962</v>
      </c>
      <c r="AL104" s="79">
        <v>0</v>
      </c>
      <c r="AM104" s="79">
        <v>0</v>
      </c>
      <c r="AN104" s="79">
        <v>0</v>
      </c>
      <c r="AO104" s="79">
        <v>0</v>
      </c>
      <c r="AP104" s="79">
        <v>0</v>
      </c>
      <c r="AQ104" s="79">
        <v>0</v>
      </c>
      <c r="AR104" s="80">
        <v>3.13064E-4</v>
      </c>
      <c r="AS104" s="80">
        <v>1.0768999999999999E-4</v>
      </c>
      <c r="AT104" s="79">
        <v>4809.0479999999998</v>
      </c>
      <c r="AU104" s="79">
        <v>0</v>
      </c>
      <c r="AV104" s="79">
        <v>1490</v>
      </c>
      <c r="AW104" s="79">
        <v>3446.7135041034599</v>
      </c>
      <c r="AX104" s="79">
        <v>8</v>
      </c>
      <c r="AY104" s="79">
        <v>8</v>
      </c>
      <c r="AZ104" s="79">
        <v>1689</v>
      </c>
      <c r="BA104" s="79">
        <v>1</v>
      </c>
      <c r="BB104" s="79">
        <v>0</v>
      </c>
      <c r="BC104" s="79">
        <v>0</v>
      </c>
      <c r="BD104" s="79">
        <v>0</v>
      </c>
      <c r="BE104" s="79">
        <v>0</v>
      </c>
      <c r="BF104" s="79">
        <v>0</v>
      </c>
      <c r="BG104" s="79">
        <v>0</v>
      </c>
      <c r="BH104" s="79">
        <v>0</v>
      </c>
      <c r="BI104" s="79">
        <v>0</v>
      </c>
      <c r="BJ104" s="79">
        <v>0</v>
      </c>
      <c r="BK104" s="79">
        <v>21</v>
      </c>
      <c r="BL104" s="79">
        <v>1954</v>
      </c>
      <c r="BM104" s="79">
        <v>106</v>
      </c>
      <c r="BN104" s="79">
        <v>47</v>
      </c>
      <c r="BO104">
        <v>4411</v>
      </c>
      <c r="BP104">
        <v>949</v>
      </c>
      <c r="BQ104">
        <v>4014</v>
      </c>
      <c r="BR104">
        <v>929</v>
      </c>
      <c r="BS104">
        <v>3944</v>
      </c>
      <c r="BT104">
        <v>928</v>
      </c>
      <c r="BU104">
        <v>3919</v>
      </c>
      <c r="BV104">
        <v>958</v>
      </c>
      <c r="BW104">
        <v>3850</v>
      </c>
      <c r="BX104">
        <v>960</v>
      </c>
      <c r="BY104">
        <v>3835</v>
      </c>
      <c r="BZ104">
        <v>978</v>
      </c>
      <c r="CA104">
        <v>3766</v>
      </c>
      <c r="CB104">
        <v>276.97768145695397</v>
      </c>
      <c r="CC104">
        <v>89.9659835107406</v>
      </c>
      <c r="CD104">
        <v>28.940116022853498</v>
      </c>
      <c r="CE104">
        <v>5180.8555819143103</v>
      </c>
      <c r="CF104">
        <v>1270.00586473728</v>
      </c>
      <c r="CG104">
        <v>111.767675945753</v>
      </c>
      <c r="CH104">
        <v>159</v>
      </c>
      <c r="CI104">
        <v>53.052734293420002</v>
      </c>
      <c r="CJ104">
        <v>34.411285918133501</v>
      </c>
      <c r="CK104" s="81">
        <v>860</v>
      </c>
      <c r="CL104">
        <v>218</v>
      </c>
      <c r="CM104">
        <v>3185.3276482000401</v>
      </c>
      <c r="CN104">
        <v>0.13999022616653101</v>
      </c>
      <c r="CO104">
        <v>14358</v>
      </c>
      <c r="CP104">
        <v>2425</v>
      </c>
      <c r="CQ104">
        <v>501</v>
      </c>
      <c r="CR104">
        <v>388</v>
      </c>
      <c r="CS104">
        <v>389</v>
      </c>
      <c r="CT104">
        <v>232</v>
      </c>
      <c r="CU104">
        <v>235.533223641994</v>
      </c>
      <c r="CV104">
        <v>147.83114883030601</v>
      </c>
      <c r="CW104">
        <v>53.651079856392101</v>
      </c>
      <c r="CX104">
        <v>620.44715511397897</v>
      </c>
      <c r="CY104">
        <v>389.42028776547301</v>
      </c>
      <c r="CZ104">
        <v>141.32893589690801</v>
      </c>
      <c r="DA104">
        <v>32236.2</v>
      </c>
      <c r="DE104">
        <v>308</v>
      </c>
      <c r="DF104" t="s">
        <v>33</v>
      </c>
      <c r="DG104">
        <v>5016</v>
      </c>
      <c r="DH104">
        <v>4975</v>
      </c>
      <c r="DI104">
        <v>5008</v>
      </c>
      <c r="DJ104">
        <v>4919</v>
      </c>
      <c r="DK104">
        <v>4860</v>
      </c>
      <c r="DO104">
        <v>246</v>
      </c>
      <c r="DP104" t="s">
        <v>136</v>
      </c>
      <c r="DQ104">
        <v>7962</v>
      </c>
      <c r="DR104">
        <v>1</v>
      </c>
      <c r="DS104">
        <v>604</v>
      </c>
      <c r="DV104">
        <v>388</v>
      </c>
      <c r="DW104" t="s">
        <v>105</v>
      </c>
      <c r="DX104">
        <v>2951.1192099694299</v>
      </c>
      <c r="DY104">
        <v>569</v>
      </c>
      <c r="DZ104">
        <v>397</v>
      </c>
      <c r="EA104">
        <v>220</v>
      </c>
      <c r="EB104">
        <v>1509</v>
      </c>
      <c r="EC104">
        <v>811</v>
      </c>
      <c r="ED104">
        <v>279</v>
      </c>
      <c r="EE104" s="82">
        <v>0.23684730167440199</v>
      </c>
      <c r="EF104" s="82">
        <v>0.50311442937072404</v>
      </c>
    </row>
    <row r="105" spans="1:136" x14ac:dyDescent="0.35">
      <c r="A105" s="72">
        <v>252</v>
      </c>
      <c r="B105" s="72">
        <v>5</v>
      </c>
      <c r="D105" s="72" t="s">
        <v>148</v>
      </c>
      <c r="E105" s="79">
        <v>1500000000</v>
      </c>
      <c r="F105" s="79">
        <v>141050000</v>
      </c>
      <c r="G105" s="79">
        <v>154350000</v>
      </c>
      <c r="H105" s="79">
        <v>16462</v>
      </c>
      <c r="I105" s="79">
        <v>2</v>
      </c>
      <c r="J105" s="79">
        <v>154.35</v>
      </c>
      <c r="K105" s="79">
        <v>3637</v>
      </c>
      <c r="L105" s="79">
        <v>3805</v>
      </c>
      <c r="M105" s="79">
        <v>1271</v>
      </c>
      <c r="N105" s="79">
        <v>1744</v>
      </c>
      <c r="O105" s="79">
        <v>1016.1</v>
      </c>
      <c r="P105" s="79">
        <v>261.33333333333297</v>
      </c>
      <c r="Q105" s="79">
        <v>967.33333333333303</v>
      </c>
      <c r="R105" s="79">
        <v>325</v>
      </c>
      <c r="S105" s="79">
        <v>0</v>
      </c>
      <c r="T105" s="79">
        <v>452</v>
      </c>
      <c r="U105" s="79">
        <v>7283</v>
      </c>
      <c r="V105" s="79">
        <v>13380</v>
      </c>
      <c r="W105" s="79">
        <v>3540</v>
      </c>
      <c r="X105" s="79">
        <v>0</v>
      </c>
      <c r="Y105" s="79">
        <v>0</v>
      </c>
      <c r="Z105" s="79">
        <v>0</v>
      </c>
      <c r="AA105" s="79">
        <v>0</v>
      </c>
      <c r="AB105" s="79">
        <v>0</v>
      </c>
      <c r="AC105" s="79">
        <v>3971</v>
      </c>
      <c r="AD105" s="79">
        <v>3971</v>
      </c>
      <c r="AE105" s="79">
        <v>183</v>
      </c>
      <c r="AF105" s="79">
        <v>0</v>
      </c>
      <c r="AG105" s="79">
        <v>122</v>
      </c>
      <c r="AH105" s="79">
        <v>87</v>
      </c>
      <c r="AI105" s="79">
        <v>35</v>
      </c>
      <c r="AJ105" s="79">
        <v>7279</v>
      </c>
      <c r="AK105" s="79">
        <v>7279</v>
      </c>
      <c r="AL105" s="79">
        <v>0</v>
      </c>
      <c r="AM105" s="79">
        <v>0</v>
      </c>
      <c r="AN105" s="79">
        <v>0</v>
      </c>
      <c r="AO105" s="79">
        <v>0</v>
      </c>
      <c r="AP105" s="79">
        <v>0</v>
      </c>
      <c r="AQ105" s="79">
        <v>0</v>
      </c>
      <c r="AR105" s="80">
        <v>8.7250999999999995E-5</v>
      </c>
      <c r="AS105" s="80">
        <v>4.4721000000000001E-5</v>
      </c>
      <c r="AT105" s="79">
        <v>5794.0839999999998</v>
      </c>
      <c r="AU105" s="79">
        <v>0</v>
      </c>
      <c r="AV105" s="79">
        <v>654</v>
      </c>
      <c r="AW105" s="79">
        <v>2591.7544535387601</v>
      </c>
      <c r="AX105" s="79">
        <v>4</v>
      </c>
      <c r="AY105" s="79">
        <v>4</v>
      </c>
      <c r="AZ105" s="79">
        <v>1779</v>
      </c>
      <c r="BA105" s="79">
        <v>1</v>
      </c>
      <c r="BB105" s="79">
        <v>0</v>
      </c>
      <c r="BC105" s="79">
        <v>0</v>
      </c>
      <c r="BD105" s="79">
        <v>0</v>
      </c>
      <c r="BE105" s="79">
        <v>0</v>
      </c>
      <c r="BF105" s="79">
        <v>0</v>
      </c>
      <c r="BG105" s="79">
        <v>0</v>
      </c>
      <c r="BH105" s="79">
        <v>0</v>
      </c>
      <c r="BI105" s="79">
        <v>0</v>
      </c>
      <c r="BJ105" s="79">
        <v>0</v>
      </c>
      <c r="BK105" s="79">
        <v>6</v>
      </c>
      <c r="BL105" s="79">
        <v>2110</v>
      </c>
      <c r="BM105" s="79">
        <v>87</v>
      </c>
      <c r="BN105" s="79">
        <v>35</v>
      </c>
      <c r="BO105">
        <v>4378</v>
      </c>
      <c r="BP105">
        <v>0</v>
      </c>
      <c r="BQ105">
        <v>3954</v>
      </c>
      <c r="BR105">
        <v>0</v>
      </c>
      <c r="BS105">
        <v>3870</v>
      </c>
      <c r="BT105">
        <v>0</v>
      </c>
      <c r="BU105">
        <v>3775</v>
      </c>
      <c r="BV105">
        <v>0</v>
      </c>
      <c r="BW105">
        <v>3665</v>
      </c>
      <c r="BX105">
        <v>0</v>
      </c>
      <c r="BY105">
        <v>3623</v>
      </c>
      <c r="BZ105">
        <v>0</v>
      </c>
      <c r="CA105">
        <v>3175</v>
      </c>
      <c r="CB105">
        <v>212.38036893313401</v>
      </c>
      <c r="CC105">
        <v>3.9215627980191101</v>
      </c>
      <c r="CD105">
        <v>11.7448338165112</v>
      </c>
      <c r="CE105">
        <v>5551.8685790637701</v>
      </c>
      <c r="CF105">
        <v>1419.8832401142799</v>
      </c>
      <c r="CG105">
        <v>90.430868814729607</v>
      </c>
      <c r="CH105">
        <v>161</v>
      </c>
      <c r="CI105">
        <v>53.913980940018497</v>
      </c>
      <c r="CJ105">
        <v>57.115639513603</v>
      </c>
      <c r="CK105" s="81">
        <v>706</v>
      </c>
      <c r="CL105">
        <v>231</v>
      </c>
      <c r="CM105">
        <v>2487.2109779951102</v>
      </c>
      <c r="CN105">
        <v>0.43628314318120898</v>
      </c>
      <c r="CO105">
        <v>12657</v>
      </c>
      <c r="CP105">
        <v>2138</v>
      </c>
      <c r="CQ105">
        <v>396</v>
      </c>
      <c r="CR105">
        <v>410</v>
      </c>
      <c r="CS105">
        <v>408</v>
      </c>
      <c r="CT105">
        <v>184</v>
      </c>
      <c r="CU105">
        <v>181.963514528633</v>
      </c>
      <c r="CV105">
        <v>122.51837864734701</v>
      </c>
      <c r="CW105">
        <v>37.676494572646497</v>
      </c>
      <c r="CX105">
        <v>439.98864696419997</v>
      </c>
      <c r="CY105">
        <v>296.250024566386</v>
      </c>
      <c r="CZ105">
        <v>91.101943773262306</v>
      </c>
      <c r="DA105">
        <v>14965</v>
      </c>
      <c r="DE105">
        <v>310</v>
      </c>
      <c r="DF105" t="s">
        <v>76</v>
      </c>
      <c r="DG105">
        <v>9279</v>
      </c>
      <c r="DH105">
        <v>9177</v>
      </c>
      <c r="DI105">
        <v>9103</v>
      </c>
      <c r="DJ105">
        <v>9036</v>
      </c>
      <c r="DK105">
        <v>8956</v>
      </c>
      <c r="DO105">
        <v>252</v>
      </c>
      <c r="DP105" t="s">
        <v>148</v>
      </c>
      <c r="DQ105">
        <v>7279</v>
      </c>
      <c r="DR105">
        <v>1</v>
      </c>
      <c r="DS105">
        <v>796</v>
      </c>
      <c r="DV105">
        <v>153</v>
      </c>
      <c r="DW105" t="s">
        <v>106</v>
      </c>
      <c r="DX105">
        <v>27124.827798690199</v>
      </c>
      <c r="DY105">
        <v>3997</v>
      </c>
      <c r="DZ105">
        <v>3300</v>
      </c>
      <c r="EA105">
        <v>1552</v>
      </c>
      <c r="EB105">
        <v>10229</v>
      </c>
      <c r="EC105">
        <v>6163</v>
      </c>
      <c r="ED105">
        <v>2063</v>
      </c>
      <c r="EE105" s="82">
        <v>0.25388364882373199</v>
      </c>
      <c r="EF105" s="82">
        <v>0.59324584449704798</v>
      </c>
    </row>
    <row r="106" spans="1:136" x14ac:dyDescent="0.35">
      <c r="A106" s="72">
        <v>733</v>
      </c>
      <c r="B106" s="72">
        <v>5</v>
      </c>
      <c r="D106" s="72" t="s">
        <v>808</v>
      </c>
      <c r="E106" s="79">
        <v>906000000</v>
      </c>
      <c r="F106" s="79">
        <v>142450000</v>
      </c>
      <c r="G106" s="79">
        <v>157150000</v>
      </c>
      <c r="H106" s="79">
        <v>11134</v>
      </c>
      <c r="I106" s="79">
        <v>4</v>
      </c>
      <c r="J106" s="79">
        <v>157.15</v>
      </c>
      <c r="K106" s="79">
        <v>2642</v>
      </c>
      <c r="L106" s="79">
        <v>2147</v>
      </c>
      <c r="M106" s="79">
        <v>610</v>
      </c>
      <c r="N106" s="79">
        <v>1117</v>
      </c>
      <c r="O106" s="79">
        <v>656</v>
      </c>
      <c r="P106" s="79">
        <v>112.333333333333</v>
      </c>
      <c r="Q106" s="79">
        <v>501.33333333333297</v>
      </c>
      <c r="R106" s="79">
        <v>270</v>
      </c>
      <c r="S106" s="79">
        <v>0</v>
      </c>
      <c r="T106" s="79">
        <v>301</v>
      </c>
      <c r="U106" s="79">
        <v>4560</v>
      </c>
      <c r="V106" s="79">
        <v>7990</v>
      </c>
      <c r="W106" s="79">
        <v>300</v>
      </c>
      <c r="X106" s="79">
        <v>0</v>
      </c>
      <c r="Y106" s="79">
        <v>0</v>
      </c>
      <c r="Z106" s="79">
        <v>0</v>
      </c>
      <c r="AA106" s="79">
        <v>0</v>
      </c>
      <c r="AB106" s="79">
        <v>0</v>
      </c>
      <c r="AC106" s="79">
        <v>5030</v>
      </c>
      <c r="AD106" s="79">
        <v>6539</v>
      </c>
      <c r="AE106" s="79">
        <v>419</v>
      </c>
      <c r="AF106" s="79">
        <v>0</v>
      </c>
      <c r="AG106" s="79">
        <v>99</v>
      </c>
      <c r="AH106" s="79">
        <v>70.95</v>
      </c>
      <c r="AI106" s="79">
        <v>57.2</v>
      </c>
      <c r="AJ106" s="79">
        <v>4610</v>
      </c>
      <c r="AK106" s="79">
        <v>5946.9</v>
      </c>
      <c r="AL106" s="79">
        <v>12</v>
      </c>
      <c r="AM106" s="79">
        <v>0</v>
      </c>
      <c r="AN106" s="79">
        <v>0</v>
      </c>
      <c r="AO106" s="79">
        <v>1150</v>
      </c>
      <c r="AP106" s="79">
        <v>0</v>
      </c>
      <c r="AQ106" s="79">
        <v>0</v>
      </c>
      <c r="AR106" s="80">
        <v>1.50254E-4</v>
      </c>
      <c r="AS106" s="80">
        <v>5.1310000000000002E-5</v>
      </c>
      <c r="AT106" s="79">
        <v>1479.81</v>
      </c>
      <c r="AU106" s="79">
        <v>0</v>
      </c>
      <c r="AV106" s="79">
        <v>2320.5</v>
      </c>
      <c r="AW106" s="79">
        <v>9443.1603964030091</v>
      </c>
      <c r="AX106" s="79">
        <v>8</v>
      </c>
      <c r="AY106" s="79">
        <v>10.4</v>
      </c>
      <c r="AZ106" s="79">
        <v>1262</v>
      </c>
      <c r="BA106" s="79">
        <v>1</v>
      </c>
      <c r="BB106" s="79">
        <v>0</v>
      </c>
      <c r="BC106" s="79">
        <v>0</v>
      </c>
      <c r="BD106" s="79">
        <v>0</v>
      </c>
      <c r="BE106" s="79">
        <v>0</v>
      </c>
      <c r="BF106" s="79">
        <v>0</v>
      </c>
      <c r="BG106" s="79">
        <v>0</v>
      </c>
      <c r="BH106" s="79">
        <v>0</v>
      </c>
      <c r="BI106" s="79">
        <v>0</v>
      </c>
      <c r="BJ106" s="79">
        <v>0</v>
      </c>
      <c r="BK106" s="79">
        <v>4</v>
      </c>
      <c r="BL106" s="79">
        <v>1083</v>
      </c>
      <c r="BM106" s="79">
        <v>55</v>
      </c>
      <c r="BN106" s="79">
        <v>44</v>
      </c>
      <c r="BO106">
        <v>2865</v>
      </c>
      <c r="BP106">
        <v>0</v>
      </c>
      <c r="BQ106">
        <v>2586</v>
      </c>
      <c r="BR106">
        <v>0</v>
      </c>
      <c r="BS106">
        <v>2522</v>
      </c>
      <c r="BT106">
        <v>0</v>
      </c>
      <c r="BU106">
        <v>2498</v>
      </c>
      <c r="BV106">
        <v>0</v>
      </c>
      <c r="BW106">
        <v>2425</v>
      </c>
      <c r="BX106">
        <v>0</v>
      </c>
      <c r="BY106">
        <v>2428</v>
      </c>
      <c r="BZ106">
        <v>0</v>
      </c>
      <c r="CA106">
        <v>2371</v>
      </c>
      <c r="CB106">
        <v>175.18956600361801</v>
      </c>
      <c r="CC106">
        <v>61.645483206822099</v>
      </c>
      <c r="CD106">
        <v>26.800307880199899</v>
      </c>
      <c r="CE106">
        <v>3342.19327782354</v>
      </c>
      <c r="CF106">
        <v>910.07852782087195</v>
      </c>
      <c r="CG106">
        <v>66.688257641921396</v>
      </c>
      <c r="CH106">
        <v>116</v>
      </c>
      <c r="CI106">
        <v>39.6444455960767</v>
      </c>
      <c r="CJ106">
        <v>32.282752768558197</v>
      </c>
      <c r="CK106" s="81">
        <v>389</v>
      </c>
      <c r="CL106">
        <v>86</v>
      </c>
      <c r="CM106">
        <v>1628.77835133189</v>
      </c>
      <c r="CN106">
        <v>5.3945920173798699E-2</v>
      </c>
      <c r="CO106">
        <v>8987</v>
      </c>
      <c r="CP106">
        <v>1348</v>
      </c>
      <c r="CQ106">
        <v>189</v>
      </c>
      <c r="CR106">
        <v>206</v>
      </c>
      <c r="CS106">
        <v>189</v>
      </c>
      <c r="CT106">
        <v>101</v>
      </c>
      <c r="CU106">
        <v>116.314770262276</v>
      </c>
      <c r="CV106">
        <v>60.716878853290602</v>
      </c>
      <c r="CW106">
        <v>20.049367490196701</v>
      </c>
      <c r="CX106">
        <v>316.18439991618402</v>
      </c>
      <c r="CY106">
        <v>165.049802890233</v>
      </c>
      <c r="CZ106">
        <v>54.501222968437602</v>
      </c>
      <c r="DA106">
        <v>0</v>
      </c>
      <c r="DE106">
        <v>312</v>
      </c>
      <c r="DF106" t="s">
        <v>65</v>
      </c>
      <c r="DG106">
        <v>3397</v>
      </c>
      <c r="DH106">
        <v>3358</v>
      </c>
      <c r="DI106">
        <v>3309</v>
      </c>
      <c r="DJ106">
        <v>3258</v>
      </c>
      <c r="DK106">
        <v>3246</v>
      </c>
      <c r="DO106">
        <v>733</v>
      </c>
      <c r="DP106" t="s">
        <v>808</v>
      </c>
      <c r="DQ106">
        <v>4610</v>
      </c>
      <c r="DR106">
        <v>1.29</v>
      </c>
      <c r="DS106">
        <v>321</v>
      </c>
      <c r="DV106">
        <v>232</v>
      </c>
      <c r="DW106" t="s">
        <v>107</v>
      </c>
      <c r="DX106">
        <v>4091.5697091273801</v>
      </c>
      <c r="DY106">
        <v>785</v>
      </c>
      <c r="DZ106">
        <v>787</v>
      </c>
      <c r="EA106">
        <v>493</v>
      </c>
      <c r="EB106">
        <v>2691</v>
      </c>
      <c r="EC106">
        <v>1744</v>
      </c>
      <c r="ED106">
        <v>702</v>
      </c>
      <c r="EE106" s="82">
        <v>0.17112647996338101</v>
      </c>
      <c r="EF106" s="82">
        <v>0.42615606722440202</v>
      </c>
    </row>
    <row r="107" spans="1:136" x14ac:dyDescent="0.35">
      <c r="A107" s="72">
        <v>1705</v>
      </c>
      <c r="B107" s="72">
        <v>5</v>
      </c>
      <c r="D107" s="72" t="s">
        <v>185</v>
      </c>
      <c r="E107" s="79">
        <v>3732400000</v>
      </c>
      <c r="F107" s="79">
        <v>340200000</v>
      </c>
      <c r="G107" s="79">
        <v>359450000</v>
      </c>
      <c r="H107" s="79">
        <v>46372</v>
      </c>
      <c r="I107" s="79">
        <v>4</v>
      </c>
      <c r="J107" s="79">
        <v>359.45</v>
      </c>
      <c r="K107" s="79">
        <v>10777</v>
      </c>
      <c r="L107" s="79">
        <v>9429</v>
      </c>
      <c r="M107" s="79">
        <v>2757</v>
      </c>
      <c r="N107" s="79">
        <v>5317</v>
      </c>
      <c r="O107" s="79">
        <v>3345.9</v>
      </c>
      <c r="P107" s="79">
        <v>489.66666666666703</v>
      </c>
      <c r="Q107" s="79">
        <v>2614.6666666666702</v>
      </c>
      <c r="R107" s="79">
        <v>865</v>
      </c>
      <c r="S107" s="79">
        <v>0</v>
      </c>
      <c r="T107" s="79">
        <v>1310</v>
      </c>
      <c r="U107" s="79">
        <v>19961</v>
      </c>
      <c r="V107" s="79">
        <v>39130</v>
      </c>
      <c r="W107" s="79">
        <v>13400</v>
      </c>
      <c r="X107" s="79">
        <v>611.82000000000005</v>
      </c>
      <c r="Y107" s="79">
        <v>2114.4</v>
      </c>
      <c r="Z107" s="79">
        <v>0</v>
      </c>
      <c r="AA107" s="79">
        <v>0</v>
      </c>
      <c r="AB107" s="79">
        <v>146</v>
      </c>
      <c r="AC107" s="79">
        <v>6195</v>
      </c>
      <c r="AD107" s="79">
        <v>6256.95</v>
      </c>
      <c r="AE107" s="79">
        <v>719</v>
      </c>
      <c r="AF107" s="79">
        <v>0</v>
      </c>
      <c r="AG107" s="79">
        <v>291</v>
      </c>
      <c r="AH107" s="79">
        <v>236</v>
      </c>
      <c r="AI107" s="79">
        <v>55.55</v>
      </c>
      <c r="AJ107" s="79">
        <v>19711</v>
      </c>
      <c r="AK107" s="79">
        <v>19711</v>
      </c>
      <c r="AL107" s="79">
        <v>5</v>
      </c>
      <c r="AM107" s="79">
        <v>0</v>
      </c>
      <c r="AN107" s="79">
        <v>0</v>
      </c>
      <c r="AO107" s="79">
        <v>0</v>
      </c>
      <c r="AP107" s="79">
        <v>0</v>
      </c>
      <c r="AQ107" s="79">
        <v>0</v>
      </c>
      <c r="AR107" s="80">
        <v>2.5615399999999997E-4</v>
      </c>
      <c r="AS107" s="80">
        <v>2.4022599999999999E-4</v>
      </c>
      <c r="AT107" s="79">
        <v>18508.629000000001</v>
      </c>
      <c r="AU107" s="79">
        <v>0</v>
      </c>
      <c r="AV107" s="79">
        <v>2123.02</v>
      </c>
      <c r="AW107" s="79">
        <v>14306.774752675699</v>
      </c>
      <c r="AX107" s="79">
        <v>5</v>
      </c>
      <c r="AY107" s="79">
        <v>5.05</v>
      </c>
      <c r="AZ107" s="79">
        <v>4301</v>
      </c>
      <c r="BA107" s="79">
        <v>1</v>
      </c>
      <c r="BB107" s="79">
        <v>0</v>
      </c>
      <c r="BC107" s="79">
        <v>0</v>
      </c>
      <c r="BD107" s="79">
        <v>0</v>
      </c>
      <c r="BE107" s="79">
        <v>0</v>
      </c>
      <c r="BF107" s="79">
        <v>0</v>
      </c>
      <c r="BG107" s="79">
        <v>0</v>
      </c>
      <c r="BH107" s="79">
        <v>0</v>
      </c>
      <c r="BI107" s="79">
        <v>0</v>
      </c>
      <c r="BJ107" s="79">
        <v>0</v>
      </c>
      <c r="BK107" s="79">
        <v>13</v>
      </c>
      <c r="BL107" s="79">
        <v>5219</v>
      </c>
      <c r="BM107" s="79">
        <v>236</v>
      </c>
      <c r="BN107" s="79">
        <v>55</v>
      </c>
      <c r="BO107">
        <v>11340</v>
      </c>
      <c r="BP107">
        <v>2270</v>
      </c>
      <c r="BQ107">
        <v>10309</v>
      </c>
      <c r="BR107">
        <v>2394</v>
      </c>
      <c r="BS107">
        <v>10315</v>
      </c>
      <c r="BT107">
        <v>2469</v>
      </c>
      <c r="BU107">
        <v>10323</v>
      </c>
      <c r="BV107">
        <v>2574</v>
      </c>
      <c r="BW107">
        <v>10303</v>
      </c>
      <c r="BX107">
        <v>2702</v>
      </c>
      <c r="BY107">
        <v>10186</v>
      </c>
      <c r="BZ107">
        <v>2697</v>
      </c>
      <c r="CA107">
        <v>9636</v>
      </c>
      <c r="CB107">
        <v>680.40331198879596</v>
      </c>
      <c r="CC107">
        <v>103.809469322992</v>
      </c>
      <c r="CD107">
        <v>66.128538110982603</v>
      </c>
      <c r="CE107">
        <v>13187.2661771523</v>
      </c>
      <c r="CF107">
        <v>3652.84716569784</v>
      </c>
      <c r="CG107">
        <v>393.69850901803602</v>
      </c>
      <c r="CH107">
        <v>468</v>
      </c>
      <c r="CI107">
        <v>126.331200909152</v>
      </c>
      <c r="CJ107">
        <v>117.424078751569</v>
      </c>
      <c r="CK107" s="81">
        <v>2125</v>
      </c>
      <c r="CL107">
        <v>582</v>
      </c>
      <c r="CM107">
        <v>7246.9495538628998</v>
      </c>
      <c r="CN107">
        <v>0.34479124198307898</v>
      </c>
      <c r="CO107">
        <v>36943</v>
      </c>
      <c r="CP107">
        <v>5777</v>
      </c>
      <c r="CQ107">
        <v>895</v>
      </c>
      <c r="CR107">
        <v>1009</v>
      </c>
      <c r="CS107">
        <v>851</v>
      </c>
      <c r="CT107">
        <v>455</v>
      </c>
      <c r="CU107">
        <v>602.75502285714504</v>
      </c>
      <c r="CV107">
        <v>322.17094716498502</v>
      </c>
      <c r="CW107">
        <v>106.937669501549</v>
      </c>
      <c r="CX107">
        <v>1567.4416040062599</v>
      </c>
      <c r="CY107">
        <v>837.793343960539</v>
      </c>
      <c r="CZ107">
        <v>278.08735863811398</v>
      </c>
      <c r="DA107">
        <v>42932</v>
      </c>
      <c r="DE107">
        <v>313</v>
      </c>
      <c r="DF107" t="s">
        <v>66</v>
      </c>
      <c r="DG107">
        <v>5062</v>
      </c>
      <c r="DH107">
        <v>5081</v>
      </c>
      <c r="DI107">
        <v>5062</v>
      </c>
      <c r="DJ107">
        <v>5044</v>
      </c>
      <c r="DK107">
        <v>5035</v>
      </c>
      <c r="DO107">
        <v>1705</v>
      </c>
      <c r="DP107" t="s">
        <v>185</v>
      </c>
      <c r="DQ107">
        <v>19711</v>
      </c>
      <c r="DR107">
        <v>1</v>
      </c>
      <c r="DS107">
        <v>939</v>
      </c>
      <c r="DV107">
        <v>233</v>
      </c>
      <c r="DW107" t="s">
        <v>108</v>
      </c>
      <c r="DX107">
        <v>3329.8569732395599</v>
      </c>
      <c r="DY107">
        <v>638</v>
      </c>
      <c r="DZ107">
        <v>552</v>
      </c>
      <c r="EA107">
        <v>335</v>
      </c>
      <c r="EB107">
        <v>1991</v>
      </c>
      <c r="EC107">
        <v>1223</v>
      </c>
      <c r="ED107">
        <v>465</v>
      </c>
      <c r="EE107" s="82">
        <v>0.12384088284751001</v>
      </c>
      <c r="EF107" s="82">
        <v>0.39349657055146697</v>
      </c>
    </row>
    <row r="108" spans="1:136" x14ac:dyDescent="0.35">
      <c r="A108" s="72">
        <v>262</v>
      </c>
      <c r="B108" s="72">
        <v>5</v>
      </c>
      <c r="D108" s="72" t="s">
        <v>187</v>
      </c>
      <c r="E108" s="79">
        <v>3308400000</v>
      </c>
      <c r="F108" s="79">
        <v>450450000</v>
      </c>
      <c r="G108" s="79">
        <v>542500000</v>
      </c>
      <c r="H108" s="79">
        <v>33574</v>
      </c>
      <c r="I108" s="79">
        <v>6</v>
      </c>
      <c r="J108" s="79">
        <v>542.5</v>
      </c>
      <c r="K108" s="79">
        <v>7020</v>
      </c>
      <c r="L108" s="79">
        <v>9140</v>
      </c>
      <c r="M108" s="79">
        <v>3042</v>
      </c>
      <c r="N108" s="79">
        <v>3977</v>
      </c>
      <c r="O108" s="79">
        <v>2349.9</v>
      </c>
      <c r="P108" s="79">
        <v>447.33333333333297</v>
      </c>
      <c r="Q108" s="79">
        <v>1827.3333333333301</v>
      </c>
      <c r="R108" s="79">
        <v>1025</v>
      </c>
      <c r="S108" s="79">
        <v>0</v>
      </c>
      <c r="T108" s="79">
        <v>734</v>
      </c>
      <c r="U108" s="79">
        <v>15319</v>
      </c>
      <c r="V108" s="79">
        <v>27740</v>
      </c>
      <c r="W108" s="79">
        <v>12500</v>
      </c>
      <c r="X108" s="79">
        <v>480.94</v>
      </c>
      <c r="Y108" s="79">
        <v>1260.8</v>
      </c>
      <c r="Z108" s="79">
        <v>0</v>
      </c>
      <c r="AA108" s="79">
        <v>0</v>
      </c>
      <c r="AB108" s="79">
        <v>162.5</v>
      </c>
      <c r="AC108" s="79">
        <v>21302</v>
      </c>
      <c r="AD108" s="79">
        <v>21302</v>
      </c>
      <c r="AE108" s="79">
        <v>292</v>
      </c>
      <c r="AF108" s="79">
        <v>0</v>
      </c>
      <c r="AG108" s="79">
        <v>374</v>
      </c>
      <c r="AH108" s="79">
        <v>181</v>
      </c>
      <c r="AI108" s="79">
        <v>194</v>
      </c>
      <c r="AJ108" s="79">
        <v>16271</v>
      </c>
      <c r="AK108" s="79">
        <v>16271</v>
      </c>
      <c r="AL108" s="79">
        <v>7</v>
      </c>
      <c r="AM108" s="79">
        <v>0</v>
      </c>
      <c r="AN108" s="79">
        <v>0</v>
      </c>
      <c r="AO108" s="79">
        <v>0</v>
      </c>
      <c r="AP108" s="79">
        <v>1361</v>
      </c>
      <c r="AQ108" s="79">
        <v>1361</v>
      </c>
      <c r="AR108" s="80">
        <v>5.8622500000000001E-4</v>
      </c>
      <c r="AS108" s="80">
        <v>1.8063199999999999E-4</v>
      </c>
      <c r="AT108" s="79">
        <v>9681.2450000000008</v>
      </c>
      <c r="AU108" s="79">
        <v>0</v>
      </c>
      <c r="AV108" s="79">
        <v>2709</v>
      </c>
      <c r="AW108" s="79">
        <v>4211.9091414281702</v>
      </c>
      <c r="AX108" s="79">
        <v>18</v>
      </c>
      <c r="AY108" s="79">
        <v>18</v>
      </c>
      <c r="AZ108" s="79">
        <v>4178</v>
      </c>
      <c r="BA108" s="79">
        <v>1</v>
      </c>
      <c r="BB108" s="79">
        <v>0</v>
      </c>
      <c r="BC108" s="79">
        <v>0</v>
      </c>
      <c r="BD108" s="79">
        <v>0</v>
      </c>
      <c r="BE108" s="79">
        <v>0</v>
      </c>
      <c r="BF108" s="79">
        <v>0</v>
      </c>
      <c r="BG108" s="79">
        <v>0</v>
      </c>
      <c r="BH108" s="79">
        <v>0</v>
      </c>
      <c r="BI108" s="79">
        <v>0</v>
      </c>
      <c r="BJ108" s="79">
        <v>0</v>
      </c>
      <c r="BK108" s="79">
        <v>21</v>
      </c>
      <c r="BL108" s="79">
        <v>4417</v>
      </c>
      <c r="BM108" s="79">
        <v>181</v>
      </c>
      <c r="BN108" s="79">
        <v>194</v>
      </c>
      <c r="BO108">
        <v>7614</v>
      </c>
      <c r="BP108">
        <v>1285</v>
      </c>
      <c r="BQ108">
        <v>6993</v>
      </c>
      <c r="BR108">
        <v>1256</v>
      </c>
      <c r="BS108">
        <v>6935</v>
      </c>
      <c r="BT108">
        <v>1221</v>
      </c>
      <c r="BU108">
        <v>6807</v>
      </c>
      <c r="BV108">
        <v>1238</v>
      </c>
      <c r="BW108">
        <v>6683</v>
      </c>
      <c r="BX108">
        <v>1330</v>
      </c>
      <c r="BY108">
        <v>6608</v>
      </c>
      <c r="BZ108">
        <v>1383</v>
      </c>
      <c r="CA108">
        <v>6267</v>
      </c>
      <c r="CB108">
        <v>533.92597076226696</v>
      </c>
      <c r="CC108">
        <v>67.926671894914904</v>
      </c>
      <c r="CD108">
        <v>44.225240881087799</v>
      </c>
      <c r="CE108">
        <v>11199.9271638059</v>
      </c>
      <c r="CF108">
        <v>2464.7213338690499</v>
      </c>
      <c r="CG108">
        <v>174.035493638677</v>
      </c>
      <c r="CH108">
        <v>267</v>
      </c>
      <c r="CI108">
        <v>121.41589621380299</v>
      </c>
      <c r="CJ108">
        <v>113.876523502277</v>
      </c>
      <c r="CK108" s="81">
        <v>1380</v>
      </c>
      <c r="CL108">
        <v>412</v>
      </c>
      <c r="CM108">
        <v>5343.3958227582298</v>
      </c>
      <c r="CN108">
        <v>0.79199466509648297</v>
      </c>
      <c r="CO108">
        <v>24434</v>
      </c>
      <c r="CP108">
        <v>4919</v>
      </c>
      <c r="CQ108">
        <v>1179</v>
      </c>
      <c r="CR108">
        <v>882</v>
      </c>
      <c r="CS108">
        <v>938</v>
      </c>
      <c r="CT108">
        <v>569</v>
      </c>
      <c r="CU108">
        <v>428.50870361378702</v>
      </c>
      <c r="CV108">
        <v>297.65973648399603</v>
      </c>
      <c r="CW108">
        <v>117.850725361931</v>
      </c>
      <c r="CX108">
        <v>1067.16904436648</v>
      </c>
      <c r="CY108">
        <v>741.29942717873905</v>
      </c>
      <c r="CZ108">
        <v>293.49846316246999</v>
      </c>
      <c r="DA108">
        <v>84564.5</v>
      </c>
      <c r="DE108">
        <v>317</v>
      </c>
      <c r="DF108" t="s">
        <v>99</v>
      </c>
      <c r="DG108">
        <v>2219</v>
      </c>
      <c r="DH108">
        <v>2184</v>
      </c>
      <c r="DI108">
        <v>2148</v>
      </c>
      <c r="DJ108">
        <v>2099</v>
      </c>
      <c r="DK108">
        <v>2066</v>
      </c>
      <c r="DO108">
        <v>262</v>
      </c>
      <c r="DP108" t="s">
        <v>187</v>
      </c>
      <c r="DQ108">
        <v>16271</v>
      </c>
      <c r="DR108">
        <v>1</v>
      </c>
      <c r="DS108">
        <v>595</v>
      </c>
      <c r="DV108">
        <v>777</v>
      </c>
      <c r="DW108" t="s">
        <v>109</v>
      </c>
      <c r="DX108">
        <v>5060.8425188257097</v>
      </c>
      <c r="DY108">
        <v>1034</v>
      </c>
      <c r="DZ108">
        <v>818</v>
      </c>
      <c r="EA108">
        <v>373</v>
      </c>
      <c r="EB108">
        <v>3200</v>
      </c>
      <c r="EC108">
        <v>1754</v>
      </c>
      <c r="ED108">
        <v>549</v>
      </c>
      <c r="EE108" s="82">
        <v>0.168850537549177</v>
      </c>
      <c r="EF108" s="82">
        <v>0.43372316852071502</v>
      </c>
    </row>
    <row r="109" spans="1:136" x14ac:dyDescent="0.35">
      <c r="A109" s="72">
        <v>263</v>
      </c>
      <c r="B109" s="72">
        <v>5</v>
      </c>
      <c r="D109" s="72" t="s">
        <v>192</v>
      </c>
      <c r="E109" s="79">
        <v>1951600000</v>
      </c>
      <c r="F109" s="79">
        <v>293650000</v>
      </c>
      <c r="G109" s="79">
        <v>372050000</v>
      </c>
      <c r="H109" s="79">
        <v>24350</v>
      </c>
      <c r="I109" s="79">
        <v>5</v>
      </c>
      <c r="J109" s="79">
        <v>372.05</v>
      </c>
      <c r="K109" s="79">
        <v>5554</v>
      </c>
      <c r="L109" s="79">
        <v>4507</v>
      </c>
      <c r="M109" s="79">
        <v>1297</v>
      </c>
      <c r="N109" s="79">
        <v>2647</v>
      </c>
      <c r="O109" s="79">
        <v>1632.9</v>
      </c>
      <c r="P109" s="79">
        <v>225.333333333333</v>
      </c>
      <c r="Q109" s="79">
        <v>1217.3333333333301</v>
      </c>
      <c r="R109" s="79">
        <v>440</v>
      </c>
      <c r="S109" s="79">
        <v>0</v>
      </c>
      <c r="T109" s="79">
        <v>657</v>
      </c>
      <c r="U109" s="79">
        <v>10199</v>
      </c>
      <c r="V109" s="79">
        <v>17520</v>
      </c>
      <c r="W109" s="79">
        <v>1600</v>
      </c>
      <c r="X109" s="79">
        <v>0</v>
      </c>
      <c r="Y109" s="79">
        <v>0</v>
      </c>
      <c r="Z109" s="79">
        <v>0</v>
      </c>
      <c r="AA109" s="79">
        <v>0</v>
      </c>
      <c r="AB109" s="79">
        <v>0</v>
      </c>
      <c r="AC109" s="79">
        <v>6591</v>
      </c>
      <c r="AD109" s="79">
        <v>6986.46</v>
      </c>
      <c r="AE109" s="79">
        <v>956</v>
      </c>
      <c r="AF109" s="79">
        <v>0</v>
      </c>
      <c r="AG109" s="79">
        <v>272</v>
      </c>
      <c r="AH109" s="79">
        <v>180.6</v>
      </c>
      <c r="AI109" s="79">
        <v>106</v>
      </c>
      <c r="AJ109" s="79">
        <v>10141</v>
      </c>
      <c r="AK109" s="79">
        <v>10648.05</v>
      </c>
      <c r="AL109" s="79">
        <v>0</v>
      </c>
      <c r="AM109" s="79">
        <v>0</v>
      </c>
      <c r="AN109" s="79">
        <v>0</v>
      </c>
      <c r="AO109" s="79">
        <v>0</v>
      </c>
      <c r="AP109" s="79">
        <v>0</v>
      </c>
      <c r="AQ109" s="79">
        <v>0</v>
      </c>
      <c r="AR109" s="80">
        <v>2.398E-4</v>
      </c>
      <c r="AS109" s="80">
        <v>1.0381E-4</v>
      </c>
      <c r="AT109" s="79">
        <v>4898.1030000000001</v>
      </c>
      <c r="AU109" s="79">
        <v>0</v>
      </c>
      <c r="AV109" s="79">
        <v>2259.92</v>
      </c>
      <c r="AW109" s="79">
        <v>7448.8350337882603</v>
      </c>
      <c r="AX109" s="79">
        <v>14</v>
      </c>
      <c r="AY109" s="79">
        <v>14.84</v>
      </c>
      <c r="AZ109" s="79">
        <v>3441</v>
      </c>
      <c r="BA109" s="79">
        <v>1</v>
      </c>
      <c r="BB109" s="79">
        <v>0</v>
      </c>
      <c r="BC109" s="79">
        <v>0</v>
      </c>
      <c r="BD109" s="79">
        <v>0</v>
      </c>
      <c r="BE109" s="79">
        <v>0</v>
      </c>
      <c r="BF109" s="79">
        <v>0</v>
      </c>
      <c r="BG109" s="79">
        <v>0</v>
      </c>
      <c r="BH109" s="79">
        <v>0</v>
      </c>
      <c r="BI109" s="79">
        <v>0</v>
      </c>
      <c r="BJ109" s="79">
        <v>0</v>
      </c>
      <c r="BK109" s="79">
        <v>3</v>
      </c>
      <c r="BL109" s="79">
        <v>2748</v>
      </c>
      <c r="BM109" s="79">
        <v>172</v>
      </c>
      <c r="BN109" s="79">
        <v>100</v>
      </c>
      <c r="BO109">
        <v>5942</v>
      </c>
      <c r="BP109">
        <v>0</v>
      </c>
      <c r="BQ109">
        <v>5371</v>
      </c>
      <c r="BR109">
        <v>0</v>
      </c>
      <c r="BS109">
        <v>5316</v>
      </c>
      <c r="BT109">
        <v>0</v>
      </c>
      <c r="BU109">
        <v>5305</v>
      </c>
      <c r="BV109">
        <v>0</v>
      </c>
      <c r="BW109">
        <v>5255</v>
      </c>
      <c r="BX109">
        <v>0</v>
      </c>
      <c r="BY109">
        <v>5233</v>
      </c>
      <c r="BZ109">
        <v>0</v>
      </c>
      <c r="CA109">
        <v>4994</v>
      </c>
      <c r="CB109">
        <v>388.06163688754299</v>
      </c>
      <c r="CC109">
        <v>96.435523544667006</v>
      </c>
      <c r="CD109">
        <v>54.587655895744902</v>
      </c>
      <c r="CE109">
        <v>7079.3739637061399</v>
      </c>
      <c r="CF109">
        <v>1941.26468915026</v>
      </c>
      <c r="CG109">
        <v>118.41964481286099</v>
      </c>
      <c r="CH109">
        <v>237</v>
      </c>
      <c r="CI109">
        <v>68.999813158582398</v>
      </c>
      <c r="CJ109">
        <v>63.855994487258002</v>
      </c>
      <c r="CK109" s="81">
        <v>992</v>
      </c>
      <c r="CL109">
        <v>187</v>
      </c>
      <c r="CM109">
        <v>3216.0522338482001</v>
      </c>
      <c r="CN109">
        <v>0.119220257015762</v>
      </c>
      <c r="CO109">
        <v>19843</v>
      </c>
      <c r="CP109">
        <v>2753</v>
      </c>
      <c r="CQ109">
        <v>457</v>
      </c>
      <c r="CR109">
        <v>506</v>
      </c>
      <c r="CS109">
        <v>415</v>
      </c>
      <c r="CT109">
        <v>233</v>
      </c>
      <c r="CU109">
        <v>271.10671878411102</v>
      </c>
      <c r="CV109">
        <v>145.69571288576</v>
      </c>
      <c r="CW109">
        <v>50.389787992533698</v>
      </c>
      <c r="CX109">
        <v>705.09836821958902</v>
      </c>
      <c r="CY109">
        <v>378.9275672439</v>
      </c>
      <c r="CZ109">
        <v>131.05450668214399</v>
      </c>
      <c r="DA109">
        <v>17860.5</v>
      </c>
      <c r="DE109">
        <v>321</v>
      </c>
      <c r="DF109" t="s">
        <v>159</v>
      </c>
      <c r="DG109">
        <v>12727</v>
      </c>
      <c r="DH109">
        <v>12637</v>
      </c>
      <c r="DI109">
        <v>12560</v>
      </c>
      <c r="DJ109">
        <v>12411</v>
      </c>
      <c r="DK109">
        <v>12276</v>
      </c>
      <c r="DO109">
        <v>263</v>
      </c>
      <c r="DP109" t="s">
        <v>192</v>
      </c>
      <c r="DQ109">
        <v>10141</v>
      </c>
      <c r="DR109">
        <v>1.05</v>
      </c>
      <c r="DS109">
        <v>483</v>
      </c>
      <c r="DV109">
        <v>1722</v>
      </c>
      <c r="DW109" t="s">
        <v>805</v>
      </c>
      <c r="DX109">
        <v>1202.3898305084699</v>
      </c>
      <c r="DY109">
        <v>203</v>
      </c>
      <c r="DZ109">
        <v>172</v>
      </c>
      <c r="EA109">
        <v>91</v>
      </c>
      <c r="EB109">
        <v>662</v>
      </c>
      <c r="EC109">
        <v>362</v>
      </c>
      <c r="ED109">
        <v>113</v>
      </c>
      <c r="EE109" s="82">
        <v>0.21093608236578101</v>
      </c>
      <c r="EF109" s="82">
        <v>0.56316042753659901</v>
      </c>
    </row>
    <row r="110" spans="1:136" x14ac:dyDescent="0.35">
      <c r="A110" s="72">
        <v>1955</v>
      </c>
      <c r="B110" s="72">
        <v>5</v>
      </c>
      <c r="D110" s="72" t="s">
        <v>207</v>
      </c>
      <c r="E110" s="79">
        <v>2502800000</v>
      </c>
      <c r="F110" s="79">
        <v>385350000</v>
      </c>
      <c r="G110" s="79">
        <v>421400000</v>
      </c>
      <c r="H110" s="79">
        <v>35627</v>
      </c>
      <c r="I110" s="79">
        <v>5</v>
      </c>
      <c r="J110" s="79">
        <v>421.4</v>
      </c>
      <c r="K110" s="79">
        <v>7291</v>
      </c>
      <c r="L110" s="79">
        <v>8084</v>
      </c>
      <c r="M110" s="79">
        <v>2625</v>
      </c>
      <c r="N110" s="79">
        <v>4844</v>
      </c>
      <c r="O110" s="79">
        <v>3260.3</v>
      </c>
      <c r="P110" s="79">
        <v>476.66666666666703</v>
      </c>
      <c r="Q110" s="79">
        <v>2756.6666666666702</v>
      </c>
      <c r="R110" s="79">
        <v>835</v>
      </c>
      <c r="S110" s="79">
        <v>0</v>
      </c>
      <c r="T110" s="79">
        <v>897</v>
      </c>
      <c r="U110" s="79">
        <v>15696</v>
      </c>
      <c r="V110" s="79">
        <v>32970</v>
      </c>
      <c r="W110" s="79">
        <v>16620</v>
      </c>
      <c r="X110" s="79">
        <v>1337.2</v>
      </c>
      <c r="Y110" s="79">
        <v>405.6</v>
      </c>
      <c r="Z110" s="79">
        <v>0</v>
      </c>
      <c r="AA110" s="79">
        <v>0</v>
      </c>
      <c r="AB110" s="79">
        <v>0</v>
      </c>
      <c r="AC110" s="79">
        <v>10568</v>
      </c>
      <c r="AD110" s="79">
        <v>10568</v>
      </c>
      <c r="AE110" s="79">
        <v>96</v>
      </c>
      <c r="AF110" s="79">
        <v>0</v>
      </c>
      <c r="AG110" s="79">
        <v>347</v>
      </c>
      <c r="AH110" s="79">
        <v>238</v>
      </c>
      <c r="AI110" s="79">
        <v>109</v>
      </c>
      <c r="AJ110" s="79">
        <v>15837</v>
      </c>
      <c r="AK110" s="79">
        <v>15837</v>
      </c>
      <c r="AL110" s="79">
        <v>6</v>
      </c>
      <c r="AM110" s="79">
        <v>0</v>
      </c>
      <c r="AN110" s="79">
        <v>0</v>
      </c>
      <c r="AO110" s="79">
        <v>0</v>
      </c>
      <c r="AP110" s="79">
        <v>620</v>
      </c>
      <c r="AQ110" s="79">
        <v>620</v>
      </c>
      <c r="AR110" s="80">
        <v>4.4074799999999998E-4</v>
      </c>
      <c r="AS110" s="80">
        <v>2.3673499999999999E-4</v>
      </c>
      <c r="AT110" s="79">
        <v>11909.424000000001</v>
      </c>
      <c r="AU110" s="79">
        <v>0</v>
      </c>
      <c r="AV110" s="79">
        <v>560</v>
      </c>
      <c r="AW110" s="79">
        <v>1870.8852213053301</v>
      </c>
      <c r="AX110" s="79">
        <v>10</v>
      </c>
      <c r="AY110" s="79">
        <v>10</v>
      </c>
      <c r="AZ110" s="79">
        <v>3382</v>
      </c>
      <c r="BA110" s="79">
        <v>1</v>
      </c>
      <c r="BB110" s="79">
        <v>0</v>
      </c>
      <c r="BC110" s="79">
        <v>0</v>
      </c>
      <c r="BD110" s="79">
        <v>0</v>
      </c>
      <c r="BE110" s="79">
        <v>0</v>
      </c>
      <c r="BF110" s="79">
        <v>0</v>
      </c>
      <c r="BG110" s="79">
        <v>0</v>
      </c>
      <c r="BH110" s="79">
        <v>0</v>
      </c>
      <c r="BI110" s="79">
        <v>0</v>
      </c>
      <c r="BJ110" s="79">
        <v>0</v>
      </c>
      <c r="BK110" s="79">
        <v>24</v>
      </c>
      <c r="BL110" s="79">
        <v>4414</v>
      </c>
      <c r="BM110" s="79">
        <v>238</v>
      </c>
      <c r="BN110" s="79">
        <v>109</v>
      </c>
      <c r="BO110">
        <v>8379</v>
      </c>
      <c r="BP110">
        <v>721</v>
      </c>
      <c r="BQ110">
        <v>7516</v>
      </c>
      <c r="BR110">
        <v>704</v>
      </c>
      <c r="BS110">
        <v>7422</v>
      </c>
      <c r="BT110">
        <v>667</v>
      </c>
      <c r="BU110">
        <v>7201</v>
      </c>
      <c r="BV110">
        <v>645</v>
      </c>
      <c r="BW110">
        <v>7106</v>
      </c>
      <c r="BX110">
        <v>658</v>
      </c>
      <c r="BY110">
        <v>6888</v>
      </c>
      <c r="BZ110">
        <v>645</v>
      </c>
      <c r="CA110">
        <v>6409</v>
      </c>
      <c r="CB110">
        <v>691.54400607229104</v>
      </c>
      <c r="CC110">
        <v>137.71054346574701</v>
      </c>
      <c r="CD110">
        <v>64.288337644232399</v>
      </c>
      <c r="CE110">
        <v>9463.0861564739698</v>
      </c>
      <c r="CF110">
        <v>2260.1958491260302</v>
      </c>
      <c r="CG110">
        <v>139.71712985128801</v>
      </c>
      <c r="CH110">
        <v>327</v>
      </c>
      <c r="CI110">
        <v>152.09987914729001</v>
      </c>
      <c r="CJ110">
        <v>123.454922675365</v>
      </c>
      <c r="CK110" s="81">
        <v>2280</v>
      </c>
      <c r="CL110">
        <v>578</v>
      </c>
      <c r="CM110">
        <v>6287.36074488955</v>
      </c>
      <c r="CN110">
        <v>0.67931958980367302</v>
      </c>
      <c r="CO110">
        <v>27543</v>
      </c>
      <c r="CP110">
        <v>4675</v>
      </c>
      <c r="CQ110">
        <v>784</v>
      </c>
      <c r="CR110">
        <v>888</v>
      </c>
      <c r="CS110">
        <v>833</v>
      </c>
      <c r="CT110">
        <v>407</v>
      </c>
      <c r="CU110">
        <v>586.835034556604</v>
      </c>
      <c r="CV110">
        <v>376.67769668136998</v>
      </c>
      <c r="CW110">
        <v>117.94334437072401</v>
      </c>
      <c r="CX110">
        <v>1446.8893599615001</v>
      </c>
      <c r="CY110">
        <v>928.729403272377</v>
      </c>
      <c r="CZ110">
        <v>290.79887872954799</v>
      </c>
      <c r="DA110">
        <v>0</v>
      </c>
      <c r="DE110">
        <v>327</v>
      </c>
      <c r="DF110" t="s">
        <v>184</v>
      </c>
      <c r="DG110">
        <v>6571</v>
      </c>
      <c r="DH110">
        <v>6573</v>
      </c>
      <c r="DI110">
        <v>6468</v>
      </c>
      <c r="DJ110">
        <v>6429</v>
      </c>
      <c r="DK110">
        <v>6355</v>
      </c>
      <c r="DO110">
        <v>1955</v>
      </c>
      <c r="DP110" t="s">
        <v>207</v>
      </c>
      <c r="DQ110">
        <v>15837</v>
      </c>
      <c r="DR110">
        <v>1</v>
      </c>
      <c r="DS110">
        <v>752</v>
      </c>
      <c r="DV110">
        <v>779</v>
      </c>
      <c r="DW110" t="s">
        <v>110</v>
      </c>
      <c r="DX110">
        <v>2731.21210486568</v>
      </c>
      <c r="DY110">
        <v>517</v>
      </c>
      <c r="DZ110">
        <v>456</v>
      </c>
      <c r="EA110">
        <v>194</v>
      </c>
      <c r="EB110">
        <v>1611</v>
      </c>
      <c r="EC110">
        <v>916</v>
      </c>
      <c r="ED110">
        <v>270</v>
      </c>
      <c r="EE110" s="82">
        <v>0.18194612417318901</v>
      </c>
      <c r="EF110" s="82">
        <v>0.44921487196198601</v>
      </c>
    </row>
    <row r="111" spans="1:136" x14ac:dyDescent="0.35">
      <c r="A111" s="72">
        <v>1740</v>
      </c>
      <c r="B111" s="72">
        <v>5</v>
      </c>
      <c r="D111" s="72" t="s">
        <v>210</v>
      </c>
      <c r="E111" s="79">
        <v>1590800000</v>
      </c>
      <c r="F111" s="79">
        <v>251300000</v>
      </c>
      <c r="G111" s="79">
        <v>269150000</v>
      </c>
      <c r="H111" s="79">
        <v>23615</v>
      </c>
      <c r="I111" s="79">
        <v>4</v>
      </c>
      <c r="J111" s="79">
        <v>269.14999999999998</v>
      </c>
      <c r="K111" s="79">
        <v>6731</v>
      </c>
      <c r="L111" s="79">
        <v>3942</v>
      </c>
      <c r="M111" s="79">
        <v>1100</v>
      </c>
      <c r="N111" s="79">
        <v>2315</v>
      </c>
      <c r="O111" s="79">
        <v>1432.3</v>
      </c>
      <c r="P111" s="79">
        <v>261.33333333333297</v>
      </c>
      <c r="Q111" s="79">
        <v>1113.3333333333301</v>
      </c>
      <c r="R111" s="79">
        <v>405</v>
      </c>
      <c r="S111" s="79">
        <v>0</v>
      </c>
      <c r="T111" s="79">
        <v>489</v>
      </c>
      <c r="U111" s="79">
        <v>8914</v>
      </c>
      <c r="V111" s="79">
        <v>18180</v>
      </c>
      <c r="W111" s="79">
        <v>2380</v>
      </c>
      <c r="X111" s="79">
        <v>214.3</v>
      </c>
      <c r="Y111" s="79">
        <v>1112.8</v>
      </c>
      <c r="Z111" s="79">
        <v>0</v>
      </c>
      <c r="AA111" s="79">
        <v>0</v>
      </c>
      <c r="AB111" s="79">
        <v>0</v>
      </c>
      <c r="AC111" s="79">
        <v>5992</v>
      </c>
      <c r="AD111" s="79">
        <v>6291.6</v>
      </c>
      <c r="AE111" s="79">
        <v>754</v>
      </c>
      <c r="AF111" s="79">
        <v>0</v>
      </c>
      <c r="AG111" s="79">
        <v>208</v>
      </c>
      <c r="AH111" s="79">
        <v>137.55000000000001</v>
      </c>
      <c r="AI111" s="79">
        <v>81.900000000000006</v>
      </c>
      <c r="AJ111" s="79">
        <v>8827</v>
      </c>
      <c r="AK111" s="79">
        <v>9268.35</v>
      </c>
      <c r="AL111" s="79">
        <v>0</v>
      </c>
      <c r="AM111" s="79">
        <v>0</v>
      </c>
      <c r="AN111" s="79">
        <v>0</v>
      </c>
      <c r="AO111" s="79">
        <v>0</v>
      </c>
      <c r="AP111" s="79">
        <v>0</v>
      </c>
      <c r="AQ111" s="79">
        <v>0</v>
      </c>
      <c r="AR111" s="80">
        <v>1.63664E-4</v>
      </c>
      <c r="AS111" s="80">
        <v>8.3809999999999999E-5</v>
      </c>
      <c r="AT111" s="79">
        <v>3777.9560000000001</v>
      </c>
      <c r="AU111" s="79">
        <v>0</v>
      </c>
      <c r="AV111" s="79">
        <v>1983.45</v>
      </c>
      <c r="AW111" s="79">
        <v>7075.5734879928796</v>
      </c>
      <c r="AX111" s="79">
        <v>11</v>
      </c>
      <c r="AY111" s="79">
        <v>11.55</v>
      </c>
      <c r="AZ111" s="79">
        <v>2635</v>
      </c>
      <c r="BA111" s="79">
        <v>1</v>
      </c>
      <c r="BB111" s="79">
        <v>0</v>
      </c>
      <c r="BC111" s="79">
        <v>0</v>
      </c>
      <c r="BD111" s="79">
        <v>0</v>
      </c>
      <c r="BE111" s="79">
        <v>0</v>
      </c>
      <c r="BF111" s="79">
        <v>0</v>
      </c>
      <c r="BG111" s="79">
        <v>0</v>
      </c>
      <c r="BH111" s="79">
        <v>0</v>
      </c>
      <c r="BI111" s="79">
        <v>0</v>
      </c>
      <c r="BJ111" s="79">
        <v>0</v>
      </c>
      <c r="BK111" s="79">
        <v>13</v>
      </c>
      <c r="BL111" s="79">
        <v>2154</v>
      </c>
      <c r="BM111" s="79">
        <v>131</v>
      </c>
      <c r="BN111" s="79">
        <v>78</v>
      </c>
      <c r="BO111">
        <v>6966</v>
      </c>
      <c r="BP111">
        <v>1299</v>
      </c>
      <c r="BQ111">
        <v>6312</v>
      </c>
      <c r="BR111">
        <v>1290</v>
      </c>
      <c r="BS111">
        <v>6210</v>
      </c>
      <c r="BT111">
        <v>1379</v>
      </c>
      <c r="BU111">
        <v>6186</v>
      </c>
      <c r="BV111">
        <v>1412</v>
      </c>
      <c r="BW111">
        <v>6075</v>
      </c>
      <c r="BX111">
        <v>1478</v>
      </c>
      <c r="BY111">
        <v>5962</v>
      </c>
      <c r="BZ111">
        <v>1481</v>
      </c>
      <c r="CA111">
        <v>6030</v>
      </c>
      <c r="CB111">
        <v>434.30769788375898</v>
      </c>
      <c r="CC111">
        <v>280.41416992693303</v>
      </c>
      <c r="CD111">
        <v>71.495705478071102</v>
      </c>
      <c r="CE111">
        <v>5509.0829491064897</v>
      </c>
      <c r="CF111">
        <v>1703.3688249470799</v>
      </c>
      <c r="CG111">
        <v>321.56715340010498</v>
      </c>
      <c r="CH111">
        <v>173</v>
      </c>
      <c r="CI111">
        <v>98.759254390057094</v>
      </c>
      <c r="CJ111">
        <v>82.658037308506195</v>
      </c>
      <c r="CK111" s="81">
        <v>852</v>
      </c>
      <c r="CL111">
        <v>247</v>
      </c>
      <c r="CM111">
        <v>3719.2626057529601</v>
      </c>
      <c r="CN111">
        <v>0.32675972997313202</v>
      </c>
      <c r="CO111">
        <v>19673</v>
      </c>
      <c r="CP111">
        <v>2411</v>
      </c>
      <c r="CQ111">
        <v>431</v>
      </c>
      <c r="CR111">
        <v>402</v>
      </c>
      <c r="CS111">
        <v>366</v>
      </c>
      <c r="CT111">
        <v>214</v>
      </c>
      <c r="CU111">
        <v>236.99699340398499</v>
      </c>
      <c r="CV111">
        <v>123.44607253965199</v>
      </c>
      <c r="CW111">
        <v>48.340249167958497</v>
      </c>
      <c r="CX111">
        <v>703.777819901876</v>
      </c>
      <c r="CY111">
        <v>366.58105471959402</v>
      </c>
      <c r="CZ111">
        <v>143.549480034743</v>
      </c>
      <c r="DA111">
        <v>23360</v>
      </c>
      <c r="DE111">
        <v>331</v>
      </c>
      <c r="DF111" t="s">
        <v>189</v>
      </c>
      <c r="DG111">
        <v>3722</v>
      </c>
      <c r="DH111">
        <v>3681</v>
      </c>
      <c r="DI111">
        <v>3585</v>
      </c>
      <c r="DJ111">
        <v>3527</v>
      </c>
      <c r="DK111">
        <v>3468</v>
      </c>
      <c r="DO111">
        <v>1740</v>
      </c>
      <c r="DP111" t="s">
        <v>210</v>
      </c>
      <c r="DQ111">
        <v>8827</v>
      </c>
      <c r="DR111">
        <v>1.05</v>
      </c>
      <c r="DS111">
        <v>428</v>
      </c>
      <c r="DV111">
        <v>236</v>
      </c>
      <c r="DW111" t="s">
        <v>807</v>
      </c>
      <c r="DX111">
        <v>2580.8959674365801</v>
      </c>
      <c r="DY111">
        <v>542</v>
      </c>
      <c r="DZ111">
        <v>485</v>
      </c>
      <c r="EA111">
        <v>226</v>
      </c>
      <c r="EB111">
        <v>1886</v>
      </c>
      <c r="EC111">
        <v>1035</v>
      </c>
      <c r="ED111">
        <v>317</v>
      </c>
      <c r="EE111" s="82">
        <v>0.135032872000417</v>
      </c>
      <c r="EF111" s="82">
        <v>0.36624757212398801</v>
      </c>
    </row>
    <row r="112" spans="1:136" x14ac:dyDescent="0.35">
      <c r="A112" s="72">
        <v>304</v>
      </c>
      <c r="B112" s="72">
        <v>5</v>
      </c>
      <c r="D112" s="72" t="s">
        <v>809</v>
      </c>
      <c r="E112" s="79">
        <v>957200000</v>
      </c>
      <c r="F112" s="79">
        <v>189000000</v>
      </c>
      <c r="G112" s="79">
        <v>226450000</v>
      </c>
      <c r="H112" s="79">
        <v>12397</v>
      </c>
      <c r="I112" s="79">
        <v>3</v>
      </c>
      <c r="J112" s="79">
        <v>226.45</v>
      </c>
      <c r="K112" s="79">
        <v>3231</v>
      </c>
      <c r="L112" s="79">
        <v>2103</v>
      </c>
      <c r="M112" s="79">
        <v>627</v>
      </c>
      <c r="N112" s="79">
        <v>1146</v>
      </c>
      <c r="O112" s="79">
        <v>654.1</v>
      </c>
      <c r="P112" s="79">
        <v>122.333333333333</v>
      </c>
      <c r="Q112" s="79">
        <v>557.33333333333303</v>
      </c>
      <c r="R112" s="79">
        <v>235</v>
      </c>
      <c r="S112" s="79">
        <v>0</v>
      </c>
      <c r="T112" s="79">
        <v>270</v>
      </c>
      <c r="U112" s="79">
        <v>4878</v>
      </c>
      <c r="V112" s="79">
        <v>8040</v>
      </c>
      <c r="W112" s="79">
        <v>340</v>
      </c>
      <c r="X112" s="79">
        <v>0</v>
      </c>
      <c r="Y112" s="79">
        <v>0</v>
      </c>
      <c r="Z112" s="79">
        <v>0</v>
      </c>
      <c r="AA112" s="79">
        <v>0</v>
      </c>
      <c r="AB112" s="79">
        <v>0</v>
      </c>
      <c r="AC112" s="79">
        <v>6587</v>
      </c>
      <c r="AD112" s="79">
        <v>7838.53</v>
      </c>
      <c r="AE112" s="79">
        <v>703</v>
      </c>
      <c r="AF112" s="79">
        <v>0</v>
      </c>
      <c r="AG112" s="79">
        <v>136</v>
      </c>
      <c r="AH112" s="79">
        <v>88.92</v>
      </c>
      <c r="AI112" s="79">
        <v>71.400000000000006</v>
      </c>
      <c r="AJ112" s="79">
        <v>4919</v>
      </c>
      <c r="AK112" s="79">
        <v>5755.23</v>
      </c>
      <c r="AL112" s="79">
        <v>0</v>
      </c>
      <c r="AM112" s="79">
        <v>0</v>
      </c>
      <c r="AN112" s="79">
        <v>0</v>
      </c>
      <c r="AO112" s="79">
        <v>0</v>
      </c>
      <c r="AP112" s="79">
        <v>0</v>
      </c>
      <c r="AQ112" s="79">
        <v>0</v>
      </c>
      <c r="AR112" s="80">
        <v>1.8031500000000001E-4</v>
      </c>
      <c r="AS112" s="80">
        <v>4.2336999999999998E-5</v>
      </c>
      <c r="AT112" s="79">
        <v>973.96199999999999</v>
      </c>
      <c r="AU112" s="79">
        <v>0</v>
      </c>
      <c r="AV112" s="79">
        <v>2255.0500000000002</v>
      </c>
      <c r="AW112" s="79">
        <v>4704.9931069958902</v>
      </c>
      <c r="AX112" s="79">
        <v>10</v>
      </c>
      <c r="AY112" s="79">
        <v>11.9</v>
      </c>
      <c r="AZ112" s="79">
        <v>1687</v>
      </c>
      <c r="BA112" s="79">
        <v>1</v>
      </c>
      <c r="BB112" s="79">
        <v>0</v>
      </c>
      <c r="BC112" s="79">
        <v>0</v>
      </c>
      <c r="BD112" s="79">
        <v>0</v>
      </c>
      <c r="BE112" s="79">
        <v>0</v>
      </c>
      <c r="BF112" s="79">
        <v>0</v>
      </c>
      <c r="BG112" s="79">
        <v>0</v>
      </c>
      <c r="BH112" s="79">
        <v>0</v>
      </c>
      <c r="BI112" s="79">
        <v>0</v>
      </c>
      <c r="BJ112" s="79">
        <v>0</v>
      </c>
      <c r="BK112" s="79">
        <v>2</v>
      </c>
      <c r="BL112" s="79">
        <v>1166</v>
      </c>
      <c r="BM112" s="79">
        <v>76</v>
      </c>
      <c r="BN112" s="79">
        <v>60</v>
      </c>
      <c r="BO112">
        <v>3260</v>
      </c>
      <c r="BP112">
        <v>0</v>
      </c>
      <c r="BQ112">
        <v>2966</v>
      </c>
      <c r="BR112">
        <v>0</v>
      </c>
      <c r="BS112">
        <v>2974</v>
      </c>
      <c r="BT112">
        <v>0</v>
      </c>
      <c r="BU112">
        <v>2941</v>
      </c>
      <c r="BV112">
        <v>0</v>
      </c>
      <c r="BW112">
        <v>2928</v>
      </c>
      <c r="BX112">
        <v>0</v>
      </c>
      <c r="BY112">
        <v>2927</v>
      </c>
      <c r="BZ112">
        <v>0</v>
      </c>
      <c r="CA112">
        <v>2922</v>
      </c>
      <c r="CB112">
        <v>207.33289063975201</v>
      </c>
      <c r="CC112">
        <v>73.184792724333704</v>
      </c>
      <c r="CD112">
        <v>37.517956147272898</v>
      </c>
      <c r="CE112">
        <v>3740.94683055121</v>
      </c>
      <c r="CF112">
        <v>1087.96147152244</v>
      </c>
      <c r="CG112">
        <v>106.519129271917</v>
      </c>
      <c r="CH112">
        <v>106</v>
      </c>
      <c r="CI112">
        <v>47.722361329849399</v>
      </c>
      <c r="CJ112">
        <v>30.863730668841399</v>
      </c>
      <c r="CK112" s="81">
        <v>435</v>
      </c>
      <c r="CL112">
        <v>116</v>
      </c>
      <c r="CM112">
        <v>1595.7583666061701</v>
      </c>
      <c r="CN112">
        <v>5.9645026945750898E-2</v>
      </c>
      <c r="CO112">
        <v>10294</v>
      </c>
      <c r="CP112">
        <v>1258</v>
      </c>
      <c r="CQ112">
        <v>218</v>
      </c>
      <c r="CR112">
        <v>240</v>
      </c>
      <c r="CS112">
        <v>196</v>
      </c>
      <c r="CT112">
        <v>107</v>
      </c>
      <c r="CU112">
        <v>102.850140018939</v>
      </c>
      <c r="CV112">
        <v>59.341736673281503</v>
      </c>
      <c r="CW112">
        <v>20.357142849802901</v>
      </c>
      <c r="CX112">
        <v>275.52087996700101</v>
      </c>
      <c r="CY112">
        <v>158.968062697649</v>
      </c>
      <c r="CZ112">
        <v>54.533886979238297</v>
      </c>
      <c r="DA112">
        <v>0</v>
      </c>
      <c r="DE112">
        <v>335</v>
      </c>
      <c r="DF112" t="s">
        <v>208</v>
      </c>
      <c r="DG112">
        <v>3465</v>
      </c>
      <c r="DH112">
        <v>3421</v>
      </c>
      <c r="DI112">
        <v>3409</v>
      </c>
      <c r="DJ112">
        <v>3398</v>
      </c>
      <c r="DK112">
        <v>3360</v>
      </c>
      <c r="DO112">
        <v>304</v>
      </c>
      <c r="DP112" t="s">
        <v>809</v>
      </c>
      <c r="DQ112">
        <v>4919</v>
      </c>
      <c r="DR112">
        <v>1.17</v>
      </c>
      <c r="DS112">
        <v>198</v>
      </c>
      <c r="DV112">
        <v>1771</v>
      </c>
      <c r="DW112" t="s">
        <v>111</v>
      </c>
      <c r="DX112">
        <v>4991.0238878310502</v>
      </c>
      <c r="DY112">
        <v>967</v>
      </c>
      <c r="DZ112">
        <v>971</v>
      </c>
      <c r="EA112">
        <v>514</v>
      </c>
      <c r="EB112">
        <v>2973</v>
      </c>
      <c r="EC112">
        <v>1942</v>
      </c>
      <c r="ED112">
        <v>698</v>
      </c>
      <c r="EE112" s="82">
        <v>0.18314653019975299</v>
      </c>
      <c r="EF112" s="82">
        <v>0.42992500956889801</v>
      </c>
    </row>
    <row r="113" spans="1:136" x14ac:dyDescent="0.35">
      <c r="A113" s="72">
        <v>267</v>
      </c>
      <c r="B113" s="72">
        <v>5</v>
      </c>
      <c r="D113" s="72" t="s">
        <v>214</v>
      </c>
      <c r="E113" s="79">
        <v>3767200000</v>
      </c>
      <c r="F113" s="79">
        <v>776650000</v>
      </c>
      <c r="G113" s="79">
        <v>802900000</v>
      </c>
      <c r="H113" s="79">
        <v>42307</v>
      </c>
      <c r="I113" s="79">
        <v>3</v>
      </c>
      <c r="J113" s="79">
        <v>802.9</v>
      </c>
      <c r="K113" s="79">
        <v>10811</v>
      </c>
      <c r="L113" s="79">
        <v>7760</v>
      </c>
      <c r="M113" s="79">
        <v>2440</v>
      </c>
      <c r="N113" s="79">
        <v>4347</v>
      </c>
      <c r="O113" s="79">
        <v>2654.6</v>
      </c>
      <c r="P113" s="79">
        <v>398.66666666666703</v>
      </c>
      <c r="Q113" s="79">
        <v>2049.6666666666702</v>
      </c>
      <c r="R113" s="79">
        <v>1830</v>
      </c>
      <c r="S113" s="79">
        <v>0</v>
      </c>
      <c r="T113" s="79">
        <v>960</v>
      </c>
      <c r="U113" s="79">
        <v>17282</v>
      </c>
      <c r="V113" s="79">
        <v>37540</v>
      </c>
      <c r="W113" s="79">
        <v>16200</v>
      </c>
      <c r="X113" s="79">
        <v>775.08</v>
      </c>
      <c r="Y113" s="79">
        <v>2235.1999999999998</v>
      </c>
      <c r="Z113" s="79">
        <v>0</v>
      </c>
      <c r="AA113" s="79">
        <v>0</v>
      </c>
      <c r="AB113" s="79">
        <v>412.5</v>
      </c>
      <c r="AC113" s="79">
        <v>6936</v>
      </c>
      <c r="AD113" s="79">
        <v>6936</v>
      </c>
      <c r="AE113" s="79">
        <v>268</v>
      </c>
      <c r="AF113" s="79">
        <v>0</v>
      </c>
      <c r="AG113" s="79">
        <v>320</v>
      </c>
      <c r="AH113" s="79">
        <v>241</v>
      </c>
      <c r="AI113" s="79">
        <v>79</v>
      </c>
      <c r="AJ113" s="79">
        <v>16924</v>
      </c>
      <c r="AK113" s="79">
        <v>16924</v>
      </c>
      <c r="AL113" s="79">
        <v>14</v>
      </c>
      <c r="AM113" s="79">
        <v>0</v>
      </c>
      <c r="AN113" s="79">
        <v>0</v>
      </c>
      <c r="AO113" s="79">
        <v>0</v>
      </c>
      <c r="AP113" s="79">
        <v>1146</v>
      </c>
      <c r="AQ113" s="79">
        <v>1146</v>
      </c>
      <c r="AR113" s="80">
        <v>3.65294E-4</v>
      </c>
      <c r="AS113" s="80">
        <v>2.9211599999999998E-4</v>
      </c>
      <c r="AT113" s="79">
        <v>18616.400000000001</v>
      </c>
      <c r="AU113" s="79">
        <v>0</v>
      </c>
      <c r="AV113" s="79">
        <v>1349</v>
      </c>
      <c r="AW113" s="79">
        <v>7922.2852581898896</v>
      </c>
      <c r="AX113" s="79">
        <v>9</v>
      </c>
      <c r="AY113" s="79">
        <v>9</v>
      </c>
      <c r="AZ113" s="79">
        <v>4980</v>
      </c>
      <c r="BA113" s="79">
        <v>1</v>
      </c>
      <c r="BB113" s="79">
        <v>0</v>
      </c>
      <c r="BC113" s="79">
        <v>0</v>
      </c>
      <c r="BD113" s="79">
        <v>0</v>
      </c>
      <c r="BE113" s="79">
        <v>0</v>
      </c>
      <c r="BF113" s="79">
        <v>0</v>
      </c>
      <c r="BG113" s="79">
        <v>0</v>
      </c>
      <c r="BH113" s="79">
        <v>0</v>
      </c>
      <c r="BI113" s="79">
        <v>0</v>
      </c>
      <c r="BJ113" s="79">
        <v>0</v>
      </c>
      <c r="BK113" s="79">
        <v>21</v>
      </c>
      <c r="BL113" s="79">
        <v>4736</v>
      </c>
      <c r="BM113" s="79">
        <v>241</v>
      </c>
      <c r="BN113" s="79">
        <v>79</v>
      </c>
      <c r="BO113">
        <v>10449</v>
      </c>
      <c r="BP113">
        <v>2165</v>
      </c>
      <c r="BQ113">
        <v>9491</v>
      </c>
      <c r="BR113">
        <v>2209</v>
      </c>
      <c r="BS113">
        <v>9520</v>
      </c>
      <c r="BT113">
        <v>2248</v>
      </c>
      <c r="BU113">
        <v>9504</v>
      </c>
      <c r="BV113">
        <v>2294</v>
      </c>
      <c r="BW113">
        <v>9626</v>
      </c>
      <c r="BX113">
        <v>2317</v>
      </c>
      <c r="BY113">
        <v>9594</v>
      </c>
      <c r="BZ113">
        <v>2322</v>
      </c>
      <c r="CA113">
        <v>9735</v>
      </c>
      <c r="CB113">
        <v>668.381432829147</v>
      </c>
      <c r="CC113">
        <v>199.23777701361101</v>
      </c>
      <c r="CD113">
        <v>113.514512429129</v>
      </c>
      <c r="CE113">
        <v>11996.0820313164</v>
      </c>
      <c r="CF113">
        <v>3351.7772981009398</v>
      </c>
      <c r="CG113">
        <v>350.74404509283801</v>
      </c>
      <c r="CH113">
        <v>379</v>
      </c>
      <c r="CI113">
        <v>116.21760210842</v>
      </c>
      <c r="CJ113">
        <v>99.686302505108301</v>
      </c>
      <c r="CK113" s="81">
        <v>1651</v>
      </c>
      <c r="CL113">
        <v>473</v>
      </c>
      <c r="CM113">
        <v>5311.2182538411098</v>
      </c>
      <c r="CN113">
        <v>0.19850406913735499</v>
      </c>
      <c r="CO113">
        <v>34547</v>
      </c>
      <c r="CP113">
        <v>4553</v>
      </c>
      <c r="CQ113">
        <v>767</v>
      </c>
      <c r="CR113">
        <v>841</v>
      </c>
      <c r="CS113">
        <v>788</v>
      </c>
      <c r="CT113">
        <v>371</v>
      </c>
      <c r="CU113">
        <v>433.74147127859999</v>
      </c>
      <c r="CV113">
        <v>265.89214966265001</v>
      </c>
      <c r="CW113">
        <v>85.022740482098101</v>
      </c>
      <c r="CX113">
        <v>1147.5336377476101</v>
      </c>
      <c r="CY113">
        <v>703.46094610568105</v>
      </c>
      <c r="CZ113">
        <v>224.94149427096099</v>
      </c>
      <c r="DA113">
        <v>44254</v>
      </c>
      <c r="DE113">
        <v>339</v>
      </c>
      <c r="DF113" t="s">
        <v>252</v>
      </c>
      <c r="DG113">
        <v>1250</v>
      </c>
      <c r="DH113">
        <v>1260</v>
      </c>
      <c r="DI113">
        <v>1286</v>
      </c>
      <c r="DJ113">
        <v>1288</v>
      </c>
      <c r="DK113">
        <v>1304</v>
      </c>
      <c r="DO113">
        <v>267</v>
      </c>
      <c r="DP113" t="s">
        <v>214</v>
      </c>
      <c r="DQ113">
        <v>16924</v>
      </c>
      <c r="DR113">
        <v>1</v>
      </c>
      <c r="DS113">
        <v>1100</v>
      </c>
      <c r="DV113">
        <v>1652</v>
      </c>
      <c r="DW113" t="s">
        <v>112</v>
      </c>
      <c r="DX113">
        <v>3744.7529196790301</v>
      </c>
      <c r="DY113">
        <v>608</v>
      </c>
      <c r="DZ113">
        <v>590</v>
      </c>
      <c r="EA113">
        <v>347</v>
      </c>
      <c r="EB113">
        <v>2081</v>
      </c>
      <c r="EC113">
        <v>1224</v>
      </c>
      <c r="ED113">
        <v>460</v>
      </c>
      <c r="EE113" s="82">
        <v>0.18763752359467201</v>
      </c>
      <c r="EF113" s="82">
        <v>0.46927942762387398</v>
      </c>
    </row>
    <row r="114" spans="1:136" x14ac:dyDescent="0.35">
      <c r="A114" s="72">
        <v>268</v>
      </c>
      <c r="B114" s="72">
        <v>5</v>
      </c>
      <c r="D114" s="72" t="s">
        <v>215</v>
      </c>
      <c r="E114" s="79">
        <v>13016800000</v>
      </c>
      <c r="F114" s="79">
        <v>2905350000</v>
      </c>
      <c r="G114" s="79">
        <v>2925300000</v>
      </c>
      <c r="H114" s="79">
        <v>175948</v>
      </c>
      <c r="I114" s="79">
        <v>2</v>
      </c>
      <c r="J114" s="79">
        <v>2925.3</v>
      </c>
      <c r="K114" s="79">
        <v>34499</v>
      </c>
      <c r="L114" s="79">
        <v>27057</v>
      </c>
      <c r="M114" s="79">
        <v>8158</v>
      </c>
      <c r="N114" s="79">
        <v>29879</v>
      </c>
      <c r="O114" s="79">
        <v>21484.400000000001</v>
      </c>
      <c r="P114" s="79">
        <v>7486.6666666666697</v>
      </c>
      <c r="Q114" s="79">
        <v>16904.666666666701</v>
      </c>
      <c r="R114" s="79">
        <v>14865</v>
      </c>
      <c r="S114" s="79">
        <v>0</v>
      </c>
      <c r="T114" s="79">
        <v>6074</v>
      </c>
      <c r="U114" s="79">
        <v>98977</v>
      </c>
      <c r="V114" s="79">
        <v>206390</v>
      </c>
      <c r="W114" s="79">
        <v>358360</v>
      </c>
      <c r="X114" s="79">
        <v>5281.22</v>
      </c>
      <c r="Y114" s="79">
        <v>12026.4</v>
      </c>
      <c r="Z114" s="79">
        <v>0</v>
      </c>
      <c r="AA114" s="79">
        <v>0</v>
      </c>
      <c r="AB114" s="79">
        <v>476.69999999999902</v>
      </c>
      <c r="AC114" s="79">
        <v>5268</v>
      </c>
      <c r="AD114" s="79">
        <v>5268</v>
      </c>
      <c r="AE114" s="79">
        <v>491</v>
      </c>
      <c r="AF114" s="79">
        <v>0</v>
      </c>
      <c r="AG114" s="79">
        <v>739</v>
      </c>
      <c r="AH114" s="79">
        <v>691</v>
      </c>
      <c r="AI114" s="79">
        <v>48</v>
      </c>
      <c r="AJ114" s="79">
        <v>83946</v>
      </c>
      <c r="AK114" s="79">
        <v>83946</v>
      </c>
      <c r="AL114" s="79">
        <v>20</v>
      </c>
      <c r="AM114" s="79">
        <v>0</v>
      </c>
      <c r="AN114" s="79">
        <v>0</v>
      </c>
      <c r="AO114" s="79">
        <v>0</v>
      </c>
      <c r="AP114" s="79">
        <v>16196</v>
      </c>
      <c r="AQ114" s="79">
        <v>14335</v>
      </c>
      <c r="AR114" s="80">
        <v>1.1320648000000001E-2</v>
      </c>
      <c r="AS114" s="80">
        <v>1.4075005999999999E-2</v>
      </c>
      <c r="AT114" s="79">
        <v>198112.56</v>
      </c>
      <c r="AU114" s="79">
        <v>0</v>
      </c>
      <c r="AV114" s="79">
        <v>1695</v>
      </c>
      <c r="AW114" s="79">
        <v>51785.355096370899</v>
      </c>
      <c r="AX114" s="79">
        <v>4</v>
      </c>
      <c r="AY114" s="79">
        <v>4</v>
      </c>
      <c r="AZ114" s="79">
        <v>17445</v>
      </c>
      <c r="BA114" s="79">
        <v>1</v>
      </c>
      <c r="BB114" s="79">
        <v>0</v>
      </c>
      <c r="BC114" s="79">
        <v>0</v>
      </c>
      <c r="BD114" s="79">
        <v>0</v>
      </c>
      <c r="BE114" s="79">
        <v>0</v>
      </c>
      <c r="BF114" s="79">
        <v>0</v>
      </c>
      <c r="BG114" s="79">
        <v>0</v>
      </c>
      <c r="BH114" s="79">
        <v>0</v>
      </c>
      <c r="BI114" s="79">
        <v>0</v>
      </c>
      <c r="BJ114" s="79">
        <v>0</v>
      </c>
      <c r="BK114" s="79">
        <v>96</v>
      </c>
      <c r="BL114" s="79">
        <v>52570</v>
      </c>
      <c r="BM114" s="79">
        <v>691</v>
      </c>
      <c r="BN114" s="79">
        <v>48</v>
      </c>
      <c r="BO114">
        <v>33580</v>
      </c>
      <c r="BP114">
        <v>13233</v>
      </c>
      <c r="BQ114">
        <v>28481</v>
      </c>
      <c r="BR114">
        <v>13322</v>
      </c>
      <c r="BS114">
        <v>28429</v>
      </c>
      <c r="BT114">
        <v>13722</v>
      </c>
      <c r="BU114">
        <v>28488</v>
      </c>
      <c r="BV114">
        <v>13797</v>
      </c>
      <c r="BW114">
        <v>28599</v>
      </c>
      <c r="BX114">
        <v>14000</v>
      </c>
      <c r="BY114">
        <v>28579</v>
      </c>
      <c r="BZ114">
        <v>14416</v>
      </c>
      <c r="CA114">
        <v>29350</v>
      </c>
      <c r="CB114">
        <v>5097.32922286963</v>
      </c>
      <c r="CC114">
        <v>551.50978495059599</v>
      </c>
      <c r="CD114">
        <v>530.37429889851205</v>
      </c>
      <c r="CE114">
        <v>46505.446800627098</v>
      </c>
      <c r="CF114">
        <v>10003.0720868601</v>
      </c>
      <c r="CG114">
        <v>1326.20523096586</v>
      </c>
      <c r="CH114">
        <v>2029</v>
      </c>
      <c r="CI114">
        <v>1899.2792662381401</v>
      </c>
      <c r="CJ114">
        <v>1763.8444699480399</v>
      </c>
      <c r="CK114" s="81">
        <v>9418</v>
      </c>
      <c r="CL114">
        <v>3520</v>
      </c>
      <c r="CM114">
        <v>19953.794096150301</v>
      </c>
      <c r="CN114">
        <v>20.724584328321999</v>
      </c>
      <c r="CO114">
        <v>148891</v>
      </c>
      <c r="CP114">
        <v>15971</v>
      </c>
      <c r="CQ114">
        <v>2928</v>
      </c>
      <c r="CR114">
        <v>5158</v>
      </c>
      <c r="CS114">
        <v>3494</v>
      </c>
      <c r="CT114">
        <v>1610</v>
      </c>
      <c r="CU114">
        <v>2804.1896869140701</v>
      </c>
      <c r="CV114">
        <v>1541.9588266548601</v>
      </c>
      <c r="CW114">
        <v>539.49364424704402</v>
      </c>
      <c r="CX114">
        <v>5658.0740648328601</v>
      </c>
      <c r="CY114">
        <v>3111.2436105337201</v>
      </c>
      <c r="CZ114">
        <v>1088.5479719510499</v>
      </c>
      <c r="DA114">
        <v>148520.9</v>
      </c>
      <c r="DE114">
        <v>340</v>
      </c>
      <c r="DF114" t="s">
        <v>255</v>
      </c>
      <c r="DG114">
        <v>4482</v>
      </c>
      <c r="DH114">
        <v>4464</v>
      </c>
      <c r="DI114">
        <v>4507</v>
      </c>
      <c r="DJ114">
        <v>4453</v>
      </c>
      <c r="DK114">
        <v>4421</v>
      </c>
      <c r="DO114">
        <v>268</v>
      </c>
      <c r="DP114" t="s">
        <v>215</v>
      </c>
      <c r="DQ114">
        <v>83946</v>
      </c>
      <c r="DR114">
        <v>1</v>
      </c>
      <c r="DS114">
        <v>2360</v>
      </c>
      <c r="DV114">
        <v>907</v>
      </c>
      <c r="DW114" t="s">
        <v>113</v>
      </c>
      <c r="DX114">
        <v>2194.02697441602</v>
      </c>
      <c r="DY114">
        <v>394</v>
      </c>
      <c r="DZ114">
        <v>367</v>
      </c>
      <c r="EA114">
        <v>173</v>
      </c>
      <c r="EB114">
        <v>1323</v>
      </c>
      <c r="EC114">
        <v>806</v>
      </c>
      <c r="ED114">
        <v>256</v>
      </c>
      <c r="EE114" s="82">
        <v>0.15294292995342601</v>
      </c>
      <c r="EF114" s="82">
        <v>0.48170966454611602</v>
      </c>
    </row>
    <row r="115" spans="1:136" x14ac:dyDescent="0.35">
      <c r="A115" s="72">
        <v>302</v>
      </c>
      <c r="B115" s="72">
        <v>5</v>
      </c>
      <c r="D115" s="72" t="s">
        <v>223</v>
      </c>
      <c r="E115" s="79">
        <v>2316400000</v>
      </c>
      <c r="F115" s="79">
        <v>339850000</v>
      </c>
      <c r="G115" s="79">
        <v>366450000</v>
      </c>
      <c r="H115" s="79">
        <v>27114</v>
      </c>
      <c r="I115" s="79">
        <v>2</v>
      </c>
      <c r="J115" s="79">
        <v>366.45</v>
      </c>
      <c r="K115" s="79">
        <v>6826</v>
      </c>
      <c r="L115" s="79">
        <v>5396</v>
      </c>
      <c r="M115" s="79">
        <v>1710</v>
      </c>
      <c r="N115" s="79">
        <v>2973</v>
      </c>
      <c r="O115" s="79">
        <v>1755</v>
      </c>
      <c r="P115" s="79">
        <v>286.33333333333297</v>
      </c>
      <c r="Q115" s="79">
        <v>1555.3333333333301</v>
      </c>
      <c r="R115" s="79">
        <v>395</v>
      </c>
      <c r="S115" s="79">
        <v>0</v>
      </c>
      <c r="T115" s="79">
        <v>573</v>
      </c>
      <c r="U115" s="79">
        <v>11183</v>
      </c>
      <c r="V115" s="79">
        <v>26350</v>
      </c>
      <c r="W115" s="79">
        <v>16150</v>
      </c>
      <c r="X115" s="79">
        <v>1526.08</v>
      </c>
      <c r="Y115" s="79">
        <v>348</v>
      </c>
      <c r="Z115" s="79">
        <v>0</v>
      </c>
      <c r="AA115" s="79">
        <v>0</v>
      </c>
      <c r="AB115" s="79">
        <v>0</v>
      </c>
      <c r="AC115" s="79">
        <v>12873</v>
      </c>
      <c r="AD115" s="79">
        <v>12873</v>
      </c>
      <c r="AE115" s="79">
        <v>80</v>
      </c>
      <c r="AF115" s="79">
        <v>0</v>
      </c>
      <c r="AG115" s="79">
        <v>207</v>
      </c>
      <c r="AH115" s="79">
        <v>157</v>
      </c>
      <c r="AI115" s="79">
        <v>50</v>
      </c>
      <c r="AJ115" s="79">
        <v>12180</v>
      </c>
      <c r="AK115" s="79">
        <v>12180</v>
      </c>
      <c r="AL115" s="79">
        <v>0</v>
      </c>
      <c r="AM115" s="79">
        <v>0</v>
      </c>
      <c r="AN115" s="79">
        <v>0</v>
      </c>
      <c r="AO115" s="79">
        <v>0</v>
      </c>
      <c r="AP115" s="79">
        <v>579</v>
      </c>
      <c r="AQ115" s="79">
        <v>0</v>
      </c>
      <c r="AR115" s="80">
        <v>2.19574E-4</v>
      </c>
      <c r="AS115" s="80">
        <v>1.6286499999999999E-4</v>
      </c>
      <c r="AT115" s="79">
        <v>9427.32</v>
      </c>
      <c r="AU115" s="79">
        <v>0</v>
      </c>
      <c r="AV115" s="79">
        <v>376</v>
      </c>
      <c r="AW115" s="79">
        <v>787.06585347023895</v>
      </c>
      <c r="AX115" s="79">
        <v>12</v>
      </c>
      <c r="AY115" s="79">
        <v>12</v>
      </c>
      <c r="AZ115" s="79">
        <v>2936</v>
      </c>
      <c r="BA115" s="79">
        <v>1</v>
      </c>
      <c r="BB115" s="79">
        <v>0</v>
      </c>
      <c r="BC115" s="79">
        <v>0</v>
      </c>
      <c r="BD115" s="79">
        <v>0</v>
      </c>
      <c r="BE115" s="79">
        <v>0</v>
      </c>
      <c r="BF115" s="79">
        <v>0</v>
      </c>
      <c r="BG115" s="79">
        <v>0</v>
      </c>
      <c r="BH115" s="79">
        <v>0</v>
      </c>
      <c r="BI115" s="79">
        <v>0</v>
      </c>
      <c r="BJ115" s="79">
        <v>0</v>
      </c>
      <c r="BK115" s="79">
        <v>20</v>
      </c>
      <c r="BL115" s="79">
        <v>3021</v>
      </c>
      <c r="BM115" s="79">
        <v>157</v>
      </c>
      <c r="BN115" s="79">
        <v>50</v>
      </c>
      <c r="BO115">
        <v>7366</v>
      </c>
      <c r="BP115">
        <v>413</v>
      </c>
      <c r="BQ115">
        <v>6620</v>
      </c>
      <c r="BR115">
        <v>394</v>
      </c>
      <c r="BS115">
        <v>6553</v>
      </c>
      <c r="BT115">
        <v>379</v>
      </c>
      <c r="BU115">
        <v>6508</v>
      </c>
      <c r="BV115">
        <v>360</v>
      </c>
      <c r="BW115">
        <v>6380</v>
      </c>
      <c r="BX115">
        <v>309</v>
      </c>
      <c r="BY115">
        <v>6315</v>
      </c>
      <c r="BZ115">
        <v>318</v>
      </c>
      <c r="CA115">
        <v>6080</v>
      </c>
      <c r="CB115">
        <v>390.98885026982401</v>
      </c>
      <c r="CC115">
        <v>195.093992272901</v>
      </c>
      <c r="CD115">
        <v>44.945710046679203</v>
      </c>
      <c r="CE115">
        <v>6895.0140930467596</v>
      </c>
      <c r="CF115">
        <v>1818.1464400397899</v>
      </c>
      <c r="CG115">
        <v>261.44</v>
      </c>
      <c r="CH115">
        <v>204</v>
      </c>
      <c r="CI115">
        <v>78.310568654409195</v>
      </c>
      <c r="CJ115">
        <v>73.789149185275903</v>
      </c>
      <c r="CK115" s="81">
        <v>1269</v>
      </c>
      <c r="CL115">
        <v>449</v>
      </c>
      <c r="CM115">
        <v>4035.3230184460599</v>
      </c>
      <c r="CN115">
        <v>0.233071058021984</v>
      </c>
      <c r="CO115">
        <v>21718</v>
      </c>
      <c r="CP115">
        <v>2970</v>
      </c>
      <c r="CQ115">
        <v>716</v>
      </c>
      <c r="CR115">
        <v>557</v>
      </c>
      <c r="CS115">
        <v>537</v>
      </c>
      <c r="CT115">
        <v>320</v>
      </c>
      <c r="CU115">
        <v>258.14824782730602</v>
      </c>
      <c r="CV115">
        <v>169.84195546227301</v>
      </c>
      <c r="CW115">
        <v>67.274124852316902</v>
      </c>
      <c r="CX115">
        <v>819.20410651267298</v>
      </c>
      <c r="CY115">
        <v>538.97413034511203</v>
      </c>
      <c r="CZ115">
        <v>213.48678445391599</v>
      </c>
      <c r="DA115">
        <v>63145</v>
      </c>
      <c r="DE115">
        <v>342</v>
      </c>
      <c r="DF115" t="s">
        <v>279</v>
      </c>
      <c r="DG115">
        <v>10027</v>
      </c>
      <c r="DH115">
        <v>9986</v>
      </c>
      <c r="DI115">
        <v>9958</v>
      </c>
      <c r="DJ115">
        <v>9873</v>
      </c>
      <c r="DK115">
        <v>9761</v>
      </c>
      <c r="DO115">
        <v>302</v>
      </c>
      <c r="DP115" t="s">
        <v>223</v>
      </c>
      <c r="DQ115">
        <v>12180</v>
      </c>
      <c r="DR115">
        <v>1</v>
      </c>
      <c r="DS115">
        <v>774</v>
      </c>
      <c r="DV115">
        <v>689</v>
      </c>
      <c r="DW115" t="s">
        <v>814</v>
      </c>
      <c r="DX115">
        <v>1326.16076058773</v>
      </c>
      <c r="DY115">
        <v>277</v>
      </c>
      <c r="DZ115">
        <v>261</v>
      </c>
      <c r="EA115">
        <v>160</v>
      </c>
      <c r="EB115">
        <v>1067</v>
      </c>
      <c r="EC115">
        <v>597</v>
      </c>
      <c r="ED115">
        <v>225</v>
      </c>
      <c r="EE115" s="82">
        <v>0.121914451236233</v>
      </c>
      <c r="EF115" s="82">
        <v>0.33432256961095702</v>
      </c>
    </row>
    <row r="116" spans="1:136" x14ac:dyDescent="0.35">
      <c r="A116" s="72">
        <v>269</v>
      </c>
      <c r="B116" s="72">
        <v>5</v>
      </c>
      <c r="D116" s="72" t="s">
        <v>228</v>
      </c>
      <c r="E116" s="79">
        <v>1822400000</v>
      </c>
      <c r="F116" s="79">
        <v>259350000</v>
      </c>
      <c r="G116" s="79">
        <v>286650000</v>
      </c>
      <c r="H116" s="79">
        <v>23504</v>
      </c>
      <c r="I116" s="79">
        <v>3</v>
      </c>
      <c r="J116" s="79">
        <v>286.64999999999998</v>
      </c>
      <c r="K116" s="79">
        <v>5899</v>
      </c>
      <c r="L116" s="79">
        <v>4236</v>
      </c>
      <c r="M116" s="79">
        <v>1355</v>
      </c>
      <c r="N116" s="79">
        <v>2389</v>
      </c>
      <c r="O116" s="79">
        <v>1414.5</v>
      </c>
      <c r="P116" s="79">
        <v>279.33333333333297</v>
      </c>
      <c r="Q116" s="79">
        <v>1266.3333333333301</v>
      </c>
      <c r="R116" s="79">
        <v>250</v>
      </c>
      <c r="S116" s="79">
        <v>0</v>
      </c>
      <c r="T116" s="79">
        <v>407</v>
      </c>
      <c r="U116" s="79">
        <v>9363</v>
      </c>
      <c r="V116" s="79">
        <v>20770</v>
      </c>
      <c r="W116" s="79">
        <v>8290</v>
      </c>
      <c r="X116" s="79">
        <v>0</v>
      </c>
      <c r="Y116" s="79">
        <v>244</v>
      </c>
      <c r="Z116" s="79">
        <v>0</v>
      </c>
      <c r="AA116" s="79">
        <v>0</v>
      </c>
      <c r="AB116" s="79">
        <v>0</v>
      </c>
      <c r="AC116" s="79">
        <v>9769</v>
      </c>
      <c r="AD116" s="79">
        <v>9769</v>
      </c>
      <c r="AE116" s="79">
        <v>114</v>
      </c>
      <c r="AF116" s="79">
        <v>0</v>
      </c>
      <c r="AG116" s="79">
        <v>194</v>
      </c>
      <c r="AH116" s="79">
        <v>132</v>
      </c>
      <c r="AI116" s="79">
        <v>61</v>
      </c>
      <c r="AJ116" s="79">
        <v>9745</v>
      </c>
      <c r="AK116" s="79">
        <v>9745</v>
      </c>
      <c r="AL116" s="79">
        <v>0</v>
      </c>
      <c r="AM116" s="79">
        <v>0</v>
      </c>
      <c r="AN116" s="79">
        <v>0</v>
      </c>
      <c r="AO116" s="79">
        <v>0</v>
      </c>
      <c r="AP116" s="79">
        <v>0</v>
      </c>
      <c r="AQ116" s="79">
        <v>0</v>
      </c>
      <c r="AR116" s="80">
        <v>1.9782299999999999E-4</v>
      </c>
      <c r="AS116" s="80">
        <v>9.9681999999999999E-5</v>
      </c>
      <c r="AT116" s="79">
        <v>6217.31</v>
      </c>
      <c r="AU116" s="79">
        <v>0</v>
      </c>
      <c r="AV116" s="79">
        <v>919</v>
      </c>
      <c r="AW116" s="79">
        <v>2185.5889911969998</v>
      </c>
      <c r="AX116" s="79">
        <v>9</v>
      </c>
      <c r="AY116" s="79">
        <v>9</v>
      </c>
      <c r="AZ116" s="79">
        <v>2283</v>
      </c>
      <c r="BA116" s="79">
        <v>1</v>
      </c>
      <c r="BB116" s="79">
        <v>0</v>
      </c>
      <c r="BC116" s="79">
        <v>0</v>
      </c>
      <c r="BD116" s="79">
        <v>0</v>
      </c>
      <c r="BE116" s="79">
        <v>0</v>
      </c>
      <c r="BF116" s="79">
        <v>0</v>
      </c>
      <c r="BG116" s="79">
        <v>0</v>
      </c>
      <c r="BH116" s="79">
        <v>0</v>
      </c>
      <c r="BI116" s="79">
        <v>0</v>
      </c>
      <c r="BJ116" s="79">
        <v>0</v>
      </c>
      <c r="BK116" s="79">
        <v>15</v>
      </c>
      <c r="BL116" s="79">
        <v>2278</v>
      </c>
      <c r="BM116" s="79">
        <v>132</v>
      </c>
      <c r="BN116" s="79">
        <v>61</v>
      </c>
      <c r="BO116">
        <v>6227</v>
      </c>
      <c r="BP116">
        <v>329</v>
      </c>
      <c r="BQ116">
        <v>5435</v>
      </c>
      <c r="BR116">
        <v>300</v>
      </c>
      <c r="BS116">
        <v>5440</v>
      </c>
      <c r="BT116">
        <v>322</v>
      </c>
      <c r="BU116">
        <v>5338</v>
      </c>
      <c r="BV116">
        <v>296</v>
      </c>
      <c r="BW116">
        <v>5314</v>
      </c>
      <c r="BX116">
        <v>303</v>
      </c>
      <c r="BY116">
        <v>5252</v>
      </c>
      <c r="BZ116">
        <v>356</v>
      </c>
      <c r="CA116">
        <v>5309</v>
      </c>
      <c r="CB116">
        <v>337.32094283560099</v>
      </c>
      <c r="CC116">
        <v>195.72071674360399</v>
      </c>
      <c r="CD116">
        <v>39.483036282284701</v>
      </c>
      <c r="CE116">
        <v>5634.4092562819396</v>
      </c>
      <c r="CF116">
        <v>1609.5795489844199</v>
      </c>
      <c r="CG116">
        <v>216.50752313452799</v>
      </c>
      <c r="CH116">
        <v>146</v>
      </c>
      <c r="CI116">
        <v>71.844169317922393</v>
      </c>
      <c r="CJ116">
        <v>54.277595314169297</v>
      </c>
      <c r="CK116" s="81">
        <v>987</v>
      </c>
      <c r="CL116">
        <v>286</v>
      </c>
      <c r="CM116">
        <v>3319.00407202216</v>
      </c>
      <c r="CN116">
        <v>0.41222607764889302</v>
      </c>
      <c r="CO116">
        <v>19268</v>
      </c>
      <c r="CP116">
        <v>2413</v>
      </c>
      <c r="CQ116">
        <v>468</v>
      </c>
      <c r="CR116">
        <v>399</v>
      </c>
      <c r="CS116">
        <v>420</v>
      </c>
      <c r="CT116">
        <v>218</v>
      </c>
      <c r="CU116">
        <v>208.76414133689201</v>
      </c>
      <c r="CV116">
        <v>136.75648201624</v>
      </c>
      <c r="CW116">
        <v>50.376326177956599</v>
      </c>
      <c r="CX116">
        <v>723.47854943510197</v>
      </c>
      <c r="CY116">
        <v>473.93379246722202</v>
      </c>
      <c r="CZ116">
        <v>174.58070699164099</v>
      </c>
      <c r="DA116">
        <v>10584</v>
      </c>
      <c r="DE116">
        <v>344</v>
      </c>
      <c r="DF116" t="s">
        <v>305</v>
      </c>
      <c r="DG116">
        <v>57035</v>
      </c>
      <c r="DH116">
        <v>58865</v>
      </c>
      <c r="DI116">
        <v>60349</v>
      </c>
      <c r="DJ116">
        <v>61917</v>
      </c>
      <c r="DK116">
        <v>63621</v>
      </c>
      <c r="DO116">
        <v>269</v>
      </c>
      <c r="DP116" t="s">
        <v>228</v>
      </c>
      <c r="DQ116">
        <v>9745</v>
      </c>
      <c r="DR116">
        <v>1</v>
      </c>
      <c r="DS116">
        <v>638</v>
      </c>
      <c r="DV116">
        <v>784</v>
      </c>
      <c r="DW116" t="s">
        <v>114</v>
      </c>
      <c r="DX116">
        <v>3205.6300246103401</v>
      </c>
      <c r="DY116">
        <v>613</v>
      </c>
      <c r="DZ116">
        <v>518</v>
      </c>
      <c r="EA116">
        <v>214</v>
      </c>
      <c r="EB116">
        <v>1983</v>
      </c>
      <c r="EC116">
        <v>1118</v>
      </c>
      <c r="ED116">
        <v>326</v>
      </c>
      <c r="EE116" s="82">
        <v>0.180041060942635</v>
      </c>
      <c r="EF116" s="82">
        <v>0.44921487196198601</v>
      </c>
    </row>
    <row r="117" spans="1:136" x14ac:dyDescent="0.35">
      <c r="A117" s="72">
        <v>1586</v>
      </c>
      <c r="B117" s="72">
        <v>5</v>
      </c>
      <c r="D117" s="72" t="s">
        <v>232</v>
      </c>
      <c r="E117" s="79">
        <v>2036800000</v>
      </c>
      <c r="F117" s="79">
        <v>487200000</v>
      </c>
      <c r="G117" s="79">
        <v>538300000</v>
      </c>
      <c r="H117" s="79">
        <v>29672</v>
      </c>
      <c r="I117" s="79">
        <v>3</v>
      </c>
      <c r="J117" s="79">
        <v>538.29999999999995</v>
      </c>
      <c r="K117" s="79">
        <v>6755</v>
      </c>
      <c r="L117" s="79">
        <v>6240</v>
      </c>
      <c r="M117" s="79">
        <v>1992</v>
      </c>
      <c r="N117" s="79">
        <v>3741</v>
      </c>
      <c r="O117" s="79">
        <v>2383.4</v>
      </c>
      <c r="P117" s="79">
        <v>339</v>
      </c>
      <c r="Q117" s="79">
        <v>1815</v>
      </c>
      <c r="R117" s="79">
        <v>590</v>
      </c>
      <c r="S117" s="79">
        <v>0</v>
      </c>
      <c r="T117" s="79">
        <v>584</v>
      </c>
      <c r="U117" s="79">
        <v>13033</v>
      </c>
      <c r="V117" s="79">
        <v>29410</v>
      </c>
      <c r="W117" s="79">
        <v>18280</v>
      </c>
      <c r="X117" s="79">
        <v>1232.48</v>
      </c>
      <c r="Y117" s="79">
        <v>1511.2</v>
      </c>
      <c r="Z117" s="79">
        <v>0</v>
      </c>
      <c r="AA117" s="79">
        <v>0</v>
      </c>
      <c r="AB117" s="79">
        <v>0</v>
      </c>
      <c r="AC117" s="79">
        <v>10962</v>
      </c>
      <c r="AD117" s="79">
        <v>10962</v>
      </c>
      <c r="AE117" s="79">
        <v>50</v>
      </c>
      <c r="AF117" s="79">
        <v>0</v>
      </c>
      <c r="AG117" s="79">
        <v>334</v>
      </c>
      <c r="AH117" s="79">
        <v>189</v>
      </c>
      <c r="AI117" s="79">
        <v>145</v>
      </c>
      <c r="AJ117" s="79">
        <v>13576</v>
      </c>
      <c r="AK117" s="79">
        <v>13576</v>
      </c>
      <c r="AL117" s="79">
        <v>9</v>
      </c>
      <c r="AM117" s="79">
        <v>0</v>
      </c>
      <c r="AN117" s="79">
        <v>0</v>
      </c>
      <c r="AO117" s="79">
        <v>2400</v>
      </c>
      <c r="AP117" s="79">
        <v>718</v>
      </c>
      <c r="AQ117" s="79">
        <v>718</v>
      </c>
      <c r="AR117" s="80">
        <v>3.6675899999999998E-4</v>
      </c>
      <c r="AS117" s="80">
        <v>1.6792099999999999E-4</v>
      </c>
      <c r="AT117" s="79">
        <v>10019.088</v>
      </c>
      <c r="AU117" s="79">
        <v>0</v>
      </c>
      <c r="AV117" s="79">
        <v>1184</v>
      </c>
      <c r="AW117" s="79">
        <v>3190.3058481656399</v>
      </c>
      <c r="AX117" s="79">
        <v>8</v>
      </c>
      <c r="AY117" s="79">
        <v>8</v>
      </c>
      <c r="AZ117" s="79">
        <v>3052</v>
      </c>
      <c r="BA117" s="79">
        <v>1</v>
      </c>
      <c r="BB117" s="79">
        <v>0</v>
      </c>
      <c r="BC117" s="79">
        <v>0</v>
      </c>
      <c r="BD117" s="79">
        <v>0</v>
      </c>
      <c r="BE117" s="79">
        <v>0</v>
      </c>
      <c r="BF117" s="79">
        <v>0</v>
      </c>
      <c r="BG117" s="79">
        <v>0</v>
      </c>
      <c r="BH117" s="79">
        <v>0</v>
      </c>
      <c r="BI117" s="79">
        <v>0</v>
      </c>
      <c r="BJ117" s="79">
        <v>0</v>
      </c>
      <c r="BK117" s="79">
        <v>12</v>
      </c>
      <c r="BL117" s="79">
        <v>3548</v>
      </c>
      <c r="BM117" s="79">
        <v>189</v>
      </c>
      <c r="BN117" s="79">
        <v>145</v>
      </c>
      <c r="BO117">
        <v>7722</v>
      </c>
      <c r="BP117">
        <v>1986</v>
      </c>
      <c r="BQ117">
        <v>7018</v>
      </c>
      <c r="BR117">
        <v>1900</v>
      </c>
      <c r="BS117">
        <v>6947</v>
      </c>
      <c r="BT117">
        <v>1935</v>
      </c>
      <c r="BU117">
        <v>6936</v>
      </c>
      <c r="BV117">
        <v>1925</v>
      </c>
      <c r="BW117">
        <v>6784</v>
      </c>
      <c r="BX117">
        <v>1891</v>
      </c>
      <c r="BY117">
        <v>6630</v>
      </c>
      <c r="BZ117">
        <v>1909</v>
      </c>
      <c r="CA117">
        <v>5986</v>
      </c>
      <c r="CB117">
        <v>364.25098609854399</v>
      </c>
      <c r="CC117">
        <v>85.233452880446706</v>
      </c>
      <c r="CD117">
        <v>46.945991370838399</v>
      </c>
      <c r="CE117">
        <v>7967.0769071595796</v>
      </c>
      <c r="CF117">
        <v>1992.2592427689599</v>
      </c>
      <c r="CG117">
        <v>104.319022341376</v>
      </c>
      <c r="CH117">
        <v>235</v>
      </c>
      <c r="CI117">
        <v>86.064839959820702</v>
      </c>
      <c r="CJ117">
        <v>73.4343936603467</v>
      </c>
      <c r="CK117" s="81">
        <v>1476</v>
      </c>
      <c r="CL117">
        <v>376</v>
      </c>
      <c r="CM117">
        <v>4547.2488174154496</v>
      </c>
      <c r="CN117">
        <v>0.37582705259379101</v>
      </c>
      <c r="CO117">
        <v>23432</v>
      </c>
      <c r="CP117">
        <v>3574</v>
      </c>
      <c r="CQ117">
        <v>674</v>
      </c>
      <c r="CR117">
        <v>649</v>
      </c>
      <c r="CS117">
        <v>652</v>
      </c>
      <c r="CT117">
        <v>318</v>
      </c>
      <c r="CU117">
        <v>380.45182353105702</v>
      </c>
      <c r="CV117">
        <v>235.083060317529</v>
      </c>
      <c r="CW117">
        <v>74.264476859084994</v>
      </c>
      <c r="CX117">
        <v>1008.09340558229</v>
      </c>
      <c r="CY117">
        <v>622.905892974013</v>
      </c>
      <c r="CZ117">
        <v>196.780577093359</v>
      </c>
      <c r="DA117">
        <v>19845</v>
      </c>
      <c r="DE117">
        <v>345</v>
      </c>
      <c r="DF117" t="s">
        <v>311</v>
      </c>
      <c r="DG117">
        <v>15365</v>
      </c>
      <c r="DH117">
        <v>15199</v>
      </c>
      <c r="DI117">
        <v>15166</v>
      </c>
      <c r="DJ117">
        <v>15228</v>
      </c>
      <c r="DK117">
        <v>15070</v>
      </c>
      <c r="DO117">
        <v>1586</v>
      </c>
      <c r="DP117" t="s">
        <v>232</v>
      </c>
      <c r="DQ117">
        <v>13576</v>
      </c>
      <c r="DR117">
        <v>1</v>
      </c>
      <c r="DS117">
        <v>738</v>
      </c>
      <c r="DV117">
        <v>1924</v>
      </c>
      <c r="DW117" t="s">
        <v>115</v>
      </c>
      <c r="DX117">
        <v>5766.5166185324797</v>
      </c>
      <c r="DY117">
        <v>1081</v>
      </c>
      <c r="DZ117">
        <v>1050</v>
      </c>
      <c r="EA117">
        <v>602</v>
      </c>
      <c r="EB117">
        <v>3592</v>
      </c>
      <c r="EC117">
        <v>2233</v>
      </c>
      <c r="ED117">
        <v>858</v>
      </c>
      <c r="EE117" s="82">
        <v>0.120897016607258</v>
      </c>
      <c r="EF117" s="82">
        <v>0.418704494192155</v>
      </c>
    </row>
    <row r="118" spans="1:136" x14ac:dyDescent="0.35">
      <c r="A118" s="72">
        <v>1509</v>
      </c>
      <c r="B118" s="72">
        <v>5</v>
      </c>
      <c r="D118" s="72" t="s">
        <v>239</v>
      </c>
      <c r="E118" s="79">
        <v>2692000000</v>
      </c>
      <c r="F118" s="79">
        <v>477750000</v>
      </c>
      <c r="G118" s="79">
        <v>538300000</v>
      </c>
      <c r="H118" s="79">
        <v>39520</v>
      </c>
      <c r="I118" s="79">
        <v>3</v>
      </c>
      <c r="J118" s="79">
        <v>538.29999999999995</v>
      </c>
      <c r="K118" s="79">
        <v>8459</v>
      </c>
      <c r="L118" s="79">
        <v>8973</v>
      </c>
      <c r="M118" s="79">
        <v>2866</v>
      </c>
      <c r="N118" s="79">
        <v>5768</v>
      </c>
      <c r="O118" s="79">
        <v>4013.5</v>
      </c>
      <c r="P118" s="79">
        <v>688.66666666666697</v>
      </c>
      <c r="Q118" s="79">
        <v>2947.6666666666702</v>
      </c>
      <c r="R118" s="79">
        <v>2020</v>
      </c>
      <c r="S118" s="79">
        <v>0</v>
      </c>
      <c r="T118" s="79">
        <v>987</v>
      </c>
      <c r="U118" s="79">
        <v>17625</v>
      </c>
      <c r="V118" s="79">
        <v>39840</v>
      </c>
      <c r="W118" s="79">
        <v>26630</v>
      </c>
      <c r="X118" s="79">
        <v>207.6</v>
      </c>
      <c r="Y118" s="79">
        <v>1904.8</v>
      </c>
      <c r="Z118" s="79">
        <v>0</v>
      </c>
      <c r="AA118" s="79">
        <v>0</v>
      </c>
      <c r="AB118" s="79">
        <v>0</v>
      </c>
      <c r="AC118" s="79">
        <v>13607</v>
      </c>
      <c r="AD118" s="79">
        <v>13607</v>
      </c>
      <c r="AE118" s="79">
        <v>189</v>
      </c>
      <c r="AF118" s="79">
        <v>0</v>
      </c>
      <c r="AG118" s="79">
        <v>413</v>
      </c>
      <c r="AH118" s="79">
        <v>243</v>
      </c>
      <c r="AI118" s="79">
        <v>170</v>
      </c>
      <c r="AJ118" s="79">
        <v>17545</v>
      </c>
      <c r="AK118" s="79">
        <v>17545</v>
      </c>
      <c r="AL118" s="79">
        <v>0</v>
      </c>
      <c r="AM118" s="79">
        <v>0</v>
      </c>
      <c r="AN118" s="79">
        <v>0</v>
      </c>
      <c r="AO118" s="79">
        <v>0</v>
      </c>
      <c r="AP118" s="79">
        <v>518</v>
      </c>
      <c r="AQ118" s="79">
        <v>0</v>
      </c>
      <c r="AR118" s="80">
        <v>7.8256699999999996E-4</v>
      </c>
      <c r="AS118" s="80">
        <v>2.9898899999999999E-4</v>
      </c>
      <c r="AT118" s="79">
        <v>11193.71</v>
      </c>
      <c r="AU118" s="79">
        <v>0</v>
      </c>
      <c r="AV118" s="79">
        <v>1506</v>
      </c>
      <c r="AW118" s="79">
        <v>4314.0852420991596</v>
      </c>
      <c r="AX118" s="79">
        <v>11</v>
      </c>
      <c r="AY118" s="79">
        <v>11</v>
      </c>
      <c r="AZ118" s="79">
        <v>3766</v>
      </c>
      <c r="BA118" s="79">
        <v>1</v>
      </c>
      <c r="BB118" s="79">
        <v>0</v>
      </c>
      <c r="BC118" s="79">
        <v>0</v>
      </c>
      <c r="BD118" s="79">
        <v>0</v>
      </c>
      <c r="BE118" s="79">
        <v>0</v>
      </c>
      <c r="BF118" s="79">
        <v>0</v>
      </c>
      <c r="BG118" s="79">
        <v>0</v>
      </c>
      <c r="BH118" s="79">
        <v>0</v>
      </c>
      <c r="BI118" s="79">
        <v>0</v>
      </c>
      <c r="BJ118" s="79">
        <v>0</v>
      </c>
      <c r="BK118" s="79">
        <v>24</v>
      </c>
      <c r="BL118" s="79">
        <v>5187</v>
      </c>
      <c r="BM118" s="79">
        <v>243</v>
      </c>
      <c r="BN118" s="79">
        <v>170</v>
      </c>
      <c r="BO118">
        <v>9624</v>
      </c>
      <c r="BP118">
        <v>2345</v>
      </c>
      <c r="BQ118">
        <v>8832</v>
      </c>
      <c r="BR118">
        <v>2363</v>
      </c>
      <c r="BS118">
        <v>8694</v>
      </c>
      <c r="BT118">
        <v>2346</v>
      </c>
      <c r="BU118">
        <v>8577</v>
      </c>
      <c r="BV118">
        <v>2385</v>
      </c>
      <c r="BW118">
        <v>8381</v>
      </c>
      <c r="BX118">
        <v>2346</v>
      </c>
      <c r="BY118">
        <v>8177</v>
      </c>
      <c r="BZ118">
        <v>2313</v>
      </c>
      <c r="CA118">
        <v>7538</v>
      </c>
      <c r="CB118">
        <v>753.56526391397801</v>
      </c>
      <c r="CC118">
        <v>192.859766636785</v>
      </c>
      <c r="CD118">
        <v>106.529124078206</v>
      </c>
      <c r="CE118">
        <v>10072.6389524395</v>
      </c>
      <c r="CF118">
        <v>2451.4358976171802</v>
      </c>
      <c r="CG118">
        <v>235.862199833472</v>
      </c>
      <c r="CH118">
        <v>381</v>
      </c>
      <c r="CI118">
        <v>205.701803535034</v>
      </c>
      <c r="CJ118">
        <v>185.891895062907</v>
      </c>
      <c r="CK118" s="81">
        <v>2259</v>
      </c>
      <c r="CL118">
        <v>557</v>
      </c>
      <c r="CM118">
        <v>6885.2914542199396</v>
      </c>
      <c r="CN118">
        <v>1.4183885491858701</v>
      </c>
      <c r="CO118">
        <v>30547</v>
      </c>
      <c r="CP118">
        <v>5103</v>
      </c>
      <c r="CQ118">
        <v>1004</v>
      </c>
      <c r="CR118">
        <v>963</v>
      </c>
      <c r="CS118">
        <v>935</v>
      </c>
      <c r="CT118">
        <v>478</v>
      </c>
      <c r="CU118">
        <v>714.00381296925502</v>
      </c>
      <c r="CV118">
        <v>443.592884763661</v>
      </c>
      <c r="CW118">
        <v>152.59229197388399</v>
      </c>
      <c r="CX118">
        <v>1654.13766940389</v>
      </c>
      <c r="CY118">
        <v>1027.67476481068</v>
      </c>
      <c r="CZ118">
        <v>353.511639055557</v>
      </c>
      <c r="DA118">
        <v>32942.699999999997</v>
      </c>
      <c r="DE118">
        <v>351</v>
      </c>
      <c r="DF118" t="s">
        <v>351</v>
      </c>
      <c r="DG118">
        <v>3005</v>
      </c>
      <c r="DH118">
        <v>3032</v>
      </c>
      <c r="DI118">
        <v>3062</v>
      </c>
      <c r="DJ118">
        <v>3041</v>
      </c>
      <c r="DK118">
        <v>3074</v>
      </c>
      <c r="DO118">
        <v>1509</v>
      </c>
      <c r="DP118" t="s">
        <v>239</v>
      </c>
      <c r="DQ118">
        <v>17545</v>
      </c>
      <c r="DR118">
        <v>1</v>
      </c>
      <c r="DS118">
        <v>638</v>
      </c>
      <c r="DV118">
        <v>664</v>
      </c>
      <c r="DW118" t="s">
        <v>116</v>
      </c>
      <c r="DX118">
        <v>5820.1575070158997</v>
      </c>
      <c r="DY118">
        <v>999</v>
      </c>
      <c r="DZ118">
        <v>891</v>
      </c>
      <c r="EA118">
        <v>660</v>
      </c>
      <c r="EB118">
        <v>2882</v>
      </c>
      <c r="EC118">
        <v>1872</v>
      </c>
      <c r="ED118">
        <v>869</v>
      </c>
      <c r="EE118" s="82">
        <v>0.212089522602601</v>
      </c>
      <c r="EF118" s="82">
        <v>0.44921487196198601</v>
      </c>
    </row>
    <row r="119" spans="1:136" x14ac:dyDescent="0.35">
      <c r="A119" s="72">
        <v>1734</v>
      </c>
      <c r="B119" s="72">
        <v>5</v>
      </c>
      <c r="D119" s="72" t="s">
        <v>242</v>
      </c>
      <c r="E119" s="79">
        <v>3604400000</v>
      </c>
      <c r="F119" s="79">
        <v>586950000</v>
      </c>
      <c r="G119" s="79">
        <v>627550000</v>
      </c>
      <c r="H119" s="79">
        <v>47481</v>
      </c>
      <c r="I119" s="79">
        <v>6</v>
      </c>
      <c r="J119" s="79">
        <v>627.54999999999995</v>
      </c>
      <c r="K119" s="79">
        <v>11863</v>
      </c>
      <c r="L119" s="79">
        <v>8838</v>
      </c>
      <c r="M119" s="79">
        <v>2715</v>
      </c>
      <c r="N119" s="79">
        <v>4804</v>
      </c>
      <c r="O119" s="79">
        <v>2840.6</v>
      </c>
      <c r="P119" s="79">
        <v>564.66666666666697</v>
      </c>
      <c r="Q119" s="79">
        <v>2576.6666666666702</v>
      </c>
      <c r="R119" s="79">
        <v>1110</v>
      </c>
      <c r="S119" s="79">
        <v>0</v>
      </c>
      <c r="T119" s="79">
        <v>1366</v>
      </c>
      <c r="U119" s="79">
        <v>19905</v>
      </c>
      <c r="V119" s="79">
        <v>38520</v>
      </c>
      <c r="W119" s="79">
        <v>13900</v>
      </c>
      <c r="X119" s="79">
        <v>598.58000000000004</v>
      </c>
      <c r="Y119" s="79">
        <v>2238.4</v>
      </c>
      <c r="Z119" s="79">
        <v>0</v>
      </c>
      <c r="AA119" s="79">
        <v>0</v>
      </c>
      <c r="AB119" s="79">
        <v>290</v>
      </c>
      <c r="AC119" s="79">
        <v>10913</v>
      </c>
      <c r="AD119" s="79">
        <v>11131.26</v>
      </c>
      <c r="AE119" s="79">
        <v>596</v>
      </c>
      <c r="AF119" s="79">
        <v>0</v>
      </c>
      <c r="AG119" s="79">
        <v>360</v>
      </c>
      <c r="AH119" s="79">
        <v>259.57</v>
      </c>
      <c r="AI119" s="79">
        <v>105.06</v>
      </c>
      <c r="AJ119" s="79">
        <v>19634</v>
      </c>
      <c r="AK119" s="79">
        <v>19830.34</v>
      </c>
      <c r="AL119" s="79">
        <v>0</v>
      </c>
      <c r="AM119" s="79">
        <v>0</v>
      </c>
      <c r="AN119" s="79">
        <v>0</v>
      </c>
      <c r="AO119" s="79">
        <v>0</v>
      </c>
      <c r="AP119" s="79">
        <v>676</v>
      </c>
      <c r="AQ119" s="79">
        <v>0</v>
      </c>
      <c r="AR119" s="80">
        <v>3.1669899999999998E-4</v>
      </c>
      <c r="AS119" s="80">
        <v>2.1105599999999999E-4</v>
      </c>
      <c r="AT119" s="79">
        <v>15550.128000000001</v>
      </c>
      <c r="AU119" s="79">
        <v>0</v>
      </c>
      <c r="AV119" s="79">
        <v>2662.2</v>
      </c>
      <c r="AW119" s="79">
        <v>11025.130280649901</v>
      </c>
      <c r="AX119" s="79">
        <v>11</v>
      </c>
      <c r="AY119" s="79">
        <v>11.22</v>
      </c>
      <c r="AZ119" s="79">
        <v>5143</v>
      </c>
      <c r="BA119" s="79">
        <v>1</v>
      </c>
      <c r="BB119" s="79">
        <v>0</v>
      </c>
      <c r="BC119" s="79">
        <v>0</v>
      </c>
      <c r="BD119" s="79">
        <v>0</v>
      </c>
      <c r="BE119" s="79">
        <v>0</v>
      </c>
      <c r="BF119" s="79">
        <v>0</v>
      </c>
      <c r="BG119" s="79">
        <v>0</v>
      </c>
      <c r="BH119" s="79">
        <v>0</v>
      </c>
      <c r="BI119" s="79">
        <v>0</v>
      </c>
      <c r="BJ119" s="79">
        <v>0</v>
      </c>
      <c r="BK119" s="79">
        <v>25</v>
      </c>
      <c r="BL119" s="79">
        <v>5027</v>
      </c>
      <c r="BM119" s="79">
        <v>257</v>
      </c>
      <c r="BN119" s="79">
        <v>103</v>
      </c>
      <c r="BO119">
        <v>11976</v>
      </c>
      <c r="BP119">
        <v>2280</v>
      </c>
      <c r="BQ119">
        <v>11193</v>
      </c>
      <c r="BR119">
        <v>2235</v>
      </c>
      <c r="BS119">
        <v>11244</v>
      </c>
      <c r="BT119">
        <v>2259</v>
      </c>
      <c r="BU119">
        <v>11227</v>
      </c>
      <c r="BV119">
        <v>2275</v>
      </c>
      <c r="BW119">
        <v>11168</v>
      </c>
      <c r="BX119">
        <v>2295</v>
      </c>
      <c r="BY119">
        <v>11074</v>
      </c>
      <c r="BZ119">
        <v>2344</v>
      </c>
      <c r="CA119">
        <v>10625</v>
      </c>
      <c r="CB119">
        <v>839.54860361037595</v>
      </c>
      <c r="CC119">
        <v>153.09292839722701</v>
      </c>
      <c r="CD119">
        <v>66.063972135309299</v>
      </c>
      <c r="CE119">
        <v>13530.654498498599</v>
      </c>
      <c r="CF119">
        <v>3963.4854435931502</v>
      </c>
      <c r="CG119">
        <v>394.59207806039302</v>
      </c>
      <c r="CH119">
        <v>527</v>
      </c>
      <c r="CI119">
        <v>166.298881231161</v>
      </c>
      <c r="CJ119">
        <v>162.47803041757899</v>
      </c>
      <c r="CK119" s="81">
        <v>2012</v>
      </c>
      <c r="CL119">
        <v>546</v>
      </c>
      <c r="CM119">
        <v>6718.53826560572</v>
      </c>
      <c r="CN119">
        <v>0.51602846570949501</v>
      </c>
      <c r="CO119">
        <v>38643</v>
      </c>
      <c r="CP119">
        <v>5344</v>
      </c>
      <c r="CQ119">
        <v>779</v>
      </c>
      <c r="CR119">
        <v>995</v>
      </c>
      <c r="CS119">
        <v>837</v>
      </c>
      <c r="CT119">
        <v>344</v>
      </c>
      <c r="CU119">
        <v>473.54499706054702</v>
      </c>
      <c r="CV119">
        <v>269.54302765774497</v>
      </c>
      <c r="CW119">
        <v>76.392226840198305</v>
      </c>
      <c r="CX119">
        <v>1382.56758653878</v>
      </c>
      <c r="CY119">
        <v>786.96101855232098</v>
      </c>
      <c r="CZ119">
        <v>223.03565099067399</v>
      </c>
      <c r="DA119">
        <v>4482</v>
      </c>
      <c r="DE119">
        <v>352</v>
      </c>
      <c r="DF119" t="s">
        <v>346</v>
      </c>
      <c r="DG119">
        <v>5571</v>
      </c>
      <c r="DH119">
        <v>5438</v>
      </c>
      <c r="DI119">
        <v>5282</v>
      </c>
      <c r="DJ119">
        <v>5186</v>
      </c>
      <c r="DK119">
        <v>5093</v>
      </c>
      <c r="DO119">
        <v>1734</v>
      </c>
      <c r="DP119" t="s">
        <v>242</v>
      </c>
      <c r="DQ119">
        <v>19634</v>
      </c>
      <c r="DR119">
        <v>1.01</v>
      </c>
      <c r="DS119">
        <v>792</v>
      </c>
      <c r="DV119">
        <v>785</v>
      </c>
      <c r="DW119" t="s">
        <v>117</v>
      </c>
      <c r="DX119">
        <v>2538.6330790847001</v>
      </c>
      <c r="DY119">
        <v>548</v>
      </c>
      <c r="DZ119">
        <v>497</v>
      </c>
      <c r="EA119">
        <v>256</v>
      </c>
      <c r="EB119">
        <v>1931</v>
      </c>
      <c r="EC119">
        <v>1093</v>
      </c>
      <c r="ED119">
        <v>352</v>
      </c>
      <c r="EE119" s="82">
        <v>0.14886119783204599</v>
      </c>
      <c r="EF119" s="82">
        <v>0.39000213880868401</v>
      </c>
    </row>
    <row r="120" spans="1:136" x14ac:dyDescent="0.35">
      <c r="A120" s="72">
        <v>273</v>
      </c>
      <c r="B120" s="72">
        <v>5</v>
      </c>
      <c r="D120" s="72" t="s">
        <v>248</v>
      </c>
      <c r="E120" s="79">
        <v>2373200000</v>
      </c>
      <c r="F120" s="79">
        <v>300650000</v>
      </c>
      <c r="G120" s="79">
        <v>326900000</v>
      </c>
      <c r="H120" s="79">
        <v>24313</v>
      </c>
      <c r="I120" s="79">
        <v>1</v>
      </c>
      <c r="J120" s="79">
        <v>326.89999999999998</v>
      </c>
      <c r="K120" s="79">
        <v>5877</v>
      </c>
      <c r="L120" s="79">
        <v>4851</v>
      </c>
      <c r="M120" s="79">
        <v>1622</v>
      </c>
      <c r="N120" s="79">
        <v>2578</v>
      </c>
      <c r="O120" s="79">
        <v>1447.3</v>
      </c>
      <c r="P120" s="79">
        <v>234.333333333333</v>
      </c>
      <c r="Q120" s="79">
        <v>1183.3333333333301</v>
      </c>
      <c r="R120" s="79">
        <v>420</v>
      </c>
      <c r="S120" s="79">
        <v>0</v>
      </c>
      <c r="T120" s="79">
        <v>554</v>
      </c>
      <c r="U120" s="79">
        <v>9935</v>
      </c>
      <c r="V120" s="79">
        <v>24080</v>
      </c>
      <c r="W120" s="79">
        <v>13090</v>
      </c>
      <c r="X120" s="79">
        <v>0</v>
      </c>
      <c r="Y120" s="79">
        <v>344.8</v>
      </c>
      <c r="Z120" s="79">
        <v>0</v>
      </c>
      <c r="AA120" s="79">
        <v>0</v>
      </c>
      <c r="AB120" s="79">
        <v>74.599999999999994</v>
      </c>
      <c r="AC120" s="79">
        <v>8519</v>
      </c>
      <c r="AD120" s="79">
        <v>8519</v>
      </c>
      <c r="AE120" s="79">
        <v>231</v>
      </c>
      <c r="AF120" s="79">
        <v>0</v>
      </c>
      <c r="AG120" s="79">
        <v>226</v>
      </c>
      <c r="AH120" s="79">
        <v>133</v>
      </c>
      <c r="AI120" s="79">
        <v>93</v>
      </c>
      <c r="AJ120" s="79">
        <v>11307</v>
      </c>
      <c r="AK120" s="79">
        <v>11307</v>
      </c>
      <c r="AL120" s="79">
        <v>0</v>
      </c>
      <c r="AM120" s="79">
        <v>0</v>
      </c>
      <c r="AN120" s="79">
        <v>0</v>
      </c>
      <c r="AO120" s="79">
        <v>0</v>
      </c>
      <c r="AP120" s="79">
        <v>704</v>
      </c>
      <c r="AQ120" s="79">
        <v>0</v>
      </c>
      <c r="AR120" s="80">
        <v>2.3672499999999999E-4</v>
      </c>
      <c r="AS120" s="80">
        <v>1.25003E-4</v>
      </c>
      <c r="AT120" s="79">
        <v>10153.686</v>
      </c>
      <c r="AU120" s="79">
        <v>0</v>
      </c>
      <c r="AV120" s="79">
        <v>587</v>
      </c>
      <c r="AW120" s="79">
        <v>1631.0549714285701</v>
      </c>
      <c r="AX120" s="79">
        <v>6</v>
      </c>
      <c r="AY120" s="79">
        <v>6</v>
      </c>
      <c r="AZ120" s="79">
        <v>2943</v>
      </c>
      <c r="BA120" s="79">
        <v>1</v>
      </c>
      <c r="BB120" s="79">
        <v>0</v>
      </c>
      <c r="BC120" s="79">
        <v>0</v>
      </c>
      <c r="BD120" s="79">
        <v>0</v>
      </c>
      <c r="BE120" s="79">
        <v>0</v>
      </c>
      <c r="BF120" s="79">
        <v>0</v>
      </c>
      <c r="BG120" s="79">
        <v>0</v>
      </c>
      <c r="BH120" s="79">
        <v>0</v>
      </c>
      <c r="BI120" s="79">
        <v>0</v>
      </c>
      <c r="BJ120" s="79">
        <v>0</v>
      </c>
      <c r="BK120" s="79">
        <v>10</v>
      </c>
      <c r="BL120" s="79">
        <v>2624</v>
      </c>
      <c r="BM120" s="79">
        <v>133</v>
      </c>
      <c r="BN120" s="79">
        <v>93</v>
      </c>
      <c r="BO120">
        <v>6291</v>
      </c>
      <c r="BP120">
        <v>324</v>
      </c>
      <c r="BQ120">
        <v>5721</v>
      </c>
      <c r="BR120">
        <v>360</v>
      </c>
      <c r="BS120">
        <v>5661</v>
      </c>
      <c r="BT120">
        <v>403</v>
      </c>
      <c r="BU120">
        <v>5653</v>
      </c>
      <c r="BV120">
        <v>456</v>
      </c>
      <c r="BW120">
        <v>5583</v>
      </c>
      <c r="BX120">
        <v>491</v>
      </c>
      <c r="BY120">
        <v>5552</v>
      </c>
      <c r="BZ120">
        <v>503</v>
      </c>
      <c r="CA120">
        <v>5260</v>
      </c>
      <c r="CB120">
        <v>452.21894007892001</v>
      </c>
      <c r="CC120">
        <v>147.114213762448</v>
      </c>
      <c r="CD120">
        <v>37.206037549484897</v>
      </c>
      <c r="CE120">
        <v>6793.5687780894496</v>
      </c>
      <c r="CF120">
        <v>1813.42051065492</v>
      </c>
      <c r="CG120">
        <v>237.56802283342</v>
      </c>
      <c r="CH120">
        <v>223</v>
      </c>
      <c r="CI120">
        <v>86.705525035341694</v>
      </c>
      <c r="CJ120">
        <v>68.113060786408496</v>
      </c>
      <c r="CK120" s="81">
        <v>949</v>
      </c>
      <c r="CL120">
        <v>264</v>
      </c>
      <c r="CM120">
        <v>3974.8918681677301</v>
      </c>
      <c r="CN120">
        <v>0.115595163681949</v>
      </c>
      <c r="CO120">
        <v>19462</v>
      </c>
      <c r="CP120">
        <v>2642</v>
      </c>
      <c r="CQ120">
        <v>587</v>
      </c>
      <c r="CR120">
        <v>450</v>
      </c>
      <c r="CS120">
        <v>495</v>
      </c>
      <c r="CT120">
        <v>295</v>
      </c>
      <c r="CU120">
        <v>203.228870107826</v>
      </c>
      <c r="CV120">
        <v>141.543532959229</v>
      </c>
      <c r="CW120">
        <v>54.390598108202902</v>
      </c>
      <c r="CX120">
        <v>682.72091519541004</v>
      </c>
      <c r="CY120">
        <v>475.49706058320101</v>
      </c>
      <c r="CZ120">
        <v>182.71812906678201</v>
      </c>
      <c r="DA120">
        <v>936</v>
      </c>
      <c r="DE120">
        <v>353</v>
      </c>
      <c r="DF120" t="s">
        <v>162</v>
      </c>
      <c r="DG120">
        <v>8666</v>
      </c>
      <c r="DH120">
        <v>8588</v>
      </c>
      <c r="DI120">
        <v>8536</v>
      </c>
      <c r="DJ120">
        <v>8379</v>
      </c>
      <c r="DK120">
        <v>8297</v>
      </c>
      <c r="DO120">
        <v>273</v>
      </c>
      <c r="DP120" t="s">
        <v>248</v>
      </c>
      <c r="DQ120">
        <v>11307</v>
      </c>
      <c r="DR120">
        <v>1</v>
      </c>
      <c r="DS120">
        <v>898</v>
      </c>
      <c r="DV120">
        <v>1942</v>
      </c>
      <c r="DW120" t="s">
        <v>118</v>
      </c>
      <c r="DX120">
        <v>7084.7688083470603</v>
      </c>
      <c r="DY120">
        <v>1803</v>
      </c>
      <c r="DZ120">
        <v>1610</v>
      </c>
      <c r="EA120">
        <v>961</v>
      </c>
      <c r="EB120">
        <v>4186</v>
      </c>
      <c r="EC120">
        <v>2904</v>
      </c>
      <c r="ED120">
        <v>1320</v>
      </c>
      <c r="EE120" s="82">
        <v>0.16705751473282299</v>
      </c>
      <c r="EF120" s="82">
        <v>0.21909265902528599</v>
      </c>
    </row>
    <row r="121" spans="1:136" x14ac:dyDescent="0.35">
      <c r="A121" s="72">
        <v>274</v>
      </c>
      <c r="B121" s="72">
        <v>5</v>
      </c>
      <c r="D121" s="72" t="s">
        <v>251</v>
      </c>
      <c r="E121" s="79">
        <v>3047600000</v>
      </c>
      <c r="F121" s="79">
        <v>334600000</v>
      </c>
      <c r="G121" s="79">
        <v>342300000</v>
      </c>
      <c r="H121" s="79">
        <v>31338</v>
      </c>
      <c r="I121" s="79">
        <v>3</v>
      </c>
      <c r="J121" s="79">
        <v>342.3</v>
      </c>
      <c r="K121" s="79">
        <v>6358</v>
      </c>
      <c r="L121" s="79">
        <v>8535</v>
      </c>
      <c r="M121" s="79">
        <v>2801</v>
      </c>
      <c r="N121" s="79">
        <v>4214</v>
      </c>
      <c r="O121" s="79">
        <v>2682.5</v>
      </c>
      <c r="P121" s="79">
        <v>610</v>
      </c>
      <c r="Q121" s="79">
        <v>2174</v>
      </c>
      <c r="R121" s="79">
        <v>905</v>
      </c>
      <c r="S121" s="79">
        <v>0</v>
      </c>
      <c r="T121" s="79">
        <v>907</v>
      </c>
      <c r="U121" s="79">
        <v>15426</v>
      </c>
      <c r="V121" s="79">
        <v>26200</v>
      </c>
      <c r="W121" s="79">
        <v>9900</v>
      </c>
      <c r="X121" s="79">
        <v>1415.14</v>
      </c>
      <c r="Y121" s="79">
        <v>922.4</v>
      </c>
      <c r="Z121" s="79">
        <v>0</v>
      </c>
      <c r="AA121" s="79">
        <v>0</v>
      </c>
      <c r="AB121" s="79">
        <v>0</v>
      </c>
      <c r="AC121" s="79">
        <v>4594</v>
      </c>
      <c r="AD121" s="79">
        <v>4594</v>
      </c>
      <c r="AE121" s="79">
        <v>129</v>
      </c>
      <c r="AF121" s="79">
        <v>0</v>
      </c>
      <c r="AG121" s="79">
        <v>169</v>
      </c>
      <c r="AH121" s="79">
        <v>147</v>
      </c>
      <c r="AI121" s="79">
        <v>22</v>
      </c>
      <c r="AJ121" s="79">
        <v>15315</v>
      </c>
      <c r="AK121" s="79">
        <v>15315</v>
      </c>
      <c r="AL121" s="79">
        <v>0</v>
      </c>
      <c r="AM121" s="79">
        <v>0</v>
      </c>
      <c r="AN121" s="79">
        <v>0</v>
      </c>
      <c r="AO121" s="79">
        <v>0</v>
      </c>
      <c r="AP121" s="79">
        <v>4064</v>
      </c>
      <c r="AQ121" s="79">
        <v>0</v>
      </c>
      <c r="AR121" s="80">
        <v>7.1116899999999999E-4</v>
      </c>
      <c r="AS121" s="80">
        <v>8.4066399999999997E-4</v>
      </c>
      <c r="AT121" s="79">
        <v>13829.445</v>
      </c>
      <c r="AU121" s="79">
        <v>0</v>
      </c>
      <c r="AV121" s="79">
        <v>412</v>
      </c>
      <c r="AW121" s="79">
        <v>2733.6980732585198</v>
      </c>
      <c r="AX121" s="79">
        <v>5</v>
      </c>
      <c r="AY121" s="79">
        <v>5</v>
      </c>
      <c r="AZ121" s="79">
        <v>3727</v>
      </c>
      <c r="BA121" s="79">
        <v>1</v>
      </c>
      <c r="BB121" s="79">
        <v>0</v>
      </c>
      <c r="BC121" s="79">
        <v>0</v>
      </c>
      <c r="BD121" s="79">
        <v>0</v>
      </c>
      <c r="BE121" s="79">
        <v>0</v>
      </c>
      <c r="BF121" s="79">
        <v>0</v>
      </c>
      <c r="BG121" s="79">
        <v>0</v>
      </c>
      <c r="BH121" s="79">
        <v>0</v>
      </c>
      <c r="BI121" s="79">
        <v>0</v>
      </c>
      <c r="BJ121" s="79">
        <v>0</v>
      </c>
      <c r="BK121" s="79">
        <v>31</v>
      </c>
      <c r="BL121" s="79">
        <v>5279</v>
      </c>
      <c r="BM121" s="79">
        <v>147</v>
      </c>
      <c r="BN121" s="79">
        <v>22</v>
      </c>
      <c r="BO121">
        <v>7021</v>
      </c>
      <c r="BP121">
        <v>1213</v>
      </c>
      <c r="BQ121">
        <v>6330</v>
      </c>
      <c r="BR121">
        <v>862</v>
      </c>
      <c r="BS121">
        <v>6283</v>
      </c>
      <c r="BT121">
        <v>895</v>
      </c>
      <c r="BU121">
        <v>6217</v>
      </c>
      <c r="BV121">
        <v>1003</v>
      </c>
      <c r="BW121">
        <v>6186</v>
      </c>
      <c r="BX121">
        <v>1093</v>
      </c>
      <c r="BY121">
        <v>6073</v>
      </c>
      <c r="BZ121">
        <v>1142</v>
      </c>
      <c r="CA121">
        <v>5717</v>
      </c>
      <c r="CB121">
        <v>606.08160694561298</v>
      </c>
      <c r="CC121">
        <v>75.273775086159105</v>
      </c>
      <c r="CD121">
        <v>70.2670814947883</v>
      </c>
      <c r="CE121">
        <v>11065.6262693516</v>
      </c>
      <c r="CF121">
        <v>2487.2791771694501</v>
      </c>
      <c r="CG121">
        <v>225.14039897817</v>
      </c>
      <c r="CH121">
        <v>312</v>
      </c>
      <c r="CI121">
        <v>172.41926767291901</v>
      </c>
      <c r="CJ121">
        <v>147.223542845623</v>
      </c>
      <c r="CK121" s="81">
        <v>1564</v>
      </c>
      <c r="CL121">
        <v>535</v>
      </c>
      <c r="CM121">
        <v>5229.5375235169904</v>
      </c>
      <c r="CN121">
        <v>1.45853722542584</v>
      </c>
      <c r="CO121">
        <v>22803</v>
      </c>
      <c r="CP121">
        <v>4528</v>
      </c>
      <c r="CQ121">
        <v>1206</v>
      </c>
      <c r="CR121">
        <v>1036</v>
      </c>
      <c r="CS121">
        <v>1013</v>
      </c>
      <c r="CT121">
        <v>587</v>
      </c>
      <c r="CU121">
        <v>499.061401175676</v>
      </c>
      <c r="CV121">
        <v>342.28360052554302</v>
      </c>
      <c r="CW121">
        <v>141.187605948612</v>
      </c>
      <c r="CX121">
        <v>979.09875083029499</v>
      </c>
      <c r="CY121">
        <v>671.51946617142698</v>
      </c>
      <c r="CZ121">
        <v>276.99318819558403</v>
      </c>
      <c r="DA121">
        <v>119044</v>
      </c>
      <c r="DE121">
        <v>355</v>
      </c>
      <c r="DF121" t="s">
        <v>356</v>
      </c>
      <c r="DG121">
        <v>13010</v>
      </c>
      <c r="DH121">
        <v>13060</v>
      </c>
      <c r="DI121">
        <v>13093</v>
      </c>
      <c r="DJ121">
        <v>13176</v>
      </c>
      <c r="DK121">
        <v>13199</v>
      </c>
      <c r="DO121">
        <v>274</v>
      </c>
      <c r="DP121" t="s">
        <v>251</v>
      </c>
      <c r="DQ121">
        <v>15315</v>
      </c>
      <c r="DR121">
        <v>1</v>
      </c>
      <c r="DS121">
        <v>903</v>
      </c>
      <c r="DV121">
        <v>512</v>
      </c>
      <c r="DW121" t="s">
        <v>119</v>
      </c>
      <c r="DX121">
        <v>5527.4334462426305</v>
      </c>
      <c r="DY121">
        <v>904</v>
      </c>
      <c r="DZ121">
        <v>781</v>
      </c>
      <c r="EA121">
        <v>435</v>
      </c>
      <c r="EB121">
        <v>2352</v>
      </c>
      <c r="EC121">
        <v>1481</v>
      </c>
      <c r="ED121">
        <v>592</v>
      </c>
      <c r="EE121" s="82">
        <v>0.23560615945614</v>
      </c>
      <c r="EF121" s="82">
        <v>0.46520230991337802</v>
      </c>
    </row>
    <row r="122" spans="1:136" x14ac:dyDescent="0.35">
      <c r="A122" s="72">
        <v>275</v>
      </c>
      <c r="B122" s="72">
        <v>5</v>
      </c>
      <c r="D122" s="72" t="s">
        <v>254</v>
      </c>
      <c r="E122" s="79">
        <v>3425200000</v>
      </c>
      <c r="F122" s="79">
        <v>379750000</v>
      </c>
      <c r="G122" s="79">
        <v>392700000</v>
      </c>
      <c r="H122" s="79">
        <v>43527</v>
      </c>
      <c r="I122" s="79">
        <v>3</v>
      </c>
      <c r="J122" s="79">
        <v>392.7</v>
      </c>
      <c r="K122" s="79">
        <v>8694</v>
      </c>
      <c r="L122" s="79">
        <v>11304</v>
      </c>
      <c r="M122" s="79">
        <v>3921</v>
      </c>
      <c r="N122" s="79">
        <v>7154</v>
      </c>
      <c r="O122" s="79">
        <v>4975.8</v>
      </c>
      <c r="P122" s="79">
        <v>1018</v>
      </c>
      <c r="Q122" s="79">
        <v>3852</v>
      </c>
      <c r="R122" s="79">
        <v>2005</v>
      </c>
      <c r="S122" s="79">
        <v>0</v>
      </c>
      <c r="T122" s="79">
        <v>1401</v>
      </c>
      <c r="U122" s="79">
        <v>21844</v>
      </c>
      <c r="V122" s="79">
        <v>39040</v>
      </c>
      <c r="W122" s="79">
        <v>15820</v>
      </c>
      <c r="X122" s="79">
        <v>477.18</v>
      </c>
      <c r="Y122" s="79">
        <v>1348</v>
      </c>
      <c r="Z122" s="79">
        <v>0</v>
      </c>
      <c r="AA122" s="79">
        <v>0</v>
      </c>
      <c r="AB122" s="79">
        <v>330.9</v>
      </c>
      <c r="AC122" s="79">
        <v>8175</v>
      </c>
      <c r="AD122" s="79">
        <v>8175</v>
      </c>
      <c r="AE122" s="79">
        <v>260</v>
      </c>
      <c r="AF122" s="79">
        <v>0</v>
      </c>
      <c r="AG122" s="79">
        <v>241</v>
      </c>
      <c r="AH122" s="79">
        <v>219</v>
      </c>
      <c r="AI122" s="79">
        <v>22</v>
      </c>
      <c r="AJ122" s="79">
        <v>21782</v>
      </c>
      <c r="AK122" s="79">
        <v>21782</v>
      </c>
      <c r="AL122" s="79">
        <v>0</v>
      </c>
      <c r="AM122" s="79">
        <v>0</v>
      </c>
      <c r="AN122" s="79">
        <v>0</v>
      </c>
      <c r="AO122" s="79">
        <v>0</v>
      </c>
      <c r="AP122" s="79">
        <v>5119</v>
      </c>
      <c r="AQ122" s="79">
        <v>0</v>
      </c>
      <c r="AR122" s="80">
        <v>1.308678E-3</v>
      </c>
      <c r="AS122" s="80">
        <v>1.0443920000000001E-3</v>
      </c>
      <c r="AT122" s="79">
        <v>31474.99</v>
      </c>
      <c r="AU122" s="79">
        <v>0</v>
      </c>
      <c r="AV122" s="79">
        <v>1139</v>
      </c>
      <c r="AW122" s="79">
        <v>5877.5640782454102</v>
      </c>
      <c r="AX122" s="79">
        <v>8</v>
      </c>
      <c r="AY122" s="79">
        <v>8</v>
      </c>
      <c r="AZ122" s="79">
        <v>4115</v>
      </c>
      <c r="BA122" s="79">
        <v>1</v>
      </c>
      <c r="BB122" s="79">
        <v>0</v>
      </c>
      <c r="BC122" s="79">
        <v>0</v>
      </c>
      <c r="BD122" s="79">
        <v>0</v>
      </c>
      <c r="BE122" s="79">
        <v>0</v>
      </c>
      <c r="BF122" s="79">
        <v>0</v>
      </c>
      <c r="BG122" s="79">
        <v>0</v>
      </c>
      <c r="BH122" s="79">
        <v>0</v>
      </c>
      <c r="BI122" s="79">
        <v>0</v>
      </c>
      <c r="BJ122" s="79">
        <v>0</v>
      </c>
      <c r="BK122" s="79">
        <v>31</v>
      </c>
      <c r="BL122" s="79">
        <v>8312</v>
      </c>
      <c r="BM122" s="79">
        <v>219</v>
      </c>
      <c r="BN122" s="79">
        <v>22</v>
      </c>
      <c r="BO122">
        <v>9285</v>
      </c>
      <c r="BP122">
        <v>1231</v>
      </c>
      <c r="BQ122">
        <v>8274</v>
      </c>
      <c r="BR122">
        <v>1153</v>
      </c>
      <c r="BS122">
        <v>8246</v>
      </c>
      <c r="BT122">
        <v>1175</v>
      </c>
      <c r="BU122">
        <v>8305</v>
      </c>
      <c r="BV122">
        <v>1266</v>
      </c>
      <c r="BW122">
        <v>8151</v>
      </c>
      <c r="BX122">
        <v>1438</v>
      </c>
      <c r="BY122">
        <v>8088</v>
      </c>
      <c r="BZ122">
        <v>1650</v>
      </c>
      <c r="CA122">
        <v>7688</v>
      </c>
      <c r="CB122">
        <v>1070.0920045533801</v>
      </c>
      <c r="CC122">
        <v>130.46004347145001</v>
      </c>
      <c r="CD122">
        <v>92.460368334114506</v>
      </c>
      <c r="CE122">
        <v>13363.703035311501</v>
      </c>
      <c r="CF122">
        <v>2754.4988839163998</v>
      </c>
      <c r="CG122">
        <v>326.92378201270498</v>
      </c>
      <c r="CH122">
        <v>506</v>
      </c>
      <c r="CI122">
        <v>313.01488834366899</v>
      </c>
      <c r="CJ122">
        <v>293.028063591528</v>
      </c>
      <c r="CK122" s="81">
        <v>2834</v>
      </c>
      <c r="CL122">
        <v>1095</v>
      </c>
      <c r="CM122">
        <v>7788.97310240964</v>
      </c>
      <c r="CN122">
        <v>2.4169039243468902</v>
      </c>
      <c r="CO122">
        <v>32223</v>
      </c>
      <c r="CP122">
        <v>5689</v>
      </c>
      <c r="CQ122">
        <v>1694</v>
      </c>
      <c r="CR122">
        <v>1323</v>
      </c>
      <c r="CS122">
        <v>1399</v>
      </c>
      <c r="CT122">
        <v>820</v>
      </c>
      <c r="CU122">
        <v>816.50092831744803</v>
      </c>
      <c r="CV122">
        <v>616.37367224411696</v>
      </c>
      <c r="CW122">
        <v>262.49568176741701</v>
      </c>
      <c r="CX122">
        <v>1633.8367615381101</v>
      </c>
      <c r="CY122">
        <v>1233.37761125625</v>
      </c>
      <c r="CZ122">
        <v>525.25977588340504</v>
      </c>
      <c r="DA122">
        <v>38158.800000000003</v>
      </c>
      <c r="DE122">
        <v>356</v>
      </c>
      <c r="DF122" t="s">
        <v>212</v>
      </c>
      <c r="DG122">
        <v>12313</v>
      </c>
      <c r="DH122">
        <v>12203</v>
      </c>
      <c r="DI122">
        <v>12182</v>
      </c>
      <c r="DJ122">
        <v>12020</v>
      </c>
      <c r="DK122">
        <v>11945</v>
      </c>
      <c r="DO122">
        <v>275</v>
      </c>
      <c r="DP122" t="s">
        <v>254</v>
      </c>
      <c r="DQ122">
        <v>21782</v>
      </c>
      <c r="DR122">
        <v>1</v>
      </c>
      <c r="DS122">
        <v>1445</v>
      </c>
      <c r="DV122">
        <v>513</v>
      </c>
      <c r="DW122" t="s">
        <v>120</v>
      </c>
      <c r="DX122">
        <v>10436.5529081774</v>
      </c>
      <c r="DY122">
        <v>1826</v>
      </c>
      <c r="DZ122">
        <v>1490</v>
      </c>
      <c r="EA122">
        <v>890</v>
      </c>
      <c r="EB122">
        <v>4911</v>
      </c>
      <c r="EC122">
        <v>2920</v>
      </c>
      <c r="ED122">
        <v>1163</v>
      </c>
      <c r="EE122" s="82">
        <v>0.21563746886972401</v>
      </c>
      <c r="EF122" s="82">
        <v>0.44921487196198601</v>
      </c>
    </row>
    <row r="123" spans="1:136" x14ac:dyDescent="0.35">
      <c r="A123" s="72">
        <v>277</v>
      </c>
      <c r="B123" s="72">
        <v>5</v>
      </c>
      <c r="D123" s="72" t="s">
        <v>263</v>
      </c>
      <c r="E123" s="79">
        <v>250400000</v>
      </c>
      <c r="F123" s="79">
        <v>17500000</v>
      </c>
      <c r="G123" s="79">
        <v>17500000</v>
      </c>
      <c r="H123" s="79">
        <v>1575</v>
      </c>
      <c r="I123" s="79">
        <v>1</v>
      </c>
      <c r="J123" s="79">
        <v>17.5</v>
      </c>
      <c r="K123" s="79">
        <v>386</v>
      </c>
      <c r="L123" s="79">
        <v>418</v>
      </c>
      <c r="M123" s="79">
        <v>137</v>
      </c>
      <c r="N123" s="79">
        <v>103</v>
      </c>
      <c r="O123" s="79">
        <v>36.4</v>
      </c>
      <c r="P123" s="79">
        <v>5</v>
      </c>
      <c r="Q123" s="79">
        <v>31</v>
      </c>
      <c r="R123" s="79">
        <v>35</v>
      </c>
      <c r="S123" s="79">
        <v>0</v>
      </c>
      <c r="T123" s="79">
        <v>30</v>
      </c>
      <c r="U123" s="79">
        <v>660</v>
      </c>
      <c r="V123" s="79">
        <v>880</v>
      </c>
      <c r="W123" s="79">
        <v>30</v>
      </c>
      <c r="X123" s="79">
        <v>0</v>
      </c>
      <c r="Y123" s="79">
        <v>710.4</v>
      </c>
      <c r="Z123" s="79">
        <v>0</v>
      </c>
      <c r="AA123" s="79">
        <v>0</v>
      </c>
      <c r="AB123" s="79">
        <v>114.7</v>
      </c>
      <c r="AC123" s="79">
        <v>2791</v>
      </c>
      <c r="AD123" s="79">
        <v>2791</v>
      </c>
      <c r="AE123" s="79">
        <v>1</v>
      </c>
      <c r="AF123" s="79">
        <v>0</v>
      </c>
      <c r="AG123" s="79">
        <v>10</v>
      </c>
      <c r="AH123" s="79">
        <v>10</v>
      </c>
      <c r="AI123" s="79">
        <v>1</v>
      </c>
      <c r="AJ123" s="79">
        <v>666</v>
      </c>
      <c r="AK123" s="79">
        <v>666</v>
      </c>
      <c r="AL123" s="79">
        <v>0</v>
      </c>
      <c r="AM123" s="79">
        <v>0</v>
      </c>
      <c r="AN123" s="79">
        <v>0</v>
      </c>
      <c r="AO123" s="79">
        <v>0</v>
      </c>
      <c r="AP123" s="79">
        <v>0</v>
      </c>
      <c r="AQ123" s="79">
        <v>0</v>
      </c>
      <c r="AR123" s="80">
        <v>7.5129999999999999E-6</v>
      </c>
      <c r="AS123" s="80">
        <v>4.2409999999999997E-6</v>
      </c>
      <c r="AT123" s="79">
        <v>608.72400000000005</v>
      </c>
      <c r="AU123" s="79">
        <v>0</v>
      </c>
      <c r="AV123" s="79">
        <v>32</v>
      </c>
      <c r="AW123" s="79">
        <v>18.051575931232101</v>
      </c>
      <c r="AX123" s="79">
        <v>1</v>
      </c>
      <c r="AY123" s="79">
        <v>1</v>
      </c>
      <c r="AZ123" s="79">
        <v>234</v>
      </c>
      <c r="BA123" s="79">
        <v>1</v>
      </c>
      <c r="BB123" s="79">
        <v>0</v>
      </c>
      <c r="BC123" s="79">
        <v>0</v>
      </c>
      <c r="BD123" s="79">
        <v>0</v>
      </c>
      <c r="BE123" s="79">
        <v>0</v>
      </c>
      <c r="BF123" s="79">
        <v>0</v>
      </c>
      <c r="BG123" s="79">
        <v>0</v>
      </c>
      <c r="BH123" s="79">
        <v>0</v>
      </c>
      <c r="BI123" s="79">
        <v>0</v>
      </c>
      <c r="BJ123" s="79">
        <v>0</v>
      </c>
      <c r="BK123" s="79">
        <v>0</v>
      </c>
      <c r="BL123" s="79">
        <v>150</v>
      </c>
      <c r="BM123" s="79">
        <v>10</v>
      </c>
      <c r="BN123" s="79">
        <v>1</v>
      </c>
      <c r="BO123">
        <v>368</v>
      </c>
      <c r="BP123">
        <v>703</v>
      </c>
      <c r="BQ123">
        <v>340</v>
      </c>
      <c r="BR123">
        <v>776</v>
      </c>
      <c r="BS123">
        <v>327</v>
      </c>
      <c r="BT123">
        <v>819</v>
      </c>
      <c r="BU123">
        <v>333</v>
      </c>
      <c r="BV123">
        <v>873</v>
      </c>
      <c r="BW123">
        <v>343</v>
      </c>
      <c r="BX123">
        <v>878</v>
      </c>
      <c r="BY123">
        <v>338</v>
      </c>
      <c r="BZ123">
        <v>940</v>
      </c>
      <c r="CA123">
        <v>345</v>
      </c>
      <c r="CB123">
        <v>7.1387682207767202</v>
      </c>
      <c r="CC123">
        <v>2.2189887619112598</v>
      </c>
      <c r="CD123">
        <v>0</v>
      </c>
      <c r="CE123">
        <v>620.79999999999995</v>
      </c>
      <c r="CF123">
        <v>169.75</v>
      </c>
      <c r="CG123">
        <v>1.8739427312775301</v>
      </c>
      <c r="CH123">
        <v>8</v>
      </c>
      <c r="CI123">
        <v>1.14837358292514</v>
      </c>
      <c r="CJ123">
        <v>1.4190220997168399</v>
      </c>
      <c r="CK123" s="81">
        <v>26</v>
      </c>
      <c r="CL123">
        <v>2</v>
      </c>
      <c r="CM123">
        <v>141.14018691588799</v>
      </c>
      <c r="CN123">
        <v>6.3363610563932698E-3</v>
      </c>
      <c r="CO123">
        <v>1157</v>
      </c>
      <c r="CP123">
        <v>223</v>
      </c>
      <c r="CQ123">
        <v>58</v>
      </c>
      <c r="CR123">
        <v>17</v>
      </c>
      <c r="CS123">
        <v>42</v>
      </c>
      <c r="CT123">
        <v>27</v>
      </c>
      <c r="CU123">
        <v>6.7713588588588598</v>
      </c>
      <c r="CV123">
        <v>5.40616554054054</v>
      </c>
      <c r="CW123">
        <v>2.4027402402402398</v>
      </c>
      <c r="CX123">
        <v>7.4520952098911604</v>
      </c>
      <c r="CY123">
        <v>5.9496566595098797</v>
      </c>
      <c r="CZ123">
        <v>2.64429184867106</v>
      </c>
      <c r="DA123">
        <v>0</v>
      </c>
      <c r="DE123">
        <v>358</v>
      </c>
      <c r="DF123" t="s">
        <v>12</v>
      </c>
      <c r="DG123">
        <v>6453</v>
      </c>
      <c r="DH123">
        <v>6775</v>
      </c>
      <c r="DI123">
        <v>7054</v>
      </c>
      <c r="DJ123">
        <v>7131</v>
      </c>
      <c r="DK123">
        <v>7138</v>
      </c>
      <c r="DO123">
        <v>277</v>
      </c>
      <c r="DP123" t="s">
        <v>263</v>
      </c>
      <c r="DQ123">
        <v>666</v>
      </c>
      <c r="DR123">
        <v>1</v>
      </c>
      <c r="DS123">
        <v>914</v>
      </c>
      <c r="DV123">
        <v>786</v>
      </c>
      <c r="DW123" t="s">
        <v>121</v>
      </c>
      <c r="DX123">
        <v>1397.7973744292201</v>
      </c>
      <c r="DY123">
        <v>317</v>
      </c>
      <c r="DZ123">
        <v>269</v>
      </c>
      <c r="EA123">
        <v>113</v>
      </c>
      <c r="EB123">
        <v>962</v>
      </c>
      <c r="EC123">
        <v>544</v>
      </c>
      <c r="ED123">
        <v>158</v>
      </c>
      <c r="EE123" s="82">
        <v>0.14854149616451301</v>
      </c>
      <c r="EF123" s="82">
        <v>0.45316433785906901</v>
      </c>
    </row>
    <row r="124" spans="1:136" x14ac:dyDescent="0.35">
      <c r="A124" s="72">
        <v>279</v>
      </c>
      <c r="B124" s="72">
        <v>5</v>
      </c>
      <c r="D124" s="72" t="s">
        <v>266</v>
      </c>
      <c r="E124" s="79">
        <v>774800000</v>
      </c>
      <c r="F124" s="79">
        <v>104300000</v>
      </c>
      <c r="G124" s="79">
        <v>114450000</v>
      </c>
      <c r="H124" s="79">
        <v>9751</v>
      </c>
      <c r="I124" s="79">
        <v>1</v>
      </c>
      <c r="J124" s="79">
        <v>114.45</v>
      </c>
      <c r="K124" s="79">
        <v>2592</v>
      </c>
      <c r="L124" s="79">
        <v>1817</v>
      </c>
      <c r="M124" s="79">
        <v>547</v>
      </c>
      <c r="N124" s="79">
        <v>1043</v>
      </c>
      <c r="O124" s="79">
        <v>637.5</v>
      </c>
      <c r="P124" s="79">
        <v>63.3333333333333</v>
      </c>
      <c r="Q124" s="79">
        <v>363.33333333333297</v>
      </c>
      <c r="R124" s="79">
        <v>165</v>
      </c>
      <c r="S124" s="79">
        <v>0</v>
      </c>
      <c r="T124" s="79">
        <v>201</v>
      </c>
      <c r="U124" s="79">
        <v>3972</v>
      </c>
      <c r="V124" s="79">
        <v>8050</v>
      </c>
      <c r="W124" s="79">
        <v>1400</v>
      </c>
      <c r="X124" s="79">
        <v>0</v>
      </c>
      <c r="Y124" s="79">
        <v>0</v>
      </c>
      <c r="Z124" s="79">
        <v>0</v>
      </c>
      <c r="AA124" s="79">
        <v>0</v>
      </c>
      <c r="AB124" s="79">
        <v>0</v>
      </c>
      <c r="AC124" s="79">
        <v>1379</v>
      </c>
      <c r="AD124" s="79">
        <v>1379</v>
      </c>
      <c r="AE124" s="79">
        <v>3</v>
      </c>
      <c r="AF124" s="79">
        <v>0</v>
      </c>
      <c r="AG124" s="79">
        <v>76</v>
      </c>
      <c r="AH124" s="79">
        <v>50</v>
      </c>
      <c r="AI124" s="79">
        <v>26</v>
      </c>
      <c r="AJ124" s="79">
        <v>4055</v>
      </c>
      <c r="AK124" s="79">
        <v>4055</v>
      </c>
      <c r="AL124" s="79">
        <v>0</v>
      </c>
      <c r="AM124" s="79">
        <v>0</v>
      </c>
      <c r="AN124" s="79">
        <v>0</v>
      </c>
      <c r="AO124" s="79">
        <v>0</v>
      </c>
      <c r="AP124" s="79">
        <v>0</v>
      </c>
      <c r="AQ124" s="79">
        <v>0</v>
      </c>
      <c r="AR124" s="80">
        <v>7.8214999999999996E-5</v>
      </c>
      <c r="AS124" s="80">
        <v>3.5215000000000001E-5</v>
      </c>
      <c r="AT124" s="79">
        <v>3637.335</v>
      </c>
      <c r="AU124" s="79">
        <v>0</v>
      </c>
      <c r="AV124" s="79">
        <v>173</v>
      </c>
      <c r="AW124" s="79">
        <v>1220.6389290882801</v>
      </c>
      <c r="AX124" s="79">
        <v>2</v>
      </c>
      <c r="AY124" s="79">
        <v>2</v>
      </c>
      <c r="AZ124" s="79">
        <v>1046</v>
      </c>
      <c r="BA124" s="79">
        <v>1</v>
      </c>
      <c r="BB124" s="79">
        <v>0</v>
      </c>
      <c r="BC124" s="79">
        <v>0</v>
      </c>
      <c r="BD124" s="79">
        <v>0</v>
      </c>
      <c r="BE124" s="79">
        <v>0</v>
      </c>
      <c r="BF124" s="79">
        <v>0</v>
      </c>
      <c r="BG124" s="79">
        <v>0</v>
      </c>
      <c r="BH124" s="79">
        <v>0</v>
      </c>
      <c r="BI124" s="79">
        <v>0</v>
      </c>
      <c r="BJ124" s="79">
        <v>0</v>
      </c>
      <c r="BK124" s="79">
        <v>8</v>
      </c>
      <c r="BL124" s="79">
        <v>1128</v>
      </c>
      <c r="BM124" s="79">
        <v>50</v>
      </c>
      <c r="BN124" s="79">
        <v>26</v>
      </c>
      <c r="BO124">
        <v>2560</v>
      </c>
      <c r="BP124">
        <v>0</v>
      </c>
      <c r="BQ124">
        <v>2368</v>
      </c>
      <c r="BR124">
        <v>0</v>
      </c>
      <c r="BS124">
        <v>2386</v>
      </c>
      <c r="BT124">
        <v>0</v>
      </c>
      <c r="BU124">
        <v>2369</v>
      </c>
      <c r="BV124">
        <v>0</v>
      </c>
      <c r="BW124">
        <v>2367</v>
      </c>
      <c r="BX124">
        <v>0</v>
      </c>
      <c r="BY124">
        <v>2374</v>
      </c>
      <c r="BZ124">
        <v>0</v>
      </c>
      <c r="CA124">
        <v>2319</v>
      </c>
      <c r="CB124">
        <v>130.09196966904801</v>
      </c>
      <c r="CC124">
        <v>61.601744969892202</v>
      </c>
      <c r="CD124">
        <v>18.546950519784001</v>
      </c>
      <c r="CE124">
        <v>2612.1022818988499</v>
      </c>
      <c r="CF124">
        <v>627.41565841332294</v>
      </c>
      <c r="CG124">
        <v>106.908166123779</v>
      </c>
      <c r="CH124">
        <v>91</v>
      </c>
      <c r="CI124">
        <v>30.605885174358999</v>
      </c>
      <c r="CJ124">
        <v>23.059109120398698</v>
      </c>
      <c r="CK124" s="81">
        <v>300</v>
      </c>
      <c r="CL124">
        <v>84</v>
      </c>
      <c r="CM124">
        <v>1153.7881750445999</v>
      </c>
      <c r="CN124">
        <v>4.53665326171089E-2</v>
      </c>
      <c r="CO124">
        <v>7934</v>
      </c>
      <c r="CP124">
        <v>1073</v>
      </c>
      <c r="CQ124">
        <v>197</v>
      </c>
      <c r="CR124">
        <v>195</v>
      </c>
      <c r="CS124">
        <v>204</v>
      </c>
      <c r="CT124">
        <v>112</v>
      </c>
      <c r="CU124">
        <v>100.118981246319</v>
      </c>
      <c r="CV124">
        <v>63.183407317143001</v>
      </c>
      <c r="CW124">
        <v>22.9472076325942</v>
      </c>
      <c r="CX124">
        <v>281.17721817853698</v>
      </c>
      <c r="CY124">
        <v>177.44621932146299</v>
      </c>
      <c r="CZ124">
        <v>64.445641843118395</v>
      </c>
      <c r="DA124">
        <v>0</v>
      </c>
      <c r="DE124">
        <v>361</v>
      </c>
      <c r="DF124" t="s">
        <v>17</v>
      </c>
      <c r="DG124">
        <v>21526</v>
      </c>
      <c r="DH124">
        <v>21408</v>
      </c>
      <c r="DI124">
        <v>21134</v>
      </c>
      <c r="DJ124">
        <v>21135</v>
      </c>
      <c r="DK124">
        <v>21043</v>
      </c>
      <c r="DO124">
        <v>279</v>
      </c>
      <c r="DP124" t="s">
        <v>266</v>
      </c>
      <c r="DQ124">
        <v>4055</v>
      </c>
      <c r="DR124">
        <v>1</v>
      </c>
      <c r="DS124">
        <v>897</v>
      </c>
      <c r="DV124">
        <v>14</v>
      </c>
      <c r="DW124" t="s">
        <v>122</v>
      </c>
      <c r="DX124">
        <v>36715.199681059901</v>
      </c>
      <c r="DY124">
        <v>5480</v>
      </c>
      <c r="DZ124">
        <v>3233</v>
      </c>
      <c r="EA124">
        <v>1806</v>
      </c>
      <c r="EB124">
        <v>10814</v>
      </c>
      <c r="EC124">
        <v>5435</v>
      </c>
      <c r="ED124">
        <v>2340</v>
      </c>
      <c r="EE124" s="82">
        <v>0.236161287697744</v>
      </c>
      <c r="EF124" s="82">
        <v>0.57301140477143597</v>
      </c>
    </row>
    <row r="125" spans="1:136" x14ac:dyDescent="0.35">
      <c r="A125" s="72">
        <v>281</v>
      </c>
      <c r="B125" s="72">
        <v>5</v>
      </c>
      <c r="D125" s="72" t="s">
        <v>295</v>
      </c>
      <c r="E125" s="79">
        <v>2783200000</v>
      </c>
      <c r="F125" s="79">
        <v>709450000</v>
      </c>
      <c r="G125" s="79">
        <v>740600000</v>
      </c>
      <c r="H125" s="79">
        <v>41465</v>
      </c>
      <c r="I125" s="79">
        <v>2</v>
      </c>
      <c r="J125" s="79">
        <v>740.6</v>
      </c>
      <c r="K125" s="79">
        <v>9636</v>
      </c>
      <c r="L125" s="79">
        <v>7238</v>
      </c>
      <c r="M125" s="79">
        <v>2086</v>
      </c>
      <c r="N125" s="79">
        <v>5719</v>
      </c>
      <c r="O125" s="79">
        <v>3912.1</v>
      </c>
      <c r="P125" s="79">
        <v>1243.6666666666699</v>
      </c>
      <c r="Q125" s="79">
        <v>3655.6666666666702</v>
      </c>
      <c r="R125" s="79">
        <v>5290</v>
      </c>
      <c r="S125" s="79">
        <v>0</v>
      </c>
      <c r="T125" s="79">
        <v>1442</v>
      </c>
      <c r="U125" s="79">
        <v>18585</v>
      </c>
      <c r="V125" s="79">
        <v>48760</v>
      </c>
      <c r="W125" s="79">
        <v>41540</v>
      </c>
      <c r="X125" s="79">
        <v>2078.4</v>
      </c>
      <c r="Y125" s="79">
        <v>2293.6</v>
      </c>
      <c r="Z125" s="79">
        <v>0</v>
      </c>
      <c r="AA125" s="79">
        <v>0</v>
      </c>
      <c r="AB125" s="79">
        <v>16.899999999999601</v>
      </c>
      <c r="AC125" s="79">
        <v>3284</v>
      </c>
      <c r="AD125" s="79">
        <v>3678.08</v>
      </c>
      <c r="AE125" s="79">
        <v>267</v>
      </c>
      <c r="AF125" s="79">
        <v>0</v>
      </c>
      <c r="AG125" s="79">
        <v>299</v>
      </c>
      <c r="AH125" s="79">
        <v>253.08</v>
      </c>
      <c r="AI125" s="79">
        <v>83.6</v>
      </c>
      <c r="AJ125" s="79">
        <v>18069</v>
      </c>
      <c r="AK125" s="79">
        <v>20598.66</v>
      </c>
      <c r="AL125" s="79">
        <v>14</v>
      </c>
      <c r="AM125" s="79">
        <v>0</v>
      </c>
      <c r="AN125" s="79">
        <v>0</v>
      </c>
      <c r="AO125" s="79">
        <v>1500</v>
      </c>
      <c r="AP125" s="79">
        <v>2802</v>
      </c>
      <c r="AQ125" s="79">
        <v>2802</v>
      </c>
      <c r="AR125" s="80">
        <v>8.1596399999999997E-4</v>
      </c>
      <c r="AS125" s="80">
        <v>7.2984199999999997E-4</v>
      </c>
      <c r="AT125" s="79">
        <v>25567.634999999998</v>
      </c>
      <c r="AU125" s="79">
        <v>0</v>
      </c>
      <c r="AV125" s="79">
        <v>1253.28</v>
      </c>
      <c r="AW125" s="79">
        <v>19368.860827935801</v>
      </c>
      <c r="AX125" s="79">
        <v>3</v>
      </c>
      <c r="AY125" s="79">
        <v>3.3</v>
      </c>
      <c r="AZ125" s="79">
        <v>3977</v>
      </c>
      <c r="BA125" s="79">
        <v>1</v>
      </c>
      <c r="BB125" s="79">
        <v>0</v>
      </c>
      <c r="BC125" s="79">
        <v>0</v>
      </c>
      <c r="BD125" s="79">
        <v>0</v>
      </c>
      <c r="BE125" s="79">
        <v>0</v>
      </c>
      <c r="BF125" s="79">
        <v>0</v>
      </c>
      <c r="BG125" s="79">
        <v>0</v>
      </c>
      <c r="BH125" s="79">
        <v>0</v>
      </c>
      <c r="BI125" s="79">
        <v>0</v>
      </c>
      <c r="BJ125" s="79">
        <v>0</v>
      </c>
      <c r="BK125" s="79">
        <v>28</v>
      </c>
      <c r="BL125" s="79">
        <v>6063</v>
      </c>
      <c r="BM125" s="79">
        <v>222</v>
      </c>
      <c r="BN125" s="79">
        <v>76</v>
      </c>
      <c r="BO125">
        <v>10850</v>
      </c>
      <c r="BP125">
        <v>2591</v>
      </c>
      <c r="BQ125">
        <v>9728</v>
      </c>
      <c r="BR125">
        <v>2556</v>
      </c>
      <c r="BS125">
        <v>9667</v>
      </c>
      <c r="BT125">
        <v>2539</v>
      </c>
      <c r="BU125">
        <v>9543</v>
      </c>
      <c r="BV125">
        <v>2555</v>
      </c>
      <c r="BW125">
        <v>9528</v>
      </c>
      <c r="BX125">
        <v>2583</v>
      </c>
      <c r="BY125">
        <v>9354</v>
      </c>
      <c r="BZ125">
        <v>2656</v>
      </c>
      <c r="CA125">
        <v>8544</v>
      </c>
      <c r="CB125">
        <v>1244.3371386661499</v>
      </c>
      <c r="CC125">
        <v>222.45235766404099</v>
      </c>
      <c r="CD125">
        <v>284.68893789894503</v>
      </c>
      <c r="CE125">
        <v>11117.1444847278</v>
      </c>
      <c r="CF125">
        <v>2823.8821510695302</v>
      </c>
      <c r="CG125">
        <v>381.33520177383599</v>
      </c>
      <c r="CH125">
        <v>563</v>
      </c>
      <c r="CI125">
        <v>400.58230808860799</v>
      </c>
      <c r="CJ125">
        <v>313.60388403742297</v>
      </c>
      <c r="CK125" s="81">
        <v>2412</v>
      </c>
      <c r="CL125">
        <v>753</v>
      </c>
      <c r="CM125">
        <v>6551.6897615032503</v>
      </c>
      <c r="CN125">
        <v>3.5357176753629398</v>
      </c>
      <c r="CO125">
        <v>34227</v>
      </c>
      <c r="CP125">
        <v>4428</v>
      </c>
      <c r="CQ125">
        <v>724</v>
      </c>
      <c r="CR125">
        <v>929</v>
      </c>
      <c r="CS125">
        <v>736</v>
      </c>
      <c r="CT125">
        <v>329</v>
      </c>
      <c r="CU125">
        <v>601.47306847528603</v>
      </c>
      <c r="CV125">
        <v>320.87224171359702</v>
      </c>
      <c r="CW125">
        <v>97.863868592811102</v>
      </c>
      <c r="CX125">
        <v>1373.5732684561401</v>
      </c>
      <c r="CY125">
        <v>732.77018857163205</v>
      </c>
      <c r="CZ125">
        <v>223.489963046139</v>
      </c>
      <c r="DA125">
        <v>81988</v>
      </c>
      <c r="DE125">
        <v>362</v>
      </c>
      <c r="DF125" t="s">
        <v>25</v>
      </c>
      <c r="DG125">
        <v>15881</v>
      </c>
      <c r="DH125">
        <v>16020</v>
      </c>
      <c r="DI125">
        <v>16257</v>
      </c>
      <c r="DJ125">
        <v>16583</v>
      </c>
      <c r="DK125">
        <v>16811</v>
      </c>
      <c r="DO125">
        <v>281</v>
      </c>
      <c r="DP125" t="s">
        <v>295</v>
      </c>
      <c r="DQ125">
        <v>18069</v>
      </c>
      <c r="DR125">
        <v>1.1399999999999999</v>
      </c>
      <c r="DS125">
        <v>1415</v>
      </c>
      <c r="DV125">
        <v>15</v>
      </c>
      <c r="DW125" t="s">
        <v>797</v>
      </c>
      <c r="DX125">
        <v>1426.30553827007</v>
      </c>
      <c r="DY125">
        <v>240</v>
      </c>
      <c r="DZ125">
        <v>199</v>
      </c>
      <c r="EA125">
        <v>112</v>
      </c>
      <c r="EB125">
        <v>795</v>
      </c>
      <c r="EC125">
        <v>462</v>
      </c>
      <c r="ED125">
        <v>163</v>
      </c>
      <c r="EE125" s="82">
        <v>0.18412460921714499</v>
      </c>
      <c r="EF125" s="82">
        <v>0.55829946497093697</v>
      </c>
    </row>
    <row r="126" spans="1:136" x14ac:dyDescent="0.35">
      <c r="A126" s="72">
        <v>285</v>
      </c>
      <c r="B126" s="72">
        <v>5</v>
      </c>
      <c r="D126" s="72" t="s">
        <v>323</v>
      </c>
      <c r="E126" s="79">
        <v>2145600000</v>
      </c>
      <c r="F126" s="79">
        <v>427000000</v>
      </c>
      <c r="G126" s="79">
        <v>461650000</v>
      </c>
      <c r="H126" s="79">
        <v>24310</v>
      </c>
      <c r="I126" s="79">
        <v>3</v>
      </c>
      <c r="J126" s="79">
        <v>461.65</v>
      </c>
      <c r="K126" s="79">
        <v>5341</v>
      </c>
      <c r="L126" s="79">
        <v>5613</v>
      </c>
      <c r="M126" s="79">
        <v>1767</v>
      </c>
      <c r="N126" s="79">
        <v>2755</v>
      </c>
      <c r="O126" s="79">
        <v>1660.4</v>
      </c>
      <c r="P126" s="79">
        <v>287</v>
      </c>
      <c r="Q126" s="79">
        <v>1570</v>
      </c>
      <c r="R126" s="79">
        <v>500</v>
      </c>
      <c r="S126" s="79">
        <v>0</v>
      </c>
      <c r="T126" s="79">
        <v>493</v>
      </c>
      <c r="U126" s="79">
        <v>10698</v>
      </c>
      <c r="V126" s="79">
        <v>17580</v>
      </c>
      <c r="W126" s="79">
        <v>5960</v>
      </c>
      <c r="X126" s="79">
        <v>1138.3399999999999</v>
      </c>
      <c r="Y126" s="79">
        <v>268.8</v>
      </c>
      <c r="Z126" s="79">
        <v>0</v>
      </c>
      <c r="AA126" s="79">
        <v>0</v>
      </c>
      <c r="AB126" s="79">
        <v>24.7</v>
      </c>
      <c r="AC126" s="79">
        <v>12292</v>
      </c>
      <c r="AD126" s="79">
        <v>12292</v>
      </c>
      <c r="AE126" s="79">
        <v>355</v>
      </c>
      <c r="AF126" s="79">
        <v>0</v>
      </c>
      <c r="AG126" s="79">
        <v>260</v>
      </c>
      <c r="AH126" s="79">
        <v>134</v>
      </c>
      <c r="AI126" s="79">
        <v>126</v>
      </c>
      <c r="AJ126" s="79">
        <v>10946</v>
      </c>
      <c r="AK126" s="79">
        <v>10946</v>
      </c>
      <c r="AL126" s="79">
        <v>0</v>
      </c>
      <c r="AM126" s="79">
        <v>0</v>
      </c>
      <c r="AN126" s="79">
        <v>0</v>
      </c>
      <c r="AO126" s="79">
        <v>0</v>
      </c>
      <c r="AP126" s="79">
        <v>674</v>
      </c>
      <c r="AQ126" s="79">
        <v>0</v>
      </c>
      <c r="AR126" s="80">
        <v>4.4639099999999998E-4</v>
      </c>
      <c r="AS126" s="80">
        <v>1.3076200000000001E-4</v>
      </c>
      <c r="AT126" s="79">
        <v>6414.3559999999998</v>
      </c>
      <c r="AU126" s="79">
        <v>0</v>
      </c>
      <c r="AV126" s="79">
        <v>2346</v>
      </c>
      <c r="AW126" s="79">
        <v>4509.4694393927402</v>
      </c>
      <c r="AX126" s="79">
        <v>17</v>
      </c>
      <c r="AY126" s="79">
        <v>17</v>
      </c>
      <c r="AZ126" s="79">
        <v>2728</v>
      </c>
      <c r="BA126" s="79">
        <v>1</v>
      </c>
      <c r="BB126" s="79">
        <v>0</v>
      </c>
      <c r="BC126" s="79">
        <v>0</v>
      </c>
      <c r="BD126" s="79">
        <v>0</v>
      </c>
      <c r="BE126" s="79">
        <v>0</v>
      </c>
      <c r="BF126" s="79">
        <v>0</v>
      </c>
      <c r="BG126" s="79">
        <v>0</v>
      </c>
      <c r="BH126" s="79">
        <v>0</v>
      </c>
      <c r="BI126" s="79">
        <v>0</v>
      </c>
      <c r="BJ126" s="79">
        <v>0</v>
      </c>
      <c r="BK126" s="79">
        <v>6</v>
      </c>
      <c r="BL126" s="79">
        <v>2686</v>
      </c>
      <c r="BM126" s="79">
        <v>134</v>
      </c>
      <c r="BN126" s="79">
        <v>126</v>
      </c>
      <c r="BO126">
        <v>5628</v>
      </c>
      <c r="BP126">
        <v>283</v>
      </c>
      <c r="BQ126">
        <v>4953</v>
      </c>
      <c r="BR126">
        <v>276</v>
      </c>
      <c r="BS126">
        <v>4875</v>
      </c>
      <c r="BT126">
        <v>255</v>
      </c>
      <c r="BU126">
        <v>4794</v>
      </c>
      <c r="BV126">
        <v>251</v>
      </c>
      <c r="BW126">
        <v>4774</v>
      </c>
      <c r="BX126">
        <v>281</v>
      </c>
      <c r="BY126">
        <v>4750</v>
      </c>
      <c r="BZ126">
        <v>304</v>
      </c>
      <c r="CA126">
        <v>4803</v>
      </c>
      <c r="CB126">
        <v>310.23375340138801</v>
      </c>
      <c r="CC126">
        <v>68.223462745065305</v>
      </c>
      <c r="CD126">
        <v>26.041418761353899</v>
      </c>
      <c r="CE126">
        <v>6839.3936516385502</v>
      </c>
      <c r="CF126">
        <v>1739.52455131742</v>
      </c>
      <c r="CG126">
        <v>102.004972027972</v>
      </c>
      <c r="CH126">
        <v>194</v>
      </c>
      <c r="CI126">
        <v>82.874017640000901</v>
      </c>
      <c r="CJ126">
        <v>72.015371560629902</v>
      </c>
      <c r="CK126" s="81">
        <v>1283</v>
      </c>
      <c r="CL126">
        <v>525</v>
      </c>
      <c r="CM126">
        <v>3691.4224149432998</v>
      </c>
      <c r="CN126">
        <v>0.27628272422244499</v>
      </c>
      <c r="CO126">
        <v>18697</v>
      </c>
      <c r="CP126">
        <v>3191</v>
      </c>
      <c r="CQ126">
        <v>655</v>
      </c>
      <c r="CR126">
        <v>501</v>
      </c>
      <c r="CS126">
        <v>541</v>
      </c>
      <c r="CT126">
        <v>320</v>
      </c>
      <c r="CU126">
        <v>287.11820745478201</v>
      </c>
      <c r="CV126">
        <v>179.581594097444</v>
      </c>
      <c r="CW126">
        <v>69.3148551541655</v>
      </c>
      <c r="CX126">
        <v>785.63514511979599</v>
      </c>
      <c r="CY126">
        <v>491.38510925612201</v>
      </c>
      <c r="CZ126">
        <v>189.66469166389101</v>
      </c>
      <c r="DA126">
        <v>170409</v>
      </c>
      <c r="DE126">
        <v>363</v>
      </c>
      <c r="DF126" t="s">
        <v>26</v>
      </c>
      <c r="DG126">
        <v>139257</v>
      </c>
      <c r="DH126">
        <v>141065</v>
      </c>
      <c r="DI126">
        <v>142968</v>
      </c>
      <c r="DJ126">
        <v>144042</v>
      </c>
      <c r="DK126">
        <v>145634</v>
      </c>
      <c r="DO126">
        <v>285</v>
      </c>
      <c r="DP126" t="s">
        <v>323</v>
      </c>
      <c r="DQ126">
        <v>10946</v>
      </c>
      <c r="DR126">
        <v>1</v>
      </c>
      <c r="DS126">
        <v>586</v>
      </c>
      <c r="DV126">
        <v>1729</v>
      </c>
      <c r="DW126" t="s">
        <v>123</v>
      </c>
      <c r="DX126">
        <v>1992.5449930779901</v>
      </c>
      <c r="DY126">
        <v>366</v>
      </c>
      <c r="DZ126">
        <v>400</v>
      </c>
      <c r="EA126">
        <v>175</v>
      </c>
      <c r="EB126">
        <v>1343</v>
      </c>
      <c r="EC126">
        <v>838</v>
      </c>
      <c r="ED126">
        <v>253</v>
      </c>
      <c r="EE126" s="82">
        <v>0.17593754231795999</v>
      </c>
      <c r="EF126" s="82">
        <v>0.44140850577478302</v>
      </c>
    </row>
    <row r="127" spans="1:136" x14ac:dyDescent="0.35">
      <c r="A127" s="72">
        <v>289</v>
      </c>
      <c r="B127" s="72">
        <v>5</v>
      </c>
      <c r="D127" s="72" t="s">
        <v>329</v>
      </c>
      <c r="E127" s="79">
        <v>2828400000</v>
      </c>
      <c r="F127" s="79">
        <v>582050000</v>
      </c>
      <c r="G127" s="79">
        <v>591150000</v>
      </c>
      <c r="H127" s="79">
        <v>38412</v>
      </c>
      <c r="I127" s="79">
        <v>1</v>
      </c>
      <c r="J127" s="79">
        <v>591.15</v>
      </c>
      <c r="K127" s="79">
        <v>7238</v>
      </c>
      <c r="L127" s="79">
        <v>6130</v>
      </c>
      <c r="M127" s="79">
        <v>1869</v>
      </c>
      <c r="N127" s="79">
        <v>4915</v>
      </c>
      <c r="O127" s="79">
        <v>2999.7</v>
      </c>
      <c r="P127" s="79">
        <v>700.33333333333303</v>
      </c>
      <c r="Q127" s="79">
        <v>2253.3333333333298</v>
      </c>
      <c r="R127" s="79">
        <v>1280</v>
      </c>
      <c r="S127" s="79">
        <v>0</v>
      </c>
      <c r="T127" s="79">
        <v>901</v>
      </c>
      <c r="U127" s="79">
        <v>22699</v>
      </c>
      <c r="V127" s="79">
        <v>41230</v>
      </c>
      <c r="W127" s="79">
        <v>35500</v>
      </c>
      <c r="X127" s="79">
        <v>437.58</v>
      </c>
      <c r="Y127" s="79">
        <v>1654.4</v>
      </c>
      <c r="Z127" s="79">
        <v>0</v>
      </c>
      <c r="AA127" s="79">
        <v>0</v>
      </c>
      <c r="AB127" s="79">
        <v>224.4</v>
      </c>
      <c r="AC127" s="79">
        <v>3042</v>
      </c>
      <c r="AD127" s="79">
        <v>3042</v>
      </c>
      <c r="AE127" s="79">
        <v>194</v>
      </c>
      <c r="AF127" s="79">
        <v>0</v>
      </c>
      <c r="AG127" s="79">
        <v>155</v>
      </c>
      <c r="AH127" s="79">
        <v>136</v>
      </c>
      <c r="AI127" s="79">
        <v>19</v>
      </c>
      <c r="AJ127" s="79">
        <v>19153</v>
      </c>
      <c r="AK127" s="79">
        <v>19153</v>
      </c>
      <c r="AL127" s="79">
        <v>9</v>
      </c>
      <c r="AM127" s="79">
        <v>0</v>
      </c>
      <c r="AN127" s="79">
        <v>0</v>
      </c>
      <c r="AO127" s="79">
        <v>1800</v>
      </c>
      <c r="AP127" s="79">
        <v>2670</v>
      </c>
      <c r="AQ127" s="79">
        <v>2670</v>
      </c>
      <c r="AR127" s="80">
        <v>5.4911200000000004E-4</v>
      </c>
      <c r="AS127" s="80">
        <v>1.3787420000000001E-3</v>
      </c>
      <c r="AT127" s="79">
        <v>37827.175000000003</v>
      </c>
      <c r="AU127" s="79">
        <v>0</v>
      </c>
      <c r="AV127" s="79">
        <v>793</v>
      </c>
      <c r="AW127" s="79">
        <v>9413.0766378244807</v>
      </c>
      <c r="AX127" s="79">
        <v>3</v>
      </c>
      <c r="AY127" s="79">
        <v>3</v>
      </c>
      <c r="AZ127" s="79">
        <v>3262</v>
      </c>
      <c r="BA127" s="79">
        <v>1</v>
      </c>
      <c r="BB127" s="79">
        <v>0</v>
      </c>
      <c r="BC127" s="79">
        <v>0</v>
      </c>
      <c r="BD127" s="79">
        <v>0</v>
      </c>
      <c r="BE127" s="79">
        <v>0</v>
      </c>
      <c r="BF127" s="79">
        <v>0</v>
      </c>
      <c r="BG127" s="79">
        <v>0</v>
      </c>
      <c r="BH127" s="79">
        <v>0</v>
      </c>
      <c r="BI127" s="79">
        <v>0</v>
      </c>
      <c r="BJ127" s="79">
        <v>0</v>
      </c>
      <c r="BK127" s="79">
        <v>13</v>
      </c>
      <c r="BL127" s="79">
        <v>13250</v>
      </c>
      <c r="BM127" s="79">
        <v>136</v>
      </c>
      <c r="BN127" s="79">
        <v>19</v>
      </c>
      <c r="BO127">
        <v>7387</v>
      </c>
      <c r="BP127">
        <v>1676</v>
      </c>
      <c r="BQ127">
        <v>6107</v>
      </c>
      <c r="BR127">
        <v>1720</v>
      </c>
      <c r="BS127">
        <v>6133</v>
      </c>
      <c r="BT127">
        <v>1758</v>
      </c>
      <c r="BU127">
        <v>6106</v>
      </c>
      <c r="BV127">
        <v>1847</v>
      </c>
      <c r="BW127">
        <v>6081</v>
      </c>
      <c r="BX127">
        <v>1829</v>
      </c>
      <c r="BY127">
        <v>6003</v>
      </c>
      <c r="BZ127">
        <v>1857</v>
      </c>
      <c r="CA127">
        <v>5933</v>
      </c>
      <c r="CB127">
        <v>658.33786925950903</v>
      </c>
      <c r="CC127">
        <v>76.217161807902798</v>
      </c>
      <c r="CD127">
        <v>83.096689053479693</v>
      </c>
      <c r="CE127">
        <v>10510.5876200245</v>
      </c>
      <c r="CF127">
        <v>2246.00134421234</v>
      </c>
      <c r="CG127">
        <v>188.62689158614199</v>
      </c>
      <c r="CH127">
        <v>335</v>
      </c>
      <c r="CI127">
        <v>189.83756787957</v>
      </c>
      <c r="CJ127">
        <v>172.05642959066699</v>
      </c>
      <c r="CK127" s="81">
        <v>1553</v>
      </c>
      <c r="CL127">
        <v>568</v>
      </c>
      <c r="CM127">
        <v>2954.7910965457099</v>
      </c>
      <c r="CN127">
        <v>1.00492595054426</v>
      </c>
      <c r="CO127">
        <v>32282</v>
      </c>
      <c r="CP127">
        <v>3347</v>
      </c>
      <c r="CQ127">
        <v>914</v>
      </c>
      <c r="CR127">
        <v>843</v>
      </c>
      <c r="CS127">
        <v>695</v>
      </c>
      <c r="CT127">
        <v>394</v>
      </c>
      <c r="CU127">
        <v>333.58652022348599</v>
      </c>
      <c r="CV127">
        <v>200.934979082973</v>
      </c>
      <c r="CW127">
        <v>83.161709971207003</v>
      </c>
      <c r="CX127">
        <v>965.24003963981795</v>
      </c>
      <c r="CY127">
        <v>581.40984547318601</v>
      </c>
      <c r="CZ127">
        <v>240.630263403166</v>
      </c>
      <c r="DA127">
        <v>21593.1</v>
      </c>
      <c r="DE127">
        <v>370</v>
      </c>
      <c r="DF127" t="s">
        <v>38</v>
      </c>
      <c r="DG127">
        <v>1891</v>
      </c>
      <c r="DH127">
        <v>1880</v>
      </c>
      <c r="DI127">
        <v>1847</v>
      </c>
      <c r="DJ127">
        <v>1858</v>
      </c>
      <c r="DK127">
        <v>1843</v>
      </c>
      <c r="DO127">
        <v>289</v>
      </c>
      <c r="DP127" t="s">
        <v>329</v>
      </c>
      <c r="DQ127">
        <v>19153</v>
      </c>
      <c r="DR127">
        <v>1</v>
      </c>
      <c r="DS127">
        <v>1975</v>
      </c>
      <c r="DV127">
        <v>158</v>
      </c>
      <c r="DW127" t="s">
        <v>124</v>
      </c>
      <c r="DX127">
        <v>2955.1170032832601</v>
      </c>
      <c r="DY127">
        <v>575</v>
      </c>
      <c r="DZ127">
        <v>566</v>
      </c>
      <c r="EA127">
        <v>245</v>
      </c>
      <c r="EB127">
        <v>1882</v>
      </c>
      <c r="EC127">
        <v>1278</v>
      </c>
      <c r="ED127">
        <v>353</v>
      </c>
      <c r="EE127" s="82">
        <v>0.176851883387976</v>
      </c>
      <c r="EF127" s="82">
        <v>0.473389425315906</v>
      </c>
    </row>
    <row r="128" spans="1:136" x14ac:dyDescent="0.35">
      <c r="A128" s="72">
        <v>668</v>
      </c>
      <c r="B128" s="72">
        <v>5</v>
      </c>
      <c r="D128" s="72" t="s">
        <v>335</v>
      </c>
      <c r="E128" s="79">
        <v>1498800000</v>
      </c>
      <c r="F128" s="79">
        <v>223300000</v>
      </c>
      <c r="G128" s="79">
        <v>265300000</v>
      </c>
      <c r="H128" s="79">
        <v>18891</v>
      </c>
      <c r="I128" s="79">
        <v>5</v>
      </c>
      <c r="J128" s="79">
        <v>265.3</v>
      </c>
      <c r="K128" s="79">
        <v>3975</v>
      </c>
      <c r="L128" s="79">
        <v>3872</v>
      </c>
      <c r="M128" s="79">
        <v>1154</v>
      </c>
      <c r="N128" s="79">
        <v>2376</v>
      </c>
      <c r="O128" s="79">
        <v>1563.9</v>
      </c>
      <c r="P128" s="79">
        <v>241.666666666667</v>
      </c>
      <c r="Q128" s="79">
        <v>1061.6666666666699</v>
      </c>
      <c r="R128" s="79">
        <v>240</v>
      </c>
      <c r="S128" s="79">
        <v>0</v>
      </c>
      <c r="T128" s="79">
        <v>491</v>
      </c>
      <c r="U128" s="79">
        <v>8324</v>
      </c>
      <c r="V128" s="79">
        <v>14110</v>
      </c>
      <c r="W128" s="79">
        <v>2270</v>
      </c>
      <c r="X128" s="79">
        <v>0</v>
      </c>
      <c r="Y128" s="79">
        <v>220.8</v>
      </c>
      <c r="Z128" s="79">
        <v>0</v>
      </c>
      <c r="AA128" s="79">
        <v>0</v>
      </c>
      <c r="AB128" s="79">
        <v>0</v>
      </c>
      <c r="AC128" s="79">
        <v>7640</v>
      </c>
      <c r="AD128" s="79">
        <v>8098.4</v>
      </c>
      <c r="AE128" s="79">
        <v>881</v>
      </c>
      <c r="AF128" s="79">
        <v>0</v>
      </c>
      <c r="AG128" s="79">
        <v>213</v>
      </c>
      <c r="AH128" s="79">
        <v>149.1</v>
      </c>
      <c r="AI128" s="79">
        <v>75.260000000000005</v>
      </c>
      <c r="AJ128" s="79">
        <v>8121</v>
      </c>
      <c r="AK128" s="79">
        <v>8527.0499999999993</v>
      </c>
      <c r="AL128" s="79">
        <v>0</v>
      </c>
      <c r="AM128" s="79">
        <v>0</v>
      </c>
      <c r="AN128" s="79">
        <v>0</v>
      </c>
      <c r="AO128" s="79">
        <v>0</v>
      </c>
      <c r="AP128" s="79">
        <v>836</v>
      </c>
      <c r="AQ128" s="79">
        <v>0</v>
      </c>
      <c r="AR128" s="80">
        <v>2.87903E-4</v>
      </c>
      <c r="AS128" s="80">
        <v>7.3732000000000005E-5</v>
      </c>
      <c r="AT128" s="79">
        <v>3321.489</v>
      </c>
      <c r="AU128" s="79">
        <v>0</v>
      </c>
      <c r="AV128" s="79">
        <v>2386.06</v>
      </c>
      <c r="AW128" s="79">
        <v>5393.2796268043703</v>
      </c>
      <c r="AX128" s="79">
        <v>12</v>
      </c>
      <c r="AY128" s="79">
        <v>12.72</v>
      </c>
      <c r="AZ128" s="79">
        <v>2404</v>
      </c>
      <c r="BA128" s="79">
        <v>1</v>
      </c>
      <c r="BB128" s="79">
        <v>0</v>
      </c>
      <c r="BC128" s="79">
        <v>0</v>
      </c>
      <c r="BD128" s="79">
        <v>0</v>
      </c>
      <c r="BE128" s="79">
        <v>0</v>
      </c>
      <c r="BF128" s="79">
        <v>0</v>
      </c>
      <c r="BG128" s="79">
        <v>0</v>
      </c>
      <c r="BH128" s="79">
        <v>0</v>
      </c>
      <c r="BI128" s="79">
        <v>0</v>
      </c>
      <c r="BJ128" s="79">
        <v>0</v>
      </c>
      <c r="BK128" s="79">
        <v>5</v>
      </c>
      <c r="BL128" s="79">
        <v>2270</v>
      </c>
      <c r="BM128" s="79">
        <v>142</v>
      </c>
      <c r="BN128" s="79">
        <v>71</v>
      </c>
      <c r="BO128">
        <v>4462</v>
      </c>
      <c r="BP128">
        <v>336</v>
      </c>
      <c r="BQ128">
        <v>4035</v>
      </c>
      <c r="BR128">
        <v>356</v>
      </c>
      <c r="BS128">
        <v>4008</v>
      </c>
      <c r="BT128">
        <v>367</v>
      </c>
      <c r="BU128">
        <v>3885</v>
      </c>
      <c r="BV128">
        <v>357</v>
      </c>
      <c r="BW128">
        <v>3839</v>
      </c>
      <c r="BX128">
        <v>342</v>
      </c>
      <c r="BY128">
        <v>3760</v>
      </c>
      <c r="BZ128">
        <v>333</v>
      </c>
      <c r="CA128">
        <v>3507</v>
      </c>
      <c r="CB128">
        <v>255.22098783349799</v>
      </c>
      <c r="CC128">
        <v>103.85442499504499</v>
      </c>
      <c r="CD128">
        <v>45.970946504831701</v>
      </c>
      <c r="CE128">
        <v>5463.4030769588098</v>
      </c>
      <c r="CF128">
        <v>1412.81411959511</v>
      </c>
      <c r="CG128">
        <v>89.272821059876094</v>
      </c>
      <c r="CH128">
        <v>180</v>
      </c>
      <c r="CI128">
        <v>72.836203838764007</v>
      </c>
      <c r="CJ128">
        <v>58.534661613319798</v>
      </c>
      <c r="CK128" s="81">
        <v>820</v>
      </c>
      <c r="CL128">
        <v>199</v>
      </c>
      <c r="CM128">
        <v>2842.6341646605701</v>
      </c>
      <c r="CN128">
        <v>0.30639019510440801</v>
      </c>
      <c r="CO128">
        <v>15019</v>
      </c>
      <c r="CP128">
        <v>2330</v>
      </c>
      <c r="CQ128">
        <v>388</v>
      </c>
      <c r="CR128">
        <v>415</v>
      </c>
      <c r="CS128">
        <v>370</v>
      </c>
      <c r="CT128">
        <v>197</v>
      </c>
      <c r="CU128">
        <v>274.80135505825501</v>
      </c>
      <c r="CV128">
        <v>150.591912863038</v>
      </c>
      <c r="CW128">
        <v>52.379795778448099</v>
      </c>
      <c r="CX128">
        <v>629.88993774061601</v>
      </c>
      <c r="CY128">
        <v>345.18145151588101</v>
      </c>
      <c r="CZ128">
        <v>120.063113570741</v>
      </c>
      <c r="DA128">
        <v>16136</v>
      </c>
      <c r="DE128">
        <v>373</v>
      </c>
      <c r="DF128" t="s">
        <v>43</v>
      </c>
      <c r="DG128">
        <v>6017</v>
      </c>
      <c r="DH128">
        <v>5882</v>
      </c>
      <c r="DI128">
        <v>5788</v>
      </c>
      <c r="DJ128">
        <v>5654</v>
      </c>
      <c r="DK128">
        <v>5436</v>
      </c>
      <c r="DO128">
        <v>668</v>
      </c>
      <c r="DP128" t="s">
        <v>335</v>
      </c>
      <c r="DQ128">
        <v>8121</v>
      </c>
      <c r="DR128">
        <v>1.05</v>
      </c>
      <c r="DS128">
        <v>409</v>
      </c>
      <c r="DV128">
        <v>788</v>
      </c>
      <c r="DW128" t="s">
        <v>125</v>
      </c>
      <c r="DX128">
        <v>1278.1937071541599</v>
      </c>
      <c r="DY128">
        <v>301</v>
      </c>
      <c r="DZ128">
        <v>289</v>
      </c>
      <c r="EA128">
        <v>160</v>
      </c>
      <c r="EB128">
        <v>1108</v>
      </c>
      <c r="EC128">
        <v>641</v>
      </c>
      <c r="ED128">
        <v>232</v>
      </c>
      <c r="EE128" s="82">
        <v>0.101037072531324</v>
      </c>
      <c r="EF128" s="82">
        <v>0.32517440509773998</v>
      </c>
    </row>
    <row r="129" spans="1:136" x14ac:dyDescent="0.35">
      <c r="A129" s="72">
        <v>293</v>
      </c>
      <c r="B129" s="72">
        <v>5</v>
      </c>
      <c r="D129" s="72" t="s">
        <v>338</v>
      </c>
      <c r="E129" s="79">
        <v>986400000</v>
      </c>
      <c r="F129" s="79">
        <v>73500000</v>
      </c>
      <c r="G129" s="79">
        <v>74550000</v>
      </c>
      <c r="H129" s="79">
        <v>15015</v>
      </c>
      <c r="I129" s="79">
        <v>1</v>
      </c>
      <c r="J129" s="79">
        <v>74.55</v>
      </c>
      <c r="K129" s="79">
        <v>3146</v>
      </c>
      <c r="L129" s="79">
        <v>2731</v>
      </c>
      <c r="M129" s="79">
        <v>724</v>
      </c>
      <c r="N129" s="79">
        <v>2049</v>
      </c>
      <c r="O129" s="79">
        <v>1379.8</v>
      </c>
      <c r="P129" s="79">
        <v>393.33333333333297</v>
      </c>
      <c r="Q129" s="79">
        <v>1351.3333333333301</v>
      </c>
      <c r="R129" s="79">
        <v>690</v>
      </c>
      <c r="S129" s="79">
        <v>0</v>
      </c>
      <c r="T129" s="79">
        <v>619</v>
      </c>
      <c r="U129" s="79">
        <v>6797</v>
      </c>
      <c r="V129" s="79">
        <v>12850</v>
      </c>
      <c r="W129" s="79">
        <v>4380</v>
      </c>
      <c r="X129" s="79">
        <v>0</v>
      </c>
      <c r="Y129" s="79">
        <v>0</v>
      </c>
      <c r="Z129" s="79">
        <v>0</v>
      </c>
      <c r="AA129" s="79">
        <v>0</v>
      </c>
      <c r="AB129" s="79">
        <v>0</v>
      </c>
      <c r="AC129" s="79">
        <v>702</v>
      </c>
      <c r="AD129" s="79">
        <v>702</v>
      </c>
      <c r="AE129" s="79">
        <v>82</v>
      </c>
      <c r="AF129" s="79">
        <v>0</v>
      </c>
      <c r="AG129" s="79">
        <v>64</v>
      </c>
      <c r="AH129" s="79">
        <v>61</v>
      </c>
      <c r="AI129" s="79">
        <v>2</v>
      </c>
      <c r="AJ129" s="79">
        <v>6692</v>
      </c>
      <c r="AK129" s="79">
        <v>6692</v>
      </c>
      <c r="AL129" s="79">
        <v>0</v>
      </c>
      <c r="AM129" s="79">
        <v>0</v>
      </c>
      <c r="AN129" s="79">
        <v>0</v>
      </c>
      <c r="AO129" s="79">
        <v>0</v>
      </c>
      <c r="AP129" s="79">
        <v>0</v>
      </c>
      <c r="AQ129" s="79">
        <v>0</v>
      </c>
      <c r="AR129" s="80">
        <v>5.8205000000000003E-5</v>
      </c>
      <c r="AS129" s="80">
        <v>5.3436000000000001E-5</v>
      </c>
      <c r="AT129" s="79">
        <v>7682.4160000000002</v>
      </c>
      <c r="AU129" s="79">
        <v>0</v>
      </c>
      <c r="AV129" s="79">
        <v>426</v>
      </c>
      <c r="AW129" s="79">
        <v>8158.6607142857101</v>
      </c>
      <c r="AX129" s="79">
        <v>1</v>
      </c>
      <c r="AY129" s="79">
        <v>1</v>
      </c>
      <c r="AZ129" s="79">
        <v>1150</v>
      </c>
      <c r="BA129" s="79">
        <v>1</v>
      </c>
      <c r="BB129" s="79">
        <v>0</v>
      </c>
      <c r="BC129" s="79">
        <v>0</v>
      </c>
      <c r="BD129" s="79">
        <v>0</v>
      </c>
      <c r="BE129" s="79">
        <v>0</v>
      </c>
      <c r="BF129" s="79">
        <v>0</v>
      </c>
      <c r="BG129" s="79">
        <v>0</v>
      </c>
      <c r="BH129" s="79">
        <v>0</v>
      </c>
      <c r="BI129" s="79">
        <v>0</v>
      </c>
      <c r="BJ129" s="79">
        <v>0</v>
      </c>
      <c r="BK129" s="79">
        <v>11</v>
      </c>
      <c r="BL129" s="79">
        <v>2013</v>
      </c>
      <c r="BM129" s="79">
        <v>61</v>
      </c>
      <c r="BN129" s="79">
        <v>2</v>
      </c>
      <c r="BO129">
        <v>4032</v>
      </c>
      <c r="BP129">
        <v>0</v>
      </c>
      <c r="BQ129">
        <v>3425</v>
      </c>
      <c r="BR129">
        <v>0</v>
      </c>
      <c r="BS129">
        <v>3296</v>
      </c>
      <c r="BT129">
        <v>0</v>
      </c>
      <c r="BU129">
        <v>3271</v>
      </c>
      <c r="BV129">
        <v>0</v>
      </c>
      <c r="BW129">
        <v>3162</v>
      </c>
      <c r="BX129">
        <v>0</v>
      </c>
      <c r="BY129">
        <v>3052</v>
      </c>
      <c r="BZ129">
        <v>0</v>
      </c>
      <c r="CA129">
        <v>2809</v>
      </c>
      <c r="CB129">
        <v>442.41832525910598</v>
      </c>
      <c r="CC129">
        <v>53.550721376178899</v>
      </c>
      <c r="CD129">
        <v>22.770147775455101</v>
      </c>
      <c r="CE129">
        <v>4155.9803687876201</v>
      </c>
      <c r="CF129">
        <v>968.668731335497</v>
      </c>
      <c r="CG129">
        <v>138.987238421265</v>
      </c>
      <c r="CH129">
        <v>228</v>
      </c>
      <c r="CI129">
        <v>162.01181352463499</v>
      </c>
      <c r="CJ129">
        <v>146.15927627083499</v>
      </c>
      <c r="CK129" s="81">
        <v>958</v>
      </c>
      <c r="CL129">
        <v>266</v>
      </c>
      <c r="CM129">
        <v>2336.0581427904799</v>
      </c>
      <c r="CN129">
        <v>0.99240565052880303</v>
      </c>
      <c r="CO129">
        <v>12284</v>
      </c>
      <c r="CP129">
        <v>1743</v>
      </c>
      <c r="CQ129">
        <v>264</v>
      </c>
      <c r="CR129">
        <v>389</v>
      </c>
      <c r="CS129">
        <v>285</v>
      </c>
      <c r="CT129">
        <v>139</v>
      </c>
      <c r="CU129">
        <v>234.423381490472</v>
      </c>
      <c r="CV129">
        <v>110.30475734160299</v>
      </c>
      <c r="CW129">
        <v>38.967475023482201</v>
      </c>
      <c r="CX129">
        <v>562.18603536163698</v>
      </c>
      <c r="CY129">
        <v>264.52904918071698</v>
      </c>
      <c r="CZ129">
        <v>93.450449149823598</v>
      </c>
      <c r="DA129">
        <v>0</v>
      </c>
      <c r="DE129">
        <v>375</v>
      </c>
      <c r="DF129" t="s">
        <v>49</v>
      </c>
      <c r="DG129">
        <v>7876</v>
      </c>
      <c r="DH129">
        <v>7981</v>
      </c>
      <c r="DI129">
        <v>8065</v>
      </c>
      <c r="DJ129">
        <v>8160</v>
      </c>
      <c r="DK129">
        <v>8204</v>
      </c>
      <c r="DO129">
        <v>293</v>
      </c>
      <c r="DP129" t="s">
        <v>338</v>
      </c>
      <c r="DQ129">
        <v>6692</v>
      </c>
      <c r="DR129">
        <v>1</v>
      </c>
      <c r="DS129">
        <v>1148</v>
      </c>
      <c r="DV129">
        <v>392</v>
      </c>
      <c r="DW129" t="s">
        <v>126</v>
      </c>
      <c r="DX129">
        <v>24777.335381971101</v>
      </c>
      <c r="DY129">
        <v>5018</v>
      </c>
      <c r="DZ129">
        <v>3510</v>
      </c>
      <c r="EA129">
        <v>1788</v>
      </c>
      <c r="EB129">
        <v>10599</v>
      </c>
      <c r="EC129">
        <v>6104</v>
      </c>
      <c r="ED129">
        <v>2386</v>
      </c>
      <c r="EE129" s="82">
        <v>0.22793773253882799</v>
      </c>
      <c r="EF129" s="82">
        <v>0.42241600566415499</v>
      </c>
    </row>
    <row r="130" spans="1:136" x14ac:dyDescent="0.35">
      <c r="A130" s="72">
        <v>296</v>
      </c>
      <c r="B130" s="72">
        <v>5</v>
      </c>
      <c r="D130" s="72" t="s">
        <v>344</v>
      </c>
      <c r="E130" s="79">
        <v>3260000000</v>
      </c>
      <c r="F130" s="79">
        <v>501200000</v>
      </c>
      <c r="G130" s="79">
        <v>525350000</v>
      </c>
      <c r="H130" s="79">
        <v>40847</v>
      </c>
      <c r="I130" s="79">
        <v>2</v>
      </c>
      <c r="J130" s="79">
        <v>525.35</v>
      </c>
      <c r="K130" s="79">
        <v>9233</v>
      </c>
      <c r="L130" s="79">
        <v>8269</v>
      </c>
      <c r="M130" s="79">
        <v>2497</v>
      </c>
      <c r="N130" s="79">
        <v>5084</v>
      </c>
      <c r="O130" s="79">
        <v>3286.9</v>
      </c>
      <c r="P130" s="79">
        <v>732.66666666666697</v>
      </c>
      <c r="Q130" s="79">
        <v>2657.6666666666702</v>
      </c>
      <c r="R130" s="79">
        <v>1215</v>
      </c>
      <c r="S130" s="79">
        <v>0</v>
      </c>
      <c r="T130" s="79">
        <v>1221</v>
      </c>
      <c r="U130" s="79">
        <v>17915</v>
      </c>
      <c r="V130" s="79">
        <v>41820</v>
      </c>
      <c r="W130" s="79">
        <v>33140</v>
      </c>
      <c r="X130" s="79">
        <v>449.46</v>
      </c>
      <c r="Y130" s="79">
        <v>2000.8</v>
      </c>
      <c r="Z130" s="79">
        <v>0</v>
      </c>
      <c r="AA130" s="79">
        <v>0</v>
      </c>
      <c r="AB130" s="79">
        <v>544.1</v>
      </c>
      <c r="AC130" s="79">
        <v>6600</v>
      </c>
      <c r="AD130" s="79">
        <v>6666</v>
      </c>
      <c r="AE130" s="79">
        <v>356</v>
      </c>
      <c r="AF130" s="79">
        <v>0</v>
      </c>
      <c r="AG130" s="79">
        <v>318</v>
      </c>
      <c r="AH130" s="79">
        <v>245</v>
      </c>
      <c r="AI130" s="79">
        <v>73.44</v>
      </c>
      <c r="AJ130" s="79">
        <v>17971</v>
      </c>
      <c r="AK130" s="79">
        <v>17971</v>
      </c>
      <c r="AL130" s="79">
        <v>5</v>
      </c>
      <c r="AM130" s="79">
        <v>0</v>
      </c>
      <c r="AN130" s="79">
        <v>0</v>
      </c>
      <c r="AO130" s="79">
        <v>0</v>
      </c>
      <c r="AP130" s="79">
        <v>0</v>
      </c>
      <c r="AQ130" s="79">
        <v>0</v>
      </c>
      <c r="AR130" s="80">
        <v>2.63255E-4</v>
      </c>
      <c r="AS130" s="80">
        <v>2.0608000000000001E-4</v>
      </c>
      <c r="AT130" s="79">
        <v>22086.359</v>
      </c>
      <c r="AU130" s="79">
        <v>0</v>
      </c>
      <c r="AV130" s="79">
        <v>1538.23</v>
      </c>
      <c r="AW130" s="79">
        <v>9032.7890756181696</v>
      </c>
      <c r="AX130" s="79">
        <v>7</v>
      </c>
      <c r="AY130" s="79">
        <v>7.14</v>
      </c>
      <c r="AZ130" s="79">
        <v>4088</v>
      </c>
      <c r="BA130" s="79">
        <v>1</v>
      </c>
      <c r="BB130" s="79">
        <v>0</v>
      </c>
      <c r="BC130" s="79">
        <v>0</v>
      </c>
      <c r="BD130" s="79">
        <v>0</v>
      </c>
      <c r="BE130" s="79">
        <v>0</v>
      </c>
      <c r="BF130" s="79">
        <v>0</v>
      </c>
      <c r="BG130" s="79">
        <v>0</v>
      </c>
      <c r="BH130" s="79">
        <v>0</v>
      </c>
      <c r="BI130" s="79">
        <v>0</v>
      </c>
      <c r="BJ130" s="79">
        <v>0</v>
      </c>
      <c r="BK130" s="79">
        <v>14</v>
      </c>
      <c r="BL130" s="79">
        <v>5149</v>
      </c>
      <c r="BM130" s="79">
        <v>245</v>
      </c>
      <c r="BN130" s="79">
        <v>72</v>
      </c>
      <c r="BO130">
        <v>10211</v>
      </c>
      <c r="BP130">
        <v>1779</v>
      </c>
      <c r="BQ130">
        <v>9274</v>
      </c>
      <c r="BR130">
        <v>1821</v>
      </c>
      <c r="BS130">
        <v>9179</v>
      </c>
      <c r="BT130">
        <v>1933</v>
      </c>
      <c r="BU130">
        <v>9106</v>
      </c>
      <c r="BV130">
        <v>2046</v>
      </c>
      <c r="BW130">
        <v>9028</v>
      </c>
      <c r="BX130">
        <v>2261</v>
      </c>
      <c r="BY130">
        <v>8998</v>
      </c>
      <c r="BZ130">
        <v>2381</v>
      </c>
      <c r="CA130">
        <v>8198</v>
      </c>
      <c r="CB130">
        <v>711.17025040623298</v>
      </c>
      <c r="CC130">
        <v>89.354575213080295</v>
      </c>
      <c r="CD130">
        <v>52.3587385065075</v>
      </c>
      <c r="CE130">
        <v>11984.647622877899</v>
      </c>
      <c r="CF130">
        <v>3175.69194597551</v>
      </c>
      <c r="CG130">
        <v>260.743760192568</v>
      </c>
      <c r="CH130">
        <v>446</v>
      </c>
      <c r="CI130">
        <v>204.77295712787199</v>
      </c>
      <c r="CJ130">
        <v>191.56798346177399</v>
      </c>
      <c r="CK130" s="81">
        <v>1925</v>
      </c>
      <c r="CL130">
        <v>503</v>
      </c>
      <c r="CM130">
        <v>6290.4019708923397</v>
      </c>
      <c r="CN130">
        <v>1.29302129419203</v>
      </c>
      <c r="CO130">
        <v>32578</v>
      </c>
      <c r="CP130">
        <v>5032</v>
      </c>
      <c r="CQ130">
        <v>740</v>
      </c>
      <c r="CR130">
        <v>979</v>
      </c>
      <c r="CS130">
        <v>898</v>
      </c>
      <c r="CT130">
        <v>374</v>
      </c>
      <c r="CU130">
        <v>569.65424086128201</v>
      </c>
      <c r="CV130">
        <v>322.04209250616901</v>
      </c>
      <c r="CW130">
        <v>93.631772494695397</v>
      </c>
      <c r="CX130">
        <v>1351.0476699420301</v>
      </c>
      <c r="CY130">
        <v>763.78649976498002</v>
      </c>
      <c r="CZ130">
        <v>222.066262282606</v>
      </c>
      <c r="DA130">
        <v>8796</v>
      </c>
      <c r="DE130">
        <v>376</v>
      </c>
      <c r="DF130" t="s">
        <v>51</v>
      </c>
      <c r="DG130">
        <v>1861</v>
      </c>
      <c r="DH130">
        <v>1828</v>
      </c>
      <c r="DI130">
        <v>1818</v>
      </c>
      <c r="DJ130">
        <v>1815</v>
      </c>
      <c r="DK130">
        <v>1813</v>
      </c>
      <c r="DO130">
        <v>296</v>
      </c>
      <c r="DP130" t="s">
        <v>344</v>
      </c>
      <c r="DQ130">
        <v>17971</v>
      </c>
      <c r="DR130">
        <v>1</v>
      </c>
      <c r="DS130">
        <v>1229</v>
      </c>
      <c r="DV130">
        <v>393</v>
      </c>
      <c r="DW130" t="s">
        <v>811</v>
      </c>
      <c r="DX130">
        <v>519.42620232172499</v>
      </c>
      <c r="DY130">
        <v>114</v>
      </c>
      <c r="DZ130">
        <v>115</v>
      </c>
      <c r="EA130">
        <v>53</v>
      </c>
      <c r="EB130">
        <v>393</v>
      </c>
      <c r="EC130">
        <v>241</v>
      </c>
      <c r="ED130">
        <v>78</v>
      </c>
      <c r="EE130" s="82">
        <v>0.101249981527208</v>
      </c>
      <c r="EF130" s="82">
        <v>0.337414606567638</v>
      </c>
    </row>
    <row r="131" spans="1:136" x14ac:dyDescent="0.35">
      <c r="A131" s="72">
        <v>294</v>
      </c>
      <c r="B131" s="72">
        <v>5</v>
      </c>
      <c r="D131" s="72" t="s">
        <v>347</v>
      </c>
      <c r="E131" s="79">
        <v>1852400000</v>
      </c>
      <c r="F131" s="79">
        <v>472850000</v>
      </c>
      <c r="G131" s="79">
        <v>518000000</v>
      </c>
      <c r="H131" s="79">
        <v>28987</v>
      </c>
      <c r="I131" s="79">
        <v>1</v>
      </c>
      <c r="J131" s="79">
        <v>518</v>
      </c>
      <c r="K131" s="79">
        <v>6266</v>
      </c>
      <c r="L131" s="79">
        <v>6461</v>
      </c>
      <c r="M131" s="79">
        <v>2022</v>
      </c>
      <c r="N131" s="79">
        <v>4424</v>
      </c>
      <c r="O131" s="79">
        <v>3054</v>
      </c>
      <c r="P131" s="79">
        <v>628</v>
      </c>
      <c r="Q131" s="79">
        <v>2341</v>
      </c>
      <c r="R131" s="79">
        <v>1085</v>
      </c>
      <c r="S131" s="79">
        <v>0</v>
      </c>
      <c r="T131" s="79">
        <v>817</v>
      </c>
      <c r="U131" s="79">
        <v>13226</v>
      </c>
      <c r="V131" s="79">
        <v>29640</v>
      </c>
      <c r="W131" s="79">
        <v>28690</v>
      </c>
      <c r="X131" s="79">
        <v>623.70000000000005</v>
      </c>
      <c r="Y131" s="79">
        <v>1380.8</v>
      </c>
      <c r="Z131" s="79">
        <v>0</v>
      </c>
      <c r="AA131" s="79">
        <v>0</v>
      </c>
      <c r="AB131" s="79">
        <v>99.099999999999895</v>
      </c>
      <c r="AC131" s="79">
        <v>13813</v>
      </c>
      <c r="AD131" s="79">
        <v>13813</v>
      </c>
      <c r="AE131" s="79">
        <v>68</v>
      </c>
      <c r="AF131" s="79">
        <v>0</v>
      </c>
      <c r="AG131" s="79">
        <v>294</v>
      </c>
      <c r="AH131" s="79">
        <v>167</v>
      </c>
      <c r="AI131" s="79">
        <v>127</v>
      </c>
      <c r="AJ131" s="79">
        <v>13700</v>
      </c>
      <c r="AK131" s="79">
        <v>13700</v>
      </c>
      <c r="AL131" s="79">
        <v>0</v>
      </c>
      <c r="AM131" s="79">
        <v>0</v>
      </c>
      <c r="AN131" s="79">
        <v>0</v>
      </c>
      <c r="AO131" s="79">
        <v>0</v>
      </c>
      <c r="AP131" s="79">
        <v>2524</v>
      </c>
      <c r="AQ131" s="79">
        <v>0</v>
      </c>
      <c r="AR131" s="80">
        <v>1.009533E-3</v>
      </c>
      <c r="AS131" s="80">
        <v>3.87291E-4</v>
      </c>
      <c r="AT131" s="79">
        <v>16193.4</v>
      </c>
      <c r="AU131" s="79">
        <v>0</v>
      </c>
      <c r="AV131" s="79">
        <v>1265</v>
      </c>
      <c r="AW131" s="79">
        <v>2641.6364094805799</v>
      </c>
      <c r="AX131" s="79">
        <v>8</v>
      </c>
      <c r="AY131" s="79">
        <v>8</v>
      </c>
      <c r="AZ131" s="79">
        <v>2942</v>
      </c>
      <c r="BA131" s="79">
        <v>1</v>
      </c>
      <c r="BB131" s="79">
        <v>0</v>
      </c>
      <c r="BC131" s="79">
        <v>0</v>
      </c>
      <c r="BD131" s="79">
        <v>0</v>
      </c>
      <c r="BE131" s="79">
        <v>0</v>
      </c>
      <c r="BF131" s="79">
        <v>0</v>
      </c>
      <c r="BG131" s="79">
        <v>0</v>
      </c>
      <c r="BH131" s="79">
        <v>0</v>
      </c>
      <c r="BI131" s="79">
        <v>0</v>
      </c>
      <c r="BJ131" s="79">
        <v>0</v>
      </c>
      <c r="BK131" s="79">
        <v>15</v>
      </c>
      <c r="BL131" s="79">
        <v>4176</v>
      </c>
      <c r="BM131" s="79">
        <v>167</v>
      </c>
      <c r="BN131" s="79">
        <v>127</v>
      </c>
      <c r="BO131">
        <v>7060</v>
      </c>
      <c r="BP131">
        <v>1479</v>
      </c>
      <c r="BQ131">
        <v>6336</v>
      </c>
      <c r="BR131">
        <v>1543</v>
      </c>
      <c r="BS131">
        <v>6300</v>
      </c>
      <c r="BT131">
        <v>1551</v>
      </c>
      <c r="BU131">
        <v>6232</v>
      </c>
      <c r="BV131">
        <v>1557</v>
      </c>
      <c r="BW131">
        <v>6053</v>
      </c>
      <c r="BX131">
        <v>1565</v>
      </c>
      <c r="BY131">
        <v>5983</v>
      </c>
      <c r="BZ131">
        <v>1555</v>
      </c>
      <c r="CA131">
        <v>5552</v>
      </c>
      <c r="CB131">
        <v>599.40518378231604</v>
      </c>
      <c r="CC131">
        <v>100.042408525594</v>
      </c>
      <c r="CD131">
        <v>148.327088309689</v>
      </c>
      <c r="CE131">
        <v>7550.0128082670299</v>
      </c>
      <c r="CF131">
        <v>1734.6894681415699</v>
      </c>
      <c r="CG131">
        <v>170.62522846441999</v>
      </c>
      <c r="CH131">
        <v>314</v>
      </c>
      <c r="CI131">
        <v>178.42557096167101</v>
      </c>
      <c r="CJ131">
        <v>149.35207599519799</v>
      </c>
      <c r="CK131" s="81">
        <v>1713</v>
      </c>
      <c r="CL131">
        <v>502</v>
      </c>
      <c r="CM131">
        <v>4872.3882594422803</v>
      </c>
      <c r="CN131">
        <v>1.4879798403832201</v>
      </c>
      <c r="CO131">
        <v>22526</v>
      </c>
      <c r="CP131">
        <v>3629</v>
      </c>
      <c r="CQ131">
        <v>810</v>
      </c>
      <c r="CR131">
        <v>717</v>
      </c>
      <c r="CS131">
        <v>628</v>
      </c>
      <c r="CT131">
        <v>379</v>
      </c>
      <c r="CU131">
        <v>498.52053364469498</v>
      </c>
      <c r="CV131">
        <v>304.10644360078902</v>
      </c>
      <c r="CW131">
        <v>117.718623329338</v>
      </c>
      <c r="CX131">
        <v>1185.0854946450099</v>
      </c>
      <c r="CY131">
        <v>722.92335183175305</v>
      </c>
      <c r="CZ131">
        <v>279.84129748325898</v>
      </c>
      <c r="DA131">
        <v>27348.6</v>
      </c>
      <c r="DE131">
        <v>377</v>
      </c>
      <c r="DF131" t="s">
        <v>52</v>
      </c>
      <c r="DG131">
        <v>5067</v>
      </c>
      <c r="DH131">
        <v>5056</v>
      </c>
      <c r="DI131">
        <v>5046</v>
      </c>
      <c r="DJ131">
        <v>4987</v>
      </c>
      <c r="DK131">
        <v>4944</v>
      </c>
      <c r="DO131">
        <v>294</v>
      </c>
      <c r="DP131" t="s">
        <v>347</v>
      </c>
      <c r="DQ131">
        <v>13700</v>
      </c>
      <c r="DR131">
        <v>1</v>
      </c>
      <c r="DS131">
        <v>1182</v>
      </c>
      <c r="DV131">
        <v>394</v>
      </c>
      <c r="DW131" t="s">
        <v>127</v>
      </c>
      <c r="DX131">
        <v>14076.7017738903</v>
      </c>
      <c r="DY131">
        <v>3096</v>
      </c>
      <c r="DZ131">
        <v>2333</v>
      </c>
      <c r="EA131">
        <v>1225</v>
      </c>
      <c r="EB131">
        <v>9327</v>
      </c>
      <c r="EC131">
        <v>4947</v>
      </c>
      <c r="ED131">
        <v>1726</v>
      </c>
      <c r="EE131" s="82">
        <v>0.13105347275113699</v>
      </c>
      <c r="EF131" s="82">
        <v>0.35643063385123003</v>
      </c>
    </row>
    <row r="132" spans="1:136" x14ac:dyDescent="0.35">
      <c r="A132" s="72">
        <v>297</v>
      </c>
      <c r="B132" s="72">
        <v>5</v>
      </c>
      <c r="D132" s="72" t="s">
        <v>353</v>
      </c>
      <c r="E132" s="79">
        <v>2125600000</v>
      </c>
      <c r="F132" s="79">
        <v>458500000</v>
      </c>
      <c r="G132" s="79">
        <v>487550000</v>
      </c>
      <c r="H132" s="79">
        <v>28014</v>
      </c>
      <c r="I132" s="79">
        <v>6</v>
      </c>
      <c r="J132" s="79">
        <v>487.55</v>
      </c>
      <c r="K132" s="79">
        <v>7315</v>
      </c>
      <c r="L132" s="79">
        <v>4933</v>
      </c>
      <c r="M132" s="79">
        <v>1520</v>
      </c>
      <c r="N132" s="79">
        <v>2935</v>
      </c>
      <c r="O132" s="79">
        <v>1809.9</v>
      </c>
      <c r="P132" s="79">
        <v>323</v>
      </c>
      <c r="Q132" s="79">
        <v>1405</v>
      </c>
      <c r="R132" s="79">
        <v>1115</v>
      </c>
      <c r="S132" s="79">
        <v>0</v>
      </c>
      <c r="T132" s="79">
        <v>749</v>
      </c>
      <c r="U132" s="79">
        <v>11423</v>
      </c>
      <c r="V132" s="79">
        <v>24450</v>
      </c>
      <c r="W132" s="79">
        <v>4570</v>
      </c>
      <c r="X132" s="79">
        <v>380.16</v>
      </c>
      <c r="Y132" s="79">
        <v>1460.8</v>
      </c>
      <c r="Z132" s="79">
        <v>0</v>
      </c>
      <c r="AA132" s="79">
        <v>0</v>
      </c>
      <c r="AB132" s="79">
        <v>0</v>
      </c>
      <c r="AC132" s="79">
        <v>7887</v>
      </c>
      <c r="AD132" s="79">
        <v>8991.18</v>
      </c>
      <c r="AE132" s="79">
        <v>1017</v>
      </c>
      <c r="AF132" s="79">
        <v>0</v>
      </c>
      <c r="AG132" s="79">
        <v>247</v>
      </c>
      <c r="AH132" s="79">
        <v>194.36</v>
      </c>
      <c r="AI132" s="79">
        <v>85.5</v>
      </c>
      <c r="AJ132" s="79">
        <v>11251</v>
      </c>
      <c r="AK132" s="79">
        <v>12713.63</v>
      </c>
      <c r="AL132" s="79">
        <v>21</v>
      </c>
      <c r="AM132" s="79">
        <v>0</v>
      </c>
      <c r="AN132" s="79">
        <v>0</v>
      </c>
      <c r="AO132" s="79">
        <v>4350</v>
      </c>
      <c r="AP132" s="79">
        <v>906</v>
      </c>
      <c r="AQ132" s="79">
        <v>906</v>
      </c>
      <c r="AR132" s="80">
        <v>4.1790700000000002E-4</v>
      </c>
      <c r="AS132" s="80">
        <v>1.6507100000000001E-4</v>
      </c>
      <c r="AT132" s="79">
        <v>7583.174</v>
      </c>
      <c r="AU132" s="79">
        <v>0</v>
      </c>
      <c r="AV132" s="79">
        <v>3629.76</v>
      </c>
      <c r="AW132" s="79">
        <v>14282.231886792501</v>
      </c>
      <c r="AX132" s="79">
        <v>11</v>
      </c>
      <c r="AY132" s="79">
        <v>12.54</v>
      </c>
      <c r="AZ132" s="79">
        <v>3475</v>
      </c>
      <c r="BA132" s="79">
        <v>1</v>
      </c>
      <c r="BB132" s="79">
        <v>0</v>
      </c>
      <c r="BC132" s="79">
        <v>0</v>
      </c>
      <c r="BD132" s="79">
        <v>0</v>
      </c>
      <c r="BE132" s="79">
        <v>0</v>
      </c>
      <c r="BF132" s="79">
        <v>0</v>
      </c>
      <c r="BG132" s="79">
        <v>0</v>
      </c>
      <c r="BH132" s="79">
        <v>0</v>
      </c>
      <c r="BI132" s="79">
        <v>0</v>
      </c>
      <c r="BJ132" s="79">
        <v>0</v>
      </c>
      <c r="BK132" s="79">
        <v>6</v>
      </c>
      <c r="BL132" s="79">
        <v>3181</v>
      </c>
      <c r="BM132" s="79">
        <v>172</v>
      </c>
      <c r="BN132" s="79">
        <v>75</v>
      </c>
      <c r="BO132">
        <v>7420</v>
      </c>
      <c r="BP132">
        <v>1737</v>
      </c>
      <c r="BQ132">
        <v>6795</v>
      </c>
      <c r="BR132">
        <v>1661</v>
      </c>
      <c r="BS132">
        <v>6815</v>
      </c>
      <c r="BT132">
        <v>1663</v>
      </c>
      <c r="BU132">
        <v>6767</v>
      </c>
      <c r="BV132">
        <v>1685</v>
      </c>
      <c r="BW132">
        <v>6708</v>
      </c>
      <c r="BX132">
        <v>1722</v>
      </c>
      <c r="BY132">
        <v>6698</v>
      </c>
      <c r="BZ132">
        <v>1766</v>
      </c>
      <c r="CA132">
        <v>6553</v>
      </c>
      <c r="CB132">
        <v>478.476400463571</v>
      </c>
      <c r="CC132">
        <v>195.255265281357</v>
      </c>
      <c r="CD132">
        <v>98.457391290457906</v>
      </c>
      <c r="CE132">
        <v>7929.1598910090697</v>
      </c>
      <c r="CF132">
        <v>2273.6783473528999</v>
      </c>
      <c r="CG132">
        <v>287.736800620292</v>
      </c>
      <c r="CH132">
        <v>289</v>
      </c>
      <c r="CI132">
        <v>114.13147031176</v>
      </c>
      <c r="CJ132">
        <v>94.364969631170098</v>
      </c>
      <c r="CK132" s="81">
        <v>1082</v>
      </c>
      <c r="CL132">
        <v>270</v>
      </c>
      <c r="CM132">
        <v>3671.5701906110398</v>
      </c>
      <c r="CN132">
        <v>0.32247184763235098</v>
      </c>
      <c r="CO132">
        <v>23081</v>
      </c>
      <c r="CP132">
        <v>2918</v>
      </c>
      <c r="CQ132">
        <v>495</v>
      </c>
      <c r="CR132">
        <v>552</v>
      </c>
      <c r="CS132">
        <v>485</v>
      </c>
      <c r="CT132">
        <v>233</v>
      </c>
      <c r="CU132">
        <v>287.18415857366</v>
      </c>
      <c r="CV132">
        <v>173.597595014554</v>
      </c>
      <c r="CW132">
        <v>54.379969522631299</v>
      </c>
      <c r="CX132">
        <v>727.812380373</v>
      </c>
      <c r="CY132">
        <v>439.94933244956098</v>
      </c>
      <c r="CZ132">
        <v>137.81545353841699</v>
      </c>
      <c r="DA132">
        <v>6747.3</v>
      </c>
      <c r="DE132">
        <v>383</v>
      </c>
      <c r="DF132" t="s">
        <v>69</v>
      </c>
      <c r="DG132">
        <v>7679</v>
      </c>
      <c r="DH132">
        <v>7538</v>
      </c>
      <c r="DI132">
        <v>7362</v>
      </c>
      <c r="DJ132">
        <v>7152</v>
      </c>
      <c r="DK132">
        <v>6965</v>
      </c>
      <c r="DO132">
        <v>297</v>
      </c>
      <c r="DP132" t="s">
        <v>353</v>
      </c>
      <c r="DQ132">
        <v>11251</v>
      </c>
      <c r="DR132">
        <v>1.1299999999999999</v>
      </c>
      <c r="DS132">
        <v>674</v>
      </c>
      <c r="DV132">
        <v>1655</v>
      </c>
      <c r="DW132" t="s">
        <v>128</v>
      </c>
      <c r="DX132">
        <v>3701.7731837439201</v>
      </c>
      <c r="DY132">
        <v>666</v>
      </c>
      <c r="DZ132">
        <v>672</v>
      </c>
      <c r="EA132">
        <v>300</v>
      </c>
      <c r="EB132">
        <v>2426</v>
      </c>
      <c r="EC132">
        <v>1429</v>
      </c>
      <c r="ED132">
        <v>428</v>
      </c>
      <c r="EE132" s="82">
        <v>0.177161813697508</v>
      </c>
      <c r="EF132" s="82">
        <v>0.43755088512974499</v>
      </c>
    </row>
    <row r="133" spans="1:136" x14ac:dyDescent="0.35">
      <c r="A133" s="72">
        <v>299</v>
      </c>
      <c r="B133" s="72">
        <v>5</v>
      </c>
      <c r="D133" s="72" t="s">
        <v>357</v>
      </c>
      <c r="E133" s="79">
        <v>2929200000</v>
      </c>
      <c r="F133" s="79">
        <v>546350000</v>
      </c>
      <c r="G133" s="79">
        <v>571550000</v>
      </c>
      <c r="H133" s="79">
        <v>43402</v>
      </c>
      <c r="I133" s="79">
        <v>6</v>
      </c>
      <c r="J133" s="79">
        <v>571.54999999999995</v>
      </c>
      <c r="K133" s="79">
        <v>8970</v>
      </c>
      <c r="L133" s="79">
        <v>10205</v>
      </c>
      <c r="M133" s="79">
        <v>3089</v>
      </c>
      <c r="N133" s="79">
        <v>6200</v>
      </c>
      <c r="O133" s="79">
        <v>4215.1000000000004</v>
      </c>
      <c r="P133" s="79">
        <v>924.66666666666697</v>
      </c>
      <c r="Q133" s="79">
        <v>3445.6666666666702</v>
      </c>
      <c r="R133" s="79">
        <v>1165</v>
      </c>
      <c r="S133" s="79">
        <v>0</v>
      </c>
      <c r="T133" s="79">
        <v>1413</v>
      </c>
      <c r="U133" s="79">
        <v>19866</v>
      </c>
      <c r="V133" s="79">
        <v>39930</v>
      </c>
      <c r="W133" s="79">
        <v>24610</v>
      </c>
      <c r="X133" s="79">
        <v>479.16</v>
      </c>
      <c r="Y133" s="79">
        <v>1959.2</v>
      </c>
      <c r="Z133" s="79">
        <v>0</v>
      </c>
      <c r="AA133" s="79">
        <v>0</v>
      </c>
      <c r="AB133" s="79">
        <v>0</v>
      </c>
      <c r="AC133" s="79">
        <v>9253</v>
      </c>
      <c r="AD133" s="79">
        <v>9253</v>
      </c>
      <c r="AE133" s="79">
        <v>1358</v>
      </c>
      <c r="AF133" s="79">
        <v>0</v>
      </c>
      <c r="AG133" s="79">
        <v>326</v>
      </c>
      <c r="AH133" s="79">
        <v>235</v>
      </c>
      <c r="AI133" s="79">
        <v>91</v>
      </c>
      <c r="AJ133" s="79">
        <v>19849</v>
      </c>
      <c r="AK133" s="79">
        <v>19849</v>
      </c>
      <c r="AL133" s="79">
        <v>6</v>
      </c>
      <c r="AM133" s="79">
        <v>0</v>
      </c>
      <c r="AN133" s="79">
        <v>0</v>
      </c>
      <c r="AO133" s="79">
        <v>0</v>
      </c>
      <c r="AP133" s="79">
        <v>0</v>
      </c>
      <c r="AQ133" s="79">
        <v>0</v>
      </c>
      <c r="AR133" s="80">
        <v>4.2519900000000002E-4</v>
      </c>
      <c r="AS133" s="80">
        <v>4.5495600000000001E-4</v>
      </c>
      <c r="AT133" s="79">
        <v>20702.507000000001</v>
      </c>
      <c r="AU133" s="79">
        <v>0</v>
      </c>
      <c r="AV133" s="79">
        <v>3268</v>
      </c>
      <c r="AW133" s="79">
        <v>13367.0470266704</v>
      </c>
      <c r="AX133" s="79">
        <v>13</v>
      </c>
      <c r="AY133" s="79">
        <v>13</v>
      </c>
      <c r="AZ133" s="79">
        <v>3894</v>
      </c>
      <c r="BA133" s="79">
        <v>1</v>
      </c>
      <c r="BB133" s="79">
        <v>0</v>
      </c>
      <c r="BC133" s="79">
        <v>0</v>
      </c>
      <c r="BD133" s="79">
        <v>0</v>
      </c>
      <c r="BE133" s="79">
        <v>0</v>
      </c>
      <c r="BF133" s="79">
        <v>0</v>
      </c>
      <c r="BG133" s="79">
        <v>0</v>
      </c>
      <c r="BH133" s="79">
        <v>0</v>
      </c>
      <c r="BI133" s="79">
        <v>0</v>
      </c>
      <c r="BJ133" s="79">
        <v>0</v>
      </c>
      <c r="BK133" s="79">
        <v>31</v>
      </c>
      <c r="BL133" s="79">
        <v>6249</v>
      </c>
      <c r="BM133" s="79">
        <v>235</v>
      </c>
      <c r="BN133" s="79">
        <v>91</v>
      </c>
      <c r="BO133">
        <v>9795</v>
      </c>
      <c r="BP133">
        <v>2317</v>
      </c>
      <c r="BQ133">
        <v>8879</v>
      </c>
      <c r="BR133">
        <v>2212</v>
      </c>
      <c r="BS133">
        <v>8755</v>
      </c>
      <c r="BT133">
        <v>2251</v>
      </c>
      <c r="BU133">
        <v>8688</v>
      </c>
      <c r="BV133">
        <v>2245</v>
      </c>
      <c r="BW133">
        <v>8634</v>
      </c>
      <c r="BX133">
        <v>2297</v>
      </c>
      <c r="BY133">
        <v>8476</v>
      </c>
      <c r="BZ133">
        <v>2351</v>
      </c>
      <c r="CA133">
        <v>8043</v>
      </c>
      <c r="CB133">
        <v>920.81429094462999</v>
      </c>
      <c r="CC133">
        <v>136.69544579111599</v>
      </c>
      <c r="CD133">
        <v>68.232376435126397</v>
      </c>
      <c r="CE133">
        <v>12040.6561137275</v>
      </c>
      <c r="CF133">
        <v>2728.7999382090102</v>
      </c>
      <c r="CG133">
        <v>211.18710788633899</v>
      </c>
      <c r="CH133">
        <v>507</v>
      </c>
      <c r="CI133">
        <v>260.00080573064901</v>
      </c>
      <c r="CJ133">
        <v>260.03579977311199</v>
      </c>
      <c r="CK133" s="81">
        <v>2521</v>
      </c>
      <c r="CL133">
        <v>693</v>
      </c>
      <c r="CM133">
        <v>7301.7186414744401</v>
      </c>
      <c r="CN133">
        <v>1.99211732754358</v>
      </c>
      <c r="CO133">
        <v>33197</v>
      </c>
      <c r="CP133">
        <v>6166</v>
      </c>
      <c r="CQ133">
        <v>950</v>
      </c>
      <c r="CR133">
        <v>1246</v>
      </c>
      <c r="CS133">
        <v>1093</v>
      </c>
      <c r="CT133">
        <v>475</v>
      </c>
      <c r="CU133">
        <v>805.78256795118796</v>
      </c>
      <c r="CV133">
        <v>467.88060020992799</v>
      </c>
      <c r="CW133">
        <v>144.633086129351</v>
      </c>
      <c r="CX133">
        <v>1940.65502952011</v>
      </c>
      <c r="CY133">
        <v>1126.84845282889</v>
      </c>
      <c r="CZ133">
        <v>348.33581315318798</v>
      </c>
      <c r="DA133">
        <v>42018</v>
      </c>
      <c r="DE133">
        <v>384</v>
      </c>
      <c r="DF133" t="s">
        <v>85</v>
      </c>
      <c r="DG133">
        <v>4841</v>
      </c>
      <c r="DH133">
        <v>4797</v>
      </c>
      <c r="DI133">
        <v>4882</v>
      </c>
      <c r="DJ133">
        <v>4818</v>
      </c>
      <c r="DK133">
        <v>4814</v>
      </c>
      <c r="DO133">
        <v>299</v>
      </c>
      <c r="DP133" t="s">
        <v>357</v>
      </c>
      <c r="DQ133">
        <v>19849</v>
      </c>
      <c r="DR133">
        <v>1</v>
      </c>
      <c r="DS133">
        <v>1043</v>
      </c>
      <c r="DV133">
        <v>160</v>
      </c>
      <c r="DW133" t="s">
        <v>129</v>
      </c>
      <c r="DX133">
        <v>7024.1478920742002</v>
      </c>
      <c r="DY133">
        <v>1067</v>
      </c>
      <c r="DZ133">
        <v>1153</v>
      </c>
      <c r="EA133">
        <v>562</v>
      </c>
      <c r="EB133">
        <v>3798</v>
      </c>
      <c r="EC133">
        <v>2375</v>
      </c>
      <c r="ED133">
        <v>795</v>
      </c>
      <c r="EE133" s="82">
        <v>0.17169565977156201</v>
      </c>
      <c r="EF133" s="82">
        <v>0.52542617575569694</v>
      </c>
    </row>
    <row r="134" spans="1:136" x14ac:dyDescent="0.35">
      <c r="A134" s="72">
        <v>301</v>
      </c>
      <c r="B134" s="72">
        <v>5</v>
      </c>
      <c r="D134" s="72" t="s">
        <v>362</v>
      </c>
      <c r="E134" s="79">
        <v>3287600000</v>
      </c>
      <c r="F134" s="79">
        <v>690900000</v>
      </c>
      <c r="G134" s="79">
        <v>722400000</v>
      </c>
      <c r="H134" s="79">
        <v>47537</v>
      </c>
      <c r="I134" s="79">
        <v>1</v>
      </c>
      <c r="J134" s="79">
        <v>722.4</v>
      </c>
      <c r="K134" s="79">
        <v>10716</v>
      </c>
      <c r="L134" s="79">
        <v>9862</v>
      </c>
      <c r="M134" s="79">
        <v>2709</v>
      </c>
      <c r="N134" s="79">
        <v>7575</v>
      </c>
      <c r="O134" s="79">
        <v>5332.7</v>
      </c>
      <c r="P134" s="79">
        <v>1587.3333333333301</v>
      </c>
      <c r="Q134" s="79">
        <v>5162.3333333333303</v>
      </c>
      <c r="R134" s="79">
        <v>2825</v>
      </c>
      <c r="S134" s="79">
        <v>0</v>
      </c>
      <c r="T134" s="79">
        <v>1814</v>
      </c>
      <c r="U134" s="79">
        <v>23044</v>
      </c>
      <c r="V134" s="79">
        <v>54000</v>
      </c>
      <c r="W134" s="79">
        <v>60130</v>
      </c>
      <c r="X134" s="79">
        <v>1279.08</v>
      </c>
      <c r="Y134" s="79">
        <v>4576</v>
      </c>
      <c r="Z134" s="79">
        <v>0</v>
      </c>
      <c r="AA134" s="79">
        <v>0</v>
      </c>
      <c r="AB134" s="79">
        <v>0</v>
      </c>
      <c r="AC134" s="79">
        <v>4092</v>
      </c>
      <c r="AD134" s="79">
        <v>4092</v>
      </c>
      <c r="AE134" s="79">
        <v>201</v>
      </c>
      <c r="AF134" s="79">
        <v>0</v>
      </c>
      <c r="AG134" s="79">
        <v>266</v>
      </c>
      <c r="AH134" s="79">
        <v>223</v>
      </c>
      <c r="AI134" s="79">
        <v>43</v>
      </c>
      <c r="AJ134" s="79">
        <v>22423</v>
      </c>
      <c r="AK134" s="79">
        <v>22423</v>
      </c>
      <c r="AL134" s="79">
        <v>28</v>
      </c>
      <c r="AM134" s="79">
        <v>0</v>
      </c>
      <c r="AN134" s="79">
        <v>0</v>
      </c>
      <c r="AO134" s="79">
        <v>5750</v>
      </c>
      <c r="AP134" s="79">
        <v>4318</v>
      </c>
      <c r="AQ134" s="79">
        <v>4318</v>
      </c>
      <c r="AR134" s="80">
        <v>1.9470749999999999E-3</v>
      </c>
      <c r="AS134" s="80">
        <v>1.4612200000000001E-3</v>
      </c>
      <c r="AT134" s="79">
        <v>36392.529000000002</v>
      </c>
      <c r="AU134" s="79">
        <v>0</v>
      </c>
      <c r="AV134" s="79">
        <v>1372</v>
      </c>
      <c r="AW134" s="79">
        <v>15192.351269508499</v>
      </c>
      <c r="AX134" s="79">
        <v>1</v>
      </c>
      <c r="AY134" s="79">
        <v>1</v>
      </c>
      <c r="AZ134" s="79">
        <v>4701</v>
      </c>
      <c r="BA134" s="79">
        <v>1</v>
      </c>
      <c r="BB134" s="79">
        <v>0</v>
      </c>
      <c r="BC134" s="79">
        <v>0</v>
      </c>
      <c r="BD134" s="79">
        <v>0</v>
      </c>
      <c r="BE134" s="79">
        <v>0</v>
      </c>
      <c r="BF134" s="79">
        <v>0</v>
      </c>
      <c r="BG134" s="79">
        <v>0</v>
      </c>
      <c r="BH134" s="79">
        <v>0</v>
      </c>
      <c r="BI134" s="79">
        <v>0</v>
      </c>
      <c r="BJ134" s="79">
        <v>0</v>
      </c>
      <c r="BK134" s="79">
        <v>62</v>
      </c>
      <c r="BL134" s="79">
        <v>8358</v>
      </c>
      <c r="BM134" s="79">
        <v>223</v>
      </c>
      <c r="BN134" s="79">
        <v>43</v>
      </c>
      <c r="BO134">
        <v>11578</v>
      </c>
      <c r="BP134">
        <v>5436</v>
      </c>
      <c r="BQ134">
        <v>10626</v>
      </c>
      <c r="BR134">
        <v>5497</v>
      </c>
      <c r="BS134">
        <v>10547</v>
      </c>
      <c r="BT134">
        <v>5475</v>
      </c>
      <c r="BU134">
        <v>10524</v>
      </c>
      <c r="BV134">
        <v>5467</v>
      </c>
      <c r="BW134">
        <v>10378</v>
      </c>
      <c r="BX134">
        <v>5493</v>
      </c>
      <c r="BY134">
        <v>10184</v>
      </c>
      <c r="BZ134">
        <v>5603</v>
      </c>
      <c r="CA134">
        <v>9550</v>
      </c>
      <c r="CB134">
        <v>1390.5354030757101</v>
      </c>
      <c r="CC134">
        <v>174.022464177297</v>
      </c>
      <c r="CD134">
        <v>140.167535688014</v>
      </c>
      <c r="CE134">
        <v>12923.3970620132</v>
      </c>
      <c r="CF134">
        <v>2945.22122406887</v>
      </c>
      <c r="CG134">
        <v>496.67852282393</v>
      </c>
      <c r="CH134">
        <v>648</v>
      </c>
      <c r="CI134">
        <v>478.22605450103299</v>
      </c>
      <c r="CJ134">
        <v>454.08707190938998</v>
      </c>
      <c r="CK134" s="81">
        <v>3575</v>
      </c>
      <c r="CL134">
        <v>1181</v>
      </c>
      <c r="CM134">
        <v>7948.6533038279003</v>
      </c>
      <c r="CN134">
        <v>4.3749832270564699</v>
      </c>
      <c r="CO134">
        <v>37675</v>
      </c>
      <c r="CP134">
        <v>6041</v>
      </c>
      <c r="CQ134">
        <v>1112</v>
      </c>
      <c r="CR134">
        <v>1556</v>
      </c>
      <c r="CS134">
        <v>1002</v>
      </c>
      <c r="CT134">
        <v>605</v>
      </c>
      <c r="CU134">
        <v>939.86972008388102</v>
      </c>
      <c r="CV134">
        <v>456.85468934239202</v>
      </c>
      <c r="CW134">
        <v>196.20256049321901</v>
      </c>
      <c r="CX134">
        <v>2076.4842465865199</v>
      </c>
      <c r="CY134">
        <v>1009.34368362669</v>
      </c>
      <c r="CZ134">
        <v>433.47659499845003</v>
      </c>
      <c r="DA134">
        <v>62639</v>
      </c>
      <c r="DE134">
        <v>385</v>
      </c>
      <c r="DF134" t="s">
        <v>97</v>
      </c>
      <c r="DG134">
        <v>8261</v>
      </c>
      <c r="DH134">
        <v>8169</v>
      </c>
      <c r="DI134">
        <v>8082</v>
      </c>
      <c r="DJ134">
        <v>8016</v>
      </c>
      <c r="DK134">
        <v>7907</v>
      </c>
      <c r="DO134">
        <v>301</v>
      </c>
      <c r="DP134" t="s">
        <v>362</v>
      </c>
      <c r="DQ134">
        <v>22423</v>
      </c>
      <c r="DR134">
        <v>1</v>
      </c>
      <c r="DS134">
        <v>1623</v>
      </c>
      <c r="DV134">
        <v>243</v>
      </c>
      <c r="DW134" t="s">
        <v>130</v>
      </c>
      <c r="DX134">
        <v>5666.1050279329602</v>
      </c>
      <c r="DY134">
        <v>1006</v>
      </c>
      <c r="DZ134">
        <v>920</v>
      </c>
      <c r="EA134">
        <v>490</v>
      </c>
      <c r="EB134">
        <v>2979</v>
      </c>
      <c r="EC134">
        <v>1795</v>
      </c>
      <c r="ED134">
        <v>687</v>
      </c>
      <c r="EE134" s="82">
        <v>0.18162955554117799</v>
      </c>
      <c r="EF134" s="82">
        <v>0.46115767919659201</v>
      </c>
    </row>
    <row r="135" spans="1:136" x14ac:dyDescent="0.35">
      <c r="A135" s="72">
        <v>307</v>
      </c>
      <c r="B135" s="72">
        <v>6</v>
      </c>
      <c r="D135" s="72" t="s">
        <v>24</v>
      </c>
      <c r="E135" s="79">
        <v>13680800000</v>
      </c>
      <c r="F135" s="79">
        <v>2486750000</v>
      </c>
      <c r="G135" s="79">
        <v>2557450000</v>
      </c>
      <c r="H135" s="79">
        <v>155226</v>
      </c>
      <c r="I135" s="79">
        <v>1</v>
      </c>
      <c r="J135" s="79">
        <v>2557.4499999999998</v>
      </c>
      <c r="K135" s="79">
        <v>39353</v>
      </c>
      <c r="L135" s="79">
        <v>22377</v>
      </c>
      <c r="M135" s="79">
        <v>6514</v>
      </c>
      <c r="N135" s="79">
        <v>18925</v>
      </c>
      <c r="O135" s="79">
        <v>12210.3</v>
      </c>
      <c r="P135" s="79">
        <v>3418</v>
      </c>
      <c r="Q135" s="79">
        <v>11356</v>
      </c>
      <c r="R135" s="79">
        <v>16010</v>
      </c>
      <c r="S135" s="79">
        <v>0</v>
      </c>
      <c r="T135" s="79">
        <v>5143</v>
      </c>
      <c r="U135" s="79">
        <v>69770</v>
      </c>
      <c r="V135" s="79">
        <v>178870</v>
      </c>
      <c r="W135" s="79">
        <v>247540</v>
      </c>
      <c r="X135" s="79">
        <v>5593.98</v>
      </c>
      <c r="Y135" s="79">
        <v>12373.6</v>
      </c>
      <c r="Z135" s="79">
        <v>0</v>
      </c>
      <c r="AA135" s="79">
        <v>0</v>
      </c>
      <c r="AB135" s="79">
        <v>678.599999999999</v>
      </c>
      <c r="AC135" s="79">
        <v>6253</v>
      </c>
      <c r="AD135" s="79">
        <v>6253</v>
      </c>
      <c r="AE135" s="79">
        <v>133</v>
      </c>
      <c r="AF135" s="79">
        <v>0</v>
      </c>
      <c r="AG135" s="79">
        <v>667</v>
      </c>
      <c r="AH135" s="79">
        <v>623</v>
      </c>
      <c r="AI135" s="79">
        <v>44</v>
      </c>
      <c r="AJ135" s="79">
        <v>67147</v>
      </c>
      <c r="AK135" s="79">
        <v>67147</v>
      </c>
      <c r="AL135" s="79">
        <v>40</v>
      </c>
      <c r="AM135" s="79">
        <v>0</v>
      </c>
      <c r="AN135" s="79">
        <v>0</v>
      </c>
      <c r="AO135" s="79">
        <v>6800</v>
      </c>
      <c r="AP135" s="79">
        <v>8558</v>
      </c>
      <c r="AQ135" s="79">
        <v>8558</v>
      </c>
      <c r="AR135" s="80">
        <v>3.2054090000000002E-3</v>
      </c>
      <c r="AS135" s="80">
        <v>4.5012940000000003E-3</v>
      </c>
      <c r="AT135" s="79">
        <v>152490.837</v>
      </c>
      <c r="AU135" s="79">
        <v>0</v>
      </c>
      <c r="AV135" s="79">
        <v>2465</v>
      </c>
      <c r="AW135" s="79">
        <v>59917.333228938303</v>
      </c>
      <c r="AX135" s="79">
        <v>3</v>
      </c>
      <c r="AY135" s="79">
        <v>3</v>
      </c>
      <c r="AZ135" s="79">
        <v>17717</v>
      </c>
      <c r="BA135" s="79">
        <v>1</v>
      </c>
      <c r="BB135" s="79">
        <v>0</v>
      </c>
      <c r="BC135" s="79">
        <v>0</v>
      </c>
      <c r="BD135" s="79">
        <v>0</v>
      </c>
      <c r="BE135" s="79">
        <v>0</v>
      </c>
      <c r="BF135" s="79">
        <v>0</v>
      </c>
      <c r="BG135" s="79">
        <v>0</v>
      </c>
      <c r="BH135" s="79">
        <v>0</v>
      </c>
      <c r="BI135" s="79">
        <v>0</v>
      </c>
      <c r="BJ135" s="79">
        <v>0</v>
      </c>
      <c r="BK135" s="79">
        <v>96</v>
      </c>
      <c r="BL135" s="79">
        <v>24455</v>
      </c>
      <c r="BM135" s="79">
        <v>623</v>
      </c>
      <c r="BN135" s="79">
        <v>44</v>
      </c>
      <c r="BO135">
        <v>37652</v>
      </c>
      <c r="BP135">
        <v>13444</v>
      </c>
      <c r="BQ135">
        <v>34932</v>
      </c>
      <c r="BR135">
        <v>13670</v>
      </c>
      <c r="BS135">
        <v>35280</v>
      </c>
      <c r="BT135">
        <v>13810</v>
      </c>
      <c r="BU135">
        <v>35646</v>
      </c>
      <c r="BV135">
        <v>14143</v>
      </c>
      <c r="BW135">
        <v>35992</v>
      </c>
      <c r="BX135">
        <v>14395</v>
      </c>
      <c r="BY135">
        <v>36216</v>
      </c>
      <c r="BZ135">
        <v>14488</v>
      </c>
      <c r="CA135">
        <v>35516</v>
      </c>
      <c r="CB135">
        <v>3627.8999950978</v>
      </c>
      <c r="CC135">
        <v>262.35901527313598</v>
      </c>
      <c r="CD135">
        <v>459.588886745021</v>
      </c>
      <c r="CE135">
        <v>48224.125763231998</v>
      </c>
      <c r="CF135">
        <v>13935.4967598408</v>
      </c>
      <c r="CG135">
        <v>1707.6643958828199</v>
      </c>
      <c r="CH135">
        <v>1910</v>
      </c>
      <c r="CI135">
        <v>1064.67369527967</v>
      </c>
      <c r="CJ135">
        <v>1011.05324604825</v>
      </c>
      <c r="CK135" s="81">
        <v>7938</v>
      </c>
      <c r="CL135">
        <v>1960</v>
      </c>
      <c r="CM135">
        <v>16115.361569250401</v>
      </c>
      <c r="CN135">
        <v>6.3197853826254997</v>
      </c>
      <c r="CO135">
        <v>132849</v>
      </c>
      <c r="CP135">
        <v>13045</v>
      </c>
      <c r="CQ135">
        <v>2818</v>
      </c>
      <c r="CR135">
        <v>3473</v>
      </c>
      <c r="CS135">
        <v>2580</v>
      </c>
      <c r="CT135">
        <v>1485</v>
      </c>
      <c r="CU135">
        <v>1568.2264444146699</v>
      </c>
      <c r="CV135">
        <v>851.395664743677</v>
      </c>
      <c r="CW135">
        <v>357.50616763905799</v>
      </c>
      <c r="CX135">
        <v>3393.5144244358498</v>
      </c>
      <c r="CY135">
        <v>1842.3509433219699</v>
      </c>
      <c r="CZ135">
        <v>773.61425770418396</v>
      </c>
      <c r="DA135">
        <v>128926.5</v>
      </c>
      <c r="DE135">
        <v>388</v>
      </c>
      <c r="DF135" t="s">
        <v>105</v>
      </c>
      <c r="DG135">
        <v>3883</v>
      </c>
      <c r="DH135">
        <v>3844</v>
      </c>
      <c r="DI135">
        <v>3804</v>
      </c>
      <c r="DJ135">
        <v>3748</v>
      </c>
      <c r="DK135">
        <v>3672</v>
      </c>
      <c r="DO135">
        <v>307</v>
      </c>
      <c r="DP135" t="s">
        <v>24</v>
      </c>
      <c r="DQ135">
        <v>67147</v>
      </c>
      <c r="DR135">
        <v>1</v>
      </c>
      <c r="DS135">
        <v>2271</v>
      </c>
      <c r="DV135">
        <v>523</v>
      </c>
      <c r="DW135" t="s">
        <v>131</v>
      </c>
      <c r="DX135">
        <v>1830.454283242</v>
      </c>
      <c r="DY135">
        <v>315</v>
      </c>
      <c r="DZ135">
        <v>350</v>
      </c>
      <c r="EA135">
        <v>207</v>
      </c>
      <c r="EB135">
        <v>1111</v>
      </c>
      <c r="EC135">
        <v>719</v>
      </c>
      <c r="ED135">
        <v>289</v>
      </c>
      <c r="EE135" s="82">
        <v>0.151539684381201</v>
      </c>
      <c r="EF135" s="82">
        <v>0.43755088512974499</v>
      </c>
    </row>
    <row r="136" spans="1:136" x14ac:dyDescent="0.35">
      <c r="A136" s="72">
        <v>308</v>
      </c>
      <c r="B136" s="72">
        <v>6</v>
      </c>
      <c r="D136" s="72" t="s">
        <v>33</v>
      </c>
      <c r="E136" s="79">
        <v>2735600000</v>
      </c>
      <c r="F136" s="79">
        <v>313600000</v>
      </c>
      <c r="G136" s="79">
        <v>325500000</v>
      </c>
      <c r="H136" s="79">
        <v>24630</v>
      </c>
      <c r="I136" s="79">
        <v>1</v>
      </c>
      <c r="J136" s="79">
        <v>325.5</v>
      </c>
      <c r="K136" s="79">
        <v>5347</v>
      </c>
      <c r="L136" s="79">
        <v>5681</v>
      </c>
      <c r="M136" s="79">
        <v>1822</v>
      </c>
      <c r="N136" s="79">
        <v>3216</v>
      </c>
      <c r="O136" s="79">
        <v>1976.6</v>
      </c>
      <c r="P136" s="79">
        <v>356.66666666666703</v>
      </c>
      <c r="Q136" s="79">
        <v>1908.6666666666699</v>
      </c>
      <c r="R136" s="79">
        <v>1180</v>
      </c>
      <c r="S136" s="79">
        <v>0</v>
      </c>
      <c r="T136" s="79">
        <v>760</v>
      </c>
      <c r="U136" s="79">
        <v>12039</v>
      </c>
      <c r="V136" s="79">
        <v>21370</v>
      </c>
      <c r="W136" s="79">
        <v>7880</v>
      </c>
      <c r="X136" s="79">
        <v>0</v>
      </c>
      <c r="Y136" s="79">
        <v>1131.2</v>
      </c>
      <c r="Z136" s="79">
        <v>0</v>
      </c>
      <c r="AA136" s="79">
        <v>0</v>
      </c>
      <c r="AB136" s="79">
        <v>3.7999999999999501</v>
      </c>
      <c r="AC136" s="79">
        <v>3253</v>
      </c>
      <c r="AD136" s="79">
        <v>3253</v>
      </c>
      <c r="AE136" s="79">
        <v>48</v>
      </c>
      <c r="AF136" s="79">
        <v>0</v>
      </c>
      <c r="AG136" s="79">
        <v>125</v>
      </c>
      <c r="AH136" s="79">
        <v>111</v>
      </c>
      <c r="AI136" s="79">
        <v>14</v>
      </c>
      <c r="AJ136" s="79">
        <v>12394</v>
      </c>
      <c r="AK136" s="79">
        <v>12394</v>
      </c>
      <c r="AL136" s="79">
        <v>0</v>
      </c>
      <c r="AM136" s="79">
        <v>0</v>
      </c>
      <c r="AN136" s="79">
        <v>0</v>
      </c>
      <c r="AO136" s="79">
        <v>0</v>
      </c>
      <c r="AP136" s="79">
        <v>2959</v>
      </c>
      <c r="AQ136" s="79">
        <v>0</v>
      </c>
      <c r="AR136" s="80">
        <v>5.3931300000000003E-4</v>
      </c>
      <c r="AS136" s="80">
        <v>3.8862899999999998E-4</v>
      </c>
      <c r="AT136" s="79">
        <v>19545.338</v>
      </c>
      <c r="AU136" s="79">
        <v>0</v>
      </c>
      <c r="AV136" s="79">
        <v>621</v>
      </c>
      <c r="AW136" s="79">
        <v>4633.5140866404099</v>
      </c>
      <c r="AX136" s="79">
        <v>5</v>
      </c>
      <c r="AY136" s="79">
        <v>5</v>
      </c>
      <c r="AZ136" s="79">
        <v>3600</v>
      </c>
      <c r="BA136" s="79">
        <v>1</v>
      </c>
      <c r="BB136" s="79">
        <v>0</v>
      </c>
      <c r="BC136" s="79">
        <v>0</v>
      </c>
      <c r="BD136" s="79">
        <v>0</v>
      </c>
      <c r="BE136" s="79">
        <v>0</v>
      </c>
      <c r="BF136" s="79">
        <v>0</v>
      </c>
      <c r="BG136" s="79">
        <v>0</v>
      </c>
      <c r="BH136" s="79">
        <v>0</v>
      </c>
      <c r="BI136" s="79">
        <v>0</v>
      </c>
      <c r="BJ136" s="79">
        <v>0</v>
      </c>
      <c r="BK136" s="79">
        <v>9</v>
      </c>
      <c r="BL136" s="79">
        <v>4153</v>
      </c>
      <c r="BM136" s="79">
        <v>111</v>
      </c>
      <c r="BN136" s="79">
        <v>14</v>
      </c>
      <c r="BO136">
        <v>5553</v>
      </c>
      <c r="BP136">
        <v>1282</v>
      </c>
      <c r="BQ136">
        <v>5016</v>
      </c>
      <c r="BR136">
        <v>1214</v>
      </c>
      <c r="BS136">
        <v>4975</v>
      </c>
      <c r="BT136">
        <v>1255</v>
      </c>
      <c r="BU136">
        <v>5008</v>
      </c>
      <c r="BV136">
        <v>1346</v>
      </c>
      <c r="BW136">
        <v>4919</v>
      </c>
      <c r="BX136">
        <v>1377</v>
      </c>
      <c r="BY136">
        <v>4860</v>
      </c>
      <c r="BZ136">
        <v>1385</v>
      </c>
      <c r="CA136">
        <v>4832</v>
      </c>
      <c r="CB136">
        <v>455.77872720637799</v>
      </c>
      <c r="CC136">
        <v>46.169467635024802</v>
      </c>
      <c r="CD136">
        <v>38.075628360651798</v>
      </c>
      <c r="CE136">
        <v>8703.1378875881692</v>
      </c>
      <c r="CF136">
        <v>2203.62517025649</v>
      </c>
      <c r="CG136">
        <v>185.49632579185501</v>
      </c>
      <c r="CH136">
        <v>297</v>
      </c>
      <c r="CI136">
        <v>97.536224394253196</v>
      </c>
      <c r="CJ136">
        <v>100.39581355496701</v>
      </c>
      <c r="CK136" s="81">
        <v>1552</v>
      </c>
      <c r="CL136">
        <v>795</v>
      </c>
      <c r="CM136">
        <v>3064.0399004934502</v>
      </c>
      <c r="CN136">
        <v>0.465457911598402</v>
      </c>
      <c r="CO136">
        <v>18949</v>
      </c>
      <c r="CP136">
        <v>3106</v>
      </c>
      <c r="CQ136">
        <v>753</v>
      </c>
      <c r="CR136">
        <v>779</v>
      </c>
      <c r="CS136">
        <v>717</v>
      </c>
      <c r="CT136">
        <v>388</v>
      </c>
      <c r="CU136">
        <v>305.811552914213</v>
      </c>
      <c r="CV136">
        <v>207.754146739948</v>
      </c>
      <c r="CW136">
        <v>87.0558435303235</v>
      </c>
      <c r="CX136">
        <v>612.187354806386</v>
      </c>
      <c r="CY136">
        <v>415.89161799412</v>
      </c>
      <c r="CZ136">
        <v>174.27231268211</v>
      </c>
      <c r="DA136">
        <v>339603.8</v>
      </c>
      <c r="DE136">
        <v>392</v>
      </c>
      <c r="DF136" t="s">
        <v>126</v>
      </c>
      <c r="DG136">
        <v>28977</v>
      </c>
      <c r="DH136">
        <v>29251</v>
      </c>
      <c r="DI136">
        <v>29639</v>
      </c>
      <c r="DJ136">
        <v>29950</v>
      </c>
      <c r="DK136">
        <v>30465</v>
      </c>
      <c r="DO136">
        <v>308</v>
      </c>
      <c r="DP136" t="s">
        <v>33</v>
      </c>
      <c r="DQ136">
        <v>12394</v>
      </c>
      <c r="DR136">
        <v>1</v>
      </c>
      <c r="DS136">
        <v>1577</v>
      </c>
      <c r="DV136">
        <v>17</v>
      </c>
      <c r="DW136" t="s">
        <v>798</v>
      </c>
      <c r="DX136">
        <v>2289.8803261743401</v>
      </c>
      <c r="DY136">
        <v>601</v>
      </c>
      <c r="DZ136">
        <v>592</v>
      </c>
      <c r="EA136">
        <v>391</v>
      </c>
      <c r="EB136">
        <v>1651</v>
      </c>
      <c r="EC136">
        <v>1166</v>
      </c>
      <c r="ED136">
        <v>559</v>
      </c>
      <c r="EE136" s="82">
        <v>0.14498559175931799</v>
      </c>
      <c r="EF136" s="82">
        <v>0.27402784895566401</v>
      </c>
    </row>
    <row r="137" spans="1:136" x14ac:dyDescent="0.35">
      <c r="A137" s="72">
        <v>312</v>
      </c>
      <c r="B137" s="72">
        <v>6</v>
      </c>
      <c r="D137" s="72" t="s">
        <v>65</v>
      </c>
      <c r="E137" s="79">
        <v>1598800000</v>
      </c>
      <c r="F137" s="79">
        <v>203350000</v>
      </c>
      <c r="G137" s="79">
        <v>218750000</v>
      </c>
      <c r="H137" s="79">
        <v>15214</v>
      </c>
      <c r="I137" s="79">
        <v>3</v>
      </c>
      <c r="J137" s="79">
        <v>218.75</v>
      </c>
      <c r="K137" s="79">
        <v>3693</v>
      </c>
      <c r="L137" s="79">
        <v>3306</v>
      </c>
      <c r="M137" s="79">
        <v>1172</v>
      </c>
      <c r="N137" s="79">
        <v>1237</v>
      </c>
      <c r="O137" s="79">
        <v>593.9</v>
      </c>
      <c r="P137" s="79">
        <v>129.666666666667</v>
      </c>
      <c r="Q137" s="79">
        <v>595.66666666666697</v>
      </c>
      <c r="R137" s="79">
        <v>385</v>
      </c>
      <c r="S137" s="79">
        <v>0</v>
      </c>
      <c r="T137" s="79">
        <v>361</v>
      </c>
      <c r="U137" s="79">
        <v>6609</v>
      </c>
      <c r="V137" s="79">
        <v>8730</v>
      </c>
      <c r="W137" s="79">
        <v>660</v>
      </c>
      <c r="X137" s="79">
        <v>48.44</v>
      </c>
      <c r="Y137" s="79">
        <v>0</v>
      </c>
      <c r="Z137" s="79">
        <v>0</v>
      </c>
      <c r="AA137" s="79">
        <v>0</v>
      </c>
      <c r="AB137" s="79">
        <v>0</v>
      </c>
      <c r="AC137" s="79">
        <v>3689</v>
      </c>
      <c r="AD137" s="79">
        <v>3762.78</v>
      </c>
      <c r="AE137" s="79">
        <v>68</v>
      </c>
      <c r="AF137" s="79">
        <v>0</v>
      </c>
      <c r="AG137" s="79">
        <v>112</v>
      </c>
      <c r="AH137" s="79">
        <v>81</v>
      </c>
      <c r="AI137" s="79">
        <v>31.93</v>
      </c>
      <c r="AJ137" s="79">
        <v>6431</v>
      </c>
      <c r="AK137" s="79">
        <v>6431</v>
      </c>
      <c r="AL137" s="79">
        <v>0</v>
      </c>
      <c r="AM137" s="79">
        <v>0</v>
      </c>
      <c r="AN137" s="79">
        <v>0</v>
      </c>
      <c r="AO137" s="79">
        <v>0</v>
      </c>
      <c r="AP137" s="79">
        <v>0</v>
      </c>
      <c r="AQ137" s="79">
        <v>0</v>
      </c>
      <c r="AR137" s="80">
        <v>4.5543000000000001E-5</v>
      </c>
      <c r="AS137" s="80">
        <v>4.6032999999999998E-5</v>
      </c>
      <c r="AT137" s="79">
        <v>4231.598</v>
      </c>
      <c r="AU137" s="79">
        <v>0</v>
      </c>
      <c r="AV137" s="79">
        <v>923.1</v>
      </c>
      <c r="AW137" s="79">
        <v>3853.7543891402702</v>
      </c>
      <c r="AX137" s="79">
        <v>3</v>
      </c>
      <c r="AY137" s="79">
        <v>3.09</v>
      </c>
      <c r="AZ137" s="79">
        <v>2000</v>
      </c>
      <c r="BA137" s="79">
        <v>1</v>
      </c>
      <c r="BB137" s="79">
        <v>0</v>
      </c>
      <c r="BC137" s="79">
        <v>0</v>
      </c>
      <c r="BD137" s="79">
        <v>0</v>
      </c>
      <c r="BE137" s="79">
        <v>0</v>
      </c>
      <c r="BF137" s="79">
        <v>0</v>
      </c>
      <c r="BG137" s="79">
        <v>0</v>
      </c>
      <c r="BH137" s="79">
        <v>0</v>
      </c>
      <c r="BI137" s="79">
        <v>0</v>
      </c>
      <c r="BJ137" s="79">
        <v>0</v>
      </c>
      <c r="BK137" s="79">
        <v>3</v>
      </c>
      <c r="BL137" s="79">
        <v>1981</v>
      </c>
      <c r="BM137" s="79">
        <v>81</v>
      </c>
      <c r="BN137" s="79">
        <v>31</v>
      </c>
      <c r="BO137">
        <v>3658</v>
      </c>
      <c r="BP137">
        <v>0</v>
      </c>
      <c r="BQ137">
        <v>3397</v>
      </c>
      <c r="BR137">
        <v>0</v>
      </c>
      <c r="BS137">
        <v>3358</v>
      </c>
      <c r="BT137">
        <v>0</v>
      </c>
      <c r="BU137">
        <v>3309</v>
      </c>
      <c r="BV137">
        <v>0</v>
      </c>
      <c r="BW137">
        <v>3258</v>
      </c>
      <c r="BX137">
        <v>0</v>
      </c>
      <c r="BY137">
        <v>3246</v>
      </c>
      <c r="BZ137">
        <v>0</v>
      </c>
      <c r="CA137">
        <v>3339</v>
      </c>
      <c r="CB137">
        <v>161.39005565632601</v>
      </c>
      <c r="CC137">
        <v>16.036065076762799</v>
      </c>
      <c r="CD137">
        <v>6.0033757298389601</v>
      </c>
      <c r="CE137">
        <v>5659.2599099052104</v>
      </c>
      <c r="CF137">
        <v>1518.3015135928899</v>
      </c>
      <c r="CG137">
        <v>66.908638190954804</v>
      </c>
      <c r="CH137">
        <v>117</v>
      </c>
      <c r="CI137">
        <v>30.161509475310499</v>
      </c>
      <c r="CJ137">
        <v>25.187642269973999</v>
      </c>
      <c r="CK137" s="81">
        <v>466</v>
      </c>
      <c r="CL137">
        <v>117</v>
      </c>
      <c r="CM137">
        <v>2004.3386827320101</v>
      </c>
      <c r="CN137">
        <v>6.9065580286908804E-2</v>
      </c>
      <c r="CO137">
        <v>11908</v>
      </c>
      <c r="CP137">
        <v>1748</v>
      </c>
      <c r="CQ137">
        <v>386</v>
      </c>
      <c r="CR137">
        <v>312</v>
      </c>
      <c r="CS137">
        <v>369</v>
      </c>
      <c r="CT137">
        <v>193</v>
      </c>
      <c r="CU137">
        <v>97.545605888287497</v>
      </c>
      <c r="CV137">
        <v>74.658841214403594</v>
      </c>
      <c r="CW137">
        <v>27.1318903795237</v>
      </c>
      <c r="CX137">
        <v>286.82867441621403</v>
      </c>
      <c r="CY137">
        <v>219.53112355980801</v>
      </c>
      <c r="CZ137">
        <v>79.780161095900596</v>
      </c>
      <c r="DA137">
        <v>0</v>
      </c>
      <c r="DE137">
        <v>393</v>
      </c>
      <c r="DF137" t="s">
        <v>811</v>
      </c>
      <c r="DG137">
        <v>1234</v>
      </c>
      <c r="DH137">
        <v>1200</v>
      </c>
      <c r="DI137">
        <v>1184</v>
      </c>
      <c r="DJ137">
        <v>1162</v>
      </c>
      <c r="DK137">
        <v>1150</v>
      </c>
      <c r="DO137">
        <v>312</v>
      </c>
      <c r="DP137" t="s">
        <v>65</v>
      </c>
      <c r="DQ137">
        <v>6431</v>
      </c>
      <c r="DR137">
        <v>1</v>
      </c>
      <c r="DS137">
        <v>658</v>
      </c>
      <c r="DV137">
        <v>72</v>
      </c>
      <c r="DW137" t="s">
        <v>132</v>
      </c>
      <c r="DX137">
        <v>2805.5313762456199</v>
      </c>
      <c r="DY137">
        <v>553</v>
      </c>
      <c r="DZ137">
        <v>378</v>
      </c>
      <c r="EA137">
        <v>190</v>
      </c>
      <c r="EB137">
        <v>1441</v>
      </c>
      <c r="EC137">
        <v>813</v>
      </c>
      <c r="ED137">
        <v>243</v>
      </c>
      <c r="EE137" s="82">
        <v>0.26392935221761898</v>
      </c>
      <c r="EF137" s="82">
        <v>0.59324584449704798</v>
      </c>
    </row>
    <row r="138" spans="1:136" x14ac:dyDescent="0.35">
      <c r="A138" s="72">
        <v>313</v>
      </c>
      <c r="B138" s="72">
        <v>6</v>
      </c>
      <c r="D138" s="72" t="s">
        <v>66</v>
      </c>
      <c r="E138" s="79">
        <v>1763200000</v>
      </c>
      <c r="F138" s="79">
        <v>354550000</v>
      </c>
      <c r="G138" s="79">
        <v>364350000</v>
      </c>
      <c r="H138" s="79">
        <v>21266</v>
      </c>
      <c r="I138" s="79">
        <v>1</v>
      </c>
      <c r="J138" s="79">
        <v>364.35</v>
      </c>
      <c r="K138" s="79">
        <v>5606</v>
      </c>
      <c r="L138" s="79">
        <v>3413</v>
      </c>
      <c r="M138" s="79">
        <v>1000</v>
      </c>
      <c r="N138" s="79">
        <v>1971</v>
      </c>
      <c r="O138" s="79">
        <v>1142.3</v>
      </c>
      <c r="P138" s="79">
        <v>160.666666666667</v>
      </c>
      <c r="Q138" s="79">
        <v>953.66666666666697</v>
      </c>
      <c r="R138" s="79">
        <v>685</v>
      </c>
      <c r="S138" s="79">
        <v>0</v>
      </c>
      <c r="T138" s="79">
        <v>420</v>
      </c>
      <c r="U138" s="79">
        <v>8285</v>
      </c>
      <c r="V138" s="79">
        <v>18390</v>
      </c>
      <c r="W138" s="79">
        <v>6150</v>
      </c>
      <c r="X138" s="79">
        <v>0</v>
      </c>
      <c r="Y138" s="79">
        <v>328</v>
      </c>
      <c r="Z138" s="79">
        <v>0</v>
      </c>
      <c r="AA138" s="79">
        <v>0</v>
      </c>
      <c r="AB138" s="79">
        <v>65.7</v>
      </c>
      <c r="AC138" s="79">
        <v>3040</v>
      </c>
      <c r="AD138" s="79">
        <v>3040</v>
      </c>
      <c r="AE138" s="79">
        <v>442</v>
      </c>
      <c r="AF138" s="79">
        <v>0</v>
      </c>
      <c r="AG138" s="79">
        <v>140</v>
      </c>
      <c r="AH138" s="79">
        <v>119</v>
      </c>
      <c r="AI138" s="79">
        <v>21</v>
      </c>
      <c r="AJ138" s="79">
        <v>8287</v>
      </c>
      <c r="AK138" s="79">
        <v>8287</v>
      </c>
      <c r="AL138" s="79">
        <v>0</v>
      </c>
      <c r="AM138" s="79">
        <v>0</v>
      </c>
      <c r="AN138" s="79">
        <v>0</v>
      </c>
      <c r="AO138" s="79">
        <v>0</v>
      </c>
      <c r="AP138" s="79">
        <v>717</v>
      </c>
      <c r="AQ138" s="79">
        <v>0</v>
      </c>
      <c r="AR138" s="80">
        <v>7.5710000000000005E-5</v>
      </c>
      <c r="AS138" s="80">
        <v>4.4685999999999999E-5</v>
      </c>
      <c r="AT138" s="79">
        <v>9588.0589999999993</v>
      </c>
      <c r="AU138" s="79">
        <v>0</v>
      </c>
      <c r="AV138" s="79">
        <v>1003</v>
      </c>
      <c r="AW138" s="79">
        <v>6125.7317633543898</v>
      </c>
      <c r="AX138" s="79">
        <v>2</v>
      </c>
      <c r="AY138" s="79">
        <v>2</v>
      </c>
      <c r="AZ138" s="79">
        <v>2308</v>
      </c>
      <c r="BA138" s="79">
        <v>1</v>
      </c>
      <c r="BB138" s="79">
        <v>0</v>
      </c>
      <c r="BC138" s="79">
        <v>0</v>
      </c>
      <c r="BD138" s="79">
        <v>0</v>
      </c>
      <c r="BE138" s="79">
        <v>0</v>
      </c>
      <c r="BF138" s="79">
        <v>0</v>
      </c>
      <c r="BG138" s="79">
        <v>0</v>
      </c>
      <c r="BH138" s="79">
        <v>0</v>
      </c>
      <c r="BI138" s="79">
        <v>0</v>
      </c>
      <c r="BJ138" s="79">
        <v>0</v>
      </c>
      <c r="BK138" s="79">
        <v>13</v>
      </c>
      <c r="BL138" s="79">
        <v>1965</v>
      </c>
      <c r="BM138" s="79">
        <v>119</v>
      </c>
      <c r="BN138" s="79">
        <v>21</v>
      </c>
      <c r="BO138">
        <v>5665</v>
      </c>
      <c r="BP138">
        <v>313</v>
      </c>
      <c r="BQ138">
        <v>5062</v>
      </c>
      <c r="BR138">
        <v>311</v>
      </c>
      <c r="BS138">
        <v>5081</v>
      </c>
      <c r="BT138">
        <v>288</v>
      </c>
      <c r="BU138">
        <v>5062</v>
      </c>
      <c r="BV138">
        <v>298</v>
      </c>
      <c r="BW138">
        <v>5044</v>
      </c>
      <c r="BX138">
        <v>303</v>
      </c>
      <c r="BY138">
        <v>5035</v>
      </c>
      <c r="BZ138">
        <v>352</v>
      </c>
      <c r="CA138">
        <v>5047</v>
      </c>
      <c r="CB138">
        <v>282.532895441373</v>
      </c>
      <c r="CC138">
        <v>159.403317322877</v>
      </c>
      <c r="CD138">
        <v>54.045611882275701</v>
      </c>
      <c r="CE138">
        <v>5618.63629851103</v>
      </c>
      <c r="CF138">
        <v>1828.8068204745</v>
      </c>
      <c r="CG138">
        <v>183.57203547671801</v>
      </c>
      <c r="CH138">
        <v>174</v>
      </c>
      <c r="CI138">
        <v>50.947626096102397</v>
      </c>
      <c r="CJ138">
        <v>40.442129841930097</v>
      </c>
      <c r="CK138" s="81">
        <v>793</v>
      </c>
      <c r="CL138">
        <v>210</v>
      </c>
      <c r="CM138">
        <v>2007.0496009220601</v>
      </c>
      <c r="CN138">
        <v>0.10256748451356</v>
      </c>
      <c r="CO138">
        <v>17853</v>
      </c>
      <c r="CP138">
        <v>2115</v>
      </c>
      <c r="CQ138">
        <v>298</v>
      </c>
      <c r="CR138">
        <v>333</v>
      </c>
      <c r="CS138">
        <v>319</v>
      </c>
      <c r="CT138">
        <v>129</v>
      </c>
      <c r="CU138">
        <v>175.537465254794</v>
      </c>
      <c r="CV138">
        <v>95.346880656449898</v>
      </c>
      <c r="CW138">
        <v>26.041272318018802</v>
      </c>
      <c r="CX138">
        <v>538.15799121613395</v>
      </c>
      <c r="CY138">
        <v>292.31187591959599</v>
      </c>
      <c r="CZ138">
        <v>79.8366250705254</v>
      </c>
      <c r="DA138">
        <v>0</v>
      </c>
      <c r="DE138">
        <v>394</v>
      </c>
      <c r="DF138" t="s">
        <v>127</v>
      </c>
      <c r="DG138">
        <v>34322</v>
      </c>
      <c r="DH138">
        <v>34335</v>
      </c>
      <c r="DI138">
        <v>34226</v>
      </c>
      <c r="DJ138">
        <v>34180</v>
      </c>
      <c r="DK138">
        <v>33772</v>
      </c>
      <c r="DO138">
        <v>313</v>
      </c>
      <c r="DP138" t="s">
        <v>66</v>
      </c>
      <c r="DQ138">
        <v>8287</v>
      </c>
      <c r="DR138">
        <v>1</v>
      </c>
      <c r="DS138">
        <v>1157</v>
      </c>
      <c r="DV138">
        <v>244</v>
      </c>
      <c r="DW138" t="s">
        <v>133</v>
      </c>
      <c r="DX138">
        <v>1334.18433179724</v>
      </c>
      <c r="DY138">
        <v>254</v>
      </c>
      <c r="DZ138">
        <v>267</v>
      </c>
      <c r="EA138">
        <v>161</v>
      </c>
      <c r="EB138">
        <v>925</v>
      </c>
      <c r="EC138">
        <v>587</v>
      </c>
      <c r="ED138">
        <v>227</v>
      </c>
      <c r="EE138" s="82">
        <v>0.145796671296469</v>
      </c>
      <c r="EF138" s="82">
        <v>0.40413750931708498</v>
      </c>
    </row>
    <row r="139" spans="1:136" x14ac:dyDescent="0.35">
      <c r="A139" s="72">
        <v>310</v>
      </c>
      <c r="B139" s="72">
        <v>6</v>
      </c>
      <c r="D139" s="72" t="s">
        <v>76</v>
      </c>
      <c r="E139" s="79">
        <v>5429200000</v>
      </c>
      <c r="F139" s="79">
        <v>497000000</v>
      </c>
      <c r="G139" s="79">
        <v>539000000</v>
      </c>
      <c r="H139" s="79">
        <v>42846</v>
      </c>
      <c r="I139" s="79">
        <v>4</v>
      </c>
      <c r="J139" s="79">
        <v>539</v>
      </c>
      <c r="K139" s="79">
        <v>9969</v>
      </c>
      <c r="L139" s="79">
        <v>10142</v>
      </c>
      <c r="M139" s="79">
        <v>3226</v>
      </c>
      <c r="N139" s="79">
        <v>4971</v>
      </c>
      <c r="O139" s="79">
        <v>2962</v>
      </c>
      <c r="P139" s="79">
        <v>637.66666666666697</v>
      </c>
      <c r="Q139" s="79">
        <v>2329.6666666666702</v>
      </c>
      <c r="R139" s="79">
        <v>2015</v>
      </c>
      <c r="S139" s="79">
        <v>0</v>
      </c>
      <c r="T139" s="79">
        <v>1315</v>
      </c>
      <c r="U139" s="79">
        <v>19962</v>
      </c>
      <c r="V139" s="79">
        <v>34980</v>
      </c>
      <c r="W139" s="79">
        <v>12320</v>
      </c>
      <c r="X139" s="79">
        <v>1124.5</v>
      </c>
      <c r="Y139" s="79">
        <v>1950.4</v>
      </c>
      <c r="Z139" s="79">
        <v>0</v>
      </c>
      <c r="AA139" s="79">
        <v>0</v>
      </c>
      <c r="AB139" s="79">
        <v>166.5</v>
      </c>
      <c r="AC139" s="79">
        <v>6619</v>
      </c>
      <c r="AD139" s="79">
        <v>6619</v>
      </c>
      <c r="AE139" s="79">
        <v>94</v>
      </c>
      <c r="AF139" s="79">
        <v>0</v>
      </c>
      <c r="AG139" s="79">
        <v>241</v>
      </c>
      <c r="AH139" s="79">
        <v>203</v>
      </c>
      <c r="AI139" s="79">
        <v>37</v>
      </c>
      <c r="AJ139" s="79">
        <v>20090</v>
      </c>
      <c r="AK139" s="79">
        <v>20090</v>
      </c>
      <c r="AL139" s="79">
        <v>0</v>
      </c>
      <c r="AM139" s="79">
        <v>0</v>
      </c>
      <c r="AN139" s="79">
        <v>0</v>
      </c>
      <c r="AO139" s="79">
        <v>0</v>
      </c>
      <c r="AP139" s="79">
        <v>2889</v>
      </c>
      <c r="AQ139" s="79">
        <v>0</v>
      </c>
      <c r="AR139" s="80">
        <v>5.8828799999999996E-4</v>
      </c>
      <c r="AS139" s="80">
        <v>8.0894400000000003E-4</v>
      </c>
      <c r="AT139" s="79">
        <v>25012.05</v>
      </c>
      <c r="AU139" s="79">
        <v>0</v>
      </c>
      <c r="AV139" s="79">
        <v>1866</v>
      </c>
      <c r="AW139" s="79">
        <v>11909.8221361537</v>
      </c>
      <c r="AX139" s="79">
        <v>10</v>
      </c>
      <c r="AY139" s="79">
        <v>10</v>
      </c>
      <c r="AZ139" s="79">
        <v>5743</v>
      </c>
      <c r="BA139" s="79">
        <v>1</v>
      </c>
      <c r="BB139" s="79">
        <v>0</v>
      </c>
      <c r="BC139" s="79">
        <v>0</v>
      </c>
      <c r="BD139" s="79">
        <v>0</v>
      </c>
      <c r="BE139" s="79">
        <v>0</v>
      </c>
      <c r="BF139" s="79">
        <v>0</v>
      </c>
      <c r="BG139" s="79">
        <v>0</v>
      </c>
      <c r="BH139" s="79">
        <v>0</v>
      </c>
      <c r="BI139" s="79">
        <v>0</v>
      </c>
      <c r="BJ139" s="79">
        <v>0</v>
      </c>
      <c r="BK139" s="79">
        <v>8</v>
      </c>
      <c r="BL139" s="79">
        <v>7248</v>
      </c>
      <c r="BM139" s="79">
        <v>203</v>
      </c>
      <c r="BN139" s="79">
        <v>37</v>
      </c>
      <c r="BO139">
        <v>10275</v>
      </c>
      <c r="BP139">
        <v>2065</v>
      </c>
      <c r="BQ139">
        <v>9279</v>
      </c>
      <c r="BR139">
        <v>2102</v>
      </c>
      <c r="BS139">
        <v>9177</v>
      </c>
      <c r="BT139">
        <v>2129</v>
      </c>
      <c r="BU139">
        <v>9103</v>
      </c>
      <c r="BV139">
        <v>2203</v>
      </c>
      <c r="BW139">
        <v>9036</v>
      </c>
      <c r="BX139">
        <v>2227</v>
      </c>
      <c r="BY139">
        <v>8956</v>
      </c>
      <c r="BZ139">
        <v>2239</v>
      </c>
      <c r="CA139">
        <v>8995</v>
      </c>
      <c r="CB139">
        <v>845.34560166767506</v>
      </c>
      <c r="CC139">
        <v>108.89560435186</v>
      </c>
      <c r="CD139">
        <v>60.838729207276302</v>
      </c>
      <c r="CE139">
        <v>17595.024213827201</v>
      </c>
      <c r="CF139">
        <v>4571.2898687143197</v>
      </c>
      <c r="CG139">
        <v>324.82504357298501</v>
      </c>
      <c r="CH139">
        <v>492</v>
      </c>
      <c r="CI139">
        <v>197.77754928643299</v>
      </c>
      <c r="CJ139">
        <v>172.05642959066699</v>
      </c>
      <c r="CK139" s="81">
        <v>1692</v>
      </c>
      <c r="CL139">
        <v>426</v>
      </c>
      <c r="CM139">
        <v>5744.1445663716804</v>
      </c>
      <c r="CN139">
        <v>0.78859851123286895</v>
      </c>
      <c r="CO139">
        <v>32704</v>
      </c>
      <c r="CP139">
        <v>5212</v>
      </c>
      <c r="CQ139">
        <v>1704</v>
      </c>
      <c r="CR139">
        <v>1284</v>
      </c>
      <c r="CS139">
        <v>1228</v>
      </c>
      <c r="CT139">
        <v>842</v>
      </c>
      <c r="CU139">
        <v>492.66086920234602</v>
      </c>
      <c r="CV139">
        <v>336.35421809355</v>
      </c>
      <c r="CW139">
        <v>170.90510248593799</v>
      </c>
      <c r="CX139">
        <v>820.59335221049901</v>
      </c>
      <c r="CY139">
        <v>560.24347093449501</v>
      </c>
      <c r="CZ139">
        <v>284.66557773480002</v>
      </c>
      <c r="DA139">
        <v>36534</v>
      </c>
      <c r="DE139">
        <v>396</v>
      </c>
      <c r="DF139" t="s">
        <v>134</v>
      </c>
      <c r="DG139">
        <v>8272</v>
      </c>
      <c r="DH139">
        <v>8184</v>
      </c>
      <c r="DI139">
        <v>8032</v>
      </c>
      <c r="DJ139">
        <v>7953</v>
      </c>
      <c r="DK139">
        <v>7814</v>
      </c>
      <c r="DO139">
        <v>310</v>
      </c>
      <c r="DP139" t="s">
        <v>76</v>
      </c>
      <c r="DQ139">
        <v>20090</v>
      </c>
      <c r="DR139">
        <v>1</v>
      </c>
      <c r="DS139">
        <v>1245</v>
      </c>
      <c r="DV139">
        <v>396</v>
      </c>
      <c r="DW139" t="s">
        <v>134</v>
      </c>
      <c r="DX139">
        <v>5024.1734264120496</v>
      </c>
      <c r="DY139">
        <v>1011</v>
      </c>
      <c r="DZ139">
        <v>996</v>
      </c>
      <c r="EA139">
        <v>551</v>
      </c>
      <c r="EB139">
        <v>2787</v>
      </c>
      <c r="EC139">
        <v>2033</v>
      </c>
      <c r="ED139">
        <v>788</v>
      </c>
      <c r="EE139" s="82">
        <v>0.18608207643844901</v>
      </c>
      <c r="EF139" s="82">
        <v>0.43372316852071502</v>
      </c>
    </row>
    <row r="140" spans="1:136" x14ac:dyDescent="0.35">
      <c r="A140" s="72">
        <v>736</v>
      </c>
      <c r="B140" s="72">
        <v>6</v>
      </c>
      <c r="D140" s="72" t="s">
        <v>78</v>
      </c>
      <c r="E140" s="79">
        <v>4720000000</v>
      </c>
      <c r="F140" s="79">
        <v>604800000</v>
      </c>
      <c r="G140" s="79">
        <v>650300000</v>
      </c>
      <c r="H140" s="79">
        <v>43620</v>
      </c>
      <c r="I140" s="79">
        <v>5</v>
      </c>
      <c r="J140" s="79">
        <v>650.29999999999995</v>
      </c>
      <c r="K140" s="79">
        <v>9841</v>
      </c>
      <c r="L140" s="79">
        <v>8768</v>
      </c>
      <c r="M140" s="79">
        <v>2707</v>
      </c>
      <c r="N140" s="79">
        <v>4376</v>
      </c>
      <c r="O140" s="79">
        <v>2471</v>
      </c>
      <c r="P140" s="79">
        <v>449.66666666666703</v>
      </c>
      <c r="Q140" s="79">
        <v>1866.6666666666699</v>
      </c>
      <c r="R140" s="79">
        <v>1905</v>
      </c>
      <c r="S140" s="79">
        <v>0</v>
      </c>
      <c r="T140" s="79">
        <v>1337</v>
      </c>
      <c r="U140" s="79">
        <v>18889</v>
      </c>
      <c r="V140" s="79">
        <v>32260</v>
      </c>
      <c r="W140" s="79">
        <v>5270</v>
      </c>
      <c r="X140" s="79">
        <v>0</v>
      </c>
      <c r="Y140" s="79">
        <v>1417.6</v>
      </c>
      <c r="Z140" s="79">
        <v>0</v>
      </c>
      <c r="AA140" s="79">
        <v>0</v>
      </c>
      <c r="AB140" s="79">
        <v>0</v>
      </c>
      <c r="AC140" s="79">
        <v>9966</v>
      </c>
      <c r="AD140" s="79">
        <v>13155.12</v>
      </c>
      <c r="AE140" s="79">
        <v>1732</v>
      </c>
      <c r="AF140" s="79">
        <v>0</v>
      </c>
      <c r="AG140" s="79">
        <v>301</v>
      </c>
      <c r="AH140" s="79">
        <v>301.60000000000002</v>
      </c>
      <c r="AI140" s="79">
        <v>91.77</v>
      </c>
      <c r="AJ140" s="79">
        <v>19050</v>
      </c>
      <c r="AK140" s="79">
        <v>24765</v>
      </c>
      <c r="AL140" s="79">
        <v>0</v>
      </c>
      <c r="AM140" s="79">
        <v>0</v>
      </c>
      <c r="AN140" s="79">
        <v>0</v>
      </c>
      <c r="AO140" s="79">
        <v>0</v>
      </c>
      <c r="AP140" s="79">
        <v>0</v>
      </c>
      <c r="AQ140" s="79">
        <v>0</v>
      </c>
      <c r="AR140" s="80">
        <v>2.2641600000000001E-4</v>
      </c>
      <c r="AS140" s="80">
        <v>1.6967999999999999E-4</v>
      </c>
      <c r="AT140" s="79">
        <v>16421.099999999999</v>
      </c>
      <c r="AU140" s="79">
        <v>0</v>
      </c>
      <c r="AV140" s="79">
        <v>16944.84</v>
      </c>
      <c r="AW140" s="79">
        <v>165169.975106856</v>
      </c>
      <c r="AX140" s="79">
        <v>23</v>
      </c>
      <c r="AY140" s="79">
        <v>30.59</v>
      </c>
      <c r="AZ140" s="79">
        <v>5952</v>
      </c>
      <c r="BA140" s="79">
        <v>1</v>
      </c>
      <c r="BB140" s="79">
        <v>0</v>
      </c>
      <c r="BC140" s="79">
        <v>0</v>
      </c>
      <c r="BD140" s="79">
        <v>0</v>
      </c>
      <c r="BE140" s="79">
        <v>0</v>
      </c>
      <c r="BF140" s="79">
        <v>0</v>
      </c>
      <c r="BG140" s="79">
        <v>0</v>
      </c>
      <c r="BH140" s="79">
        <v>0</v>
      </c>
      <c r="BI140" s="79">
        <v>0</v>
      </c>
      <c r="BJ140" s="79">
        <v>0</v>
      </c>
      <c r="BK140" s="79">
        <v>11</v>
      </c>
      <c r="BL140" s="79">
        <v>5532</v>
      </c>
      <c r="BM140" s="79">
        <v>232</v>
      </c>
      <c r="BN140" s="79">
        <v>69</v>
      </c>
      <c r="BO140">
        <v>11353</v>
      </c>
      <c r="BP140">
        <v>1809</v>
      </c>
      <c r="BQ140">
        <v>10183</v>
      </c>
      <c r="BR140">
        <v>1810</v>
      </c>
      <c r="BS140">
        <v>9930</v>
      </c>
      <c r="BT140">
        <v>1846</v>
      </c>
      <c r="BU140">
        <v>9732</v>
      </c>
      <c r="BV140">
        <v>1894</v>
      </c>
      <c r="BW140">
        <v>9583</v>
      </c>
      <c r="BX140">
        <v>1898</v>
      </c>
      <c r="BY140">
        <v>9328</v>
      </c>
      <c r="BZ140">
        <v>1833</v>
      </c>
      <c r="CA140">
        <v>8718</v>
      </c>
      <c r="CB140">
        <v>669.22948851296997</v>
      </c>
      <c r="CC140">
        <v>99.494464059951198</v>
      </c>
      <c r="CD140">
        <v>105.346344158176</v>
      </c>
      <c r="CE140">
        <v>16066.5214649914</v>
      </c>
      <c r="CF140">
        <v>4261.2583493915799</v>
      </c>
      <c r="CG140">
        <v>213.30733674339299</v>
      </c>
      <c r="CH140">
        <v>469</v>
      </c>
      <c r="CI140">
        <v>156.15700827874099</v>
      </c>
      <c r="CJ140">
        <v>130.19527764902</v>
      </c>
      <c r="CK140" s="81">
        <v>1417</v>
      </c>
      <c r="CL140">
        <v>296</v>
      </c>
      <c r="CM140">
        <v>5331.4835963923297</v>
      </c>
      <c r="CN140">
        <v>0.20663032002731799</v>
      </c>
      <c r="CO140">
        <v>34852</v>
      </c>
      <c r="CP140">
        <v>5144</v>
      </c>
      <c r="CQ140">
        <v>917</v>
      </c>
      <c r="CR140">
        <v>1046</v>
      </c>
      <c r="CS140">
        <v>897</v>
      </c>
      <c r="CT140">
        <v>468</v>
      </c>
      <c r="CU140">
        <v>415.64256670938602</v>
      </c>
      <c r="CV140">
        <v>248.68501884578399</v>
      </c>
      <c r="CW140">
        <v>89.251587358320094</v>
      </c>
      <c r="CX140">
        <v>895.24134065560804</v>
      </c>
      <c r="CY140">
        <v>535.63597067315902</v>
      </c>
      <c r="CZ140">
        <v>192.23659250033</v>
      </c>
      <c r="DA140">
        <v>25269.3</v>
      </c>
      <c r="DE140">
        <v>397</v>
      </c>
      <c r="DF140" t="s">
        <v>135</v>
      </c>
      <c r="DG140">
        <v>5557</v>
      </c>
      <c r="DH140">
        <v>5713</v>
      </c>
      <c r="DI140">
        <v>5706</v>
      </c>
      <c r="DJ140">
        <v>5714</v>
      </c>
      <c r="DK140">
        <v>5689</v>
      </c>
      <c r="DO140">
        <v>736</v>
      </c>
      <c r="DP140" t="s">
        <v>78</v>
      </c>
      <c r="DQ140">
        <v>19050</v>
      </c>
      <c r="DR140">
        <v>1.3</v>
      </c>
      <c r="DS140">
        <v>862</v>
      </c>
      <c r="DV140">
        <v>397</v>
      </c>
      <c r="DW140" t="s">
        <v>135</v>
      </c>
      <c r="DX140">
        <v>2941.4936634494302</v>
      </c>
      <c r="DY140">
        <v>954</v>
      </c>
      <c r="DZ140">
        <v>951</v>
      </c>
      <c r="EA140">
        <v>579</v>
      </c>
      <c r="EB140">
        <v>2333</v>
      </c>
      <c r="EC140">
        <v>1737</v>
      </c>
      <c r="ED140">
        <v>791</v>
      </c>
      <c r="EE140" s="82">
        <v>0.12848327353188099</v>
      </c>
      <c r="EF140" s="82">
        <v>0.16898180588766201</v>
      </c>
    </row>
    <row r="141" spans="1:136" x14ac:dyDescent="0.35">
      <c r="A141" s="72">
        <v>317</v>
      </c>
      <c r="B141" s="72">
        <v>6</v>
      </c>
      <c r="D141" s="72" t="s">
        <v>99</v>
      </c>
      <c r="E141" s="79">
        <v>982400000</v>
      </c>
      <c r="F141" s="79">
        <v>114800000</v>
      </c>
      <c r="G141" s="79">
        <v>122500000</v>
      </c>
      <c r="H141" s="79">
        <v>9112</v>
      </c>
      <c r="I141" s="79">
        <v>1</v>
      </c>
      <c r="J141" s="79">
        <v>122.5</v>
      </c>
      <c r="K141" s="79">
        <v>2177</v>
      </c>
      <c r="L141" s="79">
        <v>1814</v>
      </c>
      <c r="M141" s="79">
        <v>532</v>
      </c>
      <c r="N141" s="79">
        <v>841</v>
      </c>
      <c r="O141" s="79">
        <v>459.2</v>
      </c>
      <c r="P141" s="79">
        <v>82.6666666666667</v>
      </c>
      <c r="Q141" s="79">
        <v>405.66666666666703</v>
      </c>
      <c r="R141" s="79">
        <v>215</v>
      </c>
      <c r="S141" s="79">
        <v>0</v>
      </c>
      <c r="T141" s="79">
        <v>306</v>
      </c>
      <c r="U141" s="79">
        <v>3901</v>
      </c>
      <c r="V141" s="79">
        <v>6580</v>
      </c>
      <c r="W141" s="79">
        <v>820</v>
      </c>
      <c r="X141" s="79">
        <v>0</v>
      </c>
      <c r="Y141" s="79">
        <v>0</v>
      </c>
      <c r="Z141" s="79">
        <v>0</v>
      </c>
      <c r="AA141" s="79">
        <v>0</v>
      </c>
      <c r="AB141" s="79">
        <v>0</v>
      </c>
      <c r="AC141" s="79">
        <v>3106</v>
      </c>
      <c r="AD141" s="79">
        <v>3106</v>
      </c>
      <c r="AE141" s="79">
        <v>265</v>
      </c>
      <c r="AF141" s="79">
        <v>0</v>
      </c>
      <c r="AG141" s="79">
        <v>56</v>
      </c>
      <c r="AH141" s="79">
        <v>43</v>
      </c>
      <c r="AI141" s="79">
        <v>13</v>
      </c>
      <c r="AJ141" s="79">
        <v>3818</v>
      </c>
      <c r="AK141" s="79">
        <v>3818</v>
      </c>
      <c r="AL141" s="79">
        <v>0</v>
      </c>
      <c r="AM141" s="79">
        <v>0</v>
      </c>
      <c r="AN141" s="79">
        <v>0</v>
      </c>
      <c r="AO141" s="79">
        <v>0</v>
      </c>
      <c r="AP141" s="79">
        <v>0</v>
      </c>
      <c r="AQ141" s="79">
        <v>0</v>
      </c>
      <c r="AR141" s="80">
        <v>3.4081000000000001E-5</v>
      </c>
      <c r="AS141" s="80">
        <v>1.5818999999999999E-5</v>
      </c>
      <c r="AT141" s="79">
        <v>3474.38</v>
      </c>
      <c r="AU141" s="79">
        <v>0</v>
      </c>
      <c r="AV141" s="79">
        <v>782</v>
      </c>
      <c r="AW141" s="79">
        <v>2113.7893800059301</v>
      </c>
      <c r="AX141" s="79">
        <v>2</v>
      </c>
      <c r="AY141" s="79">
        <v>2</v>
      </c>
      <c r="AZ141" s="79">
        <v>1326</v>
      </c>
      <c r="BA141" s="79">
        <v>1</v>
      </c>
      <c r="BB141" s="79">
        <v>0</v>
      </c>
      <c r="BC141" s="79">
        <v>0</v>
      </c>
      <c r="BD141" s="79">
        <v>0</v>
      </c>
      <c r="BE141" s="79">
        <v>0</v>
      </c>
      <c r="BF141" s="79">
        <v>0</v>
      </c>
      <c r="BG141" s="79">
        <v>0</v>
      </c>
      <c r="BH141" s="79">
        <v>0</v>
      </c>
      <c r="BI141" s="79">
        <v>0</v>
      </c>
      <c r="BJ141" s="79">
        <v>0</v>
      </c>
      <c r="BK141" s="79">
        <v>5</v>
      </c>
      <c r="BL141" s="79">
        <v>1098</v>
      </c>
      <c r="BM141" s="79">
        <v>43</v>
      </c>
      <c r="BN141" s="79">
        <v>13</v>
      </c>
      <c r="BO141">
        <v>2492</v>
      </c>
      <c r="BP141">
        <v>0</v>
      </c>
      <c r="BQ141">
        <v>2219</v>
      </c>
      <c r="BR141">
        <v>0</v>
      </c>
      <c r="BS141">
        <v>2184</v>
      </c>
      <c r="BT141">
        <v>0</v>
      </c>
      <c r="BU141">
        <v>2148</v>
      </c>
      <c r="BV141">
        <v>0</v>
      </c>
      <c r="BW141">
        <v>2099</v>
      </c>
      <c r="BX141">
        <v>0</v>
      </c>
      <c r="BY141">
        <v>2066</v>
      </c>
      <c r="BZ141">
        <v>0</v>
      </c>
      <c r="CA141">
        <v>1941</v>
      </c>
      <c r="CB141">
        <v>154.5475530512</v>
      </c>
      <c r="CC141">
        <v>21.079230915461199</v>
      </c>
      <c r="CD141">
        <v>13.027025593814701</v>
      </c>
      <c r="CE141">
        <v>3124.1074455542998</v>
      </c>
      <c r="CF141">
        <v>813.26340441607294</v>
      </c>
      <c r="CG141">
        <v>41.779863787375398</v>
      </c>
      <c r="CH141">
        <v>108</v>
      </c>
      <c r="CI141">
        <v>30.3921380173221</v>
      </c>
      <c r="CJ141">
        <v>29.444708569124501</v>
      </c>
      <c r="CK141" s="81">
        <v>323</v>
      </c>
      <c r="CL141">
        <v>96</v>
      </c>
      <c r="CM141">
        <v>1046.75601216627</v>
      </c>
      <c r="CN141">
        <v>4.3146162950148698E-2</v>
      </c>
      <c r="CO141">
        <v>7298</v>
      </c>
      <c r="CP141">
        <v>1130</v>
      </c>
      <c r="CQ141">
        <v>152</v>
      </c>
      <c r="CR141">
        <v>261</v>
      </c>
      <c r="CS141">
        <v>191</v>
      </c>
      <c r="CT141">
        <v>86</v>
      </c>
      <c r="CU141">
        <v>87.052933998516394</v>
      </c>
      <c r="CV141">
        <v>46.772916195335497</v>
      </c>
      <c r="CW141">
        <v>15.5108128257025</v>
      </c>
      <c r="CX141">
        <v>235.426269290764</v>
      </c>
      <c r="CY141">
        <v>126.492843583021</v>
      </c>
      <c r="CZ141">
        <v>41.947498257608402</v>
      </c>
      <c r="DA141">
        <v>3285</v>
      </c>
      <c r="DE141">
        <v>398</v>
      </c>
      <c r="DF141" t="s">
        <v>138</v>
      </c>
      <c r="DG141">
        <v>12145</v>
      </c>
      <c r="DH141">
        <v>12156</v>
      </c>
      <c r="DI141">
        <v>12378</v>
      </c>
      <c r="DJ141">
        <v>12498</v>
      </c>
      <c r="DK141">
        <v>12561</v>
      </c>
      <c r="DO141">
        <v>317</v>
      </c>
      <c r="DP141" t="s">
        <v>99</v>
      </c>
      <c r="DQ141">
        <v>3818</v>
      </c>
      <c r="DR141">
        <v>1</v>
      </c>
      <c r="DS141">
        <v>910</v>
      </c>
      <c r="DV141">
        <v>246</v>
      </c>
      <c r="DW141" t="s">
        <v>136</v>
      </c>
      <c r="DX141">
        <v>2118.70742358079</v>
      </c>
      <c r="DY141">
        <v>388</v>
      </c>
      <c r="DZ141">
        <v>389</v>
      </c>
      <c r="EA141">
        <v>232</v>
      </c>
      <c r="EB141">
        <v>1418</v>
      </c>
      <c r="EC141">
        <v>890</v>
      </c>
      <c r="ED141">
        <v>323</v>
      </c>
      <c r="EE141" s="82">
        <v>0.16610241441607501</v>
      </c>
      <c r="EF141" s="82">
        <v>0.43755088512974499</v>
      </c>
    </row>
    <row r="142" spans="1:136" x14ac:dyDescent="0.35">
      <c r="A142" s="72">
        <v>321</v>
      </c>
      <c r="B142" s="72">
        <v>6</v>
      </c>
      <c r="D142" s="72" t="s">
        <v>159</v>
      </c>
      <c r="E142" s="79">
        <v>4735600000</v>
      </c>
      <c r="F142" s="79">
        <v>594300000</v>
      </c>
      <c r="G142" s="79">
        <v>624050000</v>
      </c>
      <c r="H142" s="79">
        <v>49579</v>
      </c>
      <c r="I142" s="79">
        <v>1</v>
      </c>
      <c r="J142" s="79">
        <v>624.04999999999995</v>
      </c>
      <c r="K142" s="79">
        <v>13351</v>
      </c>
      <c r="L142" s="79">
        <v>6727</v>
      </c>
      <c r="M142" s="79">
        <v>1813</v>
      </c>
      <c r="N142" s="79">
        <v>4014</v>
      </c>
      <c r="O142" s="79">
        <v>1997.5</v>
      </c>
      <c r="P142" s="79">
        <v>531.33333333333303</v>
      </c>
      <c r="Q142" s="79">
        <v>2488.3333333333298</v>
      </c>
      <c r="R142" s="79">
        <v>2195</v>
      </c>
      <c r="S142" s="79">
        <v>0</v>
      </c>
      <c r="T142" s="79">
        <v>1465</v>
      </c>
      <c r="U142" s="79">
        <v>20277</v>
      </c>
      <c r="V142" s="79">
        <v>49450</v>
      </c>
      <c r="W142" s="79">
        <v>31260</v>
      </c>
      <c r="X142" s="79">
        <v>1291.54</v>
      </c>
      <c r="Y142" s="79">
        <v>1852.8</v>
      </c>
      <c r="Z142" s="79">
        <v>0</v>
      </c>
      <c r="AA142" s="79">
        <v>0</v>
      </c>
      <c r="AB142" s="79">
        <v>425.1</v>
      </c>
      <c r="AC142" s="79">
        <v>5493</v>
      </c>
      <c r="AD142" s="79">
        <v>6481.74</v>
      </c>
      <c r="AE142" s="79">
        <v>406</v>
      </c>
      <c r="AF142" s="79">
        <v>0</v>
      </c>
      <c r="AG142" s="79">
        <v>251</v>
      </c>
      <c r="AH142" s="79">
        <v>239.4</v>
      </c>
      <c r="AI142" s="79">
        <v>49.98</v>
      </c>
      <c r="AJ142" s="79">
        <v>20165</v>
      </c>
      <c r="AK142" s="79">
        <v>22988.1</v>
      </c>
      <c r="AL142" s="79">
        <v>0</v>
      </c>
      <c r="AM142" s="79">
        <v>0</v>
      </c>
      <c r="AN142" s="79">
        <v>0</v>
      </c>
      <c r="AO142" s="79">
        <v>0</v>
      </c>
      <c r="AP142" s="79">
        <v>0</v>
      </c>
      <c r="AQ142" s="79">
        <v>0</v>
      </c>
      <c r="AR142" s="80">
        <v>7.4672999999999995E-5</v>
      </c>
      <c r="AS142" s="80">
        <v>2.9285000000000002E-5</v>
      </c>
      <c r="AT142" s="79">
        <v>30086.18</v>
      </c>
      <c r="AU142" s="79">
        <v>0</v>
      </c>
      <c r="AV142" s="79">
        <v>2793.06</v>
      </c>
      <c r="AW142" s="79">
        <v>41127.793412442799</v>
      </c>
      <c r="AX142" s="79">
        <v>10</v>
      </c>
      <c r="AY142" s="79">
        <v>11.9</v>
      </c>
      <c r="AZ142" s="79">
        <v>5552</v>
      </c>
      <c r="BA142" s="79">
        <v>1</v>
      </c>
      <c r="BB142" s="79">
        <v>0</v>
      </c>
      <c r="BC142" s="79">
        <v>0</v>
      </c>
      <c r="BD142" s="79">
        <v>0</v>
      </c>
      <c r="BE142" s="79">
        <v>0</v>
      </c>
      <c r="BF142" s="79">
        <v>0</v>
      </c>
      <c r="BG142" s="79">
        <v>0</v>
      </c>
      <c r="BH142" s="79">
        <v>0</v>
      </c>
      <c r="BI142" s="79">
        <v>0</v>
      </c>
      <c r="BJ142" s="79">
        <v>0</v>
      </c>
      <c r="BK142" s="79">
        <v>14</v>
      </c>
      <c r="BL142" s="79">
        <v>5387</v>
      </c>
      <c r="BM142" s="79">
        <v>210</v>
      </c>
      <c r="BN142" s="79">
        <v>42</v>
      </c>
      <c r="BO142">
        <v>14025</v>
      </c>
      <c r="BP142">
        <v>1719</v>
      </c>
      <c r="BQ142">
        <v>12727</v>
      </c>
      <c r="BR142">
        <v>1682</v>
      </c>
      <c r="BS142">
        <v>12637</v>
      </c>
      <c r="BT142">
        <v>1597</v>
      </c>
      <c r="BU142">
        <v>12560</v>
      </c>
      <c r="BV142">
        <v>1737</v>
      </c>
      <c r="BW142">
        <v>12411</v>
      </c>
      <c r="BX142">
        <v>1863</v>
      </c>
      <c r="BY142">
        <v>12276</v>
      </c>
      <c r="BZ142">
        <v>2031</v>
      </c>
      <c r="CA142">
        <v>12062</v>
      </c>
      <c r="CB142">
        <v>722.90712192696003</v>
      </c>
      <c r="CC142">
        <v>45.756665571459898</v>
      </c>
      <c r="CD142">
        <v>38.728224870591497</v>
      </c>
      <c r="CE142">
        <v>16620.932577029402</v>
      </c>
      <c r="CF142">
        <v>5334.0025216591002</v>
      </c>
      <c r="CG142">
        <v>383.21515039577798</v>
      </c>
      <c r="CH142">
        <v>577</v>
      </c>
      <c r="CI142">
        <v>200.92299705055899</v>
      </c>
      <c r="CJ142">
        <v>169.573140916163</v>
      </c>
      <c r="CK142" s="81">
        <v>1957</v>
      </c>
      <c r="CL142">
        <v>524</v>
      </c>
      <c r="CM142">
        <v>4940.3112232133699</v>
      </c>
      <c r="CN142">
        <v>0.248137638699472</v>
      </c>
      <c r="CO142">
        <v>42852</v>
      </c>
      <c r="CP142">
        <v>4205</v>
      </c>
      <c r="CQ142">
        <v>709</v>
      </c>
      <c r="CR142">
        <v>826</v>
      </c>
      <c r="CS142">
        <v>654</v>
      </c>
      <c r="CT142">
        <v>371</v>
      </c>
      <c r="CU142">
        <v>266.93450664991201</v>
      </c>
      <c r="CV142">
        <v>127.573894087231</v>
      </c>
      <c r="CW142">
        <v>50.1183155342692</v>
      </c>
      <c r="CX142">
        <v>820.75524008127502</v>
      </c>
      <c r="CY142">
        <v>392.25704980507697</v>
      </c>
      <c r="CZ142">
        <v>154.10098385199399</v>
      </c>
      <c r="DA142">
        <v>0</v>
      </c>
      <c r="DE142">
        <v>399</v>
      </c>
      <c r="DF142" t="s">
        <v>141</v>
      </c>
      <c r="DG142">
        <v>4841</v>
      </c>
      <c r="DH142">
        <v>4828</v>
      </c>
      <c r="DI142">
        <v>4819</v>
      </c>
      <c r="DJ142">
        <v>4780</v>
      </c>
      <c r="DK142">
        <v>4721</v>
      </c>
      <c r="DO142">
        <v>321</v>
      </c>
      <c r="DP142" t="s">
        <v>159</v>
      </c>
      <c r="DQ142">
        <v>20165</v>
      </c>
      <c r="DR142">
        <v>1.1399999999999999</v>
      </c>
      <c r="DS142">
        <v>1492</v>
      </c>
      <c r="DV142">
        <v>74</v>
      </c>
      <c r="DW142" t="s">
        <v>137</v>
      </c>
      <c r="DX142">
        <v>7658.9257122570298</v>
      </c>
      <c r="DY142">
        <v>1240</v>
      </c>
      <c r="DZ142">
        <v>1184</v>
      </c>
      <c r="EA142">
        <v>714</v>
      </c>
      <c r="EB142">
        <v>3636</v>
      </c>
      <c r="EC142">
        <v>2373</v>
      </c>
      <c r="ED142">
        <v>965</v>
      </c>
      <c r="EE142" s="82">
        <v>0.223817254873035</v>
      </c>
      <c r="EF142" s="82">
        <v>0.50311442937072404</v>
      </c>
    </row>
    <row r="143" spans="1:136" x14ac:dyDescent="0.35">
      <c r="A143" s="72">
        <v>353</v>
      </c>
      <c r="B143" s="72">
        <v>6</v>
      </c>
      <c r="D143" s="72" t="s">
        <v>162</v>
      </c>
      <c r="E143" s="79">
        <v>2773200000</v>
      </c>
      <c r="F143" s="79">
        <v>295050000</v>
      </c>
      <c r="G143" s="79">
        <v>311500000</v>
      </c>
      <c r="H143" s="79">
        <v>34302</v>
      </c>
      <c r="I143" s="79">
        <v>1</v>
      </c>
      <c r="J143" s="79">
        <v>311.5</v>
      </c>
      <c r="K143" s="79">
        <v>8623</v>
      </c>
      <c r="L143" s="79">
        <v>5728</v>
      </c>
      <c r="M143" s="79">
        <v>1674</v>
      </c>
      <c r="N143" s="79">
        <v>3577</v>
      </c>
      <c r="O143" s="79">
        <v>2137.4</v>
      </c>
      <c r="P143" s="79">
        <v>524</v>
      </c>
      <c r="Q143" s="79">
        <v>2043</v>
      </c>
      <c r="R143" s="79">
        <v>3310</v>
      </c>
      <c r="S143" s="79">
        <v>0</v>
      </c>
      <c r="T143" s="79">
        <v>1264</v>
      </c>
      <c r="U143" s="79">
        <v>14707</v>
      </c>
      <c r="V143" s="79">
        <v>33230</v>
      </c>
      <c r="W143" s="79">
        <v>14510</v>
      </c>
      <c r="X143" s="79">
        <v>649.44000000000005</v>
      </c>
      <c r="Y143" s="79">
        <v>1404.8</v>
      </c>
      <c r="Z143" s="79">
        <v>0</v>
      </c>
      <c r="AA143" s="79">
        <v>0</v>
      </c>
      <c r="AB143" s="79">
        <v>581.20000000000005</v>
      </c>
      <c r="AC143" s="79">
        <v>2092</v>
      </c>
      <c r="AD143" s="79">
        <v>2468.56</v>
      </c>
      <c r="AE143" s="79">
        <v>76</v>
      </c>
      <c r="AF143" s="79">
        <v>0</v>
      </c>
      <c r="AG143" s="79">
        <v>150</v>
      </c>
      <c r="AH143" s="79">
        <v>159.72</v>
      </c>
      <c r="AI143" s="79">
        <v>22.04</v>
      </c>
      <c r="AJ143" s="79">
        <v>14396</v>
      </c>
      <c r="AK143" s="79">
        <v>17419.16</v>
      </c>
      <c r="AL143" s="79">
        <v>10</v>
      </c>
      <c r="AM143" s="79">
        <v>0</v>
      </c>
      <c r="AN143" s="79">
        <v>0</v>
      </c>
      <c r="AO143" s="79">
        <v>2950</v>
      </c>
      <c r="AP143" s="79">
        <v>703</v>
      </c>
      <c r="AQ143" s="79">
        <v>703</v>
      </c>
      <c r="AR143" s="80">
        <v>1.29636E-4</v>
      </c>
      <c r="AS143" s="80">
        <v>3.4884400000000001E-4</v>
      </c>
      <c r="AT143" s="79">
        <v>26546.223999999998</v>
      </c>
      <c r="AU143" s="79">
        <v>0</v>
      </c>
      <c r="AV143" s="79">
        <v>1129.26</v>
      </c>
      <c r="AW143" s="79">
        <v>32205.590867158699</v>
      </c>
      <c r="AX143" s="79">
        <v>2</v>
      </c>
      <c r="AY143" s="79">
        <v>2.3199999999999998</v>
      </c>
      <c r="AZ143" s="79">
        <v>3463</v>
      </c>
      <c r="BA143" s="79">
        <v>1</v>
      </c>
      <c r="BB143" s="79">
        <v>0</v>
      </c>
      <c r="BC143" s="79">
        <v>0</v>
      </c>
      <c r="BD143" s="79">
        <v>0</v>
      </c>
      <c r="BE143" s="79">
        <v>0</v>
      </c>
      <c r="BF143" s="79">
        <v>0</v>
      </c>
      <c r="BG143" s="79">
        <v>0</v>
      </c>
      <c r="BH143" s="79">
        <v>0</v>
      </c>
      <c r="BI143" s="79">
        <v>0</v>
      </c>
      <c r="BJ143" s="79">
        <v>0</v>
      </c>
      <c r="BK143" s="79">
        <v>12</v>
      </c>
      <c r="BL143" s="79">
        <v>4347</v>
      </c>
      <c r="BM143" s="79">
        <v>132</v>
      </c>
      <c r="BN143" s="79">
        <v>19</v>
      </c>
      <c r="BO143">
        <v>9503</v>
      </c>
      <c r="BP143">
        <v>1068</v>
      </c>
      <c r="BQ143">
        <v>8666</v>
      </c>
      <c r="BR143">
        <v>969</v>
      </c>
      <c r="BS143">
        <v>8588</v>
      </c>
      <c r="BT143">
        <v>961</v>
      </c>
      <c r="BU143">
        <v>8536</v>
      </c>
      <c r="BV143">
        <v>1048</v>
      </c>
      <c r="BW143">
        <v>8379</v>
      </c>
      <c r="BX143">
        <v>1240</v>
      </c>
      <c r="BY143">
        <v>8297</v>
      </c>
      <c r="BZ143">
        <v>1555</v>
      </c>
      <c r="CA143">
        <v>7727</v>
      </c>
      <c r="CB143">
        <v>710.777163163414</v>
      </c>
      <c r="CC143">
        <v>76.838515895668294</v>
      </c>
      <c r="CD143">
        <v>75.7253933528321</v>
      </c>
      <c r="CE143">
        <v>10969.5687002456</v>
      </c>
      <c r="CF143">
        <v>3257.3902820526901</v>
      </c>
      <c r="CG143">
        <v>300.779083727211</v>
      </c>
      <c r="CH143">
        <v>516</v>
      </c>
      <c r="CI143">
        <v>194.41735410311401</v>
      </c>
      <c r="CJ143">
        <v>161.76851936771999</v>
      </c>
      <c r="CK143" s="81">
        <v>1519</v>
      </c>
      <c r="CL143">
        <v>350</v>
      </c>
      <c r="CM143">
        <v>4879.4723251517598</v>
      </c>
      <c r="CN143">
        <v>0.63709619070499701</v>
      </c>
      <c r="CO143">
        <v>28574</v>
      </c>
      <c r="CP143">
        <v>3392</v>
      </c>
      <c r="CQ143">
        <v>662</v>
      </c>
      <c r="CR143">
        <v>756</v>
      </c>
      <c r="CS143">
        <v>561</v>
      </c>
      <c r="CT143">
        <v>344</v>
      </c>
      <c r="CU143">
        <v>318.78774675847899</v>
      </c>
      <c r="CV143">
        <v>175.35553280007599</v>
      </c>
      <c r="CW143">
        <v>69.488898687921903</v>
      </c>
      <c r="CX143">
        <v>779.25733757555997</v>
      </c>
      <c r="CY143">
        <v>428.64597842418999</v>
      </c>
      <c r="CZ143">
        <v>169.861403812465</v>
      </c>
      <c r="DA143">
        <v>7938</v>
      </c>
      <c r="DE143">
        <v>400</v>
      </c>
      <c r="DF143" t="s">
        <v>82</v>
      </c>
      <c r="DG143">
        <v>11421</v>
      </c>
      <c r="DH143">
        <v>11170</v>
      </c>
      <c r="DI143">
        <v>10979</v>
      </c>
      <c r="DJ143">
        <v>10803</v>
      </c>
      <c r="DK143">
        <v>10730</v>
      </c>
      <c r="DO143">
        <v>353</v>
      </c>
      <c r="DP143" t="s">
        <v>162</v>
      </c>
      <c r="DQ143">
        <v>14396</v>
      </c>
      <c r="DR143">
        <v>1.21</v>
      </c>
      <c r="DS143">
        <v>1844</v>
      </c>
      <c r="DV143">
        <v>398</v>
      </c>
      <c r="DW143" t="s">
        <v>138</v>
      </c>
      <c r="DX143">
        <v>6091.4944649446497</v>
      </c>
      <c r="DY143">
        <v>1187</v>
      </c>
      <c r="DZ143">
        <v>881</v>
      </c>
      <c r="EA143">
        <v>338</v>
      </c>
      <c r="EB143">
        <v>3669</v>
      </c>
      <c r="EC143">
        <v>1941</v>
      </c>
      <c r="ED143">
        <v>499</v>
      </c>
      <c r="EE143" s="82">
        <v>0.16012018383058499</v>
      </c>
      <c r="EF143" s="82">
        <v>0.46927942762387398</v>
      </c>
    </row>
    <row r="144" spans="1:136" x14ac:dyDescent="0.35">
      <c r="A144" s="72">
        <v>327</v>
      </c>
      <c r="B144" s="72">
        <v>6</v>
      </c>
      <c r="D144" s="72" t="s">
        <v>184</v>
      </c>
      <c r="E144" s="79">
        <v>2948000000</v>
      </c>
      <c r="F144" s="79">
        <v>369950000</v>
      </c>
      <c r="G144" s="79">
        <v>395150000</v>
      </c>
      <c r="H144" s="79">
        <v>29755</v>
      </c>
      <c r="I144" s="79">
        <v>2</v>
      </c>
      <c r="J144" s="79">
        <v>395.15</v>
      </c>
      <c r="K144" s="79">
        <v>6936</v>
      </c>
      <c r="L144" s="79">
        <v>6205</v>
      </c>
      <c r="M144" s="79">
        <v>1873</v>
      </c>
      <c r="N144" s="79">
        <v>2772</v>
      </c>
      <c r="O144" s="79">
        <v>1503.5</v>
      </c>
      <c r="P144" s="79">
        <v>320</v>
      </c>
      <c r="Q144" s="79">
        <v>1480</v>
      </c>
      <c r="R144" s="79">
        <v>800</v>
      </c>
      <c r="S144" s="79">
        <v>0</v>
      </c>
      <c r="T144" s="79">
        <v>796</v>
      </c>
      <c r="U144" s="79">
        <v>12993</v>
      </c>
      <c r="V144" s="79">
        <v>26670</v>
      </c>
      <c r="W144" s="79">
        <v>11330</v>
      </c>
      <c r="X144" s="79">
        <v>0</v>
      </c>
      <c r="Y144" s="79">
        <v>0</v>
      </c>
      <c r="Z144" s="79">
        <v>0</v>
      </c>
      <c r="AA144" s="79">
        <v>0</v>
      </c>
      <c r="AB144" s="79">
        <v>0</v>
      </c>
      <c r="AC144" s="79">
        <v>5855</v>
      </c>
      <c r="AD144" s="79">
        <v>5855</v>
      </c>
      <c r="AE144" s="79">
        <v>34</v>
      </c>
      <c r="AF144" s="79">
        <v>0</v>
      </c>
      <c r="AG144" s="79">
        <v>171</v>
      </c>
      <c r="AH144" s="79">
        <v>126</v>
      </c>
      <c r="AI144" s="79">
        <v>45</v>
      </c>
      <c r="AJ144" s="79">
        <v>12685</v>
      </c>
      <c r="AK144" s="79">
        <v>12685</v>
      </c>
      <c r="AL144" s="79">
        <v>0</v>
      </c>
      <c r="AM144" s="79">
        <v>0</v>
      </c>
      <c r="AN144" s="79">
        <v>0</v>
      </c>
      <c r="AO144" s="79">
        <v>0</v>
      </c>
      <c r="AP144" s="79">
        <v>0</v>
      </c>
      <c r="AQ144" s="79">
        <v>0</v>
      </c>
      <c r="AR144" s="80">
        <v>6.7461999999999999E-5</v>
      </c>
      <c r="AS144" s="80">
        <v>6.6707999999999999E-5</v>
      </c>
      <c r="AT144" s="79">
        <v>15437.645</v>
      </c>
      <c r="AU144" s="79">
        <v>0</v>
      </c>
      <c r="AV144" s="79">
        <v>917</v>
      </c>
      <c r="AW144" s="79">
        <v>4633.2713533706901</v>
      </c>
      <c r="AX144" s="79">
        <v>4</v>
      </c>
      <c r="AY144" s="79">
        <v>4</v>
      </c>
      <c r="AZ144" s="79">
        <v>3576</v>
      </c>
      <c r="BA144" s="79">
        <v>1</v>
      </c>
      <c r="BB144" s="79">
        <v>0</v>
      </c>
      <c r="BC144" s="79">
        <v>0</v>
      </c>
      <c r="BD144" s="79">
        <v>0</v>
      </c>
      <c r="BE144" s="79">
        <v>0</v>
      </c>
      <c r="BF144" s="79">
        <v>0</v>
      </c>
      <c r="BG144" s="79">
        <v>0</v>
      </c>
      <c r="BH144" s="79">
        <v>0</v>
      </c>
      <c r="BI144" s="79">
        <v>0</v>
      </c>
      <c r="BJ144" s="79">
        <v>0</v>
      </c>
      <c r="BK144" s="79">
        <v>11</v>
      </c>
      <c r="BL144" s="79">
        <v>3802</v>
      </c>
      <c r="BM144" s="79">
        <v>126</v>
      </c>
      <c r="BN144" s="79">
        <v>45</v>
      </c>
      <c r="BO144">
        <v>7288</v>
      </c>
      <c r="BP144">
        <v>0</v>
      </c>
      <c r="BQ144">
        <v>6571</v>
      </c>
      <c r="BR144">
        <v>0</v>
      </c>
      <c r="BS144">
        <v>6573</v>
      </c>
      <c r="BT144">
        <v>0</v>
      </c>
      <c r="BU144">
        <v>6468</v>
      </c>
      <c r="BV144">
        <v>0</v>
      </c>
      <c r="BW144">
        <v>6429</v>
      </c>
      <c r="BX144">
        <v>0</v>
      </c>
      <c r="BY144">
        <v>6355</v>
      </c>
      <c r="BZ144">
        <v>0</v>
      </c>
      <c r="CA144">
        <v>6246</v>
      </c>
      <c r="CB144">
        <v>347.58859782763199</v>
      </c>
      <c r="CC144">
        <v>42.787363350657003</v>
      </c>
      <c r="CD144">
        <v>54.635661602253698</v>
      </c>
      <c r="CE144">
        <v>10619.240578819201</v>
      </c>
      <c r="CF144">
        <v>2703.0356356098</v>
      </c>
      <c r="CG144">
        <v>247.37945454545499</v>
      </c>
      <c r="CH144">
        <v>306</v>
      </c>
      <c r="CI144">
        <v>80.686122951146302</v>
      </c>
      <c r="CJ144">
        <v>66.339283161762495</v>
      </c>
      <c r="CK144" s="81">
        <v>1160</v>
      </c>
      <c r="CL144">
        <v>271</v>
      </c>
      <c r="CM144">
        <v>3509.5245351257299</v>
      </c>
      <c r="CN144">
        <v>0.140736696407495</v>
      </c>
      <c r="CO144">
        <v>23550</v>
      </c>
      <c r="CP144">
        <v>3639</v>
      </c>
      <c r="CQ144">
        <v>693</v>
      </c>
      <c r="CR144">
        <v>749</v>
      </c>
      <c r="CS144">
        <v>668</v>
      </c>
      <c r="CT144">
        <v>362</v>
      </c>
      <c r="CU144">
        <v>270.515222491472</v>
      </c>
      <c r="CV144">
        <v>156.59535885680799</v>
      </c>
      <c r="CW144">
        <v>59.627150268716299</v>
      </c>
      <c r="CX144">
        <v>714.87591090334104</v>
      </c>
      <c r="CY144">
        <v>413.82606411188198</v>
      </c>
      <c r="CZ144">
        <v>157.57343697825601</v>
      </c>
      <c r="DA144">
        <v>26918.400000000001</v>
      </c>
      <c r="DE144">
        <v>402</v>
      </c>
      <c r="DF144" t="s">
        <v>152</v>
      </c>
      <c r="DG144">
        <v>17136</v>
      </c>
      <c r="DH144">
        <v>17162</v>
      </c>
      <c r="DI144">
        <v>17270</v>
      </c>
      <c r="DJ144">
        <v>17394</v>
      </c>
      <c r="DK144">
        <v>17520</v>
      </c>
      <c r="DO144">
        <v>327</v>
      </c>
      <c r="DP144" t="s">
        <v>184</v>
      </c>
      <c r="DQ144">
        <v>12685</v>
      </c>
      <c r="DR144">
        <v>1</v>
      </c>
      <c r="DS144">
        <v>1217</v>
      </c>
      <c r="DV144">
        <v>917</v>
      </c>
      <c r="DW144" t="s">
        <v>139</v>
      </c>
      <c r="DX144">
        <v>19194.375956866101</v>
      </c>
      <c r="DY144">
        <v>3136</v>
      </c>
      <c r="DZ144">
        <v>2623</v>
      </c>
      <c r="EA144">
        <v>1381</v>
      </c>
      <c r="EB144">
        <v>7173</v>
      </c>
      <c r="EC144">
        <v>4626</v>
      </c>
      <c r="ED144">
        <v>1825</v>
      </c>
      <c r="EE144" s="82">
        <v>0.31606606890655597</v>
      </c>
      <c r="EF144" s="82">
        <v>0.61422283246947096</v>
      </c>
    </row>
    <row r="145" spans="1:136" x14ac:dyDescent="0.35">
      <c r="A145" s="72">
        <v>331</v>
      </c>
      <c r="B145" s="72">
        <v>6</v>
      </c>
      <c r="D145" s="72" t="s">
        <v>189</v>
      </c>
      <c r="E145" s="79">
        <v>1153200000</v>
      </c>
      <c r="F145" s="79">
        <v>178150000</v>
      </c>
      <c r="G145" s="79">
        <v>209650000</v>
      </c>
      <c r="H145" s="79">
        <v>14395</v>
      </c>
      <c r="I145" s="79">
        <v>2</v>
      </c>
      <c r="J145" s="79">
        <v>209.65</v>
      </c>
      <c r="K145" s="79">
        <v>3675</v>
      </c>
      <c r="L145" s="79">
        <v>2380</v>
      </c>
      <c r="M145" s="79">
        <v>721</v>
      </c>
      <c r="N145" s="79">
        <v>1248</v>
      </c>
      <c r="O145" s="79">
        <v>683.2</v>
      </c>
      <c r="P145" s="79">
        <v>122.333333333333</v>
      </c>
      <c r="Q145" s="79">
        <v>633.33333333333303</v>
      </c>
      <c r="R145" s="79">
        <v>440</v>
      </c>
      <c r="S145" s="79">
        <v>0</v>
      </c>
      <c r="T145" s="79">
        <v>327</v>
      </c>
      <c r="U145" s="79">
        <v>5667</v>
      </c>
      <c r="V145" s="79">
        <v>9270</v>
      </c>
      <c r="W145" s="79">
        <v>490</v>
      </c>
      <c r="X145" s="79">
        <v>0</v>
      </c>
      <c r="Y145" s="79">
        <v>0</v>
      </c>
      <c r="Z145" s="79">
        <v>0</v>
      </c>
      <c r="AA145" s="79">
        <v>0</v>
      </c>
      <c r="AB145" s="79">
        <v>0</v>
      </c>
      <c r="AC145" s="79">
        <v>7578</v>
      </c>
      <c r="AD145" s="79">
        <v>10457.64</v>
      </c>
      <c r="AE145" s="79">
        <v>320</v>
      </c>
      <c r="AF145" s="79">
        <v>0</v>
      </c>
      <c r="AG145" s="79">
        <v>138</v>
      </c>
      <c r="AH145" s="79">
        <v>127.68</v>
      </c>
      <c r="AI145" s="79">
        <v>56.99</v>
      </c>
      <c r="AJ145" s="79">
        <v>5648</v>
      </c>
      <c r="AK145" s="79">
        <v>7511.84</v>
      </c>
      <c r="AL145" s="79">
        <v>0</v>
      </c>
      <c r="AM145" s="79">
        <v>0</v>
      </c>
      <c r="AN145" s="79">
        <v>0</v>
      </c>
      <c r="AO145" s="79">
        <v>0</v>
      </c>
      <c r="AP145" s="79">
        <v>0</v>
      </c>
      <c r="AQ145" s="79">
        <v>0</v>
      </c>
      <c r="AR145" s="80">
        <v>9.5358000000000004E-5</v>
      </c>
      <c r="AS145" s="80">
        <v>2.4828E-5</v>
      </c>
      <c r="AT145" s="79">
        <v>2038.9280000000001</v>
      </c>
      <c r="AU145" s="79">
        <v>0</v>
      </c>
      <c r="AV145" s="79">
        <v>6265.2</v>
      </c>
      <c r="AW145" s="79">
        <v>28990.268751582698</v>
      </c>
      <c r="AX145" s="79">
        <v>13</v>
      </c>
      <c r="AY145" s="79">
        <v>18.07</v>
      </c>
      <c r="AZ145" s="79">
        <v>1735</v>
      </c>
      <c r="BA145" s="79">
        <v>1</v>
      </c>
      <c r="BB145" s="79">
        <v>0</v>
      </c>
      <c r="BC145" s="79">
        <v>0</v>
      </c>
      <c r="BD145" s="79">
        <v>0</v>
      </c>
      <c r="BE145" s="79">
        <v>0</v>
      </c>
      <c r="BF145" s="79">
        <v>0</v>
      </c>
      <c r="BG145" s="79">
        <v>0</v>
      </c>
      <c r="BH145" s="79">
        <v>0</v>
      </c>
      <c r="BI145" s="79">
        <v>0</v>
      </c>
      <c r="BJ145" s="79">
        <v>0</v>
      </c>
      <c r="BK145" s="79">
        <v>5</v>
      </c>
      <c r="BL145" s="79">
        <v>1434</v>
      </c>
      <c r="BM145" s="79">
        <v>96</v>
      </c>
      <c r="BN145" s="79">
        <v>41</v>
      </c>
      <c r="BO145">
        <v>4092</v>
      </c>
      <c r="BP145">
        <v>0</v>
      </c>
      <c r="BQ145">
        <v>3722</v>
      </c>
      <c r="BR145">
        <v>0</v>
      </c>
      <c r="BS145">
        <v>3681</v>
      </c>
      <c r="BT145">
        <v>0</v>
      </c>
      <c r="BU145">
        <v>3585</v>
      </c>
      <c r="BV145">
        <v>0</v>
      </c>
      <c r="BW145">
        <v>3527</v>
      </c>
      <c r="BX145">
        <v>0</v>
      </c>
      <c r="BY145">
        <v>3468</v>
      </c>
      <c r="BZ145">
        <v>0</v>
      </c>
      <c r="CA145">
        <v>3221</v>
      </c>
      <c r="CB145">
        <v>244.07961187226201</v>
      </c>
      <c r="CC145">
        <v>63.930393984190502</v>
      </c>
      <c r="CD145">
        <v>35.900157595382701</v>
      </c>
      <c r="CE145">
        <v>4109.8059447012902</v>
      </c>
      <c r="CF145">
        <v>1209.7937328739799</v>
      </c>
      <c r="CG145">
        <v>102.101456438589</v>
      </c>
      <c r="CH145">
        <v>153</v>
      </c>
      <c r="CI145">
        <v>59.6397974427503</v>
      </c>
      <c r="CJ145">
        <v>39.732618792071598</v>
      </c>
      <c r="CK145" s="81">
        <v>511</v>
      </c>
      <c r="CL145">
        <v>144</v>
      </c>
      <c r="CM145">
        <v>1596.79150890082</v>
      </c>
      <c r="CN145">
        <v>7.0885679231593807E-2</v>
      </c>
      <c r="CO145">
        <v>12015</v>
      </c>
      <c r="CP145">
        <v>1471</v>
      </c>
      <c r="CQ145">
        <v>188</v>
      </c>
      <c r="CR145">
        <v>285</v>
      </c>
      <c r="CS145">
        <v>211</v>
      </c>
      <c r="CT145">
        <v>87</v>
      </c>
      <c r="CU145">
        <v>110.90248960585301</v>
      </c>
      <c r="CV145">
        <v>60.349337310055397</v>
      </c>
      <c r="CW145">
        <v>16.810737246688799</v>
      </c>
      <c r="CX145">
        <v>351.29385863103698</v>
      </c>
      <c r="CY145">
        <v>191.16208882975701</v>
      </c>
      <c r="CZ145">
        <v>53.249559814301101</v>
      </c>
      <c r="DA145">
        <v>0</v>
      </c>
      <c r="DE145">
        <v>405</v>
      </c>
      <c r="DF145" t="s">
        <v>157</v>
      </c>
      <c r="DG145">
        <v>15511</v>
      </c>
      <c r="DH145">
        <v>15517</v>
      </c>
      <c r="DI145">
        <v>15597</v>
      </c>
      <c r="DJ145">
        <v>15645</v>
      </c>
      <c r="DK145">
        <v>15518</v>
      </c>
      <c r="DO145">
        <v>331</v>
      </c>
      <c r="DP145" t="s">
        <v>189</v>
      </c>
      <c r="DQ145">
        <v>5648</v>
      </c>
      <c r="DR145">
        <v>1.33</v>
      </c>
      <c r="DS145">
        <v>361</v>
      </c>
      <c r="DV145">
        <v>1658</v>
      </c>
      <c r="DW145" t="s">
        <v>140</v>
      </c>
      <c r="DX145">
        <v>1555.0752671755699</v>
      </c>
      <c r="DY145">
        <v>353</v>
      </c>
      <c r="DZ145">
        <v>373</v>
      </c>
      <c r="EA145">
        <v>191</v>
      </c>
      <c r="EB145">
        <v>1239</v>
      </c>
      <c r="EC145">
        <v>834</v>
      </c>
      <c r="ED145">
        <v>292</v>
      </c>
      <c r="EE145" s="82">
        <v>0.118041961185582</v>
      </c>
      <c r="EF145" s="82">
        <v>0.31918005985734399</v>
      </c>
    </row>
    <row r="146" spans="1:136" x14ac:dyDescent="0.35">
      <c r="A146" s="72">
        <v>335</v>
      </c>
      <c r="B146" s="72">
        <v>6</v>
      </c>
      <c r="D146" s="72" t="s">
        <v>208</v>
      </c>
      <c r="E146" s="79">
        <v>1199200000</v>
      </c>
      <c r="F146" s="79">
        <v>162400000</v>
      </c>
      <c r="G146" s="79">
        <v>181650000</v>
      </c>
      <c r="H146" s="79">
        <v>13879</v>
      </c>
      <c r="I146" s="79">
        <v>2</v>
      </c>
      <c r="J146" s="79">
        <v>181.65</v>
      </c>
      <c r="K146" s="79">
        <v>3541</v>
      </c>
      <c r="L146" s="79">
        <v>2607</v>
      </c>
      <c r="M146" s="79">
        <v>778</v>
      </c>
      <c r="N146" s="79">
        <v>1242</v>
      </c>
      <c r="O146" s="79">
        <v>667</v>
      </c>
      <c r="P146" s="79">
        <v>109.333333333333</v>
      </c>
      <c r="Q146" s="79">
        <v>502.33333333333297</v>
      </c>
      <c r="R146" s="79">
        <v>435</v>
      </c>
      <c r="S146" s="79">
        <v>0</v>
      </c>
      <c r="T146" s="79">
        <v>326</v>
      </c>
      <c r="U146" s="79">
        <v>5644</v>
      </c>
      <c r="V146" s="79">
        <v>9850</v>
      </c>
      <c r="W146" s="79">
        <v>800</v>
      </c>
      <c r="X146" s="79">
        <v>0</v>
      </c>
      <c r="Y146" s="79">
        <v>0</v>
      </c>
      <c r="Z146" s="79">
        <v>0</v>
      </c>
      <c r="AA146" s="79">
        <v>0</v>
      </c>
      <c r="AB146" s="79">
        <v>0</v>
      </c>
      <c r="AC146" s="79">
        <v>3759</v>
      </c>
      <c r="AD146" s="79">
        <v>4999.47</v>
      </c>
      <c r="AE146" s="79">
        <v>61</v>
      </c>
      <c r="AF146" s="79">
        <v>0</v>
      </c>
      <c r="AG146" s="79">
        <v>108</v>
      </c>
      <c r="AH146" s="79">
        <v>89.6</v>
      </c>
      <c r="AI146" s="79">
        <v>36.99</v>
      </c>
      <c r="AJ146" s="79">
        <v>5750</v>
      </c>
      <c r="AK146" s="79">
        <v>6440</v>
      </c>
      <c r="AL146" s="79">
        <v>10</v>
      </c>
      <c r="AM146" s="79">
        <v>0</v>
      </c>
      <c r="AN146" s="79">
        <v>0</v>
      </c>
      <c r="AO146" s="79">
        <v>1650</v>
      </c>
      <c r="AP146" s="79">
        <v>0</v>
      </c>
      <c r="AQ146" s="79">
        <v>0</v>
      </c>
      <c r="AR146" s="80">
        <v>8.2126000000000006E-5</v>
      </c>
      <c r="AS146" s="80">
        <v>2.8126000000000001E-5</v>
      </c>
      <c r="AT146" s="79">
        <v>4278</v>
      </c>
      <c r="AU146" s="79">
        <v>0</v>
      </c>
      <c r="AV146" s="79">
        <v>1554.77</v>
      </c>
      <c r="AW146" s="79">
        <v>10529.401447644001</v>
      </c>
      <c r="AX146" s="79">
        <v>4</v>
      </c>
      <c r="AY146" s="79">
        <v>5.48</v>
      </c>
      <c r="AZ146" s="79">
        <v>1607</v>
      </c>
      <c r="BA146" s="79">
        <v>1</v>
      </c>
      <c r="BB146" s="79">
        <v>0</v>
      </c>
      <c r="BC146" s="79">
        <v>0</v>
      </c>
      <c r="BD146" s="79">
        <v>0</v>
      </c>
      <c r="BE146" s="79">
        <v>0</v>
      </c>
      <c r="BF146" s="79">
        <v>0</v>
      </c>
      <c r="BG146" s="79">
        <v>0</v>
      </c>
      <c r="BH146" s="79">
        <v>0</v>
      </c>
      <c r="BI146" s="79">
        <v>0</v>
      </c>
      <c r="BJ146" s="79">
        <v>0</v>
      </c>
      <c r="BK146" s="79">
        <v>6</v>
      </c>
      <c r="BL146" s="79">
        <v>1532</v>
      </c>
      <c r="BM146" s="79">
        <v>80</v>
      </c>
      <c r="BN146" s="79">
        <v>27</v>
      </c>
      <c r="BO146">
        <v>3811</v>
      </c>
      <c r="BP146">
        <v>0</v>
      </c>
      <c r="BQ146">
        <v>3465</v>
      </c>
      <c r="BR146">
        <v>0</v>
      </c>
      <c r="BS146">
        <v>3421</v>
      </c>
      <c r="BT146">
        <v>0</v>
      </c>
      <c r="BU146">
        <v>3409</v>
      </c>
      <c r="BV146">
        <v>0</v>
      </c>
      <c r="BW146">
        <v>3398</v>
      </c>
      <c r="BX146">
        <v>0</v>
      </c>
      <c r="BY146">
        <v>3360</v>
      </c>
      <c r="BZ146">
        <v>0</v>
      </c>
      <c r="CA146">
        <v>3148</v>
      </c>
      <c r="CB146">
        <v>189.92721922645401</v>
      </c>
      <c r="CC146">
        <v>30.2176228372998</v>
      </c>
      <c r="CD146">
        <v>23.354807473504401</v>
      </c>
      <c r="CE146">
        <v>4555.3993421898704</v>
      </c>
      <c r="CF146">
        <v>1278.7158063396901</v>
      </c>
      <c r="CG146">
        <v>56.237851528384297</v>
      </c>
      <c r="CH146">
        <v>141</v>
      </c>
      <c r="CI146">
        <v>43.128637764192298</v>
      </c>
      <c r="CJ146">
        <v>40.087374317000801</v>
      </c>
      <c r="CK146" s="81">
        <v>393</v>
      </c>
      <c r="CL146">
        <v>80</v>
      </c>
      <c r="CM146">
        <v>1484.30683885946</v>
      </c>
      <c r="CN146">
        <v>6.58029962864774E-2</v>
      </c>
      <c r="CO146">
        <v>11272</v>
      </c>
      <c r="CP146">
        <v>1626</v>
      </c>
      <c r="CQ146">
        <v>203</v>
      </c>
      <c r="CR146">
        <v>282</v>
      </c>
      <c r="CS146">
        <v>255</v>
      </c>
      <c r="CT146">
        <v>115</v>
      </c>
      <c r="CU146">
        <v>115.533815669719</v>
      </c>
      <c r="CV146">
        <v>66.698738965952103</v>
      </c>
      <c r="CW146">
        <v>17.747664455288099</v>
      </c>
      <c r="CX146">
        <v>332.98527933251302</v>
      </c>
      <c r="CY146">
        <v>192.2354775263</v>
      </c>
      <c r="CZ146">
        <v>51.151353150476403</v>
      </c>
      <c r="DA146">
        <v>0</v>
      </c>
      <c r="DE146">
        <v>406</v>
      </c>
      <c r="DF146" t="s">
        <v>160</v>
      </c>
      <c r="DG146">
        <v>9245</v>
      </c>
      <c r="DH146">
        <v>9086</v>
      </c>
      <c r="DI146">
        <v>8923</v>
      </c>
      <c r="DJ146">
        <v>8763</v>
      </c>
      <c r="DK146">
        <v>8564</v>
      </c>
      <c r="DO146">
        <v>335</v>
      </c>
      <c r="DP146" t="s">
        <v>208</v>
      </c>
      <c r="DQ146">
        <v>5750</v>
      </c>
      <c r="DR146">
        <v>1.1200000000000001</v>
      </c>
      <c r="DS146">
        <v>744</v>
      </c>
      <c r="DV146">
        <v>399</v>
      </c>
      <c r="DW146" t="s">
        <v>141</v>
      </c>
      <c r="DX146">
        <v>2455.5585838991301</v>
      </c>
      <c r="DY146">
        <v>688</v>
      </c>
      <c r="DZ146">
        <v>721</v>
      </c>
      <c r="EA146">
        <v>383</v>
      </c>
      <c r="EB146">
        <v>1984</v>
      </c>
      <c r="EC146">
        <v>1473</v>
      </c>
      <c r="ED146">
        <v>570</v>
      </c>
      <c r="EE146" s="82">
        <v>0.13257800567333999</v>
      </c>
      <c r="EF146" s="82">
        <v>0.31034094060455802</v>
      </c>
    </row>
    <row r="147" spans="1:136" x14ac:dyDescent="0.35">
      <c r="A147" s="72">
        <v>356</v>
      </c>
      <c r="B147" s="72">
        <v>6</v>
      </c>
      <c r="D147" s="72" t="s">
        <v>212</v>
      </c>
      <c r="E147" s="79">
        <v>4856400000</v>
      </c>
      <c r="F147" s="79">
        <v>1146250000</v>
      </c>
      <c r="G147" s="79">
        <v>1151500000</v>
      </c>
      <c r="H147" s="79">
        <v>62426</v>
      </c>
      <c r="I147" s="79">
        <v>1</v>
      </c>
      <c r="J147" s="79">
        <v>1151.5</v>
      </c>
      <c r="K147" s="79">
        <v>13272</v>
      </c>
      <c r="L147" s="79">
        <v>12127</v>
      </c>
      <c r="M147" s="79">
        <v>3217</v>
      </c>
      <c r="N147" s="79">
        <v>7911</v>
      </c>
      <c r="O147" s="79">
        <v>5047.8</v>
      </c>
      <c r="P147" s="79">
        <v>1269.3333333333301</v>
      </c>
      <c r="Q147" s="79">
        <v>4594.3333333333303</v>
      </c>
      <c r="R147" s="79">
        <v>6755</v>
      </c>
      <c r="S147" s="79">
        <v>0</v>
      </c>
      <c r="T147" s="79">
        <v>2254</v>
      </c>
      <c r="U147" s="79">
        <v>29186</v>
      </c>
      <c r="V147" s="79">
        <v>66550</v>
      </c>
      <c r="W147" s="79">
        <v>48720</v>
      </c>
      <c r="X147" s="79">
        <v>506.88</v>
      </c>
      <c r="Y147" s="79">
        <v>4440.8</v>
      </c>
      <c r="Z147" s="79">
        <v>0</v>
      </c>
      <c r="AA147" s="79">
        <v>0</v>
      </c>
      <c r="AB147" s="79">
        <v>0</v>
      </c>
      <c r="AC147" s="79">
        <v>2344</v>
      </c>
      <c r="AD147" s="79">
        <v>2672.16</v>
      </c>
      <c r="AE147" s="79">
        <v>221</v>
      </c>
      <c r="AF147" s="79">
        <v>0</v>
      </c>
      <c r="AG147" s="79">
        <v>311</v>
      </c>
      <c r="AH147" s="79">
        <v>330.6</v>
      </c>
      <c r="AI147" s="79">
        <v>24.36</v>
      </c>
      <c r="AJ147" s="79">
        <v>28632</v>
      </c>
      <c r="AK147" s="79">
        <v>32640.48</v>
      </c>
      <c r="AL147" s="79">
        <v>0</v>
      </c>
      <c r="AM147" s="79">
        <v>0</v>
      </c>
      <c r="AN147" s="79">
        <v>0</v>
      </c>
      <c r="AO147" s="79">
        <v>0</v>
      </c>
      <c r="AP147" s="79">
        <v>567</v>
      </c>
      <c r="AQ147" s="79">
        <v>0</v>
      </c>
      <c r="AR147" s="80">
        <v>1.5291099999999999E-4</v>
      </c>
      <c r="AS147" s="80">
        <v>5.8019899999999999E-4</v>
      </c>
      <c r="AT147" s="79">
        <v>55002.072</v>
      </c>
      <c r="AU147" s="79">
        <v>0</v>
      </c>
      <c r="AV147" s="79">
        <v>2435.04</v>
      </c>
      <c r="AW147" s="79">
        <v>98882.784</v>
      </c>
      <c r="AX147" s="79">
        <v>1</v>
      </c>
      <c r="AY147" s="79">
        <v>1.1599999999999999</v>
      </c>
      <c r="AZ147" s="79">
        <v>6104</v>
      </c>
      <c r="BA147" s="79">
        <v>1</v>
      </c>
      <c r="BB147" s="79">
        <v>0</v>
      </c>
      <c r="BC147" s="79">
        <v>0</v>
      </c>
      <c r="BD147" s="79">
        <v>0</v>
      </c>
      <c r="BE147" s="79">
        <v>0</v>
      </c>
      <c r="BF147" s="79">
        <v>0</v>
      </c>
      <c r="BG147" s="79">
        <v>0</v>
      </c>
      <c r="BH147" s="79">
        <v>0</v>
      </c>
      <c r="BI147" s="79">
        <v>0</v>
      </c>
      <c r="BJ147" s="79">
        <v>0</v>
      </c>
      <c r="BK147" s="79">
        <v>23</v>
      </c>
      <c r="BL147" s="79">
        <v>10206</v>
      </c>
      <c r="BM147" s="79">
        <v>290</v>
      </c>
      <c r="BN147" s="79">
        <v>21</v>
      </c>
      <c r="BO147">
        <v>13898</v>
      </c>
      <c r="BP147">
        <v>5447</v>
      </c>
      <c r="BQ147">
        <v>12313</v>
      </c>
      <c r="BR147">
        <v>5537</v>
      </c>
      <c r="BS147">
        <v>12203</v>
      </c>
      <c r="BT147">
        <v>5558</v>
      </c>
      <c r="BU147">
        <v>12182</v>
      </c>
      <c r="BV147">
        <v>5672</v>
      </c>
      <c r="BW147">
        <v>12020</v>
      </c>
      <c r="BX147">
        <v>5624</v>
      </c>
      <c r="BY147">
        <v>11945</v>
      </c>
      <c r="BZ147">
        <v>5415</v>
      </c>
      <c r="CA147">
        <v>11909</v>
      </c>
      <c r="CB147">
        <v>1373.02462149487</v>
      </c>
      <c r="CC147">
        <v>193.04087428103799</v>
      </c>
      <c r="CD147">
        <v>218.54288610122501</v>
      </c>
      <c r="CE147">
        <v>19153.7122969968</v>
      </c>
      <c r="CF147">
        <v>4380.3128879608603</v>
      </c>
      <c r="CG147">
        <v>479.05858506567398</v>
      </c>
      <c r="CH147">
        <v>844</v>
      </c>
      <c r="CI147">
        <v>404.734358242052</v>
      </c>
      <c r="CJ147">
        <v>368.236234876521</v>
      </c>
      <c r="CK147" s="81">
        <v>3325</v>
      </c>
      <c r="CL147">
        <v>726</v>
      </c>
      <c r="CM147">
        <v>10007.651380913099</v>
      </c>
      <c r="CN147">
        <v>2.3867036376444202</v>
      </c>
      <c r="CO147">
        <v>50299</v>
      </c>
      <c r="CP147">
        <v>8013</v>
      </c>
      <c r="CQ147">
        <v>897</v>
      </c>
      <c r="CR147">
        <v>1900</v>
      </c>
      <c r="CS147">
        <v>1127</v>
      </c>
      <c r="CT147">
        <v>510</v>
      </c>
      <c r="CU147">
        <v>919.66744061900499</v>
      </c>
      <c r="CV147">
        <v>411.091522239509</v>
      </c>
      <c r="CW147">
        <v>123.574252611448</v>
      </c>
      <c r="CX147">
        <v>2302.82817462705</v>
      </c>
      <c r="CY147">
        <v>1029.3646354668001</v>
      </c>
      <c r="CZ147">
        <v>309.42736254812303</v>
      </c>
      <c r="DA147">
        <v>26460</v>
      </c>
      <c r="DE147">
        <v>415</v>
      </c>
      <c r="DF147" t="s">
        <v>174</v>
      </c>
      <c r="DG147">
        <v>2125</v>
      </c>
      <c r="DH147">
        <v>2109</v>
      </c>
      <c r="DI147">
        <v>2068</v>
      </c>
      <c r="DJ147">
        <v>2111</v>
      </c>
      <c r="DK147">
        <v>2111</v>
      </c>
      <c r="DO147">
        <v>356</v>
      </c>
      <c r="DP147" t="s">
        <v>212</v>
      </c>
      <c r="DQ147">
        <v>28632</v>
      </c>
      <c r="DR147">
        <v>1.1399999999999999</v>
      </c>
      <c r="DS147">
        <v>1921</v>
      </c>
      <c r="DV147">
        <v>163</v>
      </c>
      <c r="DW147" t="s">
        <v>142</v>
      </c>
      <c r="DX147">
        <v>4370.6014102032404</v>
      </c>
      <c r="DY147">
        <v>752</v>
      </c>
      <c r="DZ147">
        <v>754</v>
      </c>
      <c r="EA147">
        <v>393</v>
      </c>
      <c r="EB147">
        <v>2603</v>
      </c>
      <c r="EC147">
        <v>1579</v>
      </c>
      <c r="ED147">
        <v>577</v>
      </c>
      <c r="EE147" s="82">
        <v>0.18588444598399001</v>
      </c>
      <c r="EF147" s="82">
        <v>0.49876271685266299</v>
      </c>
    </row>
    <row r="148" spans="1:136" x14ac:dyDescent="0.35">
      <c r="A148" s="72">
        <v>589</v>
      </c>
      <c r="B148" s="72">
        <v>6</v>
      </c>
      <c r="D148" s="72" t="s">
        <v>241</v>
      </c>
      <c r="E148" s="79">
        <v>949200000</v>
      </c>
      <c r="F148" s="79">
        <v>124950000</v>
      </c>
      <c r="G148" s="79">
        <v>140350000</v>
      </c>
      <c r="H148" s="79">
        <v>10180</v>
      </c>
      <c r="I148" s="79">
        <v>1</v>
      </c>
      <c r="J148" s="79">
        <v>140.35</v>
      </c>
      <c r="K148" s="79">
        <v>2409</v>
      </c>
      <c r="L148" s="79">
        <v>2044</v>
      </c>
      <c r="M148" s="79">
        <v>668</v>
      </c>
      <c r="N148" s="79">
        <v>1146</v>
      </c>
      <c r="O148" s="79">
        <v>713.4</v>
      </c>
      <c r="P148" s="79">
        <v>80.6666666666667</v>
      </c>
      <c r="Q148" s="79">
        <v>393.66666666666703</v>
      </c>
      <c r="R148" s="79">
        <v>205</v>
      </c>
      <c r="S148" s="79">
        <v>0</v>
      </c>
      <c r="T148" s="79">
        <v>260</v>
      </c>
      <c r="U148" s="79">
        <v>4321</v>
      </c>
      <c r="V148" s="79">
        <v>8010</v>
      </c>
      <c r="W148" s="79">
        <v>700</v>
      </c>
      <c r="X148" s="79">
        <v>0</v>
      </c>
      <c r="Y148" s="79">
        <v>0</v>
      </c>
      <c r="Z148" s="79">
        <v>0</v>
      </c>
      <c r="AA148" s="79">
        <v>0</v>
      </c>
      <c r="AB148" s="79">
        <v>0</v>
      </c>
      <c r="AC148" s="79">
        <v>3901</v>
      </c>
      <c r="AD148" s="79">
        <v>6397.64</v>
      </c>
      <c r="AE148" s="79">
        <v>109</v>
      </c>
      <c r="AF148" s="79">
        <v>0</v>
      </c>
      <c r="AG148" s="79">
        <v>84</v>
      </c>
      <c r="AH148" s="79">
        <v>76.959999999999994</v>
      </c>
      <c r="AI148" s="79">
        <v>55.11</v>
      </c>
      <c r="AJ148" s="79">
        <v>4326</v>
      </c>
      <c r="AK148" s="79">
        <v>6402.48</v>
      </c>
      <c r="AL148" s="79">
        <v>13</v>
      </c>
      <c r="AM148" s="79">
        <v>0</v>
      </c>
      <c r="AN148" s="79">
        <v>0</v>
      </c>
      <c r="AO148" s="79">
        <v>3350</v>
      </c>
      <c r="AP148" s="79">
        <v>707</v>
      </c>
      <c r="AQ148" s="79">
        <v>707</v>
      </c>
      <c r="AR148" s="80">
        <v>1.83189E-4</v>
      </c>
      <c r="AS148" s="80">
        <v>4.7942999999999998E-5</v>
      </c>
      <c r="AT148" s="79">
        <v>3681.4259999999999</v>
      </c>
      <c r="AU148" s="79">
        <v>0</v>
      </c>
      <c r="AV148" s="79">
        <v>4685.4799999999996</v>
      </c>
      <c r="AW148" s="79">
        <v>33552.772269326699</v>
      </c>
      <c r="AX148" s="79">
        <v>3</v>
      </c>
      <c r="AY148" s="79">
        <v>5.01</v>
      </c>
      <c r="AZ148" s="79">
        <v>1403</v>
      </c>
      <c r="BA148" s="79">
        <v>1</v>
      </c>
      <c r="BB148" s="79">
        <v>0</v>
      </c>
      <c r="BC148" s="79">
        <v>0</v>
      </c>
      <c r="BD148" s="79">
        <v>0</v>
      </c>
      <c r="BE148" s="79">
        <v>0</v>
      </c>
      <c r="BF148" s="79">
        <v>0</v>
      </c>
      <c r="BG148" s="79">
        <v>0</v>
      </c>
      <c r="BH148" s="79">
        <v>0</v>
      </c>
      <c r="BI148" s="79">
        <v>0</v>
      </c>
      <c r="BJ148" s="79">
        <v>0</v>
      </c>
      <c r="BK148" s="79">
        <v>1</v>
      </c>
      <c r="BL148" s="79">
        <v>1263</v>
      </c>
      <c r="BM148" s="79">
        <v>52</v>
      </c>
      <c r="BN148" s="79">
        <v>33</v>
      </c>
      <c r="BO148">
        <v>2631</v>
      </c>
      <c r="BP148">
        <v>0</v>
      </c>
      <c r="BQ148">
        <v>2366</v>
      </c>
      <c r="BR148">
        <v>0</v>
      </c>
      <c r="BS148">
        <v>2316</v>
      </c>
      <c r="BT148">
        <v>0</v>
      </c>
      <c r="BU148">
        <v>2301</v>
      </c>
      <c r="BV148">
        <v>0</v>
      </c>
      <c r="BW148">
        <v>2286</v>
      </c>
      <c r="BX148">
        <v>0</v>
      </c>
      <c r="BY148">
        <v>2259</v>
      </c>
      <c r="BZ148">
        <v>0</v>
      </c>
      <c r="CA148">
        <v>2160</v>
      </c>
      <c r="CB148">
        <v>170.43815532334099</v>
      </c>
      <c r="CC148">
        <v>28.6463548308143</v>
      </c>
      <c r="CD148">
        <v>18.7366272746033</v>
      </c>
      <c r="CE148">
        <v>3332.7051327675199</v>
      </c>
      <c r="CF148">
        <v>932.61216397118596</v>
      </c>
      <c r="CG148">
        <v>23.505726548129999</v>
      </c>
      <c r="CH148">
        <v>124</v>
      </c>
      <c r="CI148">
        <v>31.6769243554314</v>
      </c>
      <c r="CJ148">
        <v>28.025686469407699</v>
      </c>
      <c r="CK148" s="81">
        <v>313</v>
      </c>
      <c r="CL148">
        <v>67</v>
      </c>
      <c r="CM148">
        <v>1173.2173947656499</v>
      </c>
      <c r="CN148">
        <v>4.8085352617468401E-2</v>
      </c>
      <c r="CO148">
        <v>8136</v>
      </c>
      <c r="CP148">
        <v>1174</v>
      </c>
      <c r="CQ148">
        <v>202</v>
      </c>
      <c r="CR148">
        <v>254</v>
      </c>
      <c r="CS148">
        <v>231</v>
      </c>
      <c r="CT148">
        <v>82</v>
      </c>
      <c r="CU148">
        <v>122.449813885095</v>
      </c>
      <c r="CV148">
        <v>76.304527360429205</v>
      </c>
      <c r="CW148">
        <v>20.270965151906701</v>
      </c>
      <c r="CX148">
        <v>257.688618609223</v>
      </c>
      <c r="CY148">
        <v>160.57850661651401</v>
      </c>
      <c r="CZ148">
        <v>42.659084911082601</v>
      </c>
      <c r="DA148">
        <v>0</v>
      </c>
      <c r="DE148">
        <v>416</v>
      </c>
      <c r="DF148" t="s">
        <v>175</v>
      </c>
      <c r="DG148">
        <v>6552</v>
      </c>
      <c r="DH148">
        <v>6493</v>
      </c>
      <c r="DI148">
        <v>6433</v>
      </c>
      <c r="DJ148">
        <v>6318</v>
      </c>
      <c r="DK148">
        <v>6164</v>
      </c>
      <c r="DO148">
        <v>589</v>
      </c>
      <c r="DP148" t="s">
        <v>241</v>
      </c>
      <c r="DQ148">
        <v>4326</v>
      </c>
      <c r="DR148">
        <v>1.48</v>
      </c>
      <c r="DS148">
        <v>851</v>
      </c>
      <c r="DV148">
        <v>530</v>
      </c>
      <c r="DW148" t="s">
        <v>143</v>
      </c>
      <c r="DX148">
        <v>4788.20996708437</v>
      </c>
      <c r="DY148">
        <v>1112</v>
      </c>
      <c r="DZ148">
        <v>762</v>
      </c>
      <c r="EA148">
        <v>382</v>
      </c>
      <c r="EB148">
        <v>3367</v>
      </c>
      <c r="EC148">
        <v>1549</v>
      </c>
      <c r="ED148">
        <v>534</v>
      </c>
      <c r="EE148" s="82">
        <v>0.15871028566481299</v>
      </c>
      <c r="EF148" s="82">
        <v>0.40056396059305099</v>
      </c>
    </row>
    <row r="149" spans="1:136" x14ac:dyDescent="0.35">
      <c r="A149" s="72">
        <v>339</v>
      </c>
      <c r="B149" s="72">
        <v>6</v>
      </c>
      <c r="D149" s="72" t="s">
        <v>252</v>
      </c>
      <c r="E149" s="79">
        <v>444400000</v>
      </c>
      <c r="F149" s="79">
        <v>102200000</v>
      </c>
      <c r="G149" s="79">
        <v>113050000</v>
      </c>
      <c r="H149" s="79">
        <v>5175</v>
      </c>
      <c r="I149" s="79">
        <v>1</v>
      </c>
      <c r="J149" s="79">
        <v>113.05</v>
      </c>
      <c r="K149" s="79">
        <v>1483</v>
      </c>
      <c r="L149" s="79">
        <v>773</v>
      </c>
      <c r="M149" s="79">
        <v>207</v>
      </c>
      <c r="N149" s="79">
        <v>428</v>
      </c>
      <c r="O149" s="79">
        <v>227.5</v>
      </c>
      <c r="P149" s="79">
        <v>33.3333333333333</v>
      </c>
      <c r="Q149" s="79">
        <v>146.333333333333</v>
      </c>
      <c r="R149" s="79">
        <v>60</v>
      </c>
      <c r="S149" s="79">
        <v>0</v>
      </c>
      <c r="T149" s="79">
        <v>84</v>
      </c>
      <c r="U149" s="79">
        <v>1963</v>
      </c>
      <c r="V149" s="79">
        <v>3420</v>
      </c>
      <c r="W149" s="79">
        <v>300</v>
      </c>
      <c r="X149" s="79">
        <v>0</v>
      </c>
      <c r="Y149" s="79">
        <v>0</v>
      </c>
      <c r="Z149" s="79">
        <v>0</v>
      </c>
      <c r="AA149" s="79">
        <v>0</v>
      </c>
      <c r="AB149" s="79">
        <v>0</v>
      </c>
      <c r="AC149" s="79">
        <v>1839</v>
      </c>
      <c r="AD149" s="79">
        <v>1839</v>
      </c>
      <c r="AE149" s="79">
        <v>12</v>
      </c>
      <c r="AF149" s="79">
        <v>0</v>
      </c>
      <c r="AG149" s="79">
        <v>64</v>
      </c>
      <c r="AH149" s="79">
        <v>32</v>
      </c>
      <c r="AI149" s="79">
        <v>32</v>
      </c>
      <c r="AJ149" s="79">
        <v>2005</v>
      </c>
      <c r="AK149" s="79">
        <v>2005</v>
      </c>
      <c r="AL149" s="79">
        <v>0</v>
      </c>
      <c r="AM149" s="79">
        <v>0</v>
      </c>
      <c r="AN149" s="79">
        <v>0</v>
      </c>
      <c r="AO149" s="79">
        <v>0</v>
      </c>
      <c r="AP149" s="79">
        <v>0</v>
      </c>
      <c r="AQ149" s="79">
        <v>0</v>
      </c>
      <c r="AR149" s="80">
        <v>2.3407000000000001E-5</v>
      </c>
      <c r="AS149" s="80">
        <v>7.3950000000000003E-6</v>
      </c>
      <c r="AT149" s="79">
        <v>956.38499999999999</v>
      </c>
      <c r="AU149" s="79">
        <v>0</v>
      </c>
      <c r="AV149" s="79">
        <v>385</v>
      </c>
      <c r="AW149" s="79">
        <v>1076.37763371151</v>
      </c>
      <c r="AX149" s="79">
        <v>1</v>
      </c>
      <c r="AY149" s="79">
        <v>1</v>
      </c>
      <c r="AZ149" s="79">
        <v>757</v>
      </c>
      <c r="BA149" s="79">
        <v>1</v>
      </c>
      <c r="BB149" s="79">
        <v>0</v>
      </c>
      <c r="BC149" s="79">
        <v>0</v>
      </c>
      <c r="BD149" s="79">
        <v>0</v>
      </c>
      <c r="BE149" s="79">
        <v>0</v>
      </c>
      <c r="BF149" s="79">
        <v>0</v>
      </c>
      <c r="BG149" s="79">
        <v>0</v>
      </c>
      <c r="BH149" s="79">
        <v>0</v>
      </c>
      <c r="BI149" s="79">
        <v>0</v>
      </c>
      <c r="BJ149" s="79">
        <v>0</v>
      </c>
      <c r="BK149" s="79">
        <v>0</v>
      </c>
      <c r="BL149" s="79">
        <v>483</v>
      </c>
      <c r="BM149" s="79">
        <v>32</v>
      </c>
      <c r="BN149" s="79">
        <v>32</v>
      </c>
      <c r="BO149">
        <v>1364</v>
      </c>
      <c r="BP149">
        <v>0</v>
      </c>
      <c r="BQ149">
        <v>1250</v>
      </c>
      <c r="BR149">
        <v>0</v>
      </c>
      <c r="BS149">
        <v>1260</v>
      </c>
      <c r="BT149">
        <v>0</v>
      </c>
      <c r="BU149">
        <v>1286</v>
      </c>
      <c r="BV149">
        <v>0</v>
      </c>
      <c r="BW149">
        <v>1288</v>
      </c>
      <c r="BX149">
        <v>0</v>
      </c>
      <c r="BY149">
        <v>1304</v>
      </c>
      <c r="BZ149">
        <v>0</v>
      </c>
      <c r="CA149">
        <v>1347</v>
      </c>
      <c r="CB149">
        <v>75.655451944977401</v>
      </c>
      <c r="CC149">
        <v>18.752317447892999</v>
      </c>
      <c r="CD149">
        <v>11.8235812148649</v>
      </c>
      <c r="CE149">
        <v>1414.24791554688</v>
      </c>
      <c r="CF149">
        <v>464.20748516300398</v>
      </c>
      <c r="CG149">
        <v>41.358123384253801</v>
      </c>
      <c r="CH149">
        <v>41</v>
      </c>
      <c r="CI149">
        <v>10.6025523999066</v>
      </c>
      <c r="CJ149">
        <v>5.3213328739381698</v>
      </c>
      <c r="CK149" s="81">
        <v>113</v>
      </c>
      <c r="CL149">
        <v>24</v>
      </c>
      <c r="CM149">
        <v>366.66580875074197</v>
      </c>
      <c r="CN149">
        <v>2.4295677614323202E-2</v>
      </c>
      <c r="CO149">
        <v>4402</v>
      </c>
      <c r="CP149">
        <v>514</v>
      </c>
      <c r="CQ149">
        <v>52</v>
      </c>
      <c r="CR149">
        <v>94</v>
      </c>
      <c r="CS149">
        <v>69</v>
      </c>
      <c r="CT149">
        <v>31</v>
      </c>
      <c r="CU149">
        <v>34.989400767862598</v>
      </c>
      <c r="CV149">
        <v>16.871911697124698</v>
      </c>
      <c r="CW149">
        <v>4.8690751877608198</v>
      </c>
      <c r="CX149">
        <v>120.51066089188301</v>
      </c>
      <c r="CY149">
        <v>58.110318682493798</v>
      </c>
      <c r="CZ149">
        <v>16.7700919687734</v>
      </c>
      <c r="DA149">
        <v>0</v>
      </c>
      <c r="DE149">
        <v>417</v>
      </c>
      <c r="DF149" t="s">
        <v>177</v>
      </c>
      <c r="DG149">
        <v>2289</v>
      </c>
      <c r="DH149">
        <v>2221</v>
      </c>
      <c r="DI149">
        <v>2212</v>
      </c>
      <c r="DJ149">
        <v>2152</v>
      </c>
      <c r="DK149">
        <v>2100</v>
      </c>
      <c r="DO149">
        <v>339</v>
      </c>
      <c r="DP149" t="s">
        <v>252</v>
      </c>
      <c r="DQ149">
        <v>2005</v>
      </c>
      <c r="DR149">
        <v>1</v>
      </c>
      <c r="DS149">
        <v>477</v>
      </c>
      <c r="DV149">
        <v>794</v>
      </c>
      <c r="DW149" t="s">
        <v>144</v>
      </c>
      <c r="DX149">
        <v>13444.2243944115</v>
      </c>
      <c r="DY149">
        <v>2123</v>
      </c>
      <c r="DZ149">
        <v>1694</v>
      </c>
      <c r="EA149">
        <v>813</v>
      </c>
      <c r="EB149">
        <v>5866</v>
      </c>
      <c r="EC149">
        <v>3345</v>
      </c>
      <c r="ED149">
        <v>1106</v>
      </c>
      <c r="EE149" s="82">
        <v>0.236576817404654</v>
      </c>
      <c r="EF149" s="82">
        <v>0.52088851256685498</v>
      </c>
    </row>
    <row r="150" spans="1:136" x14ac:dyDescent="0.35">
      <c r="A150" s="72">
        <v>340</v>
      </c>
      <c r="B150" s="72">
        <v>6</v>
      </c>
      <c r="D150" s="72" t="s">
        <v>255</v>
      </c>
      <c r="E150" s="79">
        <v>1713600000</v>
      </c>
      <c r="F150" s="79">
        <v>206500000</v>
      </c>
      <c r="G150" s="79">
        <v>228200000</v>
      </c>
      <c r="H150" s="79">
        <v>19816</v>
      </c>
      <c r="I150" s="79">
        <v>3</v>
      </c>
      <c r="J150" s="79">
        <v>228.2</v>
      </c>
      <c r="K150" s="79">
        <v>4884</v>
      </c>
      <c r="L150" s="79">
        <v>4183</v>
      </c>
      <c r="M150" s="79">
        <v>1363</v>
      </c>
      <c r="N150" s="79">
        <v>2187</v>
      </c>
      <c r="O150" s="79">
        <v>1375.8</v>
      </c>
      <c r="P150" s="79">
        <v>281.33333333333297</v>
      </c>
      <c r="Q150" s="79">
        <v>1173.3333333333301</v>
      </c>
      <c r="R150" s="79">
        <v>690</v>
      </c>
      <c r="S150" s="79">
        <v>0</v>
      </c>
      <c r="T150" s="79">
        <v>448</v>
      </c>
      <c r="U150" s="79">
        <v>8443</v>
      </c>
      <c r="V150" s="79">
        <v>16780</v>
      </c>
      <c r="W150" s="79">
        <v>4020</v>
      </c>
      <c r="X150" s="79">
        <v>0</v>
      </c>
      <c r="Y150" s="79">
        <v>448.8</v>
      </c>
      <c r="Z150" s="79">
        <v>0</v>
      </c>
      <c r="AA150" s="79">
        <v>0</v>
      </c>
      <c r="AB150" s="79">
        <v>377.3</v>
      </c>
      <c r="AC150" s="79">
        <v>4207</v>
      </c>
      <c r="AD150" s="79">
        <v>4207</v>
      </c>
      <c r="AE150" s="79">
        <v>169</v>
      </c>
      <c r="AF150" s="79">
        <v>0</v>
      </c>
      <c r="AG150" s="79">
        <v>128</v>
      </c>
      <c r="AH150" s="79">
        <v>89</v>
      </c>
      <c r="AI150" s="79">
        <v>39</v>
      </c>
      <c r="AJ150" s="79">
        <v>8112</v>
      </c>
      <c r="AK150" s="79">
        <v>8112</v>
      </c>
      <c r="AL150" s="79">
        <v>5</v>
      </c>
      <c r="AM150" s="79">
        <v>0</v>
      </c>
      <c r="AN150" s="79">
        <v>0</v>
      </c>
      <c r="AO150" s="79">
        <v>0</v>
      </c>
      <c r="AP150" s="79">
        <v>872</v>
      </c>
      <c r="AQ150" s="79">
        <v>872</v>
      </c>
      <c r="AR150" s="80">
        <v>1.7055600000000001E-4</v>
      </c>
      <c r="AS150" s="80">
        <v>2.3299900000000001E-4</v>
      </c>
      <c r="AT150" s="79">
        <v>7422.48</v>
      </c>
      <c r="AU150" s="79">
        <v>0</v>
      </c>
      <c r="AV150" s="79">
        <v>672</v>
      </c>
      <c r="AW150" s="79">
        <v>3043.0420475319902</v>
      </c>
      <c r="AX150" s="79">
        <v>7</v>
      </c>
      <c r="AY150" s="79">
        <v>7</v>
      </c>
      <c r="AZ150" s="79">
        <v>2153</v>
      </c>
      <c r="BA150" s="79">
        <v>1</v>
      </c>
      <c r="BB150" s="79">
        <v>0</v>
      </c>
      <c r="BC150" s="79">
        <v>0</v>
      </c>
      <c r="BD150" s="79">
        <v>0</v>
      </c>
      <c r="BE150" s="79">
        <v>0</v>
      </c>
      <c r="BF150" s="79">
        <v>0</v>
      </c>
      <c r="BG150" s="79">
        <v>0</v>
      </c>
      <c r="BH150" s="79">
        <v>0</v>
      </c>
      <c r="BI150" s="79">
        <v>0</v>
      </c>
      <c r="BJ150" s="79">
        <v>0</v>
      </c>
      <c r="BK150" s="79">
        <v>11</v>
      </c>
      <c r="BL150" s="79">
        <v>2467</v>
      </c>
      <c r="BM150" s="79">
        <v>89</v>
      </c>
      <c r="BN150" s="79">
        <v>39</v>
      </c>
      <c r="BO150">
        <v>4835</v>
      </c>
      <c r="BP150">
        <v>167</v>
      </c>
      <c r="BQ150">
        <v>4482</v>
      </c>
      <c r="BR150">
        <v>131</v>
      </c>
      <c r="BS150">
        <v>4464</v>
      </c>
      <c r="BT150">
        <v>165</v>
      </c>
      <c r="BU150">
        <v>4507</v>
      </c>
      <c r="BV150">
        <v>169</v>
      </c>
      <c r="BW150">
        <v>4453</v>
      </c>
      <c r="BX150">
        <v>209</v>
      </c>
      <c r="BY150">
        <v>4421</v>
      </c>
      <c r="BZ150">
        <v>263</v>
      </c>
      <c r="CA150">
        <v>4405</v>
      </c>
      <c r="CB150">
        <v>407.630938012966</v>
      </c>
      <c r="CC150">
        <v>163.505422529577</v>
      </c>
      <c r="CD150">
        <v>52.750991772949</v>
      </c>
      <c r="CE150">
        <v>5626.07365664381</v>
      </c>
      <c r="CF150">
        <v>1468.59795238332</v>
      </c>
      <c r="CG150">
        <v>152.30065973406101</v>
      </c>
      <c r="CH150">
        <v>169</v>
      </c>
      <c r="CI150">
        <v>96.560721175019907</v>
      </c>
      <c r="CJ150">
        <v>79.819993109072499</v>
      </c>
      <c r="CK150" s="81">
        <v>892</v>
      </c>
      <c r="CL150">
        <v>340</v>
      </c>
      <c r="CM150">
        <v>2550.5439175257702</v>
      </c>
      <c r="CN150">
        <v>0.44371150972109702</v>
      </c>
      <c r="CO150">
        <v>15633</v>
      </c>
      <c r="CP150">
        <v>2346</v>
      </c>
      <c r="CQ150">
        <v>474</v>
      </c>
      <c r="CR150">
        <v>443</v>
      </c>
      <c r="CS150">
        <v>459</v>
      </c>
      <c r="CT150">
        <v>230</v>
      </c>
      <c r="CU150">
        <v>239.43896429402</v>
      </c>
      <c r="CV150">
        <v>161.60434346473099</v>
      </c>
      <c r="CW150">
        <v>60.368464085461099</v>
      </c>
      <c r="CX150">
        <v>586.00994448449603</v>
      </c>
      <c r="CY150">
        <v>395.51521040632099</v>
      </c>
      <c r="CZ150">
        <v>147.74754974255001</v>
      </c>
      <c r="DA150">
        <v>64970</v>
      </c>
      <c r="DE150">
        <v>420</v>
      </c>
      <c r="DF150" t="s">
        <v>196</v>
      </c>
      <c r="DG150">
        <v>9877</v>
      </c>
      <c r="DH150">
        <v>9843</v>
      </c>
      <c r="DI150">
        <v>9791</v>
      </c>
      <c r="DJ150">
        <v>9665</v>
      </c>
      <c r="DK150">
        <v>9594</v>
      </c>
      <c r="DO150">
        <v>340</v>
      </c>
      <c r="DP150" t="s">
        <v>255</v>
      </c>
      <c r="DQ150">
        <v>8112</v>
      </c>
      <c r="DR150">
        <v>1</v>
      </c>
      <c r="DS150">
        <v>915</v>
      </c>
      <c r="DV150">
        <v>531</v>
      </c>
      <c r="DW150" t="s">
        <v>145</v>
      </c>
      <c r="DX150">
        <v>2723.8719480963</v>
      </c>
      <c r="DY150">
        <v>541</v>
      </c>
      <c r="DZ150">
        <v>558</v>
      </c>
      <c r="EA150">
        <v>311</v>
      </c>
      <c r="EB150">
        <v>1745</v>
      </c>
      <c r="EC150">
        <v>1142</v>
      </c>
      <c r="ED150">
        <v>447</v>
      </c>
      <c r="EE150" s="82">
        <v>0.12352469621666599</v>
      </c>
      <c r="EF150" s="82">
        <v>0.37291119083034402</v>
      </c>
    </row>
    <row r="151" spans="1:136" x14ac:dyDescent="0.35">
      <c r="A151" s="72">
        <v>342</v>
      </c>
      <c r="B151" s="72">
        <v>6</v>
      </c>
      <c r="D151" s="72" t="s">
        <v>279</v>
      </c>
      <c r="E151" s="79">
        <v>4695200000</v>
      </c>
      <c r="F151" s="79">
        <v>643300000</v>
      </c>
      <c r="G151" s="79">
        <v>654850000</v>
      </c>
      <c r="H151" s="79">
        <v>46089</v>
      </c>
      <c r="I151" s="79">
        <v>2</v>
      </c>
      <c r="J151" s="79">
        <v>654.85</v>
      </c>
      <c r="K151" s="79">
        <v>10660</v>
      </c>
      <c r="L151" s="79">
        <v>10287</v>
      </c>
      <c r="M151" s="79">
        <v>3096</v>
      </c>
      <c r="N151" s="79">
        <v>5555</v>
      </c>
      <c r="O151" s="79">
        <v>3470.9</v>
      </c>
      <c r="P151" s="79">
        <v>770</v>
      </c>
      <c r="Q151" s="79">
        <v>2908</v>
      </c>
      <c r="R151" s="79">
        <v>4045</v>
      </c>
      <c r="S151" s="79">
        <v>0</v>
      </c>
      <c r="T151" s="79">
        <v>1401</v>
      </c>
      <c r="U151" s="79">
        <v>20755</v>
      </c>
      <c r="V151" s="79">
        <v>42530</v>
      </c>
      <c r="W151" s="79">
        <v>23650</v>
      </c>
      <c r="X151" s="79">
        <v>702.38</v>
      </c>
      <c r="Y151" s="79">
        <v>1188</v>
      </c>
      <c r="Z151" s="79">
        <v>0</v>
      </c>
      <c r="AA151" s="79">
        <v>0</v>
      </c>
      <c r="AB151" s="79">
        <v>0</v>
      </c>
      <c r="AC151" s="79">
        <v>4625</v>
      </c>
      <c r="AD151" s="79">
        <v>4625</v>
      </c>
      <c r="AE151" s="79">
        <v>18</v>
      </c>
      <c r="AF151" s="79">
        <v>0</v>
      </c>
      <c r="AG151" s="79">
        <v>261</v>
      </c>
      <c r="AH151" s="79">
        <v>235</v>
      </c>
      <c r="AI151" s="79">
        <v>27</v>
      </c>
      <c r="AJ151" s="79">
        <v>20841</v>
      </c>
      <c r="AK151" s="79">
        <v>20841</v>
      </c>
      <c r="AL151" s="79">
        <v>0</v>
      </c>
      <c r="AM151" s="79">
        <v>0</v>
      </c>
      <c r="AN151" s="79">
        <v>0</v>
      </c>
      <c r="AO151" s="79">
        <v>0</v>
      </c>
      <c r="AP151" s="79">
        <v>1926</v>
      </c>
      <c r="AQ151" s="79">
        <v>0</v>
      </c>
      <c r="AR151" s="80">
        <v>5.4898299999999996E-4</v>
      </c>
      <c r="AS151" s="80">
        <v>9.1144700000000002E-4</v>
      </c>
      <c r="AT151" s="79">
        <v>30636.27</v>
      </c>
      <c r="AU151" s="79">
        <v>0</v>
      </c>
      <c r="AV151" s="79">
        <v>378</v>
      </c>
      <c r="AW151" s="79">
        <v>3752.2382080551401</v>
      </c>
      <c r="AX151" s="79">
        <v>4</v>
      </c>
      <c r="AY151" s="79">
        <v>4</v>
      </c>
      <c r="AZ151" s="79">
        <v>5900</v>
      </c>
      <c r="BA151" s="79">
        <v>1</v>
      </c>
      <c r="BB151" s="79">
        <v>0</v>
      </c>
      <c r="BC151" s="79">
        <v>0</v>
      </c>
      <c r="BD151" s="79">
        <v>0</v>
      </c>
      <c r="BE151" s="79">
        <v>0</v>
      </c>
      <c r="BF151" s="79">
        <v>0</v>
      </c>
      <c r="BG151" s="79">
        <v>0</v>
      </c>
      <c r="BH151" s="79">
        <v>0</v>
      </c>
      <c r="BI151" s="79">
        <v>0</v>
      </c>
      <c r="BJ151" s="79">
        <v>0</v>
      </c>
      <c r="BK151" s="79">
        <v>22</v>
      </c>
      <c r="BL151" s="79">
        <v>6828</v>
      </c>
      <c r="BM151" s="79">
        <v>235</v>
      </c>
      <c r="BN151" s="79">
        <v>27</v>
      </c>
      <c r="BO151">
        <v>11124</v>
      </c>
      <c r="BP151">
        <v>1434</v>
      </c>
      <c r="BQ151">
        <v>10027</v>
      </c>
      <c r="BR151">
        <v>1508</v>
      </c>
      <c r="BS151">
        <v>9986</v>
      </c>
      <c r="BT151">
        <v>1551</v>
      </c>
      <c r="BU151">
        <v>9958</v>
      </c>
      <c r="BV151">
        <v>1565</v>
      </c>
      <c r="BW151">
        <v>9873</v>
      </c>
      <c r="BX151">
        <v>1564</v>
      </c>
      <c r="BY151">
        <v>9761</v>
      </c>
      <c r="BZ151">
        <v>1549</v>
      </c>
      <c r="CA151">
        <v>9542</v>
      </c>
      <c r="CB151">
        <v>991.46812553706297</v>
      </c>
      <c r="CC151">
        <v>97.291062581458903</v>
      </c>
      <c r="CD151">
        <v>151.63684827499901</v>
      </c>
      <c r="CE151">
        <v>16138.0099101738</v>
      </c>
      <c r="CF151">
        <v>4010.1164868997898</v>
      </c>
      <c r="CG151">
        <v>329.65399263143001</v>
      </c>
      <c r="CH151">
        <v>534</v>
      </c>
      <c r="CI151">
        <v>258.51745048951</v>
      </c>
      <c r="CJ151">
        <v>214.981848107102</v>
      </c>
      <c r="CK151" s="81">
        <v>2138</v>
      </c>
      <c r="CL151">
        <v>536</v>
      </c>
      <c r="CM151">
        <v>6051.6041471189601</v>
      </c>
      <c r="CN151">
        <v>1.11688126583564</v>
      </c>
      <c r="CO151">
        <v>35802</v>
      </c>
      <c r="CP151">
        <v>5896</v>
      </c>
      <c r="CQ151">
        <v>1295</v>
      </c>
      <c r="CR151">
        <v>1343</v>
      </c>
      <c r="CS151">
        <v>1141</v>
      </c>
      <c r="CT151">
        <v>711</v>
      </c>
      <c r="CU151">
        <v>623.17459766729701</v>
      </c>
      <c r="CV151">
        <v>368.04272069607799</v>
      </c>
      <c r="CW151">
        <v>163.537534716538</v>
      </c>
      <c r="CX151">
        <v>1262.6054577760999</v>
      </c>
      <c r="CY151">
        <v>745.68628051448104</v>
      </c>
      <c r="CZ151">
        <v>331.34114364942099</v>
      </c>
      <c r="DA151">
        <v>68299</v>
      </c>
      <c r="DE151">
        <v>431</v>
      </c>
      <c r="DF151" t="s">
        <v>235</v>
      </c>
      <c r="DG151">
        <v>2104</v>
      </c>
      <c r="DH151">
        <v>2048</v>
      </c>
      <c r="DI151">
        <v>2009</v>
      </c>
      <c r="DJ151">
        <v>1973</v>
      </c>
      <c r="DK151">
        <v>1935</v>
      </c>
      <c r="DO151">
        <v>342</v>
      </c>
      <c r="DP151" t="s">
        <v>279</v>
      </c>
      <c r="DQ151">
        <v>20841</v>
      </c>
      <c r="DR151">
        <v>1</v>
      </c>
      <c r="DS151">
        <v>1470</v>
      </c>
      <c r="DV151">
        <v>164</v>
      </c>
      <c r="DW151" t="s">
        <v>146</v>
      </c>
      <c r="DX151">
        <v>12661.4882930514</v>
      </c>
      <c r="DY151">
        <v>2021</v>
      </c>
      <c r="DZ151">
        <v>1808</v>
      </c>
      <c r="EA151">
        <v>1159</v>
      </c>
      <c r="EB151">
        <v>5590</v>
      </c>
      <c r="EC151">
        <v>3504</v>
      </c>
      <c r="ED151">
        <v>1561</v>
      </c>
      <c r="EE151" s="82">
        <v>0.22890399763745201</v>
      </c>
      <c r="EF151" s="82">
        <v>0.52088851256685498</v>
      </c>
    </row>
    <row r="152" spans="1:136" x14ac:dyDescent="0.35">
      <c r="A152" s="72">
        <v>1904</v>
      </c>
      <c r="B152" s="72">
        <v>6</v>
      </c>
      <c r="D152" s="72" t="s">
        <v>288</v>
      </c>
      <c r="E152" s="79">
        <v>6480800000</v>
      </c>
      <c r="F152" s="79">
        <v>671300000</v>
      </c>
      <c r="G152" s="79">
        <v>717500000</v>
      </c>
      <c r="H152" s="79">
        <v>64513</v>
      </c>
      <c r="I152" s="79">
        <v>8</v>
      </c>
      <c r="J152" s="79">
        <v>717.5</v>
      </c>
      <c r="K152" s="79">
        <v>14951</v>
      </c>
      <c r="L152" s="79">
        <v>12676</v>
      </c>
      <c r="M152" s="79">
        <v>3729</v>
      </c>
      <c r="N152" s="79">
        <v>6710</v>
      </c>
      <c r="O152" s="79">
        <v>3855.8</v>
      </c>
      <c r="P152" s="79">
        <v>818</v>
      </c>
      <c r="Q152" s="79">
        <v>3278</v>
      </c>
      <c r="R152" s="79">
        <v>3455</v>
      </c>
      <c r="S152" s="79">
        <v>0</v>
      </c>
      <c r="T152" s="79">
        <v>1990</v>
      </c>
      <c r="U152" s="79">
        <v>28417</v>
      </c>
      <c r="V152" s="79">
        <v>51540</v>
      </c>
      <c r="W152" s="79">
        <v>16070</v>
      </c>
      <c r="X152" s="79">
        <v>201.96</v>
      </c>
      <c r="Y152" s="79">
        <v>3364.8</v>
      </c>
      <c r="Z152" s="79">
        <v>0</v>
      </c>
      <c r="AA152" s="79">
        <v>0</v>
      </c>
      <c r="AB152" s="79">
        <v>89.799999999999301</v>
      </c>
      <c r="AC152" s="79">
        <v>9619</v>
      </c>
      <c r="AD152" s="79">
        <v>13562.79</v>
      </c>
      <c r="AE152" s="79">
        <v>1063</v>
      </c>
      <c r="AF152" s="79">
        <v>0</v>
      </c>
      <c r="AG152" s="79">
        <v>329</v>
      </c>
      <c r="AH152" s="79">
        <v>314.39999999999998</v>
      </c>
      <c r="AI152" s="79">
        <v>99.83</v>
      </c>
      <c r="AJ152" s="79">
        <v>28542</v>
      </c>
      <c r="AK152" s="79">
        <v>34250.400000000001</v>
      </c>
      <c r="AL152" s="79">
        <v>0</v>
      </c>
      <c r="AM152" s="79">
        <v>0</v>
      </c>
      <c r="AN152" s="79">
        <v>0</v>
      </c>
      <c r="AO152" s="79">
        <v>0</v>
      </c>
      <c r="AP152" s="79">
        <v>1520</v>
      </c>
      <c r="AQ152" s="79">
        <v>0</v>
      </c>
      <c r="AR152" s="80">
        <v>4.9929200000000003E-4</v>
      </c>
      <c r="AS152" s="80">
        <v>5.8178600000000004E-4</v>
      </c>
      <c r="AT152" s="79">
        <v>33536.85</v>
      </c>
      <c r="AU152" s="79">
        <v>0</v>
      </c>
      <c r="AV152" s="79">
        <v>15116.61</v>
      </c>
      <c r="AW152" s="79">
        <v>171699.459164014</v>
      </c>
      <c r="AX152" s="79">
        <v>19</v>
      </c>
      <c r="AY152" s="79">
        <v>28.31</v>
      </c>
      <c r="AZ152" s="79">
        <v>7604</v>
      </c>
      <c r="BA152" s="79">
        <v>1</v>
      </c>
      <c r="BB152" s="79">
        <v>0</v>
      </c>
      <c r="BC152" s="79">
        <v>0</v>
      </c>
      <c r="BD152" s="79">
        <v>0</v>
      </c>
      <c r="BE152" s="79">
        <v>0</v>
      </c>
      <c r="BF152" s="79">
        <v>0</v>
      </c>
      <c r="BG152" s="79">
        <v>0</v>
      </c>
      <c r="BH152" s="79">
        <v>0</v>
      </c>
      <c r="BI152" s="79">
        <v>0</v>
      </c>
      <c r="BJ152" s="79">
        <v>0</v>
      </c>
      <c r="BK152" s="79">
        <v>25</v>
      </c>
      <c r="BL152" s="79">
        <v>8892</v>
      </c>
      <c r="BM152" s="79">
        <v>262</v>
      </c>
      <c r="BN152" s="79">
        <v>67</v>
      </c>
      <c r="BO152">
        <v>15365</v>
      </c>
      <c r="BP152">
        <v>3742</v>
      </c>
      <c r="BQ152">
        <v>13854</v>
      </c>
      <c r="BR152">
        <v>3746</v>
      </c>
      <c r="BS152">
        <v>13785</v>
      </c>
      <c r="BT152">
        <v>3862</v>
      </c>
      <c r="BU152">
        <v>13753</v>
      </c>
      <c r="BV152">
        <v>3939</v>
      </c>
      <c r="BW152">
        <v>13676</v>
      </c>
      <c r="BX152">
        <v>4024</v>
      </c>
      <c r="BY152">
        <v>13636</v>
      </c>
      <c r="BZ152">
        <v>4052</v>
      </c>
      <c r="CA152">
        <v>13516</v>
      </c>
      <c r="CB152">
        <v>1015.0227756076901</v>
      </c>
      <c r="CC152">
        <v>189.496286559944</v>
      </c>
      <c r="CD152">
        <v>107.531896591144</v>
      </c>
      <c r="CE152">
        <v>23151.9638804967</v>
      </c>
      <c r="CF152">
        <v>6143.4444603083402</v>
      </c>
      <c r="CG152">
        <v>367.09067234364602</v>
      </c>
      <c r="CH152">
        <v>676</v>
      </c>
      <c r="CI152">
        <v>218.68833440615199</v>
      </c>
      <c r="CJ152">
        <v>220.65793650596899</v>
      </c>
      <c r="CK152" s="81">
        <v>2460</v>
      </c>
      <c r="CL152">
        <v>431</v>
      </c>
      <c r="CM152">
        <v>8199.1258619128603</v>
      </c>
      <c r="CN152">
        <v>0.55915858140297403</v>
      </c>
      <c r="CO152">
        <v>51837</v>
      </c>
      <c r="CP152">
        <v>7684</v>
      </c>
      <c r="CQ152">
        <v>1263</v>
      </c>
      <c r="CR152">
        <v>1792</v>
      </c>
      <c r="CS152">
        <v>1315</v>
      </c>
      <c r="CT152">
        <v>655</v>
      </c>
      <c r="CU152">
        <v>669.24925838500701</v>
      </c>
      <c r="CV152">
        <v>361.508077399733</v>
      </c>
      <c r="CW152">
        <v>126.041493353494</v>
      </c>
      <c r="CX152">
        <v>1551.92605723714</v>
      </c>
      <c r="CY152">
        <v>838.30321541513604</v>
      </c>
      <c r="CZ152">
        <v>292.27836322209299</v>
      </c>
      <c r="DA152">
        <v>33031</v>
      </c>
      <c r="DE152">
        <v>432</v>
      </c>
      <c r="DF152" t="s">
        <v>236</v>
      </c>
      <c r="DG152">
        <v>2766</v>
      </c>
      <c r="DH152">
        <v>2754</v>
      </c>
      <c r="DI152">
        <v>2692</v>
      </c>
      <c r="DJ152">
        <v>2615</v>
      </c>
      <c r="DK152">
        <v>2569</v>
      </c>
      <c r="DO152">
        <v>1904</v>
      </c>
      <c r="DP152" t="s">
        <v>288</v>
      </c>
      <c r="DQ152">
        <v>28542</v>
      </c>
      <c r="DR152">
        <v>1.2</v>
      </c>
      <c r="DS152">
        <v>1175</v>
      </c>
      <c r="DV152">
        <v>252</v>
      </c>
      <c r="DW152" t="s">
        <v>148</v>
      </c>
      <c r="DX152">
        <v>1743.63038516405</v>
      </c>
      <c r="DY152">
        <v>410</v>
      </c>
      <c r="DZ152">
        <v>408</v>
      </c>
      <c r="EA152">
        <v>184</v>
      </c>
      <c r="EB152">
        <v>1304</v>
      </c>
      <c r="EC152">
        <v>878</v>
      </c>
      <c r="ED152">
        <v>270</v>
      </c>
      <c r="EE152" s="82">
        <v>0.13954257249128299</v>
      </c>
      <c r="EF152" s="82">
        <v>0.337414606567638</v>
      </c>
    </row>
    <row r="153" spans="1:136" x14ac:dyDescent="0.35">
      <c r="A153" s="72">
        <v>344</v>
      </c>
      <c r="B153" s="72">
        <v>6</v>
      </c>
      <c r="D153" s="72" t="s">
        <v>305</v>
      </c>
      <c r="E153" s="79">
        <v>30884400000</v>
      </c>
      <c r="F153" s="79">
        <v>7736400000</v>
      </c>
      <c r="G153" s="79">
        <v>7810950000</v>
      </c>
      <c r="H153" s="79">
        <v>347483</v>
      </c>
      <c r="I153" s="79">
        <v>2</v>
      </c>
      <c r="J153" s="79">
        <v>7810.95</v>
      </c>
      <c r="K153" s="79">
        <v>77273</v>
      </c>
      <c r="L153" s="79">
        <v>35728</v>
      </c>
      <c r="M153" s="79">
        <v>11149</v>
      </c>
      <c r="N153" s="79">
        <v>47451</v>
      </c>
      <c r="O153" s="79">
        <v>31659</v>
      </c>
      <c r="P153" s="79">
        <v>10246</v>
      </c>
      <c r="Q153" s="79">
        <v>25081</v>
      </c>
      <c r="R153" s="79">
        <v>58790</v>
      </c>
      <c r="S153" s="79">
        <v>0</v>
      </c>
      <c r="T153" s="79">
        <v>9896</v>
      </c>
      <c r="U153" s="79">
        <v>182147</v>
      </c>
      <c r="V153" s="79">
        <v>400150</v>
      </c>
      <c r="W153" s="79">
        <v>707830</v>
      </c>
      <c r="X153" s="79">
        <v>8381.4048000000003</v>
      </c>
      <c r="Y153" s="79">
        <v>10508.8</v>
      </c>
      <c r="Z153" s="79">
        <v>1077.7</v>
      </c>
      <c r="AA153" s="79">
        <v>6221.7999999999902</v>
      </c>
      <c r="AB153" s="79">
        <v>1928.1</v>
      </c>
      <c r="AC153" s="79">
        <v>9375</v>
      </c>
      <c r="AD153" s="79">
        <v>9656.25</v>
      </c>
      <c r="AE153" s="79">
        <v>546</v>
      </c>
      <c r="AF153" s="79">
        <v>0</v>
      </c>
      <c r="AG153" s="79">
        <v>1267</v>
      </c>
      <c r="AH153" s="79">
        <v>1176.6500000000001</v>
      </c>
      <c r="AI153" s="79">
        <v>108.12</v>
      </c>
      <c r="AJ153" s="79">
        <v>157920</v>
      </c>
      <c r="AK153" s="79">
        <v>159499.20000000001</v>
      </c>
      <c r="AL153" s="79">
        <v>0</v>
      </c>
      <c r="AM153" s="79">
        <v>0</v>
      </c>
      <c r="AN153" s="79">
        <v>132</v>
      </c>
      <c r="AO153" s="79">
        <v>14100</v>
      </c>
      <c r="AP153" s="79">
        <v>39725</v>
      </c>
      <c r="AQ153" s="79">
        <v>37288</v>
      </c>
      <c r="AR153" s="80">
        <v>2.9825601E-2</v>
      </c>
      <c r="AS153" s="80">
        <v>2.8403813E-2</v>
      </c>
      <c r="AT153" s="79">
        <v>528558.24</v>
      </c>
      <c r="AU153" s="79">
        <v>0</v>
      </c>
      <c r="AV153" s="79">
        <v>5275.66</v>
      </c>
      <c r="AW153" s="79">
        <v>200797.61005342199</v>
      </c>
      <c r="AX153" s="79">
        <v>5</v>
      </c>
      <c r="AY153" s="79">
        <v>5.3</v>
      </c>
      <c r="AZ153" s="79">
        <v>43046</v>
      </c>
      <c r="BA153" s="79">
        <v>1</v>
      </c>
      <c r="BB153" s="79">
        <v>0</v>
      </c>
      <c r="BC153" s="79">
        <v>0</v>
      </c>
      <c r="BD153" s="79">
        <v>0</v>
      </c>
      <c r="BE153" s="79">
        <v>1</v>
      </c>
      <c r="BF153" s="79">
        <v>0</v>
      </c>
      <c r="BG153" s="79">
        <v>0</v>
      </c>
      <c r="BH153" s="79">
        <v>0</v>
      </c>
      <c r="BI153" s="79">
        <v>0</v>
      </c>
      <c r="BJ153" s="79">
        <v>0</v>
      </c>
      <c r="BK153" s="79">
        <v>97</v>
      </c>
      <c r="BL153" s="79">
        <v>92623</v>
      </c>
      <c r="BM153" s="79">
        <v>1165</v>
      </c>
      <c r="BN153" s="79">
        <v>102</v>
      </c>
      <c r="BO153">
        <v>64592</v>
      </c>
      <c r="BP153">
        <v>10189</v>
      </c>
      <c r="BQ153">
        <v>57035</v>
      </c>
      <c r="BR153">
        <v>10064</v>
      </c>
      <c r="BS153">
        <v>58865</v>
      </c>
      <c r="BT153">
        <v>10169</v>
      </c>
      <c r="BU153">
        <v>60349</v>
      </c>
      <c r="BV153">
        <v>10412</v>
      </c>
      <c r="BW153">
        <v>61917</v>
      </c>
      <c r="BX153">
        <v>10729</v>
      </c>
      <c r="BY153">
        <v>63621</v>
      </c>
      <c r="BZ153">
        <v>11157</v>
      </c>
      <c r="CA153">
        <v>69485</v>
      </c>
      <c r="CB153">
        <v>10509.8514697353</v>
      </c>
      <c r="CC153">
        <v>922.19475121554501</v>
      </c>
      <c r="CD153">
        <v>2249.5511703838802</v>
      </c>
      <c r="CE153">
        <v>102995.750710454</v>
      </c>
      <c r="CF153">
        <v>26511.2899142637</v>
      </c>
      <c r="CG153">
        <v>3475.12403461863</v>
      </c>
      <c r="CH153">
        <v>3692</v>
      </c>
      <c r="CI153">
        <v>3163.0851219432702</v>
      </c>
      <c r="CJ153">
        <v>2451.7154327857802</v>
      </c>
      <c r="CK153" s="81">
        <v>14835</v>
      </c>
      <c r="CL153">
        <v>3867</v>
      </c>
      <c r="CM153">
        <v>25773.611256199001</v>
      </c>
      <c r="CN153">
        <v>22.394279203364398</v>
      </c>
      <c r="CO153">
        <v>311755</v>
      </c>
      <c r="CP153">
        <v>20329</v>
      </c>
      <c r="CQ153">
        <v>4250</v>
      </c>
      <c r="CR153">
        <v>6917</v>
      </c>
      <c r="CS153">
        <v>4487</v>
      </c>
      <c r="CT153">
        <v>2273</v>
      </c>
      <c r="CU153">
        <v>2835.3604801121501</v>
      </c>
      <c r="CV153">
        <v>1635.90055276215</v>
      </c>
      <c r="CW153">
        <v>606.24549896479698</v>
      </c>
      <c r="CX153">
        <v>5869.6449326092297</v>
      </c>
      <c r="CY153">
        <v>3386.5730502786801</v>
      </c>
      <c r="CZ153">
        <v>1255.0241303973901</v>
      </c>
      <c r="DA153">
        <v>199288.8</v>
      </c>
      <c r="DE153">
        <v>437</v>
      </c>
      <c r="DF153" t="s">
        <v>240</v>
      </c>
      <c r="DG153">
        <v>2931</v>
      </c>
      <c r="DH153">
        <v>2905</v>
      </c>
      <c r="DI153">
        <v>2856</v>
      </c>
      <c r="DJ153">
        <v>2905</v>
      </c>
      <c r="DK153">
        <v>2872</v>
      </c>
      <c r="DO153">
        <v>344</v>
      </c>
      <c r="DP153" t="s">
        <v>305</v>
      </c>
      <c r="DQ153">
        <v>157920</v>
      </c>
      <c r="DR153">
        <v>1.01</v>
      </c>
      <c r="DS153">
        <v>3347</v>
      </c>
      <c r="DV153">
        <v>797</v>
      </c>
      <c r="DW153" t="s">
        <v>149</v>
      </c>
      <c r="DX153">
        <v>4911.2051155927202</v>
      </c>
      <c r="DY153">
        <v>912</v>
      </c>
      <c r="DZ153">
        <v>895</v>
      </c>
      <c r="EA153">
        <v>441</v>
      </c>
      <c r="EB153">
        <v>3111</v>
      </c>
      <c r="EC153">
        <v>1930</v>
      </c>
      <c r="ED153">
        <v>622</v>
      </c>
      <c r="EE153" s="82">
        <v>0.16421374626601701</v>
      </c>
      <c r="EF153" s="82">
        <v>0.41502120714199497</v>
      </c>
    </row>
    <row r="154" spans="1:136" x14ac:dyDescent="0.35">
      <c r="A154" s="72">
        <v>1581</v>
      </c>
      <c r="B154" s="72">
        <v>6</v>
      </c>
      <c r="D154" s="72" t="s">
        <v>306</v>
      </c>
      <c r="E154" s="79">
        <v>5495600000</v>
      </c>
      <c r="F154" s="79">
        <v>608650000</v>
      </c>
      <c r="G154" s="79">
        <v>641900000</v>
      </c>
      <c r="H154" s="79">
        <v>49314</v>
      </c>
      <c r="I154" s="79">
        <v>6</v>
      </c>
      <c r="J154" s="79">
        <v>641.9</v>
      </c>
      <c r="K154" s="79">
        <v>11270</v>
      </c>
      <c r="L154" s="79">
        <v>11769</v>
      </c>
      <c r="M154" s="79">
        <v>3874</v>
      </c>
      <c r="N154" s="79">
        <v>5385</v>
      </c>
      <c r="O154" s="79">
        <v>2925.9</v>
      </c>
      <c r="P154" s="79">
        <v>621.66666666666697</v>
      </c>
      <c r="Q154" s="79">
        <v>2959.6666666666702</v>
      </c>
      <c r="R154" s="79">
        <v>2050</v>
      </c>
      <c r="S154" s="79">
        <v>0</v>
      </c>
      <c r="T154" s="79">
        <v>1186</v>
      </c>
      <c r="U154" s="79">
        <v>23130</v>
      </c>
      <c r="V154" s="79">
        <v>40220</v>
      </c>
      <c r="W154" s="79">
        <v>8150</v>
      </c>
      <c r="X154" s="79">
        <v>1078.309</v>
      </c>
      <c r="Y154" s="79">
        <v>1832</v>
      </c>
      <c r="Z154" s="79">
        <v>0</v>
      </c>
      <c r="AA154" s="79">
        <v>0</v>
      </c>
      <c r="AB154" s="79">
        <v>0</v>
      </c>
      <c r="AC154" s="79">
        <v>13205</v>
      </c>
      <c r="AD154" s="79">
        <v>13205</v>
      </c>
      <c r="AE154" s="79">
        <v>189</v>
      </c>
      <c r="AF154" s="79">
        <v>0</v>
      </c>
      <c r="AG154" s="79">
        <v>319</v>
      </c>
      <c r="AH154" s="79">
        <v>247</v>
      </c>
      <c r="AI154" s="79">
        <v>72</v>
      </c>
      <c r="AJ154" s="79">
        <v>24591</v>
      </c>
      <c r="AK154" s="79">
        <v>24591</v>
      </c>
      <c r="AL154" s="79">
        <v>0</v>
      </c>
      <c r="AM154" s="79">
        <v>0</v>
      </c>
      <c r="AN154" s="79">
        <v>0</v>
      </c>
      <c r="AO154" s="79">
        <v>0</v>
      </c>
      <c r="AP154" s="79">
        <v>1930</v>
      </c>
      <c r="AQ154" s="79">
        <v>0</v>
      </c>
      <c r="AR154" s="80">
        <v>5.9320800000000002E-4</v>
      </c>
      <c r="AS154" s="80">
        <v>4.0565300000000001E-4</v>
      </c>
      <c r="AT154" s="79">
        <v>19131.797999999999</v>
      </c>
      <c r="AU154" s="79">
        <v>0</v>
      </c>
      <c r="AV154" s="79">
        <v>1634</v>
      </c>
      <c r="AW154" s="79">
        <v>6016.0576377482503</v>
      </c>
      <c r="AX154" s="79">
        <v>18</v>
      </c>
      <c r="AY154" s="79">
        <v>18</v>
      </c>
      <c r="AZ154" s="79">
        <v>6760</v>
      </c>
      <c r="BA154" s="79">
        <v>1</v>
      </c>
      <c r="BB154" s="79">
        <v>0</v>
      </c>
      <c r="BC154" s="79">
        <v>0</v>
      </c>
      <c r="BD154" s="79">
        <v>0</v>
      </c>
      <c r="BE154" s="79">
        <v>0</v>
      </c>
      <c r="BF154" s="79">
        <v>0</v>
      </c>
      <c r="BG154" s="79">
        <v>0</v>
      </c>
      <c r="BH154" s="79">
        <v>0</v>
      </c>
      <c r="BI154" s="79">
        <v>0</v>
      </c>
      <c r="BJ154" s="79">
        <v>0</v>
      </c>
      <c r="BK154" s="79">
        <v>16</v>
      </c>
      <c r="BL154" s="79">
        <v>7559</v>
      </c>
      <c r="BM154" s="79">
        <v>247</v>
      </c>
      <c r="BN154" s="79">
        <v>72</v>
      </c>
      <c r="BO154">
        <v>12040</v>
      </c>
      <c r="BP154">
        <v>2361</v>
      </c>
      <c r="BQ154">
        <v>10682</v>
      </c>
      <c r="BR154">
        <v>2328</v>
      </c>
      <c r="BS154">
        <v>10552</v>
      </c>
      <c r="BT154">
        <v>2257</v>
      </c>
      <c r="BU154">
        <v>10497</v>
      </c>
      <c r="BV154">
        <v>2315</v>
      </c>
      <c r="BW154">
        <v>10254</v>
      </c>
      <c r="BX154">
        <v>2306</v>
      </c>
      <c r="BY154">
        <v>10038</v>
      </c>
      <c r="BZ154">
        <v>2375</v>
      </c>
      <c r="CA154">
        <v>9965</v>
      </c>
      <c r="CB154">
        <v>790.84954932210906</v>
      </c>
      <c r="CC154">
        <v>85.605751311319096</v>
      </c>
      <c r="CD154">
        <v>89.482986754042003</v>
      </c>
      <c r="CE154">
        <v>17709.634918887201</v>
      </c>
      <c r="CF154">
        <v>4571.5688942803399</v>
      </c>
      <c r="CG154">
        <v>346.16122950819698</v>
      </c>
      <c r="CH154">
        <v>431</v>
      </c>
      <c r="CI154">
        <v>176.72781665033099</v>
      </c>
      <c r="CJ154">
        <v>131.25954422380801</v>
      </c>
      <c r="CK154" s="81">
        <v>2338</v>
      </c>
      <c r="CL154">
        <v>886</v>
      </c>
      <c r="CM154">
        <v>6998.9564985774996</v>
      </c>
      <c r="CN154">
        <v>0.61178288707019901</v>
      </c>
      <c r="CO154">
        <v>37545</v>
      </c>
      <c r="CP154">
        <v>6152</v>
      </c>
      <c r="CQ154">
        <v>1743</v>
      </c>
      <c r="CR154">
        <v>1354</v>
      </c>
      <c r="CS154">
        <v>1330</v>
      </c>
      <c r="CT154">
        <v>811</v>
      </c>
      <c r="CU154">
        <v>454.51792420265502</v>
      </c>
      <c r="CV154">
        <v>317.091693193737</v>
      </c>
      <c r="CW154">
        <v>135.04655601309301</v>
      </c>
      <c r="CX154">
        <v>1109.32518532211</v>
      </c>
      <c r="CY154">
        <v>773.91403635691495</v>
      </c>
      <c r="CZ154">
        <v>329.60316370172501</v>
      </c>
      <c r="DA154">
        <v>200212.1</v>
      </c>
      <c r="DE154">
        <v>439</v>
      </c>
      <c r="DF154" t="s">
        <v>247</v>
      </c>
      <c r="DG154">
        <v>17009</v>
      </c>
      <c r="DH154">
        <v>16810</v>
      </c>
      <c r="DI154">
        <v>16546</v>
      </c>
      <c r="DJ154">
        <v>16190</v>
      </c>
      <c r="DK154">
        <v>16040</v>
      </c>
      <c r="DO154">
        <v>1581</v>
      </c>
      <c r="DP154" t="s">
        <v>306</v>
      </c>
      <c r="DQ154">
        <v>24591</v>
      </c>
      <c r="DR154">
        <v>1</v>
      </c>
      <c r="DS154">
        <v>778</v>
      </c>
      <c r="DV154">
        <v>534</v>
      </c>
      <c r="DW154" t="s">
        <v>150</v>
      </c>
      <c r="DX154">
        <v>2916.9316040232902</v>
      </c>
      <c r="DY154">
        <v>547</v>
      </c>
      <c r="DZ154">
        <v>459</v>
      </c>
      <c r="EA154">
        <v>270</v>
      </c>
      <c r="EB154">
        <v>1597</v>
      </c>
      <c r="EC154">
        <v>939</v>
      </c>
      <c r="ED154">
        <v>374</v>
      </c>
      <c r="EE154" s="82">
        <v>0.196798087507458</v>
      </c>
      <c r="EF154" s="82">
        <v>0.418704494192155</v>
      </c>
    </row>
    <row r="155" spans="1:136" x14ac:dyDescent="0.35">
      <c r="A155" s="72">
        <v>345</v>
      </c>
      <c r="B155" s="72">
        <v>6</v>
      </c>
      <c r="D155" s="72" t="s">
        <v>311</v>
      </c>
      <c r="E155" s="79">
        <v>4807600000</v>
      </c>
      <c r="F155" s="79">
        <v>1013600000</v>
      </c>
      <c r="G155" s="79">
        <v>1021650000</v>
      </c>
      <c r="H155" s="79">
        <v>64918</v>
      </c>
      <c r="I155" s="79">
        <v>1</v>
      </c>
      <c r="J155" s="79">
        <v>1021.65</v>
      </c>
      <c r="K155" s="79">
        <v>16556</v>
      </c>
      <c r="L155" s="79">
        <v>11392</v>
      </c>
      <c r="M155" s="79">
        <v>3486</v>
      </c>
      <c r="N155" s="79">
        <v>8223</v>
      </c>
      <c r="O155" s="79">
        <v>5459.3</v>
      </c>
      <c r="P155" s="79">
        <v>1313.6666666666699</v>
      </c>
      <c r="Q155" s="79">
        <v>4564.6666666666697</v>
      </c>
      <c r="R155" s="79">
        <v>5625</v>
      </c>
      <c r="S155" s="79">
        <v>0</v>
      </c>
      <c r="T155" s="79">
        <v>1834</v>
      </c>
      <c r="U155" s="79">
        <v>27954</v>
      </c>
      <c r="V155" s="79">
        <v>74680</v>
      </c>
      <c r="W155" s="79">
        <v>78590</v>
      </c>
      <c r="X155" s="79">
        <v>1053.46</v>
      </c>
      <c r="Y155" s="79">
        <v>4905.6000000000004</v>
      </c>
      <c r="Z155" s="79">
        <v>0</v>
      </c>
      <c r="AA155" s="79">
        <v>0</v>
      </c>
      <c r="AB155" s="79">
        <v>0</v>
      </c>
      <c r="AC155" s="79">
        <v>1942</v>
      </c>
      <c r="AD155" s="79">
        <v>1942</v>
      </c>
      <c r="AE155" s="79">
        <v>30</v>
      </c>
      <c r="AF155" s="79">
        <v>0</v>
      </c>
      <c r="AG155" s="79">
        <v>340</v>
      </c>
      <c r="AH155" s="79">
        <v>335</v>
      </c>
      <c r="AI155" s="79">
        <v>6</v>
      </c>
      <c r="AJ155" s="79">
        <v>27637</v>
      </c>
      <c r="AK155" s="79">
        <v>27637</v>
      </c>
      <c r="AL155" s="79">
        <v>0</v>
      </c>
      <c r="AM155" s="79">
        <v>0</v>
      </c>
      <c r="AN155" s="79">
        <v>0</v>
      </c>
      <c r="AO155" s="79">
        <v>0</v>
      </c>
      <c r="AP155" s="79">
        <v>2384</v>
      </c>
      <c r="AQ155" s="79">
        <v>0</v>
      </c>
      <c r="AR155" s="80">
        <v>5.5279000000000005E-4</v>
      </c>
      <c r="AS155" s="80">
        <v>1.4079470000000001E-3</v>
      </c>
      <c r="AT155" s="79">
        <v>60442.118999999999</v>
      </c>
      <c r="AU155" s="79">
        <v>0</v>
      </c>
      <c r="AV155" s="79">
        <v>859</v>
      </c>
      <c r="AW155" s="79">
        <v>28278.175456389501</v>
      </c>
      <c r="AX155" s="79">
        <v>2</v>
      </c>
      <c r="AY155" s="79">
        <v>2</v>
      </c>
      <c r="AZ155" s="79">
        <v>6084</v>
      </c>
      <c r="BA155" s="79">
        <v>1</v>
      </c>
      <c r="BB155" s="79">
        <v>0</v>
      </c>
      <c r="BC155" s="79">
        <v>0</v>
      </c>
      <c r="BD155" s="79">
        <v>0</v>
      </c>
      <c r="BE155" s="79">
        <v>0</v>
      </c>
      <c r="BF155" s="79">
        <v>0</v>
      </c>
      <c r="BG155" s="79">
        <v>0</v>
      </c>
      <c r="BH155" s="79">
        <v>0</v>
      </c>
      <c r="BI155" s="79">
        <v>0</v>
      </c>
      <c r="BJ155" s="79">
        <v>0</v>
      </c>
      <c r="BK155" s="79">
        <v>37</v>
      </c>
      <c r="BL155" s="79">
        <v>8828</v>
      </c>
      <c r="BM155" s="79">
        <v>335</v>
      </c>
      <c r="BN155" s="79">
        <v>6</v>
      </c>
      <c r="BO155">
        <v>17000</v>
      </c>
      <c r="BP155">
        <v>6046</v>
      </c>
      <c r="BQ155">
        <v>15365</v>
      </c>
      <c r="BR155">
        <v>6018</v>
      </c>
      <c r="BS155">
        <v>15199</v>
      </c>
      <c r="BT155">
        <v>5962</v>
      </c>
      <c r="BU155">
        <v>15166</v>
      </c>
      <c r="BV155">
        <v>6042</v>
      </c>
      <c r="BW155">
        <v>15228</v>
      </c>
      <c r="BX155">
        <v>6130</v>
      </c>
      <c r="BY155">
        <v>15070</v>
      </c>
      <c r="BZ155">
        <v>6162</v>
      </c>
      <c r="CA155">
        <v>14867</v>
      </c>
      <c r="CB155">
        <v>1690.6424425590301</v>
      </c>
      <c r="CC155">
        <v>312.83743544359999</v>
      </c>
      <c r="CD155">
        <v>239.47052624164101</v>
      </c>
      <c r="CE155">
        <v>17369.148856957101</v>
      </c>
      <c r="CF155">
        <v>4683.6985342996404</v>
      </c>
      <c r="CG155">
        <v>718.55604904471102</v>
      </c>
      <c r="CH155">
        <v>769</v>
      </c>
      <c r="CI155">
        <v>518.98053961949699</v>
      </c>
      <c r="CJ155">
        <v>416.83774179182302</v>
      </c>
      <c r="CK155" s="81">
        <v>3251</v>
      </c>
      <c r="CL155">
        <v>930</v>
      </c>
      <c r="CM155">
        <v>9355.8988253729494</v>
      </c>
      <c r="CN155">
        <v>2.7631334761186399</v>
      </c>
      <c r="CO155">
        <v>53526</v>
      </c>
      <c r="CP155">
        <v>6665</v>
      </c>
      <c r="CQ155">
        <v>1241</v>
      </c>
      <c r="CR155">
        <v>1315</v>
      </c>
      <c r="CS155">
        <v>1247</v>
      </c>
      <c r="CT155">
        <v>684</v>
      </c>
      <c r="CU155">
        <v>822.66296555565998</v>
      </c>
      <c r="CV155">
        <v>484.51194586027202</v>
      </c>
      <c r="CW155">
        <v>178.75389767775999</v>
      </c>
      <c r="CX155">
        <v>1971.66695644075</v>
      </c>
      <c r="CY155">
        <v>1161.2242602999199</v>
      </c>
      <c r="CZ155">
        <v>428.41742991089399</v>
      </c>
      <c r="DA155">
        <v>34126</v>
      </c>
      <c r="DE155">
        <v>441</v>
      </c>
      <c r="DF155" t="s">
        <v>265</v>
      </c>
      <c r="DG155">
        <v>10344</v>
      </c>
      <c r="DH155">
        <v>10284</v>
      </c>
      <c r="DI155">
        <v>10261</v>
      </c>
      <c r="DJ155">
        <v>10108</v>
      </c>
      <c r="DK155">
        <v>9950</v>
      </c>
      <c r="DO155">
        <v>345</v>
      </c>
      <c r="DP155" t="s">
        <v>311</v>
      </c>
      <c r="DQ155">
        <v>27637</v>
      </c>
      <c r="DR155">
        <v>1</v>
      </c>
      <c r="DS155">
        <v>2187</v>
      </c>
      <c r="DV155">
        <v>798</v>
      </c>
      <c r="DW155" t="s">
        <v>151</v>
      </c>
      <c r="DX155">
        <v>1552.84720025308</v>
      </c>
      <c r="DY155">
        <v>336</v>
      </c>
      <c r="DZ155">
        <v>341</v>
      </c>
      <c r="EA155">
        <v>133</v>
      </c>
      <c r="EB155">
        <v>1161</v>
      </c>
      <c r="EC155">
        <v>747</v>
      </c>
      <c r="ED155">
        <v>209</v>
      </c>
      <c r="EE155" s="82">
        <v>0.12521351707803999</v>
      </c>
      <c r="EF155" s="82">
        <v>0.37291119083034402</v>
      </c>
    </row>
    <row r="156" spans="1:136" x14ac:dyDescent="0.35">
      <c r="A156" s="72">
        <v>620</v>
      </c>
      <c r="B156" s="72">
        <v>6</v>
      </c>
      <c r="D156" s="72" t="s">
        <v>810</v>
      </c>
      <c r="E156" s="79">
        <v>1645200000</v>
      </c>
      <c r="F156" s="79">
        <v>366800000</v>
      </c>
      <c r="G156" s="79">
        <v>381850000</v>
      </c>
      <c r="H156" s="79">
        <v>19967</v>
      </c>
      <c r="I156" s="79">
        <v>1</v>
      </c>
      <c r="J156" s="79">
        <v>381.85</v>
      </c>
      <c r="K156" s="79">
        <v>4630</v>
      </c>
      <c r="L156" s="79">
        <v>4041</v>
      </c>
      <c r="M156" s="79">
        <v>1181</v>
      </c>
      <c r="N156" s="79">
        <v>2258</v>
      </c>
      <c r="O156" s="79">
        <v>1407.2</v>
      </c>
      <c r="P156" s="79">
        <v>271.33333333333297</v>
      </c>
      <c r="Q156" s="79">
        <v>1094.3333333333301</v>
      </c>
      <c r="R156" s="79">
        <v>1480</v>
      </c>
      <c r="S156" s="79">
        <v>0</v>
      </c>
      <c r="T156" s="79">
        <v>623</v>
      </c>
      <c r="U156" s="79">
        <v>8520</v>
      </c>
      <c r="V156" s="79">
        <v>16880</v>
      </c>
      <c r="W156" s="79">
        <v>4030</v>
      </c>
      <c r="X156" s="79">
        <v>164.34</v>
      </c>
      <c r="Y156" s="79">
        <v>578.4</v>
      </c>
      <c r="Z156" s="79">
        <v>0</v>
      </c>
      <c r="AA156" s="79">
        <v>0</v>
      </c>
      <c r="AB156" s="79">
        <v>56.4</v>
      </c>
      <c r="AC156" s="79">
        <v>3914</v>
      </c>
      <c r="AD156" s="79">
        <v>4775.08</v>
      </c>
      <c r="AE156" s="79">
        <v>325</v>
      </c>
      <c r="AF156" s="79">
        <v>0</v>
      </c>
      <c r="AG156" s="79">
        <v>149</v>
      </c>
      <c r="AH156" s="79">
        <v>135.69999999999999</v>
      </c>
      <c r="AI156" s="79">
        <v>38.44</v>
      </c>
      <c r="AJ156" s="79">
        <v>8508</v>
      </c>
      <c r="AK156" s="79">
        <v>9784.2000000000007</v>
      </c>
      <c r="AL156" s="79">
        <v>12</v>
      </c>
      <c r="AM156" s="79">
        <v>0</v>
      </c>
      <c r="AN156" s="79">
        <v>0</v>
      </c>
      <c r="AO156" s="79">
        <v>2200</v>
      </c>
      <c r="AP156" s="79">
        <v>590</v>
      </c>
      <c r="AQ156" s="79">
        <v>590</v>
      </c>
      <c r="AR156" s="80">
        <v>1.6234800000000001E-4</v>
      </c>
      <c r="AS156" s="80">
        <v>1.5693E-4</v>
      </c>
      <c r="AT156" s="79">
        <v>7691.232</v>
      </c>
      <c r="AU156" s="79">
        <v>0</v>
      </c>
      <c r="AV156" s="79">
        <v>1570.14</v>
      </c>
      <c r="AW156" s="79">
        <v>11544.873238971501</v>
      </c>
      <c r="AX156" s="79">
        <v>4</v>
      </c>
      <c r="AY156" s="79">
        <v>4.96</v>
      </c>
      <c r="AZ156" s="79">
        <v>2192</v>
      </c>
      <c r="BA156" s="79">
        <v>1</v>
      </c>
      <c r="BB156" s="79">
        <v>0</v>
      </c>
      <c r="BC156" s="79">
        <v>0</v>
      </c>
      <c r="BD156" s="79">
        <v>0</v>
      </c>
      <c r="BE156" s="79">
        <v>0</v>
      </c>
      <c r="BF156" s="79">
        <v>0</v>
      </c>
      <c r="BG156" s="79">
        <v>0</v>
      </c>
      <c r="BH156" s="79">
        <v>0</v>
      </c>
      <c r="BI156" s="79">
        <v>0</v>
      </c>
      <c r="BJ156" s="79">
        <v>0</v>
      </c>
      <c r="BK156" s="79">
        <v>4</v>
      </c>
      <c r="BL156" s="79">
        <v>2318</v>
      </c>
      <c r="BM156" s="79">
        <v>118</v>
      </c>
      <c r="BN156" s="79">
        <v>31</v>
      </c>
      <c r="BO156">
        <v>5012</v>
      </c>
      <c r="BP156">
        <v>606</v>
      </c>
      <c r="BQ156">
        <v>4463</v>
      </c>
      <c r="BR156">
        <v>601</v>
      </c>
      <c r="BS156">
        <v>4397</v>
      </c>
      <c r="BT156">
        <v>593</v>
      </c>
      <c r="BU156">
        <v>4342</v>
      </c>
      <c r="BV156">
        <v>580</v>
      </c>
      <c r="BW156">
        <v>4312</v>
      </c>
      <c r="BX156">
        <v>594</v>
      </c>
      <c r="BY156">
        <v>4256</v>
      </c>
      <c r="BZ156">
        <v>628</v>
      </c>
      <c r="CA156">
        <v>4137</v>
      </c>
      <c r="CB156">
        <v>377.20767400054802</v>
      </c>
      <c r="CC156">
        <v>35.918681590627401</v>
      </c>
      <c r="CD156">
        <v>54.783152919846202</v>
      </c>
      <c r="CE156">
        <v>5932.42174061284</v>
      </c>
      <c r="CF156">
        <v>1569.5453786912401</v>
      </c>
      <c r="CG156">
        <v>137.710291795188</v>
      </c>
      <c r="CH156">
        <v>266</v>
      </c>
      <c r="CI156">
        <v>101.36117739688</v>
      </c>
      <c r="CJ156">
        <v>76.272437859780396</v>
      </c>
      <c r="CK156" s="81">
        <v>823</v>
      </c>
      <c r="CL156">
        <v>163</v>
      </c>
      <c r="CM156">
        <v>2949.5044062932402</v>
      </c>
      <c r="CN156">
        <v>0.30808349360093601</v>
      </c>
      <c r="CO156">
        <v>15926</v>
      </c>
      <c r="CP156">
        <v>2434</v>
      </c>
      <c r="CQ156">
        <v>426</v>
      </c>
      <c r="CR156">
        <v>505</v>
      </c>
      <c r="CS156">
        <v>348</v>
      </c>
      <c r="CT156">
        <v>178</v>
      </c>
      <c r="CU156">
        <v>254.91553121202099</v>
      </c>
      <c r="CV156">
        <v>131.67603039894101</v>
      </c>
      <c r="CW156">
        <v>42.5134922267939</v>
      </c>
      <c r="CX156">
        <v>628.32430148727894</v>
      </c>
      <c r="CY156">
        <v>324.559470463254</v>
      </c>
      <c r="CZ156">
        <v>104.788673252583</v>
      </c>
      <c r="DA156">
        <v>0</v>
      </c>
      <c r="DE156">
        <v>448</v>
      </c>
      <c r="DF156" t="s">
        <v>292</v>
      </c>
      <c r="DG156">
        <v>2996</v>
      </c>
      <c r="DH156">
        <v>2959</v>
      </c>
      <c r="DI156">
        <v>2901</v>
      </c>
      <c r="DJ156">
        <v>2828</v>
      </c>
      <c r="DK156">
        <v>2748</v>
      </c>
      <c r="DO156">
        <v>620</v>
      </c>
      <c r="DP156" t="s">
        <v>810</v>
      </c>
      <c r="DQ156">
        <v>8508</v>
      </c>
      <c r="DR156">
        <v>1.1499999999999999</v>
      </c>
      <c r="DS156">
        <v>904</v>
      </c>
      <c r="DV156">
        <v>402</v>
      </c>
      <c r="DW156" t="s">
        <v>152</v>
      </c>
      <c r="DX156">
        <v>13659.7081421609</v>
      </c>
      <c r="DY156">
        <v>2597</v>
      </c>
      <c r="DZ156">
        <v>2106</v>
      </c>
      <c r="EA156">
        <v>1290</v>
      </c>
      <c r="EB156">
        <v>6033</v>
      </c>
      <c r="EC156">
        <v>3903</v>
      </c>
      <c r="ED156">
        <v>1742</v>
      </c>
      <c r="EE156" s="82">
        <v>0.222292148789867</v>
      </c>
      <c r="EF156" s="82">
        <v>0.376279479847973</v>
      </c>
    </row>
    <row r="157" spans="1:136" x14ac:dyDescent="0.35">
      <c r="A157" s="72">
        <v>352</v>
      </c>
      <c r="B157" s="72">
        <v>6</v>
      </c>
      <c r="D157" s="72" t="s">
        <v>346</v>
      </c>
      <c r="E157" s="79">
        <v>2015600000</v>
      </c>
      <c r="F157" s="79">
        <v>188650000</v>
      </c>
      <c r="G157" s="79">
        <v>215950000</v>
      </c>
      <c r="H157" s="79">
        <v>23678</v>
      </c>
      <c r="I157" s="79">
        <v>3</v>
      </c>
      <c r="J157" s="79">
        <v>215.95</v>
      </c>
      <c r="K157" s="79">
        <v>5522</v>
      </c>
      <c r="L157" s="79">
        <v>4386</v>
      </c>
      <c r="M157" s="79">
        <v>1185</v>
      </c>
      <c r="N157" s="79">
        <v>2261</v>
      </c>
      <c r="O157" s="79">
        <v>1255.0999999999999</v>
      </c>
      <c r="P157" s="79">
        <v>268</v>
      </c>
      <c r="Q157" s="79">
        <v>1260</v>
      </c>
      <c r="R157" s="79">
        <v>690</v>
      </c>
      <c r="S157" s="79">
        <v>0</v>
      </c>
      <c r="T157" s="79">
        <v>694</v>
      </c>
      <c r="U157" s="79">
        <v>10079</v>
      </c>
      <c r="V157" s="79">
        <v>22880</v>
      </c>
      <c r="W157" s="79">
        <v>7120</v>
      </c>
      <c r="X157" s="79">
        <v>100.98</v>
      </c>
      <c r="Y157" s="79">
        <v>660</v>
      </c>
      <c r="Z157" s="79">
        <v>0</v>
      </c>
      <c r="AA157" s="79">
        <v>0</v>
      </c>
      <c r="AB157" s="79">
        <v>0</v>
      </c>
      <c r="AC157" s="79">
        <v>4764</v>
      </c>
      <c r="AD157" s="79">
        <v>5097.4799999999996</v>
      </c>
      <c r="AE157" s="79">
        <v>277</v>
      </c>
      <c r="AF157" s="79">
        <v>0</v>
      </c>
      <c r="AG157" s="79">
        <v>137</v>
      </c>
      <c r="AH157" s="79">
        <v>107.67</v>
      </c>
      <c r="AI157" s="79">
        <v>42.4</v>
      </c>
      <c r="AJ157" s="79">
        <v>10059</v>
      </c>
      <c r="AK157" s="79">
        <v>11165.49</v>
      </c>
      <c r="AL157" s="79">
        <v>13</v>
      </c>
      <c r="AM157" s="79">
        <v>0</v>
      </c>
      <c r="AN157" s="79">
        <v>0</v>
      </c>
      <c r="AO157" s="79">
        <v>1250</v>
      </c>
      <c r="AP157" s="79">
        <v>591</v>
      </c>
      <c r="AQ157" s="79">
        <v>591</v>
      </c>
      <c r="AR157" s="80">
        <v>1.3178800000000001E-4</v>
      </c>
      <c r="AS157" s="80">
        <v>1.0825E-4</v>
      </c>
      <c r="AT157" s="79">
        <v>11306.316000000001</v>
      </c>
      <c r="AU157" s="79">
        <v>0</v>
      </c>
      <c r="AV157" s="79">
        <v>1367.46</v>
      </c>
      <c r="AW157" s="79">
        <v>8141.9252529260102</v>
      </c>
      <c r="AX157" s="79">
        <v>4</v>
      </c>
      <c r="AY157" s="79">
        <v>4.24</v>
      </c>
      <c r="AZ157" s="79">
        <v>2659</v>
      </c>
      <c r="BA157" s="79">
        <v>1</v>
      </c>
      <c r="BB157" s="79">
        <v>0</v>
      </c>
      <c r="BC157" s="79">
        <v>0</v>
      </c>
      <c r="BD157" s="79">
        <v>0</v>
      </c>
      <c r="BE157" s="79">
        <v>0</v>
      </c>
      <c r="BF157" s="79">
        <v>0</v>
      </c>
      <c r="BG157" s="79">
        <v>0</v>
      </c>
      <c r="BH157" s="79">
        <v>0</v>
      </c>
      <c r="BI157" s="79">
        <v>0</v>
      </c>
      <c r="BJ157" s="79">
        <v>0</v>
      </c>
      <c r="BK157" s="79">
        <v>5</v>
      </c>
      <c r="BL157" s="79">
        <v>2663</v>
      </c>
      <c r="BM157" s="79">
        <v>97</v>
      </c>
      <c r="BN157" s="79">
        <v>40</v>
      </c>
      <c r="BO157">
        <v>6357</v>
      </c>
      <c r="BP157">
        <v>816</v>
      </c>
      <c r="BQ157">
        <v>5571</v>
      </c>
      <c r="BR157">
        <v>774</v>
      </c>
      <c r="BS157">
        <v>5438</v>
      </c>
      <c r="BT157">
        <v>877</v>
      </c>
      <c r="BU157">
        <v>5282</v>
      </c>
      <c r="BV157">
        <v>906</v>
      </c>
      <c r="BW157">
        <v>5186</v>
      </c>
      <c r="BX157">
        <v>915</v>
      </c>
      <c r="BY157">
        <v>5093</v>
      </c>
      <c r="BZ157">
        <v>913</v>
      </c>
      <c r="CA157">
        <v>4943</v>
      </c>
      <c r="CB157">
        <v>353.77302817774398</v>
      </c>
      <c r="CC157">
        <v>64.826332024782502</v>
      </c>
      <c r="CD157">
        <v>55.756122937910703</v>
      </c>
      <c r="CE157">
        <v>7664.5804966209698</v>
      </c>
      <c r="CF157">
        <v>1956.3223590637999</v>
      </c>
      <c r="CG157">
        <v>198.98809947644</v>
      </c>
      <c r="CH157">
        <v>277</v>
      </c>
      <c r="CI157">
        <v>90.000598756329694</v>
      </c>
      <c r="CJ157">
        <v>77.691459959497195</v>
      </c>
      <c r="CK157" s="81">
        <v>992</v>
      </c>
      <c r="CL157">
        <v>219</v>
      </c>
      <c r="CM157">
        <v>3232.0510502908</v>
      </c>
      <c r="CN157">
        <v>0.116312630070933</v>
      </c>
      <c r="CO157">
        <v>19292</v>
      </c>
      <c r="CP157">
        <v>2858</v>
      </c>
      <c r="CQ157">
        <v>343</v>
      </c>
      <c r="CR157">
        <v>570</v>
      </c>
      <c r="CS157">
        <v>365</v>
      </c>
      <c r="CT157">
        <v>168</v>
      </c>
      <c r="CU157">
        <v>226.718779647688</v>
      </c>
      <c r="CV157">
        <v>102.566228327132</v>
      </c>
      <c r="CW157">
        <v>30.3206733375829</v>
      </c>
      <c r="CX157">
        <v>653.537631821334</v>
      </c>
      <c r="CY157">
        <v>295.656540097488</v>
      </c>
      <c r="CZ157">
        <v>87.402115868235597</v>
      </c>
      <c r="DA157">
        <v>0</v>
      </c>
      <c r="DE157">
        <v>450</v>
      </c>
      <c r="DF157" t="s">
        <v>302</v>
      </c>
      <c r="DG157">
        <v>3002</v>
      </c>
      <c r="DH157">
        <v>3052</v>
      </c>
      <c r="DI157">
        <v>3059</v>
      </c>
      <c r="DJ157">
        <v>3055</v>
      </c>
      <c r="DK157">
        <v>3068</v>
      </c>
      <c r="DO157">
        <v>352</v>
      </c>
      <c r="DP157" t="s">
        <v>346</v>
      </c>
      <c r="DQ157">
        <v>10059</v>
      </c>
      <c r="DR157">
        <v>1.1100000000000001</v>
      </c>
      <c r="DS157">
        <v>1124</v>
      </c>
      <c r="DV157">
        <v>1735</v>
      </c>
      <c r="DW157" t="s">
        <v>154</v>
      </c>
      <c r="DX157">
        <v>4065.8927307378199</v>
      </c>
      <c r="DY157">
        <v>787</v>
      </c>
      <c r="DZ157">
        <v>955</v>
      </c>
      <c r="EA157">
        <v>514</v>
      </c>
      <c r="EB157">
        <v>2791</v>
      </c>
      <c r="EC157">
        <v>1972</v>
      </c>
      <c r="ED157">
        <v>706</v>
      </c>
      <c r="EE157" s="82">
        <v>0.16048387025035701</v>
      </c>
      <c r="EF157" s="82">
        <v>0.42615606722440202</v>
      </c>
    </row>
    <row r="158" spans="1:136" x14ac:dyDescent="0.35">
      <c r="A158" s="72">
        <v>632</v>
      </c>
      <c r="B158" s="72">
        <v>6</v>
      </c>
      <c r="D158" s="72" t="s">
        <v>349</v>
      </c>
      <c r="E158" s="79">
        <v>4549600000</v>
      </c>
      <c r="F158" s="79">
        <v>723800000</v>
      </c>
      <c r="G158" s="79">
        <v>757750000</v>
      </c>
      <c r="H158" s="79">
        <v>51758</v>
      </c>
      <c r="I158" s="79">
        <v>4</v>
      </c>
      <c r="J158" s="79">
        <v>757.75</v>
      </c>
      <c r="K158" s="79">
        <v>13006</v>
      </c>
      <c r="L158" s="79">
        <v>9390</v>
      </c>
      <c r="M158" s="79">
        <v>2817</v>
      </c>
      <c r="N158" s="79">
        <v>5266</v>
      </c>
      <c r="O158" s="79">
        <v>3081.3</v>
      </c>
      <c r="P158" s="79">
        <v>556.66666666666697</v>
      </c>
      <c r="Q158" s="79">
        <v>2738.6666666666702</v>
      </c>
      <c r="R158" s="79">
        <v>2725</v>
      </c>
      <c r="S158" s="79">
        <v>0</v>
      </c>
      <c r="T158" s="79">
        <v>1404</v>
      </c>
      <c r="U158" s="79">
        <v>22197</v>
      </c>
      <c r="V158" s="79">
        <v>49930</v>
      </c>
      <c r="W158" s="79">
        <v>21350</v>
      </c>
      <c r="X158" s="79">
        <v>821.7</v>
      </c>
      <c r="Y158" s="79">
        <v>4387.2</v>
      </c>
      <c r="Z158" s="79">
        <v>0</v>
      </c>
      <c r="AA158" s="79">
        <v>0</v>
      </c>
      <c r="AB158" s="79">
        <v>0</v>
      </c>
      <c r="AC158" s="79">
        <v>8898</v>
      </c>
      <c r="AD158" s="79">
        <v>14503.74</v>
      </c>
      <c r="AE158" s="79">
        <v>395</v>
      </c>
      <c r="AF158" s="79">
        <v>0</v>
      </c>
      <c r="AG158" s="79">
        <v>322</v>
      </c>
      <c r="AH158" s="79">
        <v>353.46</v>
      </c>
      <c r="AI158" s="79">
        <v>109.85</v>
      </c>
      <c r="AJ158" s="79">
        <v>21847</v>
      </c>
      <c r="AK158" s="79">
        <v>29930.39</v>
      </c>
      <c r="AL158" s="79">
        <v>9</v>
      </c>
      <c r="AM158" s="79">
        <v>0</v>
      </c>
      <c r="AN158" s="79">
        <v>0</v>
      </c>
      <c r="AO158" s="79">
        <v>3900</v>
      </c>
      <c r="AP158" s="79">
        <v>1651</v>
      </c>
      <c r="AQ158" s="79">
        <v>1651</v>
      </c>
      <c r="AR158" s="80">
        <v>3.46795E-4</v>
      </c>
      <c r="AS158" s="80">
        <v>3.0283399999999998E-4</v>
      </c>
      <c r="AT158" s="79">
        <v>29384.215</v>
      </c>
      <c r="AU158" s="79">
        <v>0</v>
      </c>
      <c r="AV158" s="79">
        <v>15561.61</v>
      </c>
      <c r="AW158" s="79">
        <v>224136.53470999701</v>
      </c>
      <c r="AX158" s="79">
        <v>9</v>
      </c>
      <c r="AY158" s="79">
        <v>15.21</v>
      </c>
      <c r="AZ158" s="79">
        <v>6159</v>
      </c>
      <c r="BA158" s="79">
        <v>1</v>
      </c>
      <c r="BB158" s="79">
        <v>0</v>
      </c>
      <c r="BC158" s="79">
        <v>0</v>
      </c>
      <c r="BD158" s="79">
        <v>0</v>
      </c>
      <c r="BE158" s="79">
        <v>0</v>
      </c>
      <c r="BF158" s="79">
        <v>0</v>
      </c>
      <c r="BG158" s="79">
        <v>0</v>
      </c>
      <c r="BH158" s="79">
        <v>0</v>
      </c>
      <c r="BI158" s="79">
        <v>0</v>
      </c>
      <c r="BJ158" s="79">
        <v>0</v>
      </c>
      <c r="BK158" s="79">
        <v>18</v>
      </c>
      <c r="BL158" s="79">
        <v>6683</v>
      </c>
      <c r="BM158" s="79">
        <v>258</v>
      </c>
      <c r="BN158" s="79">
        <v>65</v>
      </c>
      <c r="BO158">
        <v>12970</v>
      </c>
      <c r="BP158">
        <v>5026</v>
      </c>
      <c r="BQ158">
        <v>11850</v>
      </c>
      <c r="BR158">
        <v>5114</v>
      </c>
      <c r="BS158">
        <v>11831</v>
      </c>
      <c r="BT158">
        <v>5183</v>
      </c>
      <c r="BU158">
        <v>11867</v>
      </c>
      <c r="BV158">
        <v>5285</v>
      </c>
      <c r="BW158">
        <v>11795</v>
      </c>
      <c r="BX158">
        <v>5349</v>
      </c>
      <c r="BY158">
        <v>11806</v>
      </c>
      <c r="BZ158">
        <v>5300</v>
      </c>
      <c r="CA158">
        <v>11637</v>
      </c>
      <c r="CB158">
        <v>845.35633331329404</v>
      </c>
      <c r="CC158">
        <v>147.96741682890601</v>
      </c>
      <c r="CD158">
        <v>127.88982155063</v>
      </c>
      <c r="CE158">
        <v>16967.650847055898</v>
      </c>
      <c r="CF158">
        <v>4817.4979191042103</v>
      </c>
      <c r="CG158">
        <v>434.49446621945401</v>
      </c>
      <c r="CH158">
        <v>573</v>
      </c>
      <c r="CI158">
        <v>173.14233104546199</v>
      </c>
      <c r="CJ158">
        <v>135.87136604788799</v>
      </c>
      <c r="CK158" s="81">
        <v>2182</v>
      </c>
      <c r="CL158">
        <v>537</v>
      </c>
      <c r="CM158">
        <v>6846.6523609780897</v>
      </c>
      <c r="CN158">
        <v>0.248175400088366</v>
      </c>
      <c r="CO158">
        <v>42368</v>
      </c>
      <c r="CP158">
        <v>5590</v>
      </c>
      <c r="CQ158">
        <v>983</v>
      </c>
      <c r="CR158">
        <v>1067</v>
      </c>
      <c r="CS158">
        <v>970</v>
      </c>
      <c r="CT158">
        <v>498</v>
      </c>
      <c r="CU158">
        <v>484.838939716303</v>
      </c>
      <c r="CV158">
        <v>279.649685124325</v>
      </c>
      <c r="CW158">
        <v>97.729315073705095</v>
      </c>
      <c r="CX158">
        <v>1181.5168498963001</v>
      </c>
      <c r="CY158">
        <v>681.48572232238496</v>
      </c>
      <c r="CZ158">
        <v>238.159155607369</v>
      </c>
      <c r="DA158">
        <v>36741.9</v>
      </c>
      <c r="DE158">
        <v>451</v>
      </c>
      <c r="DF158" t="s">
        <v>303</v>
      </c>
      <c r="DG158">
        <v>6374</v>
      </c>
      <c r="DH158">
        <v>6388</v>
      </c>
      <c r="DI158">
        <v>6315</v>
      </c>
      <c r="DJ158">
        <v>6362</v>
      </c>
      <c r="DK158">
        <v>6345</v>
      </c>
      <c r="DO158">
        <v>632</v>
      </c>
      <c r="DP158" t="s">
        <v>349</v>
      </c>
      <c r="DQ158">
        <v>21847</v>
      </c>
      <c r="DR158">
        <v>1.37</v>
      </c>
      <c r="DS158">
        <v>1345</v>
      </c>
      <c r="DV158">
        <v>1911</v>
      </c>
      <c r="DW158" t="s">
        <v>155</v>
      </c>
      <c r="DX158">
        <v>5747.4046368770396</v>
      </c>
      <c r="DY158">
        <v>1036</v>
      </c>
      <c r="DZ158">
        <v>900</v>
      </c>
      <c r="EA158">
        <v>439</v>
      </c>
      <c r="EB158">
        <v>3522</v>
      </c>
      <c r="EC158">
        <v>2052</v>
      </c>
      <c r="ED158">
        <v>650</v>
      </c>
      <c r="EE158" s="82">
        <v>0.175562383702212</v>
      </c>
      <c r="EF158" s="82">
        <v>0.46520230991337802</v>
      </c>
    </row>
    <row r="159" spans="1:136" x14ac:dyDescent="0.35">
      <c r="A159" s="72">
        <v>351</v>
      </c>
      <c r="B159" s="72">
        <v>6</v>
      </c>
      <c r="D159" s="72" t="s">
        <v>351</v>
      </c>
      <c r="E159" s="79">
        <v>1094800000</v>
      </c>
      <c r="F159" s="79">
        <v>153300000</v>
      </c>
      <c r="G159" s="79">
        <v>167650000</v>
      </c>
      <c r="H159" s="79">
        <v>13021</v>
      </c>
      <c r="I159" s="79">
        <v>1</v>
      </c>
      <c r="J159" s="79">
        <v>167.65</v>
      </c>
      <c r="K159" s="79">
        <v>3529</v>
      </c>
      <c r="L159" s="79">
        <v>2427</v>
      </c>
      <c r="M159" s="79">
        <v>804</v>
      </c>
      <c r="N159" s="79">
        <v>1148</v>
      </c>
      <c r="O159" s="79">
        <v>629.6</v>
      </c>
      <c r="P159" s="79">
        <v>119.333333333333</v>
      </c>
      <c r="Q159" s="79">
        <v>666.33333333333303</v>
      </c>
      <c r="R159" s="79">
        <v>290</v>
      </c>
      <c r="S159" s="79">
        <v>0</v>
      </c>
      <c r="T159" s="79">
        <v>265</v>
      </c>
      <c r="U159" s="79">
        <v>5284</v>
      </c>
      <c r="V159" s="79">
        <v>11570</v>
      </c>
      <c r="W159" s="79">
        <v>2630</v>
      </c>
      <c r="X159" s="79">
        <v>0</v>
      </c>
      <c r="Y159" s="79">
        <v>0</v>
      </c>
      <c r="Z159" s="79">
        <v>0</v>
      </c>
      <c r="AA159" s="79">
        <v>0</v>
      </c>
      <c r="AB159" s="79">
        <v>0</v>
      </c>
      <c r="AC159" s="79">
        <v>3652</v>
      </c>
      <c r="AD159" s="79">
        <v>3652</v>
      </c>
      <c r="AE159" s="79">
        <v>31</v>
      </c>
      <c r="AF159" s="79">
        <v>0</v>
      </c>
      <c r="AG159" s="79">
        <v>101</v>
      </c>
      <c r="AH159" s="79">
        <v>62</v>
      </c>
      <c r="AI159" s="79">
        <v>39</v>
      </c>
      <c r="AJ159" s="79">
        <v>5184</v>
      </c>
      <c r="AK159" s="79">
        <v>5184</v>
      </c>
      <c r="AL159" s="79">
        <v>0</v>
      </c>
      <c r="AM159" s="79">
        <v>0</v>
      </c>
      <c r="AN159" s="79">
        <v>0</v>
      </c>
      <c r="AO159" s="79">
        <v>0</v>
      </c>
      <c r="AP159" s="79">
        <v>0</v>
      </c>
      <c r="AQ159" s="79">
        <v>0</v>
      </c>
      <c r="AR159" s="80">
        <v>5.0538999999999998E-5</v>
      </c>
      <c r="AS159" s="80">
        <v>2.5939999999999999E-5</v>
      </c>
      <c r="AT159" s="79">
        <v>4836.6719999999996</v>
      </c>
      <c r="AU159" s="79">
        <v>0</v>
      </c>
      <c r="AV159" s="79">
        <v>584</v>
      </c>
      <c r="AW159" s="79">
        <v>2064.6929133858298</v>
      </c>
      <c r="AX159" s="79">
        <v>1</v>
      </c>
      <c r="AY159" s="79">
        <v>1</v>
      </c>
      <c r="AZ159" s="79">
        <v>1389</v>
      </c>
      <c r="BA159" s="79">
        <v>1</v>
      </c>
      <c r="BB159" s="79">
        <v>0</v>
      </c>
      <c r="BC159" s="79">
        <v>0</v>
      </c>
      <c r="BD159" s="79">
        <v>0</v>
      </c>
      <c r="BE159" s="79">
        <v>0</v>
      </c>
      <c r="BF159" s="79">
        <v>0</v>
      </c>
      <c r="BG159" s="79">
        <v>0</v>
      </c>
      <c r="BH159" s="79">
        <v>0</v>
      </c>
      <c r="BI159" s="79">
        <v>0</v>
      </c>
      <c r="BJ159" s="79">
        <v>0</v>
      </c>
      <c r="BK159" s="79">
        <v>5</v>
      </c>
      <c r="BL159" s="79">
        <v>1342</v>
      </c>
      <c r="BM159" s="79">
        <v>62</v>
      </c>
      <c r="BN159" s="79">
        <v>39</v>
      </c>
      <c r="BO159">
        <v>3276</v>
      </c>
      <c r="BP159">
        <v>0</v>
      </c>
      <c r="BQ159">
        <v>3005</v>
      </c>
      <c r="BR159">
        <v>0</v>
      </c>
      <c r="BS159">
        <v>3032</v>
      </c>
      <c r="BT159">
        <v>0</v>
      </c>
      <c r="BU159">
        <v>3062</v>
      </c>
      <c r="BV159">
        <v>0</v>
      </c>
      <c r="BW159">
        <v>3041</v>
      </c>
      <c r="BX159">
        <v>0</v>
      </c>
      <c r="BY159">
        <v>3074</v>
      </c>
      <c r="BZ159">
        <v>0</v>
      </c>
      <c r="CA159">
        <v>3210</v>
      </c>
      <c r="CB159">
        <v>218.46342178423899</v>
      </c>
      <c r="CC159">
        <v>66.756847018802503</v>
      </c>
      <c r="CD159">
        <v>30.758854793852901</v>
      </c>
      <c r="CE159">
        <v>3567.4964082002898</v>
      </c>
      <c r="CF159">
        <v>1065.1221661560201</v>
      </c>
      <c r="CG159">
        <v>143.711076233184</v>
      </c>
      <c r="CH159">
        <v>99</v>
      </c>
      <c r="CI159">
        <v>47.0184825460572</v>
      </c>
      <c r="CJ159">
        <v>26.606664369690801</v>
      </c>
      <c r="CK159" s="81">
        <v>547</v>
      </c>
      <c r="CL159">
        <v>258</v>
      </c>
      <c r="CM159">
        <v>1366.42685258964</v>
      </c>
      <c r="CN159">
        <v>5.87642733966579E-2</v>
      </c>
      <c r="CO159">
        <v>10594</v>
      </c>
      <c r="CP159">
        <v>1343</v>
      </c>
      <c r="CQ159">
        <v>280</v>
      </c>
      <c r="CR159">
        <v>234</v>
      </c>
      <c r="CS159">
        <v>250</v>
      </c>
      <c r="CT159">
        <v>133</v>
      </c>
      <c r="CU159">
        <v>97.864011495538804</v>
      </c>
      <c r="CV159">
        <v>65.445039945527796</v>
      </c>
      <c r="CW159">
        <v>24.0410350820306</v>
      </c>
      <c r="CX159">
        <v>308.77082885127101</v>
      </c>
      <c r="CY159">
        <v>206.485703164808</v>
      </c>
      <c r="CZ159">
        <v>75.851890958500803</v>
      </c>
      <c r="DA159">
        <v>83220</v>
      </c>
      <c r="DE159">
        <v>453</v>
      </c>
      <c r="DF159" t="s">
        <v>314</v>
      </c>
      <c r="DG159">
        <v>14776</v>
      </c>
      <c r="DH159">
        <v>14553</v>
      </c>
      <c r="DI159">
        <v>14334</v>
      </c>
      <c r="DJ159">
        <v>14051</v>
      </c>
      <c r="DK159">
        <v>13773</v>
      </c>
      <c r="DO159">
        <v>351</v>
      </c>
      <c r="DP159" t="s">
        <v>351</v>
      </c>
      <c r="DQ159">
        <v>5184</v>
      </c>
      <c r="DR159">
        <v>1</v>
      </c>
      <c r="DS159">
        <v>933</v>
      </c>
      <c r="DV159">
        <v>118</v>
      </c>
      <c r="DW159" t="s">
        <v>156</v>
      </c>
      <c r="DX159">
        <v>8716.5734899328909</v>
      </c>
      <c r="DY159">
        <v>1331</v>
      </c>
      <c r="DZ159">
        <v>1273</v>
      </c>
      <c r="EA159">
        <v>724</v>
      </c>
      <c r="EB159">
        <v>3999</v>
      </c>
      <c r="EC159">
        <v>2574</v>
      </c>
      <c r="ED159">
        <v>989</v>
      </c>
      <c r="EE159" s="82">
        <v>0.24606056415487099</v>
      </c>
      <c r="EF159" s="82">
        <v>0.57800256657042004</v>
      </c>
    </row>
    <row r="160" spans="1:136" x14ac:dyDescent="0.35">
      <c r="A160" s="72">
        <v>355</v>
      </c>
      <c r="B160" s="72">
        <v>6</v>
      </c>
      <c r="D160" s="72" t="s">
        <v>356</v>
      </c>
      <c r="E160" s="79">
        <v>6992400000</v>
      </c>
      <c r="F160" s="79">
        <v>1043700000</v>
      </c>
      <c r="G160" s="79">
        <v>1084300000</v>
      </c>
      <c r="H160" s="79">
        <v>63322</v>
      </c>
      <c r="I160" s="79">
        <v>3</v>
      </c>
      <c r="J160" s="79">
        <v>1084.3</v>
      </c>
      <c r="K160" s="79">
        <v>15208</v>
      </c>
      <c r="L160" s="79">
        <v>13032</v>
      </c>
      <c r="M160" s="79">
        <v>4076</v>
      </c>
      <c r="N160" s="79">
        <v>8653</v>
      </c>
      <c r="O160" s="79">
        <v>5634.3</v>
      </c>
      <c r="P160" s="79">
        <v>1343.6666666666699</v>
      </c>
      <c r="Q160" s="79">
        <v>4789.6666666666697</v>
      </c>
      <c r="R160" s="79">
        <v>6240</v>
      </c>
      <c r="S160" s="79">
        <v>0</v>
      </c>
      <c r="T160" s="79">
        <v>1997</v>
      </c>
      <c r="U160" s="79">
        <v>30919</v>
      </c>
      <c r="V160" s="79">
        <v>64910</v>
      </c>
      <c r="W160" s="79">
        <v>47450</v>
      </c>
      <c r="X160" s="79">
        <v>3612.393</v>
      </c>
      <c r="Y160" s="79">
        <v>5452.8</v>
      </c>
      <c r="Z160" s="79">
        <v>0</v>
      </c>
      <c r="AA160" s="79">
        <v>0</v>
      </c>
      <c r="AB160" s="79">
        <v>251.2</v>
      </c>
      <c r="AC160" s="79">
        <v>4851</v>
      </c>
      <c r="AD160" s="79">
        <v>4851</v>
      </c>
      <c r="AE160" s="79">
        <v>14</v>
      </c>
      <c r="AF160" s="79">
        <v>0</v>
      </c>
      <c r="AG160" s="79">
        <v>298</v>
      </c>
      <c r="AH160" s="79">
        <v>272</v>
      </c>
      <c r="AI160" s="79">
        <v>26</v>
      </c>
      <c r="AJ160" s="79">
        <v>30187</v>
      </c>
      <c r="AK160" s="79">
        <v>30187</v>
      </c>
      <c r="AL160" s="79">
        <v>0</v>
      </c>
      <c r="AM160" s="79">
        <v>0</v>
      </c>
      <c r="AN160" s="79">
        <v>0</v>
      </c>
      <c r="AO160" s="79">
        <v>0</v>
      </c>
      <c r="AP160" s="79">
        <v>4932</v>
      </c>
      <c r="AQ160" s="79">
        <v>0</v>
      </c>
      <c r="AR160" s="80">
        <v>1.3231569999999999E-3</v>
      </c>
      <c r="AS160" s="80">
        <v>2.0160909999999998E-3</v>
      </c>
      <c r="AT160" s="79">
        <v>47363.402999999998</v>
      </c>
      <c r="AU160" s="79">
        <v>0</v>
      </c>
      <c r="AV160" s="79">
        <v>530</v>
      </c>
      <c r="AW160" s="79">
        <v>6898.3884892086298</v>
      </c>
      <c r="AX160" s="79">
        <v>4</v>
      </c>
      <c r="AY160" s="79">
        <v>4</v>
      </c>
      <c r="AZ160" s="79">
        <v>7822</v>
      </c>
      <c r="BA160" s="79">
        <v>1</v>
      </c>
      <c r="BB160" s="79">
        <v>0</v>
      </c>
      <c r="BC160" s="79">
        <v>0</v>
      </c>
      <c r="BD160" s="79">
        <v>0</v>
      </c>
      <c r="BE160" s="79">
        <v>0</v>
      </c>
      <c r="BF160" s="79">
        <v>0</v>
      </c>
      <c r="BG160" s="79">
        <v>0</v>
      </c>
      <c r="BH160" s="79">
        <v>0</v>
      </c>
      <c r="BI160" s="79">
        <v>0</v>
      </c>
      <c r="BJ160" s="79">
        <v>0</v>
      </c>
      <c r="BK160" s="79">
        <v>24</v>
      </c>
      <c r="BL160" s="79">
        <v>11744</v>
      </c>
      <c r="BM160" s="79">
        <v>272</v>
      </c>
      <c r="BN160" s="79">
        <v>26</v>
      </c>
      <c r="BO160">
        <v>14529</v>
      </c>
      <c r="BP160">
        <v>5968</v>
      </c>
      <c r="BQ160">
        <v>13010</v>
      </c>
      <c r="BR160">
        <v>5927</v>
      </c>
      <c r="BS160">
        <v>13060</v>
      </c>
      <c r="BT160">
        <v>5911</v>
      </c>
      <c r="BU160">
        <v>13093</v>
      </c>
      <c r="BV160">
        <v>5822</v>
      </c>
      <c r="BW160">
        <v>13176</v>
      </c>
      <c r="BX160">
        <v>5840</v>
      </c>
      <c r="BY160">
        <v>13199</v>
      </c>
      <c r="BZ160">
        <v>5912</v>
      </c>
      <c r="CA160">
        <v>13600</v>
      </c>
      <c r="CB160">
        <v>1627.70019958391</v>
      </c>
      <c r="CC160">
        <v>106.67508352336699</v>
      </c>
      <c r="CD160">
        <v>214.99944907499699</v>
      </c>
      <c r="CE160">
        <v>22278.9113310184</v>
      </c>
      <c r="CF160">
        <v>6360.7078616140898</v>
      </c>
      <c r="CG160">
        <v>600.80871934604897</v>
      </c>
      <c r="CH160">
        <v>731</v>
      </c>
      <c r="CI160">
        <v>420.90481071562101</v>
      </c>
      <c r="CJ160">
        <v>339.146281832326</v>
      </c>
      <c r="CK160" s="81">
        <v>3446</v>
      </c>
      <c r="CL160">
        <v>1316</v>
      </c>
      <c r="CM160">
        <v>8591.4013762086797</v>
      </c>
      <c r="CN160">
        <v>2.88770399013187</v>
      </c>
      <c r="CO160">
        <v>50290</v>
      </c>
      <c r="CP160">
        <v>7005</v>
      </c>
      <c r="CQ160">
        <v>1951</v>
      </c>
      <c r="CR160">
        <v>1932</v>
      </c>
      <c r="CS160">
        <v>1502</v>
      </c>
      <c r="CT160">
        <v>924</v>
      </c>
      <c r="CU160">
        <v>847.07173432895001</v>
      </c>
      <c r="CV160">
        <v>531.61311136378299</v>
      </c>
      <c r="CW160">
        <v>228.47417426589601</v>
      </c>
      <c r="CX160">
        <v>1408.3271884634801</v>
      </c>
      <c r="CY160">
        <v>883.85099884178101</v>
      </c>
      <c r="CZ160">
        <v>379.85731129997902</v>
      </c>
      <c r="DA160">
        <v>491263.4</v>
      </c>
      <c r="DE160">
        <v>457</v>
      </c>
      <c r="DF160" t="s">
        <v>333</v>
      </c>
      <c r="DG160">
        <v>3314</v>
      </c>
      <c r="DH160">
        <v>3351</v>
      </c>
      <c r="DI160">
        <v>3454</v>
      </c>
      <c r="DJ160">
        <v>3485</v>
      </c>
      <c r="DK160">
        <v>3534</v>
      </c>
      <c r="DO160">
        <v>355</v>
      </c>
      <c r="DP160" t="s">
        <v>356</v>
      </c>
      <c r="DQ160">
        <v>30187</v>
      </c>
      <c r="DR160">
        <v>1</v>
      </c>
      <c r="DS160">
        <v>1569</v>
      </c>
      <c r="DV160">
        <v>405</v>
      </c>
      <c r="DW160" t="s">
        <v>157</v>
      </c>
      <c r="DX160">
        <v>10484.2648909524</v>
      </c>
      <c r="DY160">
        <v>2142</v>
      </c>
      <c r="DZ160">
        <v>1416</v>
      </c>
      <c r="EA160">
        <v>672</v>
      </c>
      <c r="EB160">
        <v>5563</v>
      </c>
      <c r="EC160">
        <v>2682</v>
      </c>
      <c r="ED160">
        <v>928</v>
      </c>
      <c r="EE160" s="82">
        <v>0.21858351487290401</v>
      </c>
      <c r="EF160" s="82">
        <v>0.473389425315906</v>
      </c>
    </row>
    <row r="161" spans="1:136" x14ac:dyDescent="0.35">
      <c r="A161" s="72">
        <v>358</v>
      </c>
      <c r="B161" s="72">
        <v>7</v>
      </c>
      <c r="D161" s="72" t="s">
        <v>12</v>
      </c>
      <c r="E161" s="79">
        <v>3214800000</v>
      </c>
      <c r="F161" s="79">
        <v>586250000</v>
      </c>
      <c r="G161" s="79">
        <v>591150000</v>
      </c>
      <c r="H161" s="79">
        <v>31499</v>
      </c>
      <c r="I161" s="79">
        <v>2</v>
      </c>
      <c r="J161" s="79">
        <v>591.15</v>
      </c>
      <c r="K161" s="79">
        <v>7747</v>
      </c>
      <c r="L161" s="79">
        <v>5766</v>
      </c>
      <c r="M161" s="79">
        <v>1855</v>
      </c>
      <c r="N161" s="79">
        <v>3163</v>
      </c>
      <c r="O161" s="79">
        <v>1869.8</v>
      </c>
      <c r="P161" s="79">
        <v>217</v>
      </c>
      <c r="Q161" s="79">
        <v>1222</v>
      </c>
      <c r="R161" s="79">
        <v>1400</v>
      </c>
      <c r="S161" s="79">
        <v>0</v>
      </c>
      <c r="T161" s="79">
        <v>928</v>
      </c>
      <c r="U161" s="79">
        <v>13347</v>
      </c>
      <c r="V161" s="79">
        <v>25070</v>
      </c>
      <c r="W161" s="79">
        <v>4000</v>
      </c>
      <c r="X161" s="79">
        <v>0</v>
      </c>
      <c r="Y161" s="79">
        <v>0</v>
      </c>
      <c r="Z161" s="79">
        <v>0</v>
      </c>
      <c r="AA161" s="79">
        <v>574.99999999999898</v>
      </c>
      <c r="AB161" s="79">
        <v>0</v>
      </c>
      <c r="AC161" s="79">
        <v>2006</v>
      </c>
      <c r="AD161" s="79">
        <v>2407.1999999999998</v>
      </c>
      <c r="AE161" s="79">
        <v>1222</v>
      </c>
      <c r="AF161" s="79">
        <v>0</v>
      </c>
      <c r="AG161" s="79">
        <v>277</v>
      </c>
      <c r="AH161" s="79">
        <v>275.58999999999997</v>
      </c>
      <c r="AI161" s="79">
        <v>67.8</v>
      </c>
      <c r="AJ161" s="79">
        <v>12932</v>
      </c>
      <c r="AK161" s="79">
        <v>16423.64</v>
      </c>
      <c r="AL161" s="79">
        <v>0</v>
      </c>
      <c r="AM161" s="79">
        <v>0</v>
      </c>
      <c r="AN161" s="79">
        <v>0</v>
      </c>
      <c r="AO161" s="79">
        <v>0</v>
      </c>
      <c r="AP161" s="79">
        <v>1605</v>
      </c>
      <c r="AQ161" s="79">
        <v>0</v>
      </c>
      <c r="AR161" s="80">
        <v>2.2255300000000001E-4</v>
      </c>
      <c r="AS161" s="80">
        <v>1.25499E-4</v>
      </c>
      <c r="AT161" s="79">
        <v>11690.528</v>
      </c>
      <c r="AU161" s="79">
        <v>0</v>
      </c>
      <c r="AV161" s="79">
        <v>4172.3999999999996</v>
      </c>
      <c r="AW161" s="79">
        <v>93150.3884758364</v>
      </c>
      <c r="AX161" s="79">
        <v>3</v>
      </c>
      <c r="AY161" s="79">
        <v>3.39</v>
      </c>
      <c r="AZ161" s="79">
        <v>4005</v>
      </c>
      <c r="BA161" s="79">
        <v>1</v>
      </c>
      <c r="BB161" s="79">
        <v>0</v>
      </c>
      <c r="BC161" s="79">
        <v>0</v>
      </c>
      <c r="BD161" s="79">
        <v>0</v>
      </c>
      <c r="BE161" s="79">
        <v>0</v>
      </c>
      <c r="BF161" s="79">
        <v>0</v>
      </c>
      <c r="BG161" s="79">
        <v>0</v>
      </c>
      <c r="BH161" s="79">
        <v>0</v>
      </c>
      <c r="BI161" s="79">
        <v>0</v>
      </c>
      <c r="BJ161" s="79">
        <v>0</v>
      </c>
      <c r="BK161" s="79">
        <v>7</v>
      </c>
      <c r="BL161" s="79">
        <v>3733</v>
      </c>
      <c r="BM161" s="79">
        <v>217</v>
      </c>
      <c r="BN161" s="79">
        <v>60</v>
      </c>
      <c r="BO161">
        <v>6520</v>
      </c>
      <c r="BP161">
        <v>0</v>
      </c>
      <c r="BQ161">
        <v>6453</v>
      </c>
      <c r="BR161">
        <v>0</v>
      </c>
      <c r="BS161">
        <v>6775</v>
      </c>
      <c r="BT161">
        <v>0</v>
      </c>
      <c r="BU161">
        <v>7054</v>
      </c>
      <c r="BV161">
        <v>0</v>
      </c>
      <c r="BW161">
        <v>7131</v>
      </c>
      <c r="BX161">
        <v>0</v>
      </c>
      <c r="BY161">
        <v>7138</v>
      </c>
      <c r="BZ161">
        <v>0</v>
      </c>
      <c r="CA161">
        <v>7054</v>
      </c>
      <c r="CB161">
        <v>444.046278190485</v>
      </c>
      <c r="CC161">
        <v>180.54138640772101</v>
      </c>
      <c r="CD161">
        <v>90.616240055616004</v>
      </c>
      <c r="CE161">
        <v>10533.5242320124</v>
      </c>
      <c r="CF161">
        <v>3277.3354779946399</v>
      </c>
      <c r="CG161">
        <v>158.67615493746499</v>
      </c>
      <c r="CH161">
        <v>341</v>
      </c>
      <c r="CI161">
        <v>85.024211621679598</v>
      </c>
      <c r="CJ161">
        <v>69.177327361196205</v>
      </c>
      <c r="CK161" s="81">
        <v>1005</v>
      </c>
      <c r="CL161">
        <v>275</v>
      </c>
      <c r="CM161">
        <v>3696.5911652129498</v>
      </c>
      <c r="CN161">
        <v>0.14948978635309701</v>
      </c>
      <c r="CO161">
        <v>25733</v>
      </c>
      <c r="CP161">
        <v>3185</v>
      </c>
      <c r="CQ161">
        <v>726</v>
      </c>
      <c r="CR161">
        <v>573</v>
      </c>
      <c r="CS161">
        <v>627</v>
      </c>
      <c r="CT161">
        <v>345</v>
      </c>
      <c r="CU161">
        <v>280.45107214228898</v>
      </c>
      <c r="CV161">
        <v>186.919193958752</v>
      </c>
      <c r="CW161">
        <v>72.136641752062999</v>
      </c>
      <c r="CX161">
        <v>630.83834588961497</v>
      </c>
      <c r="CY161">
        <v>420.45050579137802</v>
      </c>
      <c r="CZ161">
        <v>162.262028143772</v>
      </c>
      <c r="DA161">
        <v>36773</v>
      </c>
      <c r="DE161">
        <v>473</v>
      </c>
      <c r="DF161" t="s">
        <v>354</v>
      </c>
      <c r="DG161">
        <v>2847</v>
      </c>
      <c r="DH161">
        <v>2825</v>
      </c>
      <c r="DI161">
        <v>2746</v>
      </c>
      <c r="DJ161">
        <v>2700</v>
      </c>
      <c r="DK161">
        <v>2679</v>
      </c>
      <c r="DO161">
        <v>358</v>
      </c>
      <c r="DP161" t="s">
        <v>12</v>
      </c>
      <c r="DQ161">
        <v>12932</v>
      </c>
      <c r="DR161">
        <v>1.27</v>
      </c>
      <c r="DS161">
        <v>904</v>
      </c>
      <c r="DV161">
        <v>1507</v>
      </c>
      <c r="DW161" t="s">
        <v>158</v>
      </c>
      <c r="DX161">
        <v>4800.7310020935902</v>
      </c>
      <c r="DY161">
        <v>835</v>
      </c>
      <c r="DZ161">
        <v>856</v>
      </c>
      <c r="EA161">
        <v>453</v>
      </c>
      <c r="EB161">
        <v>2991</v>
      </c>
      <c r="EC161">
        <v>1927</v>
      </c>
      <c r="ED161">
        <v>633</v>
      </c>
      <c r="EE161" s="82">
        <v>0.15132085656442201</v>
      </c>
      <c r="EF161" s="82">
        <v>0.43755088512974499</v>
      </c>
    </row>
    <row r="162" spans="1:136" x14ac:dyDescent="0.35">
      <c r="A162" s="72">
        <v>361</v>
      </c>
      <c r="B162" s="72">
        <v>7</v>
      </c>
      <c r="D162" s="72" t="s">
        <v>17</v>
      </c>
      <c r="E162" s="79">
        <v>8208400000</v>
      </c>
      <c r="F162" s="79">
        <v>2014600000</v>
      </c>
      <c r="G162" s="79">
        <v>2053800000</v>
      </c>
      <c r="H162" s="79">
        <v>108470</v>
      </c>
      <c r="I162" s="79">
        <v>5</v>
      </c>
      <c r="J162" s="79">
        <v>2053.8000000000002</v>
      </c>
      <c r="K162" s="79">
        <v>23182</v>
      </c>
      <c r="L162" s="79">
        <v>20327</v>
      </c>
      <c r="M162" s="79">
        <v>5913</v>
      </c>
      <c r="N162" s="79">
        <v>16716</v>
      </c>
      <c r="O162" s="79">
        <v>11582.1</v>
      </c>
      <c r="P162" s="79">
        <v>2487</v>
      </c>
      <c r="Q162" s="79">
        <v>9577</v>
      </c>
      <c r="R162" s="79">
        <v>8395</v>
      </c>
      <c r="S162" s="79">
        <v>0</v>
      </c>
      <c r="T162" s="79">
        <v>4124</v>
      </c>
      <c r="U162" s="79">
        <v>52761</v>
      </c>
      <c r="V162" s="79">
        <v>119430</v>
      </c>
      <c r="W162" s="79">
        <v>130000</v>
      </c>
      <c r="X162" s="79">
        <v>3027.76</v>
      </c>
      <c r="Y162" s="79">
        <v>5990.4</v>
      </c>
      <c r="Z162" s="79">
        <v>0</v>
      </c>
      <c r="AA162" s="79">
        <v>0</v>
      </c>
      <c r="AB162" s="79">
        <v>0</v>
      </c>
      <c r="AC162" s="79">
        <v>11028</v>
      </c>
      <c r="AD162" s="79">
        <v>12020.52</v>
      </c>
      <c r="AE162" s="79">
        <v>707</v>
      </c>
      <c r="AF162" s="79">
        <v>0</v>
      </c>
      <c r="AG162" s="79">
        <v>544</v>
      </c>
      <c r="AH162" s="79">
        <v>485.1</v>
      </c>
      <c r="AI162" s="79">
        <v>90.2</v>
      </c>
      <c r="AJ162" s="79">
        <v>51339</v>
      </c>
      <c r="AK162" s="79">
        <v>53905.95</v>
      </c>
      <c r="AL162" s="79">
        <v>0</v>
      </c>
      <c r="AM162" s="79">
        <v>47</v>
      </c>
      <c r="AN162" s="79">
        <v>0</v>
      </c>
      <c r="AO162" s="79">
        <v>8600</v>
      </c>
      <c r="AP162" s="79">
        <v>7019</v>
      </c>
      <c r="AQ162" s="79">
        <v>7019</v>
      </c>
      <c r="AR162" s="80">
        <v>5.9157480000000002E-3</v>
      </c>
      <c r="AS162" s="80">
        <v>6.6916470000000002E-3</v>
      </c>
      <c r="AT162" s="79">
        <v>115153.37699999999</v>
      </c>
      <c r="AU162" s="79">
        <v>0</v>
      </c>
      <c r="AV162" s="79">
        <v>11266.24</v>
      </c>
      <c r="AW162" s="79">
        <v>186028.22217298701</v>
      </c>
      <c r="AX162" s="79">
        <v>13</v>
      </c>
      <c r="AY162" s="79">
        <v>14.3</v>
      </c>
      <c r="AZ162" s="79">
        <v>11785</v>
      </c>
      <c r="BA162" s="79">
        <v>1</v>
      </c>
      <c r="BB162" s="79">
        <v>0</v>
      </c>
      <c r="BC162" s="79">
        <v>0</v>
      </c>
      <c r="BD162" s="79">
        <v>0</v>
      </c>
      <c r="BE162" s="79">
        <v>0</v>
      </c>
      <c r="BF162" s="79">
        <v>0</v>
      </c>
      <c r="BG162" s="79">
        <v>0</v>
      </c>
      <c r="BH162" s="79">
        <v>0</v>
      </c>
      <c r="BI162" s="79">
        <v>0</v>
      </c>
      <c r="BJ162" s="79">
        <v>0</v>
      </c>
      <c r="BK162" s="79">
        <v>156</v>
      </c>
      <c r="BL162" s="79">
        <v>20628</v>
      </c>
      <c r="BM162" s="79">
        <v>462</v>
      </c>
      <c r="BN162" s="79">
        <v>82</v>
      </c>
      <c r="BO162">
        <v>24372</v>
      </c>
      <c r="BP162">
        <v>7601</v>
      </c>
      <c r="BQ162">
        <v>21526</v>
      </c>
      <c r="BR162">
        <v>7435</v>
      </c>
      <c r="BS162">
        <v>21408</v>
      </c>
      <c r="BT162">
        <v>7288</v>
      </c>
      <c r="BU162">
        <v>21134</v>
      </c>
      <c r="BV162">
        <v>7362</v>
      </c>
      <c r="BW162">
        <v>21135</v>
      </c>
      <c r="BX162">
        <v>7428</v>
      </c>
      <c r="BY162">
        <v>21043</v>
      </c>
      <c r="BZ162">
        <v>7472</v>
      </c>
      <c r="CA162">
        <v>20871</v>
      </c>
      <c r="CB162">
        <v>2515.5568660007998</v>
      </c>
      <c r="CC162">
        <v>231.229750492265</v>
      </c>
      <c r="CD162">
        <v>332.88445448715402</v>
      </c>
      <c r="CE162">
        <v>32823.072375340002</v>
      </c>
      <c r="CF162">
        <v>7421.8882634127003</v>
      </c>
      <c r="CG162">
        <v>743.44715050085495</v>
      </c>
      <c r="CH162">
        <v>1416</v>
      </c>
      <c r="CI162">
        <v>694.50312068271705</v>
      </c>
      <c r="CJ162">
        <v>666.58563134198801</v>
      </c>
      <c r="CK162" s="81">
        <v>7090</v>
      </c>
      <c r="CL162">
        <v>1893</v>
      </c>
      <c r="CM162">
        <v>14515.617376759699</v>
      </c>
      <c r="CN162">
        <v>5.16328637438885</v>
      </c>
      <c r="CO162">
        <v>88143</v>
      </c>
      <c r="CP162">
        <v>12195</v>
      </c>
      <c r="CQ162">
        <v>2219</v>
      </c>
      <c r="CR162">
        <v>3287</v>
      </c>
      <c r="CS162">
        <v>2336</v>
      </c>
      <c r="CT162">
        <v>1089</v>
      </c>
      <c r="CU162">
        <v>1823.45028755422</v>
      </c>
      <c r="CV162">
        <v>976.58249348289405</v>
      </c>
      <c r="CW162">
        <v>345.37948660714</v>
      </c>
      <c r="CX162">
        <v>3826.40672482846</v>
      </c>
      <c r="CY162">
        <v>2049.3028221925501</v>
      </c>
      <c r="CZ162">
        <v>724.75921015865094</v>
      </c>
      <c r="DA162">
        <v>60804.6</v>
      </c>
      <c r="DE162">
        <v>479</v>
      </c>
      <c r="DF162" t="s">
        <v>352</v>
      </c>
      <c r="DG162">
        <v>30977</v>
      </c>
      <c r="DH162">
        <v>31113</v>
      </c>
      <c r="DI162">
        <v>31293</v>
      </c>
      <c r="DJ162">
        <v>31415</v>
      </c>
      <c r="DK162">
        <v>31374</v>
      </c>
      <c r="DO162">
        <v>361</v>
      </c>
      <c r="DP162" t="s">
        <v>17</v>
      </c>
      <c r="DQ162">
        <v>51339</v>
      </c>
      <c r="DR162">
        <v>1.05</v>
      </c>
      <c r="DS162">
        <v>2243</v>
      </c>
      <c r="DV162">
        <v>321</v>
      </c>
      <c r="DW162" t="s">
        <v>159</v>
      </c>
      <c r="DX162">
        <v>4013.8040172895999</v>
      </c>
      <c r="DY162">
        <v>826</v>
      </c>
      <c r="DZ162">
        <v>654</v>
      </c>
      <c r="EA162">
        <v>371</v>
      </c>
      <c r="EB162">
        <v>2695</v>
      </c>
      <c r="EC162">
        <v>1288</v>
      </c>
      <c r="ED162">
        <v>506</v>
      </c>
      <c r="EE162" s="82">
        <v>9.9048054415551701E-2</v>
      </c>
      <c r="EF162" s="82">
        <v>0.30454739891698501</v>
      </c>
    </row>
    <row r="163" spans="1:136" x14ac:dyDescent="0.35">
      <c r="A163" s="72">
        <v>362</v>
      </c>
      <c r="B163" s="72">
        <v>7</v>
      </c>
      <c r="D163" s="72" t="s">
        <v>25</v>
      </c>
      <c r="E163" s="79">
        <v>11434800000</v>
      </c>
      <c r="F163" s="79">
        <v>1579550000</v>
      </c>
      <c r="G163" s="79">
        <v>1620500000</v>
      </c>
      <c r="H163" s="79">
        <v>89870</v>
      </c>
      <c r="I163" s="79">
        <v>1</v>
      </c>
      <c r="J163" s="79">
        <v>1620.5</v>
      </c>
      <c r="K163" s="79">
        <v>20637</v>
      </c>
      <c r="L163" s="79">
        <v>17157</v>
      </c>
      <c r="M163" s="79">
        <v>5533</v>
      </c>
      <c r="N163" s="79">
        <v>10450</v>
      </c>
      <c r="O163" s="79">
        <v>6199.1</v>
      </c>
      <c r="P163" s="79">
        <v>1036.6666666666699</v>
      </c>
      <c r="Q163" s="79">
        <v>3968.6666666666702</v>
      </c>
      <c r="R163" s="79">
        <v>6860</v>
      </c>
      <c r="S163" s="79">
        <v>0</v>
      </c>
      <c r="T163" s="79">
        <v>3146</v>
      </c>
      <c r="U163" s="79">
        <v>43708</v>
      </c>
      <c r="V163" s="79">
        <v>89610</v>
      </c>
      <c r="W163" s="79">
        <v>56590</v>
      </c>
      <c r="X163" s="79">
        <v>401.94</v>
      </c>
      <c r="Y163" s="79">
        <v>4752</v>
      </c>
      <c r="Z163" s="79">
        <v>0</v>
      </c>
      <c r="AA163" s="79">
        <v>1480.5</v>
      </c>
      <c r="AB163" s="79">
        <v>243.099999999999</v>
      </c>
      <c r="AC163" s="79">
        <v>4126</v>
      </c>
      <c r="AD163" s="79">
        <v>5363.8</v>
      </c>
      <c r="AE163" s="79">
        <v>282</v>
      </c>
      <c r="AF163" s="79">
        <v>0</v>
      </c>
      <c r="AG163" s="79">
        <v>321</v>
      </c>
      <c r="AH163" s="79">
        <v>391.3</v>
      </c>
      <c r="AI163" s="79">
        <v>27.3</v>
      </c>
      <c r="AJ163" s="79">
        <v>42509</v>
      </c>
      <c r="AK163" s="79">
        <v>55261.7</v>
      </c>
      <c r="AL163" s="79">
        <v>0</v>
      </c>
      <c r="AM163" s="79">
        <v>0</v>
      </c>
      <c r="AN163" s="79">
        <v>0</v>
      </c>
      <c r="AO163" s="79">
        <v>0</v>
      </c>
      <c r="AP163" s="79">
        <v>1241</v>
      </c>
      <c r="AQ163" s="79">
        <v>0</v>
      </c>
      <c r="AR163" s="80">
        <v>7.1556899999999999E-4</v>
      </c>
      <c r="AS163" s="80">
        <v>3.213704E-3</v>
      </c>
      <c r="AT163" s="79">
        <v>105252.284</v>
      </c>
      <c r="AU163" s="79">
        <v>0</v>
      </c>
      <c r="AV163" s="79">
        <v>4920.5</v>
      </c>
      <c r="AW163" s="79">
        <v>174265.84051724101</v>
      </c>
      <c r="AX163" s="79">
        <v>6</v>
      </c>
      <c r="AY163" s="79">
        <v>7.8</v>
      </c>
      <c r="AZ163" s="79">
        <v>10033</v>
      </c>
      <c r="BA163" s="79">
        <v>1</v>
      </c>
      <c r="BB163" s="79">
        <v>0</v>
      </c>
      <c r="BC163" s="79">
        <v>0</v>
      </c>
      <c r="BD163" s="79">
        <v>0</v>
      </c>
      <c r="BE163" s="79">
        <v>0</v>
      </c>
      <c r="BF163" s="79">
        <v>0</v>
      </c>
      <c r="BG163" s="79">
        <v>0</v>
      </c>
      <c r="BH163" s="79">
        <v>0</v>
      </c>
      <c r="BI163" s="79">
        <v>0</v>
      </c>
      <c r="BJ163" s="79">
        <v>0</v>
      </c>
      <c r="BK163" s="79">
        <v>18</v>
      </c>
      <c r="BL163" s="79">
        <v>18533</v>
      </c>
      <c r="BM163" s="79">
        <v>301</v>
      </c>
      <c r="BN163" s="79">
        <v>21</v>
      </c>
      <c r="BO163">
        <v>17415</v>
      </c>
      <c r="BP163">
        <v>5179</v>
      </c>
      <c r="BQ163">
        <v>15881</v>
      </c>
      <c r="BR163">
        <v>5264</v>
      </c>
      <c r="BS163">
        <v>16020</v>
      </c>
      <c r="BT163">
        <v>5333</v>
      </c>
      <c r="BU163">
        <v>16257</v>
      </c>
      <c r="BV163">
        <v>5500</v>
      </c>
      <c r="BW163">
        <v>16583</v>
      </c>
      <c r="BX163">
        <v>5567</v>
      </c>
      <c r="BY163">
        <v>16811</v>
      </c>
      <c r="BZ163">
        <v>5674</v>
      </c>
      <c r="CA163">
        <v>18541</v>
      </c>
      <c r="CB163">
        <v>1783.0975222848101</v>
      </c>
      <c r="CC163">
        <v>57.439332487449697</v>
      </c>
      <c r="CD163">
        <v>130.78090197298201</v>
      </c>
      <c r="CE163">
        <v>34037.445674947798</v>
      </c>
      <c r="CF163">
        <v>9559.6560341678596</v>
      </c>
      <c r="CG163">
        <v>299.000113082984</v>
      </c>
      <c r="CH163">
        <v>1136</v>
      </c>
      <c r="CI163">
        <v>329.371725567238</v>
      </c>
      <c r="CJ163">
        <v>295.15659674110401</v>
      </c>
      <c r="CK163" s="81">
        <v>2932</v>
      </c>
      <c r="CL163">
        <v>694</v>
      </c>
      <c r="CM163">
        <v>9331.4195074603304</v>
      </c>
      <c r="CN163">
        <v>0.42850113661220701</v>
      </c>
      <c r="CO163">
        <v>72713</v>
      </c>
      <c r="CP163">
        <v>8806</v>
      </c>
      <c r="CQ163">
        <v>2818</v>
      </c>
      <c r="CR163">
        <v>2580</v>
      </c>
      <c r="CS163">
        <v>2298</v>
      </c>
      <c r="CT163">
        <v>1562</v>
      </c>
      <c r="CU163">
        <v>857.277092876653</v>
      </c>
      <c r="CV163">
        <v>593.48830889742806</v>
      </c>
      <c r="CW163">
        <v>306.22246896427498</v>
      </c>
      <c r="CX163">
        <v>1790.43415823295</v>
      </c>
      <c r="CY163">
        <v>1239.5079135921301</v>
      </c>
      <c r="CZ163">
        <v>639.54953772566898</v>
      </c>
      <c r="DA163">
        <v>133948</v>
      </c>
      <c r="DE163">
        <v>482</v>
      </c>
      <c r="DF163" t="s">
        <v>15</v>
      </c>
      <c r="DG163">
        <v>4625</v>
      </c>
      <c r="DH163">
        <v>4648</v>
      </c>
      <c r="DI163">
        <v>4697</v>
      </c>
      <c r="DJ163">
        <v>4726</v>
      </c>
      <c r="DK163">
        <v>4706</v>
      </c>
      <c r="DO163">
        <v>362</v>
      </c>
      <c r="DP163" t="s">
        <v>25</v>
      </c>
      <c r="DQ163">
        <v>42509</v>
      </c>
      <c r="DR163">
        <v>1.3</v>
      </c>
      <c r="DS163">
        <v>2476</v>
      </c>
      <c r="DV163">
        <v>406</v>
      </c>
      <c r="DW163" t="s">
        <v>160</v>
      </c>
      <c r="DX163">
        <v>5174.1080815256</v>
      </c>
      <c r="DY163">
        <v>1373</v>
      </c>
      <c r="DZ163">
        <v>963</v>
      </c>
      <c r="EA163">
        <v>475</v>
      </c>
      <c r="EB163">
        <v>3525</v>
      </c>
      <c r="EC163">
        <v>1895</v>
      </c>
      <c r="ED163">
        <v>703</v>
      </c>
      <c r="EE163" s="82">
        <v>0.17259407204707899</v>
      </c>
      <c r="EF163" s="82">
        <v>0.34682182854538701</v>
      </c>
    </row>
    <row r="164" spans="1:136" x14ac:dyDescent="0.35">
      <c r="A164" s="72">
        <v>363</v>
      </c>
      <c r="B164" s="72">
        <v>7</v>
      </c>
      <c r="D164" s="72" t="s">
        <v>26</v>
      </c>
      <c r="E164" s="79">
        <v>115606800000</v>
      </c>
      <c r="F164" s="79">
        <v>24760400000</v>
      </c>
      <c r="G164" s="79">
        <v>24914750000</v>
      </c>
      <c r="H164" s="79">
        <v>854047</v>
      </c>
      <c r="I164" s="79">
        <v>5</v>
      </c>
      <c r="J164" s="79">
        <v>24914.75</v>
      </c>
      <c r="K164" s="79">
        <v>166141</v>
      </c>
      <c r="L164" s="79">
        <v>105580</v>
      </c>
      <c r="M164" s="79">
        <v>29886</v>
      </c>
      <c r="N164" s="79">
        <v>153870</v>
      </c>
      <c r="O164" s="79">
        <v>109504.6</v>
      </c>
      <c r="P164" s="79">
        <v>40582</v>
      </c>
      <c r="Q164" s="79">
        <v>79600</v>
      </c>
      <c r="R164" s="79">
        <v>206730</v>
      </c>
      <c r="S164" s="79">
        <v>35920.6</v>
      </c>
      <c r="T164" s="79">
        <v>40370</v>
      </c>
      <c r="U164" s="79">
        <v>476775</v>
      </c>
      <c r="V164" s="79">
        <v>942610</v>
      </c>
      <c r="W164" s="79">
        <v>1779430</v>
      </c>
      <c r="X164" s="79">
        <v>15441.1234</v>
      </c>
      <c r="Y164" s="79">
        <v>31039.200000000001</v>
      </c>
      <c r="Z164" s="79">
        <v>4772.7</v>
      </c>
      <c r="AA164" s="79">
        <v>0</v>
      </c>
      <c r="AB164" s="79">
        <v>4080.8</v>
      </c>
      <c r="AC164" s="79">
        <v>16513</v>
      </c>
      <c r="AD164" s="79">
        <v>21632.03</v>
      </c>
      <c r="AE164" s="79">
        <v>3163</v>
      </c>
      <c r="AF164" s="79">
        <v>2273</v>
      </c>
      <c r="AG164" s="79">
        <v>2359</v>
      </c>
      <c r="AH164" s="79">
        <v>2752.31</v>
      </c>
      <c r="AI164" s="79">
        <v>337.98</v>
      </c>
      <c r="AJ164" s="79">
        <v>443654</v>
      </c>
      <c r="AK164" s="79">
        <v>581186.74</v>
      </c>
      <c r="AL164" s="79">
        <v>0</v>
      </c>
      <c r="AM164" s="79">
        <v>0</v>
      </c>
      <c r="AN164" s="79">
        <v>425</v>
      </c>
      <c r="AO164" s="79">
        <v>83000</v>
      </c>
      <c r="AP164" s="79">
        <v>198950</v>
      </c>
      <c r="AQ164" s="79">
        <v>196621</v>
      </c>
      <c r="AR164" s="80">
        <v>0.21133982800000001</v>
      </c>
      <c r="AS164" s="80">
        <v>0.14053195900000001</v>
      </c>
      <c r="AT164" s="79">
        <v>2670797.08</v>
      </c>
      <c r="AU164" s="79">
        <v>1162373.48</v>
      </c>
      <c r="AV164" s="79">
        <v>18958.32</v>
      </c>
      <c r="AW164" s="79">
        <v>1966147.62591279</v>
      </c>
      <c r="AX164" s="79">
        <v>21</v>
      </c>
      <c r="AY164" s="79">
        <v>27.51</v>
      </c>
      <c r="AZ164" s="79">
        <v>144466</v>
      </c>
      <c r="BA164" s="79">
        <v>1</v>
      </c>
      <c r="BB164" s="79">
        <v>1</v>
      </c>
      <c r="BC164" s="79">
        <v>0</v>
      </c>
      <c r="BD164" s="79">
        <v>0</v>
      </c>
      <c r="BE164" s="79">
        <v>0</v>
      </c>
      <c r="BF164" s="79">
        <v>0</v>
      </c>
      <c r="BG164" s="79">
        <v>0</v>
      </c>
      <c r="BH164" s="79">
        <v>0</v>
      </c>
      <c r="BI164" s="79">
        <v>0</v>
      </c>
      <c r="BJ164" s="79">
        <v>0</v>
      </c>
      <c r="BK164" s="79">
        <v>577</v>
      </c>
      <c r="BL164" s="79">
        <v>258090</v>
      </c>
      <c r="BM164" s="79">
        <v>2101</v>
      </c>
      <c r="BN164" s="79">
        <v>258</v>
      </c>
      <c r="BO164">
        <v>155414</v>
      </c>
      <c r="BP164">
        <v>31562</v>
      </c>
      <c r="BQ164">
        <v>139257</v>
      </c>
      <c r="BR164">
        <v>31628</v>
      </c>
      <c r="BS164">
        <v>141065</v>
      </c>
      <c r="BT164">
        <v>32242</v>
      </c>
      <c r="BU164">
        <v>142968</v>
      </c>
      <c r="BV164">
        <v>33665</v>
      </c>
      <c r="BW164">
        <v>144042</v>
      </c>
      <c r="BX164">
        <v>34911</v>
      </c>
      <c r="BY164">
        <v>145634</v>
      </c>
      <c r="BZ164">
        <v>36114</v>
      </c>
      <c r="CA164">
        <v>148413</v>
      </c>
      <c r="CB164">
        <v>36527.545964859302</v>
      </c>
      <c r="CC164">
        <v>2432.2276650199201</v>
      </c>
      <c r="CD164">
        <v>5395.82874762553</v>
      </c>
      <c r="CE164">
        <v>286680.86940915103</v>
      </c>
      <c r="CF164">
        <v>53196.950931598403</v>
      </c>
      <c r="CG164">
        <v>4518.9555990870203</v>
      </c>
      <c r="CH164">
        <v>15342</v>
      </c>
      <c r="CI164">
        <v>11876.2827669121</v>
      </c>
      <c r="CJ164">
        <v>11734.2484980835</v>
      </c>
      <c r="CK164" s="81">
        <v>39018</v>
      </c>
      <c r="CL164">
        <v>8749</v>
      </c>
      <c r="CM164">
        <v>71690.468793652806</v>
      </c>
      <c r="CN164">
        <v>108.336619596655</v>
      </c>
      <c r="CO164">
        <v>748467</v>
      </c>
      <c r="CP164">
        <v>64457</v>
      </c>
      <c r="CQ164">
        <v>11237</v>
      </c>
      <c r="CR164">
        <v>29061</v>
      </c>
      <c r="CS164">
        <v>14888</v>
      </c>
      <c r="CT164">
        <v>6708</v>
      </c>
      <c r="CU164">
        <v>12124.5544010248</v>
      </c>
      <c r="CV164">
        <v>5809.2812259785796</v>
      </c>
      <c r="CW164">
        <v>2140.7161825676499</v>
      </c>
      <c r="CX164">
        <v>22260.338604313201</v>
      </c>
      <c r="CY164">
        <v>10665.675855851099</v>
      </c>
      <c r="CZ164">
        <v>3930.2943022517102</v>
      </c>
      <c r="DA164">
        <v>713520.2</v>
      </c>
      <c r="DE164">
        <v>484</v>
      </c>
      <c r="DF164" t="s">
        <v>20</v>
      </c>
      <c r="DG164">
        <v>24107</v>
      </c>
      <c r="DH164">
        <v>23961</v>
      </c>
      <c r="DI164">
        <v>23826</v>
      </c>
      <c r="DJ164">
        <v>23736</v>
      </c>
      <c r="DK164">
        <v>23565</v>
      </c>
      <c r="DO164">
        <v>363</v>
      </c>
      <c r="DP164" t="s">
        <v>26</v>
      </c>
      <c r="DQ164">
        <v>443654</v>
      </c>
      <c r="DR164">
        <v>1.31</v>
      </c>
      <c r="DS164">
        <v>6020</v>
      </c>
      <c r="DV164">
        <v>677</v>
      </c>
      <c r="DW164" t="s">
        <v>161</v>
      </c>
      <c r="DX164">
        <v>3838.4351175668098</v>
      </c>
      <c r="DY164">
        <v>698</v>
      </c>
      <c r="DZ164">
        <v>714</v>
      </c>
      <c r="EA164">
        <v>425</v>
      </c>
      <c r="EB164">
        <v>2295</v>
      </c>
      <c r="EC164">
        <v>1475</v>
      </c>
      <c r="ED164">
        <v>598</v>
      </c>
      <c r="EE164" s="82">
        <v>0.18313307645989599</v>
      </c>
      <c r="EF164" s="82">
        <v>0.45316433785906901</v>
      </c>
    </row>
    <row r="165" spans="1:136" x14ac:dyDescent="0.35">
      <c r="A165" s="72">
        <v>370</v>
      </c>
      <c r="B165" s="72">
        <v>7</v>
      </c>
      <c r="D165" s="72" t="s">
        <v>38</v>
      </c>
      <c r="E165" s="79">
        <v>969600000</v>
      </c>
      <c r="F165" s="79">
        <v>162750000</v>
      </c>
      <c r="G165" s="79">
        <v>190400000</v>
      </c>
      <c r="H165" s="79">
        <v>9550</v>
      </c>
      <c r="I165" s="79">
        <v>2</v>
      </c>
      <c r="J165" s="79">
        <v>190.4</v>
      </c>
      <c r="K165" s="79">
        <v>2189</v>
      </c>
      <c r="L165" s="79">
        <v>1926</v>
      </c>
      <c r="M165" s="79">
        <v>573</v>
      </c>
      <c r="N165" s="79">
        <v>952</v>
      </c>
      <c r="O165" s="79">
        <v>556.20000000000005</v>
      </c>
      <c r="P165" s="79">
        <v>67.3333333333333</v>
      </c>
      <c r="Q165" s="79">
        <v>575.33333333333303</v>
      </c>
      <c r="R165" s="79">
        <v>195</v>
      </c>
      <c r="S165" s="79">
        <v>0</v>
      </c>
      <c r="T165" s="79">
        <v>240</v>
      </c>
      <c r="U165" s="79">
        <v>4075</v>
      </c>
      <c r="V165" s="79">
        <v>5080</v>
      </c>
      <c r="W165" s="79">
        <v>220</v>
      </c>
      <c r="X165" s="79">
        <v>0</v>
      </c>
      <c r="Y165" s="79">
        <v>0</v>
      </c>
      <c r="Z165" s="79">
        <v>0</v>
      </c>
      <c r="AA165" s="79">
        <v>0</v>
      </c>
      <c r="AB165" s="79">
        <v>0</v>
      </c>
      <c r="AC165" s="79">
        <v>7059</v>
      </c>
      <c r="AD165" s="79">
        <v>8682.57</v>
      </c>
      <c r="AE165" s="79">
        <v>148</v>
      </c>
      <c r="AF165" s="79">
        <v>0</v>
      </c>
      <c r="AG165" s="79">
        <v>97</v>
      </c>
      <c r="AH165" s="79">
        <v>49.6</v>
      </c>
      <c r="AI165" s="79">
        <v>70.11</v>
      </c>
      <c r="AJ165" s="79">
        <v>3958</v>
      </c>
      <c r="AK165" s="79">
        <v>4907.92</v>
      </c>
      <c r="AL165" s="79">
        <v>0</v>
      </c>
      <c r="AM165" s="79">
        <v>0</v>
      </c>
      <c r="AN165" s="79">
        <v>0</v>
      </c>
      <c r="AO165" s="79">
        <v>0</v>
      </c>
      <c r="AP165" s="79">
        <v>0</v>
      </c>
      <c r="AQ165" s="79">
        <v>0</v>
      </c>
      <c r="AR165" s="80">
        <v>1.7574999999999999E-4</v>
      </c>
      <c r="AS165" s="80">
        <v>4.1353000000000002E-5</v>
      </c>
      <c r="AT165" s="79">
        <v>2414.38</v>
      </c>
      <c r="AU165" s="79">
        <v>0</v>
      </c>
      <c r="AV165" s="79">
        <v>3794.55</v>
      </c>
      <c r="AW165" s="79">
        <v>5993.0457194394303</v>
      </c>
      <c r="AX165" s="79">
        <v>4</v>
      </c>
      <c r="AY165" s="79">
        <v>4.92</v>
      </c>
      <c r="AZ165" s="79">
        <v>1313</v>
      </c>
      <c r="BA165" s="79">
        <v>1</v>
      </c>
      <c r="BB165" s="79">
        <v>0</v>
      </c>
      <c r="BC165" s="79">
        <v>0</v>
      </c>
      <c r="BD165" s="79">
        <v>0</v>
      </c>
      <c r="BE165" s="79">
        <v>0</v>
      </c>
      <c r="BF165" s="79">
        <v>0</v>
      </c>
      <c r="BG165" s="79">
        <v>0</v>
      </c>
      <c r="BH165" s="79">
        <v>0</v>
      </c>
      <c r="BI165" s="79">
        <v>0</v>
      </c>
      <c r="BJ165" s="79">
        <v>0</v>
      </c>
      <c r="BK165" s="79">
        <v>1</v>
      </c>
      <c r="BL165" s="79">
        <v>1030</v>
      </c>
      <c r="BM165" s="79">
        <v>40</v>
      </c>
      <c r="BN165" s="79">
        <v>57</v>
      </c>
      <c r="BO165">
        <v>2092</v>
      </c>
      <c r="BP165">
        <v>0</v>
      </c>
      <c r="BQ165">
        <v>1891</v>
      </c>
      <c r="BR165">
        <v>0</v>
      </c>
      <c r="BS165">
        <v>1880</v>
      </c>
      <c r="BT165">
        <v>0</v>
      </c>
      <c r="BU165">
        <v>1847</v>
      </c>
      <c r="BV165">
        <v>0</v>
      </c>
      <c r="BW165">
        <v>1858</v>
      </c>
      <c r="BX165">
        <v>0</v>
      </c>
      <c r="BY165">
        <v>1843</v>
      </c>
      <c r="BZ165">
        <v>0</v>
      </c>
      <c r="CA165">
        <v>1967</v>
      </c>
      <c r="CB165">
        <v>156.098529410776</v>
      </c>
      <c r="CC165">
        <v>18.9670132727972</v>
      </c>
      <c r="CD165">
        <v>10.5194465289823</v>
      </c>
      <c r="CE165">
        <v>3076.76660463802</v>
      </c>
      <c r="CF165">
        <v>774.51290084237598</v>
      </c>
      <c r="CG165">
        <v>28.309238723108901</v>
      </c>
      <c r="CH165">
        <v>96</v>
      </c>
      <c r="CI165">
        <v>30.743594083383599</v>
      </c>
      <c r="CJ165">
        <v>23.413864645327902</v>
      </c>
      <c r="CK165" s="81">
        <v>508</v>
      </c>
      <c r="CL165">
        <v>200</v>
      </c>
      <c r="CM165">
        <v>1007.49408350078</v>
      </c>
      <c r="CN165">
        <v>4.4044884005823098E-2</v>
      </c>
      <c r="CO165">
        <v>7624</v>
      </c>
      <c r="CP165">
        <v>1140</v>
      </c>
      <c r="CQ165">
        <v>213</v>
      </c>
      <c r="CR165">
        <v>198</v>
      </c>
      <c r="CS165">
        <v>196</v>
      </c>
      <c r="CT165">
        <v>115</v>
      </c>
      <c r="CU165">
        <v>99.856624976263504</v>
      </c>
      <c r="CV165">
        <v>56.459020028773502</v>
      </c>
      <c r="CW165">
        <v>23.033033046564299</v>
      </c>
      <c r="CX165">
        <v>222.733029207833</v>
      </c>
      <c r="CY165">
        <v>125.933442674471</v>
      </c>
      <c r="CZ165">
        <v>51.375832334858899</v>
      </c>
      <c r="DA165">
        <v>26280</v>
      </c>
      <c r="DE165">
        <v>489</v>
      </c>
      <c r="DF165" t="s">
        <v>34</v>
      </c>
      <c r="DG165">
        <v>11629</v>
      </c>
      <c r="DH165">
        <v>11772</v>
      </c>
      <c r="DI165">
        <v>11832</v>
      </c>
      <c r="DJ165">
        <v>11837</v>
      </c>
      <c r="DK165">
        <v>11894</v>
      </c>
      <c r="DO165">
        <v>370</v>
      </c>
      <c r="DP165" t="s">
        <v>38</v>
      </c>
      <c r="DQ165">
        <v>3958</v>
      </c>
      <c r="DR165">
        <v>1.24</v>
      </c>
      <c r="DS165">
        <v>610</v>
      </c>
      <c r="DV165">
        <v>353</v>
      </c>
      <c r="DW165" t="s">
        <v>162</v>
      </c>
      <c r="DX165">
        <v>3577.1260374173598</v>
      </c>
      <c r="DY165">
        <v>756</v>
      </c>
      <c r="DZ165">
        <v>561</v>
      </c>
      <c r="EA165">
        <v>344</v>
      </c>
      <c r="EB165">
        <v>2147</v>
      </c>
      <c r="EC165">
        <v>1181</v>
      </c>
      <c r="ED165">
        <v>468</v>
      </c>
      <c r="EE165" s="82">
        <v>0.14848055275197</v>
      </c>
      <c r="EF165" s="82">
        <v>0.36295171754800198</v>
      </c>
    </row>
    <row r="166" spans="1:136" x14ac:dyDescent="0.35">
      <c r="A166" s="72">
        <v>373</v>
      </c>
      <c r="B166" s="72">
        <v>7</v>
      </c>
      <c r="D166" s="72" t="s">
        <v>43</v>
      </c>
      <c r="E166" s="79">
        <v>4574800000</v>
      </c>
      <c r="F166" s="79">
        <v>495250000</v>
      </c>
      <c r="G166" s="79">
        <v>531650000</v>
      </c>
      <c r="H166" s="79">
        <v>29941</v>
      </c>
      <c r="I166" s="79">
        <v>4</v>
      </c>
      <c r="J166" s="79">
        <v>531.65</v>
      </c>
      <c r="K166" s="79">
        <v>5588</v>
      </c>
      <c r="L166" s="79">
        <v>9375</v>
      </c>
      <c r="M166" s="79">
        <v>2908</v>
      </c>
      <c r="N166" s="79">
        <v>3916</v>
      </c>
      <c r="O166" s="79">
        <v>2083.4</v>
      </c>
      <c r="P166" s="79">
        <v>285.33333333333297</v>
      </c>
      <c r="Q166" s="79">
        <v>1688.3333333333301</v>
      </c>
      <c r="R166" s="79">
        <v>460</v>
      </c>
      <c r="S166" s="79">
        <v>0</v>
      </c>
      <c r="T166" s="79">
        <v>947</v>
      </c>
      <c r="U166" s="79">
        <v>14624</v>
      </c>
      <c r="V166" s="79">
        <v>25690</v>
      </c>
      <c r="W166" s="79">
        <v>7540</v>
      </c>
      <c r="X166" s="79">
        <v>480.94</v>
      </c>
      <c r="Y166" s="79">
        <v>1661.6</v>
      </c>
      <c r="Z166" s="79">
        <v>0</v>
      </c>
      <c r="AA166" s="79">
        <v>0</v>
      </c>
      <c r="AB166" s="79">
        <v>362.1</v>
      </c>
      <c r="AC166" s="79">
        <v>9863</v>
      </c>
      <c r="AD166" s="79">
        <v>10158.89</v>
      </c>
      <c r="AE166" s="79">
        <v>94</v>
      </c>
      <c r="AF166" s="79">
        <v>2066</v>
      </c>
      <c r="AG166" s="79">
        <v>218</v>
      </c>
      <c r="AH166" s="79">
        <v>192.78</v>
      </c>
      <c r="AI166" s="79">
        <v>29.87</v>
      </c>
      <c r="AJ166" s="79">
        <v>18326</v>
      </c>
      <c r="AK166" s="79">
        <v>18692.52</v>
      </c>
      <c r="AL166" s="79">
        <v>0</v>
      </c>
      <c r="AM166" s="79">
        <v>0</v>
      </c>
      <c r="AN166" s="79">
        <v>0</v>
      </c>
      <c r="AO166" s="79">
        <v>0</v>
      </c>
      <c r="AP166" s="79">
        <v>1819</v>
      </c>
      <c r="AQ166" s="79">
        <v>0</v>
      </c>
      <c r="AR166" s="80">
        <v>6.1442699999999996E-4</v>
      </c>
      <c r="AS166" s="80">
        <v>3.6347700000000002E-4</v>
      </c>
      <c r="AT166" s="79">
        <v>14917.364</v>
      </c>
      <c r="AU166" s="79">
        <v>0</v>
      </c>
      <c r="AV166" s="79">
        <v>2222.7399999999998</v>
      </c>
      <c r="AW166" s="79">
        <v>6683.8463734056504</v>
      </c>
      <c r="AX166" s="79">
        <v>5</v>
      </c>
      <c r="AY166" s="79">
        <v>5.15</v>
      </c>
      <c r="AZ166" s="79">
        <v>4100</v>
      </c>
      <c r="BA166" s="79">
        <v>1</v>
      </c>
      <c r="BB166" s="79">
        <v>0</v>
      </c>
      <c r="BC166" s="79">
        <v>0</v>
      </c>
      <c r="BD166" s="79">
        <v>0</v>
      </c>
      <c r="BE166" s="79">
        <v>0</v>
      </c>
      <c r="BF166" s="79">
        <v>0</v>
      </c>
      <c r="BG166" s="79">
        <v>0</v>
      </c>
      <c r="BH166" s="79">
        <v>0</v>
      </c>
      <c r="BI166" s="79">
        <v>0</v>
      </c>
      <c r="BJ166" s="79">
        <v>0</v>
      </c>
      <c r="BK166" s="79">
        <v>10</v>
      </c>
      <c r="BL166" s="79">
        <v>4977</v>
      </c>
      <c r="BM166" s="79">
        <v>189</v>
      </c>
      <c r="BN166" s="79">
        <v>29</v>
      </c>
      <c r="BO166">
        <v>6731</v>
      </c>
      <c r="BP166">
        <v>1559</v>
      </c>
      <c r="BQ166">
        <v>6017</v>
      </c>
      <c r="BR166">
        <v>1595</v>
      </c>
      <c r="BS166">
        <v>5882</v>
      </c>
      <c r="BT166">
        <v>1538</v>
      </c>
      <c r="BU166">
        <v>5788</v>
      </c>
      <c r="BV166">
        <v>1500</v>
      </c>
      <c r="BW166">
        <v>5654</v>
      </c>
      <c r="BX166">
        <v>1551</v>
      </c>
      <c r="BY166">
        <v>5436</v>
      </c>
      <c r="BZ166">
        <v>1619</v>
      </c>
      <c r="CA166">
        <v>4872</v>
      </c>
      <c r="CB166">
        <v>393.49342975441402</v>
      </c>
      <c r="CC166">
        <v>31.3548840971422</v>
      </c>
      <c r="CD166">
        <v>50.865698471856497</v>
      </c>
      <c r="CE166">
        <v>11487.047856172499</v>
      </c>
      <c r="CF166">
        <v>2281.5505232053602</v>
      </c>
      <c r="CG166">
        <v>61.767865287466897</v>
      </c>
      <c r="CH166">
        <v>349</v>
      </c>
      <c r="CI166">
        <v>74.503228407556705</v>
      </c>
      <c r="CJ166">
        <v>68.822571836266903</v>
      </c>
      <c r="CK166" s="81">
        <v>1403</v>
      </c>
      <c r="CL166">
        <v>457</v>
      </c>
      <c r="CM166">
        <v>4563.53516481314</v>
      </c>
      <c r="CN166">
        <v>0.16274365938618199</v>
      </c>
      <c r="CO166">
        <v>20566</v>
      </c>
      <c r="CP166">
        <v>5293</v>
      </c>
      <c r="CQ166">
        <v>1174</v>
      </c>
      <c r="CR166">
        <v>1313</v>
      </c>
      <c r="CS166">
        <v>972</v>
      </c>
      <c r="CT166">
        <v>486</v>
      </c>
      <c r="CU166">
        <v>381.781411925871</v>
      </c>
      <c r="CV166">
        <v>231.52388689877901</v>
      </c>
      <c r="CW166">
        <v>80.016110150584396</v>
      </c>
      <c r="CX166">
        <v>1003.77454765806</v>
      </c>
      <c r="CY166">
        <v>608.71948603139799</v>
      </c>
      <c r="CZ166">
        <v>210.377279413895</v>
      </c>
      <c r="DA166">
        <v>68335</v>
      </c>
      <c r="DE166">
        <v>498</v>
      </c>
      <c r="DF166" t="s">
        <v>91</v>
      </c>
      <c r="DG166">
        <v>4487</v>
      </c>
      <c r="DH166">
        <v>4475</v>
      </c>
      <c r="DI166">
        <v>4436</v>
      </c>
      <c r="DJ166">
        <v>4330</v>
      </c>
      <c r="DK166">
        <v>4259</v>
      </c>
      <c r="DO166">
        <v>373</v>
      </c>
      <c r="DP166" t="s">
        <v>43</v>
      </c>
      <c r="DQ166">
        <v>18326</v>
      </c>
      <c r="DR166">
        <v>1.02</v>
      </c>
      <c r="DS166">
        <v>814</v>
      </c>
      <c r="DV166">
        <v>1884</v>
      </c>
      <c r="DW166" t="s">
        <v>163</v>
      </c>
      <c r="DX166">
        <v>2739.8355571583102</v>
      </c>
      <c r="DY166">
        <v>537</v>
      </c>
      <c r="DZ166">
        <v>504</v>
      </c>
      <c r="EA166">
        <v>246</v>
      </c>
      <c r="EB166">
        <v>1954</v>
      </c>
      <c r="EC166">
        <v>1129</v>
      </c>
      <c r="ED166">
        <v>381</v>
      </c>
      <c r="EE166" s="82">
        <v>0.135179017781829</v>
      </c>
      <c r="EF166" s="82">
        <v>0.35643063385123003</v>
      </c>
    </row>
    <row r="167" spans="1:136" x14ac:dyDescent="0.35">
      <c r="A167" s="72">
        <v>375</v>
      </c>
      <c r="B167" s="72">
        <v>7</v>
      </c>
      <c r="D167" s="72" t="s">
        <v>49</v>
      </c>
      <c r="E167" s="79">
        <v>2956400000</v>
      </c>
      <c r="F167" s="79">
        <v>689500000</v>
      </c>
      <c r="G167" s="79">
        <v>698950000</v>
      </c>
      <c r="H167" s="79">
        <v>41077</v>
      </c>
      <c r="I167" s="79">
        <v>2</v>
      </c>
      <c r="J167" s="79">
        <v>698.95</v>
      </c>
      <c r="K167" s="79">
        <v>9058</v>
      </c>
      <c r="L167" s="79">
        <v>7377</v>
      </c>
      <c r="M167" s="79">
        <v>2288</v>
      </c>
      <c r="N167" s="79">
        <v>6290</v>
      </c>
      <c r="O167" s="79">
        <v>4364.8</v>
      </c>
      <c r="P167" s="79">
        <v>986.66666666666697</v>
      </c>
      <c r="Q167" s="79">
        <v>3471.6666666666702</v>
      </c>
      <c r="R167" s="79">
        <v>3640</v>
      </c>
      <c r="S167" s="79">
        <v>0</v>
      </c>
      <c r="T167" s="79">
        <v>1575</v>
      </c>
      <c r="U167" s="79">
        <v>19381</v>
      </c>
      <c r="V167" s="79">
        <v>39120</v>
      </c>
      <c r="W167" s="79">
        <v>21020</v>
      </c>
      <c r="X167" s="79">
        <v>2356.12</v>
      </c>
      <c r="Y167" s="79">
        <v>1378.4</v>
      </c>
      <c r="Z167" s="79">
        <v>0</v>
      </c>
      <c r="AA167" s="79">
        <v>0</v>
      </c>
      <c r="AB167" s="79">
        <v>273.2</v>
      </c>
      <c r="AC167" s="79">
        <v>1836</v>
      </c>
      <c r="AD167" s="79">
        <v>1891.08</v>
      </c>
      <c r="AE167" s="79">
        <v>52</v>
      </c>
      <c r="AF167" s="79">
        <v>121</v>
      </c>
      <c r="AG167" s="79">
        <v>240</v>
      </c>
      <c r="AH167" s="79">
        <v>197.88</v>
      </c>
      <c r="AI167" s="79">
        <v>49.35</v>
      </c>
      <c r="AJ167" s="79">
        <v>19252</v>
      </c>
      <c r="AK167" s="79">
        <v>19637.04</v>
      </c>
      <c r="AL167" s="79">
        <v>17</v>
      </c>
      <c r="AM167" s="79">
        <v>0</v>
      </c>
      <c r="AN167" s="79">
        <v>0</v>
      </c>
      <c r="AO167" s="79">
        <v>0</v>
      </c>
      <c r="AP167" s="79">
        <v>3506</v>
      </c>
      <c r="AQ167" s="79">
        <v>2217</v>
      </c>
      <c r="AR167" s="80">
        <v>1.089345E-3</v>
      </c>
      <c r="AS167" s="80">
        <v>1.9743389999999999E-3</v>
      </c>
      <c r="AT167" s="79">
        <v>52403.944000000003</v>
      </c>
      <c r="AU167" s="79">
        <v>0</v>
      </c>
      <c r="AV167" s="79">
        <v>600.49</v>
      </c>
      <c r="AW167" s="79">
        <v>13692.2608103814</v>
      </c>
      <c r="AX167" s="79">
        <v>3</v>
      </c>
      <c r="AY167" s="79">
        <v>3.15</v>
      </c>
      <c r="AZ167" s="79">
        <v>4297</v>
      </c>
      <c r="BA167" s="79">
        <v>1</v>
      </c>
      <c r="BB167" s="79">
        <v>0</v>
      </c>
      <c r="BC167" s="79">
        <v>0</v>
      </c>
      <c r="BD167" s="79">
        <v>0</v>
      </c>
      <c r="BE167" s="79">
        <v>0</v>
      </c>
      <c r="BF167" s="79">
        <v>0</v>
      </c>
      <c r="BG167" s="79">
        <v>0</v>
      </c>
      <c r="BH167" s="79">
        <v>0</v>
      </c>
      <c r="BI167" s="79">
        <v>0</v>
      </c>
      <c r="BJ167" s="79">
        <v>0</v>
      </c>
      <c r="BK167" s="79">
        <v>8</v>
      </c>
      <c r="BL167" s="79">
        <v>7274</v>
      </c>
      <c r="BM167" s="79">
        <v>194</v>
      </c>
      <c r="BN167" s="79">
        <v>47</v>
      </c>
      <c r="BO167">
        <v>8579</v>
      </c>
      <c r="BP167">
        <v>1318</v>
      </c>
      <c r="BQ167">
        <v>7876</v>
      </c>
      <c r="BR167">
        <v>1355</v>
      </c>
      <c r="BS167">
        <v>7981</v>
      </c>
      <c r="BT167">
        <v>1422</v>
      </c>
      <c r="BU167">
        <v>8065</v>
      </c>
      <c r="BV167">
        <v>1550</v>
      </c>
      <c r="BW167">
        <v>8160</v>
      </c>
      <c r="BX167">
        <v>1672</v>
      </c>
      <c r="BY167">
        <v>8204</v>
      </c>
      <c r="BZ167">
        <v>1704</v>
      </c>
      <c r="CA167">
        <v>8119</v>
      </c>
      <c r="CB167">
        <v>1080.9453361492599</v>
      </c>
      <c r="CC167">
        <v>170.75274059502601</v>
      </c>
      <c r="CD167">
        <v>145.54285023586601</v>
      </c>
      <c r="CE167">
        <v>11701.370369726101</v>
      </c>
      <c r="CF167">
        <v>2819.8461011356899</v>
      </c>
      <c r="CG167">
        <v>271.85429526161403</v>
      </c>
      <c r="CH167">
        <v>597</v>
      </c>
      <c r="CI167">
        <v>305.96428237880002</v>
      </c>
      <c r="CJ167">
        <v>290.190019392095</v>
      </c>
      <c r="CK167" s="81">
        <v>2485</v>
      </c>
      <c r="CL167">
        <v>618</v>
      </c>
      <c r="CM167">
        <v>6187.1632690113602</v>
      </c>
      <c r="CN167">
        <v>2.04721999466808</v>
      </c>
      <c r="CO167">
        <v>33700</v>
      </c>
      <c r="CP167">
        <v>4125</v>
      </c>
      <c r="CQ167">
        <v>964</v>
      </c>
      <c r="CR167">
        <v>1093</v>
      </c>
      <c r="CS167">
        <v>902</v>
      </c>
      <c r="CT167">
        <v>482</v>
      </c>
      <c r="CU167">
        <v>612.59730554520104</v>
      </c>
      <c r="CV167">
        <v>376.12839744614701</v>
      </c>
      <c r="CW167">
        <v>148.72828735664399</v>
      </c>
      <c r="CX167">
        <v>1359.4151881596999</v>
      </c>
      <c r="CY167">
        <v>834.66683832603201</v>
      </c>
      <c r="CZ167">
        <v>330.04306566719498</v>
      </c>
      <c r="DA167">
        <v>0</v>
      </c>
      <c r="DE167">
        <v>501</v>
      </c>
      <c r="DF167" t="s">
        <v>61</v>
      </c>
      <c r="DG167">
        <v>3223</v>
      </c>
      <c r="DH167">
        <v>3197</v>
      </c>
      <c r="DI167">
        <v>3174</v>
      </c>
      <c r="DJ167">
        <v>3143</v>
      </c>
      <c r="DK167">
        <v>3132</v>
      </c>
      <c r="DO167">
        <v>375</v>
      </c>
      <c r="DP167" t="s">
        <v>49</v>
      </c>
      <c r="DQ167">
        <v>19252</v>
      </c>
      <c r="DR167">
        <v>1.02</v>
      </c>
      <c r="DS167">
        <v>2722</v>
      </c>
      <c r="DV167">
        <v>166</v>
      </c>
      <c r="DW167" t="s">
        <v>164</v>
      </c>
      <c r="DX167">
        <v>6656.7615344981004</v>
      </c>
      <c r="DY167">
        <v>984</v>
      </c>
      <c r="DZ167">
        <v>929</v>
      </c>
      <c r="EA167">
        <v>472</v>
      </c>
      <c r="EB167">
        <v>3104</v>
      </c>
      <c r="EC167">
        <v>1934</v>
      </c>
      <c r="ED167">
        <v>685</v>
      </c>
      <c r="EE167" s="82">
        <v>0.202635094312516</v>
      </c>
      <c r="EF167" s="82">
        <v>0.53927286471392499</v>
      </c>
    </row>
    <row r="168" spans="1:136" x14ac:dyDescent="0.35">
      <c r="A168" s="72">
        <v>376</v>
      </c>
      <c r="B168" s="72">
        <v>7</v>
      </c>
      <c r="D168" s="72" t="s">
        <v>51</v>
      </c>
      <c r="E168" s="79">
        <v>2220000000</v>
      </c>
      <c r="F168" s="79">
        <v>85750000</v>
      </c>
      <c r="G168" s="79">
        <v>89250000</v>
      </c>
      <c r="H168" s="79">
        <v>10795</v>
      </c>
      <c r="I168" s="79">
        <v>2</v>
      </c>
      <c r="J168" s="79">
        <v>89.25</v>
      </c>
      <c r="K168" s="79">
        <v>2524</v>
      </c>
      <c r="L168" s="79">
        <v>2768</v>
      </c>
      <c r="M168" s="79">
        <v>760</v>
      </c>
      <c r="N168" s="79">
        <v>1018</v>
      </c>
      <c r="O168" s="79">
        <v>530.4</v>
      </c>
      <c r="P168" s="79">
        <v>105</v>
      </c>
      <c r="Q168" s="79">
        <v>375</v>
      </c>
      <c r="R168" s="79">
        <v>480</v>
      </c>
      <c r="S168" s="79">
        <v>0</v>
      </c>
      <c r="T168" s="79">
        <v>322</v>
      </c>
      <c r="U168" s="79">
        <v>4803</v>
      </c>
      <c r="V168" s="79">
        <v>7500</v>
      </c>
      <c r="W168" s="79">
        <v>580</v>
      </c>
      <c r="X168" s="79">
        <v>0</v>
      </c>
      <c r="Y168" s="79">
        <v>0</v>
      </c>
      <c r="Z168" s="79">
        <v>0</v>
      </c>
      <c r="AA168" s="79">
        <v>285.5</v>
      </c>
      <c r="AB168" s="79">
        <v>0</v>
      </c>
      <c r="AC168" s="79">
        <v>1109</v>
      </c>
      <c r="AD168" s="79">
        <v>1109</v>
      </c>
      <c r="AE168" s="79">
        <v>447</v>
      </c>
      <c r="AF168" s="79">
        <v>0</v>
      </c>
      <c r="AG168" s="79">
        <v>57</v>
      </c>
      <c r="AH168" s="79">
        <v>55</v>
      </c>
      <c r="AI168" s="79">
        <v>2</v>
      </c>
      <c r="AJ168" s="79">
        <v>4876</v>
      </c>
      <c r="AK168" s="79">
        <v>4876</v>
      </c>
      <c r="AL168" s="79">
        <v>0</v>
      </c>
      <c r="AM168" s="79">
        <v>0</v>
      </c>
      <c r="AN168" s="79">
        <v>0</v>
      </c>
      <c r="AO168" s="79">
        <v>0</v>
      </c>
      <c r="AP168" s="79">
        <v>779</v>
      </c>
      <c r="AQ168" s="79">
        <v>0</v>
      </c>
      <c r="AR168" s="80">
        <v>1.12701E-4</v>
      </c>
      <c r="AS168" s="80">
        <v>5.1777000000000002E-5</v>
      </c>
      <c r="AT168" s="79">
        <v>5051.5360000000001</v>
      </c>
      <c r="AU168" s="79">
        <v>0</v>
      </c>
      <c r="AV168" s="79">
        <v>411</v>
      </c>
      <c r="AW168" s="79">
        <v>2851.3785347043699</v>
      </c>
      <c r="AX168" s="79">
        <v>3</v>
      </c>
      <c r="AY168" s="79">
        <v>3</v>
      </c>
      <c r="AZ168" s="79">
        <v>1676</v>
      </c>
      <c r="BA168" s="79">
        <v>1</v>
      </c>
      <c r="BB168" s="79">
        <v>0</v>
      </c>
      <c r="BC168" s="79">
        <v>0</v>
      </c>
      <c r="BD168" s="79">
        <v>0</v>
      </c>
      <c r="BE168" s="79">
        <v>0</v>
      </c>
      <c r="BF168" s="79">
        <v>0</v>
      </c>
      <c r="BG168" s="79">
        <v>0</v>
      </c>
      <c r="BH168" s="79">
        <v>0</v>
      </c>
      <c r="BI168" s="79">
        <v>0</v>
      </c>
      <c r="BJ168" s="79">
        <v>0</v>
      </c>
      <c r="BK168" s="79">
        <v>8</v>
      </c>
      <c r="BL168" s="79">
        <v>1454</v>
      </c>
      <c r="BM168" s="79">
        <v>55</v>
      </c>
      <c r="BN168" s="79">
        <v>2</v>
      </c>
      <c r="BO168">
        <v>2035</v>
      </c>
      <c r="BP168">
        <v>0</v>
      </c>
      <c r="BQ168">
        <v>1861</v>
      </c>
      <c r="BR168">
        <v>0</v>
      </c>
      <c r="BS168">
        <v>1828</v>
      </c>
      <c r="BT168">
        <v>0</v>
      </c>
      <c r="BU168">
        <v>1818</v>
      </c>
      <c r="BV168">
        <v>0</v>
      </c>
      <c r="BW168">
        <v>1815</v>
      </c>
      <c r="BX168">
        <v>0</v>
      </c>
      <c r="BY168">
        <v>1813</v>
      </c>
      <c r="BZ168">
        <v>0</v>
      </c>
      <c r="CA168">
        <v>2290</v>
      </c>
      <c r="CB168">
        <v>308.803374210968</v>
      </c>
      <c r="CC168">
        <v>32.719287916057503</v>
      </c>
      <c r="CD168">
        <v>22.8648486392511</v>
      </c>
      <c r="CE168">
        <v>4389.25</v>
      </c>
      <c r="CF168">
        <v>1118.4100000000001</v>
      </c>
      <c r="CG168">
        <v>47.951939711664501</v>
      </c>
      <c r="CH168">
        <v>129</v>
      </c>
      <c r="CI168">
        <v>42.154229661302097</v>
      </c>
      <c r="CJ168">
        <v>30.1542196189829</v>
      </c>
      <c r="CK168" s="81">
        <v>270</v>
      </c>
      <c r="CL168">
        <v>43</v>
      </c>
      <c r="CM168">
        <v>1388.2042402826901</v>
      </c>
      <c r="CN168">
        <v>5.8321642678290597E-2</v>
      </c>
      <c r="CO168">
        <v>8027</v>
      </c>
      <c r="CP168">
        <v>1784</v>
      </c>
      <c r="CQ168">
        <v>224</v>
      </c>
      <c r="CR168">
        <v>411</v>
      </c>
      <c r="CS168">
        <v>260</v>
      </c>
      <c r="CT168">
        <v>114</v>
      </c>
      <c r="CU168">
        <v>125.79736682998001</v>
      </c>
      <c r="CV168">
        <v>60.669775878244501</v>
      </c>
      <c r="CW168">
        <v>17.722533097049901</v>
      </c>
      <c r="CX168">
        <v>116.591713185755</v>
      </c>
      <c r="CY168">
        <v>56.230057007477598</v>
      </c>
      <c r="CZ168">
        <v>16.4256259717184</v>
      </c>
      <c r="DA168">
        <v>7924</v>
      </c>
      <c r="DE168">
        <v>502</v>
      </c>
      <c r="DF168" t="s">
        <v>68</v>
      </c>
      <c r="DG168">
        <v>13758</v>
      </c>
      <c r="DH168">
        <v>13653</v>
      </c>
      <c r="DI168">
        <v>13753</v>
      </c>
      <c r="DJ168">
        <v>13621</v>
      </c>
      <c r="DK168">
        <v>13443</v>
      </c>
      <c r="DO168">
        <v>376</v>
      </c>
      <c r="DP168" t="s">
        <v>51</v>
      </c>
      <c r="DQ168">
        <v>4876</v>
      </c>
      <c r="DR168">
        <v>1</v>
      </c>
      <c r="DS168">
        <v>1036</v>
      </c>
      <c r="DV168">
        <v>678</v>
      </c>
      <c r="DW168" t="s">
        <v>165</v>
      </c>
      <c r="DX168">
        <v>1227.5974378881999</v>
      </c>
      <c r="DY168">
        <v>220</v>
      </c>
      <c r="DZ168">
        <v>232</v>
      </c>
      <c r="EA168">
        <v>175</v>
      </c>
      <c r="EB168">
        <v>866</v>
      </c>
      <c r="EC168">
        <v>525</v>
      </c>
      <c r="ED168">
        <v>241</v>
      </c>
      <c r="EE168" s="82">
        <v>0.12130835368454999</v>
      </c>
      <c r="EF168" s="82">
        <v>0.41136582378160802</v>
      </c>
    </row>
    <row r="169" spans="1:136" x14ac:dyDescent="0.35">
      <c r="A169" s="72">
        <v>377</v>
      </c>
      <c r="B169" s="72">
        <v>7</v>
      </c>
      <c r="D169" s="72" t="s">
        <v>52</v>
      </c>
      <c r="E169" s="79">
        <v>4948400000</v>
      </c>
      <c r="F169" s="79">
        <v>203000000</v>
      </c>
      <c r="G169" s="79">
        <v>219800000</v>
      </c>
      <c r="H169" s="79">
        <v>23208</v>
      </c>
      <c r="I169" s="79">
        <v>3</v>
      </c>
      <c r="J169" s="79">
        <v>219.8</v>
      </c>
      <c r="K169" s="79">
        <v>5833</v>
      </c>
      <c r="L169" s="79">
        <v>6049</v>
      </c>
      <c r="M169" s="79">
        <v>1940</v>
      </c>
      <c r="N169" s="79">
        <v>1946</v>
      </c>
      <c r="O169" s="79">
        <v>920.7</v>
      </c>
      <c r="P169" s="79">
        <v>174</v>
      </c>
      <c r="Q169" s="79">
        <v>860</v>
      </c>
      <c r="R169" s="79">
        <v>500</v>
      </c>
      <c r="S169" s="79">
        <v>0</v>
      </c>
      <c r="T169" s="79">
        <v>605</v>
      </c>
      <c r="U169" s="79">
        <v>10331</v>
      </c>
      <c r="V169" s="79">
        <v>12810</v>
      </c>
      <c r="W169" s="79">
        <v>1010</v>
      </c>
      <c r="X169" s="79">
        <v>166.08</v>
      </c>
      <c r="Y169" s="79">
        <v>1341.6</v>
      </c>
      <c r="Z169" s="79">
        <v>0</v>
      </c>
      <c r="AA169" s="79">
        <v>0</v>
      </c>
      <c r="AB169" s="79">
        <v>410.9</v>
      </c>
      <c r="AC169" s="79">
        <v>3981</v>
      </c>
      <c r="AD169" s="79">
        <v>3981</v>
      </c>
      <c r="AE169" s="79">
        <v>79</v>
      </c>
      <c r="AF169" s="79">
        <v>462</v>
      </c>
      <c r="AG169" s="79">
        <v>117</v>
      </c>
      <c r="AH169" s="79">
        <v>105</v>
      </c>
      <c r="AI169" s="79">
        <v>12</v>
      </c>
      <c r="AJ169" s="79">
        <v>10253</v>
      </c>
      <c r="AK169" s="79">
        <v>10253</v>
      </c>
      <c r="AL169" s="79">
        <v>0</v>
      </c>
      <c r="AM169" s="79">
        <v>0</v>
      </c>
      <c r="AN169" s="79">
        <v>0</v>
      </c>
      <c r="AO169" s="79">
        <v>0</v>
      </c>
      <c r="AP169" s="79">
        <v>2464</v>
      </c>
      <c r="AQ169" s="79">
        <v>0</v>
      </c>
      <c r="AR169" s="80">
        <v>4.6462400000000002E-4</v>
      </c>
      <c r="AS169" s="80">
        <v>1.53929E-4</v>
      </c>
      <c r="AT169" s="79">
        <v>10939.950999999999</v>
      </c>
      <c r="AU169" s="79">
        <v>0</v>
      </c>
      <c r="AV169" s="79">
        <v>1155</v>
      </c>
      <c r="AW169" s="79">
        <v>6602.2758620689701</v>
      </c>
      <c r="AX169" s="79">
        <v>5</v>
      </c>
      <c r="AY169" s="79">
        <v>5</v>
      </c>
      <c r="AZ169" s="79">
        <v>3288</v>
      </c>
      <c r="BA169" s="79">
        <v>1</v>
      </c>
      <c r="BB169" s="79">
        <v>0</v>
      </c>
      <c r="BC169" s="79">
        <v>0</v>
      </c>
      <c r="BD169" s="79">
        <v>0</v>
      </c>
      <c r="BE169" s="79">
        <v>0</v>
      </c>
      <c r="BF169" s="79">
        <v>0</v>
      </c>
      <c r="BG169" s="79">
        <v>0</v>
      </c>
      <c r="BH169" s="79">
        <v>0</v>
      </c>
      <c r="BI169" s="79">
        <v>0</v>
      </c>
      <c r="BJ169" s="79">
        <v>0</v>
      </c>
      <c r="BK169" s="79">
        <v>5</v>
      </c>
      <c r="BL169" s="79">
        <v>3070</v>
      </c>
      <c r="BM169" s="79">
        <v>105</v>
      </c>
      <c r="BN169" s="79">
        <v>12</v>
      </c>
      <c r="BO169">
        <v>5477</v>
      </c>
      <c r="BP169">
        <v>1151</v>
      </c>
      <c r="BQ169">
        <v>5067</v>
      </c>
      <c r="BR169">
        <v>1165</v>
      </c>
      <c r="BS169">
        <v>5056</v>
      </c>
      <c r="BT169">
        <v>1241</v>
      </c>
      <c r="BU169">
        <v>5046</v>
      </c>
      <c r="BV169">
        <v>1370</v>
      </c>
      <c r="BW169">
        <v>4987</v>
      </c>
      <c r="BX169">
        <v>1463</v>
      </c>
      <c r="BY169">
        <v>4944</v>
      </c>
      <c r="BZ169">
        <v>1608</v>
      </c>
      <c r="CA169">
        <v>5230</v>
      </c>
      <c r="CB169">
        <v>382.19169336435698</v>
      </c>
      <c r="CC169">
        <v>17.432580836805499</v>
      </c>
      <c r="CD169">
        <v>18.426876234552001</v>
      </c>
      <c r="CE169">
        <v>9304.24</v>
      </c>
      <c r="CF169">
        <v>2565.65</v>
      </c>
      <c r="CG169">
        <v>92.777690083839204</v>
      </c>
      <c r="CH169">
        <v>223</v>
      </c>
      <c r="CI169">
        <v>50.375801580939701</v>
      </c>
      <c r="CJ169">
        <v>29.444708569124501</v>
      </c>
      <c r="CK169" s="81">
        <v>686</v>
      </c>
      <c r="CL169">
        <v>172</v>
      </c>
      <c r="CM169">
        <v>2818.2272981700698</v>
      </c>
      <c r="CN169">
        <v>9.6789992012796297E-2</v>
      </c>
      <c r="CO169">
        <v>17159</v>
      </c>
      <c r="CP169">
        <v>3138</v>
      </c>
      <c r="CQ169">
        <v>971</v>
      </c>
      <c r="CR169">
        <v>649</v>
      </c>
      <c r="CS169">
        <v>623</v>
      </c>
      <c r="CT169">
        <v>452</v>
      </c>
      <c r="CU169">
        <v>171.764601100904</v>
      </c>
      <c r="CV169">
        <v>117.532599498737</v>
      </c>
      <c r="CW169">
        <v>56.566491737360103</v>
      </c>
      <c r="CX169">
        <v>109.382307933189</v>
      </c>
      <c r="CY169">
        <v>74.846545261131595</v>
      </c>
      <c r="CZ169">
        <v>36.022401462576703</v>
      </c>
      <c r="DA169">
        <v>61687.6</v>
      </c>
      <c r="DE169">
        <v>503</v>
      </c>
      <c r="DF169" t="s">
        <v>80</v>
      </c>
      <c r="DG169">
        <v>16011</v>
      </c>
      <c r="DH169">
        <v>15741</v>
      </c>
      <c r="DI169">
        <v>15631</v>
      </c>
      <c r="DJ169">
        <v>15623</v>
      </c>
      <c r="DK169">
        <v>15349</v>
      </c>
      <c r="DO169">
        <v>377</v>
      </c>
      <c r="DP169" t="s">
        <v>52</v>
      </c>
      <c r="DQ169">
        <v>10253</v>
      </c>
      <c r="DR169">
        <v>1</v>
      </c>
      <c r="DS169">
        <v>1067</v>
      </c>
      <c r="DV169">
        <v>537</v>
      </c>
      <c r="DW169" t="s">
        <v>166</v>
      </c>
      <c r="DX169">
        <v>7239.2931282290301</v>
      </c>
      <c r="DY169">
        <v>1388</v>
      </c>
      <c r="DZ169">
        <v>1251</v>
      </c>
      <c r="EA169">
        <v>565</v>
      </c>
      <c r="EB169">
        <v>4141</v>
      </c>
      <c r="EC169">
        <v>2479</v>
      </c>
      <c r="ED169">
        <v>817</v>
      </c>
      <c r="EE169" s="82">
        <v>0.17325305281504699</v>
      </c>
      <c r="EF169" s="82">
        <v>0.44140850577478302</v>
      </c>
    </row>
    <row r="170" spans="1:136" x14ac:dyDescent="0.35">
      <c r="A170" s="72">
        <v>383</v>
      </c>
      <c r="B170" s="72">
        <v>7</v>
      </c>
      <c r="D170" s="72" t="s">
        <v>69</v>
      </c>
      <c r="E170" s="79">
        <v>3538000000</v>
      </c>
      <c r="F170" s="79">
        <v>286300000</v>
      </c>
      <c r="G170" s="79">
        <v>306600000</v>
      </c>
      <c r="H170" s="79">
        <v>35608</v>
      </c>
      <c r="I170" s="79">
        <v>3</v>
      </c>
      <c r="J170" s="79">
        <v>306.60000000000002</v>
      </c>
      <c r="K170" s="79">
        <v>7636</v>
      </c>
      <c r="L170" s="79">
        <v>8636</v>
      </c>
      <c r="M170" s="79">
        <v>2819</v>
      </c>
      <c r="N170" s="79">
        <v>3650</v>
      </c>
      <c r="O170" s="79">
        <v>2046</v>
      </c>
      <c r="P170" s="79">
        <v>305.66666666666703</v>
      </c>
      <c r="Q170" s="79">
        <v>1711.6666666666699</v>
      </c>
      <c r="R170" s="79">
        <v>655</v>
      </c>
      <c r="S170" s="79">
        <v>0</v>
      </c>
      <c r="T170" s="79">
        <v>926</v>
      </c>
      <c r="U170" s="79">
        <v>16079</v>
      </c>
      <c r="V170" s="79">
        <v>30730</v>
      </c>
      <c r="W170" s="79">
        <v>8570</v>
      </c>
      <c r="X170" s="79">
        <v>224.9</v>
      </c>
      <c r="Y170" s="79">
        <v>2966.4</v>
      </c>
      <c r="Z170" s="79">
        <v>0</v>
      </c>
      <c r="AA170" s="79">
        <v>0</v>
      </c>
      <c r="AB170" s="79">
        <v>0</v>
      </c>
      <c r="AC170" s="79">
        <v>4953</v>
      </c>
      <c r="AD170" s="79">
        <v>5052.0600000000004</v>
      </c>
      <c r="AE170" s="79">
        <v>565</v>
      </c>
      <c r="AF170" s="79">
        <v>522</v>
      </c>
      <c r="AG170" s="79">
        <v>186</v>
      </c>
      <c r="AH170" s="79">
        <v>167.66</v>
      </c>
      <c r="AI170" s="79">
        <v>20.399999999999999</v>
      </c>
      <c r="AJ170" s="79">
        <v>16040</v>
      </c>
      <c r="AK170" s="79">
        <v>16200.4</v>
      </c>
      <c r="AL170" s="79">
        <v>0</v>
      </c>
      <c r="AM170" s="79">
        <v>0</v>
      </c>
      <c r="AN170" s="79">
        <v>0</v>
      </c>
      <c r="AO170" s="79">
        <v>0</v>
      </c>
      <c r="AP170" s="79">
        <v>0</v>
      </c>
      <c r="AQ170" s="79">
        <v>0</v>
      </c>
      <c r="AR170" s="80">
        <v>2.6911300000000002E-4</v>
      </c>
      <c r="AS170" s="80">
        <v>2.25453E-4</v>
      </c>
      <c r="AT170" s="79">
        <v>21397.360000000001</v>
      </c>
      <c r="AU170" s="79">
        <v>0</v>
      </c>
      <c r="AV170" s="79">
        <v>1979.82</v>
      </c>
      <c r="AW170" s="79">
        <v>17001.6261833998</v>
      </c>
      <c r="AX170" s="79">
        <v>7</v>
      </c>
      <c r="AY170" s="79">
        <v>7.14</v>
      </c>
      <c r="AZ170" s="79">
        <v>3782</v>
      </c>
      <c r="BA170" s="79">
        <v>1</v>
      </c>
      <c r="BB170" s="79">
        <v>0</v>
      </c>
      <c r="BC170" s="79">
        <v>0</v>
      </c>
      <c r="BD170" s="79">
        <v>0</v>
      </c>
      <c r="BE170" s="79">
        <v>0</v>
      </c>
      <c r="BF170" s="79">
        <v>0</v>
      </c>
      <c r="BG170" s="79">
        <v>0</v>
      </c>
      <c r="BH170" s="79">
        <v>0</v>
      </c>
      <c r="BI170" s="79">
        <v>0</v>
      </c>
      <c r="BJ170" s="79">
        <v>0</v>
      </c>
      <c r="BK170" s="79">
        <v>8</v>
      </c>
      <c r="BL170" s="79">
        <v>5083</v>
      </c>
      <c r="BM170" s="79">
        <v>166</v>
      </c>
      <c r="BN170" s="79">
        <v>20</v>
      </c>
      <c r="BO170">
        <v>8653</v>
      </c>
      <c r="BP170">
        <v>3491</v>
      </c>
      <c r="BQ170">
        <v>7679</v>
      </c>
      <c r="BR170">
        <v>3501</v>
      </c>
      <c r="BS170">
        <v>7538</v>
      </c>
      <c r="BT170">
        <v>3517</v>
      </c>
      <c r="BU170">
        <v>7362</v>
      </c>
      <c r="BV170">
        <v>3573</v>
      </c>
      <c r="BW170">
        <v>7152</v>
      </c>
      <c r="BX170">
        <v>3593</v>
      </c>
      <c r="BY170">
        <v>6965</v>
      </c>
      <c r="BZ170">
        <v>3642</v>
      </c>
      <c r="CA170">
        <v>6696</v>
      </c>
      <c r="CB170">
        <v>401.76654678090102</v>
      </c>
      <c r="CC170">
        <v>19.028481124379098</v>
      </c>
      <c r="CD170">
        <v>27.994647384489799</v>
      </c>
      <c r="CE170">
        <v>12815.373300666401</v>
      </c>
      <c r="CF170">
        <v>3063.6053319852499</v>
      </c>
      <c r="CG170">
        <v>137.39260295492801</v>
      </c>
      <c r="CH170">
        <v>379</v>
      </c>
      <c r="CI170">
        <v>94.486370522743002</v>
      </c>
      <c r="CJ170">
        <v>71.305860510771396</v>
      </c>
      <c r="CK170" s="81">
        <v>1406</v>
      </c>
      <c r="CL170">
        <v>397</v>
      </c>
      <c r="CM170">
        <v>4760.7537903132597</v>
      </c>
      <c r="CN170">
        <v>0.16249480868815</v>
      </c>
      <c r="CO170">
        <v>26972</v>
      </c>
      <c r="CP170">
        <v>4784</v>
      </c>
      <c r="CQ170">
        <v>1033</v>
      </c>
      <c r="CR170">
        <v>1008</v>
      </c>
      <c r="CS170">
        <v>910</v>
      </c>
      <c r="CT170">
        <v>504</v>
      </c>
      <c r="CU170">
        <v>380.55313111346197</v>
      </c>
      <c r="CV170">
        <v>248.6858598094</v>
      </c>
      <c r="CW170">
        <v>93.480377046302806</v>
      </c>
      <c r="CX170">
        <v>926.05736676400102</v>
      </c>
      <c r="CY170">
        <v>605.16483417888799</v>
      </c>
      <c r="CZ170">
        <v>227.47990946314101</v>
      </c>
      <c r="DA170">
        <v>19266</v>
      </c>
      <c r="DE170">
        <v>505</v>
      </c>
      <c r="DF170" t="s">
        <v>90</v>
      </c>
      <c r="DG170">
        <v>25168</v>
      </c>
      <c r="DH170">
        <v>24908</v>
      </c>
      <c r="DI170">
        <v>24763</v>
      </c>
      <c r="DJ170">
        <v>24611</v>
      </c>
      <c r="DK170">
        <v>24398</v>
      </c>
      <c r="DO170">
        <v>383</v>
      </c>
      <c r="DP170" t="s">
        <v>69</v>
      </c>
      <c r="DQ170">
        <v>16040</v>
      </c>
      <c r="DR170">
        <v>1.01</v>
      </c>
      <c r="DS170">
        <v>1334</v>
      </c>
      <c r="DV170">
        <v>928</v>
      </c>
      <c r="DW170" t="s">
        <v>167</v>
      </c>
      <c r="DX170">
        <v>9580.3711104264803</v>
      </c>
      <c r="DY170">
        <v>1586</v>
      </c>
      <c r="DZ170">
        <v>1382</v>
      </c>
      <c r="EA170">
        <v>611</v>
      </c>
      <c r="EB170">
        <v>4113</v>
      </c>
      <c r="EC170">
        <v>2610</v>
      </c>
      <c r="ED170">
        <v>839</v>
      </c>
      <c r="EE170" s="82">
        <v>0.29428640671769202</v>
      </c>
      <c r="EF170" s="82">
        <v>0.63598400690815204</v>
      </c>
    </row>
    <row r="171" spans="1:136" x14ac:dyDescent="0.35">
      <c r="A171" s="72">
        <v>400</v>
      </c>
      <c r="B171" s="72">
        <v>7</v>
      </c>
      <c r="D171" s="72" t="s">
        <v>82</v>
      </c>
      <c r="E171" s="79">
        <v>3420800000</v>
      </c>
      <c r="F171" s="79">
        <v>751800000</v>
      </c>
      <c r="G171" s="79">
        <v>788900000</v>
      </c>
      <c r="H171" s="79">
        <v>55760</v>
      </c>
      <c r="I171" s="79">
        <v>2</v>
      </c>
      <c r="J171" s="79">
        <v>788.9</v>
      </c>
      <c r="K171" s="79">
        <v>11225</v>
      </c>
      <c r="L171" s="79">
        <v>12205</v>
      </c>
      <c r="M171" s="79">
        <v>3690</v>
      </c>
      <c r="N171" s="79">
        <v>9428</v>
      </c>
      <c r="O171" s="79">
        <v>6423.5</v>
      </c>
      <c r="P171" s="79">
        <v>1758.3333333333301</v>
      </c>
      <c r="Q171" s="79">
        <v>6086.3333333333303</v>
      </c>
      <c r="R171" s="79">
        <v>2995</v>
      </c>
      <c r="S171" s="79">
        <v>0</v>
      </c>
      <c r="T171" s="79">
        <v>2315</v>
      </c>
      <c r="U171" s="79">
        <v>28216</v>
      </c>
      <c r="V171" s="79">
        <v>59370</v>
      </c>
      <c r="W171" s="79">
        <v>56260</v>
      </c>
      <c r="X171" s="79">
        <v>1475.3</v>
      </c>
      <c r="Y171" s="79">
        <v>2368</v>
      </c>
      <c r="Z171" s="79">
        <v>0</v>
      </c>
      <c r="AA171" s="79">
        <v>0</v>
      </c>
      <c r="AB171" s="79">
        <v>0</v>
      </c>
      <c r="AC171" s="79">
        <v>4512</v>
      </c>
      <c r="AD171" s="79">
        <v>5008.32</v>
      </c>
      <c r="AE171" s="79">
        <v>350</v>
      </c>
      <c r="AF171" s="79">
        <v>10000</v>
      </c>
      <c r="AG171" s="79">
        <v>331</v>
      </c>
      <c r="AH171" s="79">
        <v>291.02999999999997</v>
      </c>
      <c r="AI171" s="79">
        <v>72.319999999999993</v>
      </c>
      <c r="AJ171" s="79">
        <v>30045</v>
      </c>
      <c r="AK171" s="79">
        <v>32749.05</v>
      </c>
      <c r="AL171" s="79">
        <v>0</v>
      </c>
      <c r="AM171" s="79">
        <v>0</v>
      </c>
      <c r="AN171" s="79">
        <v>0</v>
      </c>
      <c r="AO171" s="79">
        <v>0</v>
      </c>
      <c r="AP171" s="79">
        <v>7694</v>
      </c>
      <c r="AQ171" s="79">
        <v>0</v>
      </c>
      <c r="AR171" s="80">
        <v>1.566914E-3</v>
      </c>
      <c r="AS171" s="80">
        <v>2.4964900000000001E-3</v>
      </c>
      <c r="AT171" s="79">
        <v>50776.05</v>
      </c>
      <c r="AU171" s="79">
        <v>0</v>
      </c>
      <c r="AV171" s="79">
        <v>3045.84</v>
      </c>
      <c r="AW171" s="79">
        <v>49010.769230769198</v>
      </c>
      <c r="AX171" s="79">
        <v>4</v>
      </c>
      <c r="AY171" s="79">
        <v>4.5199999999999996</v>
      </c>
      <c r="AZ171" s="79">
        <v>3585</v>
      </c>
      <c r="BA171" s="79">
        <v>1</v>
      </c>
      <c r="BB171" s="79">
        <v>0</v>
      </c>
      <c r="BC171" s="79">
        <v>0</v>
      </c>
      <c r="BD171" s="79">
        <v>0</v>
      </c>
      <c r="BE171" s="79">
        <v>0</v>
      </c>
      <c r="BF171" s="79">
        <v>0</v>
      </c>
      <c r="BG171" s="79">
        <v>0</v>
      </c>
      <c r="BH171" s="79">
        <v>0</v>
      </c>
      <c r="BI171" s="79">
        <v>0</v>
      </c>
      <c r="BJ171" s="79">
        <v>0</v>
      </c>
      <c r="BK171" s="79">
        <v>21</v>
      </c>
      <c r="BL171" s="79">
        <v>10581</v>
      </c>
      <c r="BM171" s="79">
        <v>267</v>
      </c>
      <c r="BN171" s="79">
        <v>64</v>
      </c>
      <c r="BO171">
        <v>13062</v>
      </c>
      <c r="BP171">
        <v>2952</v>
      </c>
      <c r="BQ171">
        <v>11421</v>
      </c>
      <c r="BR171">
        <v>2802</v>
      </c>
      <c r="BS171">
        <v>11170</v>
      </c>
      <c r="BT171">
        <v>2756</v>
      </c>
      <c r="BU171">
        <v>10979</v>
      </c>
      <c r="BV171">
        <v>2775</v>
      </c>
      <c r="BW171">
        <v>10803</v>
      </c>
      <c r="BX171">
        <v>2762</v>
      </c>
      <c r="BY171">
        <v>10730</v>
      </c>
      <c r="BZ171">
        <v>2861</v>
      </c>
      <c r="CA171">
        <v>9993</v>
      </c>
      <c r="CB171">
        <v>1725.7019933904401</v>
      </c>
      <c r="CC171">
        <v>406.99922623810897</v>
      </c>
      <c r="CD171">
        <v>166.44120665098399</v>
      </c>
      <c r="CE171">
        <v>15326.365593157199</v>
      </c>
      <c r="CF171">
        <v>3157.0627689927201</v>
      </c>
      <c r="CG171">
        <v>279.36602087657201</v>
      </c>
      <c r="CH171">
        <v>870</v>
      </c>
      <c r="CI171">
        <v>542.77784970206994</v>
      </c>
      <c r="CJ171">
        <v>578.25150563461398</v>
      </c>
      <c r="CK171" s="81">
        <v>4328</v>
      </c>
      <c r="CL171">
        <v>1589</v>
      </c>
      <c r="CM171">
        <v>9771.7480231008394</v>
      </c>
      <c r="CN171">
        <v>4.5307388232147803</v>
      </c>
      <c r="CO171">
        <v>43555</v>
      </c>
      <c r="CP171">
        <v>7203</v>
      </c>
      <c r="CQ171">
        <v>1312</v>
      </c>
      <c r="CR171">
        <v>1853</v>
      </c>
      <c r="CS171">
        <v>1343</v>
      </c>
      <c r="CT171">
        <v>660</v>
      </c>
      <c r="CU171">
        <v>987.07962541779398</v>
      </c>
      <c r="CV171">
        <v>561.41890759088699</v>
      </c>
      <c r="CW171">
        <v>193.69593689160101</v>
      </c>
      <c r="CX171">
        <v>2533.3654381710699</v>
      </c>
      <c r="CY171">
        <v>1440.8961751434299</v>
      </c>
      <c r="CZ171">
        <v>497.12564153844198</v>
      </c>
      <c r="DA171">
        <v>243200.6</v>
      </c>
      <c r="DE171">
        <v>512</v>
      </c>
      <c r="DF171" t="s">
        <v>119</v>
      </c>
      <c r="DG171">
        <v>7587</v>
      </c>
      <c r="DH171">
        <v>7596</v>
      </c>
      <c r="DI171">
        <v>7638</v>
      </c>
      <c r="DJ171">
        <v>7574</v>
      </c>
      <c r="DK171">
        <v>7499</v>
      </c>
      <c r="DO171">
        <v>400</v>
      </c>
      <c r="DP171" t="s">
        <v>82</v>
      </c>
      <c r="DQ171">
        <v>30045</v>
      </c>
      <c r="DR171">
        <v>1.0900000000000001</v>
      </c>
      <c r="DS171">
        <v>1690</v>
      </c>
      <c r="DV171">
        <v>1598</v>
      </c>
      <c r="DW171" t="s">
        <v>168</v>
      </c>
      <c r="DX171">
        <v>2443.2244675041002</v>
      </c>
      <c r="DY171">
        <v>469</v>
      </c>
      <c r="DZ171">
        <v>419</v>
      </c>
      <c r="EA171">
        <v>218</v>
      </c>
      <c r="EB171">
        <v>1643</v>
      </c>
      <c r="EC171">
        <v>887</v>
      </c>
      <c r="ED171">
        <v>305</v>
      </c>
      <c r="EE171" s="82">
        <v>0.162261106430238</v>
      </c>
      <c r="EF171" s="82">
        <v>0.41502120714199497</v>
      </c>
    </row>
    <row r="172" spans="1:136" x14ac:dyDescent="0.35">
      <c r="A172" s="72">
        <v>384</v>
      </c>
      <c r="B172" s="72">
        <v>7</v>
      </c>
      <c r="D172" s="72" t="s">
        <v>85</v>
      </c>
      <c r="E172" s="79">
        <v>2652000000</v>
      </c>
      <c r="F172" s="79">
        <v>388500000</v>
      </c>
      <c r="G172" s="79">
        <v>400400000</v>
      </c>
      <c r="H172" s="79">
        <v>28121</v>
      </c>
      <c r="I172" s="79">
        <v>1</v>
      </c>
      <c r="J172" s="79">
        <v>400.4</v>
      </c>
      <c r="K172" s="79">
        <v>5945</v>
      </c>
      <c r="L172" s="79">
        <v>4429</v>
      </c>
      <c r="M172" s="79">
        <v>1340</v>
      </c>
      <c r="N172" s="79">
        <v>3656</v>
      </c>
      <c r="O172" s="79">
        <v>2286.9</v>
      </c>
      <c r="P172" s="79">
        <v>477.33333333333297</v>
      </c>
      <c r="Q172" s="79">
        <v>1625.3333333333301</v>
      </c>
      <c r="R172" s="79">
        <v>5070</v>
      </c>
      <c r="S172" s="79">
        <v>0</v>
      </c>
      <c r="T172" s="79">
        <v>1233</v>
      </c>
      <c r="U172" s="79">
        <v>14385</v>
      </c>
      <c r="V172" s="79">
        <v>20990</v>
      </c>
      <c r="W172" s="79">
        <v>3520</v>
      </c>
      <c r="X172" s="79">
        <v>0</v>
      </c>
      <c r="Y172" s="79">
        <v>0</v>
      </c>
      <c r="Z172" s="79">
        <v>0</v>
      </c>
      <c r="AA172" s="79">
        <v>0</v>
      </c>
      <c r="AB172" s="79">
        <v>0</v>
      </c>
      <c r="AC172" s="79">
        <v>1189</v>
      </c>
      <c r="AD172" s="79">
        <v>1914.29</v>
      </c>
      <c r="AE172" s="79">
        <v>104</v>
      </c>
      <c r="AF172" s="79">
        <v>110</v>
      </c>
      <c r="AG172" s="79">
        <v>94</v>
      </c>
      <c r="AH172" s="79">
        <v>139.5</v>
      </c>
      <c r="AI172" s="79">
        <v>6.64</v>
      </c>
      <c r="AJ172" s="79">
        <v>13691</v>
      </c>
      <c r="AK172" s="79">
        <v>21221.05</v>
      </c>
      <c r="AL172" s="79">
        <v>0</v>
      </c>
      <c r="AM172" s="79">
        <v>0</v>
      </c>
      <c r="AN172" s="79">
        <v>0</v>
      </c>
      <c r="AO172" s="79">
        <v>0</v>
      </c>
      <c r="AP172" s="79">
        <v>763</v>
      </c>
      <c r="AQ172" s="79">
        <v>0</v>
      </c>
      <c r="AR172" s="80">
        <v>1.0310399999999999E-4</v>
      </c>
      <c r="AS172" s="80">
        <v>5.8070099999999998E-4</v>
      </c>
      <c r="AT172" s="79">
        <v>33173.292999999998</v>
      </c>
      <c r="AU172" s="79">
        <v>0</v>
      </c>
      <c r="AV172" s="79">
        <v>1513.4</v>
      </c>
      <c r="AW172" s="79">
        <v>96782.347130703798</v>
      </c>
      <c r="AX172" s="79">
        <v>1</v>
      </c>
      <c r="AY172" s="79">
        <v>1.66</v>
      </c>
      <c r="AZ172" s="79">
        <v>3025</v>
      </c>
      <c r="BA172" s="79">
        <v>1</v>
      </c>
      <c r="BB172" s="79">
        <v>0</v>
      </c>
      <c r="BC172" s="79">
        <v>0</v>
      </c>
      <c r="BD172" s="79">
        <v>0</v>
      </c>
      <c r="BE172" s="79">
        <v>0</v>
      </c>
      <c r="BF172" s="79">
        <v>0</v>
      </c>
      <c r="BG172" s="79">
        <v>0</v>
      </c>
      <c r="BH172" s="79">
        <v>0</v>
      </c>
      <c r="BI172" s="79">
        <v>0</v>
      </c>
      <c r="BJ172" s="79">
        <v>0</v>
      </c>
      <c r="BK172" s="79">
        <v>12</v>
      </c>
      <c r="BL172" s="79">
        <v>6712</v>
      </c>
      <c r="BM172" s="79">
        <v>90</v>
      </c>
      <c r="BN172" s="79">
        <v>4</v>
      </c>
      <c r="BO172">
        <v>5668</v>
      </c>
      <c r="BP172">
        <v>0</v>
      </c>
      <c r="BQ172">
        <v>4841</v>
      </c>
      <c r="BR172">
        <v>0</v>
      </c>
      <c r="BS172">
        <v>4797</v>
      </c>
      <c r="BT172">
        <v>0</v>
      </c>
      <c r="BU172">
        <v>4882</v>
      </c>
      <c r="BV172">
        <v>0</v>
      </c>
      <c r="BW172">
        <v>4818</v>
      </c>
      <c r="BX172">
        <v>0</v>
      </c>
      <c r="BY172">
        <v>4814</v>
      </c>
      <c r="BZ172">
        <v>0</v>
      </c>
      <c r="CA172">
        <v>5100</v>
      </c>
      <c r="CB172">
        <v>862.07742107110903</v>
      </c>
      <c r="CC172">
        <v>59.863462062977398</v>
      </c>
      <c r="CD172">
        <v>66.975141545082195</v>
      </c>
      <c r="CE172">
        <v>8230.9430880721393</v>
      </c>
      <c r="CF172">
        <v>1997.8378110686201</v>
      </c>
      <c r="CG172">
        <v>79.040267175572495</v>
      </c>
      <c r="CH172">
        <v>452</v>
      </c>
      <c r="CI172">
        <v>194.72033446360999</v>
      </c>
      <c r="CJ172">
        <v>169.21838539123399</v>
      </c>
      <c r="CK172" s="81">
        <v>1148</v>
      </c>
      <c r="CL172">
        <v>252</v>
      </c>
      <c r="CM172">
        <v>2984.1368181818202</v>
      </c>
      <c r="CN172">
        <v>0.66479405660610902</v>
      </c>
      <c r="CO172">
        <v>23692</v>
      </c>
      <c r="CP172">
        <v>2521</v>
      </c>
      <c r="CQ172">
        <v>568</v>
      </c>
      <c r="CR172">
        <v>683</v>
      </c>
      <c r="CS172">
        <v>489</v>
      </c>
      <c r="CT172">
        <v>292</v>
      </c>
      <c r="CU172">
        <v>282.00064505948899</v>
      </c>
      <c r="CV172">
        <v>158.040645868647</v>
      </c>
      <c r="CW172">
        <v>68.662479336166996</v>
      </c>
      <c r="CX172">
        <v>706.77318619635696</v>
      </c>
      <c r="CY172">
        <v>396.09445150577801</v>
      </c>
      <c r="CZ172">
        <v>172.08754711297601</v>
      </c>
      <c r="DA172">
        <v>0</v>
      </c>
      <c r="DE172">
        <v>513</v>
      </c>
      <c r="DF172" t="s">
        <v>120</v>
      </c>
      <c r="DG172">
        <v>16200</v>
      </c>
      <c r="DH172">
        <v>16066</v>
      </c>
      <c r="DI172">
        <v>15935</v>
      </c>
      <c r="DJ172">
        <v>15816</v>
      </c>
      <c r="DK172">
        <v>15643</v>
      </c>
      <c r="DO172">
        <v>384</v>
      </c>
      <c r="DP172" t="s">
        <v>85</v>
      </c>
      <c r="DQ172">
        <v>13691</v>
      </c>
      <c r="DR172">
        <v>1.55</v>
      </c>
      <c r="DS172">
        <v>2423</v>
      </c>
      <c r="DV172">
        <v>79</v>
      </c>
      <c r="DW172" t="s">
        <v>806</v>
      </c>
      <c r="DX172">
        <v>1938.05463762674</v>
      </c>
      <c r="DY172">
        <v>292</v>
      </c>
      <c r="DZ172">
        <v>263</v>
      </c>
      <c r="EA172">
        <v>106</v>
      </c>
      <c r="EB172">
        <v>915</v>
      </c>
      <c r="EC172">
        <v>556</v>
      </c>
      <c r="ED172">
        <v>145</v>
      </c>
      <c r="EE172" s="82">
        <v>0.24405372583467699</v>
      </c>
      <c r="EF172" s="82">
        <v>0.59324584449704798</v>
      </c>
    </row>
    <row r="173" spans="1:136" x14ac:dyDescent="0.35">
      <c r="A173" s="72">
        <v>498</v>
      </c>
      <c r="B173" s="72">
        <v>7</v>
      </c>
      <c r="D173" s="72" t="s">
        <v>91</v>
      </c>
      <c r="E173" s="79">
        <v>1535600000</v>
      </c>
      <c r="F173" s="79">
        <v>161000000</v>
      </c>
      <c r="G173" s="79">
        <v>192150000</v>
      </c>
      <c r="H173" s="79">
        <v>19440</v>
      </c>
      <c r="I173" s="79">
        <v>3</v>
      </c>
      <c r="J173" s="79">
        <v>192.15</v>
      </c>
      <c r="K173" s="79">
        <v>4514</v>
      </c>
      <c r="L173" s="79">
        <v>4024</v>
      </c>
      <c r="M173" s="79">
        <v>1113</v>
      </c>
      <c r="N173" s="79">
        <v>2136</v>
      </c>
      <c r="O173" s="79">
        <v>1300.5999999999999</v>
      </c>
      <c r="P173" s="79">
        <v>151</v>
      </c>
      <c r="Q173" s="79">
        <v>1089</v>
      </c>
      <c r="R173" s="79">
        <v>315</v>
      </c>
      <c r="S173" s="79">
        <v>0</v>
      </c>
      <c r="T173" s="79">
        <v>467</v>
      </c>
      <c r="U173" s="79">
        <v>8248</v>
      </c>
      <c r="V173" s="79">
        <v>14990</v>
      </c>
      <c r="W173" s="79">
        <v>2060</v>
      </c>
      <c r="X173" s="79">
        <v>0</v>
      </c>
      <c r="Y173" s="79">
        <v>0</v>
      </c>
      <c r="Z173" s="79">
        <v>0</v>
      </c>
      <c r="AA173" s="79">
        <v>0</v>
      </c>
      <c r="AB173" s="79">
        <v>0</v>
      </c>
      <c r="AC173" s="79">
        <v>5887</v>
      </c>
      <c r="AD173" s="79">
        <v>7299.88</v>
      </c>
      <c r="AE173" s="79">
        <v>67</v>
      </c>
      <c r="AF173" s="79">
        <v>2105</v>
      </c>
      <c r="AG173" s="79">
        <v>176</v>
      </c>
      <c r="AH173" s="79">
        <v>136.72999999999999</v>
      </c>
      <c r="AI173" s="79">
        <v>78.75</v>
      </c>
      <c r="AJ173" s="79">
        <v>8354</v>
      </c>
      <c r="AK173" s="79">
        <v>10108.34</v>
      </c>
      <c r="AL173" s="79">
        <v>0</v>
      </c>
      <c r="AM173" s="79">
        <v>0</v>
      </c>
      <c r="AN173" s="79">
        <v>0</v>
      </c>
      <c r="AO173" s="79">
        <v>0</v>
      </c>
      <c r="AP173" s="79">
        <v>596</v>
      </c>
      <c r="AQ173" s="79">
        <v>0</v>
      </c>
      <c r="AR173" s="80">
        <v>1.7064200000000001E-4</v>
      </c>
      <c r="AS173" s="80">
        <v>5.5639E-5</v>
      </c>
      <c r="AT173" s="79">
        <v>4068.3980000000001</v>
      </c>
      <c r="AU173" s="79">
        <v>0</v>
      </c>
      <c r="AV173" s="79">
        <v>2725.52</v>
      </c>
      <c r="AW173" s="79">
        <v>12267.377897212</v>
      </c>
      <c r="AX173" s="79">
        <v>11</v>
      </c>
      <c r="AY173" s="79">
        <v>13.75</v>
      </c>
      <c r="AZ173" s="79">
        <v>2209</v>
      </c>
      <c r="BA173" s="79">
        <v>1</v>
      </c>
      <c r="BB173" s="79">
        <v>0</v>
      </c>
      <c r="BC173" s="79">
        <v>0</v>
      </c>
      <c r="BD173" s="79">
        <v>0</v>
      </c>
      <c r="BE173" s="79">
        <v>0</v>
      </c>
      <c r="BF173" s="79">
        <v>0</v>
      </c>
      <c r="BG173" s="79">
        <v>0</v>
      </c>
      <c r="BH173" s="79">
        <v>0</v>
      </c>
      <c r="BI173" s="79">
        <v>0</v>
      </c>
      <c r="BJ173" s="79">
        <v>0</v>
      </c>
      <c r="BK173" s="79">
        <v>9</v>
      </c>
      <c r="BL173" s="79">
        <v>2244</v>
      </c>
      <c r="BM173" s="79">
        <v>113</v>
      </c>
      <c r="BN173" s="79">
        <v>63</v>
      </c>
      <c r="BO173">
        <v>4887</v>
      </c>
      <c r="BP173">
        <v>0</v>
      </c>
      <c r="BQ173">
        <v>4487</v>
      </c>
      <c r="BR173">
        <v>0</v>
      </c>
      <c r="BS173">
        <v>4475</v>
      </c>
      <c r="BT173">
        <v>0</v>
      </c>
      <c r="BU173">
        <v>4436</v>
      </c>
      <c r="BV173">
        <v>0</v>
      </c>
      <c r="BW173">
        <v>4330</v>
      </c>
      <c r="BX173">
        <v>0</v>
      </c>
      <c r="BY173">
        <v>4259</v>
      </c>
      <c r="BZ173">
        <v>0</v>
      </c>
      <c r="CA173">
        <v>4011</v>
      </c>
      <c r="CB173">
        <v>287.24676627862402</v>
      </c>
      <c r="CC173">
        <v>29.518861698948498</v>
      </c>
      <c r="CD173">
        <v>20.628331107970201</v>
      </c>
      <c r="CE173">
        <v>5750.8356425178399</v>
      </c>
      <c r="CF173">
        <v>1542.32597394046</v>
      </c>
      <c r="CG173">
        <v>126.103550282111</v>
      </c>
      <c r="CH173">
        <v>203</v>
      </c>
      <c r="CI173">
        <v>53.694908636240399</v>
      </c>
      <c r="CJ173">
        <v>44.699196141080598</v>
      </c>
      <c r="CK173" s="81">
        <v>938</v>
      </c>
      <c r="CL173">
        <v>263</v>
      </c>
      <c r="CM173">
        <v>1722.5443298969101</v>
      </c>
      <c r="CN173">
        <v>9.2590925567796703E-2</v>
      </c>
      <c r="CO173">
        <v>15416</v>
      </c>
      <c r="CP173">
        <v>2550</v>
      </c>
      <c r="CQ173">
        <v>361</v>
      </c>
      <c r="CR173">
        <v>425</v>
      </c>
      <c r="CS173">
        <v>316</v>
      </c>
      <c r="CT173">
        <v>173</v>
      </c>
      <c r="CU173">
        <v>242.315378165921</v>
      </c>
      <c r="CV173">
        <v>119.91185166308399</v>
      </c>
      <c r="CW173">
        <v>38.620960016162201</v>
      </c>
      <c r="CX173">
        <v>640.08522180418197</v>
      </c>
      <c r="CY173">
        <v>316.75168431183801</v>
      </c>
      <c r="CZ173">
        <v>102.018724297839</v>
      </c>
      <c r="DA173">
        <v>8395</v>
      </c>
      <c r="DE173">
        <v>518</v>
      </c>
      <c r="DF173" t="s">
        <v>270</v>
      </c>
      <c r="DG173">
        <v>99550</v>
      </c>
      <c r="DH173">
        <v>100716</v>
      </c>
      <c r="DI173">
        <v>102336</v>
      </c>
      <c r="DJ173">
        <v>103959</v>
      </c>
      <c r="DK173">
        <v>104864</v>
      </c>
      <c r="DO173">
        <v>498</v>
      </c>
      <c r="DP173" t="s">
        <v>91</v>
      </c>
      <c r="DQ173">
        <v>8354</v>
      </c>
      <c r="DR173">
        <v>1.21</v>
      </c>
      <c r="DS173">
        <v>487</v>
      </c>
      <c r="DV173">
        <v>588</v>
      </c>
      <c r="DW173" t="s">
        <v>815</v>
      </c>
      <c r="DX173">
        <v>1154.36817262306</v>
      </c>
      <c r="DY173">
        <v>227</v>
      </c>
      <c r="DZ173">
        <v>201</v>
      </c>
      <c r="EA173">
        <v>106</v>
      </c>
      <c r="EB173">
        <v>834</v>
      </c>
      <c r="EC173">
        <v>486</v>
      </c>
      <c r="ED173">
        <v>156</v>
      </c>
      <c r="EE173" s="82">
        <v>0.150677127605442</v>
      </c>
      <c r="EF173" s="82">
        <v>0.376279479847973</v>
      </c>
    </row>
    <row r="174" spans="1:136" x14ac:dyDescent="0.35">
      <c r="A174" s="72">
        <v>385</v>
      </c>
      <c r="B174" s="72">
        <v>7</v>
      </c>
      <c r="D174" s="72" t="s">
        <v>97</v>
      </c>
      <c r="E174" s="79">
        <v>3007600000</v>
      </c>
      <c r="F174" s="79">
        <v>400750000</v>
      </c>
      <c r="G174" s="79">
        <v>410200000</v>
      </c>
      <c r="H174" s="79">
        <v>35953</v>
      </c>
      <c r="I174" s="79">
        <v>2</v>
      </c>
      <c r="J174" s="79">
        <v>410.2</v>
      </c>
      <c r="K174" s="79">
        <v>8360</v>
      </c>
      <c r="L174" s="79">
        <v>7262</v>
      </c>
      <c r="M174" s="79">
        <v>2145</v>
      </c>
      <c r="N174" s="79">
        <v>3671</v>
      </c>
      <c r="O174" s="79">
        <v>2152.9</v>
      </c>
      <c r="P174" s="79">
        <v>311</v>
      </c>
      <c r="Q174" s="79">
        <v>1857</v>
      </c>
      <c r="R174" s="79">
        <v>885</v>
      </c>
      <c r="S174" s="79">
        <v>0</v>
      </c>
      <c r="T174" s="79">
        <v>836</v>
      </c>
      <c r="U174" s="79">
        <v>14995</v>
      </c>
      <c r="V174" s="79">
        <v>31020</v>
      </c>
      <c r="W174" s="79">
        <v>11620</v>
      </c>
      <c r="X174" s="79">
        <v>178.2</v>
      </c>
      <c r="Y174" s="79">
        <v>1643.2</v>
      </c>
      <c r="Z174" s="79">
        <v>0</v>
      </c>
      <c r="AA174" s="79">
        <v>0</v>
      </c>
      <c r="AB174" s="79">
        <v>0</v>
      </c>
      <c r="AC174" s="79">
        <v>5431</v>
      </c>
      <c r="AD174" s="79">
        <v>7494.78</v>
      </c>
      <c r="AE174" s="79">
        <v>307</v>
      </c>
      <c r="AF174" s="79">
        <v>2262</v>
      </c>
      <c r="AG174" s="79">
        <v>199</v>
      </c>
      <c r="AH174" s="79">
        <v>242.82</v>
      </c>
      <c r="AI174" s="79">
        <v>38.36</v>
      </c>
      <c r="AJ174" s="79">
        <v>15181</v>
      </c>
      <c r="AK174" s="79">
        <v>21557.02</v>
      </c>
      <c r="AL174" s="79">
        <v>31</v>
      </c>
      <c r="AM174" s="79">
        <v>0</v>
      </c>
      <c r="AN174" s="79">
        <v>0</v>
      </c>
      <c r="AO174" s="79">
        <v>8100</v>
      </c>
      <c r="AP174" s="79">
        <v>1933</v>
      </c>
      <c r="AQ174" s="79">
        <v>950</v>
      </c>
      <c r="AR174" s="80">
        <v>3.7418899999999998E-4</v>
      </c>
      <c r="AS174" s="80">
        <v>1.5284900000000001E-4</v>
      </c>
      <c r="AT174" s="79">
        <v>19613.851999999999</v>
      </c>
      <c r="AU174" s="79">
        <v>0</v>
      </c>
      <c r="AV174" s="79">
        <v>7556.88</v>
      </c>
      <c r="AW174" s="79">
        <v>137379.80904844901</v>
      </c>
      <c r="AX174" s="79">
        <v>12</v>
      </c>
      <c r="AY174" s="79">
        <v>16.440000000000001</v>
      </c>
      <c r="AZ174" s="79">
        <v>4617</v>
      </c>
      <c r="BA174" s="79">
        <v>1</v>
      </c>
      <c r="BB174" s="79">
        <v>0</v>
      </c>
      <c r="BC174" s="79">
        <v>0</v>
      </c>
      <c r="BD174" s="79">
        <v>0</v>
      </c>
      <c r="BE174" s="79">
        <v>0</v>
      </c>
      <c r="BF174" s="79">
        <v>0</v>
      </c>
      <c r="BG174" s="79">
        <v>0</v>
      </c>
      <c r="BH174" s="79">
        <v>0</v>
      </c>
      <c r="BI174" s="79">
        <v>0</v>
      </c>
      <c r="BJ174" s="79">
        <v>0</v>
      </c>
      <c r="BK174" s="79">
        <v>6</v>
      </c>
      <c r="BL174" s="79">
        <v>4055</v>
      </c>
      <c r="BM174" s="79">
        <v>171</v>
      </c>
      <c r="BN174" s="79">
        <v>28</v>
      </c>
      <c r="BO174">
        <v>9054</v>
      </c>
      <c r="BP174">
        <v>2130</v>
      </c>
      <c r="BQ174">
        <v>8261</v>
      </c>
      <c r="BR174">
        <v>2212</v>
      </c>
      <c r="BS174">
        <v>8169</v>
      </c>
      <c r="BT174">
        <v>2249</v>
      </c>
      <c r="BU174">
        <v>8082</v>
      </c>
      <c r="BV174">
        <v>2180</v>
      </c>
      <c r="BW174">
        <v>8016</v>
      </c>
      <c r="BX174">
        <v>2189</v>
      </c>
      <c r="BY174">
        <v>7907</v>
      </c>
      <c r="BZ174">
        <v>2175</v>
      </c>
      <c r="CA174">
        <v>7423</v>
      </c>
      <c r="CB174">
        <v>393.89238920916102</v>
      </c>
      <c r="CC174">
        <v>246.81299930988499</v>
      </c>
      <c r="CD174">
        <v>74.904526097139595</v>
      </c>
      <c r="CE174">
        <v>11433.383041991499</v>
      </c>
      <c r="CF174">
        <v>3311.61171030382</v>
      </c>
      <c r="CG174">
        <v>127.590808719162</v>
      </c>
      <c r="CH174">
        <v>316</v>
      </c>
      <c r="CI174">
        <v>97.333809662410999</v>
      </c>
      <c r="CJ174">
        <v>78.046215484426398</v>
      </c>
      <c r="CK174" s="81">
        <v>1546</v>
      </c>
      <c r="CL174">
        <v>270</v>
      </c>
      <c r="CM174">
        <v>4713.1732017482</v>
      </c>
      <c r="CN174">
        <v>0.17170103530047801</v>
      </c>
      <c r="CO174">
        <v>28691</v>
      </c>
      <c r="CP174">
        <v>4575</v>
      </c>
      <c r="CQ174">
        <v>542</v>
      </c>
      <c r="CR174">
        <v>856</v>
      </c>
      <c r="CS174">
        <v>703</v>
      </c>
      <c r="CT174">
        <v>264</v>
      </c>
      <c r="CU174">
        <v>398.74209873468197</v>
      </c>
      <c r="CV174">
        <v>215.39446940895499</v>
      </c>
      <c r="CW174">
        <v>54.025867573938001</v>
      </c>
      <c r="CX174">
        <v>1002.28294238966</v>
      </c>
      <c r="CY174">
        <v>541.41813282001897</v>
      </c>
      <c r="CZ174">
        <v>135.80007149731901</v>
      </c>
      <c r="DA174">
        <v>12316</v>
      </c>
      <c r="DE174">
        <v>523</v>
      </c>
      <c r="DF174" t="s">
        <v>131</v>
      </c>
      <c r="DG174">
        <v>4496</v>
      </c>
      <c r="DH174">
        <v>4402</v>
      </c>
      <c r="DI174">
        <v>4376</v>
      </c>
      <c r="DJ174">
        <v>4342</v>
      </c>
      <c r="DK174">
        <v>4300</v>
      </c>
      <c r="DO174">
        <v>385</v>
      </c>
      <c r="DP174" t="s">
        <v>97</v>
      </c>
      <c r="DQ174">
        <v>15181</v>
      </c>
      <c r="DR174">
        <v>1.42</v>
      </c>
      <c r="DS174">
        <v>1292</v>
      </c>
      <c r="DV174">
        <v>542</v>
      </c>
      <c r="DW174" t="s">
        <v>169</v>
      </c>
      <c r="DX174">
        <v>3383.1467806923802</v>
      </c>
      <c r="DY174">
        <v>707</v>
      </c>
      <c r="DZ174">
        <v>777</v>
      </c>
      <c r="EA174">
        <v>419</v>
      </c>
      <c r="EB174">
        <v>2209</v>
      </c>
      <c r="EC174">
        <v>1660</v>
      </c>
      <c r="ED174">
        <v>641</v>
      </c>
      <c r="EE174" s="82">
        <v>0.17086843720515399</v>
      </c>
      <c r="EF174" s="82">
        <v>0.39701708014307702</v>
      </c>
    </row>
    <row r="175" spans="1:136" x14ac:dyDescent="0.35">
      <c r="A175" s="72">
        <v>388</v>
      </c>
      <c r="B175" s="72">
        <v>7</v>
      </c>
      <c r="D175" s="72" t="s">
        <v>105</v>
      </c>
      <c r="E175" s="79">
        <v>1287200000</v>
      </c>
      <c r="F175" s="79">
        <v>266000000</v>
      </c>
      <c r="G175" s="79">
        <v>275450000</v>
      </c>
      <c r="H175" s="79">
        <v>18476</v>
      </c>
      <c r="I175" s="79">
        <v>1</v>
      </c>
      <c r="J175" s="79">
        <v>275.45</v>
      </c>
      <c r="K175" s="79">
        <v>3985</v>
      </c>
      <c r="L175" s="79">
        <v>3862</v>
      </c>
      <c r="M175" s="79">
        <v>1127</v>
      </c>
      <c r="N175" s="79">
        <v>2951</v>
      </c>
      <c r="O175" s="79">
        <v>2074.9</v>
      </c>
      <c r="P175" s="79">
        <v>355</v>
      </c>
      <c r="Q175" s="79">
        <v>1656</v>
      </c>
      <c r="R175" s="79">
        <v>750</v>
      </c>
      <c r="S175" s="79">
        <v>0</v>
      </c>
      <c r="T175" s="79">
        <v>678</v>
      </c>
      <c r="U175" s="79">
        <v>8762</v>
      </c>
      <c r="V175" s="79">
        <v>18730</v>
      </c>
      <c r="W175" s="79">
        <v>10190</v>
      </c>
      <c r="X175" s="79">
        <v>0</v>
      </c>
      <c r="Y175" s="79">
        <v>1292.8</v>
      </c>
      <c r="Z175" s="79">
        <v>0</v>
      </c>
      <c r="AA175" s="79">
        <v>0</v>
      </c>
      <c r="AB175" s="79">
        <v>102.4</v>
      </c>
      <c r="AC175" s="79">
        <v>1263</v>
      </c>
      <c r="AD175" s="79">
        <v>1540.86</v>
      </c>
      <c r="AE175" s="79">
        <v>231</v>
      </c>
      <c r="AF175" s="79">
        <v>10000</v>
      </c>
      <c r="AG175" s="79">
        <v>119</v>
      </c>
      <c r="AH175" s="79">
        <v>122.5</v>
      </c>
      <c r="AI175" s="79">
        <v>25.41</v>
      </c>
      <c r="AJ175" s="79">
        <v>8761</v>
      </c>
      <c r="AK175" s="79">
        <v>10951.25</v>
      </c>
      <c r="AL175" s="79">
        <v>0</v>
      </c>
      <c r="AM175" s="79">
        <v>54</v>
      </c>
      <c r="AN175" s="79">
        <v>0</v>
      </c>
      <c r="AO175" s="79">
        <v>10700</v>
      </c>
      <c r="AP175" s="79">
        <v>2330</v>
      </c>
      <c r="AQ175" s="79">
        <v>2330</v>
      </c>
      <c r="AR175" s="80">
        <v>8.4585699999999999E-4</v>
      </c>
      <c r="AS175" s="80">
        <v>2.7025600000000002E-4</v>
      </c>
      <c r="AT175" s="79">
        <v>12125.224</v>
      </c>
      <c r="AU175" s="79">
        <v>0</v>
      </c>
      <c r="AV175" s="79">
        <v>1666.52</v>
      </c>
      <c r="AW175" s="79">
        <v>24773.6695046854</v>
      </c>
      <c r="AX175" s="79">
        <v>1</v>
      </c>
      <c r="AY175" s="79">
        <v>1.21</v>
      </c>
      <c r="AZ175" s="79">
        <v>1993</v>
      </c>
      <c r="BA175" s="79">
        <v>1</v>
      </c>
      <c r="BB175" s="79">
        <v>0</v>
      </c>
      <c r="BC175" s="79">
        <v>0</v>
      </c>
      <c r="BD175" s="79">
        <v>0</v>
      </c>
      <c r="BE175" s="79">
        <v>0</v>
      </c>
      <c r="BF175" s="79">
        <v>0</v>
      </c>
      <c r="BG175" s="79">
        <v>0</v>
      </c>
      <c r="BH175" s="79">
        <v>0</v>
      </c>
      <c r="BI175" s="79">
        <v>0</v>
      </c>
      <c r="BJ175" s="79">
        <v>0</v>
      </c>
      <c r="BK175" s="79">
        <v>16</v>
      </c>
      <c r="BL175" s="79">
        <v>3133</v>
      </c>
      <c r="BM175" s="79">
        <v>98</v>
      </c>
      <c r="BN175" s="79">
        <v>21</v>
      </c>
      <c r="BO175">
        <v>4231</v>
      </c>
      <c r="BP175">
        <v>1376</v>
      </c>
      <c r="BQ175">
        <v>3883</v>
      </c>
      <c r="BR175">
        <v>1406</v>
      </c>
      <c r="BS175">
        <v>3844</v>
      </c>
      <c r="BT175">
        <v>1480</v>
      </c>
      <c r="BU175">
        <v>3804</v>
      </c>
      <c r="BV175">
        <v>1558</v>
      </c>
      <c r="BW175">
        <v>3748</v>
      </c>
      <c r="BX175">
        <v>1564</v>
      </c>
      <c r="BY175">
        <v>3672</v>
      </c>
      <c r="BZ175">
        <v>1586</v>
      </c>
      <c r="CA175">
        <v>3602</v>
      </c>
      <c r="CB175">
        <v>448.28957884759097</v>
      </c>
      <c r="CC175">
        <v>85.703835660887506</v>
      </c>
      <c r="CD175">
        <v>39.794975954668402</v>
      </c>
      <c r="CE175">
        <v>5274.39869701931</v>
      </c>
      <c r="CF175">
        <v>1187.5515970635099</v>
      </c>
      <c r="CG175">
        <v>100.065317073171</v>
      </c>
      <c r="CH175">
        <v>238</v>
      </c>
      <c r="CI175">
        <v>133.183114532258</v>
      </c>
      <c r="CJ175">
        <v>130.904788698879</v>
      </c>
      <c r="CK175" s="81">
        <v>1301</v>
      </c>
      <c r="CL175">
        <v>420</v>
      </c>
      <c r="CM175">
        <v>2362.0847683554598</v>
      </c>
      <c r="CN175">
        <v>0.66885229945745905</v>
      </c>
      <c r="CO175">
        <v>14614</v>
      </c>
      <c r="CP175">
        <v>2341</v>
      </c>
      <c r="CQ175">
        <v>394</v>
      </c>
      <c r="CR175">
        <v>569</v>
      </c>
      <c r="CS175">
        <v>397</v>
      </c>
      <c r="CT175">
        <v>220</v>
      </c>
      <c r="CU175">
        <v>357.40257822667201</v>
      </c>
      <c r="CV175">
        <v>192.08316165794</v>
      </c>
      <c r="CW175">
        <v>66.080397167158097</v>
      </c>
      <c r="CX175">
        <v>759.19967392042304</v>
      </c>
      <c r="CY175">
        <v>408.02580221965798</v>
      </c>
      <c r="CZ175">
        <v>140.36892579443199</v>
      </c>
      <c r="DA175">
        <v>0</v>
      </c>
      <c r="DE175">
        <v>530</v>
      </c>
      <c r="DF175" t="s">
        <v>143</v>
      </c>
      <c r="DG175">
        <v>8341</v>
      </c>
      <c r="DH175">
        <v>8258</v>
      </c>
      <c r="DI175">
        <v>8055</v>
      </c>
      <c r="DJ175">
        <v>7887</v>
      </c>
      <c r="DK175">
        <v>7789</v>
      </c>
      <c r="DO175">
        <v>388</v>
      </c>
      <c r="DP175" t="s">
        <v>105</v>
      </c>
      <c r="DQ175">
        <v>8761</v>
      </c>
      <c r="DR175">
        <v>1.25</v>
      </c>
      <c r="DS175">
        <v>1384</v>
      </c>
      <c r="DV175">
        <v>1931</v>
      </c>
      <c r="DW175" t="s">
        <v>170</v>
      </c>
      <c r="DX175">
        <v>6197.5879561728898</v>
      </c>
      <c r="DY175">
        <v>1188</v>
      </c>
      <c r="DZ175">
        <v>1144</v>
      </c>
      <c r="EA175">
        <v>651</v>
      </c>
      <c r="EB175">
        <v>4030</v>
      </c>
      <c r="EC175">
        <v>2519</v>
      </c>
      <c r="ED175">
        <v>930</v>
      </c>
      <c r="EE175" s="82">
        <v>0.161855161237658</v>
      </c>
      <c r="EF175" s="82">
        <v>0.38653349623005401</v>
      </c>
    </row>
    <row r="176" spans="1:136" x14ac:dyDescent="0.35">
      <c r="A176" s="72">
        <v>1942</v>
      </c>
      <c r="B176" s="72">
        <v>7</v>
      </c>
      <c r="D176" s="72" t="s">
        <v>118</v>
      </c>
      <c r="E176" s="79">
        <v>7571600000</v>
      </c>
      <c r="F176" s="79">
        <v>647850000</v>
      </c>
      <c r="G176" s="79">
        <v>667450000</v>
      </c>
      <c r="H176" s="79">
        <v>57337</v>
      </c>
      <c r="I176" s="79">
        <v>3</v>
      </c>
      <c r="J176" s="79">
        <v>667.45</v>
      </c>
      <c r="K176" s="79">
        <v>14639</v>
      </c>
      <c r="L176" s="79">
        <v>12194</v>
      </c>
      <c r="M176" s="79">
        <v>4033</v>
      </c>
      <c r="N176" s="79">
        <v>7085</v>
      </c>
      <c r="O176" s="79">
        <v>4432.1000000000004</v>
      </c>
      <c r="P176" s="79">
        <v>846.66666666666697</v>
      </c>
      <c r="Q176" s="79">
        <v>2646.6666666666702</v>
      </c>
      <c r="R176" s="79">
        <v>2685</v>
      </c>
      <c r="S176" s="79">
        <v>0</v>
      </c>
      <c r="T176" s="79">
        <v>1845</v>
      </c>
      <c r="U176" s="79">
        <v>26322</v>
      </c>
      <c r="V176" s="79">
        <v>56640</v>
      </c>
      <c r="W176" s="79">
        <v>36020</v>
      </c>
      <c r="X176" s="79">
        <v>382.28</v>
      </c>
      <c r="Y176" s="79">
        <v>3364.8</v>
      </c>
      <c r="Z176" s="79">
        <v>0</v>
      </c>
      <c r="AA176" s="79">
        <v>0</v>
      </c>
      <c r="AB176" s="79">
        <v>0</v>
      </c>
      <c r="AC176" s="79">
        <v>4159</v>
      </c>
      <c r="AD176" s="79">
        <v>4325.3599999999997</v>
      </c>
      <c r="AE176" s="79">
        <v>1262</v>
      </c>
      <c r="AF176" s="79">
        <v>2101</v>
      </c>
      <c r="AG176" s="79">
        <v>267</v>
      </c>
      <c r="AH176" s="79">
        <v>249.47</v>
      </c>
      <c r="AI176" s="79">
        <v>21</v>
      </c>
      <c r="AJ176" s="79">
        <v>26529</v>
      </c>
      <c r="AK176" s="79">
        <v>26794.29</v>
      </c>
      <c r="AL176" s="79">
        <v>27</v>
      </c>
      <c r="AM176" s="79">
        <v>0</v>
      </c>
      <c r="AN176" s="79">
        <v>0</v>
      </c>
      <c r="AO176" s="79">
        <v>11150</v>
      </c>
      <c r="AP176" s="79">
        <v>6822</v>
      </c>
      <c r="AQ176" s="79">
        <v>651</v>
      </c>
      <c r="AR176" s="80">
        <v>1.9120840000000001E-3</v>
      </c>
      <c r="AS176" s="80">
        <v>1.1700020000000001E-3</v>
      </c>
      <c r="AT176" s="79">
        <v>50617.332000000002</v>
      </c>
      <c r="AU176" s="79">
        <v>0</v>
      </c>
      <c r="AV176" s="79">
        <v>2916.16</v>
      </c>
      <c r="AW176" s="79">
        <v>37025.677122302201</v>
      </c>
      <c r="AX176" s="79">
        <v>9</v>
      </c>
      <c r="AY176" s="79">
        <v>9.4499999999999993</v>
      </c>
      <c r="AZ176" s="79">
        <v>9124</v>
      </c>
      <c r="BA176" s="79">
        <v>1</v>
      </c>
      <c r="BB176" s="79">
        <v>0</v>
      </c>
      <c r="BC176" s="79">
        <v>0</v>
      </c>
      <c r="BD176" s="79">
        <v>0</v>
      </c>
      <c r="BE176" s="79">
        <v>0</v>
      </c>
      <c r="BF176" s="79">
        <v>0</v>
      </c>
      <c r="BG176" s="79">
        <v>0</v>
      </c>
      <c r="BH176" s="79">
        <v>0</v>
      </c>
      <c r="BI176" s="79">
        <v>0</v>
      </c>
      <c r="BJ176" s="79">
        <v>0</v>
      </c>
      <c r="BK176" s="79">
        <v>20</v>
      </c>
      <c r="BL176" s="79">
        <v>9847</v>
      </c>
      <c r="BM176" s="79">
        <v>247</v>
      </c>
      <c r="BN176" s="79">
        <v>20</v>
      </c>
      <c r="BO176">
        <v>14123</v>
      </c>
      <c r="BP176">
        <v>4263</v>
      </c>
      <c r="BQ176">
        <v>13142</v>
      </c>
      <c r="BR176">
        <v>4216</v>
      </c>
      <c r="BS176">
        <v>13204</v>
      </c>
      <c r="BT176">
        <v>4245</v>
      </c>
      <c r="BU176">
        <v>13304</v>
      </c>
      <c r="BV176">
        <v>4356</v>
      </c>
      <c r="BW176">
        <v>13346</v>
      </c>
      <c r="BX176">
        <v>4462</v>
      </c>
      <c r="BY176">
        <v>13271</v>
      </c>
      <c r="BZ176">
        <v>4542</v>
      </c>
      <c r="CA176">
        <v>13290</v>
      </c>
      <c r="CB176">
        <v>1027.21852011126</v>
      </c>
      <c r="CC176">
        <v>85.716463862942902</v>
      </c>
      <c r="CD176">
        <v>117.412476892328</v>
      </c>
      <c r="CE176">
        <v>24678.158922787101</v>
      </c>
      <c r="CF176">
        <v>6899.61</v>
      </c>
      <c r="CG176">
        <v>355.54064678847698</v>
      </c>
      <c r="CH176">
        <v>708</v>
      </c>
      <c r="CI176">
        <v>213.31537112499899</v>
      </c>
      <c r="CJ176">
        <v>184.11811743826101</v>
      </c>
      <c r="CK176" s="81">
        <v>1800</v>
      </c>
      <c r="CL176">
        <v>438</v>
      </c>
      <c r="CM176">
        <v>6012.6990750670302</v>
      </c>
      <c r="CN176">
        <v>1.0037756463234</v>
      </c>
      <c r="CO176">
        <v>45143</v>
      </c>
      <c r="CP176">
        <v>6330</v>
      </c>
      <c r="CQ176">
        <v>1831</v>
      </c>
      <c r="CR176">
        <v>1803</v>
      </c>
      <c r="CS176">
        <v>1610</v>
      </c>
      <c r="CT176">
        <v>961</v>
      </c>
      <c r="CU176">
        <v>699.30275667159697</v>
      </c>
      <c r="CV176">
        <v>485.13502278411801</v>
      </c>
      <c r="CW176">
        <v>220.51591944732601</v>
      </c>
      <c r="CX176">
        <v>917.12187067984905</v>
      </c>
      <c r="CY176">
        <v>636.24508180943201</v>
      </c>
      <c r="CZ176">
        <v>289.20230991337797</v>
      </c>
      <c r="DA176">
        <v>35037</v>
      </c>
      <c r="DE176">
        <v>531</v>
      </c>
      <c r="DF176" t="s">
        <v>145</v>
      </c>
      <c r="DG176">
        <v>6560</v>
      </c>
      <c r="DH176">
        <v>6777</v>
      </c>
      <c r="DI176">
        <v>6840</v>
      </c>
      <c r="DJ176">
        <v>6929</v>
      </c>
      <c r="DK176">
        <v>7037</v>
      </c>
      <c r="DO176">
        <v>1942</v>
      </c>
      <c r="DP176" t="s">
        <v>118</v>
      </c>
      <c r="DQ176">
        <v>26529</v>
      </c>
      <c r="DR176">
        <v>1.01</v>
      </c>
      <c r="DS176">
        <v>1908</v>
      </c>
      <c r="DV176">
        <v>1659</v>
      </c>
      <c r="DW176" t="s">
        <v>171</v>
      </c>
      <c r="DX176">
        <v>2564.0331551968602</v>
      </c>
      <c r="DY176">
        <v>474</v>
      </c>
      <c r="DZ176">
        <v>496</v>
      </c>
      <c r="EA176">
        <v>228</v>
      </c>
      <c r="EB176">
        <v>1712</v>
      </c>
      <c r="EC176">
        <v>1030</v>
      </c>
      <c r="ED176">
        <v>314</v>
      </c>
      <c r="EE176" s="82">
        <v>0.17452175109174101</v>
      </c>
      <c r="EF176" s="82">
        <v>0.44140850577478302</v>
      </c>
    </row>
    <row r="177" spans="1:136" x14ac:dyDescent="0.35">
      <c r="A177" s="72">
        <v>392</v>
      </c>
      <c r="B177" s="72">
        <v>7</v>
      </c>
      <c r="D177" s="72" t="s">
        <v>126</v>
      </c>
      <c r="E177" s="79">
        <v>17117600000</v>
      </c>
      <c r="F177" s="79">
        <v>2396800000</v>
      </c>
      <c r="G177" s="79">
        <v>2441950000</v>
      </c>
      <c r="H177" s="79">
        <v>159709</v>
      </c>
      <c r="I177" s="79">
        <v>1</v>
      </c>
      <c r="J177" s="79">
        <v>2441.9499999999998</v>
      </c>
      <c r="K177" s="79">
        <v>35076</v>
      </c>
      <c r="L177" s="79">
        <v>27136</v>
      </c>
      <c r="M177" s="79">
        <v>8324</v>
      </c>
      <c r="N177" s="79">
        <v>24777</v>
      </c>
      <c r="O177" s="79">
        <v>17221.5</v>
      </c>
      <c r="P177" s="79">
        <v>3613.3333333333298</v>
      </c>
      <c r="Q177" s="79">
        <v>11983.333333333299</v>
      </c>
      <c r="R177" s="79">
        <v>16400</v>
      </c>
      <c r="S177" s="79">
        <v>0</v>
      </c>
      <c r="T177" s="79">
        <v>5801</v>
      </c>
      <c r="U177" s="79">
        <v>78997</v>
      </c>
      <c r="V177" s="79">
        <v>181880</v>
      </c>
      <c r="W177" s="79">
        <v>204310</v>
      </c>
      <c r="X177" s="79">
        <v>4581.7</v>
      </c>
      <c r="Y177" s="79">
        <v>9104.7999999999993</v>
      </c>
      <c r="Z177" s="79">
        <v>0</v>
      </c>
      <c r="AA177" s="79">
        <v>0</v>
      </c>
      <c r="AB177" s="79">
        <v>0</v>
      </c>
      <c r="AC177" s="79">
        <v>2914</v>
      </c>
      <c r="AD177" s="79">
        <v>2972.28</v>
      </c>
      <c r="AE177" s="79">
        <v>295</v>
      </c>
      <c r="AF177" s="79">
        <v>0</v>
      </c>
      <c r="AG177" s="79">
        <v>583</v>
      </c>
      <c r="AH177" s="79">
        <v>587.52</v>
      </c>
      <c r="AI177" s="79">
        <v>7.14</v>
      </c>
      <c r="AJ177" s="79">
        <v>75555</v>
      </c>
      <c r="AK177" s="79">
        <v>77066.100000000006</v>
      </c>
      <c r="AL177" s="79">
        <v>0</v>
      </c>
      <c r="AM177" s="79">
        <v>0</v>
      </c>
      <c r="AN177" s="79">
        <v>107</v>
      </c>
      <c r="AO177" s="79">
        <v>11850</v>
      </c>
      <c r="AP177" s="79">
        <v>30680</v>
      </c>
      <c r="AQ177" s="79">
        <v>30680</v>
      </c>
      <c r="AR177" s="80">
        <v>2.0210842E-2</v>
      </c>
      <c r="AS177" s="80">
        <v>1.251585E-2</v>
      </c>
      <c r="AT177" s="79">
        <v>264442.5</v>
      </c>
      <c r="AU177" s="79">
        <v>7555.5</v>
      </c>
      <c r="AV177" s="79">
        <v>1743.18</v>
      </c>
      <c r="AW177" s="79">
        <v>97213.957525708902</v>
      </c>
      <c r="AX177" s="79">
        <v>2</v>
      </c>
      <c r="AY177" s="79">
        <v>2.04</v>
      </c>
      <c r="AZ177" s="79">
        <v>20399</v>
      </c>
      <c r="BA177" s="79">
        <v>1</v>
      </c>
      <c r="BB177" s="79">
        <v>0</v>
      </c>
      <c r="BC177" s="79">
        <v>0</v>
      </c>
      <c r="BD177" s="79">
        <v>0</v>
      </c>
      <c r="BE177" s="79">
        <v>0</v>
      </c>
      <c r="BF177" s="79">
        <v>0</v>
      </c>
      <c r="BG177" s="79">
        <v>0</v>
      </c>
      <c r="BH177" s="79">
        <v>0</v>
      </c>
      <c r="BI177" s="79">
        <v>0</v>
      </c>
      <c r="BJ177" s="79">
        <v>0</v>
      </c>
      <c r="BK177" s="79">
        <v>18</v>
      </c>
      <c r="BL177" s="79">
        <v>33717</v>
      </c>
      <c r="BM177" s="79">
        <v>576</v>
      </c>
      <c r="BN177" s="79">
        <v>7</v>
      </c>
      <c r="BO177">
        <v>32057</v>
      </c>
      <c r="BP177">
        <v>10930</v>
      </c>
      <c r="BQ177">
        <v>28977</v>
      </c>
      <c r="BR177">
        <v>10722</v>
      </c>
      <c r="BS177">
        <v>29251</v>
      </c>
      <c r="BT177">
        <v>10672</v>
      </c>
      <c r="BU177">
        <v>29639</v>
      </c>
      <c r="BV177">
        <v>10797</v>
      </c>
      <c r="BW177">
        <v>29950</v>
      </c>
      <c r="BX177">
        <v>10824</v>
      </c>
      <c r="BY177">
        <v>30465</v>
      </c>
      <c r="BZ177">
        <v>10956</v>
      </c>
      <c r="CA177">
        <v>31972</v>
      </c>
      <c r="CB177">
        <v>4098.8042546891502</v>
      </c>
      <c r="CC177">
        <v>325.05606436351701</v>
      </c>
      <c r="CD177">
        <v>747.168471374349</v>
      </c>
      <c r="CE177">
        <v>52651.121851983196</v>
      </c>
      <c r="CF177">
        <v>13039.998508906399</v>
      </c>
      <c r="CG177">
        <v>1203.5674369134499</v>
      </c>
      <c r="CH177">
        <v>2049</v>
      </c>
      <c r="CI177">
        <v>1012.26225580522</v>
      </c>
      <c r="CJ177">
        <v>887.59832337288594</v>
      </c>
      <c r="CK177" s="81">
        <v>8370</v>
      </c>
      <c r="CL177">
        <v>1983</v>
      </c>
      <c r="CM177">
        <v>16851.75360946</v>
      </c>
      <c r="CN177">
        <v>6.8844222473288701</v>
      </c>
      <c r="CO177">
        <v>132573</v>
      </c>
      <c r="CP177">
        <v>15406</v>
      </c>
      <c r="CQ177">
        <v>3406</v>
      </c>
      <c r="CR177">
        <v>5018</v>
      </c>
      <c r="CS177">
        <v>3510</v>
      </c>
      <c r="CT177">
        <v>1788</v>
      </c>
      <c r="CU177">
        <v>2415.9120271790298</v>
      </c>
      <c r="CV177">
        <v>1391.3319194170001</v>
      </c>
      <c r="CW177">
        <v>543.85942983764301</v>
      </c>
      <c r="CX177">
        <v>4477.1872440343795</v>
      </c>
      <c r="CY177">
        <v>2578.4272985739999</v>
      </c>
      <c r="CZ177">
        <v>1007.88458951467</v>
      </c>
      <c r="DA177">
        <v>107274.5</v>
      </c>
      <c r="DE177">
        <v>532</v>
      </c>
      <c r="DF177" t="s">
        <v>284</v>
      </c>
      <c r="DG177">
        <v>4989</v>
      </c>
      <c r="DH177">
        <v>4890</v>
      </c>
      <c r="DI177">
        <v>4858</v>
      </c>
      <c r="DJ177">
        <v>4825</v>
      </c>
      <c r="DK177">
        <v>4721</v>
      </c>
      <c r="DO177">
        <v>392</v>
      </c>
      <c r="DP177" t="s">
        <v>126</v>
      </c>
      <c r="DQ177">
        <v>75555</v>
      </c>
      <c r="DR177">
        <v>1.02</v>
      </c>
      <c r="DS177">
        <v>3500</v>
      </c>
      <c r="DV177">
        <v>1685</v>
      </c>
      <c r="DW177" t="s">
        <v>172</v>
      </c>
      <c r="DX177">
        <v>1526.72557070126</v>
      </c>
      <c r="DY177">
        <v>321</v>
      </c>
      <c r="DZ177">
        <v>293</v>
      </c>
      <c r="EA177">
        <v>157</v>
      </c>
      <c r="EB177">
        <v>1159</v>
      </c>
      <c r="EC177">
        <v>630</v>
      </c>
      <c r="ED177">
        <v>221</v>
      </c>
      <c r="EE177" s="82">
        <v>0.13922368704187801</v>
      </c>
      <c r="EF177" s="82">
        <v>0.43372316852071502</v>
      </c>
    </row>
    <row r="178" spans="1:136" x14ac:dyDescent="0.35">
      <c r="A178" s="72">
        <v>393</v>
      </c>
      <c r="B178" s="72">
        <v>7</v>
      </c>
      <c r="D178" s="72" t="s">
        <v>811</v>
      </c>
      <c r="E178" s="79">
        <v>594800000</v>
      </c>
      <c r="F178" s="79">
        <v>109550000</v>
      </c>
      <c r="G178" s="79">
        <v>113050000</v>
      </c>
      <c r="H178" s="79">
        <v>5867</v>
      </c>
      <c r="I178" s="79">
        <v>2</v>
      </c>
      <c r="J178" s="79">
        <v>113.05</v>
      </c>
      <c r="K178" s="79">
        <v>1287</v>
      </c>
      <c r="L178" s="79">
        <v>1060</v>
      </c>
      <c r="M178" s="79">
        <v>341</v>
      </c>
      <c r="N178" s="79">
        <v>519</v>
      </c>
      <c r="O178" s="79">
        <v>260.89999999999998</v>
      </c>
      <c r="P178" s="79">
        <v>58</v>
      </c>
      <c r="Q178" s="79">
        <v>248</v>
      </c>
      <c r="R178" s="79">
        <v>215</v>
      </c>
      <c r="S178" s="79">
        <v>0</v>
      </c>
      <c r="T178" s="79">
        <v>181</v>
      </c>
      <c r="U178" s="79">
        <v>2480</v>
      </c>
      <c r="V178" s="79">
        <v>2450</v>
      </c>
      <c r="W178" s="79">
        <v>50</v>
      </c>
      <c r="X178" s="79">
        <v>0</v>
      </c>
      <c r="Y178" s="79">
        <v>0</v>
      </c>
      <c r="Z178" s="79">
        <v>0</v>
      </c>
      <c r="AA178" s="79">
        <v>0</v>
      </c>
      <c r="AB178" s="79">
        <v>0</v>
      </c>
      <c r="AC178" s="79">
        <v>1922</v>
      </c>
      <c r="AD178" s="79">
        <v>2133.42</v>
      </c>
      <c r="AE178" s="79">
        <v>197</v>
      </c>
      <c r="AF178" s="79">
        <v>0</v>
      </c>
      <c r="AG178" s="79">
        <v>36</v>
      </c>
      <c r="AH178" s="79">
        <v>31.92</v>
      </c>
      <c r="AI178" s="79">
        <v>8.8000000000000007</v>
      </c>
      <c r="AJ178" s="79">
        <v>2581</v>
      </c>
      <c r="AK178" s="79">
        <v>2942.34</v>
      </c>
      <c r="AL178" s="79">
        <v>0</v>
      </c>
      <c r="AM178" s="79">
        <v>0</v>
      </c>
      <c r="AN178" s="79">
        <v>0</v>
      </c>
      <c r="AO178" s="79">
        <v>0</v>
      </c>
      <c r="AP178" s="79">
        <v>0</v>
      </c>
      <c r="AQ178" s="79">
        <v>0</v>
      </c>
      <c r="AR178" s="80">
        <v>6.4270999999999995E-5</v>
      </c>
      <c r="AS178" s="80">
        <v>5.2156E-5</v>
      </c>
      <c r="AT178" s="79">
        <v>1556.3430000000001</v>
      </c>
      <c r="AU178" s="79">
        <v>0</v>
      </c>
      <c r="AV178" s="79">
        <v>1173.27</v>
      </c>
      <c r="AW178" s="79">
        <v>4735.9896979707401</v>
      </c>
      <c r="AX178" s="79">
        <v>5</v>
      </c>
      <c r="AY178" s="79">
        <v>5.5</v>
      </c>
      <c r="AZ178" s="79">
        <v>804</v>
      </c>
      <c r="BA178" s="79">
        <v>1</v>
      </c>
      <c r="BB178" s="79">
        <v>0</v>
      </c>
      <c r="BC178" s="79">
        <v>0</v>
      </c>
      <c r="BD178" s="79">
        <v>0</v>
      </c>
      <c r="BE178" s="79">
        <v>0</v>
      </c>
      <c r="BF178" s="79">
        <v>0</v>
      </c>
      <c r="BG178" s="79">
        <v>0</v>
      </c>
      <c r="BH178" s="79">
        <v>0</v>
      </c>
      <c r="BI178" s="79">
        <v>0</v>
      </c>
      <c r="BJ178" s="79">
        <v>0</v>
      </c>
      <c r="BK178" s="79">
        <v>0</v>
      </c>
      <c r="BL178" s="79">
        <v>694</v>
      </c>
      <c r="BM178" s="79">
        <v>28</v>
      </c>
      <c r="BN178" s="79">
        <v>8</v>
      </c>
      <c r="BO178">
        <v>1403</v>
      </c>
      <c r="BP178">
        <v>0</v>
      </c>
      <c r="BQ178">
        <v>1234</v>
      </c>
      <c r="BR178">
        <v>0</v>
      </c>
      <c r="BS178">
        <v>1200</v>
      </c>
      <c r="BT178">
        <v>0</v>
      </c>
      <c r="BU178">
        <v>1184</v>
      </c>
      <c r="BV178">
        <v>0</v>
      </c>
      <c r="BW178">
        <v>1162</v>
      </c>
      <c r="BX178">
        <v>0</v>
      </c>
      <c r="BY178">
        <v>1150</v>
      </c>
      <c r="BZ178">
        <v>0</v>
      </c>
      <c r="CA178">
        <v>1140</v>
      </c>
      <c r="CB178">
        <v>95.679957756212403</v>
      </c>
      <c r="CC178">
        <v>18.556182301627899</v>
      </c>
      <c r="CD178">
        <v>20.583184573818301</v>
      </c>
      <c r="CE178">
        <v>1959.6498609806299</v>
      </c>
      <c r="CF178">
        <v>381.03588146669301</v>
      </c>
      <c r="CG178">
        <v>17.493021806853601</v>
      </c>
      <c r="CH178">
        <v>79</v>
      </c>
      <c r="CI178">
        <v>18.645804297220099</v>
      </c>
      <c r="CJ178">
        <v>14.5449765220977</v>
      </c>
      <c r="CK178" s="81">
        <v>190</v>
      </c>
      <c r="CL178">
        <v>23</v>
      </c>
      <c r="CM178">
        <v>661.21026891358895</v>
      </c>
      <c r="CN178">
        <v>2.8638237337119499E-2</v>
      </c>
      <c r="CO178">
        <v>4807</v>
      </c>
      <c r="CP178">
        <v>629</v>
      </c>
      <c r="CQ178">
        <v>90</v>
      </c>
      <c r="CR178">
        <v>114</v>
      </c>
      <c r="CS178">
        <v>115</v>
      </c>
      <c r="CT178">
        <v>53</v>
      </c>
      <c r="CU178">
        <v>39.791242740192899</v>
      </c>
      <c r="CV178">
        <v>24.401245548057201</v>
      </c>
      <c r="CW178">
        <v>7.8974985591222504</v>
      </c>
      <c r="CX178">
        <v>132.603940381082</v>
      </c>
      <c r="CY178">
        <v>81.3169201828008</v>
      </c>
      <c r="CZ178">
        <v>26.3183393122758</v>
      </c>
      <c r="DA178">
        <v>0</v>
      </c>
      <c r="DE178">
        <v>534</v>
      </c>
      <c r="DF178" t="s">
        <v>150</v>
      </c>
      <c r="DG178">
        <v>4241</v>
      </c>
      <c r="DH178">
        <v>4158</v>
      </c>
      <c r="DI178">
        <v>4189</v>
      </c>
      <c r="DJ178">
        <v>4220</v>
      </c>
      <c r="DK178">
        <v>4198</v>
      </c>
      <c r="DO178">
        <v>393</v>
      </c>
      <c r="DP178" t="s">
        <v>811</v>
      </c>
      <c r="DQ178">
        <v>2581</v>
      </c>
      <c r="DR178">
        <v>1.1399999999999999</v>
      </c>
      <c r="DS178">
        <v>603</v>
      </c>
      <c r="DV178">
        <v>882</v>
      </c>
      <c r="DW178" t="s">
        <v>173</v>
      </c>
      <c r="DX178">
        <v>6281.2657693623796</v>
      </c>
      <c r="DY178">
        <v>1134</v>
      </c>
      <c r="DZ178">
        <v>1029</v>
      </c>
      <c r="EA178">
        <v>471</v>
      </c>
      <c r="EB178">
        <v>3339</v>
      </c>
      <c r="EC178">
        <v>1964</v>
      </c>
      <c r="ED178">
        <v>649</v>
      </c>
      <c r="EE178" s="82">
        <v>0.238375573418218</v>
      </c>
      <c r="EF178" s="82">
        <v>0.53927286471392499</v>
      </c>
    </row>
    <row r="179" spans="1:136" x14ac:dyDescent="0.35">
      <c r="A179" s="72">
        <v>394</v>
      </c>
      <c r="B179" s="72">
        <v>7</v>
      </c>
      <c r="D179" s="72" t="s">
        <v>127</v>
      </c>
      <c r="E179" s="79">
        <v>13096800000</v>
      </c>
      <c r="F179" s="79">
        <v>6244350000</v>
      </c>
      <c r="G179" s="79">
        <v>6305950000</v>
      </c>
      <c r="H179" s="79">
        <v>147282</v>
      </c>
      <c r="I179" s="79">
        <v>8</v>
      </c>
      <c r="J179" s="79">
        <v>6305.95</v>
      </c>
      <c r="K179" s="79">
        <v>36087</v>
      </c>
      <c r="L179" s="79">
        <v>24002</v>
      </c>
      <c r="M179" s="79">
        <v>6928</v>
      </c>
      <c r="N179" s="79">
        <v>14077</v>
      </c>
      <c r="O179" s="79">
        <v>7984.6</v>
      </c>
      <c r="P179" s="79">
        <v>1871.6666666666699</v>
      </c>
      <c r="Q179" s="79">
        <v>7767.6666666666697</v>
      </c>
      <c r="R179" s="79">
        <v>12960</v>
      </c>
      <c r="S179" s="79">
        <v>0</v>
      </c>
      <c r="T179" s="79">
        <v>5185</v>
      </c>
      <c r="U179" s="79">
        <v>62991</v>
      </c>
      <c r="V179" s="79">
        <v>134420</v>
      </c>
      <c r="W179" s="79">
        <v>76200</v>
      </c>
      <c r="X179" s="79">
        <v>2062.1</v>
      </c>
      <c r="Y179" s="79">
        <v>6268.8</v>
      </c>
      <c r="Z179" s="79">
        <v>0</v>
      </c>
      <c r="AA179" s="79">
        <v>0</v>
      </c>
      <c r="AB179" s="79">
        <v>1493.4</v>
      </c>
      <c r="AC179" s="79">
        <v>17822</v>
      </c>
      <c r="AD179" s="79">
        <v>20495.3</v>
      </c>
      <c r="AE179" s="79">
        <v>691</v>
      </c>
      <c r="AF179" s="79">
        <v>0</v>
      </c>
      <c r="AG179" s="79">
        <v>984</v>
      </c>
      <c r="AH179" s="79">
        <v>869.82</v>
      </c>
      <c r="AI179" s="79">
        <v>256.36</v>
      </c>
      <c r="AJ179" s="79">
        <v>60924</v>
      </c>
      <c r="AK179" s="79">
        <v>69453.36</v>
      </c>
      <c r="AL179" s="79">
        <v>0</v>
      </c>
      <c r="AM179" s="79">
        <v>0</v>
      </c>
      <c r="AN179" s="79">
        <v>0</v>
      </c>
      <c r="AO179" s="79">
        <v>0</v>
      </c>
      <c r="AP179" s="79">
        <v>4976</v>
      </c>
      <c r="AQ179" s="79">
        <v>0</v>
      </c>
      <c r="AR179" s="80">
        <v>6.4247000000000002E-4</v>
      </c>
      <c r="AS179" s="80">
        <v>7.31235E-4</v>
      </c>
      <c r="AT179" s="79">
        <v>94797.744000000006</v>
      </c>
      <c r="AU179" s="79">
        <v>0</v>
      </c>
      <c r="AV179" s="79">
        <v>11161.9</v>
      </c>
      <c r="AW179" s="79">
        <v>96338.323286339306</v>
      </c>
      <c r="AX179" s="79">
        <v>28</v>
      </c>
      <c r="AY179" s="79">
        <v>32.479999999999997</v>
      </c>
      <c r="AZ179" s="79">
        <v>17886</v>
      </c>
      <c r="BA179" s="79">
        <v>1</v>
      </c>
      <c r="BB179" s="79">
        <v>0</v>
      </c>
      <c r="BC179" s="79">
        <v>0</v>
      </c>
      <c r="BD179" s="79">
        <v>0</v>
      </c>
      <c r="BE179" s="79">
        <v>0</v>
      </c>
      <c r="BF179" s="79">
        <v>0</v>
      </c>
      <c r="BG179" s="79">
        <v>0</v>
      </c>
      <c r="BH179" s="79">
        <v>0</v>
      </c>
      <c r="BI179" s="79">
        <v>0</v>
      </c>
      <c r="BJ179" s="79">
        <v>0</v>
      </c>
      <c r="BK179" s="79">
        <v>1</v>
      </c>
      <c r="BL179" s="79">
        <v>18662</v>
      </c>
      <c r="BM179" s="79">
        <v>763</v>
      </c>
      <c r="BN179" s="79">
        <v>221</v>
      </c>
      <c r="BO179">
        <v>37413</v>
      </c>
      <c r="BP179">
        <v>5766</v>
      </c>
      <c r="BQ179">
        <v>34322</v>
      </c>
      <c r="BR179">
        <v>5886</v>
      </c>
      <c r="BS179">
        <v>34335</v>
      </c>
      <c r="BT179">
        <v>5959</v>
      </c>
      <c r="BU179">
        <v>34226</v>
      </c>
      <c r="BV179">
        <v>6314</v>
      </c>
      <c r="BW179">
        <v>34180</v>
      </c>
      <c r="BX179">
        <v>6558</v>
      </c>
      <c r="BY179">
        <v>33772</v>
      </c>
      <c r="BZ179">
        <v>6779</v>
      </c>
      <c r="CA179">
        <v>32238</v>
      </c>
      <c r="CB179">
        <v>2509.7282502742</v>
      </c>
      <c r="CC179">
        <v>481.54959784857999</v>
      </c>
      <c r="CD179">
        <v>325.78865294717599</v>
      </c>
      <c r="CE179">
        <v>47190.439552012896</v>
      </c>
      <c r="CF179">
        <v>14084.9820323534</v>
      </c>
      <c r="CG179">
        <v>921.33009868807505</v>
      </c>
      <c r="CH179">
        <v>2015</v>
      </c>
      <c r="CI179">
        <v>659.96766462294704</v>
      </c>
      <c r="CJ179">
        <v>598.47257055557895</v>
      </c>
      <c r="CK179" s="81">
        <v>5896</v>
      </c>
      <c r="CL179">
        <v>1335</v>
      </c>
      <c r="CM179">
        <v>17302.552144923098</v>
      </c>
      <c r="CN179">
        <v>1.2915607576711701</v>
      </c>
      <c r="CO179">
        <v>123280</v>
      </c>
      <c r="CP179">
        <v>14758</v>
      </c>
      <c r="CQ179">
        <v>2316</v>
      </c>
      <c r="CR179">
        <v>3096</v>
      </c>
      <c r="CS179">
        <v>2333</v>
      </c>
      <c r="CT179">
        <v>1225</v>
      </c>
      <c r="CU179">
        <v>1222.3357403498601</v>
      </c>
      <c r="CV179">
        <v>648.32152969987703</v>
      </c>
      <c r="CW179">
        <v>226.19829396846299</v>
      </c>
      <c r="CX179">
        <v>3324.4285219304302</v>
      </c>
      <c r="CY179">
        <v>1763.2623456620399</v>
      </c>
      <c r="CZ179">
        <v>615.19927402722396</v>
      </c>
      <c r="DA179">
        <v>233734</v>
      </c>
      <c r="DE179">
        <v>537</v>
      </c>
      <c r="DF179" t="s">
        <v>166</v>
      </c>
      <c r="DG179">
        <v>14831</v>
      </c>
      <c r="DH179">
        <v>14747</v>
      </c>
      <c r="DI179">
        <v>14613</v>
      </c>
      <c r="DJ179">
        <v>14758</v>
      </c>
      <c r="DK179">
        <v>14729</v>
      </c>
      <c r="DO179">
        <v>394</v>
      </c>
      <c r="DP179" t="s">
        <v>127</v>
      </c>
      <c r="DQ179">
        <v>60924</v>
      </c>
      <c r="DR179">
        <v>1.1399999999999999</v>
      </c>
      <c r="DS179">
        <v>1556</v>
      </c>
      <c r="DV179">
        <v>415</v>
      </c>
      <c r="DW179" t="s">
        <v>174</v>
      </c>
      <c r="DX179">
        <v>1130.35049627792</v>
      </c>
      <c r="DY179">
        <v>252</v>
      </c>
      <c r="DZ179">
        <v>248</v>
      </c>
      <c r="EA179">
        <v>131</v>
      </c>
      <c r="EB179">
        <v>838</v>
      </c>
      <c r="EC179">
        <v>534</v>
      </c>
      <c r="ED179">
        <v>188</v>
      </c>
      <c r="EE179" s="82">
        <v>0.13315810566788699</v>
      </c>
      <c r="EF179" s="82">
        <v>0.29319128730346999</v>
      </c>
    </row>
    <row r="180" spans="1:136" x14ac:dyDescent="0.35">
      <c r="A180" s="72">
        <v>396</v>
      </c>
      <c r="B180" s="72">
        <v>7</v>
      </c>
      <c r="D180" s="72" t="s">
        <v>134</v>
      </c>
      <c r="E180" s="79">
        <v>3224400000</v>
      </c>
      <c r="F180" s="79">
        <v>321300000</v>
      </c>
      <c r="G180" s="79">
        <v>343350000</v>
      </c>
      <c r="H180" s="79">
        <v>39146</v>
      </c>
      <c r="I180" s="79">
        <v>1</v>
      </c>
      <c r="J180" s="79">
        <v>343.35</v>
      </c>
      <c r="K180" s="79">
        <v>8340</v>
      </c>
      <c r="L180" s="79">
        <v>8448</v>
      </c>
      <c r="M180" s="79">
        <v>2915</v>
      </c>
      <c r="N180" s="79">
        <v>5024</v>
      </c>
      <c r="O180" s="79">
        <v>3267.8</v>
      </c>
      <c r="P180" s="79">
        <v>840.33333333333303</v>
      </c>
      <c r="Q180" s="79">
        <v>2910.3333333333298</v>
      </c>
      <c r="R180" s="79">
        <v>2260</v>
      </c>
      <c r="S180" s="79">
        <v>0</v>
      </c>
      <c r="T180" s="79">
        <v>1404</v>
      </c>
      <c r="U180" s="79">
        <v>17849</v>
      </c>
      <c r="V180" s="79">
        <v>40670</v>
      </c>
      <c r="W180" s="79">
        <v>22400</v>
      </c>
      <c r="X180" s="79">
        <v>411.7</v>
      </c>
      <c r="Y180" s="79">
        <v>1431.2</v>
      </c>
      <c r="Z180" s="79">
        <v>0</v>
      </c>
      <c r="AA180" s="79">
        <v>0</v>
      </c>
      <c r="AB180" s="79">
        <v>0</v>
      </c>
      <c r="AC180" s="79">
        <v>2724</v>
      </c>
      <c r="AD180" s="79">
        <v>2778.48</v>
      </c>
      <c r="AE180" s="79">
        <v>45</v>
      </c>
      <c r="AF180" s="79">
        <v>399</v>
      </c>
      <c r="AG180" s="79">
        <v>164</v>
      </c>
      <c r="AH180" s="79">
        <v>153.52000000000001</v>
      </c>
      <c r="AI180" s="79">
        <v>12.36</v>
      </c>
      <c r="AJ180" s="79">
        <v>17562</v>
      </c>
      <c r="AK180" s="79">
        <v>17737.62</v>
      </c>
      <c r="AL180" s="79">
        <v>0</v>
      </c>
      <c r="AM180" s="79">
        <v>0</v>
      </c>
      <c r="AN180" s="79">
        <v>0</v>
      </c>
      <c r="AO180" s="79">
        <v>0</v>
      </c>
      <c r="AP180" s="79">
        <v>780</v>
      </c>
      <c r="AQ180" s="79">
        <v>0</v>
      </c>
      <c r="AR180" s="80">
        <v>8.8505999999999996E-5</v>
      </c>
      <c r="AS180" s="80">
        <v>1.0293310000000001E-3</v>
      </c>
      <c r="AT180" s="79">
        <v>40761.402000000002</v>
      </c>
      <c r="AU180" s="79">
        <v>0</v>
      </c>
      <c r="AV180" s="79">
        <v>1139.3399999999999</v>
      </c>
      <c r="AW180" s="79">
        <v>20779.188775731302</v>
      </c>
      <c r="AX180" s="79">
        <v>3</v>
      </c>
      <c r="AY180" s="79">
        <v>3.09</v>
      </c>
      <c r="AZ180" s="79">
        <v>3075</v>
      </c>
      <c r="BA180" s="79">
        <v>1</v>
      </c>
      <c r="BB180" s="79">
        <v>0</v>
      </c>
      <c r="BC180" s="79">
        <v>0</v>
      </c>
      <c r="BD180" s="79">
        <v>0</v>
      </c>
      <c r="BE180" s="79">
        <v>0</v>
      </c>
      <c r="BF180" s="79">
        <v>0</v>
      </c>
      <c r="BG180" s="79">
        <v>0</v>
      </c>
      <c r="BH180" s="79">
        <v>0</v>
      </c>
      <c r="BI180" s="79">
        <v>0</v>
      </c>
      <c r="BJ180" s="79">
        <v>0</v>
      </c>
      <c r="BK180" s="79">
        <v>6</v>
      </c>
      <c r="BL180" s="79">
        <v>5780</v>
      </c>
      <c r="BM180" s="79">
        <v>152</v>
      </c>
      <c r="BN180" s="79">
        <v>12</v>
      </c>
      <c r="BO180">
        <v>9349</v>
      </c>
      <c r="BP180">
        <v>1681</v>
      </c>
      <c r="BQ180">
        <v>8272</v>
      </c>
      <c r="BR180">
        <v>1581</v>
      </c>
      <c r="BS180">
        <v>8184</v>
      </c>
      <c r="BT180">
        <v>1584</v>
      </c>
      <c r="BU180">
        <v>8032</v>
      </c>
      <c r="BV180">
        <v>1648</v>
      </c>
      <c r="BW180">
        <v>7953</v>
      </c>
      <c r="BX180">
        <v>1775</v>
      </c>
      <c r="BY180">
        <v>7814</v>
      </c>
      <c r="BZ180">
        <v>1857</v>
      </c>
      <c r="CA180">
        <v>7365</v>
      </c>
      <c r="CB180">
        <v>906.862650360266</v>
      </c>
      <c r="CC180">
        <v>156.76804416580401</v>
      </c>
      <c r="CD180">
        <v>188.985329380108</v>
      </c>
      <c r="CE180">
        <v>12024.885513594299</v>
      </c>
      <c r="CF180">
        <v>2858.78879368361</v>
      </c>
      <c r="CG180">
        <v>205.35429570670499</v>
      </c>
      <c r="CH180">
        <v>579</v>
      </c>
      <c r="CI180">
        <v>302.835171396345</v>
      </c>
      <c r="CJ180">
        <v>280.611620219006</v>
      </c>
      <c r="CK180" s="81">
        <v>2070</v>
      </c>
      <c r="CL180">
        <v>540</v>
      </c>
      <c r="CM180">
        <v>5747.6556024326301</v>
      </c>
      <c r="CN180">
        <v>1.7136830976459201</v>
      </c>
      <c r="CO180">
        <v>30698</v>
      </c>
      <c r="CP180">
        <v>4466</v>
      </c>
      <c r="CQ180">
        <v>1067</v>
      </c>
      <c r="CR180">
        <v>1011</v>
      </c>
      <c r="CS180">
        <v>996</v>
      </c>
      <c r="CT180">
        <v>551</v>
      </c>
      <c r="CU180">
        <v>518.61074703395798</v>
      </c>
      <c r="CV180">
        <v>378.30486139936698</v>
      </c>
      <c r="CW180">
        <v>146.63267623349799</v>
      </c>
      <c r="CX180">
        <v>1208.7864706672301</v>
      </c>
      <c r="CY180">
        <v>881.75920160261398</v>
      </c>
      <c r="CZ180">
        <v>341.77385679432399</v>
      </c>
      <c r="DA180">
        <v>115636.2</v>
      </c>
      <c r="DE180">
        <v>542</v>
      </c>
      <c r="DF180" t="s">
        <v>169</v>
      </c>
      <c r="DG180">
        <v>6443</v>
      </c>
      <c r="DH180">
        <v>6432</v>
      </c>
      <c r="DI180">
        <v>6320</v>
      </c>
      <c r="DJ180">
        <v>6315</v>
      </c>
      <c r="DK180">
        <v>6303</v>
      </c>
      <c r="DO180">
        <v>396</v>
      </c>
      <c r="DP180" t="s">
        <v>134</v>
      </c>
      <c r="DQ180">
        <v>17562</v>
      </c>
      <c r="DR180">
        <v>1.01</v>
      </c>
      <c r="DS180">
        <v>2321</v>
      </c>
      <c r="DV180">
        <v>416</v>
      </c>
      <c r="DW180" t="s">
        <v>175</v>
      </c>
      <c r="DX180">
        <v>2894.0305518763798</v>
      </c>
      <c r="DY180">
        <v>548</v>
      </c>
      <c r="DZ180">
        <v>434</v>
      </c>
      <c r="EA180">
        <v>252</v>
      </c>
      <c r="EB180">
        <v>2100</v>
      </c>
      <c r="EC180">
        <v>1045</v>
      </c>
      <c r="ED180">
        <v>347</v>
      </c>
      <c r="EE180" s="82">
        <v>0.151567328918322</v>
      </c>
      <c r="EF180" s="82">
        <v>0.40056396059305099</v>
      </c>
    </row>
    <row r="181" spans="1:136" x14ac:dyDescent="0.35">
      <c r="A181" s="72">
        <v>397</v>
      </c>
      <c r="B181" s="72">
        <v>7</v>
      </c>
      <c r="D181" s="72" t="s">
        <v>135</v>
      </c>
      <c r="E181" s="79">
        <v>4361200000</v>
      </c>
      <c r="F181" s="79">
        <v>240100000</v>
      </c>
      <c r="G181" s="79">
        <v>278250000</v>
      </c>
      <c r="H181" s="79">
        <v>27080</v>
      </c>
      <c r="I181" s="79">
        <v>1</v>
      </c>
      <c r="J181" s="79">
        <v>278.25</v>
      </c>
      <c r="K181" s="79">
        <v>6408</v>
      </c>
      <c r="L181" s="79">
        <v>7199</v>
      </c>
      <c r="M181" s="79">
        <v>2413</v>
      </c>
      <c r="N181" s="79">
        <v>2941</v>
      </c>
      <c r="O181" s="79">
        <v>1653.6</v>
      </c>
      <c r="P181" s="79">
        <v>247.333333333333</v>
      </c>
      <c r="Q181" s="79">
        <v>1322.3333333333301</v>
      </c>
      <c r="R181" s="79">
        <v>790</v>
      </c>
      <c r="S181" s="79">
        <v>0</v>
      </c>
      <c r="T181" s="79">
        <v>755</v>
      </c>
      <c r="U181" s="79">
        <v>12597</v>
      </c>
      <c r="V181" s="79">
        <v>22430</v>
      </c>
      <c r="W181" s="79">
        <v>5940</v>
      </c>
      <c r="X181" s="79">
        <v>0</v>
      </c>
      <c r="Y181" s="79">
        <v>1432.8</v>
      </c>
      <c r="Z181" s="79">
        <v>0</v>
      </c>
      <c r="AA181" s="79">
        <v>0</v>
      </c>
      <c r="AB181" s="79">
        <v>0</v>
      </c>
      <c r="AC181" s="79">
        <v>917</v>
      </c>
      <c r="AD181" s="79">
        <v>917</v>
      </c>
      <c r="AE181" s="79">
        <v>47</v>
      </c>
      <c r="AF181" s="79">
        <v>0</v>
      </c>
      <c r="AG181" s="79">
        <v>120</v>
      </c>
      <c r="AH181" s="79">
        <v>114</v>
      </c>
      <c r="AI181" s="79">
        <v>6</v>
      </c>
      <c r="AJ181" s="79">
        <v>12874</v>
      </c>
      <c r="AK181" s="79">
        <v>12874</v>
      </c>
      <c r="AL181" s="79">
        <v>0</v>
      </c>
      <c r="AM181" s="79">
        <v>0</v>
      </c>
      <c r="AN181" s="79">
        <v>0</v>
      </c>
      <c r="AO181" s="79">
        <v>0</v>
      </c>
      <c r="AP181" s="79">
        <v>3226</v>
      </c>
      <c r="AQ181" s="79">
        <v>0</v>
      </c>
      <c r="AR181" s="80">
        <v>7.3676799999999995E-4</v>
      </c>
      <c r="AS181" s="80">
        <v>3.1776200000000002E-4</v>
      </c>
      <c r="AT181" s="79">
        <v>22568.121999999999</v>
      </c>
      <c r="AU181" s="79">
        <v>0</v>
      </c>
      <c r="AV181" s="79">
        <v>715</v>
      </c>
      <c r="AW181" s="79">
        <v>20085.269709543601</v>
      </c>
      <c r="AX181" s="79">
        <v>1</v>
      </c>
      <c r="AY181" s="79">
        <v>1</v>
      </c>
      <c r="AZ181" s="79">
        <v>3627</v>
      </c>
      <c r="BA181" s="79">
        <v>1</v>
      </c>
      <c r="BB181" s="79">
        <v>0</v>
      </c>
      <c r="BC181" s="79">
        <v>0</v>
      </c>
      <c r="BD181" s="79">
        <v>0</v>
      </c>
      <c r="BE181" s="79">
        <v>0</v>
      </c>
      <c r="BF181" s="79">
        <v>0</v>
      </c>
      <c r="BG181" s="79">
        <v>0</v>
      </c>
      <c r="BH181" s="79">
        <v>0</v>
      </c>
      <c r="BI181" s="79">
        <v>0</v>
      </c>
      <c r="BJ181" s="79">
        <v>0</v>
      </c>
      <c r="BK181" s="79">
        <v>3</v>
      </c>
      <c r="BL181" s="79">
        <v>4299</v>
      </c>
      <c r="BM181" s="79">
        <v>114</v>
      </c>
      <c r="BN181" s="79">
        <v>6</v>
      </c>
      <c r="BO181">
        <v>6079</v>
      </c>
      <c r="BP181">
        <v>1802</v>
      </c>
      <c r="BQ181">
        <v>5557</v>
      </c>
      <c r="BR181">
        <v>1769</v>
      </c>
      <c r="BS181">
        <v>5713</v>
      </c>
      <c r="BT181">
        <v>1730</v>
      </c>
      <c r="BU181">
        <v>5706</v>
      </c>
      <c r="BV181">
        <v>1779</v>
      </c>
      <c r="BW181">
        <v>5714</v>
      </c>
      <c r="BX181">
        <v>1814</v>
      </c>
      <c r="BY181">
        <v>5689</v>
      </c>
      <c r="BZ181">
        <v>1802</v>
      </c>
      <c r="CA181">
        <v>5805</v>
      </c>
      <c r="CB181">
        <v>342.48476739591899</v>
      </c>
      <c r="CC181">
        <v>15.0359658609337</v>
      </c>
      <c r="CD181">
        <v>14.009884503485701</v>
      </c>
      <c r="CE181">
        <v>11557.55</v>
      </c>
      <c r="CF181">
        <v>3005.06</v>
      </c>
      <c r="CG181">
        <v>103.82133895817999</v>
      </c>
      <c r="CH181">
        <v>269</v>
      </c>
      <c r="CI181">
        <v>57.801336567651298</v>
      </c>
      <c r="CJ181">
        <v>50.020529015018802</v>
      </c>
      <c r="CK181" s="81">
        <v>1075</v>
      </c>
      <c r="CL181">
        <v>384</v>
      </c>
      <c r="CM181">
        <v>3775.8621534782901</v>
      </c>
      <c r="CN181">
        <v>0.113691989681698</v>
      </c>
      <c r="CO181">
        <v>19881</v>
      </c>
      <c r="CP181">
        <v>3661</v>
      </c>
      <c r="CQ181">
        <v>1125</v>
      </c>
      <c r="CR181">
        <v>954</v>
      </c>
      <c r="CS181">
        <v>951</v>
      </c>
      <c r="CT181">
        <v>579</v>
      </c>
      <c r="CU181">
        <v>299.75147714987799</v>
      </c>
      <c r="CV181">
        <v>223.175446124877</v>
      </c>
      <c r="CW181">
        <v>101.630269363718</v>
      </c>
      <c r="CX181">
        <v>394.23455313591501</v>
      </c>
      <c r="CY181">
        <v>293.521396826868</v>
      </c>
      <c r="CZ181">
        <v>133.66460845713999</v>
      </c>
      <c r="DA181">
        <v>196177.6</v>
      </c>
      <c r="DE181">
        <v>545</v>
      </c>
      <c r="DF181" t="s">
        <v>816</v>
      </c>
      <c r="DG181">
        <v>4758</v>
      </c>
      <c r="DH181">
        <v>4721</v>
      </c>
      <c r="DI181">
        <v>4669</v>
      </c>
      <c r="DJ181">
        <v>4609</v>
      </c>
      <c r="DK181">
        <v>4583</v>
      </c>
      <c r="DO181">
        <v>397</v>
      </c>
      <c r="DP181" t="s">
        <v>135</v>
      </c>
      <c r="DQ181">
        <v>12874</v>
      </c>
      <c r="DR181">
        <v>1</v>
      </c>
      <c r="DS181">
        <v>1753</v>
      </c>
      <c r="DV181">
        <v>1621</v>
      </c>
      <c r="DW181" t="s">
        <v>176</v>
      </c>
      <c r="DX181">
        <v>4316.4480922029197</v>
      </c>
      <c r="DY181">
        <v>941</v>
      </c>
      <c r="DZ181">
        <v>853</v>
      </c>
      <c r="EA181">
        <v>426</v>
      </c>
      <c r="EB181">
        <v>3216</v>
      </c>
      <c r="EC181">
        <v>1925</v>
      </c>
      <c r="ED181">
        <v>665</v>
      </c>
      <c r="EE181" s="82">
        <v>8.2374856016685705E-2</v>
      </c>
      <c r="EF181" s="82">
        <v>0.28487032065244899</v>
      </c>
    </row>
    <row r="182" spans="1:136" x14ac:dyDescent="0.35">
      <c r="A182" s="72">
        <v>398</v>
      </c>
      <c r="B182" s="72">
        <v>7</v>
      </c>
      <c r="D182" s="72" t="s">
        <v>138</v>
      </c>
      <c r="E182" s="79">
        <v>3894000000</v>
      </c>
      <c r="F182" s="79">
        <v>748300000</v>
      </c>
      <c r="G182" s="79">
        <v>767900000</v>
      </c>
      <c r="H182" s="79">
        <v>55850</v>
      </c>
      <c r="I182" s="79">
        <v>2</v>
      </c>
      <c r="J182" s="79">
        <v>767.9</v>
      </c>
      <c r="K182" s="79">
        <v>14051</v>
      </c>
      <c r="L182" s="79">
        <v>9618</v>
      </c>
      <c r="M182" s="79">
        <v>2793</v>
      </c>
      <c r="N182" s="79">
        <v>6091</v>
      </c>
      <c r="O182" s="79">
        <v>3749.2</v>
      </c>
      <c r="P182" s="79">
        <v>783.66666666666697</v>
      </c>
      <c r="Q182" s="79">
        <v>4398.6666666666697</v>
      </c>
      <c r="R182" s="79">
        <v>4010</v>
      </c>
      <c r="S182" s="79">
        <v>0</v>
      </c>
      <c r="T182" s="79">
        <v>1851</v>
      </c>
      <c r="U182" s="79">
        <v>24316</v>
      </c>
      <c r="V182" s="79">
        <v>63330</v>
      </c>
      <c r="W182" s="79">
        <v>54320</v>
      </c>
      <c r="X182" s="79">
        <v>1580.64</v>
      </c>
      <c r="Y182" s="79">
        <v>3645.6</v>
      </c>
      <c r="Z182" s="79">
        <v>0</v>
      </c>
      <c r="AA182" s="79">
        <v>0</v>
      </c>
      <c r="AB182" s="79">
        <v>796.1</v>
      </c>
      <c r="AC182" s="79">
        <v>3815</v>
      </c>
      <c r="AD182" s="79">
        <v>3891.3</v>
      </c>
      <c r="AE182" s="79">
        <v>184</v>
      </c>
      <c r="AF182" s="79">
        <v>0</v>
      </c>
      <c r="AG182" s="79">
        <v>300</v>
      </c>
      <c r="AH182" s="79">
        <v>257</v>
      </c>
      <c r="AI182" s="79">
        <v>44.72</v>
      </c>
      <c r="AJ182" s="79">
        <v>23418</v>
      </c>
      <c r="AK182" s="79">
        <v>23418</v>
      </c>
      <c r="AL182" s="79">
        <v>0</v>
      </c>
      <c r="AM182" s="79">
        <v>0</v>
      </c>
      <c r="AN182" s="79">
        <v>0</v>
      </c>
      <c r="AO182" s="79">
        <v>0</v>
      </c>
      <c r="AP182" s="79">
        <v>0</v>
      </c>
      <c r="AQ182" s="79">
        <v>0</v>
      </c>
      <c r="AR182" s="80">
        <v>1.43218E-4</v>
      </c>
      <c r="AS182" s="80">
        <v>1.9029100000000001E-4</v>
      </c>
      <c r="AT182" s="79">
        <v>39529.584000000003</v>
      </c>
      <c r="AU182" s="79">
        <v>0</v>
      </c>
      <c r="AV182" s="79">
        <v>2418.42</v>
      </c>
      <c r="AW182" s="79">
        <v>33775.633158289602</v>
      </c>
      <c r="AX182" s="79">
        <v>4</v>
      </c>
      <c r="AY182" s="79">
        <v>4.16</v>
      </c>
      <c r="AZ182" s="79">
        <v>4909</v>
      </c>
      <c r="BA182" s="79">
        <v>1</v>
      </c>
      <c r="BB182" s="79">
        <v>0</v>
      </c>
      <c r="BC182" s="79">
        <v>0</v>
      </c>
      <c r="BD182" s="79">
        <v>0</v>
      </c>
      <c r="BE182" s="79">
        <v>0</v>
      </c>
      <c r="BF182" s="79">
        <v>0</v>
      </c>
      <c r="BG182" s="79">
        <v>0</v>
      </c>
      <c r="BH182" s="79">
        <v>0</v>
      </c>
      <c r="BI182" s="79">
        <v>0</v>
      </c>
      <c r="BJ182" s="79">
        <v>0</v>
      </c>
      <c r="BK182" s="79">
        <v>83</v>
      </c>
      <c r="BL182" s="79">
        <v>6952</v>
      </c>
      <c r="BM182" s="79">
        <v>257</v>
      </c>
      <c r="BN182" s="79">
        <v>43</v>
      </c>
      <c r="BO182">
        <v>13347</v>
      </c>
      <c r="BP182">
        <v>3419</v>
      </c>
      <c r="BQ182">
        <v>12145</v>
      </c>
      <c r="BR182">
        <v>3506</v>
      </c>
      <c r="BS182">
        <v>12156</v>
      </c>
      <c r="BT182">
        <v>3674</v>
      </c>
      <c r="BU182">
        <v>12378</v>
      </c>
      <c r="BV182">
        <v>3787</v>
      </c>
      <c r="BW182">
        <v>12498</v>
      </c>
      <c r="BX182">
        <v>3959</v>
      </c>
      <c r="BY182">
        <v>12561</v>
      </c>
      <c r="BZ182">
        <v>4234</v>
      </c>
      <c r="CA182">
        <v>12705</v>
      </c>
      <c r="CB182">
        <v>1303.1927553676101</v>
      </c>
      <c r="CC182">
        <v>164.95991430691501</v>
      </c>
      <c r="CD182">
        <v>116.482051504932</v>
      </c>
      <c r="CE182">
        <v>14860.9105710648</v>
      </c>
      <c r="CF182">
        <v>4151.6873132943801</v>
      </c>
      <c r="CG182">
        <v>515.53637475214805</v>
      </c>
      <c r="CH182">
        <v>753</v>
      </c>
      <c r="CI182">
        <v>291.92840389099399</v>
      </c>
      <c r="CJ182">
        <v>263.938110547333</v>
      </c>
      <c r="CK182" s="81">
        <v>3615</v>
      </c>
      <c r="CL182">
        <v>1204</v>
      </c>
      <c r="CM182">
        <v>7104.37435792831</v>
      </c>
      <c r="CN182">
        <v>1.13594322585963</v>
      </c>
      <c r="CO182">
        <v>46232</v>
      </c>
      <c r="CP182">
        <v>6075</v>
      </c>
      <c r="CQ182">
        <v>750</v>
      </c>
      <c r="CR182">
        <v>1187</v>
      </c>
      <c r="CS182">
        <v>881</v>
      </c>
      <c r="CT182">
        <v>338</v>
      </c>
      <c r="CU182">
        <v>587.48095447441801</v>
      </c>
      <c r="CV182">
        <v>310.793276815166</v>
      </c>
      <c r="CW182">
        <v>79.899971731462102</v>
      </c>
      <c r="CX182">
        <v>1721.78621995199</v>
      </c>
      <c r="CY182">
        <v>910.87136901793895</v>
      </c>
      <c r="CZ182">
        <v>234.17043438431301</v>
      </c>
      <c r="DA182">
        <v>193114.9</v>
      </c>
      <c r="DE182">
        <v>546</v>
      </c>
      <c r="DF182" t="s">
        <v>179</v>
      </c>
      <c r="DG182">
        <v>20901</v>
      </c>
      <c r="DH182">
        <v>20835</v>
      </c>
      <c r="DI182">
        <v>20691</v>
      </c>
      <c r="DJ182">
        <v>20693</v>
      </c>
      <c r="DK182">
        <v>20526</v>
      </c>
      <c r="DO182">
        <v>398</v>
      </c>
      <c r="DP182" t="s">
        <v>138</v>
      </c>
      <c r="DQ182">
        <v>23418</v>
      </c>
      <c r="DR182">
        <v>1</v>
      </c>
      <c r="DS182">
        <v>1688</v>
      </c>
      <c r="DV182">
        <v>417</v>
      </c>
      <c r="DW182" t="s">
        <v>177</v>
      </c>
      <c r="DX182">
        <v>1314.44577822991</v>
      </c>
      <c r="DY182">
        <v>432</v>
      </c>
      <c r="DZ182">
        <v>375</v>
      </c>
      <c r="EA182">
        <v>234</v>
      </c>
      <c r="EB182">
        <v>1081</v>
      </c>
      <c r="EC182">
        <v>736</v>
      </c>
      <c r="ED182">
        <v>346</v>
      </c>
      <c r="EE182" s="82">
        <v>0.13658131357629699</v>
      </c>
      <c r="EF182" s="82">
        <v>9.0910549187738804E-2</v>
      </c>
    </row>
    <row r="183" spans="1:136" x14ac:dyDescent="0.35">
      <c r="A183" s="72">
        <v>399</v>
      </c>
      <c r="B183" s="72">
        <v>7</v>
      </c>
      <c r="D183" s="72" t="s">
        <v>141</v>
      </c>
      <c r="E183" s="79">
        <v>2503200000</v>
      </c>
      <c r="F183" s="79">
        <v>235900000</v>
      </c>
      <c r="G183" s="79">
        <v>252350000</v>
      </c>
      <c r="H183" s="79">
        <v>23099</v>
      </c>
      <c r="I183" s="79">
        <v>1</v>
      </c>
      <c r="J183" s="79">
        <v>252.35</v>
      </c>
      <c r="K183" s="79">
        <v>5024</v>
      </c>
      <c r="L183" s="79">
        <v>6140</v>
      </c>
      <c r="M183" s="79">
        <v>2113</v>
      </c>
      <c r="N183" s="79">
        <v>2456</v>
      </c>
      <c r="O183" s="79">
        <v>1400.2</v>
      </c>
      <c r="P183" s="79">
        <v>236.666666666667</v>
      </c>
      <c r="Q183" s="79">
        <v>1258.6666666666699</v>
      </c>
      <c r="R183" s="79">
        <v>425</v>
      </c>
      <c r="S183" s="79">
        <v>0</v>
      </c>
      <c r="T183" s="79">
        <v>590</v>
      </c>
      <c r="U183" s="79">
        <v>10619</v>
      </c>
      <c r="V183" s="79">
        <v>22120</v>
      </c>
      <c r="W183" s="79">
        <v>8170</v>
      </c>
      <c r="X183" s="79">
        <v>0</v>
      </c>
      <c r="Y183" s="79">
        <v>283.2</v>
      </c>
      <c r="Z183" s="79">
        <v>0</v>
      </c>
      <c r="AA183" s="79">
        <v>0</v>
      </c>
      <c r="AB183" s="79">
        <v>14.1</v>
      </c>
      <c r="AC183" s="79">
        <v>1870</v>
      </c>
      <c r="AD183" s="79">
        <v>1870</v>
      </c>
      <c r="AE183" s="79">
        <v>31</v>
      </c>
      <c r="AF183" s="79">
        <v>0</v>
      </c>
      <c r="AG183" s="79">
        <v>121</v>
      </c>
      <c r="AH183" s="79">
        <v>113</v>
      </c>
      <c r="AI183" s="79">
        <v>8</v>
      </c>
      <c r="AJ183" s="79">
        <v>10558</v>
      </c>
      <c r="AK183" s="79">
        <v>10558</v>
      </c>
      <c r="AL183" s="79">
        <v>0</v>
      </c>
      <c r="AM183" s="79">
        <v>0</v>
      </c>
      <c r="AN183" s="79">
        <v>0</v>
      </c>
      <c r="AO183" s="79">
        <v>0</v>
      </c>
      <c r="AP183" s="79">
        <v>929</v>
      </c>
      <c r="AQ183" s="79">
        <v>0</v>
      </c>
      <c r="AR183" s="80">
        <v>2.29972E-4</v>
      </c>
      <c r="AS183" s="80">
        <v>1.4641099999999999E-4</v>
      </c>
      <c r="AT183" s="79">
        <v>13767.632</v>
      </c>
      <c r="AU183" s="79">
        <v>0</v>
      </c>
      <c r="AV183" s="79">
        <v>909</v>
      </c>
      <c r="AW183" s="79">
        <v>11045.234613361399</v>
      </c>
      <c r="AX183" s="79">
        <v>3</v>
      </c>
      <c r="AY183" s="79">
        <v>3</v>
      </c>
      <c r="AZ183" s="79">
        <v>2513</v>
      </c>
      <c r="BA183" s="79">
        <v>1</v>
      </c>
      <c r="BB183" s="79">
        <v>0</v>
      </c>
      <c r="BC183" s="79">
        <v>0</v>
      </c>
      <c r="BD183" s="79">
        <v>0</v>
      </c>
      <c r="BE183" s="79">
        <v>0</v>
      </c>
      <c r="BF183" s="79">
        <v>0</v>
      </c>
      <c r="BG183" s="79">
        <v>0</v>
      </c>
      <c r="BH183" s="79">
        <v>0</v>
      </c>
      <c r="BI183" s="79">
        <v>0</v>
      </c>
      <c r="BJ183" s="79">
        <v>0</v>
      </c>
      <c r="BK183" s="79">
        <v>8</v>
      </c>
      <c r="BL183" s="79">
        <v>3604</v>
      </c>
      <c r="BM183" s="79">
        <v>113</v>
      </c>
      <c r="BN183" s="79">
        <v>8</v>
      </c>
      <c r="BO183">
        <v>5251</v>
      </c>
      <c r="BP183">
        <v>309</v>
      </c>
      <c r="BQ183">
        <v>4841</v>
      </c>
      <c r="BR183">
        <v>302</v>
      </c>
      <c r="BS183">
        <v>4828</v>
      </c>
      <c r="BT183">
        <v>288</v>
      </c>
      <c r="BU183">
        <v>4819</v>
      </c>
      <c r="BV183">
        <v>314</v>
      </c>
      <c r="BW183">
        <v>4780</v>
      </c>
      <c r="BX183">
        <v>342</v>
      </c>
      <c r="BY183">
        <v>4721</v>
      </c>
      <c r="BZ183">
        <v>344</v>
      </c>
      <c r="CA183">
        <v>4455</v>
      </c>
      <c r="CB183">
        <v>261.13063333363999</v>
      </c>
      <c r="CC183">
        <v>5.0018872867441404</v>
      </c>
      <c r="CD183">
        <v>21.971161932191801</v>
      </c>
      <c r="CE183">
        <v>8503.0485120551402</v>
      </c>
      <c r="CF183">
        <v>1999.2009510360101</v>
      </c>
      <c r="CG183">
        <v>96.076294964028804</v>
      </c>
      <c r="CH183">
        <v>223</v>
      </c>
      <c r="CI183">
        <v>54.215178687433003</v>
      </c>
      <c r="CJ183">
        <v>42.215907466576098</v>
      </c>
      <c r="CK183" s="81">
        <v>1022</v>
      </c>
      <c r="CL183">
        <v>311</v>
      </c>
      <c r="CM183">
        <v>3215.3922023888199</v>
      </c>
      <c r="CN183">
        <v>0.29530973239872499</v>
      </c>
      <c r="CO183">
        <v>16959</v>
      </c>
      <c r="CP183">
        <v>3220</v>
      </c>
      <c r="CQ183">
        <v>807</v>
      </c>
      <c r="CR183">
        <v>688</v>
      </c>
      <c r="CS183">
        <v>721</v>
      </c>
      <c r="CT183">
        <v>383</v>
      </c>
      <c r="CU183">
        <v>263.03476325590702</v>
      </c>
      <c r="CV183">
        <v>195.28740235683</v>
      </c>
      <c r="CW183">
        <v>75.569463233804001</v>
      </c>
      <c r="CX183">
        <v>615.71642615944302</v>
      </c>
      <c r="CY183">
        <v>457.13220551051398</v>
      </c>
      <c r="CZ183">
        <v>176.89433614459799</v>
      </c>
      <c r="DA183">
        <v>10660</v>
      </c>
      <c r="DE183">
        <v>547</v>
      </c>
      <c r="DF183" t="s">
        <v>180</v>
      </c>
      <c r="DG183">
        <v>6016</v>
      </c>
      <c r="DH183">
        <v>5851</v>
      </c>
      <c r="DI183">
        <v>5788</v>
      </c>
      <c r="DJ183">
        <v>5719</v>
      </c>
      <c r="DK183">
        <v>5691</v>
      </c>
      <c r="DO183">
        <v>399</v>
      </c>
      <c r="DP183" t="s">
        <v>141</v>
      </c>
      <c r="DQ183">
        <v>10558</v>
      </c>
      <c r="DR183">
        <v>1</v>
      </c>
      <c r="DS183">
        <v>1304</v>
      </c>
      <c r="DV183">
        <v>22</v>
      </c>
      <c r="DW183" t="s">
        <v>799</v>
      </c>
      <c r="DX183">
        <v>2681.7188475390199</v>
      </c>
      <c r="DY183">
        <v>477</v>
      </c>
      <c r="DZ183">
        <v>478</v>
      </c>
      <c r="EA183">
        <v>246</v>
      </c>
      <c r="EB183">
        <v>1461</v>
      </c>
      <c r="EC183">
        <v>967</v>
      </c>
      <c r="ED183">
        <v>327</v>
      </c>
      <c r="EE183" s="82">
        <v>0.20546974000900101</v>
      </c>
      <c r="EF183" s="82">
        <v>0.50750240615976905</v>
      </c>
    </row>
    <row r="184" spans="1:136" x14ac:dyDescent="0.35">
      <c r="A184" s="72">
        <v>402</v>
      </c>
      <c r="B184" s="72">
        <v>7</v>
      </c>
      <c r="D184" s="72" t="s">
        <v>152</v>
      </c>
      <c r="E184" s="79">
        <v>9234400000</v>
      </c>
      <c r="F184" s="79">
        <v>1611400000</v>
      </c>
      <c r="G184" s="79">
        <v>1655150000</v>
      </c>
      <c r="H184" s="79">
        <v>89521</v>
      </c>
      <c r="I184" s="79">
        <v>2</v>
      </c>
      <c r="J184" s="79">
        <v>1655.15</v>
      </c>
      <c r="K184" s="79">
        <v>20306</v>
      </c>
      <c r="L184" s="79">
        <v>17033</v>
      </c>
      <c r="M184" s="79">
        <v>5457</v>
      </c>
      <c r="N184" s="79">
        <v>13660</v>
      </c>
      <c r="O184" s="79">
        <v>9421.7000000000007</v>
      </c>
      <c r="P184" s="79">
        <v>2120</v>
      </c>
      <c r="Q184" s="79">
        <v>6102</v>
      </c>
      <c r="R184" s="79">
        <v>7195</v>
      </c>
      <c r="S184" s="79">
        <v>0</v>
      </c>
      <c r="T184" s="79">
        <v>3210</v>
      </c>
      <c r="U184" s="79">
        <v>43595</v>
      </c>
      <c r="V184" s="79">
        <v>97150</v>
      </c>
      <c r="W184" s="79">
        <v>90560</v>
      </c>
      <c r="X184" s="79">
        <v>3078.58</v>
      </c>
      <c r="Y184" s="79">
        <v>6579.2</v>
      </c>
      <c r="Z184" s="79">
        <v>0</v>
      </c>
      <c r="AA184" s="79">
        <v>0</v>
      </c>
      <c r="AB184" s="79">
        <v>932.099999999999</v>
      </c>
      <c r="AC184" s="79">
        <v>4559</v>
      </c>
      <c r="AD184" s="79">
        <v>4559</v>
      </c>
      <c r="AE184" s="79">
        <v>76</v>
      </c>
      <c r="AF184" s="79">
        <v>0</v>
      </c>
      <c r="AG184" s="79">
        <v>392</v>
      </c>
      <c r="AH184" s="79">
        <v>380</v>
      </c>
      <c r="AI184" s="79">
        <v>12</v>
      </c>
      <c r="AJ184" s="79">
        <v>42383</v>
      </c>
      <c r="AK184" s="79">
        <v>42383</v>
      </c>
      <c r="AL184" s="79">
        <v>0</v>
      </c>
      <c r="AM184" s="79">
        <v>0</v>
      </c>
      <c r="AN184" s="79">
        <v>0</v>
      </c>
      <c r="AO184" s="79">
        <v>0</v>
      </c>
      <c r="AP184" s="79">
        <v>13746</v>
      </c>
      <c r="AQ184" s="79">
        <v>0</v>
      </c>
      <c r="AR184" s="80">
        <v>4.6107020000000004E-3</v>
      </c>
      <c r="AS184" s="80">
        <v>3.890148E-3</v>
      </c>
      <c r="AT184" s="79">
        <v>114434.1</v>
      </c>
      <c r="AU184" s="79">
        <v>0</v>
      </c>
      <c r="AV184" s="79">
        <v>743</v>
      </c>
      <c r="AW184" s="79">
        <v>14350.399784250299</v>
      </c>
      <c r="AX184" s="79">
        <v>5</v>
      </c>
      <c r="AY184" s="79">
        <v>5</v>
      </c>
      <c r="AZ184" s="79">
        <v>12141</v>
      </c>
      <c r="BA184" s="79">
        <v>1</v>
      </c>
      <c r="BB184" s="79">
        <v>0</v>
      </c>
      <c r="BC184" s="79">
        <v>0</v>
      </c>
      <c r="BD184" s="79">
        <v>0</v>
      </c>
      <c r="BE184" s="79">
        <v>0</v>
      </c>
      <c r="BF184" s="79">
        <v>0</v>
      </c>
      <c r="BG184" s="79">
        <v>0</v>
      </c>
      <c r="BH184" s="79">
        <v>0</v>
      </c>
      <c r="BI184" s="79">
        <v>0</v>
      </c>
      <c r="BJ184" s="79">
        <v>0</v>
      </c>
      <c r="BK184" s="79">
        <v>34</v>
      </c>
      <c r="BL184" s="79">
        <v>17588</v>
      </c>
      <c r="BM184" s="79">
        <v>380</v>
      </c>
      <c r="BN184" s="79">
        <v>12</v>
      </c>
      <c r="BO184">
        <v>18691</v>
      </c>
      <c r="BP184">
        <v>6629</v>
      </c>
      <c r="BQ184">
        <v>17136</v>
      </c>
      <c r="BR184">
        <v>6527</v>
      </c>
      <c r="BS184">
        <v>17162</v>
      </c>
      <c r="BT184">
        <v>6544</v>
      </c>
      <c r="BU184">
        <v>17270</v>
      </c>
      <c r="BV184">
        <v>6684</v>
      </c>
      <c r="BW184">
        <v>17394</v>
      </c>
      <c r="BX184">
        <v>6739</v>
      </c>
      <c r="BY184">
        <v>17520</v>
      </c>
      <c r="BZ184">
        <v>6925</v>
      </c>
      <c r="CA184">
        <v>18329</v>
      </c>
      <c r="CB184">
        <v>2266.9251463257501</v>
      </c>
      <c r="CC184">
        <v>179.17092380999301</v>
      </c>
      <c r="CD184">
        <v>267.29794177779399</v>
      </c>
      <c r="CE184">
        <v>31076.8453492105</v>
      </c>
      <c r="CF184">
        <v>8182.0464309061199</v>
      </c>
      <c r="CG184">
        <v>658.28263061315795</v>
      </c>
      <c r="CH184">
        <v>1095</v>
      </c>
      <c r="CI184">
        <v>529.40252981659603</v>
      </c>
      <c r="CJ184">
        <v>475.72715893007199</v>
      </c>
      <c r="CK184" s="81">
        <v>3982</v>
      </c>
      <c r="CL184">
        <v>1025</v>
      </c>
      <c r="CM184">
        <v>10761.6819583286</v>
      </c>
      <c r="CN184">
        <v>4.1398346843662397</v>
      </c>
      <c r="CO184">
        <v>72488</v>
      </c>
      <c r="CP184">
        <v>9156</v>
      </c>
      <c r="CQ184">
        <v>2420</v>
      </c>
      <c r="CR184">
        <v>2597</v>
      </c>
      <c r="CS184">
        <v>2106</v>
      </c>
      <c r="CT184">
        <v>1290</v>
      </c>
      <c r="CU184">
        <v>1341.0885336492699</v>
      </c>
      <c r="CV184">
        <v>867.60625672685205</v>
      </c>
      <c r="CW184">
        <v>387.232923191949</v>
      </c>
      <c r="CX184">
        <v>2270.0941019228198</v>
      </c>
      <c r="CY184">
        <v>1468.61880984664</v>
      </c>
      <c r="CZ184">
        <v>655.47885389516898</v>
      </c>
      <c r="DA184">
        <v>49630.400000000001</v>
      </c>
      <c r="DE184">
        <v>553</v>
      </c>
      <c r="DF184" t="s">
        <v>186</v>
      </c>
      <c r="DG184">
        <v>4834</v>
      </c>
      <c r="DH184">
        <v>4762</v>
      </c>
      <c r="DI184">
        <v>4749</v>
      </c>
      <c r="DJ184">
        <v>4677</v>
      </c>
      <c r="DK184">
        <v>4616</v>
      </c>
      <c r="DO184">
        <v>402</v>
      </c>
      <c r="DP184" t="s">
        <v>152</v>
      </c>
      <c r="DQ184">
        <v>42383</v>
      </c>
      <c r="DR184">
        <v>1</v>
      </c>
      <c r="DS184">
        <v>2700</v>
      </c>
      <c r="DV184">
        <v>545</v>
      </c>
      <c r="DW184" t="s">
        <v>816</v>
      </c>
      <c r="DX184">
        <v>2683.3300699300698</v>
      </c>
      <c r="DY184">
        <v>492</v>
      </c>
      <c r="DZ184">
        <v>444</v>
      </c>
      <c r="EA184">
        <v>262</v>
      </c>
      <c r="EB184">
        <v>1460</v>
      </c>
      <c r="EC184">
        <v>919</v>
      </c>
      <c r="ED184">
        <v>348</v>
      </c>
      <c r="EE184" s="82">
        <v>0.19617329690177401</v>
      </c>
      <c r="EF184" s="82">
        <v>0.48592072440140599</v>
      </c>
    </row>
    <row r="185" spans="1:136" x14ac:dyDescent="0.35">
      <c r="A185" s="72">
        <v>1911</v>
      </c>
      <c r="B185" s="72">
        <v>7</v>
      </c>
      <c r="D185" s="72" t="s">
        <v>155</v>
      </c>
      <c r="E185" s="79">
        <v>3257600000</v>
      </c>
      <c r="F185" s="79">
        <v>868700000</v>
      </c>
      <c r="G185" s="79">
        <v>971600000</v>
      </c>
      <c r="H185" s="79">
        <v>47681</v>
      </c>
      <c r="I185" s="79">
        <v>10</v>
      </c>
      <c r="J185" s="79">
        <v>971.6</v>
      </c>
      <c r="K185" s="79">
        <v>10913</v>
      </c>
      <c r="L185" s="79">
        <v>9604</v>
      </c>
      <c r="M185" s="79">
        <v>2952</v>
      </c>
      <c r="N185" s="79">
        <v>5747</v>
      </c>
      <c r="O185" s="79">
        <v>3661.3</v>
      </c>
      <c r="P185" s="79">
        <v>557.33333333333303</v>
      </c>
      <c r="Q185" s="79">
        <v>2962.3333333333298</v>
      </c>
      <c r="R185" s="79">
        <v>740</v>
      </c>
      <c r="S185" s="79">
        <v>0</v>
      </c>
      <c r="T185" s="79">
        <v>1264</v>
      </c>
      <c r="U185" s="79">
        <v>20607</v>
      </c>
      <c r="V185" s="79">
        <v>41950</v>
      </c>
      <c r="W185" s="79">
        <v>7420</v>
      </c>
      <c r="X185" s="79">
        <v>0</v>
      </c>
      <c r="Y185" s="79">
        <v>877.6</v>
      </c>
      <c r="Z185" s="79">
        <v>0</v>
      </c>
      <c r="AA185" s="79">
        <v>0</v>
      </c>
      <c r="AB185" s="79">
        <v>0</v>
      </c>
      <c r="AC185" s="79">
        <v>35744</v>
      </c>
      <c r="AD185" s="79">
        <v>41105.599999999999</v>
      </c>
      <c r="AE185" s="79">
        <v>1773</v>
      </c>
      <c r="AF185" s="79">
        <v>10000</v>
      </c>
      <c r="AG185" s="79">
        <v>510</v>
      </c>
      <c r="AH185" s="79">
        <v>295.26</v>
      </c>
      <c r="AI185" s="79">
        <v>288.64999999999998</v>
      </c>
      <c r="AJ185" s="79">
        <v>20857</v>
      </c>
      <c r="AK185" s="79">
        <v>23776.98</v>
      </c>
      <c r="AL185" s="79">
        <v>0</v>
      </c>
      <c r="AM185" s="79">
        <v>0</v>
      </c>
      <c r="AN185" s="79">
        <v>0</v>
      </c>
      <c r="AO185" s="79">
        <v>0</v>
      </c>
      <c r="AP185" s="79">
        <v>0</v>
      </c>
      <c r="AQ185" s="79">
        <v>0</v>
      </c>
      <c r="AR185" s="80">
        <v>5.69079E-4</v>
      </c>
      <c r="AS185" s="80">
        <v>2.33618E-4</v>
      </c>
      <c r="AT185" s="79">
        <v>8989.3670000000002</v>
      </c>
      <c r="AU185" s="79">
        <v>0</v>
      </c>
      <c r="AV185" s="79">
        <v>12777.65</v>
      </c>
      <c r="AW185" s="79">
        <v>19270.5995348775</v>
      </c>
      <c r="AX185" s="79">
        <v>29</v>
      </c>
      <c r="AY185" s="79">
        <v>33.35</v>
      </c>
      <c r="AZ185" s="79">
        <v>5535</v>
      </c>
      <c r="BA185" s="79">
        <v>1</v>
      </c>
      <c r="BB185" s="79">
        <v>0</v>
      </c>
      <c r="BC185" s="79">
        <v>0</v>
      </c>
      <c r="BD185" s="79">
        <v>0</v>
      </c>
      <c r="BE185" s="79">
        <v>0</v>
      </c>
      <c r="BF185" s="79">
        <v>0</v>
      </c>
      <c r="BG185" s="79">
        <v>0</v>
      </c>
      <c r="BH185" s="79">
        <v>0</v>
      </c>
      <c r="BI185" s="79">
        <v>0</v>
      </c>
      <c r="BJ185" s="79">
        <v>0</v>
      </c>
      <c r="BK185" s="79">
        <v>18</v>
      </c>
      <c r="BL185" s="79">
        <v>5831</v>
      </c>
      <c r="BM185" s="79">
        <v>259</v>
      </c>
      <c r="BN185" s="79">
        <v>251</v>
      </c>
      <c r="BO185">
        <v>12123</v>
      </c>
      <c r="BP185">
        <v>1068</v>
      </c>
      <c r="BQ185">
        <v>10978</v>
      </c>
      <c r="BR185">
        <v>1011</v>
      </c>
      <c r="BS185">
        <v>10908</v>
      </c>
      <c r="BT185">
        <v>987</v>
      </c>
      <c r="BU185">
        <v>10775</v>
      </c>
      <c r="BV185">
        <v>996</v>
      </c>
      <c r="BW185">
        <v>10632</v>
      </c>
      <c r="BX185">
        <v>1029</v>
      </c>
      <c r="BY185">
        <v>10449</v>
      </c>
      <c r="BZ185">
        <v>1039</v>
      </c>
      <c r="CA185">
        <v>9724</v>
      </c>
      <c r="CB185">
        <v>855.95239889510196</v>
      </c>
      <c r="CC185">
        <v>194.88375643710401</v>
      </c>
      <c r="CD185">
        <v>75.660224306549097</v>
      </c>
      <c r="CE185">
        <v>13425.8012695491</v>
      </c>
      <c r="CF185">
        <v>3502.5337603835301</v>
      </c>
      <c r="CG185">
        <v>174.41576369495201</v>
      </c>
      <c r="CH185">
        <v>480</v>
      </c>
      <c r="CI185">
        <v>205.49262486638</v>
      </c>
      <c r="CJ185">
        <v>180.21580666403901</v>
      </c>
      <c r="CK185" s="81">
        <v>2405</v>
      </c>
      <c r="CL185">
        <v>540</v>
      </c>
      <c r="CM185">
        <v>5403.7798107096296</v>
      </c>
      <c r="CN185">
        <v>0.56016964884639198</v>
      </c>
      <c r="CO185">
        <v>38077</v>
      </c>
      <c r="CP185">
        <v>5753</v>
      </c>
      <c r="CQ185">
        <v>899</v>
      </c>
      <c r="CR185">
        <v>1036</v>
      </c>
      <c r="CS185">
        <v>900</v>
      </c>
      <c r="CT185">
        <v>439</v>
      </c>
      <c r="CU185">
        <v>618.33071539919194</v>
      </c>
      <c r="CV185">
        <v>360.25401135694</v>
      </c>
      <c r="CW185">
        <v>114.11554940643801</v>
      </c>
      <c r="CX185">
        <v>1638.4425355149201</v>
      </c>
      <c r="CY185">
        <v>954.59513994225199</v>
      </c>
      <c r="CZ185">
        <v>302.38150144369598</v>
      </c>
      <c r="DA185">
        <v>0</v>
      </c>
      <c r="DE185">
        <v>556</v>
      </c>
      <c r="DF185" t="s">
        <v>194</v>
      </c>
      <c r="DG185">
        <v>6375</v>
      </c>
      <c r="DH185">
        <v>6325</v>
      </c>
      <c r="DI185">
        <v>6376</v>
      </c>
      <c r="DJ185">
        <v>6327</v>
      </c>
      <c r="DK185">
        <v>6332</v>
      </c>
      <c r="DO185">
        <v>1911</v>
      </c>
      <c r="DP185" t="s">
        <v>155</v>
      </c>
      <c r="DQ185">
        <v>20857</v>
      </c>
      <c r="DR185">
        <v>1.1399999999999999</v>
      </c>
      <c r="DS185">
        <v>431</v>
      </c>
      <c r="DV185">
        <v>80</v>
      </c>
      <c r="DW185" t="s">
        <v>178</v>
      </c>
      <c r="DX185">
        <v>21262.870622568102</v>
      </c>
      <c r="DY185">
        <v>3447</v>
      </c>
      <c r="DZ185">
        <v>2498</v>
      </c>
      <c r="EA185">
        <v>1515</v>
      </c>
      <c r="EB185">
        <v>8365</v>
      </c>
      <c r="EC185">
        <v>4728</v>
      </c>
      <c r="ED185">
        <v>1997</v>
      </c>
      <c r="EE185" s="82">
        <v>0.23723823350623499</v>
      </c>
      <c r="EF185" s="82">
        <v>0.56399883159937503</v>
      </c>
    </row>
    <row r="186" spans="1:136" x14ac:dyDescent="0.35">
      <c r="A186" s="72">
        <v>405</v>
      </c>
      <c r="B186" s="72">
        <v>7</v>
      </c>
      <c r="D186" s="72" t="s">
        <v>157</v>
      </c>
      <c r="E186" s="79">
        <v>5037200000</v>
      </c>
      <c r="F186" s="79">
        <v>951650000</v>
      </c>
      <c r="G186" s="79">
        <v>962500000</v>
      </c>
      <c r="H186" s="79">
        <v>72806</v>
      </c>
      <c r="I186" s="79">
        <v>1</v>
      </c>
      <c r="J186" s="79">
        <v>962.5</v>
      </c>
      <c r="K186" s="79">
        <v>16901</v>
      </c>
      <c r="L186" s="79">
        <v>13482</v>
      </c>
      <c r="M186" s="79">
        <v>3710</v>
      </c>
      <c r="N186" s="79">
        <v>10484</v>
      </c>
      <c r="O186" s="79">
        <v>7193.1</v>
      </c>
      <c r="P186" s="79">
        <v>1686.3333333333301</v>
      </c>
      <c r="Q186" s="79">
        <v>6731.3333333333303</v>
      </c>
      <c r="R186" s="79">
        <v>6715</v>
      </c>
      <c r="S186" s="79">
        <v>0</v>
      </c>
      <c r="T186" s="79">
        <v>3003</v>
      </c>
      <c r="U186" s="79">
        <v>33541</v>
      </c>
      <c r="V186" s="79">
        <v>85370</v>
      </c>
      <c r="W186" s="79">
        <v>87810</v>
      </c>
      <c r="X186" s="79">
        <v>2820.72</v>
      </c>
      <c r="Y186" s="79">
        <v>6323.2</v>
      </c>
      <c r="Z186" s="79">
        <v>0</v>
      </c>
      <c r="AA186" s="79">
        <v>0</v>
      </c>
      <c r="AB186" s="79">
        <v>0</v>
      </c>
      <c r="AC186" s="79">
        <v>2029</v>
      </c>
      <c r="AD186" s="79">
        <v>2698.57</v>
      </c>
      <c r="AE186" s="79">
        <v>94</v>
      </c>
      <c r="AF186" s="79">
        <v>3222</v>
      </c>
      <c r="AG186" s="79">
        <v>341</v>
      </c>
      <c r="AH186" s="79">
        <v>449.54</v>
      </c>
      <c r="AI186" s="79">
        <v>3.93</v>
      </c>
      <c r="AJ186" s="79">
        <v>32909</v>
      </c>
      <c r="AK186" s="79">
        <v>43768.97</v>
      </c>
      <c r="AL186" s="79">
        <v>0</v>
      </c>
      <c r="AM186" s="79">
        <v>46</v>
      </c>
      <c r="AN186" s="79">
        <v>0</v>
      </c>
      <c r="AO186" s="79">
        <v>5150</v>
      </c>
      <c r="AP186" s="79">
        <v>3299</v>
      </c>
      <c r="AQ186" s="79">
        <v>3299</v>
      </c>
      <c r="AR186" s="80">
        <v>1.0728199999999999E-3</v>
      </c>
      <c r="AS186" s="80">
        <v>9.0026500000000003E-4</v>
      </c>
      <c r="AT186" s="79">
        <v>54859.303</v>
      </c>
      <c r="AU186" s="79">
        <v>0</v>
      </c>
      <c r="AV186" s="79">
        <v>2656.01</v>
      </c>
      <c r="AW186" s="79">
        <v>193709.57091851201</v>
      </c>
      <c r="AX186" s="79">
        <v>1</v>
      </c>
      <c r="AY186" s="79">
        <v>1.31</v>
      </c>
      <c r="AZ186" s="79">
        <v>7139</v>
      </c>
      <c r="BA186" s="79">
        <v>1</v>
      </c>
      <c r="BB186" s="79">
        <v>0</v>
      </c>
      <c r="BC186" s="79">
        <v>0</v>
      </c>
      <c r="BD186" s="79">
        <v>0</v>
      </c>
      <c r="BE186" s="79">
        <v>0</v>
      </c>
      <c r="BF186" s="79">
        <v>0</v>
      </c>
      <c r="BG186" s="79">
        <v>0</v>
      </c>
      <c r="BH186" s="79">
        <v>0</v>
      </c>
      <c r="BI186" s="79">
        <v>0</v>
      </c>
      <c r="BJ186" s="79">
        <v>0</v>
      </c>
      <c r="BK186" s="79">
        <v>51</v>
      </c>
      <c r="BL186" s="79">
        <v>11794</v>
      </c>
      <c r="BM186" s="79">
        <v>338</v>
      </c>
      <c r="BN186" s="79">
        <v>3</v>
      </c>
      <c r="BO186">
        <v>17135</v>
      </c>
      <c r="BP186">
        <v>7336</v>
      </c>
      <c r="BQ186">
        <v>15511</v>
      </c>
      <c r="BR186">
        <v>7370</v>
      </c>
      <c r="BS186">
        <v>15517</v>
      </c>
      <c r="BT186">
        <v>7453</v>
      </c>
      <c r="BU186">
        <v>15597</v>
      </c>
      <c r="BV186">
        <v>7592</v>
      </c>
      <c r="BW186">
        <v>15645</v>
      </c>
      <c r="BX186">
        <v>7753</v>
      </c>
      <c r="BY186">
        <v>15518</v>
      </c>
      <c r="BZ186">
        <v>8022</v>
      </c>
      <c r="CA186">
        <v>15105</v>
      </c>
      <c r="CB186">
        <v>2048.24940535205</v>
      </c>
      <c r="CC186">
        <v>242.803126611218</v>
      </c>
      <c r="CD186">
        <v>224.58487005544299</v>
      </c>
      <c r="CE186">
        <v>21372.188116127199</v>
      </c>
      <c r="CF186">
        <v>5378.0673393173001</v>
      </c>
      <c r="CG186">
        <v>653.25306067816803</v>
      </c>
      <c r="CH186">
        <v>1154</v>
      </c>
      <c r="CI186">
        <v>533.17230382847299</v>
      </c>
      <c r="CJ186">
        <v>496.302979375966</v>
      </c>
      <c r="CK186" s="81">
        <v>5045</v>
      </c>
      <c r="CL186">
        <v>1515</v>
      </c>
      <c r="CM186">
        <v>8710.2091414953193</v>
      </c>
      <c r="CN186">
        <v>3.6032888167167498</v>
      </c>
      <c r="CO186">
        <v>59324</v>
      </c>
      <c r="CP186">
        <v>8486</v>
      </c>
      <c r="CQ186">
        <v>1286</v>
      </c>
      <c r="CR186">
        <v>2142</v>
      </c>
      <c r="CS186">
        <v>1416</v>
      </c>
      <c r="CT186">
        <v>672</v>
      </c>
      <c r="CU186">
        <v>1215.9800932379701</v>
      </c>
      <c r="CV186">
        <v>586.24098688913</v>
      </c>
      <c r="CW186">
        <v>202.845501802055</v>
      </c>
      <c r="CX186">
        <v>2633.4653730323798</v>
      </c>
      <c r="CY186">
        <v>1269.6304386972599</v>
      </c>
      <c r="CZ186">
        <v>439.30538669316002</v>
      </c>
      <c r="DA186">
        <v>44487.5</v>
      </c>
      <c r="DE186">
        <v>569</v>
      </c>
      <c r="DF186" t="s">
        <v>213</v>
      </c>
      <c r="DG186">
        <v>6154</v>
      </c>
      <c r="DH186">
        <v>6059</v>
      </c>
      <c r="DI186">
        <v>5968</v>
      </c>
      <c r="DJ186">
        <v>5851</v>
      </c>
      <c r="DK186">
        <v>5716</v>
      </c>
      <c r="DO186">
        <v>405</v>
      </c>
      <c r="DP186" t="s">
        <v>157</v>
      </c>
      <c r="DQ186">
        <v>32909</v>
      </c>
      <c r="DR186">
        <v>1.33</v>
      </c>
      <c r="DS186">
        <v>1667</v>
      </c>
      <c r="DV186">
        <v>546</v>
      </c>
      <c r="DW186" t="s">
        <v>179</v>
      </c>
      <c r="DX186">
        <v>18399.8604819313</v>
      </c>
      <c r="DY186">
        <v>3307</v>
      </c>
      <c r="DZ186">
        <v>2091</v>
      </c>
      <c r="EA186">
        <v>1174</v>
      </c>
      <c r="EB186">
        <v>7467</v>
      </c>
      <c r="EC186">
        <v>3851</v>
      </c>
      <c r="ED186">
        <v>1582</v>
      </c>
      <c r="EE186" s="82">
        <v>0.198897975632016</v>
      </c>
      <c r="EF186" s="82">
        <v>0.42615606722440202</v>
      </c>
    </row>
    <row r="187" spans="1:136" x14ac:dyDescent="0.35">
      <c r="A187" s="72">
        <v>406</v>
      </c>
      <c r="B187" s="72">
        <v>7</v>
      </c>
      <c r="D187" s="72" t="s">
        <v>160</v>
      </c>
      <c r="E187" s="79">
        <v>4242000000</v>
      </c>
      <c r="F187" s="79">
        <v>369250000</v>
      </c>
      <c r="G187" s="79">
        <v>381150000</v>
      </c>
      <c r="H187" s="79">
        <v>41369</v>
      </c>
      <c r="I187" s="79">
        <v>1</v>
      </c>
      <c r="J187" s="79">
        <v>381.15</v>
      </c>
      <c r="K187" s="79">
        <v>9136</v>
      </c>
      <c r="L187" s="79">
        <v>9134</v>
      </c>
      <c r="M187" s="79">
        <v>2722</v>
      </c>
      <c r="N187" s="79">
        <v>5174</v>
      </c>
      <c r="O187" s="79">
        <v>3275.9</v>
      </c>
      <c r="P187" s="79">
        <v>793.66666666666697</v>
      </c>
      <c r="Q187" s="79">
        <v>2640.6666666666702</v>
      </c>
      <c r="R187" s="79">
        <v>3005</v>
      </c>
      <c r="S187" s="79">
        <v>0</v>
      </c>
      <c r="T187" s="79">
        <v>1423</v>
      </c>
      <c r="U187" s="79">
        <v>18947</v>
      </c>
      <c r="V187" s="79">
        <v>42410</v>
      </c>
      <c r="W187" s="79">
        <v>25290</v>
      </c>
      <c r="X187" s="79">
        <v>1112.1306</v>
      </c>
      <c r="Y187" s="79">
        <v>1895.2</v>
      </c>
      <c r="Z187" s="79">
        <v>0</v>
      </c>
      <c r="AA187" s="79">
        <v>0</v>
      </c>
      <c r="AB187" s="79">
        <v>0</v>
      </c>
      <c r="AC187" s="79">
        <v>1581</v>
      </c>
      <c r="AD187" s="79">
        <v>1581</v>
      </c>
      <c r="AE187" s="79">
        <v>751</v>
      </c>
      <c r="AF187" s="79">
        <v>0</v>
      </c>
      <c r="AG187" s="79">
        <v>170</v>
      </c>
      <c r="AH187" s="79">
        <v>164</v>
      </c>
      <c r="AI187" s="79">
        <v>6</v>
      </c>
      <c r="AJ187" s="79">
        <v>18981</v>
      </c>
      <c r="AK187" s="79">
        <v>18981</v>
      </c>
      <c r="AL187" s="79">
        <v>0</v>
      </c>
      <c r="AM187" s="79">
        <v>0</v>
      </c>
      <c r="AN187" s="79">
        <v>0</v>
      </c>
      <c r="AO187" s="79">
        <v>0</v>
      </c>
      <c r="AP187" s="79">
        <v>1923</v>
      </c>
      <c r="AQ187" s="79">
        <v>0</v>
      </c>
      <c r="AR187" s="80">
        <v>3.67773E-4</v>
      </c>
      <c r="AS187" s="80">
        <v>2.27016E-4</v>
      </c>
      <c r="AT187" s="79">
        <v>38018.942999999999</v>
      </c>
      <c r="AU187" s="79">
        <v>0</v>
      </c>
      <c r="AV187" s="79">
        <v>467</v>
      </c>
      <c r="AW187" s="79">
        <v>8284.4438250428793</v>
      </c>
      <c r="AX187" s="79">
        <v>5</v>
      </c>
      <c r="AY187" s="79">
        <v>5</v>
      </c>
      <c r="AZ187" s="79">
        <v>4926</v>
      </c>
      <c r="BA187" s="79">
        <v>1</v>
      </c>
      <c r="BB187" s="79">
        <v>0</v>
      </c>
      <c r="BC187" s="79">
        <v>0</v>
      </c>
      <c r="BD187" s="79">
        <v>0</v>
      </c>
      <c r="BE187" s="79">
        <v>0</v>
      </c>
      <c r="BF187" s="79">
        <v>0</v>
      </c>
      <c r="BG187" s="79">
        <v>0</v>
      </c>
      <c r="BH187" s="79">
        <v>0</v>
      </c>
      <c r="BI187" s="79">
        <v>0</v>
      </c>
      <c r="BJ187" s="79">
        <v>0</v>
      </c>
      <c r="BK187" s="79">
        <v>20</v>
      </c>
      <c r="BL187" s="79">
        <v>6213</v>
      </c>
      <c r="BM187" s="79">
        <v>164</v>
      </c>
      <c r="BN187" s="79">
        <v>6</v>
      </c>
      <c r="BO187">
        <v>10521</v>
      </c>
      <c r="BP187">
        <v>2274</v>
      </c>
      <c r="BQ187">
        <v>9245</v>
      </c>
      <c r="BR187">
        <v>2272</v>
      </c>
      <c r="BS187">
        <v>9086</v>
      </c>
      <c r="BT187">
        <v>2200</v>
      </c>
      <c r="BU187">
        <v>8923</v>
      </c>
      <c r="BV187">
        <v>2187</v>
      </c>
      <c r="BW187">
        <v>8763</v>
      </c>
      <c r="BX187">
        <v>2128</v>
      </c>
      <c r="BY187">
        <v>8564</v>
      </c>
      <c r="BZ187">
        <v>2131</v>
      </c>
      <c r="CA187">
        <v>8178</v>
      </c>
      <c r="CB187">
        <v>804.57480933690204</v>
      </c>
      <c r="CC187">
        <v>68.875797162766503</v>
      </c>
      <c r="CD187">
        <v>69.756074857338703</v>
      </c>
      <c r="CE187">
        <v>14419.3487670425</v>
      </c>
      <c r="CF187">
        <v>3495.9937937992399</v>
      </c>
      <c r="CG187">
        <v>288.250934993084</v>
      </c>
      <c r="CH187">
        <v>515</v>
      </c>
      <c r="CI187">
        <v>237.37709100013399</v>
      </c>
      <c r="CJ187">
        <v>205.048693409084</v>
      </c>
      <c r="CK187" s="81">
        <v>1847</v>
      </c>
      <c r="CL187">
        <v>461</v>
      </c>
      <c r="CM187">
        <v>5659.69276001257</v>
      </c>
      <c r="CN187">
        <v>1.4816779043309201</v>
      </c>
      <c r="CO187">
        <v>32235</v>
      </c>
      <c r="CP187">
        <v>5410</v>
      </c>
      <c r="CQ187">
        <v>1002</v>
      </c>
      <c r="CR187">
        <v>1373</v>
      </c>
      <c r="CS187">
        <v>963</v>
      </c>
      <c r="CT187">
        <v>475</v>
      </c>
      <c r="CU187">
        <v>608.39410396595201</v>
      </c>
      <c r="CV187">
        <v>327.06576652921399</v>
      </c>
      <c r="CW187">
        <v>121.333632649096</v>
      </c>
      <c r="CX187">
        <v>1222.5469456224901</v>
      </c>
      <c r="CY187">
        <v>657.22736509350898</v>
      </c>
      <c r="CZ187">
        <v>243.815745467407</v>
      </c>
      <c r="DA187">
        <v>69350</v>
      </c>
      <c r="DE187">
        <v>575</v>
      </c>
      <c r="DF187" t="s">
        <v>221</v>
      </c>
      <c r="DG187">
        <v>4912</v>
      </c>
      <c r="DH187">
        <v>4861</v>
      </c>
      <c r="DI187">
        <v>4812</v>
      </c>
      <c r="DJ187">
        <v>4820</v>
      </c>
      <c r="DK187">
        <v>4808</v>
      </c>
      <c r="DO187">
        <v>406</v>
      </c>
      <c r="DP187" t="s">
        <v>160</v>
      </c>
      <c r="DQ187">
        <v>18981</v>
      </c>
      <c r="DR187">
        <v>1</v>
      </c>
      <c r="DS187">
        <v>2003</v>
      </c>
      <c r="DV187">
        <v>547</v>
      </c>
      <c r="DW187" t="s">
        <v>180</v>
      </c>
      <c r="DX187">
        <v>2855.3333605953999</v>
      </c>
      <c r="DY187">
        <v>831</v>
      </c>
      <c r="DZ187">
        <v>727</v>
      </c>
      <c r="EA187">
        <v>404</v>
      </c>
      <c r="EB187">
        <v>2186</v>
      </c>
      <c r="EC187">
        <v>1372</v>
      </c>
      <c r="ED187">
        <v>568</v>
      </c>
      <c r="EE187" s="82">
        <v>0.13404371808158999</v>
      </c>
      <c r="EF187" s="82">
        <v>0.34682182854538701</v>
      </c>
    </row>
    <row r="188" spans="1:136" x14ac:dyDescent="0.35">
      <c r="A188" s="72">
        <v>1598</v>
      </c>
      <c r="B188" s="72">
        <v>7</v>
      </c>
      <c r="D188" s="72" t="s">
        <v>168</v>
      </c>
      <c r="E188" s="79">
        <v>1725600000</v>
      </c>
      <c r="F188" s="79">
        <v>270200000</v>
      </c>
      <c r="G188" s="79">
        <v>306600000</v>
      </c>
      <c r="H188" s="79">
        <v>22659</v>
      </c>
      <c r="I188" s="79">
        <v>5</v>
      </c>
      <c r="J188" s="79">
        <v>306.60000000000002</v>
      </c>
      <c r="K188" s="79">
        <v>5427</v>
      </c>
      <c r="L188" s="79">
        <v>4441</v>
      </c>
      <c r="M188" s="79">
        <v>1283</v>
      </c>
      <c r="N188" s="79">
        <v>2443</v>
      </c>
      <c r="O188" s="79">
        <v>1511.4</v>
      </c>
      <c r="P188" s="79">
        <v>182</v>
      </c>
      <c r="Q188" s="79">
        <v>1118</v>
      </c>
      <c r="R188" s="79">
        <v>400</v>
      </c>
      <c r="S188" s="79">
        <v>0</v>
      </c>
      <c r="T188" s="79">
        <v>509</v>
      </c>
      <c r="U188" s="79">
        <v>9502</v>
      </c>
      <c r="V188" s="79">
        <v>15320</v>
      </c>
      <c r="W188" s="79">
        <v>1150</v>
      </c>
      <c r="X188" s="79">
        <v>0</v>
      </c>
      <c r="Y188" s="79">
        <v>0</v>
      </c>
      <c r="Z188" s="79">
        <v>0</v>
      </c>
      <c r="AA188" s="79">
        <v>0</v>
      </c>
      <c r="AB188" s="79">
        <v>0</v>
      </c>
      <c r="AC188" s="79">
        <v>8037</v>
      </c>
      <c r="AD188" s="79">
        <v>10126.620000000001</v>
      </c>
      <c r="AE188" s="79">
        <v>292</v>
      </c>
      <c r="AF188" s="79">
        <v>79</v>
      </c>
      <c r="AG188" s="79">
        <v>186</v>
      </c>
      <c r="AH188" s="79">
        <v>156.24</v>
      </c>
      <c r="AI188" s="79">
        <v>76.2</v>
      </c>
      <c r="AJ188" s="79">
        <v>9316</v>
      </c>
      <c r="AK188" s="79">
        <v>11551.84</v>
      </c>
      <c r="AL188" s="79">
        <v>0</v>
      </c>
      <c r="AM188" s="79">
        <v>0</v>
      </c>
      <c r="AN188" s="79">
        <v>0</v>
      </c>
      <c r="AO188" s="79">
        <v>0</v>
      </c>
      <c r="AP188" s="79">
        <v>0</v>
      </c>
      <c r="AQ188" s="79">
        <v>0</v>
      </c>
      <c r="AR188" s="80">
        <v>1.7902700000000001E-4</v>
      </c>
      <c r="AS188" s="80">
        <v>5.9729999999999999E-5</v>
      </c>
      <c r="AT188" s="79">
        <v>3875.4560000000001</v>
      </c>
      <c r="AU188" s="79">
        <v>0</v>
      </c>
      <c r="AV188" s="79">
        <v>7387.38</v>
      </c>
      <c r="AW188" s="79">
        <v>24395.818199063498</v>
      </c>
      <c r="AX188" s="79">
        <v>18</v>
      </c>
      <c r="AY188" s="79">
        <v>22.86</v>
      </c>
      <c r="AZ188" s="79">
        <v>2668</v>
      </c>
      <c r="BA188" s="79">
        <v>1</v>
      </c>
      <c r="BB188" s="79">
        <v>0</v>
      </c>
      <c r="BC188" s="79">
        <v>0</v>
      </c>
      <c r="BD188" s="79">
        <v>0</v>
      </c>
      <c r="BE188" s="79">
        <v>0</v>
      </c>
      <c r="BF188" s="79">
        <v>0</v>
      </c>
      <c r="BG188" s="79">
        <v>0</v>
      </c>
      <c r="BH188" s="79">
        <v>0</v>
      </c>
      <c r="BI188" s="79">
        <v>0</v>
      </c>
      <c r="BJ188" s="79">
        <v>0</v>
      </c>
      <c r="BK188" s="79">
        <v>6</v>
      </c>
      <c r="BL188" s="79">
        <v>2626</v>
      </c>
      <c r="BM188" s="79">
        <v>126</v>
      </c>
      <c r="BN188" s="79">
        <v>60</v>
      </c>
      <c r="BO188">
        <v>5819</v>
      </c>
      <c r="BP188">
        <v>0</v>
      </c>
      <c r="BQ188">
        <v>5304</v>
      </c>
      <c r="BR188">
        <v>0</v>
      </c>
      <c r="BS188">
        <v>5289</v>
      </c>
      <c r="BT188">
        <v>0</v>
      </c>
      <c r="BU188">
        <v>5211</v>
      </c>
      <c r="BV188">
        <v>0</v>
      </c>
      <c r="BW188">
        <v>5211</v>
      </c>
      <c r="BX188">
        <v>0</v>
      </c>
      <c r="BY188">
        <v>5111</v>
      </c>
      <c r="BZ188">
        <v>0</v>
      </c>
      <c r="CA188">
        <v>4811</v>
      </c>
      <c r="CB188">
        <v>329.282339393732</v>
      </c>
      <c r="CC188">
        <v>67.979066018337903</v>
      </c>
      <c r="CD188">
        <v>29.5062355298212</v>
      </c>
      <c r="CE188">
        <v>6538.7074896821696</v>
      </c>
      <c r="CF188">
        <v>1845.8068330035701</v>
      </c>
      <c r="CG188">
        <v>69.021045644308401</v>
      </c>
      <c r="CH188">
        <v>215</v>
      </c>
      <c r="CI188">
        <v>58.2543873633538</v>
      </c>
      <c r="CJ188">
        <v>41.506396416717699</v>
      </c>
      <c r="CK188" s="81">
        <v>936</v>
      </c>
      <c r="CL188">
        <v>259</v>
      </c>
      <c r="CM188">
        <v>2016.2083271772501</v>
      </c>
      <c r="CN188">
        <v>0.108511127125457</v>
      </c>
      <c r="CO188">
        <v>18218</v>
      </c>
      <c r="CP188">
        <v>2715</v>
      </c>
      <c r="CQ188">
        <v>443</v>
      </c>
      <c r="CR188">
        <v>469</v>
      </c>
      <c r="CS188">
        <v>419</v>
      </c>
      <c r="CT188">
        <v>218</v>
      </c>
      <c r="CU188">
        <v>266.59499786488101</v>
      </c>
      <c r="CV188">
        <v>143.92560140362099</v>
      </c>
      <c r="CW188">
        <v>49.4896374612226</v>
      </c>
      <c r="CX188">
        <v>681.87984333429699</v>
      </c>
      <c r="CY188">
        <v>368.12381073494902</v>
      </c>
      <c r="CZ188">
        <v>126.581468178308</v>
      </c>
      <c r="DA188">
        <v>5840</v>
      </c>
      <c r="DE188">
        <v>576</v>
      </c>
      <c r="DF188" t="s">
        <v>818</v>
      </c>
      <c r="DG188">
        <v>3298</v>
      </c>
      <c r="DH188">
        <v>3300</v>
      </c>
      <c r="DI188">
        <v>3248</v>
      </c>
      <c r="DJ188">
        <v>3226</v>
      </c>
      <c r="DK188">
        <v>3233</v>
      </c>
      <c r="DO188">
        <v>1598</v>
      </c>
      <c r="DP188" t="s">
        <v>168</v>
      </c>
      <c r="DQ188">
        <v>9316</v>
      </c>
      <c r="DR188">
        <v>1.24</v>
      </c>
      <c r="DS188">
        <v>416</v>
      </c>
      <c r="DV188">
        <v>1916</v>
      </c>
      <c r="DW188" t="s">
        <v>181</v>
      </c>
      <c r="DX188">
        <v>10550.621517264401</v>
      </c>
      <c r="DY188">
        <v>2725</v>
      </c>
      <c r="DZ188">
        <v>2270</v>
      </c>
      <c r="EA188">
        <v>1324</v>
      </c>
      <c r="EB188">
        <v>6166</v>
      </c>
      <c r="EC188">
        <v>4092</v>
      </c>
      <c r="ED188">
        <v>1806</v>
      </c>
      <c r="EE188" s="82">
        <v>0.18757690572569699</v>
      </c>
      <c r="EF188" s="82">
        <v>0.34682182854538701</v>
      </c>
    </row>
    <row r="189" spans="1:136" x14ac:dyDescent="0.35">
      <c r="A189" s="72">
        <v>415</v>
      </c>
      <c r="B189" s="72">
        <v>7</v>
      </c>
      <c r="D189" s="72" t="s">
        <v>174</v>
      </c>
      <c r="E189" s="79">
        <v>1337200000</v>
      </c>
      <c r="F189" s="79">
        <v>87500000</v>
      </c>
      <c r="G189" s="79">
        <v>88200000</v>
      </c>
      <c r="H189" s="79">
        <v>11435</v>
      </c>
      <c r="I189" s="79">
        <v>1</v>
      </c>
      <c r="J189" s="79">
        <v>88.2</v>
      </c>
      <c r="K189" s="79">
        <v>2678</v>
      </c>
      <c r="L189" s="79">
        <v>2329</v>
      </c>
      <c r="M189" s="79">
        <v>744</v>
      </c>
      <c r="N189" s="79">
        <v>1130</v>
      </c>
      <c r="O189" s="79">
        <v>645.20000000000005</v>
      </c>
      <c r="P189" s="79">
        <v>107.666666666667</v>
      </c>
      <c r="Q189" s="79">
        <v>495.66666666666703</v>
      </c>
      <c r="R189" s="79">
        <v>495</v>
      </c>
      <c r="S189" s="79">
        <v>0</v>
      </c>
      <c r="T189" s="79">
        <v>416</v>
      </c>
      <c r="U189" s="79">
        <v>4885</v>
      </c>
      <c r="V189" s="79">
        <v>5550</v>
      </c>
      <c r="W189" s="79">
        <v>320</v>
      </c>
      <c r="X189" s="79">
        <v>0</v>
      </c>
      <c r="Y189" s="79">
        <v>0</v>
      </c>
      <c r="Z189" s="79">
        <v>0</v>
      </c>
      <c r="AA189" s="79">
        <v>19.299999999999699</v>
      </c>
      <c r="AB189" s="79">
        <v>0</v>
      </c>
      <c r="AC189" s="79">
        <v>2245</v>
      </c>
      <c r="AD189" s="79">
        <v>3030.75</v>
      </c>
      <c r="AE189" s="79">
        <v>405</v>
      </c>
      <c r="AF189" s="79">
        <v>0</v>
      </c>
      <c r="AG189" s="79">
        <v>57</v>
      </c>
      <c r="AH189" s="79">
        <v>65.66</v>
      </c>
      <c r="AI189" s="79">
        <v>10.88</v>
      </c>
      <c r="AJ189" s="79">
        <v>4848</v>
      </c>
      <c r="AK189" s="79">
        <v>6496.32</v>
      </c>
      <c r="AL189" s="79">
        <v>0</v>
      </c>
      <c r="AM189" s="79">
        <v>0</v>
      </c>
      <c r="AN189" s="79">
        <v>0</v>
      </c>
      <c r="AO189" s="79">
        <v>0</v>
      </c>
      <c r="AP189" s="79">
        <v>0</v>
      </c>
      <c r="AQ189" s="79">
        <v>0</v>
      </c>
      <c r="AR189" s="80">
        <v>6.2769999999999997E-5</v>
      </c>
      <c r="AS189" s="80">
        <v>6.5520999999999998E-5</v>
      </c>
      <c r="AT189" s="79">
        <v>4925.5680000000002</v>
      </c>
      <c r="AU189" s="79">
        <v>0</v>
      </c>
      <c r="AV189" s="79">
        <v>5745.6</v>
      </c>
      <c r="AW189" s="79">
        <v>70720.081132075502</v>
      </c>
      <c r="AX189" s="79">
        <v>6</v>
      </c>
      <c r="AY189" s="79">
        <v>8.16</v>
      </c>
      <c r="AZ189" s="79">
        <v>1599</v>
      </c>
      <c r="BA189" s="79">
        <v>1</v>
      </c>
      <c r="BB189" s="79">
        <v>0</v>
      </c>
      <c r="BC189" s="79">
        <v>0</v>
      </c>
      <c r="BD189" s="79">
        <v>0</v>
      </c>
      <c r="BE189" s="79">
        <v>0</v>
      </c>
      <c r="BF189" s="79">
        <v>0</v>
      </c>
      <c r="BG189" s="79">
        <v>0</v>
      </c>
      <c r="BH189" s="79">
        <v>0</v>
      </c>
      <c r="BI189" s="79">
        <v>0</v>
      </c>
      <c r="BJ189" s="79">
        <v>0</v>
      </c>
      <c r="BK189" s="79">
        <v>0</v>
      </c>
      <c r="BL189" s="79">
        <v>1379</v>
      </c>
      <c r="BM189" s="79">
        <v>49</v>
      </c>
      <c r="BN189" s="79">
        <v>8</v>
      </c>
      <c r="BO189">
        <v>2417</v>
      </c>
      <c r="BP189">
        <v>0</v>
      </c>
      <c r="BQ189">
        <v>2125</v>
      </c>
      <c r="BR189">
        <v>0</v>
      </c>
      <c r="BS189">
        <v>2109</v>
      </c>
      <c r="BT189">
        <v>0</v>
      </c>
      <c r="BU189">
        <v>2068</v>
      </c>
      <c r="BV189">
        <v>0</v>
      </c>
      <c r="BW189">
        <v>2111</v>
      </c>
      <c r="BX189">
        <v>0</v>
      </c>
      <c r="BY189">
        <v>2111</v>
      </c>
      <c r="BZ189">
        <v>0</v>
      </c>
      <c r="CA189">
        <v>2373</v>
      </c>
      <c r="CB189">
        <v>206.00111077748701</v>
      </c>
      <c r="CC189">
        <v>19.470593290455199</v>
      </c>
      <c r="CD189">
        <v>12.2764635203617</v>
      </c>
      <c r="CE189">
        <v>4186.3782375207202</v>
      </c>
      <c r="CF189">
        <v>1145.0869427730399</v>
      </c>
      <c r="CG189">
        <v>36.040088685015299</v>
      </c>
      <c r="CH189">
        <v>155</v>
      </c>
      <c r="CI189">
        <v>36.338533021983601</v>
      </c>
      <c r="CJ189">
        <v>35.475552492921103</v>
      </c>
      <c r="CK189" s="81">
        <v>388</v>
      </c>
      <c r="CL189">
        <v>68</v>
      </c>
      <c r="CM189">
        <v>1463.3716498132501</v>
      </c>
      <c r="CN189">
        <v>5.3636276784868903E-2</v>
      </c>
      <c r="CO189">
        <v>9106</v>
      </c>
      <c r="CP189">
        <v>1353</v>
      </c>
      <c r="CQ189">
        <v>232</v>
      </c>
      <c r="CR189">
        <v>252</v>
      </c>
      <c r="CS189">
        <v>248</v>
      </c>
      <c r="CT189">
        <v>131</v>
      </c>
      <c r="CU189">
        <v>111.586492549689</v>
      </c>
      <c r="CV189">
        <v>71.106428426651604</v>
      </c>
      <c r="CW189">
        <v>25.033723865562699</v>
      </c>
      <c r="CX189">
        <v>245.69429876030799</v>
      </c>
      <c r="CY189">
        <v>156.56414742005299</v>
      </c>
      <c r="CZ189">
        <v>55.119962013052401</v>
      </c>
      <c r="DA189">
        <v>3650</v>
      </c>
      <c r="DE189">
        <v>579</v>
      </c>
      <c r="DF189" t="s">
        <v>224</v>
      </c>
      <c r="DG189">
        <v>5243</v>
      </c>
      <c r="DH189">
        <v>5190</v>
      </c>
      <c r="DI189">
        <v>5172</v>
      </c>
      <c r="DJ189">
        <v>5131</v>
      </c>
      <c r="DK189">
        <v>5132</v>
      </c>
      <c r="DO189">
        <v>415</v>
      </c>
      <c r="DP189" t="s">
        <v>174</v>
      </c>
      <c r="DQ189">
        <v>4848</v>
      </c>
      <c r="DR189">
        <v>1.34</v>
      </c>
      <c r="DS189">
        <v>1016</v>
      </c>
      <c r="DV189">
        <v>995</v>
      </c>
      <c r="DW189" t="s">
        <v>182</v>
      </c>
      <c r="DX189">
        <v>10890.8797578373</v>
      </c>
      <c r="DY189">
        <v>2077</v>
      </c>
      <c r="DZ189">
        <v>1038</v>
      </c>
      <c r="EA189">
        <v>446</v>
      </c>
      <c r="EB189">
        <v>5757</v>
      </c>
      <c r="EC189">
        <v>2258</v>
      </c>
      <c r="ED189">
        <v>617</v>
      </c>
      <c r="EE189" s="82">
        <v>0.227476313493019</v>
      </c>
      <c r="EF189" s="82">
        <v>0.53000245735465801</v>
      </c>
    </row>
    <row r="190" spans="1:136" x14ac:dyDescent="0.35">
      <c r="A190" s="72">
        <v>416</v>
      </c>
      <c r="B190" s="72">
        <v>7</v>
      </c>
      <c r="D190" s="72" t="s">
        <v>175</v>
      </c>
      <c r="E190" s="79">
        <v>2324800000</v>
      </c>
      <c r="F190" s="79">
        <v>290850000</v>
      </c>
      <c r="G190" s="79">
        <v>301350000</v>
      </c>
      <c r="H190" s="79">
        <v>27836</v>
      </c>
      <c r="I190" s="79">
        <v>2</v>
      </c>
      <c r="J190" s="79">
        <v>301.35000000000002</v>
      </c>
      <c r="K190" s="79">
        <v>6639</v>
      </c>
      <c r="L190" s="79">
        <v>5439</v>
      </c>
      <c r="M190" s="79">
        <v>1509</v>
      </c>
      <c r="N190" s="79">
        <v>2894</v>
      </c>
      <c r="O190" s="79">
        <v>1743.6</v>
      </c>
      <c r="P190" s="79">
        <v>295</v>
      </c>
      <c r="Q190" s="79">
        <v>1670</v>
      </c>
      <c r="R190" s="79">
        <v>775</v>
      </c>
      <c r="S190" s="79">
        <v>0</v>
      </c>
      <c r="T190" s="79">
        <v>836</v>
      </c>
      <c r="U190" s="79">
        <v>11707</v>
      </c>
      <c r="V190" s="79">
        <v>25500</v>
      </c>
      <c r="W190" s="79">
        <v>9650</v>
      </c>
      <c r="X190" s="79">
        <v>0</v>
      </c>
      <c r="Y190" s="79">
        <v>346.4</v>
      </c>
      <c r="Z190" s="79">
        <v>0</v>
      </c>
      <c r="AA190" s="79">
        <v>0</v>
      </c>
      <c r="AB190" s="79">
        <v>0</v>
      </c>
      <c r="AC190" s="79">
        <v>2376</v>
      </c>
      <c r="AD190" s="79">
        <v>2376</v>
      </c>
      <c r="AE190" s="79">
        <v>327</v>
      </c>
      <c r="AF190" s="79">
        <v>0</v>
      </c>
      <c r="AG190" s="79">
        <v>164</v>
      </c>
      <c r="AH190" s="79">
        <v>152</v>
      </c>
      <c r="AI190" s="79">
        <v>12</v>
      </c>
      <c r="AJ190" s="79">
        <v>11504</v>
      </c>
      <c r="AK190" s="79">
        <v>11504</v>
      </c>
      <c r="AL190" s="79">
        <v>0</v>
      </c>
      <c r="AM190" s="79">
        <v>0</v>
      </c>
      <c r="AN190" s="79">
        <v>0</v>
      </c>
      <c r="AO190" s="79">
        <v>0</v>
      </c>
      <c r="AP190" s="79">
        <v>1101</v>
      </c>
      <c r="AQ190" s="79">
        <v>0</v>
      </c>
      <c r="AR190" s="80">
        <v>2.5177899999999999E-4</v>
      </c>
      <c r="AS190" s="80">
        <v>9.4746000000000004E-5</v>
      </c>
      <c r="AT190" s="79">
        <v>10595.183999999999</v>
      </c>
      <c r="AU190" s="79">
        <v>0</v>
      </c>
      <c r="AV190" s="79">
        <v>3336</v>
      </c>
      <c r="AW190" s="79">
        <v>34354.752497225301</v>
      </c>
      <c r="AX190" s="79">
        <v>7</v>
      </c>
      <c r="AY190" s="79">
        <v>7</v>
      </c>
      <c r="AZ190" s="79">
        <v>2896</v>
      </c>
      <c r="BA190" s="79">
        <v>1</v>
      </c>
      <c r="BB190" s="79">
        <v>0</v>
      </c>
      <c r="BC190" s="79">
        <v>0</v>
      </c>
      <c r="BD190" s="79">
        <v>0</v>
      </c>
      <c r="BE190" s="79">
        <v>0</v>
      </c>
      <c r="BF190" s="79">
        <v>0</v>
      </c>
      <c r="BG190" s="79">
        <v>0</v>
      </c>
      <c r="BH190" s="79">
        <v>0</v>
      </c>
      <c r="BI190" s="79">
        <v>0</v>
      </c>
      <c r="BJ190" s="79">
        <v>0</v>
      </c>
      <c r="BK190" s="79">
        <v>21</v>
      </c>
      <c r="BL190" s="79">
        <v>3075</v>
      </c>
      <c r="BM190" s="79">
        <v>152</v>
      </c>
      <c r="BN190" s="79">
        <v>12</v>
      </c>
      <c r="BO190">
        <v>7104</v>
      </c>
      <c r="BP190">
        <v>424</v>
      </c>
      <c r="BQ190">
        <v>6552</v>
      </c>
      <c r="BR190">
        <v>488</v>
      </c>
      <c r="BS190">
        <v>6493</v>
      </c>
      <c r="BT190">
        <v>549</v>
      </c>
      <c r="BU190">
        <v>6433</v>
      </c>
      <c r="BV190">
        <v>636</v>
      </c>
      <c r="BW190">
        <v>6318</v>
      </c>
      <c r="BX190">
        <v>675</v>
      </c>
      <c r="BY190">
        <v>6164</v>
      </c>
      <c r="BZ190">
        <v>620</v>
      </c>
      <c r="CA190">
        <v>5932</v>
      </c>
      <c r="CB190">
        <v>547.46176500169804</v>
      </c>
      <c r="CC190">
        <v>81.123624648541494</v>
      </c>
      <c r="CD190">
        <v>61.233859229019998</v>
      </c>
      <c r="CE190">
        <v>8273.9907480787097</v>
      </c>
      <c r="CF190">
        <v>2270.5970253522901</v>
      </c>
      <c r="CG190">
        <v>135.71760070206199</v>
      </c>
      <c r="CH190">
        <v>340</v>
      </c>
      <c r="CI190">
        <v>124.46655410187</v>
      </c>
      <c r="CJ190">
        <v>113.16701245241801</v>
      </c>
      <c r="CK190" s="81">
        <v>1375</v>
      </c>
      <c r="CL190">
        <v>342</v>
      </c>
      <c r="CM190">
        <v>3029.6991642073799</v>
      </c>
      <c r="CN190">
        <v>0.227923280027057</v>
      </c>
      <c r="CO190">
        <v>22397</v>
      </c>
      <c r="CP190">
        <v>3465</v>
      </c>
      <c r="CQ190">
        <v>465</v>
      </c>
      <c r="CR190">
        <v>548</v>
      </c>
      <c r="CS190">
        <v>434</v>
      </c>
      <c r="CT190">
        <v>252</v>
      </c>
      <c r="CU190">
        <v>318.29139072847698</v>
      </c>
      <c r="CV190">
        <v>158.387858719647</v>
      </c>
      <c r="CW190">
        <v>52.593863134657802</v>
      </c>
      <c r="CX190">
        <v>841.18431724540699</v>
      </c>
      <c r="CY190">
        <v>418.58933881973797</v>
      </c>
      <c r="CZ190">
        <v>138.995694325789</v>
      </c>
      <c r="DA190">
        <v>0</v>
      </c>
      <c r="DE190">
        <v>584</v>
      </c>
      <c r="DF190" t="s">
        <v>819</v>
      </c>
      <c r="DG190">
        <v>5579</v>
      </c>
      <c r="DH190">
        <v>5445</v>
      </c>
      <c r="DI190">
        <v>5426</v>
      </c>
      <c r="DJ190">
        <v>5345</v>
      </c>
      <c r="DK190">
        <v>5271</v>
      </c>
      <c r="DO190">
        <v>416</v>
      </c>
      <c r="DP190" t="s">
        <v>175</v>
      </c>
      <c r="DQ190">
        <v>11504</v>
      </c>
      <c r="DR190">
        <v>1</v>
      </c>
      <c r="DS190">
        <v>921</v>
      </c>
      <c r="DV190">
        <v>1640</v>
      </c>
      <c r="DW190" t="s">
        <v>183</v>
      </c>
      <c r="DX190">
        <v>4235.3839047557103</v>
      </c>
      <c r="DY190">
        <v>792</v>
      </c>
      <c r="DZ190">
        <v>868</v>
      </c>
      <c r="EA190">
        <v>456</v>
      </c>
      <c r="EB190">
        <v>2927</v>
      </c>
      <c r="EC190">
        <v>1786</v>
      </c>
      <c r="ED190">
        <v>628</v>
      </c>
      <c r="EE190" s="82">
        <v>0.16091196357763299</v>
      </c>
      <c r="EF190" s="82">
        <v>0.42992500956889801</v>
      </c>
    </row>
    <row r="191" spans="1:136" x14ac:dyDescent="0.35">
      <c r="A191" s="72">
        <v>417</v>
      </c>
      <c r="B191" s="72">
        <v>7</v>
      </c>
      <c r="D191" s="72" t="s">
        <v>177</v>
      </c>
      <c r="E191" s="79">
        <v>2400400000</v>
      </c>
      <c r="F191" s="79">
        <v>171500000</v>
      </c>
      <c r="G191" s="79">
        <v>172900000</v>
      </c>
      <c r="H191" s="79">
        <v>11146</v>
      </c>
      <c r="I191" s="79">
        <v>1</v>
      </c>
      <c r="J191" s="79">
        <v>172.9</v>
      </c>
      <c r="K191" s="79">
        <v>2446</v>
      </c>
      <c r="L191" s="79">
        <v>3440</v>
      </c>
      <c r="M191" s="79">
        <v>1092</v>
      </c>
      <c r="N191" s="79">
        <v>1314</v>
      </c>
      <c r="O191" s="79">
        <v>758.4</v>
      </c>
      <c r="P191" s="79">
        <v>100</v>
      </c>
      <c r="Q191" s="79">
        <v>426</v>
      </c>
      <c r="R191" s="79">
        <v>240</v>
      </c>
      <c r="S191" s="79">
        <v>0</v>
      </c>
      <c r="T191" s="79">
        <v>368</v>
      </c>
      <c r="U191" s="79">
        <v>5368</v>
      </c>
      <c r="V191" s="79">
        <v>8600</v>
      </c>
      <c r="W191" s="79">
        <v>1300</v>
      </c>
      <c r="X191" s="79">
        <v>0</v>
      </c>
      <c r="Y191" s="79">
        <v>1429.6</v>
      </c>
      <c r="Z191" s="79">
        <v>0</v>
      </c>
      <c r="AA191" s="79">
        <v>0</v>
      </c>
      <c r="AB191" s="79">
        <v>0</v>
      </c>
      <c r="AC191" s="79">
        <v>1239</v>
      </c>
      <c r="AD191" s="79">
        <v>1239</v>
      </c>
      <c r="AE191" s="79">
        <v>2</v>
      </c>
      <c r="AF191" s="79">
        <v>0</v>
      </c>
      <c r="AG191" s="79">
        <v>73</v>
      </c>
      <c r="AH191" s="79">
        <v>70</v>
      </c>
      <c r="AI191" s="79">
        <v>3</v>
      </c>
      <c r="AJ191" s="79">
        <v>5556</v>
      </c>
      <c r="AK191" s="79">
        <v>5556</v>
      </c>
      <c r="AL191" s="79">
        <v>0</v>
      </c>
      <c r="AM191" s="79">
        <v>0</v>
      </c>
      <c r="AN191" s="79">
        <v>0</v>
      </c>
      <c r="AO191" s="79">
        <v>0</v>
      </c>
      <c r="AP191" s="79">
        <v>1634</v>
      </c>
      <c r="AQ191" s="79">
        <v>0</v>
      </c>
      <c r="AR191" s="80">
        <v>2.7848400000000001E-4</v>
      </c>
      <c r="AS191" s="80">
        <v>8.7148E-5</v>
      </c>
      <c r="AT191" s="79">
        <v>6083.82</v>
      </c>
      <c r="AU191" s="79">
        <v>0</v>
      </c>
      <c r="AV191" s="79">
        <v>67</v>
      </c>
      <c r="AW191" s="79">
        <v>601.75825946817099</v>
      </c>
      <c r="AX191" s="79">
        <v>1</v>
      </c>
      <c r="AY191" s="79">
        <v>1</v>
      </c>
      <c r="AZ191" s="79">
        <v>2199</v>
      </c>
      <c r="BA191" s="79">
        <v>1</v>
      </c>
      <c r="BB191" s="79">
        <v>0</v>
      </c>
      <c r="BC191" s="79">
        <v>0</v>
      </c>
      <c r="BD191" s="79">
        <v>0</v>
      </c>
      <c r="BE191" s="79">
        <v>0</v>
      </c>
      <c r="BF191" s="79">
        <v>0</v>
      </c>
      <c r="BG191" s="79">
        <v>0</v>
      </c>
      <c r="BH191" s="79">
        <v>0</v>
      </c>
      <c r="BI191" s="79">
        <v>0</v>
      </c>
      <c r="BJ191" s="79">
        <v>0</v>
      </c>
      <c r="BK191" s="79">
        <v>5</v>
      </c>
      <c r="BL191" s="79">
        <v>1770</v>
      </c>
      <c r="BM191" s="79">
        <v>70</v>
      </c>
      <c r="BN191" s="79">
        <v>3</v>
      </c>
      <c r="BO191">
        <v>2353</v>
      </c>
      <c r="BP191">
        <v>1833</v>
      </c>
      <c r="BQ191">
        <v>2289</v>
      </c>
      <c r="BR191">
        <v>1855</v>
      </c>
      <c r="BS191">
        <v>2221</v>
      </c>
      <c r="BT191">
        <v>1856</v>
      </c>
      <c r="BU191">
        <v>2212</v>
      </c>
      <c r="BV191">
        <v>1827</v>
      </c>
      <c r="BW191">
        <v>2152</v>
      </c>
      <c r="BX191">
        <v>1812</v>
      </c>
      <c r="BY191">
        <v>2100</v>
      </c>
      <c r="BZ191">
        <v>1785</v>
      </c>
      <c r="CA191">
        <v>2204</v>
      </c>
      <c r="CB191">
        <v>242.32367121402501</v>
      </c>
      <c r="CC191">
        <v>11.1177015344075</v>
      </c>
      <c r="CD191">
        <v>17.152905478146099</v>
      </c>
      <c r="CE191">
        <v>4767.55</v>
      </c>
      <c r="CF191">
        <v>1124.23</v>
      </c>
      <c r="CG191">
        <v>34.930739517153697</v>
      </c>
      <c r="CH191">
        <v>146</v>
      </c>
      <c r="CI191">
        <v>28.8246808430406</v>
      </c>
      <c r="CJ191">
        <v>27.3161754195492</v>
      </c>
      <c r="CK191" s="81">
        <v>326</v>
      </c>
      <c r="CL191">
        <v>75</v>
      </c>
      <c r="CM191">
        <v>1619.8934720701</v>
      </c>
      <c r="CN191">
        <v>4.4603752561452499E-2</v>
      </c>
      <c r="CO191">
        <v>7706</v>
      </c>
      <c r="CP191">
        <v>1727</v>
      </c>
      <c r="CQ191">
        <v>621</v>
      </c>
      <c r="CR191">
        <v>432</v>
      </c>
      <c r="CS191">
        <v>375</v>
      </c>
      <c r="CT191">
        <v>234</v>
      </c>
      <c r="CU191">
        <v>147.64439997597799</v>
      </c>
      <c r="CV191">
        <v>100.523846792155</v>
      </c>
      <c r="CW191">
        <v>47.257134497398901</v>
      </c>
      <c r="CX191">
        <v>98.274303671945603</v>
      </c>
      <c r="CY191">
        <v>66.910164202175693</v>
      </c>
      <c r="CZ191">
        <v>31.4550500189576</v>
      </c>
      <c r="DA191">
        <v>39924.699999999997</v>
      </c>
      <c r="DE191">
        <v>585</v>
      </c>
      <c r="DF191" t="s">
        <v>812</v>
      </c>
      <c r="DG191">
        <v>5877</v>
      </c>
      <c r="DH191">
        <v>5863</v>
      </c>
      <c r="DI191">
        <v>5885</v>
      </c>
      <c r="DJ191">
        <v>5826</v>
      </c>
      <c r="DK191">
        <v>5795</v>
      </c>
      <c r="DO191">
        <v>417</v>
      </c>
      <c r="DP191" t="s">
        <v>177</v>
      </c>
      <c r="DQ191">
        <v>5556</v>
      </c>
      <c r="DR191">
        <v>1</v>
      </c>
      <c r="DS191">
        <v>1095</v>
      </c>
      <c r="DV191">
        <v>327</v>
      </c>
      <c r="DW191" t="s">
        <v>184</v>
      </c>
      <c r="DX191">
        <v>2772.2184913691199</v>
      </c>
      <c r="DY191">
        <v>749</v>
      </c>
      <c r="DZ191">
        <v>668</v>
      </c>
      <c r="EA191">
        <v>362</v>
      </c>
      <c r="EB191">
        <v>2282</v>
      </c>
      <c r="EC191">
        <v>1321</v>
      </c>
      <c r="ED191">
        <v>503</v>
      </c>
      <c r="EE191" s="82">
        <v>0.11854304228373</v>
      </c>
      <c r="EF191" s="82">
        <v>0.31326727033450502</v>
      </c>
    </row>
    <row r="192" spans="1:136" x14ac:dyDescent="0.35">
      <c r="A192" s="72">
        <v>420</v>
      </c>
      <c r="B192" s="72">
        <v>7</v>
      </c>
      <c r="D192" s="72" t="s">
        <v>196</v>
      </c>
      <c r="E192" s="79">
        <v>3259600000</v>
      </c>
      <c r="F192" s="79">
        <v>656250000</v>
      </c>
      <c r="G192" s="79">
        <v>702100000</v>
      </c>
      <c r="H192" s="79">
        <v>44480</v>
      </c>
      <c r="I192" s="79">
        <v>7</v>
      </c>
      <c r="J192" s="79">
        <v>702.1</v>
      </c>
      <c r="K192" s="79">
        <v>10335</v>
      </c>
      <c r="L192" s="79">
        <v>8921</v>
      </c>
      <c r="M192" s="79">
        <v>2490</v>
      </c>
      <c r="N192" s="79">
        <v>5464</v>
      </c>
      <c r="O192" s="79">
        <v>3495.1</v>
      </c>
      <c r="P192" s="79">
        <v>519.33333333333303</v>
      </c>
      <c r="Q192" s="79">
        <v>3010.3333333333298</v>
      </c>
      <c r="R192" s="79">
        <v>1270</v>
      </c>
      <c r="S192" s="79">
        <v>0</v>
      </c>
      <c r="T192" s="79">
        <v>1166</v>
      </c>
      <c r="U192" s="79">
        <v>19324</v>
      </c>
      <c r="V192" s="79">
        <v>38310</v>
      </c>
      <c r="W192" s="79">
        <v>12650</v>
      </c>
      <c r="X192" s="79">
        <v>0</v>
      </c>
      <c r="Y192" s="79">
        <v>340</v>
      </c>
      <c r="Z192" s="79">
        <v>0</v>
      </c>
      <c r="AA192" s="79">
        <v>0</v>
      </c>
      <c r="AB192" s="79">
        <v>78.5</v>
      </c>
      <c r="AC192" s="79">
        <v>12111</v>
      </c>
      <c r="AD192" s="79">
        <v>15502.08</v>
      </c>
      <c r="AE192" s="79">
        <v>608</v>
      </c>
      <c r="AF192" s="79">
        <v>10000</v>
      </c>
      <c r="AG192" s="79">
        <v>395</v>
      </c>
      <c r="AH192" s="79">
        <v>375.48</v>
      </c>
      <c r="AI192" s="79">
        <v>125.13</v>
      </c>
      <c r="AJ192" s="79">
        <v>19689</v>
      </c>
      <c r="AK192" s="79">
        <v>24808.14</v>
      </c>
      <c r="AL192" s="79">
        <v>31</v>
      </c>
      <c r="AM192" s="79">
        <v>0</v>
      </c>
      <c r="AN192" s="79">
        <v>0</v>
      </c>
      <c r="AO192" s="79">
        <v>5950</v>
      </c>
      <c r="AP192" s="79">
        <v>1776</v>
      </c>
      <c r="AQ192" s="79">
        <v>803</v>
      </c>
      <c r="AR192" s="80">
        <v>5.9836899999999996E-4</v>
      </c>
      <c r="AS192" s="80">
        <v>1.58083E-4</v>
      </c>
      <c r="AT192" s="79">
        <v>10179.213</v>
      </c>
      <c r="AU192" s="79">
        <v>0</v>
      </c>
      <c r="AV192" s="79">
        <v>10718.72</v>
      </c>
      <c r="AW192" s="79">
        <v>53572.678606808702</v>
      </c>
      <c r="AX192" s="79">
        <v>21</v>
      </c>
      <c r="AY192" s="79">
        <v>27.09</v>
      </c>
      <c r="AZ192" s="79">
        <v>5268</v>
      </c>
      <c r="BA192" s="79">
        <v>1</v>
      </c>
      <c r="BB192" s="79">
        <v>0</v>
      </c>
      <c r="BC192" s="79">
        <v>0</v>
      </c>
      <c r="BD192" s="79">
        <v>0</v>
      </c>
      <c r="BE192" s="79">
        <v>0</v>
      </c>
      <c r="BF192" s="79">
        <v>0</v>
      </c>
      <c r="BG192" s="79">
        <v>0</v>
      </c>
      <c r="BH192" s="79">
        <v>0</v>
      </c>
      <c r="BI192" s="79">
        <v>0</v>
      </c>
      <c r="BJ192" s="79">
        <v>0</v>
      </c>
      <c r="BK192" s="79">
        <v>26</v>
      </c>
      <c r="BL192" s="79">
        <v>5623</v>
      </c>
      <c r="BM192" s="79">
        <v>298</v>
      </c>
      <c r="BN192" s="79">
        <v>97</v>
      </c>
      <c r="BO192">
        <v>10919</v>
      </c>
      <c r="BP192">
        <v>315</v>
      </c>
      <c r="BQ192">
        <v>9877</v>
      </c>
      <c r="BR192">
        <v>327</v>
      </c>
      <c r="BS192">
        <v>9843</v>
      </c>
      <c r="BT192">
        <v>340</v>
      </c>
      <c r="BU192">
        <v>9791</v>
      </c>
      <c r="BV192">
        <v>332</v>
      </c>
      <c r="BW192">
        <v>9665</v>
      </c>
      <c r="BX192">
        <v>343</v>
      </c>
      <c r="BY192">
        <v>9594</v>
      </c>
      <c r="BZ192">
        <v>373</v>
      </c>
      <c r="CA192">
        <v>9218</v>
      </c>
      <c r="CB192">
        <v>810.17104982699004</v>
      </c>
      <c r="CC192">
        <v>145.820227490767</v>
      </c>
      <c r="CD192">
        <v>76.253118442660906</v>
      </c>
      <c r="CE192">
        <v>12261.203131087699</v>
      </c>
      <c r="CF192">
        <v>3272.7861545742398</v>
      </c>
      <c r="CG192">
        <v>260.90575870069603</v>
      </c>
      <c r="CH192">
        <v>465</v>
      </c>
      <c r="CI192">
        <v>183.83077375672099</v>
      </c>
      <c r="CJ192">
        <v>156.801942018711</v>
      </c>
      <c r="CK192" s="81">
        <v>2491</v>
      </c>
      <c r="CL192">
        <v>812</v>
      </c>
      <c r="CM192">
        <v>4963.2457404231</v>
      </c>
      <c r="CN192">
        <v>0.55004266060197005</v>
      </c>
      <c r="CO192">
        <v>35559</v>
      </c>
      <c r="CP192">
        <v>5680</v>
      </c>
      <c r="CQ192">
        <v>751</v>
      </c>
      <c r="CR192">
        <v>1042</v>
      </c>
      <c r="CS192">
        <v>831</v>
      </c>
      <c r="CT192">
        <v>377</v>
      </c>
      <c r="CU192">
        <v>623.43688982059996</v>
      </c>
      <c r="CV192">
        <v>315.44628508291697</v>
      </c>
      <c r="CW192">
        <v>92.485939520652707</v>
      </c>
      <c r="CX192">
        <v>1605.49376231725</v>
      </c>
      <c r="CY192">
        <v>812.34692928181903</v>
      </c>
      <c r="CZ192">
        <v>238.17262248499</v>
      </c>
      <c r="DA192">
        <v>94170</v>
      </c>
      <c r="DE192">
        <v>588</v>
      </c>
      <c r="DF192" t="s">
        <v>815</v>
      </c>
      <c r="DG192">
        <v>2500</v>
      </c>
      <c r="DH192">
        <v>2481</v>
      </c>
      <c r="DI192">
        <v>2427</v>
      </c>
      <c r="DJ192">
        <v>2387</v>
      </c>
      <c r="DK192">
        <v>2362</v>
      </c>
      <c r="DO192">
        <v>420</v>
      </c>
      <c r="DP192" t="s">
        <v>196</v>
      </c>
      <c r="DQ192">
        <v>19689</v>
      </c>
      <c r="DR192">
        <v>1.26</v>
      </c>
      <c r="DS192">
        <v>517</v>
      </c>
      <c r="DV192">
        <v>733</v>
      </c>
      <c r="DW192" t="s">
        <v>808</v>
      </c>
      <c r="DX192">
        <v>1116.5147810624601</v>
      </c>
      <c r="DY192">
        <v>206</v>
      </c>
      <c r="DZ192">
        <v>189</v>
      </c>
      <c r="EA192">
        <v>101</v>
      </c>
      <c r="EB192">
        <v>818</v>
      </c>
      <c r="EC192">
        <v>427</v>
      </c>
      <c r="ED192">
        <v>141</v>
      </c>
      <c r="EE192" s="82">
        <v>0.14219409567515401</v>
      </c>
      <c r="EF192" s="82">
        <v>0.38653349623005401</v>
      </c>
    </row>
    <row r="193" spans="1:136" x14ac:dyDescent="0.35">
      <c r="A193" s="72">
        <v>431</v>
      </c>
      <c r="B193" s="72">
        <v>7</v>
      </c>
      <c r="D193" s="72" t="s">
        <v>235</v>
      </c>
      <c r="E193" s="79">
        <v>926800000</v>
      </c>
      <c r="F193" s="79">
        <v>115500000</v>
      </c>
      <c r="G193" s="79">
        <v>119700000</v>
      </c>
      <c r="H193" s="79">
        <v>9735</v>
      </c>
      <c r="I193" s="79">
        <v>1</v>
      </c>
      <c r="J193" s="79">
        <v>119.7</v>
      </c>
      <c r="K193" s="79">
        <v>2207</v>
      </c>
      <c r="L193" s="79">
        <v>1933</v>
      </c>
      <c r="M193" s="79">
        <v>638</v>
      </c>
      <c r="N193" s="79">
        <v>1062</v>
      </c>
      <c r="O193" s="79">
        <v>651.70000000000005</v>
      </c>
      <c r="P193" s="79">
        <v>94</v>
      </c>
      <c r="Q193" s="79">
        <v>465</v>
      </c>
      <c r="R193" s="79">
        <v>365</v>
      </c>
      <c r="S193" s="79">
        <v>0</v>
      </c>
      <c r="T193" s="79">
        <v>302</v>
      </c>
      <c r="U193" s="79">
        <v>4177</v>
      </c>
      <c r="V193" s="79">
        <v>4770</v>
      </c>
      <c r="W193" s="79">
        <v>270</v>
      </c>
      <c r="X193" s="79">
        <v>0</v>
      </c>
      <c r="Y193" s="79">
        <v>0</v>
      </c>
      <c r="Z193" s="79">
        <v>0</v>
      </c>
      <c r="AA193" s="79">
        <v>0</v>
      </c>
      <c r="AB193" s="79">
        <v>0</v>
      </c>
      <c r="AC193" s="79">
        <v>1154</v>
      </c>
      <c r="AD193" s="79">
        <v>1454.04</v>
      </c>
      <c r="AE193" s="79">
        <v>453</v>
      </c>
      <c r="AF193" s="79">
        <v>0</v>
      </c>
      <c r="AG193" s="79">
        <v>47</v>
      </c>
      <c r="AH193" s="79">
        <v>59.4</v>
      </c>
      <c r="AI193" s="79">
        <v>3.63</v>
      </c>
      <c r="AJ193" s="79">
        <v>4103</v>
      </c>
      <c r="AK193" s="79">
        <v>5539.05</v>
      </c>
      <c r="AL193" s="79">
        <v>0</v>
      </c>
      <c r="AM193" s="79">
        <v>0</v>
      </c>
      <c r="AN193" s="79">
        <v>0</v>
      </c>
      <c r="AO193" s="79">
        <v>0</v>
      </c>
      <c r="AP193" s="79">
        <v>797</v>
      </c>
      <c r="AQ193" s="79">
        <v>0</v>
      </c>
      <c r="AR193" s="80">
        <v>1.07664E-4</v>
      </c>
      <c r="AS193" s="80">
        <v>6.1731999999999998E-5</v>
      </c>
      <c r="AT193" s="79">
        <v>4361.4889999999996</v>
      </c>
      <c r="AU193" s="79">
        <v>0</v>
      </c>
      <c r="AV193" s="79">
        <v>4730.04</v>
      </c>
      <c r="AW193" s="79">
        <v>73627.131673926604</v>
      </c>
      <c r="AX193" s="79">
        <v>4</v>
      </c>
      <c r="AY193" s="79">
        <v>4.84</v>
      </c>
      <c r="AZ193" s="79">
        <v>1044</v>
      </c>
      <c r="BA193" s="79">
        <v>1</v>
      </c>
      <c r="BB193" s="79">
        <v>0</v>
      </c>
      <c r="BC193" s="79">
        <v>0</v>
      </c>
      <c r="BD193" s="79">
        <v>0</v>
      </c>
      <c r="BE193" s="79">
        <v>0</v>
      </c>
      <c r="BF193" s="79">
        <v>0</v>
      </c>
      <c r="BG193" s="79">
        <v>0</v>
      </c>
      <c r="BH193" s="79">
        <v>0</v>
      </c>
      <c r="BI193" s="79">
        <v>0</v>
      </c>
      <c r="BJ193" s="79">
        <v>0</v>
      </c>
      <c r="BK193" s="79">
        <v>0</v>
      </c>
      <c r="BL193" s="79">
        <v>1139</v>
      </c>
      <c r="BM193" s="79">
        <v>44</v>
      </c>
      <c r="BN193" s="79">
        <v>3</v>
      </c>
      <c r="BO193">
        <v>2330</v>
      </c>
      <c r="BP193">
        <v>0</v>
      </c>
      <c r="BQ193">
        <v>2104</v>
      </c>
      <c r="BR193">
        <v>0</v>
      </c>
      <c r="BS193">
        <v>2048</v>
      </c>
      <c r="BT193">
        <v>0</v>
      </c>
      <c r="BU193">
        <v>2009</v>
      </c>
      <c r="BV193">
        <v>0</v>
      </c>
      <c r="BW193">
        <v>1973</v>
      </c>
      <c r="BX193">
        <v>0</v>
      </c>
      <c r="BY193">
        <v>1935</v>
      </c>
      <c r="BZ193">
        <v>0</v>
      </c>
      <c r="CA193">
        <v>1934</v>
      </c>
      <c r="CB193">
        <v>133.682747902903</v>
      </c>
      <c r="CC193">
        <v>28.810773431345499</v>
      </c>
      <c r="CD193">
        <v>8.9261848463497593</v>
      </c>
      <c r="CE193">
        <v>3207.5702917558101</v>
      </c>
      <c r="CF193">
        <v>964.93472247056798</v>
      </c>
      <c r="CG193">
        <v>44.027486810551601</v>
      </c>
      <c r="CH193">
        <v>122</v>
      </c>
      <c r="CI193">
        <v>32.579616646149802</v>
      </c>
      <c r="CJ193">
        <v>27.3161754195492</v>
      </c>
      <c r="CK193" s="81">
        <v>371</v>
      </c>
      <c r="CL193">
        <v>68</v>
      </c>
      <c r="CM193">
        <v>1034.05694444444</v>
      </c>
      <c r="CN193">
        <v>4.6725942617288602E-2</v>
      </c>
      <c r="CO193">
        <v>7802</v>
      </c>
      <c r="CP193">
        <v>1085</v>
      </c>
      <c r="CQ193">
        <v>210</v>
      </c>
      <c r="CR193">
        <v>207</v>
      </c>
      <c r="CS193">
        <v>214</v>
      </c>
      <c r="CT193">
        <v>112</v>
      </c>
      <c r="CU193">
        <v>104.893853639162</v>
      </c>
      <c r="CV193">
        <v>71.836396734698795</v>
      </c>
      <c r="CW193">
        <v>24.4752325158045</v>
      </c>
      <c r="CX193">
        <v>231.00135154506199</v>
      </c>
      <c r="CY193">
        <v>158.20092560358799</v>
      </c>
      <c r="CZ193">
        <v>53.900315360514398</v>
      </c>
      <c r="DA193">
        <v>0</v>
      </c>
      <c r="DE193">
        <v>589</v>
      </c>
      <c r="DF193" t="s">
        <v>241</v>
      </c>
      <c r="DG193">
        <v>2366</v>
      </c>
      <c r="DH193">
        <v>2316</v>
      </c>
      <c r="DI193">
        <v>2301</v>
      </c>
      <c r="DJ193">
        <v>2286</v>
      </c>
      <c r="DK193">
        <v>2259</v>
      </c>
      <c r="DO193">
        <v>431</v>
      </c>
      <c r="DP193" t="s">
        <v>235</v>
      </c>
      <c r="DQ193">
        <v>4103</v>
      </c>
      <c r="DR193">
        <v>1.35</v>
      </c>
      <c r="DS193">
        <v>1063</v>
      </c>
      <c r="DV193">
        <v>1705</v>
      </c>
      <c r="DW193" t="s">
        <v>185</v>
      </c>
      <c r="DX193">
        <v>5316.8911167381502</v>
      </c>
      <c r="DY193">
        <v>1009</v>
      </c>
      <c r="DZ193">
        <v>851</v>
      </c>
      <c r="EA193">
        <v>455</v>
      </c>
      <c r="EB193">
        <v>3551</v>
      </c>
      <c r="EC193">
        <v>1898</v>
      </c>
      <c r="ED193">
        <v>630</v>
      </c>
      <c r="EE193" s="82">
        <v>0.16974233254214199</v>
      </c>
      <c r="EF193" s="82">
        <v>0.44140850577478302</v>
      </c>
    </row>
    <row r="194" spans="1:136" x14ac:dyDescent="0.35">
      <c r="A194" s="72">
        <v>432</v>
      </c>
      <c r="B194" s="72">
        <v>7</v>
      </c>
      <c r="D194" s="72" t="s">
        <v>236</v>
      </c>
      <c r="E194" s="79">
        <v>893200000</v>
      </c>
      <c r="F194" s="79">
        <v>148050000</v>
      </c>
      <c r="G194" s="79">
        <v>165200000</v>
      </c>
      <c r="H194" s="79">
        <v>11526</v>
      </c>
      <c r="I194" s="79">
        <v>1</v>
      </c>
      <c r="J194" s="79">
        <v>165.2</v>
      </c>
      <c r="K194" s="79">
        <v>2633</v>
      </c>
      <c r="L194" s="79">
        <v>2391</v>
      </c>
      <c r="M194" s="79">
        <v>734</v>
      </c>
      <c r="N194" s="79">
        <v>1347</v>
      </c>
      <c r="O194" s="79">
        <v>855.5</v>
      </c>
      <c r="P194" s="79">
        <v>117.333333333333</v>
      </c>
      <c r="Q194" s="79">
        <v>618.33333333333303</v>
      </c>
      <c r="R194" s="79">
        <v>180</v>
      </c>
      <c r="S194" s="79">
        <v>0</v>
      </c>
      <c r="T194" s="79">
        <v>286</v>
      </c>
      <c r="U194" s="79">
        <v>4847</v>
      </c>
      <c r="V194" s="79">
        <v>10370</v>
      </c>
      <c r="W194" s="79">
        <v>1920</v>
      </c>
      <c r="X194" s="79">
        <v>0</v>
      </c>
      <c r="Y194" s="79">
        <v>0</v>
      </c>
      <c r="Z194" s="79">
        <v>0</v>
      </c>
      <c r="AA194" s="79">
        <v>0</v>
      </c>
      <c r="AB194" s="79">
        <v>0</v>
      </c>
      <c r="AC194" s="79">
        <v>4149</v>
      </c>
      <c r="AD194" s="79">
        <v>4895.82</v>
      </c>
      <c r="AE194" s="79">
        <v>45</v>
      </c>
      <c r="AF194" s="79">
        <v>0</v>
      </c>
      <c r="AG194" s="79">
        <v>110</v>
      </c>
      <c r="AH194" s="79">
        <v>88.48</v>
      </c>
      <c r="AI194" s="79">
        <v>36.89</v>
      </c>
      <c r="AJ194" s="79">
        <v>4915</v>
      </c>
      <c r="AK194" s="79">
        <v>5504.8</v>
      </c>
      <c r="AL194" s="79">
        <v>0</v>
      </c>
      <c r="AM194" s="79">
        <v>0</v>
      </c>
      <c r="AN194" s="79">
        <v>0</v>
      </c>
      <c r="AO194" s="79">
        <v>0</v>
      </c>
      <c r="AP194" s="79">
        <v>0</v>
      </c>
      <c r="AQ194" s="79">
        <v>0</v>
      </c>
      <c r="AR194" s="80">
        <v>1.06526E-4</v>
      </c>
      <c r="AS194" s="80">
        <v>3.7902999999999999E-5</v>
      </c>
      <c r="AT194" s="79">
        <v>2501.7350000000001</v>
      </c>
      <c r="AU194" s="79">
        <v>0</v>
      </c>
      <c r="AV194" s="79">
        <v>1838.44</v>
      </c>
      <c r="AW194" s="79">
        <v>5052.4223748211698</v>
      </c>
      <c r="AX194" s="79">
        <v>6</v>
      </c>
      <c r="AY194" s="79">
        <v>7.14</v>
      </c>
      <c r="AZ194" s="79">
        <v>1366</v>
      </c>
      <c r="BA194" s="79">
        <v>1</v>
      </c>
      <c r="BB194" s="79">
        <v>0</v>
      </c>
      <c r="BC194" s="79">
        <v>0</v>
      </c>
      <c r="BD194" s="79">
        <v>0</v>
      </c>
      <c r="BE194" s="79">
        <v>0</v>
      </c>
      <c r="BF194" s="79">
        <v>0</v>
      </c>
      <c r="BG194" s="79">
        <v>0</v>
      </c>
      <c r="BH194" s="79">
        <v>0</v>
      </c>
      <c r="BI194" s="79">
        <v>0</v>
      </c>
      <c r="BJ194" s="79">
        <v>0</v>
      </c>
      <c r="BK194" s="79">
        <v>7</v>
      </c>
      <c r="BL194" s="79">
        <v>1356</v>
      </c>
      <c r="BM194" s="79">
        <v>79</v>
      </c>
      <c r="BN194" s="79">
        <v>31</v>
      </c>
      <c r="BO194">
        <v>3092</v>
      </c>
      <c r="BP194">
        <v>0</v>
      </c>
      <c r="BQ194">
        <v>2766</v>
      </c>
      <c r="BR194">
        <v>0</v>
      </c>
      <c r="BS194">
        <v>2754</v>
      </c>
      <c r="BT194">
        <v>0</v>
      </c>
      <c r="BU194">
        <v>2692</v>
      </c>
      <c r="BV194">
        <v>0</v>
      </c>
      <c r="BW194">
        <v>2615</v>
      </c>
      <c r="BX194">
        <v>0</v>
      </c>
      <c r="BY194">
        <v>2569</v>
      </c>
      <c r="BZ194">
        <v>0</v>
      </c>
      <c r="CA194">
        <v>2327</v>
      </c>
      <c r="CB194">
        <v>144.23564511433599</v>
      </c>
      <c r="CC194">
        <v>40.7088687188904</v>
      </c>
      <c r="CD194">
        <v>7.9297886319115998</v>
      </c>
      <c r="CE194">
        <v>3275.7074313664002</v>
      </c>
      <c r="CF194">
        <v>881.42767658364505</v>
      </c>
      <c r="CG194">
        <v>33.8311957353745</v>
      </c>
      <c r="CH194">
        <v>116</v>
      </c>
      <c r="CI194">
        <v>35.480322491378502</v>
      </c>
      <c r="CJ194">
        <v>30.1542196189829</v>
      </c>
      <c r="CK194" s="81">
        <v>501</v>
      </c>
      <c r="CL194">
        <v>124</v>
      </c>
      <c r="CM194">
        <v>1162.8489484827101</v>
      </c>
      <c r="CN194">
        <v>7.35331544978685E-2</v>
      </c>
      <c r="CO194">
        <v>9135</v>
      </c>
      <c r="CP194">
        <v>1450</v>
      </c>
      <c r="CQ194">
        <v>207</v>
      </c>
      <c r="CR194">
        <v>264</v>
      </c>
      <c r="CS194">
        <v>233</v>
      </c>
      <c r="CT194">
        <v>122</v>
      </c>
      <c r="CU194">
        <v>156.212340378683</v>
      </c>
      <c r="CV194">
        <v>89.861279415162102</v>
      </c>
      <c r="CW194">
        <v>26.993213777810301</v>
      </c>
      <c r="CX194">
        <v>385.64273358330098</v>
      </c>
      <c r="CY194">
        <v>221.841304937551</v>
      </c>
      <c r="CZ194">
        <v>66.638376483179201</v>
      </c>
      <c r="DA194">
        <v>0</v>
      </c>
      <c r="DE194">
        <v>590</v>
      </c>
      <c r="DF194" t="s">
        <v>243</v>
      </c>
      <c r="DG194">
        <v>6992</v>
      </c>
      <c r="DH194">
        <v>7011</v>
      </c>
      <c r="DI194">
        <v>6942</v>
      </c>
      <c r="DJ194">
        <v>6930</v>
      </c>
      <c r="DK194">
        <v>6872</v>
      </c>
      <c r="DO194">
        <v>432</v>
      </c>
      <c r="DP194" t="s">
        <v>236</v>
      </c>
      <c r="DQ194">
        <v>4915</v>
      </c>
      <c r="DR194">
        <v>1.1200000000000001</v>
      </c>
      <c r="DS194">
        <v>509</v>
      </c>
      <c r="DV194">
        <v>553</v>
      </c>
      <c r="DW194" t="s">
        <v>186</v>
      </c>
      <c r="DX194">
        <v>2871.7811444466502</v>
      </c>
      <c r="DY194">
        <v>609</v>
      </c>
      <c r="DZ194">
        <v>567</v>
      </c>
      <c r="EA194">
        <v>329</v>
      </c>
      <c r="EB194">
        <v>1773</v>
      </c>
      <c r="EC194">
        <v>1139</v>
      </c>
      <c r="ED194">
        <v>448</v>
      </c>
      <c r="EE194" s="82">
        <v>0.184842406709646</v>
      </c>
      <c r="EF194" s="82">
        <v>0.40413750931708498</v>
      </c>
    </row>
    <row r="195" spans="1:136" x14ac:dyDescent="0.35">
      <c r="A195" s="72">
        <v>437</v>
      </c>
      <c r="B195" s="72">
        <v>7</v>
      </c>
      <c r="D195" s="72" t="s">
        <v>240</v>
      </c>
      <c r="E195" s="79">
        <v>1720800000</v>
      </c>
      <c r="F195" s="79">
        <v>414750000</v>
      </c>
      <c r="G195" s="79">
        <v>427700000</v>
      </c>
      <c r="H195" s="79">
        <v>13496</v>
      </c>
      <c r="I195" s="79">
        <v>2</v>
      </c>
      <c r="J195" s="79">
        <v>427.7</v>
      </c>
      <c r="K195" s="79">
        <v>3217</v>
      </c>
      <c r="L195" s="79">
        <v>2754</v>
      </c>
      <c r="M195" s="79">
        <v>780</v>
      </c>
      <c r="N195" s="79">
        <v>1519</v>
      </c>
      <c r="O195" s="79">
        <v>926.1</v>
      </c>
      <c r="P195" s="79">
        <v>171</v>
      </c>
      <c r="Q195" s="79">
        <v>616</v>
      </c>
      <c r="R195" s="79">
        <v>940</v>
      </c>
      <c r="S195" s="79">
        <v>0</v>
      </c>
      <c r="T195" s="79">
        <v>520</v>
      </c>
      <c r="U195" s="79">
        <v>6116</v>
      </c>
      <c r="V195" s="79">
        <v>6410</v>
      </c>
      <c r="W195" s="79">
        <v>320</v>
      </c>
      <c r="X195" s="79">
        <v>297.56</v>
      </c>
      <c r="Y195" s="79">
        <v>0</v>
      </c>
      <c r="Z195" s="79">
        <v>0</v>
      </c>
      <c r="AA195" s="79">
        <v>0</v>
      </c>
      <c r="AB195" s="79">
        <v>0</v>
      </c>
      <c r="AC195" s="79">
        <v>2399</v>
      </c>
      <c r="AD195" s="79">
        <v>3358.6</v>
      </c>
      <c r="AE195" s="79">
        <v>179</v>
      </c>
      <c r="AF195" s="79">
        <v>0</v>
      </c>
      <c r="AG195" s="79">
        <v>97</v>
      </c>
      <c r="AH195" s="79">
        <v>113.98</v>
      </c>
      <c r="AI195" s="79">
        <v>21.15</v>
      </c>
      <c r="AJ195" s="79">
        <v>5929</v>
      </c>
      <c r="AK195" s="79">
        <v>8241.31</v>
      </c>
      <c r="AL195" s="79">
        <v>0</v>
      </c>
      <c r="AM195" s="79">
        <v>0</v>
      </c>
      <c r="AN195" s="79">
        <v>0</v>
      </c>
      <c r="AO195" s="79">
        <v>0</v>
      </c>
      <c r="AP195" s="79">
        <v>0</v>
      </c>
      <c r="AQ195" s="79">
        <v>0</v>
      </c>
      <c r="AR195" s="80">
        <v>1.39801E-4</v>
      </c>
      <c r="AS195" s="80">
        <v>2.3588999999999999E-4</v>
      </c>
      <c r="AT195" s="79">
        <v>7363.8180000000002</v>
      </c>
      <c r="AU195" s="79">
        <v>0</v>
      </c>
      <c r="AV195" s="79">
        <v>2395.4</v>
      </c>
      <c r="AW195" s="79">
        <v>33955.684716834803</v>
      </c>
      <c r="AX195" s="79">
        <v>3</v>
      </c>
      <c r="AY195" s="79">
        <v>4.2300000000000004</v>
      </c>
      <c r="AZ195" s="79">
        <v>2294</v>
      </c>
      <c r="BA195" s="79">
        <v>1</v>
      </c>
      <c r="BB195" s="79">
        <v>0</v>
      </c>
      <c r="BC195" s="79">
        <v>0</v>
      </c>
      <c r="BD195" s="79">
        <v>0</v>
      </c>
      <c r="BE195" s="79">
        <v>0</v>
      </c>
      <c r="BF195" s="79">
        <v>0</v>
      </c>
      <c r="BG195" s="79">
        <v>0</v>
      </c>
      <c r="BH195" s="79">
        <v>0</v>
      </c>
      <c r="BI195" s="79">
        <v>0</v>
      </c>
      <c r="BJ195" s="79">
        <v>0</v>
      </c>
      <c r="BK195" s="79">
        <v>5</v>
      </c>
      <c r="BL195" s="79">
        <v>2114</v>
      </c>
      <c r="BM195" s="79">
        <v>82</v>
      </c>
      <c r="BN195" s="79">
        <v>15</v>
      </c>
      <c r="BO195">
        <v>3217</v>
      </c>
      <c r="BP195">
        <v>0</v>
      </c>
      <c r="BQ195">
        <v>2931</v>
      </c>
      <c r="BR195">
        <v>0</v>
      </c>
      <c r="BS195">
        <v>2905</v>
      </c>
      <c r="BT195">
        <v>0</v>
      </c>
      <c r="BU195">
        <v>2856</v>
      </c>
      <c r="BV195">
        <v>0</v>
      </c>
      <c r="BW195">
        <v>2905</v>
      </c>
      <c r="BX195">
        <v>0</v>
      </c>
      <c r="BY195">
        <v>2872</v>
      </c>
      <c r="BZ195">
        <v>0</v>
      </c>
      <c r="CA195">
        <v>2902</v>
      </c>
      <c r="CB195">
        <v>229.95267884526399</v>
      </c>
      <c r="CC195">
        <v>9.0044790044407694</v>
      </c>
      <c r="CD195">
        <v>13.9833285994664</v>
      </c>
      <c r="CE195">
        <v>5387.0246124157802</v>
      </c>
      <c r="CF195">
        <v>1540.2380165207101</v>
      </c>
      <c r="CG195">
        <v>46.685317955676197</v>
      </c>
      <c r="CH195">
        <v>200</v>
      </c>
      <c r="CI195">
        <v>56.652974362374501</v>
      </c>
      <c r="CJ195">
        <v>57.825150563461399</v>
      </c>
      <c r="CK195" s="81">
        <v>445</v>
      </c>
      <c r="CL195">
        <v>118</v>
      </c>
      <c r="CM195">
        <v>1465.9125553649999</v>
      </c>
      <c r="CN195">
        <v>7.49263105339604E-2</v>
      </c>
      <c r="CO195">
        <v>10742</v>
      </c>
      <c r="CP195">
        <v>1634</v>
      </c>
      <c r="CQ195">
        <v>340</v>
      </c>
      <c r="CR195">
        <v>456</v>
      </c>
      <c r="CS195">
        <v>298</v>
      </c>
      <c r="CT195">
        <v>198</v>
      </c>
      <c r="CU195">
        <v>170.95856206896599</v>
      </c>
      <c r="CV195">
        <v>88.135858324403003</v>
      </c>
      <c r="CW195">
        <v>41.255082619933297</v>
      </c>
      <c r="CX195">
        <v>279.75343416288598</v>
      </c>
      <c r="CY195">
        <v>144.223891104084</v>
      </c>
      <c r="CZ195">
        <v>67.509055410422107</v>
      </c>
      <c r="DA195">
        <v>2392</v>
      </c>
      <c r="DE195">
        <v>597</v>
      </c>
      <c r="DF195" t="s">
        <v>256</v>
      </c>
      <c r="DG195">
        <v>8216</v>
      </c>
      <c r="DH195">
        <v>8160</v>
      </c>
      <c r="DI195">
        <v>8189</v>
      </c>
      <c r="DJ195">
        <v>8251</v>
      </c>
      <c r="DK195">
        <v>8218</v>
      </c>
      <c r="DO195">
        <v>437</v>
      </c>
      <c r="DP195" t="s">
        <v>240</v>
      </c>
      <c r="DQ195">
        <v>5929</v>
      </c>
      <c r="DR195">
        <v>1.39</v>
      </c>
      <c r="DS195">
        <v>1242</v>
      </c>
      <c r="DV195">
        <v>262</v>
      </c>
      <c r="DW195" t="s">
        <v>187</v>
      </c>
      <c r="DX195">
        <v>3977.03768672057</v>
      </c>
      <c r="DY195">
        <v>882</v>
      </c>
      <c r="DZ195">
        <v>938</v>
      </c>
      <c r="EA195">
        <v>569</v>
      </c>
      <c r="EB195">
        <v>2967</v>
      </c>
      <c r="EC195">
        <v>2061</v>
      </c>
      <c r="ED195">
        <v>816</v>
      </c>
      <c r="EE195" s="82">
        <v>0.144424908531779</v>
      </c>
      <c r="EF195" s="82">
        <v>0.359679489169694</v>
      </c>
    </row>
    <row r="196" spans="1:136" x14ac:dyDescent="0.35">
      <c r="A196" s="72">
        <v>439</v>
      </c>
      <c r="B196" s="72">
        <v>7</v>
      </c>
      <c r="D196" s="72" t="s">
        <v>247</v>
      </c>
      <c r="E196" s="79">
        <v>5877200000</v>
      </c>
      <c r="F196" s="79">
        <v>839300000</v>
      </c>
      <c r="G196" s="79">
        <v>855400000</v>
      </c>
      <c r="H196" s="79">
        <v>79983</v>
      </c>
      <c r="I196" s="79">
        <v>1</v>
      </c>
      <c r="J196" s="79">
        <v>855.4</v>
      </c>
      <c r="K196" s="79">
        <v>16996</v>
      </c>
      <c r="L196" s="79">
        <v>15438</v>
      </c>
      <c r="M196" s="79">
        <v>4938</v>
      </c>
      <c r="N196" s="79">
        <v>11050</v>
      </c>
      <c r="O196" s="79">
        <v>7452.6</v>
      </c>
      <c r="P196" s="79">
        <v>1692</v>
      </c>
      <c r="Q196" s="79">
        <v>7131</v>
      </c>
      <c r="R196" s="79">
        <v>7745</v>
      </c>
      <c r="S196" s="79">
        <v>0</v>
      </c>
      <c r="T196" s="79">
        <v>3506</v>
      </c>
      <c r="U196" s="79">
        <v>36901</v>
      </c>
      <c r="V196" s="79">
        <v>85810</v>
      </c>
      <c r="W196" s="79">
        <v>71390</v>
      </c>
      <c r="X196" s="79">
        <v>2149.98</v>
      </c>
      <c r="Y196" s="79">
        <v>3411.2</v>
      </c>
      <c r="Z196" s="79">
        <v>0</v>
      </c>
      <c r="AA196" s="79">
        <v>0</v>
      </c>
      <c r="AB196" s="79">
        <v>0</v>
      </c>
      <c r="AC196" s="79">
        <v>2292</v>
      </c>
      <c r="AD196" s="79">
        <v>2842.08</v>
      </c>
      <c r="AE196" s="79">
        <v>164</v>
      </c>
      <c r="AF196" s="79">
        <v>0</v>
      </c>
      <c r="AG196" s="79">
        <v>289</v>
      </c>
      <c r="AH196" s="79">
        <v>354.06</v>
      </c>
      <c r="AI196" s="79">
        <v>8.4700000000000006</v>
      </c>
      <c r="AJ196" s="79">
        <v>35974</v>
      </c>
      <c r="AK196" s="79">
        <v>45327.24</v>
      </c>
      <c r="AL196" s="79">
        <v>15</v>
      </c>
      <c r="AM196" s="79">
        <v>0</v>
      </c>
      <c r="AN196" s="79">
        <v>0</v>
      </c>
      <c r="AO196" s="79">
        <v>2250</v>
      </c>
      <c r="AP196" s="79">
        <v>1496</v>
      </c>
      <c r="AQ196" s="79">
        <v>1496</v>
      </c>
      <c r="AR196" s="80">
        <v>3.3461500000000002E-4</v>
      </c>
      <c r="AS196" s="80">
        <v>1.6098709999999999E-3</v>
      </c>
      <c r="AT196" s="79">
        <v>78459.293999999994</v>
      </c>
      <c r="AU196" s="79">
        <v>0</v>
      </c>
      <c r="AV196" s="79">
        <v>3536.48</v>
      </c>
      <c r="AW196" s="79">
        <v>217822.10687296401</v>
      </c>
      <c r="AX196" s="79">
        <v>1</v>
      </c>
      <c r="AY196" s="79">
        <v>1.21</v>
      </c>
      <c r="AZ196" s="79">
        <v>6648</v>
      </c>
      <c r="BA196" s="79">
        <v>1</v>
      </c>
      <c r="BB196" s="79">
        <v>0</v>
      </c>
      <c r="BC196" s="79">
        <v>0</v>
      </c>
      <c r="BD196" s="79">
        <v>0</v>
      </c>
      <c r="BE196" s="79">
        <v>0</v>
      </c>
      <c r="BF196" s="79">
        <v>0</v>
      </c>
      <c r="BG196" s="79">
        <v>0</v>
      </c>
      <c r="BH196" s="79">
        <v>0</v>
      </c>
      <c r="BI196" s="79">
        <v>0</v>
      </c>
      <c r="BJ196" s="79">
        <v>0</v>
      </c>
      <c r="BK196" s="79">
        <v>17</v>
      </c>
      <c r="BL196" s="79">
        <v>12186</v>
      </c>
      <c r="BM196" s="79">
        <v>281</v>
      </c>
      <c r="BN196" s="79">
        <v>7</v>
      </c>
      <c r="BO196">
        <v>19128</v>
      </c>
      <c r="BP196">
        <v>4741</v>
      </c>
      <c r="BQ196">
        <v>17009</v>
      </c>
      <c r="BR196">
        <v>4480</v>
      </c>
      <c r="BS196">
        <v>16810</v>
      </c>
      <c r="BT196">
        <v>4409</v>
      </c>
      <c r="BU196">
        <v>16546</v>
      </c>
      <c r="BV196">
        <v>4440</v>
      </c>
      <c r="BW196">
        <v>16190</v>
      </c>
      <c r="BX196">
        <v>4251</v>
      </c>
      <c r="BY196">
        <v>16040</v>
      </c>
      <c r="BZ196">
        <v>4196</v>
      </c>
      <c r="CA196">
        <v>15046</v>
      </c>
      <c r="CB196">
        <v>1809.2506734998201</v>
      </c>
      <c r="CC196">
        <v>189.92136455457401</v>
      </c>
      <c r="CD196">
        <v>193.55086297064801</v>
      </c>
      <c r="CE196">
        <v>22993.6203734706</v>
      </c>
      <c r="CF196">
        <v>5798.6395926368596</v>
      </c>
      <c r="CG196">
        <v>470.71659133264302</v>
      </c>
      <c r="CH196">
        <v>1264</v>
      </c>
      <c r="CI196">
        <v>541.09557168125002</v>
      </c>
      <c r="CJ196">
        <v>551.29008573999397</v>
      </c>
      <c r="CK196" s="81">
        <v>5439</v>
      </c>
      <c r="CL196">
        <v>1446</v>
      </c>
      <c r="CM196">
        <v>12802.365977293501</v>
      </c>
      <c r="CN196">
        <v>3.2821197763332899</v>
      </c>
      <c r="CO196">
        <v>64545</v>
      </c>
      <c r="CP196">
        <v>8607</v>
      </c>
      <c r="CQ196">
        <v>1893</v>
      </c>
      <c r="CR196">
        <v>2065</v>
      </c>
      <c r="CS196">
        <v>1854</v>
      </c>
      <c r="CT196">
        <v>1058</v>
      </c>
      <c r="CU196">
        <v>1141.4929946781599</v>
      </c>
      <c r="CV196">
        <v>737.72351253156398</v>
      </c>
      <c r="CW196">
        <v>289.20584765348599</v>
      </c>
      <c r="CX196">
        <v>2608.37573349064</v>
      </c>
      <c r="CY196">
        <v>1685.7397435499399</v>
      </c>
      <c r="CZ196">
        <v>660.85163774100397</v>
      </c>
      <c r="DA196">
        <v>218738</v>
      </c>
      <c r="DE196">
        <v>599</v>
      </c>
      <c r="DF196" t="s">
        <v>262</v>
      </c>
      <c r="DG196">
        <v>119229</v>
      </c>
      <c r="DH196">
        <v>119522</v>
      </c>
      <c r="DI196">
        <v>119962</v>
      </c>
      <c r="DJ196">
        <v>120646</v>
      </c>
      <c r="DK196">
        <v>120838</v>
      </c>
      <c r="DO196">
        <v>439</v>
      </c>
      <c r="DP196" t="s">
        <v>247</v>
      </c>
      <c r="DQ196">
        <v>35974</v>
      </c>
      <c r="DR196">
        <v>1.26</v>
      </c>
      <c r="DS196">
        <v>2181</v>
      </c>
      <c r="DV196">
        <v>809</v>
      </c>
      <c r="DW196" t="s">
        <v>188</v>
      </c>
      <c r="DX196">
        <v>2863.6774063225898</v>
      </c>
      <c r="DY196">
        <v>503</v>
      </c>
      <c r="DZ196">
        <v>537</v>
      </c>
      <c r="EA196">
        <v>270</v>
      </c>
      <c r="EB196">
        <v>1752</v>
      </c>
      <c r="EC196">
        <v>1125</v>
      </c>
      <c r="ED196">
        <v>369</v>
      </c>
      <c r="EE196" s="82">
        <v>0.17270520962980601</v>
      </c>
      <c r="EF196" s="82">
        <v>0.43372316852071502</v>
      </c>
    </row>
    <row r="197" spans="1:136" x14ac:dyDescent="0.35">
      <c r="A197" s="72">
        <v>441</v>
      </c>
      <c r="B197" s="72">
        <v>7</v>
      </c>
      <c r="D197" s="72" t="s">
        <v>265</v>
      </c>
      <c r="E197" s="79">
        <v>3906800000</v>
      </c>
      <c r="F197" s="79">
        <v>579600000</v>
      </c>
      <c r="G197" s="79">
        <v>642950000</v>
      </c>
      <c r="H197" s="79">
        <v>46379</v>
      </c>
      <c r="I197" s="79">
        <v>9</v>
      </c>
      <c r="J197" s="79">
        <v>642.95000000000005</v>
      </c>
      <c r="K197" s="79">
        <v>10144</v>
      </c>
      <c r="L197" s="79">
        <v>10814</v>
      </c>
      <c r="M197" s="79">
        <v>3197</v>
      </c>
      <c r="N197" s="79">
        <v>5714</v>
      </c>
      <c r="O197" s="79">
        <v>3333</v>
      </c>
      <c r="P197" s="79">
        <v>548.66666666666697</v>
      </c>
      <c r="Q197" s="79">
        <v>2977.6666666666702</v>
      </c>
      <c r="R197" s="79">
        <v>805</v>
      </c>
      <c r="S197" s="79">
        <v>0</v>
      </c>
      <c r="T197" s="79">
        <v>1310</v>
      </c>
      <c r="U197" s="79">
        <v>20918</v>
      </c>
      <c r="V197" s="79">
        <v>41250</v>
      </c>
      <c r="W197" s="79">
        <v>14140</v>
      </c>
      <c r="X197" s="79">
        <v>1432.12</v>
      </c>
      <c r="Y197" s="79">
        <v>2520</v>
      </c>
      <c r="Z197" s="79">
        <v>0</v>
      </c>
      <c r="AA197" s="79">
        <v>0</v>
      </c>
      <c r="AB197" s="79">
        <v>0</v>
      </c>
      <c r="AC197" s="79">
        <v>16797</v>
      </c>
      <c r="AD197" s="79">
        <v>20324.37</v>
      </c>
      <c r="AE197" s="79">
        <v>401</v>
      </c>
      <c r="AF197" s="79">
        <v>1530</v>
      </c>
      <c r="AG197" s="79">
        <v>427</v>
      </c>
      <c r="AH197" s="79">
        <v>337.96</v>
      </c>
      <c r="AI197" s="79">
        <v>174.46</v>
      </c>
      <c r="AJ197" s="79">
        <v>23810</v>
      </c>
      <c r="AK197" s="79">
        <v>28333.9</v>
      </c>
      <c r="AL197" s="79">
        <v>6</v>
      </c>
      <c r="AM197" s="79">
        <v>0</v>
      </c>
      <c r="AN197" s="79">
        <v>0</v>
      </c>
      <c r="AO197" s="79">
        <v>0</v>
      </c>
      <c r="AP197" s="79">
        <v>845</v>
      </c>
      <c r="AQ197" s="79">
        <v>845</v>
      </c>
      <c r="AR197" s="80">
        <v>4.6075899999999998E-4</v>
      </c>
      <c r="AS197" s="80">
        <v>1.8069700000000001E-4</v>
      </c>
      <c r="AT197" s="79">
        <v>17262.25</v>
      </c>
      <c r="AU197" s="79">
        <v>0</v>
      </c>
      <c r="AV197" s="79">
        <v>7313.24</v>
      </c>
      <c r="AW197" s="79">
        <v>32167.522980579099</v>
      </c>
      <c r="AX197" s="79">
        <v>23</v>
      </c>
      <c r="AY197" s="79">
        <v>28.06</v>
      </c>
      <c r="AZ197" s="79">
        <v>5297</v>
      </c>
      <c r="BA197" s="79">
        <v>1</v>
      </c>
      <c r="BB197" s="79">
        <v>0</v>
      </c>
      <c r="BC197" s="79">
        <v>0</v>
      </c>
      <c r="BD197" s="79">
        <v>0</v>
      </c>
      <c r="BE197" s="79">
        <v>0</v>
      </c>
      <c r="BF197" s="79">
        <v>0</v>
      </c>
      <c r="BG197" s="79">
        <v>0</v>
      </c>
      <c r="BH197" s="79">
        <v>0</v>
      </c>
      <c r="BI197" s="79">
        <v>0</v>
      </c>
      <c r="BJ197" s="79">
        <v>0</v>
      </c>
      <c r="BK197" s="79">
        <v>18</v>
      </c>
      <c r="BL197" s="79">
        <v>6658</v>
      </c>
      <c r="BM197" s="79">
        <v>284</v>
      </c>
      <c r="BN197" s="79">
        <v>143</v>
      </c>
      <c r="BO197">
        <v>11481</v>
      </c>
      <c r="BP197">
        <v>3129</v>
      </c>
      <c r="BQ197">
        <v>10344</v>
      </c>
      <c r="BR197">
        <v>3109</v>
      </c>
      <c r="BS197">
        <v>10284</v>
      </c>
      <c r="BT197">
        <v>3099</v>
      </c>
      <c r="BU197">
        <v>10261</v>
      </c>
      <c r="BV197">
        <v>3083</v>
      </c>
      <c r="BW197">
        <v>10108</v>
      </c>
      <c r="BX197">
        <v>3109</v>
      </c>
      <c r="BY197">
        <v>9950</v>
      </c>
      <c r="BZ197">
        <v>3160</v>
      </c>
      <c r="CA197">
        <v>9022</v>
      </c>
      <c r="CB197">
        <v>692.95495023906994</v>
      </c>
      <c r="CC197">
        <v>98.680878341045798</v>
      </c>
      <c r="CD197">
        <v>43.346309769673702</v>
      </c>
      <c r="CE197">
        <v>13672.4779759292</v>
      </c>
      <c r="CF197">
        <v>3251.0676079810701</v>
      </c>
      <c r="CG197">
        <v>143.77722691481699</v>
      </c>
      <c r="CH197">
        <v>519</v>
      </c>
      <c r="CI197">
        <v>150.00584963470499</v>
      </c>
      <c r="CJ197">
        <v>128.77625554930401</v>
      </c>
      <c r="CK197" s="81">
        <v>2429</v>
      </c>
      <c r="CL197">
        <v>716</v>
      </c>
      <c r="CM197">
        <v>5947.1303685088496</v>
      </c>
      <c r="CN197">
        <v>0.52384665085096305</v>
      </c>
      <c r="CO197">
        <v>35565</v>
      </c>
      <c r="CP197">
        <v>6549</v>
      </c>
      <c r="CQ197">
        <v>1068</v>
      </c>
      <c r="CR197">
        <v>1332</v>
      </c>
      <c r="CS197">
        <v>1055</v>
      </c>
      <c r="CT197">
        <v>571</v>
      </c>
      <c r="CU197">
        <v>566.79640264833097</v>
      </c>
      <c r="CV197">
        <v>316.36450234261002</v>
      </c>
      <c r="CW197">
        <v>111.42749728527301</v>
      </c>
      <c r="CX197">
        <v>1787.2630398821</v>
      </c>
      <c r="CY197">
        <v>997.58322305101001</v>
      </c>
      <c r="CZ197">
        <v>351.36117059672802</v>
      </c>
      <c r="DA197">
        <v>55934</v>
      </c>
      <c r="DE197">
        <v>603</v>
      </c>
      <c r="DF197" t="s">
        <v>258</v>
      </c>
      <c r="DG197">
        <v>7558</v>
      </c>
      <c r="DH197">
        <v>7540</v>
      </c>
      <c r="DI197">
        <v>7551</v>
      </c>
      <c r="DJ197">
        <v>7677</v>
      </c>
      <c r="DK197">
        <v>7794</v>
      </c>
      <c r="DO197">
        <v>441</v>
      </c>
      <c r="DP197" t="s">
        <v>265</v>
      </c>
      <c r="DQ197">
        <v>23810</v>
      </c>
      <c r="DR197">
        <v>1.19</v>
      </c>
      <c r="DS197">
        <v>725</v>
      </c>
      <c r="DV197">
        <v>331</v>
      </c>
      <c r="DW197" t="s">
        <v>189</v>
      </c>
      <c r="DX197">
        <v>1247.8722587719301</v>
      </c>
      <c r="DY197">
        <v>285</v>
      </c>
      <c r="DZ197">
        <v>211</v>
      </c>
      <c r="EA197">
        <v>87</v>
      </c>
      <c r="EB197">
        <v>917</v>
      </c>
      <c r="EC197">
        <v>499</v>
      </c>
      <c r="ED197">
        <v>139</v>
      </c>
      <c r="EE197" s="82">
        <v>0.120940555731574</v>
      </c>
      <c r="EF197" s="82">
        <v>0.38309035837626698</v>
      </c>
    </row>
    <row r="198" spans="1:136" x14ac:dyDescent="0.35">
      <c r="A198" s="72">
        <v>532</v>
      </c>
      <c r="B198" s="72">
        <v>7</v>
      </c>
      <c r="D198" s="72" t="s">
        <v>284</v>
      </c>
      <c r="E198" s="79">
        <v>1480000000</v>
      </c>
      <c r="F198" s="79">
        <v>168700000</v>
      </c>
      <c r="G198" s="79">
        <v>180950000</v>
      </c>
      <c r="H198" s="79">
        <v>21670</v>
      </c>
      <c r="I198" s="79">
        <v>1</v>
      </c>
      <c r="J198" s="79">
        <v>180.95</v>
      </c>
      <c r="K198" s="79">
        <v>5076</v>
      </c>
      <c r="L198" s="79">
        <v>4538</v>
      </c>
      <c r="M198" s="79">
        <v>1228</v>
      </c>
      <c r="N198" s="79">
        <v>2549</v>
      </c>
      <c r="O198" s="79">
        <v>1633.1</v>
      </c>
      <c r="P198" s="79">
        <v>281</v>
      </c>
      <c r="Q198" s="79">
        <v>1611</v>
      </c>
      <c r="R198" s="79">
        <v>530</v>
      </c>
      <c r="S198" s="79">
        <v>0</v>
      </c>
      <c r="T198" s="79">
        <v>652</v>
      </c>
      <c r="U198" s="79">
        <v>9328</v>
      </c>
      <c r="V198" s="79">
        <v>23500</v>
      </c>
      <c r="W198" s="79">
        <v>13950</v>
      </c>
      <c r="X198" s="79">
        <v>845.46</v>
      </c>
      <c r="Y198" s="79">
        <v>1636</v>
      </c>
      <c r="Z198" s="79">
        <v>0</v>
      </c>
      <c r="AA198" s="79">
        <v>0</v>
      </c>
      <c r="AB198" s="79">
        <v>0</v>
      </c>
      <c r="AC198" s="79">
        <v>1445</v>
      </c>
      <c r="AD198" s="79">
        <v>1748.45</v>
      </c>
      <c r="AE198" s="79">
        <v>112</v>
      </c>
      <c r="AF198" s="79">
        <v>80</v>
      </c>
      <c r="AG198" s="79">
        <v>126</v>
      </c>
      <c r="AH198" s="79">
        <v>129.71</v>
      </c>
      <c r="AI198" s="79">
        <v>20.91</v>
      </c>
      <c r="AJ198" s="79">
        <v>9159</v>
      </c>
      <c r="AK198" s="79">
        <v>10899.21</v>
      </c>
      <c r="AL198" s="79">
        <v>0</v>
      </c>
      <c r="AM198" s="79">
        <v>0</v>
      </c>
      <c r="AN198" s="79">
        <v>0</v>
      </c>
      <c r="AO198" s="79">
        <v>0</v>
      </c>
      <c r="AP198" s="79">
        <v>1132</v>
      </c>
      <c r="AQ198" s="79">
        <v>0</v>
      </c>
      <c r="AR198" s="80">
        <v>1.57169E-4</v>
      </c>
      <c r="AS198" s="80">
        <v>8.1997999999999997E-5</v>
      </c>
      <c r="AT198" s="79">
        <v>10294.716</v>
      </c>
      <c r="AU198" s="79">
        <v>0</v>
      </c>
      <c r="AV198" s="79">
        <v>2395.8000000000002</v>
      </c>
      <c r="AW198" s="79">
        <v>33681.053307642898</v>
      </c>
      <c r="AX198" s="79">
        <v>1</v>
      </c>
      <c r="AY198" s="79">
        <v>1.23</v>
      </c>
      <c r="AZ198" s="79">
        <v>1710</v>
      </c>
      <c r="BA198" s="79">
        <v>1</v>
      </c>
      <c r="BB198" s="79">
        <v>0</v>
      </c>
      <c r="BC198" s="79">
        <v>0</v>
      </c>
      <c r="BD198" s="79">
        <v>0</v>
      </c>
      <c r="BE198" s="79">
        <v>0</v>
      </c>
      <c r="BF198" s="79">
        <v>0</v>
      </c>
      <c r="BG198" s="79">
        <v>0</v>
      </c>
      <c r="BH198" s="79">
        <v>0</v>
      </c>
      <c r="BI198" s="79">
        <v>0</v>
      </c>
      <c r="BJ198" s="79">
        <v>0</v>
      </c>
      <c r="BK198" s="79">
        <v>16</v>
      </c>
      <c r="BL198" s="79">
        <v>2527</v>
      </c>
      <c r="BM198" s="79">
        <v>109</v>
      </c>
      <c r="BN198" s="79">
        <v>17</v>
      </c>
      <c r="BO198">
        <v>5577</v>
      </c>
      <c r="BP198">
        <v>2530</v>
      </c>
      <c r="BQ198">
        <v>4989</v>
      </c>
      <c r="BR198">
        <v>2467</v>
      </c>
      <c r="BS198">
        <v>4890</v>
      </c>
      <c r="BT198">
        <v>2393</v>
      </c>
      <c r="BU198">
        <v>4858</v>
      </c>
      <c r="BV198">
        <v>2276</v>
      </c>
      <c r="BW198">
        <v>4825</v>
      </c>
      <c r="BX198">
        <v>2181</v>
      </c>
      <c r="BY198">
        <v>4721</v>
      </c>
      <c r="BZ198">
        <v>2158</v>
      </c>
      <c r="CA198">
        <v>4513</v>
      </c>
      <c r="CB198">
        <v>453.39570715640502</v>
      </c>
      <c r="CC198">
        <v>75.802428548404293</v>
      </c>
      <c r="CD198">
        <v>44.225357853855201</v>
      </c>
      <c r="CE198">
        <v>5826.8898639098497</v>
      </c>
      <c r="CF198">
        <v>1547.0383910263399</v>
      </c>
      <c r="CG198">
        <v>147.42025513196501</v>
      </c>
      <c r="CH198">
        <v>247</v>
      </c>
      <c r="CI198">
        <v>106.163758060235</v>
      </c>
      <c r="CJ198">
        <v>79.819993109072499</v>
      </c>
      <c r="CK198" s="81">
        <v>1330</v>
      </c>
      <c r="CL198">
        <v>371</v>
      </c>
      <c r="CM198">
        <v>2744.25500395478</v>
      </c>
      <c r="CN198">
        <v>0.47577986353759499</v>
      </c>
      <c r="CO198">
        <v>17132</v>
      </c>
      <c r="CP198">
        <v>2975</v>
      </c>
      <c r="CQ198">
        <v>335</v>
      </c>
      <c r="CR198">
        <v>534</v>
      </c>
      <c r="CS198">
        <v>350</v>
      </c>
      <c r="CT198">
        <v>151</v>
      </c>
      <c r="CU198">
        <v>322.79457212749401</v>
      </c>
      <c r="CV198">
        <v>150.340234421811</v>
      </c>
      <c r="CW198">
        <v>37.629643491105703</v>
      </c>
      <c r="CX198">
        <v>871.89449282846999</v>
      </c>
      <c r="CY198">
        <v>406.08124721237601</v>
      </c>
      <c r="CZ198">
        <v>101.64073921923099</v>
      </c>
      <c r="DA198">
        <v>25137</v>
      </c>
      <c r="DE198">
        <v>606</v>
      </c>
      <c r="DF198" t="s">
        <v>267</v>
      </c>
      <c r="DG198">
        <v>15330</v>
      </c>
      <c r="DH198">
        <v>15265</v>
      </c>
      <c r="DI198">
        <v>15231</v>
      </c>
      <c r="DJ198">
        <v>15292</v>
      </c>
      <c r="DK198">
        <v>15175</v>
      </c>
      <c r="DO198">
        <v>532</v>
      </c>
      <c r="DP198" t="s">
        <v>284</v>
      </c>
      <c r="DQ198">
        <v>9159</v>
      </c>
      <c r="DR198">
        <v>1.19</v>
      </c>
      <c r="DS198">
        <v>1124</v>
      </c>
      <c r="DV198">
        <v>24</v>
      </c>
      <c r="DW198" t="s">
        <v>190</v>
      </c>
      <c r="DX198">
        <v>1354.09949332105</v>
      </c>
      <c r="DY198">
        <v>267</v>
      </c>
      <c r="DZ198">
        <v>190</v>
      </c>
      <c r="EA198">
        <v>112</v>
      </c>
      <c r="EB198">
        <v>833</v>
      </c>
      <c r="EC198">
        <v>400</v>
      </c>
      <c r="ED198">
        <v>147</v>
      </c>
      <c r="EE198" s="82">
        <v>0.187861286845461</v>
      </c>
      <c r="EF198" s="82">
        <v>0.52542617575569694</v>
      </c>
    </row>
    <row r="199" spans="1:136" x14ac:dyDescent="0.35">
      <c r="A199" s="72">
        <v>448</v>
      </c>
      <c r="B199" s="72">
        <v>7</v>
      </c>
      <c r="D199" s="72" t="s">
        <v>292</v>
      </c>
      <c r="E199" s="79">
        <v>1910800000</v>
      </c>
      <c r="F199" s="79">
        <v>436800000</v>
      </c>
      <c r="G199" s="79">
        <v>477050000</v>
      </c>
      <c r="H199" s="79">
        <v>13584</v>
      </c>
      <c r="I199" s="79">
        <v>5</v>
      </c>
      <c r="J199" s="79">
        <v>477.05</v>
      </c>
      <c r="K199" s="79">
        <v>2658</v>
      </c>
      <c r="L199" s="79">
        <v>3287</v>
      </c>
      <c r="M199" s="79">
        <v>919</v>
      </c>
      <c r="N199" s="79">
        <v>2043</v>
      </c>
      <c r="O199" s="79">
        <v>973.5</v>
      </c>
      <c r="P199" s="79">
        <v>129.333333333333</v>
      </c>
      <c r="Q199" s="79">
        <v>978.33333333333303</v>
      </c>
      <c r="R199" s="79">
        <v>175</v>
      </c>
      <c r="S199" s="79">
        <v>0</v>
      </c>
      <c r="T199" s="79">
        <v>381</v>
      </c>
      <c r="U199" s="79">
        <v>6578</v>
      </c>
      <c r="V199" s="79">
        <v>12530</v>
      </c>
      <c r="W199" s="79">
        <v>6360</v>
      </c>
      <c r="X199" s="79">
        <v>45.54</v>
      </c>
      <c r="Y199" s="79">
        <v>706.4</v>
      </c>
      <c r="Z199" s="79">
        <v>0</v>
      </c>
      <c r="AA199" s="79">
        <v>0</v>
      </c>
      <c r="AB199" s="79">
        <v>0</v>
      </c>
      <c r="AC199" s="79">
        <v>16202</v>
      </c>
      <c r="AD199" s="79">
        <v>16364.02</v>
      </c>
      <c r="AE199" s="79">
        <v>288</v>
      </c>
      <c r="AF199" s="79">
        <v>10000</v>
      </c>
      <c r="AG199" s="79">
        <v>177</v>
      </c>
      <c r="AH199" s="79">
        <v>114</v>
      </c>
      <c r="AI199" s="79">
        <v>63.63</v>
      </c>
      <c r="AJ199" s="79">
        <v>10695</v>
      </c>
      <c r="AK199" s="79">
        <v>10695</v>
      </c>
      <c r="AL199" s="79">
        <v>0</v>
      </c>
      <c r="AM199" s="79">
        <v>0</v>
      </c>
      <c r="AN199" s="79">
        <v>0</v>
      </c>
      <c r="AO199" s="79">
        <v>0</v>
      </c>
      <c r="AP199" s="79">
        <v>636</v>
      </c>
      <c r="AQ199" s="79">
        <v>0</v>
      </c>
      <c r="AR199" s="80">
        <v>4.0226500000000001E-4</v>
      </c>
      <c r="AS199" s="80">
        <v>9.2826999999999997E-5</v>
      </c>
      <c r="AT199" s="79">
        <v>4983.87</v>
      </c>
      <c r="AU199" s="79">
        <v>0</v>
      </c>
      <c r="AV199" s="79">
        <v>3195.64</v>
      </c>
      <c r="AW199" s="79">
        <v>2632.4786998180698</v>
      </c>
      <c r="AX199" s="79">
        <v>22</v>
      </c>
      <c r="AY199" s="79">
        <v>22.22</v>
      </c>
      <c r="AZ199" s="79">
        <v>2265</v>
      </c>
      <c r="BA199" s="79">
        <v>1</v>
      </c>
      <c r="BB199" s="79">
        <v>0</v>
      </c>
      <c r="BC199" s="79">
        <v>0</v>
      </c>
      <c r="BD199" s="79">
        <v>0</v>
      </c>
      <c r="BE199" s="79">
        <v>0</v>
      </c>
      <c r="BF199" s="79">
        <v>0</v>
      </c>
      <c r="BG199" s="79">
        <v>1</v>
      </c>
      <c r="BH199" s="79">
        <v>2500</v>
      </c>
      <c r="BI199" s="79">
        <v>5000</v>
      </c>
      <c r="BJ199" s="79">
        <v>6084</v>
      </c>
      <c r="BK199" s="79">
        <v>4</v>
      </c>
      <c r="BL199" s="79">
        <v>2294</v>
      </c>
      <c r="BM199" s="79">
        <v>114</v>
      </c>
      <c r="BN199" s="79">
        <v>63</v>
      </c>
      <c r="BO199">
        <v>3232</v>
      </c>
      <c r="BP199">
        <v>923</v>
      </c>
      <c r="BQ199">
        <v>2996</v>
      </c>
      <c r="BR199">
        <v>915</v>
      </c>
      <c r="BS199">
        <v>2959</v>
      </c>
      <c r="BT199">
        <v>943</v>
      </c>
      <c r="BU199">
        <v>2901</v>
      </c>
      <c r="BV199">
        <v>952</v>
      </c>
      <c r="BW199">
        <v>2828</v>
      </c>
      <c r="BX199">
        <v>922</v>
      </c>
      <c r="BY199">
        <v>2748</v>
      </c>
      <c r="BZ199">
        <v>956</v>
      </c>
      <c r="CA199">
        <v>2369</v>
      </c>
      <c r="CB199">
        <v>230.40753669911601</v>
      </c>
      <c r="CC199">
        <v>37.517306988791802</v>
      </c>
      <c r="CD199">
        <v>23.048609982026701</v>
      </c>
      <c r="CE199">
        <v>3884.22829310319</v>
      </c>
      <c r="CF199">
        <v>834.6640469642</v>
      </c>
      <c r="CG199">
        <v>58.2794334763948</v>
      </c>
      <c r="CH199">
        <v>126</v>
      </c>
      <c r="CI199">
        <v>40.133486361768199</v>
      </c>
      <c r="CJ199">
        <v>37.249330117567197</v>
      </c>
      <c r="CK199" s="81">
        <v>849</v>
      </c>
      <c r="CL199">
        <v>205</v>
      </c>
      <c r="CM199">
        <v>1918.5323471342299</v>
      </c>
      <c r="CN199">
        <v>9.4951597646269398E-2</v>
      </c>
      <c r="CO199">
        <v>10297</v>
      </c>
      <c r="CP199">
        <v>2071</v>
      </c>
      <c r="CQ199">
        <v>297</v>
      </c>
      <c r="CR199">
        <v>460</v>
      </c>
      <c r="CS199">
        <v>304</v>
      </c>
      <c r="CT199">
        <v>140</v>
      </c>
      <c r="CU199">
        <v>118.078600656284</v>
      </c>
      <c r="CV199">
        <v>60.359377205178497</v>
      </c>
      <c r="CW199">
        <v>17.752758001523102</v>
      </c>
      <c r="CX199">
        <v>641.29752670540302</v>
      </c>
      <c r="CY199">
        <v>327.81824225573001</v>
      </c>
      <c r="CZ199">
        <v>96.4171300752148</v>
      </c>
      <c r="DA199">
        <v>10729.4</v>
      </c>
      <c r="DE199">
        <v>610</v>
      </c>
      <c r="DF199" t="s">
        <v>276</v>
      </c>
      <c r="DG199">
        <v>5322</v>
      </c>
      <c r="DH199">
        <v>5322</v>
      </c>
      <c r="DI199">
        <v>5260</v>
      </c>
      <c r="DJ199">
        <v>5336</v>
      </c>
      <c r="DK199">
        <v>5347</v>
      </c>
      <c r="DO199">
        <v>448</v>
      </c>
      <c r="DP199" t="s">
        <v>292</v>
      </c>
      <c r="DQ199">
        <v>10695</v>
      </c>
      <c r="DR199">
        <v>1</v>
      </c>
      <c r="DS199">
        <v>466</v>
      </c>
      <c r="DV199">
        <v>168</v>
      </c>
      <c r="DW199" t="s">
        <v>191</v>
      </c>
      <c r="DX199">
        <v>2842.1265932166798</v>
      </c>
      <c r="DY199">
        <v>510</v>
      </c>
      <c r="DZ199">
        <v>445</v>
      </c>
      <c r="EA199">
        <v>250</v>
      </c>
      <c r="EB199">
        <v>1798</v>
      </c>
      <c r="EC199">
        <v>1046</v>
      </c>
      <c r="ED199">
        <v>358</v>
      </c>
      <c r="EE199" s="82">
        <v>0.181649647529152</v>
      </c>
      <c r="EF199" s="82">
        <v>0.50750240615976905</v>
      </c>
    </row>
    <row r="200" spans="1:136" x14ac:dyDescent="0.35">
      <c r="A200" s="72">
        <v>450</v>
      </c>
      <c r="B200" s="72">
        <v>7</v>
      </c>
      <c r="D200" s="72" t="s">
        <v>302</v>
      </c>
      <c r="E200" s="79">
        <v>1172800000</v>
      </c>
      <c r="F200" s="79">
        <v>119000000</v>
      </c>
      <c r="G200" s="79">
        <v>123550000</v>
      </c>
      <c r="H200" s="79">
        <v>13520</v>
      </c>
      <c r="I200" s="79">
        <v>1</v>
      </c>
      <c r="J200" s="79">
        <v>123.55</v>
      </c>
      <c r="K200" s="79">
        <v>3254</v>
      </c>
      <c r="L200" s="79">
        <v>2356</v>
      </c>
      <c r="M200" s="79">
        <v>720</v>
      </c>
      <c r="N200" s="79">
        <v>1233</v>
      </c>
      <c r="O200" s="79">
        <v>657</v>
      </c>
      <c r="P200" s="79">
        <v>134.333333333333</v>
      </c>
      <c r="Q200" s="79">
        <v>637.33333333333303</v>
      </c>
      <c r="R200" s="79">
        <v>310</v>
      </c>
      <c r="S200" s="79">
        <v>0</v>
      </c>
      <c r="T200" s="79">
        <v>387</v>
      </c>
      <c r="U200" s="79">
        <v>5671</v>
      </c>
      <c r="V200" s="79">
        <v>10530</v>
      </c>
      <c r="W200" s="79">
        <v>1760</v>
      </c>
      <c r="X200" s="79">
        <v>0</v>
      </c>
      <c r="Y200" s="79">
        <v>0</v>
      </c>
      <c r="Z200" s="79">
        <v>0</v>
      </c>
      <c r="AA200" s="79">
        <v>0</v>
      </c>
      <c r="AB200" s="79">
        <v>0</v>
      </c>
      <c r="AC200" s="79">
        <v>1912</v>
      </c>
      <c r="AD200" s="79">
        <v>2294.4</v>
      </c>
      <c r="AE200" s="79">
        <v>317</v>
      </c>
      <c r="AF200" s="79">
        <v>0</v>
      </c>
      <c r="AG200" s="79">
        <v>71</v>
      </c>
      <c r="AH200" s="79">
        <v>65.72</v>
      </c>
      <c r="AI200" s="79">
        <v>11.16</v>
      </c>
      <c r="AJ200" s="79">
        <v>5760</v>
      </c>
      <c r="AK200" s="79">
        <v>6105.6</v>
      </c>
      <c r="AL200" s="79">
        <v>0</v>
      </c>
      <c r="AM200" s="79">
        <v>0</v>
      </c>
      <c r="AN200" s="79">
        <v>0</v>
      </c>
      <c r="AO200" s="79">
        <v>0</v>
      </c>
      <c r="AP200" s="79">
        <v>841</v>
      </c>
      <c r="AQ200" s="79">
        <v>0</v>
      </c>
      <c r="AR200" s="80">
        <v>7.6898999999999997E-5</v>
      </c>
      <c r="AS200" s="80">
        <v>5.6538E-5</v>
      </c>
      <c r="AT200" s="79">
        <v>6289.92</v>
      </c>
      <c r="AU200" s="79">
        <v>0</v>
      </c>
      <c r="AV200" s="79">
        <v>1792.8</v>
      </c>
      <c r="AW200" s="79">
        <v>22956.705248990598</v>
      </c>
      <c r="AX200" s="79">
        <v>1</v>
      </c>
      <c r="AY200" s="79">
        <v>1.24</v>
      </c>
      <c r="AZ200" s="79">
        <v>1301</v>
      </c>
      <c r="BA200" s="79">
        <v>1</v>
      </c>
      <c r="BB200" s="79">
        <v>0</v>
      </c>
      <c r="BC200" s="79">
        <v>0</v>
      </c>
      <c r="BD200" s="79">
        <v>0</v>
      </c>
      <c r="BE200" s="79">
        <v>0</v>
      </c>
      <c r="BF200" s="79">
        <v>0</v>
      </c>
      <c r="BG200" s="79">
        <v>0</v>
      </c>
      <c r="BH200" s="79">
        <v>0</v>
      </c>
      <c r="BI200" s="79">
        <v>0</v>
      </c>
      <c r="BJ200" s="79">
        <v>0</v>
      </c>
      <c r="BK200" s="79">
        <v>0</v>
      </c>
      <c r="BL200" s="79">
        <v>1586</v>
      </c>
      <c r="BM200" s="79">
        <v>62</v>
      </c>
      <c r="BN200" s="79">
        <v>9</v>
      </c>
      <c r="BO200">
        <v>3306</v>
      </c>
      <c r="BP200">
        <v>0</v>
      </c>
      <c r="BQ200">
        <v>3002</v>
      </c>
      <c r="BR200">
        <v>0</v>
      </c>
      <c r="BS200">
        <v>3052</v>
      </c>
      <c r="BT200">
        <v>0</v>
      </c>
      <c r="BU200">
        <v>3059</v>
      </c>
      <c r="BV200">
        <v>0</v>
      </c>
      <c r="BW200">
        <v>3055</v>
      </c>
      <c r="BX200">
        <v>0</v>
      </c>
      <c r="BY200">
        <v>3068</v>
      </c>
      <c r="BZ200">
        <v>0</v>
      </c>
      <c r="CA200">
        <v>2873</v>
      </c>
      <c r="CB200">
        <v>176.65655192301301</v>
      </c>
      <c r="CC200">
        <v>20.434211060436599</v>
      </c>
      <c r="CD200">
        <v>17.485478944959102</v>
      </c>
      <c r="CE200">
        <v>4336.7646716384397</v>
      </c>
      <c r="CF200">
        <v>1232.6879304015199</v>
      </c>
      <c r="CG200">
        <v>52.777236220472503</v>
      </c>
      <c r="CH200">
        <v>149</v>
      </c>
      <c r="CI200">
        <v>50.517461867573303</v>
      </c>
      <c r="CJ200">
        <v>45.053951666009802</v>
      </c>
      <c r="CK200" s="81">
        <v>503</v>
      </c>
      <c r="CL200">
        <v>113</v>
      </c>
      <c r="CM200">
        <v>989.510179640719</v>
      </c>
      <c r="CN200">
        <v>6.6595985453248893E-2</v>
      </c>
      <c r="CO200">
        <v>11164</v>
      </c>
      <c r="CP200">
        <v>1402</v>
      </c>
      <c r="CQ200">
        <v>234</v>
      </c>
      <c r="CR200">
        <v>246</v>
      </c>
      <c r="CS200">
        <v>233</v>
      </c>
      <c r="CT200">
        <v>131</v>
      </c>
      <c r="CU200">
        <v>97.559919711884206</v>
      </c>
      <c r="CV200">
        <v>58.421846657876898</v>
      </c>
      <c r="CW200">
        <v>20.196614957898799</v>
      </c>
      <c r="CX200">
        <v>310.32371850354201</v>
      </c>
      <c r="CY200">
        <v>185.83127938457699</v>
      </c>
      <c r="CZ200">
        <v>64.242454005996393</v>
      </c>
      <c r="DA200">
        <v>0</v>
      </c>
      <c r="DE200">
        <v>611</v>
      </c>
      <c r="DF200" t="s">
        <v>813</v>
      </c>
      <c r="DG200">
        <v>2703</v>
      </c>
      <c r="DH200">
        <v>2642</v>
      </c>
      <c r="DI200">
        <v>2599</v>
      </c>
      <c r="DJ200">
        <v>2591</v>
      </c>
      <c r="DK200">
        <v>2547</v>
      </c>
      <c r="DO200">
        <v>450</v>
      </c>
      <c r="DP200" t="s">
        <v>302</v>
      </c>
      <c r="DQ200">
        <v>5760</v>
      </c>
      <c r="DR200">
        <v>1.06</v>
      </c>
      <c r="DS200">
        <v>1092</v>
      </c>
      <c r="DV200">
        <v>263</v>
      </c>
      <c r="DW200" t="s">
        <v>192</v>
      </c>
      <c r="DX200">
        <v>2646.6969330104898</v>
      </c>
      <c r="DY200">
        <v>506</v>
      </c>
      <c r="DZ200">
        <v>415</v>
      </c>
      <c r="EA200">
        <v>233</v>
      </c>
      <c r="EB200">
        <v>1684</v>
      </c>
      <c r="EC200">
        <v>905</v>
      </c>
      <c r="ED200">
        <v>313</v>
      </c>
      <c r="EE200" s="82">
        <v>0.16098973799531499</v>
      </c>
      <c r="EF200" s="82">
        <v>0.418704494192155</v>
      </c>
    </row>
    <row r="201" spans="1:136" x14ac:dyDescent="0.35">
      <c r="A201" s="72">
        <v>451</v>
      </c>
      <c r="B201" s="72">
        <v>7</v>
      </c>
      <c r="D201" s="72" t="s">
        <v>303</v>
      </c>
      <c r="E201" s="79">
        <v>2632400000</v>
      </c>
      <c r="F201" s="79">
        <v>469000000</v>
      </c>
      <c r="G201" s="79">
        <v>480550000</v>
      </c>
      <c r="H201" s="79">
        <v>29445</v>
      </c>
      <c r="I201" s="79">
        <v>1</v>
      </c>
      <c r="J201" s="79">
        <v>480.55</v>
      </c>
      <c r="K201" s="79">
        <v>6889</v>
      </c>
      <c r="L201" s="79">
        <v>5407</v>
      </c>
      <c r="M201" s="79">
        <v>1853</v>
      </c>
      <c r="N201" s="79">
        <v>3378</v>
      </c>
      <c r="O201" s="79">
        <v>2079.5</v>
      </c>
      <c r="P201" s="79">
        <v>325.33333333333297</v>
      </c>
      <c r="Q201" s="79">
        <v>1521.3333333333301</v>
      </c>
      <c r="R201" s="79">
        <v>1960</v>
      </c>
      <c r="S201" s="79">
        <v>0</v>
      </c>
      <c r="T201" s="79">
        <v>1123</v>
      </c>
      <c r="U201" s="79">
        <v>13089</v>
      </c>
      <c r="V201" s="79">
        <v>27570</v>
      </c>
      <c r="W201" s="79">
        <v>7590</v>
      </c>
      <c r="X201" s="79">
        <v>716.76</v>
      </c>
      <c r="Y201" s="79">
        <v>1956.8</v>
      </c>
      <c r="Z201" s="79">
        <v>0</v>
      </c>
      <c r="AA201" s="79">
        <v>0</v>
      </c>
      <c r="AB201" s="79">
        <v>0</v>
      </c>
      <c r="AC201" s="79">
        <v>1816</v>
      </c>
      <c r="AD201" s="79">
        <v>2433.44</v>
      </c>
      <c r="AE201" s="79">
        <v>126</v>
      </c>
      <c r="AF201" s="79">
        <v>0</v>
      </c>
      <c r="AG201" s="79">
        <v>166</v>
      </c>
      <c r="AH201" s="79">
        <v>159.12</v>
      </c>
      <c r="AI201" s="79">
        <v>64.680000000000007</v>
      </c>
      <c r="AJ201" s="79">
        <v>12985</v>
      </c>
      <c r="AK201" s="79">
        <v>17659.599999999999</v>
      </c>
      <c r="AL201" s="79">
        <v>0</v>
      </c>
      <c r="AM201" s="79">
        <v>0</v>
      </c>
      <c r="AN201" s="79">
        <v>0</v>
      </c>
      <c r="AO201" s="79">
        <v>0</v>
      </c>
      <c r="AP201" s="79">
        <v>0</v>
      </c>
      <c r="AQ201" s="79">
        <v>0</v>
      </c>
      <c r="AR201" s="80">
        <v>5.8717E-5</v>
      </c>
      <c r="AS201" s="80">
        <v>3.5199100000000001E-4</v>
      </c>
      <c r="AT201" s="79">
        <v>18672.43</v>
      </c>
      <c r="AU201" s="79">
        <v>0</v>
      </c>
      <c r="AV201" s="79">
        <v>3374.12</v>
      </c>
      <c r="AW201" s="79">
        <v>129868.521936148</v>
      </c>
      <c r="AX201" s="79">
        <v>2</v>
      </c>
      <c r="AY201" s="79">
        <v>2.64</v>
      </c>
      <c r="AZ201" s="79">
        <v>3204</v>
      </c>
      <c r="BA201" s="79">
        <v>1</v>
      </c>
      <c r="BB201" s="79">
        <v>0</v>
      </c>
      <c r="BC201" s="79">
        <v>0</v>
      </c>
      <c r="BD201" s="79">
        <v>0</v>
      </c>
      <c r="BE201" s="79">
        <v>0</v>
      </c>
      <c r="BF201" s="79">
        <v>0</v>
      </c>
      <c r="BG201" s="79">
        <v>0</v>
      </c>
      <c r="BH201" s="79">
        <v>0</v>
      </c>
      <c r="BI201" s="79">
        <v>0</v>
      </c>
      <c r="BJ201" s="79">
        <v>0</v>
      </c>
      <c r="BK201" s="79">
        <v>0</v>
      </c>
      <c r="BL201" s="79">
        <v>4203</v>
      </c>
      <c r="BM201" s="79">
        <v>117</v>
      </c>
      <c r="BN201" s="79">
        <v>49</v>
      </c>
      <c r="BO201">
        <v>6999</v>
      </c>
      <c r="BP201">
        <v>2480</v>
      </c>
      <c r="BQ201">
        <v>6374</v>
      </c>
      <c r="BR201">
        <v>2457</v>
      </c>
      <c r="BS201">
        <v>6388</v>
      </c>
      <c r="BT201">
        <v>2425</v>
      </c>
      <c r="BU201">
        <v>6315</v>
      </c>
      <c r="BV201">
        <v>2519</v>
      </c>
      <c r="BW201">
        <v>6362</v>
      </c>
      <c r="BX201">
        <v>2539</v>
      </c>
      <c r="BY201">
        <v>6345</v>
      </c>
      <c r="BZ201">
        <v>2541</v>
      </c>
      <c r="CA201">
        <v>6120</v>
      </c>
      <c r="CB201">
        <v>663.47148136407804</v>
      </c>
      <c r="CC201">
        <v>75.591667129283394</v>
      </c>
      <c r="CD201">
        <v>54.612174365747201</v>
      </c>
      <c r="CE201">
        <v>9663.70033763426</v>
      </c>
      <c r="CF201">
        <v>2644.1936960242701</v>
      </c>
      <c r="CG201">
        <v>198.91791641429401</v>
      </c>
      <c r="CH201">
        <v>443</v>
      </c>
      <c r="CI201">
        <v>138.80544146504801</v>
      </c>
      <c r="CJ201">
        <v>113.52176797734801</v>
      </c>
      <c r="CK201" s="81">
        <v>1196</v>
      </c>
      <c r="CL201">
        <v>314</v>
      </c>
      <c r="CM201">
        <v>3631.8426236249602</v>
      </c>
      <c r="CN201">
        <v>0.14278336368554401</v>
      </c>
      <c r="CO201">
        <v>24038</v>
      </c>
      <c r="CP201">
        <v>2896</v>
      </c>
      <c r="CQ201">
        <v>658</v>
      </c>
      <c r="CR201">
        <v>675</v>
      </c>
      <c r="CS201">
        <v>655</v>
      </c>
      <c r="CT201">
        <v>368</v>
      </c>
      <c r="CU201">
        <v>296.73467708110701</v>
      </c>
      <c r="CV201">
        <v>209.459772057252</v>
      </c>
      <c r="CW201">
        <v>81.509957169068301</v>
      </c>
      <c r="CX201">
        <v>691.00443660862697</v>
      </c>
      <c r="CY201">
        <v>487.76783760608998</v>
      </c>
      <c r="CZ201">
        <v>189.81179613264499</v>
      </c>
      <c r="DA201">
        <v>20075</v>
      </c>
      <c r="DE201">
        <v>613</v>
      </c>
      <c r="DF201" t="s">
        <v>16</v>
      </c>
      <c r="DG201">
        <v>5316</v>
      </c>
      <c r="DH201">
        <v>5535</v>
      </c>
      <c r="DI201">
        <v>5660</v>
      </c>
      <c r="DJ201">
        <v>5700</v>
      </c>
      <c r="DK201">
        <v>5755</v>
      </c>
      <c r="DO201">
        <v>451</v>
      </c>
      <c r="DP201" t="s">
        <v>303</v>
      </c>
      <c r="DQ201">
        <v>12985</v>
      </c>
      <c r="DR201">
        <v>1.36</v>
      </c>
      <c r="DS201">
        <v>1438</v>
      </c>
      <c r="DV201">
        <v>1641</v>
      </c>
      <c r="DW201" t="s">
        <v>193</v>
      </c>
      <c r="DX201">
        <v>3127.6738588415801</v>
      </c>
      <c r="DY201">
        <v>618</v>
      </c>
      <c r="DZ201">
        <v>580</v>
      </c>
      <c r="EA201">
        <v>311</v>
      </c>
      <c r="EB201">
        <v>2097</v>
      </c>
      <c r="EC201">
        <v>1267</v>
      </c>
      <c r="ED201">
        <v>458</v>
      </c>
      <c r="EE201" s="82">
        <v>0.16431791251935901</v>
      </c>
      <c r="EF201" s="82">
        <v>0.42992500956889801</v>
      </c>
    </row>
    <row r="202" spans="1:136" x14ac:dyDescent="0.35">
      <c r="A202" s="72">
        <v>453</v>
      </c>
      <c r="B202" s="72">
        <v>7</v>
      </c>
      <c r="D202" s="72" t="s">
        <v>314</v>
      </c>
      <c r="E202" s="79">
        <v>5849200000</v>
      </c>
      <c r="F202" s="79">
        <v>1051050000</v>
      </c>
      <c r="G202" s="79">
        <v>1063650000</v>
      </c>
      <c r="H202" s="79">
        <v>67831</v>
      </c>
      <c r="I202" s="79">
        <v>1</v>
      </c>
      <c r="J202" s="79">
        <v>1063.6500000000001</v>
      </c>
      <c r="K202" s="79">
        <v>14859</v>
      </c>
      <c r="L202" s="79">
        <v>13478</v>
      </c>
      <c r="M202" s="79">
        <v>4162</v>
      </c>
      <c r="N202" s="79">
        <v>9245</v>
      </c>
      <c r="O202" s="79">
        <v>6151.9</v>
      </c>
      <c r="P202" s="79">
        <v>1330.3333333333301</v>
      </c>
      <c r="Q202" s="79">
        <v>4804.3333333333303</v>
      </c>
      <c r="R202" s="79">
        <v>3370</v>
      </c>
      <c r="S202" s="79">
        <v>0</v>
      </c>
      <c r="T202" s="79">
        <v>2460</v>
      </c>
      <c r="U202" s="79">
        <v>31376</v>
      </c>
      <c r="V202" s="79">
        <v>68250</v>
      </c>
      <c r="W202" s="79">
        <v>52090</v>
      </c>
      <c r="X202" s="79">
        <v>992.24</v>
      </c>
      <c r="Y202" s="79">
        <v>3212.8</v>
      </c>
      <c r="Z202" s="79">
        <v>0</v>
      </c>
      <c r="AA202" s="79">
        <v>0</v>
      </c>
      <c r="AB202" s="79">
        <v>80.199999999999804</v>
      </c>
      <c r="AC202" s="79">
        <v>4523</v>
      </c>
      <c r="AD202" s="79">
        <v>4658.6899999999996</v>
      </c>
      <c r="AE202" s="79">
        <v>841</v>
      </c>
      <c r="AF202" s="79">
        <v>953</v>
      </c>
      <c r="AG202" s="79">
        <v>394</v>
      </c>
      <c r="AH202" s="79">
        <v>333.3</v>
      </c>
      <c r="AI202" s="79">
        <v>66.56</v>
      </c>
      <c r="AJ202" s="79">
        <v>30931</v>
      </c>
      <c r="AK202" s="79">
        <v>31240.31</v>
      </c>
      <c r="AL202" s="79">
        <v>0</v>
      </c>
      <c r="AM202" s="79">
        <v>0</v>
      </c>
      <c r="AN202" s="79">
        <v>0</v>
      </c>
      <c r="AO202" s="79">
        <v>0</v>
      </c>
      <c r="AP202" s="79">
        <v>10063</v>
      </c>
      <c r="AQ202" s="79">
        <v>0</v>
      </c>
      <c r="AR202" s="80">
        <v>1.594151E-3</v>
      </c>
      <c r="AS202" s="80">
        <v>2.8038680000000002E-3</v>
      </c>
      <c r="AT202" s="79">
        <v>56170.696000000004</v>
      </c>
      <c r="AU202" s="79">
        <v>0</v>
      </c>
      <c r="AV202" s="79">
        <v>1895.2</v>
      </c>
      <c r="AW202" s="79">
        <v>27117.98401566</v>
      </c>
      <c r="AX202" s="79">
        <v>5</v>
      </c>
      <c r="AY202" s="79">
        <v>5.2</v>
      </c>
      <c r="AZ202" s="79">
        <v>6417</v>
      </c>
      <c r="BA202" s="79">
        <v>1</v>
      </c>
      <c r="BB202" s="79">
        <v>0</v>
      </c>
      <c r="BC202" s="79">
        <v>0</v>
      </c>
      <c r="BD202" s="79">
        <v>0</v>
      </c>
      <c r="BE202" s="79">
        <v>0</v>
      </c>
      <c r="BF202" s="79">
        <v>0</v>
      </c>
      <c r="BG202" s="79">
        <v>0</v>
      </c>
      <c r="BH202" s="79">
        <v>0</v>
      </c>
      <c r="BI202" s="79">
        <v>0</v>
      </c>
      <c r="BJ202" s="79">
        <v>0</v>
      </c>
      <c r="BK202" s="79">
        <v>3</v>
      </c>
      <c r="BL202" s="79">
        <v>10798</v>
      </c>
      <c r="BM202" s="79">
        <v>330</v>
      </c>
      <c r="BN202" s="79">
        <v>64</v>
      </c>
      <c r="BO202">
        <v>16716</v>
      </c>
      <c r="BP202">
        <v>3578</v>
      </c>
      <c r="BQ202">
        <v>14776</v>
      </c>
      <c r="BR202">
        <v>3553</v>
      </c>
      <c r="BS202">
        <v>14553</v>
      </c>
      <c r="BT202">
        <v>3537</v>
      </c>
      <c r="BU202">
        <v>14334</v>
      </c>
      <c r="BV202">
        <v>3705</v>
      </c>
      <c r="BW202">
        <v>14051</v>
      </c>
      <c r="BX202">
        <v>3824</v>
      </c>
      <c r="BY202">
        <v>13773</v>
      </c>
      <c r="BZ202">
        <v>3951</v>
      </c>
      <c r="CA202">
        <v>13056</v>
      </c>
      <c r="CB202">
        <v>1495.76443843417</v>
      </c>
      <c r="CC202">
        <v>218.510625556348</v>
      </c>
      <c r="CD202">
        <v>135.842884259269</v>
      </c>
      <c r="CE202">
        <v>20969.9105951116</v>
      </c>
      <c r="CF202">
        <v>5235.3071061809796</v>
      </c>
      <c r="CG202">
        <v>416.63665474553</v>
      </c>
      <c r="CH202">
        <v>908</v>
      </c>
      <c r="CI202">
        <v>431.27801506951698</v>
      </c>
      <c r="CJ202">
        <v>378.16938957453903</v>
      </c>
      <c r="CK202" s="81">
        <v>3474</v>
      </c>
      <c r="CL202">
        <v>823</v>
      </c>
      <c r="CM202">
        <v>9424.4541044953203</v>
      </c>
      <c r="CN202">
        <v>2.45178463098281</v>
      </c>
      <c r="CO202">
        <v>54353</v>
      </c>
      <c r="CP202">
        <v>7399</v>
      </c>
      <c r="CQ202">
        <v>1917</v>
      </c>
      <c r="CR202">
        <v>1815</v>
      </c>
      <c r="CS202">
        <v>1536</v>
      </c>
      <c r="CT202">
        <v>1032</v>
      </c>
      <c r="CU202">
        <v>958.82505303199105</v>
      </c>
      <c r="CV202">
        <v>586.11438110045196</v>
      </c>
      <c r="CW202">
        <v>272.47258300224598</v>
      </c>
      <c r="CX202">
        <v>2090.9793954383699</v>
      </c>
      <c r="CY202">
        <v>1278.1821776305501</v>
      </c>
      <c r="CZ202">
        <v>594.20074087338003</v>
      </c>
      <c r="DA202">
        <v>50550</v>
      </c>
      <c r="DE202">
        <v>614</v>
      </c>
      <c r="DF202" t="s">
        <v>342</v>
      </c>
      <c r="DG202">
        <v>2825</v>
      </c>
      <c r="DH202">
        <v>2733</v>
      </c>
      <c r="DI202">
        <v>2675</v>
      </c>
      <c r="DJ202">
        <v>2603</v>
      </c>
      <c r="DK202">
        <v>2589</v>
      </c>
      <c r="DO202">
        <v>453</v>
      </c>
      <c r="DP202" t="s">
        <v>314</v>
      </c>
      <c r="DQ202">
        <v>30931</v>
      </c>
      <c r="DR202">
        <v>1.01</v>
      </c>
      <c r="DS202">
        <v>1816</v>
      </c>
      <c r="DV202">
        <v>556</v>
      </c>
      <c r="DW202" t="s">
        <v>194</v>
      </c>
      <c r="DX202">
        <v>4556.8215892054004</v>
      </c>
      <c r="DY202">
        <v>962</v>
      </c>
      <c r="DZ202">
        <v>743</v>
      </c>
      <c r="EA202">
        <v>422</v>
      </c>
      <c r="EB202">
        <v>2816</v>
      </c>
      <c r="EC202">
        <v>1543</v>
      </c>
      <c r="ED202">
        <v>590</v>
      </c>
      <c r="EE202" s="82">
        <v>0.20171632054594399</v>
      </c>
      <c r="EF202" s="82">
        <v>0.46115767919659201</v>
      </c>
    </row>
    <row r="203" spans="1:136" x14ac:dyDescent="0.35">
      <c r="A203" s="72">
        <v>852</v>
      </c>
      <c r="B203" s="72">
        <v>7</v>
      </c>
      <c r="D203" s="72" t="s">
        <v>331</v>
      </c>
      <c r="E203" s="79">
        <v>1863200000</v>
      </c>
      <c r="F203" s="79">
        <v>103950000</v>
      </c>
      <c r="G203" s="79">
        <v>116550000</v>
      </c>
      <c r="H203" s="79">
        <v>17259</v>
      </c>
      <c r="I203" s="79">
        <v>4</v>
      </c>
      <c r="J203" s="79">
        <v>116.55</v>
      </c>
      <c r="K203" s="79">
        <v>3766</v>
      </c>
      <c r="L203" s="79">
        <v>4136</v>
      </c>
      <c r="M203" s="79">
        <v>1293</v>
      </c>
      <c r="N203" s="79">
        <v>1713</v>
      </c>
      <c r="O203" s="79">
        <v>984.7</v>
      </c>
      <c r="P203" s="79">
        <v>140</v>
      </c>
      <c r="Q203" s="79">
        <v>796</v>
      </c>
      <c r="R203" s="79">
        <v>410</v>
      </c>
      <c r="S203" s="79">
        <v>0</v>
      </c>
      <c r="T203" s="79">
        <v>463</v>
      </c>
      <c r="U203" s="79">
        <v>7589</v>
      </c>
      <c r="V203" s="79">
        <v>8980</v>
      </c>
      <c r="W203" s="79">
        <v>590</v>
      </c>
      <c r="X203" s="79">
        <v>0</v>
      </c>
      <c r="Y203" s="79">
        <v>258.39999999999998</v>
      </c>
      <c r="Z203" s="79">
        <v>0</v>
      </c>
      <c r="AA203" s="79">
        <v>0</v>
      </c>
      <c r="AB203" s="79">
        <v>140.4</v>
      </c>
      <c r="AC203" s="79">
        <v>5199</v>
      </c>
      <c r="AD203" s="79">
        <v>7434.57</v>
      </c>
      <c r="AE203" s="79">
        <v>410</v>
      </c>
      <c r="AF203" s="79">
        <v>5956</v>
      </c>
      <c r="AG203" s="79">
        <v>95</v>
      </c>
      <c r="AH203" s="79">
        <v>90.24</v>
      </c>
      <c r="AI203" s="79">
        <v>44.33</v>
      </c>
      <c r="AJ203" s="79">
        <v>7283</v>
      </c>
      <c r="AK203" s="79">
        <v>10269.030000000001</v>
      </c>
      <c r="AL203" s="79">
        <v>18</v>
      </c>
      <c r="AM203" s="79">
        <v>0</v>
      </c>
      <c r="AN203" s="79">
        <v>0</v>
      </c>
      <c r="AO203" s="79">
        <v>4600</v>
      </c>
      <c r="AP203" s="79">
        <v>568</v>
      </c>
      <c r="AQ203" s="79">
        <v>568</v>
      </c>
      <c r="AR203" s="80">
        <v>3.1241800000000002E-4</v>
      </c>
      <c r="AS203" s="80">
        <v>1.1174E-4</v>
      </c>
      <c r="AT203" s="79">
        <v>4821.3459999999995</v>
      </c>
      <c r="AU203" s="79">
        <v>0</v>
      </c>
      <c r="AV203" s="79">
        <v>4398.68</v>
      </c>
      <c r="AW203" s="79">
        <v>38844.4119022999</v>
      </c>
      <c r="AX203" s="79">
        <v>10</v>
      </c>
      <c r="AY203" s="79">
        <v>14.3</v>
      </c>
      <c r="AZ203" s="79">
        <v>2149</v>
      </c>
      <c r="BA203" s="79">
        <v>1</v>
      </c>
      <c r="BB203" s="79">
        <v>0</v>
      </c>
      <c r="BC203" s="79">
        <v>0</v>
      </c>
      <c r="BD203" s="79">
        <v>0</v>
      </c>
      <c r="BE203" s="79">
        <v>0</v>
      </c>
      <c r="BF203" s="79">
        <v>0</v>
      </c>
      <c r="BG203" s="79">
        <v>0</v>
      </c>
      <c r="BH203" s="79">
        <v>0</v>
      </c>
      <c r="BI203" s="79">
        <v>0</v>
      </c>
      <c r="BJ203" s="79">
        <v>0</v>
      </c>
      <c r="BK203" s="79">
        <v>5</v>
      </c>
      <c r="BL203" s="79">
        <v>2240</v>
      </c>
      <c r="BM203" s="79">
        <v>64</v>
      </c>
      <c r="BN203" s="79">
        <v>31</v>
      </c>
      <c r="BO203">
        <v>4040</v>
      </c>
      <c r="BP203">
        <v>166</v>
      </c>
      <c r="BQ203">
        <v>3594</v>
      </c>
      <c r="BR203">
        <v>158</v>
      </c>
      <c r="BS203">
        <v>3562</v>
      </c>
      <c r="BT203">
        <v>133</v>
      </c>
      <c r="BU203">
        <v>3502</v>
      </c>
      <c r="BV203">
        <v>182</v>
      </c>
      <c r="BW203">
        <v>3412</v>
      </c>
      <c r="BX203">
        <v>186</v>
      </c>
      <c r="BY203">
        <v>3388</v>
      </c>
      <c r="BZ203">
        <v>231</v>
      </c>
      <c r="CA203">
        <v>3375</v>
      </c>
      <c r="CB203">
        <v>208.53078250726199</v>
      </c>
      <c r="CC203">
        <v>20.7937334097054</v>
      </c>
      <c r="CD203">
        <v>10.873573878190401</v>
      </c>
      <c r="CE203">
        <v>6300.1490683538004</v>
      </c>
      <c r="CF203">
        <v>1682.4750665060701</v>
      </c>
      <c r="CG203">
        <v>92.252059685096995</v>
      </c>
      <c r="CH203">
        <v>183</v>
      </c>
      <c r="CI203">
        <v>38.5902087213992</v>
      </c>
      <c r="CJ203">
        <v>28.735197519266102</v>
      </c>
      <c r="CK203" s="81">
        <v>656</v>
      </c>
      <c r="CL203">
        <v>115</v>
      </c>
      <c r="CM203">
        <v>2287.5555755894602</v>
      </c>
      <c r="CN203">
        <v>7.9178080232690101E-2</v>
      </c>
      <c r="CO203">
        <v>13123</v>
      </c>
      <c r="CP203">
        <v>2413</v>
      </c>
      <c r="CQ203">
        <v>430</v>
      </c>
      <c r="CR203">
        <v>472</v>
      </c>
      <c r="CS203">
        <v>438</v>
      </c>
      <c r="CT203">
        <v>199</v>
      </c>
      <c r="CU203">
        <v>201.36919848667901</v>
      </c>
      <c r="CV203">
        <v>126.176939011465</v>
      </c>
      <c r="CW203">
        <v>40.300887272686602</v>
      </c>
      <c r="CX203">
        <v>457.76979684207799</v>
      </c>
      <c r="CY203">
        <v>286.83627968680901</v>
      </c>
      <c r="CZ203">
        <v>91.615446245090098</v>
      </c>
      <c r="DA203">
        <v>0</v>
      </c>
      <c r="DE203">
        <v>617</v>
      </c>
      <c r="DF203" t="s">
        <v>820</v>
      </c>
      <c r="DG203">
        <v>1918</v>
      </c>
      <c r="DH203">
        <v>1861</v>
      </c>
      <c r="DI203">
        <v>1816</v>
      </c>
      <c r="DJ203">
        <v>1767</v>
      </c>
      <c r="DK203">
        <v>1686</v>
      </c>
      <c r="DO203">
        <v>852</v>
      </c>
      <c r="DP203" t="s">
        <v>331</v>
      </c>
      <c r="DQ203">
        <v>7283</v>
      </c>
      <c r="DR203">
        <v>1.41</v>
      </c>
      <c r="DS203">
        <v>662</v>
      </c>
      <c r="DV203">
        <v>935</v>
      </c>
      <c r="DW203" t="s">
        <v>195</v>
      </c>
      <c r="DX203">
        <v>21012.823727925999</v>
      </c>
      <c r="DY203">
        <v>3796</v>
      </c>
      <c r="DZ203">
        <v>3106</v>
      </c>
      <c r="EA203">
        <v>1596</v>
      </c>
      <c r="EB203">
        <v>9249</v>
      </c>
      <c r="EC203">
        <v>5897</v>
      </c>
      <c r="ED203">
        <v>2186</v>
      </c>
      <c r="EE203" s="82">
        <v>0.22539176065667299</v>
      </c>
      <c r="EF203" s="82">
        <v>0.53000245735465801</v>
      </c>
    </row>
    <row r="204" spans="1:136" x14ac:dyDescent="0.35">
      <c r="A204" s="72">
        <v>457</v>
      </c>
      <c r="B204" s="72">
        <v>7</v>
      </c>
      <c r="D204" s="72" t="s">
        <v>333</v>
      </c>
      <c r="E204" s="79">
        <v>1784800000</v>
      </c>
      <c r="F204" s="79">
        <v>306600000</v>
      </c>
      <c r="G204" s="79">
        <v>313600000</v>
      </c>
      <c r="H204" s="79">
        <v>19147</v>
      </c>
      <c r="I204" s="79">
        <v>1</v>
      </c>
      <c r="J204" s="79">
        <v>313.60000000000002</v>
      </c>
      <c r="K204" s="79">
        <v>4147</v>
      </c>
      <c r="L204" s="79">
        <v>3793</v>
      </c>
      <c r="M204" s="79">
        <v>1208</v>
      </c>
      <c r="N204" s="79">
        <v>2894</v>
      </c>
      <c r="O204" s="79">
        <v>1992.9</v>
      </c>
      <c r="P204" s="79">
        <v>406</v>
      </c>
      <c r="Q204" s="79">
        <v>1204</v>
      </c>
      <c r="R204" s="79">
        <v>2025</v>
      </c>
      <c r="S204" s="79">
        <v>0</v>
      </c>
      <c r="T204" s="79">
        <v>632</v>
      </c>
      <c r="U204" s="79">
        <v>9190</v>
      </c>
      <c r="V204" s="79">
        <v>14750</v>
      </c>
      <c r="W204" s="79">
        <v>2200</v>
      </c>
      <c r="X204" s="79">
        <v>0</v>
      </c>
      <c r="Y204" s="79">
        <v>1272</v>
      </c>
      <c r="Z204" s="79">
        <v>0</v>
      </c>
      <c r="AA204" s="79">
        <v>0</v>
      </c>
      <c r="AB204" s="79">
        <v>142.4</v>
      </c>
      <c r="AC204" s="79">
        <v>2277</v>
      </c>
      <c r="AD204" s="79">
        <v>2573.0100000000002</v>
      </c>
      <c r="AE204" s="79">
        <v>139</v>
      </c>
      <c r="AF204" s="79">
        <v>0</v>
      </c>
      <c r="AG204" s="79">
        <v>103</v>
      </c>
      <c r="AH204" s="79">
        <v>102.46</v>
      </c>
      <c r="AI204" s="79">
        <v>10.35</v>
      </c>
      <c r="AJ204" s="79">
        <v>9011</v>
      </c>
      <c r="AK204" s="79">
        <v>9821.99</v>
      </c>
      <c r="AL204" s="79">
        <v>19</v>
      </c>
      <c r="AM204" s="79">
        <v>0</v>
      </c>
      <c r="AN204" s="79">
        <v>0</v>
      </c>
      <c r="AO204" s="79">
        <v>4000</v>
      </c>
      <c r="AP204" s="79">
        <v>1741</v>
      </c>
      <c r="AQ204" s="79">
        <v>1741</v>
      </c>
      <c r="AR204" s="80">
        <v>6.0477700000000003E-4</v>
      </c>
      <c r="AS204" s="80">
        <v>9.11763E-4</v>
      </c>
      <c r="AT204" s="79">
        <v>15760.239</v>
      </c>
      <c r="AU204" s="79">
        <v>0</v>
      </c>
      <c r="AV204" s="79">
        <v>1127.74</v>
      </c>
      <c r="AW204" s="79">
        <v>10943.4298096027</v>
      </c>
      <c r="AX204" s="79">
        <v>4</v>
      </c>
      <c r="AY204" s="79">
        <v>4.5999999999999996</v>
      </c>
      <c r="AZ204" s="79">
        <v>2474</v>
      </c>
      <c r="BA204" s="79">
        <v>1</v>
      </c>
      <c r="BB204" s="79">
        <v>0</v>
      </c>
      <c r="BC204" s="79">
        <v>0</v>
      </c>
      <c r="BD204" s="79">
        <v>0</v>
      </c>
      <c r="BE204" s="79">
        <v>0</v>
      </c>
      <c r="BF204" s="79">
        <v>0</v>
      </c>
      <c r="BG204" s="79">
        <v>0</v>
      </c>
      <c r="BH204" s="79">
        <v>0</v>
      </c>
      <c r="BI204" s="79">
        <v>0</v>
      </c>
      <c r="BJ204" s="79">
        <v>0</v>
      </c>
      <c r="BK204" s="79">
        <v>6</v>
      </c>
      <c r="BL204" s="79">
        <v>3488</v>
      </c>
      <c r="BM204" s="79">
        <v>94</v>
      </c>
      <c r="BN204" s="79">
        <v>9</v>
      </c>
      <c r="BO204">
        <v>3803</v>
      </c>
      <c r="BP204">
        <v>1316</v>
      </c>
      <c r="BQ204">
        <v>3314</v>
      </c>
      <c r="BR204">
        <v>1333</v>
      </c>
      <c r="BS204">
        <v>3351</v>
      </c>
      <c r="BT204">
        <v>1390</v>
      </c>
      <c r="BU204">
        <v>3454</v>
      </c>
      <c r="BV204">
        <v>1407</v>
      </c>
      <c r="BW204">
        <v>3485</v>
      </c>
      <c r="BX204">
        <v>1388</v>
      </c>
      <c r="BY204">
        <v>3534</v>
      </c>
      <c r="BZ204">
        <v>1386</v>
      </c>
      <c r="CA204">
        <v>3783</v>
      </c>
      <c r="CB204">
        <v>498.87304739067298</v>
      </c>
      <c r="CC204">
        <v>29.832456451613002</v>
      </c>
      <c r="CD204">
        <v>49.294526825498103</v>
      </c>
      <c r="CE204">
        <v>6367.0639300122302</v>
      </c>
      <c r="CF204">
        <v>1558.2768613831699</v>
      </c>
      <c r="CG204">
        <v>97.105984681154297</v>
      </c>
      <c r="CH204">
        <v>225</v>
      </c>
      <c r="CI204">
        <v>135.25289260416801</v>
      </c>
      <c r="CJ204">
        <v>107.13616852862199</v>
      </c>
      <c r="CK204" s="81">
        <v>798</v>
      </c>
      <c r="CL204">
        <v>180</v>
      </c>
      <c r="CM204">
        <v>2549.9366745638599</v>
      </c>
      <c r="CN204">
        <v>0.81096732091992296</v>
      </c>
      <c r="CO204">
        <v>15354</v>
      </c>
      <c r="CP204">
        <v>2072</v>
      </c>
      <c r="CQ204">
        <v>513</v>
      </c>
      <c r="CR204">
        <v>572</v>
      </c>
      <c r="CS204">
        <v>399</v>
      </c>
      <c r="CT204">
        <v>233</v>
      </c>
      <c r="CU204">
        <v>302.179919172778</v>
      </c>
      <c r="CV204">
        <v>182.72372857739001</v>
      </c>
      <c r="CW204">
        <v>73.443435699386797</v>
      </c>
      <c r="CX204">
        <v>537.516315373304</v>
      </c>
      <c r="CY204">
        <v>325.02816727551101</v>
      </c>
      <c r="CZ204">
        <v>130.64086142308699</v>
      </c>
      <c r="DA204">
        <v>31552.2</v>
      </c>
      <c r="DE204">
        <v>620</v>
      </c>
      <c r="DF204" t="s">
        <v>810</v>
      </c>
      <c r="DG204">
        <v>4463</v>
      </c>
      <c r="DH204">
        <v>4397</v>
      </c>
      <c r="DI204">
        <v>4342</v>
      </c>
      <c r="DJ204">
        <v>4312</v>
      </c>
      <c r="DK204">
        <v>4256</v>
      </c>
      <c r="DO204">
        <v>457</v>
      </c>
      <c r="DP204" t="s">
        <v>333</v>
      </c>
      <c r="DQ204">
        <v>9011</v>
      </c>
      <c r="DR204">
        <v>1.0900000000000001</v>
      </c>
      <c r="DS204">
        <v>1749</v>
      </c>
      <c r="DV204">
        <v>25</v>
      </c>
      <c r="DW204" t="s">
        <v>800</v>
      </c>
      <c r="DX204">
        <v>1350.30912520632</v>
      </c>
      <c r="DY204">
        <v>205</v>
      </c>
      <c r="DZ204">
        <v>176</v>
      </c>
      <c r="EA204">
        <v>70</v>
      </c>
      <c r="EB204">
        <v>705</v>
      </c>
      <c r="EC204">
        <v>410</v>
      </c>
      <c r="ED204">
        <v>111</v>
      </c>
      <c r="EE204" s="82">
        <v>0.205984392750129</v>
      </c>
      <c r="EF204" s="82">
        <v>0.49876271685266299</v>
      </c>
    </row>
    <row r="205" spans="1:136" x14ac:dyDescent="0.35">
      <c r="A205" s="72">
        <v>1696</v>
      </c>
      <c r="B205" s="72">
        <v>7</v>
      </c>
      <c r="D205" s="72" t="s">
        <v>345</v>
      </c>
      <c r="E205" s="79">
        <v>2980400000</v>
      </c>
      <c r="F205" s="79">
        <v>278950000</v>
      </c>
      <c r="G205" s="79">
        <v>300650000</v>
      </c>
      <c r="H205" s="79">
        <v>23659</v>
      </c>
      <c r="I205" s="79">
        <v>4</v>
      </c>
      <c r="J205" s="79">
        <v>300.64999999999998</v>
      </c>
      <c r="K205" s="79">
        <v>5160</v>
      </c>
      <c r="L205" s="79">
        <v>5620</v>
      </c>
      <c r="M205" s="79">
        <v>1741</v>
      </c>
      <c r="N205" s="79">
        <v>2544</v>
      </c>
      <c r="O205" s="79">
        <v>1371.7</v>
      </c>
      <c r="P205" s="79">
        <v>234</v>
      </c>
      <c r="Q205" s="79">
        <v>1005</v>
      </c>
      <c r="R205" s="79">
        <v>530</v>
      </c>
      <c r="S205" s="79">
        <v>0</v>
      </c>
      <c r="T205" s="79">
        <v>666</v>
      </c>
      <c r="U205" s="79">
        <v>10572</v>
      </c>
      <c r="V205" s="79">
        <v>13350</v>
      </c>
      <c r="W205" s="79">
        <v>890</v>
      </c>
      <c r="X205" s="79">
        <v>0</v>
      </c>
      <c r="Y205" s="79">
        <v>0</v>
      </c>
      <c r="Z205" s="79">
        <v>0</v>
      </c>
      <c r="AA205" s="79">
        <v>0</v>
      </c>
      <c r="AB205" s="79">
        <v>0</v>
      </c>
      <c r="AC205" s="79">
        <v>4763</v>
      </c>
      <c r="AD205" s="79">
        <v>4810.63</v>
      </c>
      <c r="AE205" s="79">
        <v>2873</v>
      </c>
      <c r="AF205" s="79">
        <v>0</v>
      </c>
      <c r="AG205" s="79">
        <v>156</v>
      </c>
      <c r="AH205" s="79">
        <v>139.74</v>
      </c>
      <c r="AI205" s="79">
        <v>19.190000000000001</v>
      </c>
      <c r="AJ205" s="79">
        <v>11723</v>
      </c>
      <c r="AK205" s="79">
        <v>11957.46</v>
      </c>
      <c r="AL205" s="79">
        <v>0</v>
      </c>
      <c r="AM205" s="79">
        <v>0</v>
      </c>
      <c r="AN205" s="79">
        <v>0</v>
      </c>
      <c r="AO205" s="79">
        <v>0</v>
      </c>
      <c r="AP205" s="79">
        <v>0</v>
      </c>
      <c r="AQ205" s="79">
        <v>0</v>
      </c>
      <c r="AR205" s="80">
        <v>2.7410100000000001E-4</v>
      </c>
      <c r="AS205" s="80">
        <v>1.14014E-4</v>
      </c>
      <c r="AT205" s="79">
        <v>6740.7250000000004</v>
      </c>
      <c r="AU205" s="79">
        <v>0</v>
      </c>
      <c r="AV205" s="79">
        <v>7884.06</v>
      </c>
      <c r="AW205" s="79">
        <v>27037.4407543216</v>
      </c>
      <c r="AX205" s="79">
        <v>15</v>
      </c>
      <c r="AY205" s="79">
        <v>15.15</v>
      </c>
      <c r="AZ205" s="79">
        <v>3732</v>
      </c>
      <c r="BA205" s="79">
        <v>1</v>
      </c>
      <c r="BB205" s="79">
        <v>0</v>
      </c>
      <c r="BC205" s="79">
        <v>0</v>
      </c>
      <c r="BD205" s="79">
        <v>0</v>
      </c>
      <c r="BE205" s="79">
        <v>0</v>
      </c>
      <c r="BF205" s="79">
        <v>0</v>
      </c>
      <c r="BG205" s="79">
        <v>0</v>
      </c>
      <c r="BH205" s="79">
        <v>0</v>
      </c>
      <c r="BI205" s="79">
        <v>0</v>
      </c>
      <c r="BJ205" s="79">
        <v>0</v>
      </c>
      <c r="BK205" s="79">
        <v>1</v>
      </c>
      <c r="BL205" s="79">
        <v>3239</v>
      </c>
      <c r="BM205" s="79">
        <v>137</v>
      </c>
      <c r="BN205" s="79">
        <v>19</v>
      </c>
      <c r="BO205">
        <v>5593</v>
      </c>
      <c r="BP205">
        <v>0</v>
      </c>
      <c r="BQ205">
        <v>5009</v>
      </c>
      <c r="BR205">
        <v>0</v>
      </c>
      <c r="BS205">
        <v>4979</v>
      </c>
      <c r="BT205">
        <v>0</v>
      </c>
      <c r="BU205">
        <v>4934</v>
      </c>
      <c r="BV205">
        <v>0</v>
      </c>
      <c r="BW205">
        <v>4828</v>
      </c>
      <c r="BX205">
        <v>0</v>
      </c>
      <c r="BY205">
        <v>4757</v>
      </c>
      <c r="BZ205">
        <v>0</v>
      </c>
      <c r="CA205">
        <v>4567</v>
      </c>
      <c r="CB205">
        <v>353.83606564641798</v>
      </c>
      <c r="CC205">
        <v>39.866448356740499</v>
      </c>
      <c r="CD205">
        <v>24.8744800500282</v>
      </c>
      <c r="CE205">
        <v>8985.5192224174007</v>
      </c>
      <c r="CF205">
        <v>2222.21146509337</v>
      </c>
      <c r="CG205">
        <v>110.999919275124</v>
      </c>
      <c r="CH205">
        <v>241</v>
      </c>
      <c r="CI205">
        <v>66.650846397487996</v>
      </c>
      <c r="CJ205">
        <v>63.501238962328799</v>
      </c>
      <c r="CK205" s="81">
        <v>771</v>
      </c>
      <c r="CL205">
        <v>146</v>
      </c>
      <c r="CM205">
        <v>3253.8113426423201</v>
      </c>
      <c r="CN205">
        <v>0.107265001291959</v>
      </c>
      <c r="CO205">
        <v>18039</v>
      </c>
      <c r="CP205">
        <v>3215</v>
      </c>
      <c r="CQ205">
        <v>664</v>
      </c>
      <c r="CR205">
        <v>690</v>
      </c>
      <c r="CS205">
        <v>556</v>
      </c>
      <c r="CT205">
        <v>345</v>
      </c>
      <c r="CU205">
        <v>234.777804140429</v>
      </c>
      <c r="CV205">
        <v>143.41683501552799</v>
      </c>
      <c r="CW205">
        <v>57.202962742735203</v>
      </c>
      <c r="CX205">
        <v>588.43491361806502</v>
      </c>
      <c r="CY205">
        <v>359.45251823405499</v>
      </c>
      <c r="CZ205">
        <v>143.37053949139701</v>
      </c>
      <c r="DA205">
        <v>19845</v>
      </c>
      <c r="DE205">
        <v>622</v>
      </c>
      <c r="DF205" t="s">
        <v>318</v>
      </c>
      <c r="DG205">
        <v>13651</v>
      </c>
      <c r="DH205">
        <v>13531</v>
      </c>
      <c r="DI205">
        <v>13577</v>
      </c>
      <c r="DJ205">
        <v>13534</v>
      </c>
      <c r="DK205">
        <v>13505</v>
      </c>
      <c r="DO205">
        <v>1696</v>
      </c>
      <c r="DP205" t="s">
        <v>345</v>
      </c>
      <c r="DQ205">
        <v>11723</v>
      </c>
      <c r="DR205">
        <v>1.02</v>
      </c>
      <c r="DS205">
        <v>575</v>
      </c>
      <c r="DV205">
        <v>420</v>
      </c>
      <c r="DW205" t="s">
        <v>196</v>
      </c>
      <c r="DX205">
        <v>5464.0164361269299</v>
      </c>
      <c r="DY205">
        <v>1042</v>
      </c>
      <c r="DZ205">
        <v>831</v>
      </c>
      <c r="EA205">
        <v>377</v>
      </c>
      <c r="EB205">
        <v>3512</v>
      </c>
      <c r="EC205">
        <v>1777</v>
      </c>
      <c r="ED205">
        <v>521</v>
      </c>
      <c r="EE205" s="82">
        <v>0.17751619869607099</v>
      </c>
      <c r="EF205" s="82">
        <v>0.45714514872359002</v>
      </c>
    </row>
    <row r="206" spans="1:136" x14ac:dyDescent="0.35">
      <c r="A206" s="72">
        <v>880</v>
      </c>
      <c r="B206" s="72">
        <v>7</v>
      </c>
      <c r="D206" s="72" t="s">
        <v>350</v>
      </c>
      <c r="E206" s="79">
        <v>1305200000</v>
      </c>
      <c r="F206" s="79">
        <v>171500000</v>
      </c>
      <c r="G206" s="79">
        <v>183400000</v>
      </c>
      <c r="H206" s="79">
        <v>15995</v>
      </c>
      <c r="I206" s="79">
        <v>2</v>
      </c>
      <c r="J206" s="79">
        <v>183.4</v>
      </c>
      <c r="K206" s="79">
        <v>3407</v>
      </c>
      <c r="L206" s="79">
        <v>3624</v>
      </c>
      <c r="M206" s="79">
        <v>1260</v>
      </c>
      <c r="N206" s="79">
        <v>1944</v>
      </c>
      <c r="O206" s="79">
        <v>1250.5</v>
      </c>
      <c r="P206" s="79">
        <v>212.333333333333</v>
      </c>
      <c r="Q206" s="79">
        <v>915.33333333333303</v>
      </c>
      <c r="R206" s="79">
        <v>640</v>
      </c>
      <c r="S206" s="79">
        <v>0</v>
      </c>
      <c r="T206" s="79">
        <v>535</v>
      </c>
      <c r="U206" s="79">
        <v>7100</v>
      </c>
      <c r="V206" s="79">
        <v>9360</v>
      </c>
      <c r="W206" s="79">
        <v>1080</v>
      </c>
      <c r="X206" s="79">
        <v>0</v>
      </c>
      <c r="Y206" s="79">
        <v>0</v>
      </c>
      <c r="Z206" s="79">
        <v>0</v>
      </c>
      <c r="AA206" s="79">
        <v>0</v>
      </c>
      <c r="AB206" s="79">
        <v>0</v>
      </c>
      <c r="AC206" s="79">
        <v>3838</v>
      </c>
      <c r="AD206" s="79">
        <v>4490.46</v>
      </c>
      <c r="AE206" s="79">
        <v>679</v>
      </c>
      <c r="AF206" s="79">
        <v>0</v>
      </c>
      <c r="AG206" s="79">
        <v>93</v>
      </c>
      <c r="AH206" s="79">
        <v>83.08</v>
      </c>
      <c r="AI206" s="79">
        <v>29.9</v>
      </c>
      <c r="AJ206" s="79">
        <v>6935</v>
      </c>
      <c r="AK206" s="79">
        <v>8599.4</v>
      </c>
      <c r="AL206" s="79">
        <v>0</v>
      </c>
      <c r="AM206" s="79">
        <v>0</v>
      </c>
      <c r="AN206" s="79">
        <v>0</v>
      </c>
      <c r="AO206" s="79">
        <v>0</v>
      </c>
      <c r="AP206" s="79">
        <v>886</v>
      </c>
      <c r="AQ206" s="79">
        <v>0</v>
      </c>
      <c r="AR206" s="80">
        <v>1.80609E-4</v>
      </c>
      <c r="AS206" s="80">
        <v>1.9239600000000001E-4</v>
      </c>
      <c r="AT206" s="79">
        <v>9813.0249999999996</v>
      </c>
      <c r="AU206" s="79">
        <v>0</v>
      </c>
      <c r="AV206" s="79">
        <v>7010.64</v>
      </c>
      <c r="AW206" s="79">
        <v>50603.194177551501</v>
      </c>
      <c r="AX206" s="79">
        <v>7</v>
      </c>
      <c r="AY206" s="79">
        <v>8.0500000000000007</v>
      </c>
      <c r="AZ206" s="79">
        <v>1612</v>
      </c>
      <c r="BA206" s="79">
        <v>1</v>
      </c>
      <c r="BB206" s="79">
        <v>0</v>
      </c>
      <c r="BC206" s="79">
        <v>0</v>
      </c>
      <c r="BD206" s="79">
        <v>0</v>
      </c>
      <c r="BE206" s="79">
        <v>0</v>
      </c>
      <c r="BF206" s="79">
        <v>0</v>
      </c>
      <c r="BG206" s="79">
        <v>0</v>
      </c>
      <c r="BH206" s="79">
        <v>0</v>
      </c>
      <c r="BI206" s="79">
        <v>0</v>
      </c>
      <c r="BJ206" s="79">
        <v>0</v>
      </c>
      <c r="BK206" s="79">
        <v>0</v>
      </c>
      <c r="BL206" s="79">
        <v>2182</v>
      </c>
      <c r="BM206" s="79">
        <v>67</v>
      </c>
      <c r="BN206" s="79">
        <v>26</v>
      </c>
      <c r="BO206">
        <v>3962</v>
      </c>
      <c r="BP206">
        <v>0</v>
      </c>
      <c r="BQ206">
        <v>3569</v>
      </c>
      <c r="BR206">
        <v>0</v>
      </c>
      <c r="BS206">
        <v>3509</v>
      </c>
      <c r="BT206">
        <v>0</v>
      </c>
      <c r="BU206">
        <v>3428</v>
      </c>
      <c r="BV206">
        <v>0</v>
      </c>
      <c r="BW206">
        <v>3350</v>
      </c>
      <c r="BX206">
        <v>0</v>
      </c>
      <c r="BY206">
        <v>3234</v>
      </c>
      <c r="BZ206">
        <v>0</v>
      </c>
      <c r="CA206">
        <v>2996</v>
      </c>
      <c r="CB206">
        <v>275.80076867570301</v>
      </c>
      <c r="CC206">
        <v>54.225448291148297</v>
      </c>
      <c r="CD206">
        <v>57.141376011540203</v>
      </c>
      <c r="CE206">
        <v>5086.2476077735801</v>
      </c>
      <c r="CF206">
        <v>1211.50543418033</v>
      </c>
      <c r="CG206">
        <v>106.511319792911</v>
      </c>
      <c r="CH206">
        <v>187</v>
      </c>
      <c r="CI206">
        <v>78.952046885704206</v>
      </c>
      <c r="CJ206">
        <v>71.305860510771396</v>
      </c>
      <c r="CK206" s="81">
        <v>703</v>
      </c>
      <c r="CL206">
        <v>155</v>
      </c>
      <c r="CM206">
        <v>2246.8155260469898</v>
      </c>
      <c r="CN206">
        <v>0.20036505948606501</v>
      </c>
      <c r="CO206">
        <v>12371</v>
      </c>
      <c r="CP206">
        <v>1996</v>
      </c>
      <c r="CQ206">
        <v>368</v>
      </c>
      <c r="CR206">
        <v>410</v>
      </c>
      <c r="CS206">
        <v>415</v>
      </c>
      <c r="CT206">
        <v>185</v>
      </c>
      <c r="CU206">
        <v>221.854293718701</v>
      </c>
      <c r="CV206">
        <v>161.43056331564</v>
      </c>
      <c r="CW206">
        <v>48.158614977961797</v>
      </c>
      <c r="CX206">
        <v>492.69367152945199</v>
      </c>
      <c r="CY206">
        <v>358.50474473077998</v>
      </c>
      <c r="CZ206">
        <v>106.950577478345</v>
      </c>
      <c r="DA206">
        <v>0</v>
      </c>
      <c r="DE206">
        <v>626</v>
      </c>
      <c r="DF206" t="s">
        <v>322</v>
      </c>
      <c r="DG206">
        <v>5114</v>
      </c>
      <c r="DH206">
        <v>5238</v>
      </c>
      <c r="DI206">
        <v>5368</v>
      </c>
      <c r="DJ206">
        <v>5428</v>
      </c>
      <c r="DK206">
        <v>5447</v>
      </c>
      <c r="DO206">
        <v>880</v>
      </c>
      <c r="DP206" t="s">
        <v>350</v>
      </c>
      <c r="DQ206">
        <v>6935</v>
      </c>
      <c r="DR206">
        <v>1.24</v>
      </c>
      <c r="DS206">
        <v>1415</v>
      </c>
      <c r="DV206">
        <v>938</v>
      </c>
      <c r="DW206" t="s">
        <v>197</v>
      </c>
      <c r="DX206">
        <v>2325.5663988657798</v>
      </c>
      <c r="DY206">
        <v>507</v>
      </c>
      <c r="DZ206">
        <v>497</v>
      </c>
      <c r="EA206">
        <v>233</v>
      </c>
      <c r="EB206">
        <v>1653</v>
      </c>
      <c r="EC206">
        <v>1107</v>
      </c>
      <c r="ED206">
        <v>357</v>
      </c>
      <c r="EE206" s="82">
        <v>0.16801502810485</v>
      </c>
      <c r="EF206" s="82">
        <v>0.38653349623005401</v>
      </c>
    </row>
    <row r="207" spans="1:136" x14ac:dyDescent="0.35">
      <c r="A207" s="72">
        <v>479</v>
      </c>
      <c r="B207" s="72">
        <v>7</v>
      </c>
      <c r="D207" s="72" t="s">
        <v>352</v>
      </c>
      <c r="E207" s="79">
        <v>11083600000</v>
      </c>
      <c r="F207" s="79">
        <v>2084250000</v>
      </c>
      <c r="G207" s="79">
        <v>2123100000</v>
      </c>
      <c r="H207" s="79">
        <v>154865</v>
      </c>
      <c r="I207" s="79">
        <v>3</v>
      </c>
      <c r="J207" s="79">
        <v>2123.1</v>
      </c>
      <c r="K207" s="79">
        <v>35226</v>
      </c>
      <c r="L207" s="79">
        <v>27780</v>
      </c>
      <c r="M207" s="79">
        <v>8634</v>
      </c>
      <c r="N207" s="79">
        <v>22226</v>
      </c>
      <c r="O207" s="79">
        <v>15392.1</v>
      </c>
      <c r="P207" s="79">
        <v>4151.6666666666697</v>
      </c>
      <c r="Q207" s="79">
        <v>13640.666666666701</v>
      </c>
      <c r="R207" s="79">
        <v>24680</v>
      </c>
      <c r="S207" s="79">
        <v>0</v>
      </c>
      <c r="T207" s="79">
        <v>6834</v>
      </c>
      <c r="U207" s="79">
        <v>70947</v>
      </c>
      <c r="V207" s="79">
        <v>166820</v>
      </c>
      <c r="W207" s="79">
        <v>176180</v>
      </c>
      <c r="X207" s="79">
        <v>2504.7199999999998</v>
      </c>
      <c r="Y207" s="79">
        <v>7643.2</v>
      </c>
      <c r="Z207" s="79">
        <v>0</v>
      </c>
      <c r="AA207" s="79">
        <v>0</v>
      </c>
      <c r="AB207" s="79">
        <v>463.599999999999</v>
      </c>
      <c r="AC207" s="79">
        <v>7365</v>
      </c>
      <c r="AD207" s="79">
        <v>9427.2000000000007</v>
      </c>
      <c r="AE207" s="79">
        <v>959</v>
      </c>
      <c r="AF207" s="79">
        <v>0</v>
      </c>
      <c r="AG207" s="79">
        <v>699</v>
      </c>
      <c r="AH207" s="79">
        <v>847.44</v>
      </c>
      <c r="AI207" s="79">
        <v>70.680000000000007</v>
      </c>
      <c r="AJ207" s="79">
        <v>68339</v>
      </c>
      <c r="AK207" s="79">
        <v>90207.48</v>
      </c>
      <c r="AL207" s="79">
        <v>12</v>
      </c>
      <c r="AM207" s="79">
        <v>0</v>
      </c>
      <c r="AN207" s="79">
        <v>0</v>
      </c>
      <c r="AO207" s="79">
        <v>10200</v>
      </c>
      <c r="AP207" s="79">
        <v>15821</v>
      </c>
      <c r="AQ207" s="79">
        <v>8346</v>
      </c>
      <c r="AR207" s="80">
        <v>6.0473640000000004E-3</v>
      </c>
      <c r="AS207" s="80">
        <v>9.5495489999999992E-3</v>
      </c>
      <c r="AT207" s="79">
        <v>138113.11900000001</v>
      </c>
      <c r="AU207" s="79">
        <v>0</v>
      </c>
      <c r="AV207" s="79">
        <v>10449.92</v>
      </c>
      <c r="AW207" s="79">
        <v>465086.162421913</v>
      </c>
      <c r="AX207" s="79">
        <v>7</v>
      </c>
      <c r="AY207" s="79">
        <v>8.68</v>
      </c>
      <c r="AZ207" s="79">
        <v>14855</v>
      </c>
      <c r="BA207" s="79">
        <v>1</v>
      </c>
      <c r="BB207" s="79">
        <v>0</v>
      </c>
      <c r="BC207" s="79">
        <v>0</v>
      </c>
      <c r="BD207" s="79">
        <v>0</v>
      </c>
      <c r="BE207" s="79">
        <v>0</v>
      </c>
      <c r="BF207" s="79">
        <v>0</v>
      </c>
      <c r="BG207" s="79">
        <v>0</v>
      </c>
      <c r="BH207" s="79">
        <v>0</v>
      </c>
      <c r="BI207" s="79">
        <v>0</v>
      </c>
      <c r="BJ207" s="79">
        <v>0</v>
      </c>
      <c r="BK207" s="79">
        <v>31</v>
      </c>
      <c r="BL207" s="79">
        <v>24967</v>
      </c>
      <c r="BM207" s="79">
        <v>642</v>
      </c>
      <c r="BN207" s="79">
        <v>57</v>
      </c>
      <c r="BO207">
        <v>34106</v>
      </c>
      <c r="BP207">
        <v>8264</v>
      </c>
      <c r="BQ207">
        <v>30977</v>
      </c>
      <c r="BR207">
        <v>8340</v>
      </c>
      <c r="BS207">
        <v>31113</v>
      </c>
      <c r="BT207">
        <v>8411</v>
      </c>
      <c r="BU207">
        <v>31293</v>
      </c>
      <c r="BV207">
        <v>8641</v>
      </c>
      <c r="BW207">
        <v>31415</v>
      </c>
      <c r="BX207">
        <v>8927</v>
      </c>
      <c r="BY207">
        <v>31374</v>
      </c>
      <c r="BZ207">
        <v>9243</v>
      </c>
      <c r="CA207">
        <v>31555</v>
      </c>
      <c r="CB207">
        <v>4699.84942009109</v>
      </c>
      <c r="CC207">
        <v>600.72136510216001</v>
      </c>
      <c r="CD207">
        <v>565.83703593727603</v>
      </c>
      <c r="CE207">
        <v>43672.629051540003</v>
      </c>
      <c r="CF207">
        <v>11216.830340295301</v>
      </c>
      <c r="CG207">
        <v>1108.9269022457099</v>
      </c>
      <c r="CH207">
        <v>2624</v>
      </c>
      <c r="CI207">
        <v>1474.9143576104</v>
      </c>
      <c r="CJ207">
        <v>1416.5388110423401</v>
      </c>
      <c r="CK207" s="81">
        <v>9489</v>
      </c>
      <c r="CL207">
        <v>2132</v>
      </c>
      <c r="CM207">
        <v>20783.028046908799</v>
      </c>
      <c r="CN207">
        <v>9.13339142537939</v>
      </c>
      <c r="CO207">
        <v>127085</v>
      </c>
      <c r="CP207">
        <v>16237</v>
      </c>
      <c r="CQ207">
        <v>2909</v>
      </c>
      <c r="CR207">
        <v>3928</v>
      </c>
      <c r="CS207">
        <v>3122</v>
      </c>
      <c r="CT207">
        <v>1601</v>
      </c>
      <c r="CU207">
        <v>2342.3654470320798</v>
      </c>
      <c r="CV207">
        <v>1404.7435858787601</v>
      </c>
      <c r="CW207">
        <v>486.491285152817</v>
      </c>
      <c r="CX207">
        <v>5142.2469373447902</v>
      </c>
      <c r="CY207">
        <v>3083.8648219441802</v>
      </c>
      <c r="CZ207">
        <v>1068.0051331408399</v>
      </c>
      <c r="DA207">
        <v>79342.5</v>
      </c>
      <c r="DE207">
        <v>627</v>
      </c>
      <c r="DF207" t="s">
        <v>328</v>
      </c>
      <c r="DG207">
        <v>5775</v>
      </c>
      <c r="DH207">
        <v>5701</v>
      </c>
      <c r="DI207">
        <v>5588</v>
      </c>
      <c r="DJ207">
        <v>5516</v>
      </c>
      <c r="DK207">
        <v>5395</v>
      </c>
      <c r="DO207">
        <v>479</v>
      </c>
      <c r="DP207" t="s">
        <v>352</v>
      </c>
      <c r="DQ207">
        <v>68339</v>
      </c>
      <c r="DR207">
        <v>1.32</v>
      </c>
      <c r="DS207">
        <v>2021</v>
      </c>
      <c r="DV207">
        <v>1948</v>
      </c>
      <c r="DW207" t="s">
        <v>198</v>
      </c>
      <c r="DX207">
        <v>9009.9027162109905</v>
      </c>
      <c r="DY207">
        <v>1655</v>
      </c>
      <c r="DZ207">
        <v>1613</v>
      </c>
      <c r="EA207">
        <v>770</v>
      </c>
      <c r="EB207">
        <v>5653</v>
      </c>
      <c r="EC207">
        <v>3437</v>
      </c>
      <c r="ED207">
        <v>1100</v>
      </c>
      <c r="EE207" s="82">
        <v>0.165606471204852</v>
      </c>
      <c r="EF207" s="82">
        <v>0.42992500956889801</v>
      </c>
    </row>
    <row r="208" spans="1:136" x14ac:dyDescent="0.35">
      <c r="A208" s="72">
        <v>473</v>
      </c>
      <c r="B208" s="72">
        <v>7</v>
      </c>
      <c r="D208" s="72" t="s">
        <v>354</v>
      </c>
      <c r="E208" s="79">
        <v>2022000000</v>
      </c>
      <c r="F208" s="79">
        <v>234500000</v>
      </c>
      <c r="G208" s="79">
        <v>246750000</v>
      </c>
      <c r="H208" s="79">
        <v>16970</v>
      </c>
      <c r="I208" s="79">
        <v>2</v>
      </c>
      <c r="J208" s="79">
        <v>246.75</v>
      </c>
      <c r="K208" s="79">
        <v>3059</v>
      </c>
      <c r="L208" s="79">
        <v>4360</v>
      </c>
      <c r="M208" s="79">
        <v>1296</v>
      </c>
      <c r="N208" s="79">
        <v>2938</v>
      </c>
      <c r="O208" s="79">
        <v>1952</v>
      </c>
      <c r="P208" s="79">
        <v>384.33333333333297</v>
      </c>
      <c r="Q208" s="79">
        <v>1343.3333333333301</v>
      </c>
      <c r="R208" s="79">
        <v>655</v>
      </c>
      <c r="S208" s="79">
        <v>0</v>
      </c>
      <c r="T208" s="79">
        <v>710</v>
      </c>
      <c r="U208" s="79">
        <v>8804</v>
      </c>
      <c r="V208" s="79">
        <v>13290</v>
      </c>
      <c r="W208" s="79">
        <v>2040</v>
      </c>
      <c r="X208" s="79">
        <v>0</v>
      </c>
      <c r="Y208" s="79">
        <v>176.8</v>
      </c>
      <c r="Z208" s="79">
        <v>0</v>
      </c>
      <c r="AA208" s="79">
        <v>0</v>
      </c>
      <c r="AB208" s="79">
        <v>34</v>
      </c>
      <c r="AC208" s="79">
        <v>3219</v>
      </c>
      <c r="AD208" s="79">
        <v>3219</v>
      </c>
      <c r="AE208" s="79">
        <v>163</v>
      </c>
      <c r="AF208" s="79">
        <v>1015</v>
      </c>
      <c r="AG208" s="79">
        <v>73</v>
      </c>
      <c r="AH208" s="79">
        <v>69</v>
      </c>
      <c r="AI208" s="79">
        <v>4</v>
      </c>
      <c r="AJ208" s="79">
        <v>9860</v>
      </c>
      <c r="AK208" s="79">
        <v>9860</v>
      </c>
      <c r="AL208" s="79">
        <v>0</v>
      </c>
      <c r="AM208" s="79">
        <v>0</v>
      </c>
      <c r="AN208" s="79">
        <v>0</v>
      </c>
      <c r="AO208" s="79">
        <v>0</v>
      </c>
      <c r="AP208" s="79">
        <v>2296</v>
      </c>
      <c r="AQ208" s="79">
        <v>0</v>
      </c>
      <c r="AR208" s="80">
        <v>4.87364E-4</v>
      </c>
      <c r="AS208" s="80">
        <v>7.7458500000000005E-4</v>
      </c>
      <c r="AT208" s="79">
        <v>17757.86</v>
      </c>
      <c r="AU208" s="79">
        <v>0</v>
      </c>
      <c r="AV208" s="79">
        <v>1542</v>
      </c>
      <c r="AW208" s="79">
        <v>7737.3565937315198</v>
      </c>
      <c r="AX208" s="79">
        <v>2</v>
      </c>
      <c r="AY208" s="79">
        <v>2</v>
      </c>
      <c r="AZ208" s="79">
        <v>2209</v>
      </c>
      <c r="BA208" s="79">
        <v>1</v>
      </c>
      <c r="BB208" s="79">
        <v>0</v>
      </c>
      <c r="BC208" s="79">
        <v>0</v>
      </c>
      <c r="BD208" s="79">
        <v>0</v>
      </c>
      <c r="BE208" s="79">
        <v>0</v>
      </c>
      <c r="BF208" s="79">
        <v>0</v>
      </c>
      <c r="BG208" s="79">
        <v>0</v>
      </c>
      <c r="BH208" s="79">
        <v>0</v>
      </c>
      <c r="BI208" s="79">
        <v>0</v>
      </c>
      <c r="BJ208" s="79">
        <v>0</v>
      </c>
      <c r="BK208" s="79">
        <v>0</v>
      </c>
      <c r="BL208" s="79">
        <v>3611</v>
      </c>
      <c r="BM208" s="79">
        <v>69</v>
      </c>
      <c r="BN208" s="79">
        <v>4</v>
      </c>
      <c r="BO208">
        <v>3220</v>
      </c>
      <c r="BP208">
        <v>170</v>
      </c>
      <c r="BQ208">
        <v>2847</v>
      </c>
      <c r="BR208">
        <v>180</v>
      </c>
      <c r="BS208">
        <v>2825</v>
      </c>
      <c r="BT208">
        <v>167</v>
      </c>
      <c r="BU208">
        <v>2746</v>
      </c>
      <c r="BV208">
        <v>166</v>
      </c>
      <c r="BW208">
        <v>2700</v>
      </c>
      <c r="BX208">
        <v>158</v>
      </c>
      <c r="BY208">
        <v>2679</v>
      </c>
      <c r="BZ208">
        <v>177</v>
      </c>
      <c r="CA208">
        <v>2736</v>
      </c>
      <c r="CB208">
        <v>468.00007711649499</v>
      </c>
      <c r="CC208">
        <v>29.068180275575699</v>
      </c>
      <c r="CD208">
        <v>33.0217613439657</v>
      </c>
      <c r="CE208">
        <v>5873.1047597740899</v>
      </c>
      <c r="CF208">
        <v>1192.78323785576</v>
      </c>
      <c r="CG208">
        <v>66.548944375772606</v>
      </c>
      <c r="CH208">
        <v>225</v>
      </c>
      <c r="CI208">
        <v>113.360100427546</v>
      </c>
      <c r="CJ208">
        <v>108.55519062833901</v>
      </c>
      <c r="CK208" s="81">
        <v>959</v>
      </c>
      <c r="CL208">
        <v>201</v>
      </c>
      <c r="CM208">
        <v>2720.4955454978599</v>
      </c>
      <c r="CN208">
        <v>0.91014330775352603</v>
      </c>
      <c r="CO208">
        <v>12610</v>
      </c>
      <c r="CP208">
        <v>2539</v>
      </c>
      <c r="CQ208">
        <v>525</v>
      </c>
      <c r="CR208">
        <v>756</v>
      </c>
      <c r="CS208">
        <v>546</v>
      </c>
      <c r="CT208">
        <v>295</v>
      </c>
      <c r="CU208">
        <v>334.32276511127299</v>
      </c>
      <c r="CV208">
        <v>192.59683271359901</v>
      </c>
      <c r="CW208">
        <v>79.770322285282901</v>
      </c>
      <c r="CX208">
        <v>700.97081886282899</v>
      </c>
      <c r="CY208">
        <v>403.81563454916102</v>
      </c>
      <c r="CZ208">
        <v>167.253546478224</v>
      </c>
      <c r="DA208">
        <v>73000</v>
      </c>
      <c r="DE208">
        <v>629</v>
      </c>
      <c r="DF208" t="s">
        <v>330</v>
      </c>
      <c r="DG208">
        <v>5793</v>
      </c>
      <c r="DH208">
        <v>5724</v>
      </c>
      <c r="DI208">
        <v>5626</v>
      </c>
      <c r="DJ208">
        <v>5637</v>
      </c>
      <c r="DK208">
        <v>5591</v>
      </c>
      <c r="DO208">
        <v>473</v>
      </c>
      <c r="DP208" t="s">
        <v>354</v>
      </c>
      <c r="DQ208">
        <v>9860</v>
      </c>
      <c r="DR208">
        <v>1</v>
      </c>
      <c r="DS208">
        <v>1801</v>
      </c>
      <c r="DV208">
        <v>119</v>
      </c>
      <c r="DW208" t="s">
        <v>199</v>
      </c>
      <c r="DX208">
        <v>4781.5771444045804</v>
      </c>
      <c r="DY208">
        <v>820</v>
      </c>
      <c r="DZ208">
        <v>681</v>
      </c>
      <c r="EA208">
        <v>394</v>
      </c>
      <c r="EB208">
        <v>2365</v>
      </c>
      <c r="EC208">
        <v>1361</v>
      </c>
      <c r="ED208">
        <v>527</v>
      </c>
      <c r="EE208" s="82">
        <v>0.203284101509868</v>
      </c>
      <c r="EF208" s="82">
        <v>0.51192710241985195</v>
      </c>
    </row>
    <row r="209" spans="1:136" x14ac:dyDescent="0.35">
      <c r="A209" s="72">
        <v>482</v>
      </c>
      <c r="B209" s="72">
        <v>8</v>
      </c>
      <c r="D209" s="72" t="s">
        <v>15</v>
      </c>
      <c r="E209" s="79">
        <v>1359600000</v>
      </c>
      <c r="F209" s="79">
        <v>313950000</v>
      </c>
      <c r="G209" s="79">
        <v>316050000</v>
      </c>
      <c r="H209" s="79">
        <v>20014</v>
      </c>
      <c r="I209" s="79">
        <v>1</v>
      </c>
      <c r="J209" s="79">
        <v>316.05</v>
      </c>
      <c r="K209" s="79">
        <v>5188</v>
      </c>
      <c r="L209" s="79">
        <v>3907</v>
      </c>
      <c r="M209" s="79">
        <v>1326</v>
      </c>
      <c r="N209" s="79">
        <v>2444</v>
      </c>
      <c r="O209" s="79">
        <v>1614.3</v>
      </c>
      <c r="P209" s="79">
        <v>320.33333333333297</v>
      </c>
      <c r="Q209" s="79">
        <v>1104.3333333333301</v>
      </c>
      <c r="R209" s="79">
        <v>1145</v>
      </c>
      <c r="S209" s="79">
        <v>0</v>
      </c>
      <c r="T209" s="79">
        <v>561</v>
      </c>
      <c r="U209" s="79">
        <v>8286</v>
      </c>
      <c r="V209" s="79">
        <v>17290</v>
      </c>
      <c r="W209" s="79">
        <v>3940</v>
      </c>
      <c r="X209" s="79">
        <v>0</v>
      </c>
      <c r="Y209" s="79">
        <v>0</v>
      </c>
      <c r="Z209" s="79">
        <v>0</v>
      </c>
      <c r="AA209" s="79">
        <v>0</v>
      </c>
      <c r="AB209" s="79">
        <v>0</v>
      </c>
      <c r="AC209" s="79">
        <v>874</v>
      </c>
      <c r="AD209" s="79">
        <v>1188.6400000000001</v>
      </c>
      <c r="AE209" s="79">
        <v>132</v>
      </c>
      <c r="AF209" s="79">
        <v>0</v>
      </c>
      <c r="AG209" s="79">
        <v>106</v>
      </c>
      <c r="AH209" s="79">
        <v>121.93</v>
      </c>
      <c r="AI209" s="79">
        <v>22.95</v>
      </c>
      <c r="AJ209" s="79">
        <v>8297</v>
      </c>
      <c r="AK209" s="79">
        <v>11366.89</v>
      </c>
      <c r="AL209" s="79">
        <v>0</v>
      </c>
      <c r="AM209" s="79">
        <v>0</v>
      </c>
      <c r="AN209" s="79">
        <v>0</v>
      </c>
      <c r="AO209" s="79">
        <v>0</v>
      </c>
      <c r="AP209" s="79">
        <v>1467</v>
      </c>
      <c r="AQ209" s="79">
        <v>0</v>
      </c>
      <c r="AR209" s="80">
        <v>2.1213199999999999E-4</v>
      </c>
      <c r="AS209" s="80">
        <v>5.8744400000000001E-4</v>
      </c>
      <c r="AT209" s="79">
        <v>12470.391</v>
      </c>
      <c r="AU209" s="79">
        <v>0</v>
      </c>
      <c r="AV209" s="79">
        <v>864.96</v>
      </c>
      <c r="AW209" s="79">
        <v>47132.771053677898</v>
      </c>
      <c r="AX209" s="79">
        <v>3</v>
      </c>
      <c r="AY209" s="79">
        <v>4.05</v>
      </c>
      <c r="AZ209" s="79">
        <v>1916</v>
      </c>
      <c r="BA209" s="79">
        <v>1</v>
      </c>
      <c r="BB209" s="79">
        <v>0</v>
      </c>
      <c r="BC209" s="79">
        <v>0</v>
      </c>
      <c r="BD209" s="79">
        <v>0</v>
      </c>
      <c r="BE209" s="79">
        <v>0</v>
      </c>
      <c r="BF209" s="79">
        <v>0</v>
      </c>
      <c r="BG209" s="79">
        <v>0</v>
      </c>
      <c r="BH209" s="79">
        <v>0</v>
      </c>
      <c r="BI209" s="79">
        <v>0</v>
      </c>
      <c r="BJ209" s="79">
        <v>0</v>
      </c>
      <c r="BK209" s="79">
        <v>29</v>
      </c>
      <c r="BL209" s="79">
        <v>2409</v>
      </c>
      <c r="BM209" s="79">
        <v>89</v>
      </c>
      <c r="BN209" s="79">
        <v>17</v>
      </c>
      <c r="BO209">
        <v>5044</v>
      </c>
      <c r="BP209">
        <v>0</v>
      </c>
      <c r="BQ209">
        <v>4625</v>
      </c>
      <c r="BR209">
        <v>0</v>
      </c>
      <c r="BS209">
        <v>4648</v>
      </c>
      <c r="BT209">
        <v>0</v>
      </c>
      <c r="BU209">
        <v>4697</v>
      </c>
      <c r="BV209">
        <v>0</v>
      </c>
      <c r="BW209">
        <v>4726</v>
      </c>
      <c r="BX209">
        <v>0</v>
      </c>
      <c r="BY209">
        <v>4706</v>
      </c>
      <c r="BZ209">
        <v>0</v>
      </c>
      <c r="CA209">
        <v>4697</v>
      </c>
      <c r="CB209">
        <v>342.61485345810701</v>
      </c>
      <c r="CC209">
        <v>145.15700675977001</v>
      </c>
      <c r="CD209">
        <v>38.709378880191601</v>
      </c>
      <c r="CE209">
        <v>5404.4410649840902</v>
      </c>
      <c r="CF209">
        <v>1531.06289758246</v>
      </c>
      <c r="CG209">
        <v>284.08151851851801</v>
      </c>
      <c r="CH209">
        <v>245</v>
      </c>
      <c r="CI209">
        <v>115.595331006241</v>
      </c>
      <c r="CJ209">
        <v>109.264701678197</v>
      </c>
      <c r="CK209" s="81">
        <v>784</v>
      </c>
      <c r="CL209">
        <v>203</v>
      </c>
      <c r="CM209">
        <v>2819.7123327486802</v>
      </c>
      <c r="CN209">
        <v>0.56550237455141805</v>
      </c>
      <c r="CO209">
        <v>16107</v>
      </c>
      <c r="CP209">
        <v>2072</v>
      </c>
      <c r="CQ209">
        <v>509</v>
      </c>
      <c r="CR209">
        <v>417</v>
      </c>
      <c r="CS209">
        <v>451</v>
      </c>
      <c r="CT209">
        <v>284</v>
      </c>
      <c r="CU209">
        <v>247.94290934924999</v>
      </c>
      <c r="CV209">
        <v>181.18904913983701</v>
      </c>
      <c r="CW209">
        <v>75.706272948868403</v>
      </c>
      <c r="CX209">
        <v>582.40291947385299</v>
      </c>
      <c r="CY209">
        <v>425.60213346166199</v>
      </c>
      <c r="CZ209">
        <v>177.829462853476</v>
      </c>
      <c r="DA209">
        <v>7938</v>
      </c>
      <c r="DE209">
        <v>632</v>
      </c>
      <c r="DF209" t="s">
        <v>349</v>
      </c>
      <c r="DG209">
        <v>11850</v>
      </c>
      <c r="DH209">
        <v>11831</v>
      </c>
      <c r="DI209">
        <v>11867</v>
      </c>
      <c r="DJ209">
        <v>11795</v>
      </c>
      <c r="DK209">
        <v>11806</v>
      </c>
      <c r="DO209">
        <v>482</v>
      </c>
      <c r="DP209" t="s">
        <v>15</v>
      </c>
      <c r="DQ209">
        <v>8297</v>
      </c>
      <c r="DR209">
        <v>1.37</v>
      </c>
      <c r="DS209">
        <v>1503</v>
      </c>
      <c r="DV209">
        <v>687</v>
      </c>
      <c r="DW209" t="s">
        <v>200</v>
      </c>
      <c r="DX209">
        <v>7295.51859723698</v>
      </c>
      <c r="DY209">
        <v>1366</v>
      </c>
      <c r="DZ209">
        <v>1187</v>
      </c>
      <c r="EA209">
        <v>690</v>
      </c>
      <c r="EB209">
        <v>3681</v>
      </c>
      <c r="EC209">
        <v>2342</v>
      </c>
      <c r="ED209">
        <v>948</v>
      </c>
      <c r="EE209" s="82">
        <v>0.206418522291444</v>
      </c>
      <c r="EF209" s="82">
        <v>0.46927942762387398</v>
      </c>
    </row>
    <row r="210" spans="1:136" x14ac:dyDescent="0.35">
      <c r="A210" s="72">
        <v>613</v>
      </c>
      <c r="B210" s="72">
        <v>8</v>
      </c>
      <c r="D210" s="72" t="s">
        <v>16</v>
      </c>
      <c r="E210" s="79">
        <v>2173600000</v>
      </c>
      <c r="F210" s="79">
        <v>290150000</v>
      </c>
      <c r="G210" s="79">
        <v>307650000</v>
      </c>
      <c r="H210" s="79">
        <v>25218</v>
      </c>
      <c r="I210" s="79">
        <v>2</v>
      </c>
      <c r="J210" s="79">
        <v>307.64999999999998</v>
      </c>
      <c r="K210" s="79">
        <v>6258</v>
      </c>
      <c r="L210" s="79">
        <v>4213</v>
      </c>
      <c r="M210" s="79">
        <v>1198</v>
      </c>
      <c r="N210" s="79">
        <v>2191</v>
      </c>
      <c r="O210" s="79">
        <v>1126.4000000000001</v>
      </c>
      <c r="P210" s="79">
        <v>266</v>
      </c>
      <c r="Q210" s="79">
        <v>1109</v>
      </c>
      <c r="R210" s="79">
        <v>2290</v>
      </c>
      <c r="S210" s="79">
        <v>0</v>
      </c>
      <c r="T210" s="79">
        <v>816</v>
      </c>
      <c r="U210" s="79">
        <v>10724</v>
      </c>
      <c r="V210" s="79">
        <v>16950</v>
      </c>
      <c r="W210" s="79">
        <v>2320</v>
      </c>
      <c r="X210" s="79">
        <v>0</v>
      </c>
      <c r="Y210" s="79">
        <v>0</v>
      </c>
      <c r="Z210" s="79">
        <v>0</v>
      </c>
      <c r="AA210" s="79">
        <v>0</v>
      </c>
      <c r="AB210" s="79">
        <v>0</v>
      </c>
      <c r="AC210" s="79">
        <v>2166</v>
      </c>
      <c r="AD210" s="79">
        <v>2664.18</v>
      </c>
      <c r="AE210" s="79">
        <v>210</v>
      </c>
      <c r="AF210" s="79">
        <v>0</v>
      </c>
      <c r="AG210" s="79">
        <v>124</v>
      </c>
      <c r="AH210" s="79">
        <v>138.24</v>
      </c>
      <c r="AI210" s="79">
        <v>17.850000000000001</v>
      </c>
      <c r="AJ210" s="79">
        <v>10646</v>
      </c>
      <c r="AK210" s="79">
        <v>13626.88</v>
      </c>
      <c r="AL210" s="79">
        <v>0</v>
      </c>
      <c r="AM210" s="79">
        <v>0</v>
      </c>
      <c r="AN210" s="79">
        <v>0</v>
      </c>
      <c r="AO210" s="79">
        <v>0</v>
      </c>
      <c r="AP210" s="79">
        <v>0</v>
      </c>
      <c r="AQ210" s="79">
        <v>0</v>
      </c>
      <c r="AR210" s="80">
        <v>6.9413999999999996E-5</v>
      </c>
      <c r="AS210" s="80">
        <v>1.8736E-4</v>
      </c>
      <c r="AT210" s="79">
        <v>10880.212</v>
      </c>
      <c r="AU210" s="79">
        <v>0</v>
      </c>
      <c r="AV210" s="79">
        <v>1478.46</v>
      </c>
      <c r="AW210" s="79">
        <v>27728.337272727302</v>
      </c>
      <c r="AX210" s="79">
        <v>2</v>
      </c>
      <c r="AY210" s="79">
        <v>2.38</v>
      </c>
      <c r="AZ210" s="79">
        <v>2302</v>
      </c>
      <c r="BA210" s="79">
        <v>1</v>
      </c>
      <c r="BB210" s="79">
        <v>0</v>
      </c>
      <c r="BC210" s="79">
        <v>0</v>
      </c>
      <c r="BD210" s="79">
        <v>0</v>
      </c>
      <c r="BE210" s="79">
        <v>0</v>
      </c>
      <c r="BF210" s="79">
        <v>0</v>
      </c>
      <c r="BG210" s="79">
        <v>0</v>
      </c>
      <c r="BH210" s="79">
        <v>0</v>
      </c>
      <c r="BI210" s="79">
        <v>0</v>
      </c>
      <c r="BJ210" s="79">
        <v>0</v>
      </c>
      <c r="BK210" s="79">
        <v>6</v>
      </c>
      <c r="BL210" s="79">
        <v>2604</v>
      </c>
      <c r="BM210" s="79">
        <v>108</v>
      </c>
      <c r="BN210" s="79">
        <v>15</v>
      </c>
      <c r="BO210">
        <v>5690</v>
      </c>
      <c r="BP210">
        <v>195</v>
      </c>
      <c r="BQ210">
        <v>5316</v>
      </c>
      <c r="BR210">
        <v>227</v>
      </c>
      <c r="BS210">
        <v>5535</v>
      </c>
      <c r="BT210">
        <v>80</v>
      </c>
      <c r="BU210">
        <v>5660</v>
      </c>
      <c r="BV210">
        <v>119</v>
      </c>
      <c r="BW210">
        <v>5700</v>
      </c>
      <c r="BX210">
        <v>126</v>
      </c>
      <c r="BY210">
        <v>5755</v>
      </c>
      <c r="BZ210">
        <v>63</v>
      </c>
      <c r="CA210">
        <v>5664</v>
      </c>
      <c r="CB210">
        <v>433.05924708194499</v>
      </c>
      <c r="CC210">
        <v>40.197736796597297</v>
      </c>
      <c r="CD210">
        <v>40.1298974237491</v>
      </c>
      <c r="CE210">
        <v>8401.7074277799202</v>
      </c>
      <c r="CF210">
        <v>2658.7009988926702</v>
      </c>
      <c r="CG210">
        <v>135.864860470427</v>
      </c>
      <c r="CH210">
        <v>331</v>
      </c>
      <c r="CI210">
        <v>104.915361571913</v>
      </c>
      <c r="CJ210">
        <v>101.460080129754</v>
      </c>
      <c r="CK210" s="81">
        <v>843</v>
      </c>
      <c r="CL210">
        <v>278</v>
      </c>
      <c r="CM210">
        <v>2821.8724994997001</v>
      </c>
      <c r="CN210">
        <v>0.31395449208846099</v>
      </c>
      <c r="CO210">
        <v>21005</v>
      </c>
      <c r="CP210">
        <v>2546</v>
      </c>
      <c r="CQ210">
        <v>469</v>
      </c>
      <c r="CR210">
        <v>484</v>
      </c>
      <c r="CS210">
        <v>439</v>
      </c>
      <c r="CT210">
        <v>213</v>
      </c>
      <c r="CU210">
        <v>164.07310437145401</v>
      </c>
      <c r="CV210">
        <v>91.610127908239093</v>
      </c>
      <c r="CW210">
        <v>33.9571028389662</v>
      </c>
      <c r="CX210">
        <v>450.40925718182899</v>
      </c>
      <c r="CY210">
        <v>251.48576190810101</v>
      </c>
      <c r="CZ210">
        <v>93.218163478637805</v>
      </c>
      <c r="DA210">
        <v>18434</v>
      </c>
      <c r="DE210">
        <v>637</v>
      </c>
      <c r="DF210" t="s">
        <v>358</v>
      </c>
      <c r="DG210">
        <v>26664</v>
      </c>
      <c r="DH210">
        <v>26361</v>
      </c>
      <c r="DI210">
        <v>26195</v>
      </c>
      <c r="DJ210">
        <v>26164</v>
      </c>
      <c r="DK210">
        <v>26065</v>
      </c>
      <c r="DO210">
        <v>613</v>
      </c>
      <c r="DP210" t="s">
        <v>16</v>
      </c>
      <c r="DQ210">
        <v>10646</v>
      </c>
      <c r="DR210">
        <v>1.28</v>
      </c>
      <c r="DS210">
        <v>1022</v>
      </c>
      <c r="DV210">
        <v>1842</v>
      </c>
      <c r="DW210" t="s">
        <v>202</v>
      </c>
      <c r="DX210">
        <v>1562.18372703412</v>
      </c>
      <c r="DY210">
        <v>312</v>
      </c>
      <c r="DZ210">
        <v>322</v>
      </c>
      <c r="EA210">
        <v>211</v>
      </c>
      <c r="EB210">
        <v>1176</v>
      </c>
      <c r="EC210">
        <v>741</v>
      </c>
      <c r="ED210">
        <v>327</v>
      </c>
      <c r="EE210" s="82">
        <v>9.7945226436153096E-2</v>
      </c>
      <c r="EF210" s="82">
        <v>0.28487032065244899</v>
      </c>
    </row>
    <row r="211" spans="1:136" x14ac:dyDescent="0.35">
      <c r="A211" s="72">
        <v>484</v>
      </c>
      <c r="B211" s="72">
        <v>8</v>
      </c>
      <c r="D211" s="72" t="s">
        <v>20</v>
      </c>
      <c r="E211" s="79">
        <v>8652400000</v>
      </c>
      <c r="F211" s="79">
        <v>1554700000</v>
      </c>
      <c r="G211" s="79">
        <v>1639750000</v>
      </c>
      <c r="H211" s="79">
        <v>109682</v>
      </c>
      <c r="I211" s="79">
        <v>5</v>
      </c>
      <c r="J211" s="79">
        <v>1639.75</v>
      </c>
      <c r="K211" s="79">
        <v>25545</v>
      </c>
      <c r="L211" s="79">
        <v>20247</v>
      </c>
      <c r="M211" s="79">
        <v>6006</v>
      </c>
      <c r="N211" s="79">
        <v>12605</v>
      </c>
      <c r="O211" s="79">
        <v>7875.4</v>
      </c>
      <c r="P211" s="79">
        <v>1675</v>
      </c>
      <c r="Q211" s="79">
        <v>6213</v>
      </c>
      <c r="R211" s="79">
        <v>7535</v>
      </c>
      <c r="S211" s="79">
        <v>0</v>
      </c>
      <c r="T211" s="79">
        <v>3320</v>
      </c>
      <c r="U211" s="79">
        <v>48769</v>
      </c>
      <c r="V211" s="79">
        <v>110130</v>
      </c>
      <c r="W211" s="79">
        <v>81360</v>
      </c>
      <c r="X211" s="79">
        <v>2026.9</v>
      </c>
      <c r="Y211" s="79">
        <v>5930.4</v>
      </c>
      <c r="Z211" s="79">
        <v>0</v>
      </c>
      <c r="AA211" s="79">
        <v>0</v>
      </c>
      <c r="AB211" s="79">
        <v>53.999999999999098</v>
      </c>
      <c r="AC211" s="79">
        <v>12640</v>
      </c>
      <c r="AD211" s="79">
        <v>16684.8</v>
      </c>
      <c r="AE211" s="79">
        <v>610</v>
      </c>
      <c r="AF211" s="79">
        <v>0</v>
      </c>
      <c r="AG211" s="79">
        <v>590</v>
      </c>
      <c r="AH211" s="79">
        <v>648.87</v>
      </c>
      <c r="AI211" s="79">
        <v>116.58</v>
      </c>
      <c r="AJ211" s="79">
        <v>47296</v>
      </c>
      <c r="AK211" s="79">
        <v>61011.839999999997</v>
      </c>
      <c r="AL211" s="79">
        <v>0</v>
      </c>
      <c r="AM211" s="79">
        <v>0</v>
      </c>
      <c r="AN211" s="79">
        <v>0</v>
      </c>
      <c r="AO211" s="79">
        <v>0</v>
      </c>
      <c r="AP211" s="79">
        <v>3731</v>
      </c>
      <c r="AQ211" s="79">
        <v>0</v>
      </c>
      <c r="AR211" s="80">
        <v>1.1199599999999999E-3</v>
      </c>
      <c r="AS211" s="80">
        <v>2.3711610000000001E-3</v>
      </c>
      <c r="AT211" s="79">
        <v>84281.471999999994</v>
      </c>
      <c r="AU211" s="79">
        <v>0</v>
      </c>
      <c r="AV211" s="79">
        <v>14905.44</v>
      </c>
      <c r="AW211" s="79">
        <v>310671.07801358501</v>
      </c>
      <c r="AX211" s="79">
        <v>13</v>
      </c>
      <c r="AY211" s="79">
        <v>17.420000000000002</v>
      </c>
      <c r="AZ211" s="79">
        <v>11244</v>
      </c>
      <c r="BA211" s="79">
        <v>1</v>
      </c>
      <c r="BB211" s="79">
        <v>0</v>
      </c>
      <c r="BC211" s="79">
        <v>0</v>
      </c>
      <c r="BD211" s="79">
        <v>0</v>
      </c>
      <c r="BE211" s="79">
        <v>0</v>
      </c>
      <c r="BF211" s="79">
        <v>0</v>
      </c>
      <c r="BG211" s="79">
        <v>0</v>
      </c>
      <c r="BH211" s="79">
        <v>0</v>
      </c>
      <c r="BI211" s="79">
        <v>0</v>
      </c>
      <c r="BJ211" s="79">
        <v>0</v>
      </c>
      <c r="BK211" s="79">
        <v>46</v>
      </c>
      <c r="BL211" s="79">
        <v>15362</v>
      </c>
      <c r="BM211" s="79">
        <v>503</v>
      </c>
      <c r="BN211" s="79">
        <v>87</v>
      </c>
      <c r="BO211">
        <v>26826</v>
      </c>
      <c r="BP211">
        <v>6690</v>
      </c>
      <c r="BQ211">
        <v>24107</v>
      </c>
      <c r="BR211">
        <v>6777</v>
      </c>
      <c r="BS211">
        <v>23961</v>
      </c>
      <c r="BT211">
        <v>6822</v>
      </c>
      <c r="BU211">
        <v>23826</v>
      </c>
      <c r="BV211">
        <v>6962</v>
      </c>
      <c r="BW211">
        <v>23736</v>
      </c>
      <c r="BX211">
        <v>7173</v>
      </c>
      <c r="BY211">
        <v>23565</v>
      </c>
      <c r="BZ211">
        <v>7385</v>
      </c>
      <c r="CA211">
        <v>22833</v>
      </c>
      <c r="CB211">
        <v>2043.53139752685</v>
      </c>
      <c r="CC211">
        <v>402.763486811549</v>
      </c>
      <c r="CD211">
        <v>314.93260520687602</v>
      </c>
      <c r="CE211">
        <v>33789.230647063298</v>
      </c>
      <c r="CF211">
        <v>8794.3046233985006</v>
      </c>
      <c r="CG211">
        <v>1039.5340974465901</v>
      </c>
      <c r="CH211">
        <v>1300</v>
      </c>
      <c r="CI211">
        <v>514.81077402504195</v>
      </c>
      <c r="CJ211">
        <v>431.73747383885001</v>
      </c>
      <c r="CK211" s="81">
        <v>4538</v>
      </c>
      <c r="CL211">
        <v>1454</v>
      </c>
      <c r="CM211">
        <v>15112.0582956651</v>
      </c>
      <c r="CN211">
        <v>2.2748551596813602</v>
      </c>
      <c r="CO211">
        <v>89435</v>
      </c>
      <c r="CP211">
        <v>12212</v>
      </c>
      <c r="CQ211">
        <v>2029</v>
      </c>
      <c r="CR211">
        <v>2430</v>
      </c>
      <c r="CS211">
        <v>2064</v>
      </c>
      <c r="CT211">
        <v>1023</v>
      </c>
      <c r="CU211">
        <v>1267.63329776979</v>
      </c>
      <c r="CV211">
        <v>704.49973504058801</v>
      </c>
      <c r="CW211">
        <v>244.268757103414</v>
      </c>
      <c r="CX211">
        <v>3049.4934319949002</v>
      </c>
      <c r="CY211">
        <v>1694.7861172692001</v>
      </c>
      <c r="CZ211">
        <v>587.62733019000598</v>
      </c>
      <c r="DA211">
        <v>259444</v>
      </c>
      <c r="DE211">
        <v>638</v>
      </c>
      <c r="DF211" t="s">
        <v>359</v>
      </c>
      <c r="DG211">
        <v>1808</v>
      </c>
      <c r="DH211">
        <v>1743</v>
      </c>
      <c r="DI211">
        <v>1733</v>
      </c>
      <c r="DJ211">
        <v>1694</v>
      </c>
      <c r="DK211">
        <v>1629</v>
      </c>
      <c r="DO211">
        <v>484</v>
      </c>
      <c r="DP211" t="s">
        <v>20</v>
      </c>
      <c r="DQ211">
        <v>47296</v>
      </c>
      <c r="DR211">
        <v>1.29</v>
      </c>
      <c r="DS211">
        <v>1782</v>
      </c>
      <c r="DV211">
        <v>1731</v>
      </c>
      <c r="DW211" t="s">
        <v>701</v>
      </c>
      <c r="DX211">
        <v>4161.8333098293597</v>
      </c>
      <c r="DY211">
        <v>789</v>
      </c>
      <c r="DZ211">
        <v>711</v>
      </c>
      <c r="EA211">
        <v>399</v>
      </c>
      <c r="EB211">
        <v>2731</v>
      </c>
      <c r="EC211">
        <v>1564</v>
      </c>
      <c r="ED211">
        <v>582</v>
      </c>
      <c r="EE211" s="82">
        <v>0.15909439767349601</v>
      </c>
      <c r="EF211" s="82">
        <v>0.47753270234147599</v>
      </c>
    </row>
    <row r="212" spans="1:136" x14ac:dyDescent="0.35">
      <c r="A212" s="72">
        <v>489</v>
      </c>
      <c r="B212" s="72">
        <v>8</v>
      </c>
      <c r="D212" s="72" t="s">
        <v>34</v>
      </c>
      <c r="E212" s="79">
        <v>4006800000</v>
      </c>
      <c r="F212" s="79">
        <v>754600000</v>
      </c>
      <c r="G212" s="79">
        <v>757750000</v>
      </c>
      <c r="H212" s="79">
        <v>48477</v>
      </c>
      <c r="I212" s="79">
        <v>1</v>
      </c>
      <c r="J212" s="79">
        <v>757.75</v>
      </c>
      <c r="K212" s="79">
        <v>12694</v>
      </c>
      <c r="L212" s="79">
        <v>8082</v>
      </c>
      <c r="M212" s="79">
        <v>2434</v>
      </c>
      <c r="N212" s="79">
        <v>3790</v>
      </c>
      <c r="O212" s="79">
        <v>1859</v>
      </c>
      <c r="P212" s="79">
        <v>471.33333333333297</v>
      </c>
      <c r="Q212" s="79">
        <v>2040.3333333333301</v>
      </c>
      <c r="R212" s="79">
        <v>5460</v>
      </c>
      <c r="S212" s="79">
        <v>0</v>
      </c>
      <c r="T212" s="79">
        <v>1533</v>
      </c>
      <c r="U212" s="79">
        <v>19493</v>
      </c>
      <c r="V212" s="79">
        <v>45710</v>
      </c>
      <c r="W212" s="79">
        <v>19400</v>
      </c>
      <c r="X212" s="79">
        <v>2315.1999999999998</v>
      </c>
      <c r="Y212" s="79">
        <v>3049.6</v>
      </c>
      <c r="Z212" s="79">
        <v>0</v>
      </c>
      <c r="AA212" s="79">
        <v>0</v>
      </c>
      <c r="AB212" s="79">
        <v>780.4</v>
      </c>
      <c r="AC212" s="79">
        <v>1946</v>
      </c>
      <c r="AD212" s="79">
        <v>2607.64</v>
      </c>
      <c r="AE212" s="79">
        <v>227</v>
      </c>
      <c r="AF212" s="79">
        <v>0</v>
      </c>
      <c r="AG212" s="79">
        <v>230</v>
      </c>
      <c r="AH212" s="79">
        <v>309.62</v>
      </c>
      <c r="AI212" s="79">
        <v>5.08</v>
      </c>
      <c r="AJ212" s="79">
        <v>19310</v>
      </c>
      <c r="AK212" s="79">
        <v>26454.7</v>
      </c>
      <c r="AL212" s="79">
        <v>0</v>
      </c>
      <c r="AM212" s="79">
        <v>0</v>
      </c>
      <c r="AN212" s="79">
        <v>0</v>
      </c>
      <c r="AO212" s="79">
        <v>0</v>
      </c>
      <c r="AP212" s="79">
        <v>716</v>
      </c>
      <c r="AQ212" s="79">
        <v>0</v>
      </c>
      <c r="AR212" s="80">
        <v>1.07892E-4</v>
      </c>
      <c r="AS212" s="80">
        <v>1.4540199999999999E-4</v>
      </c>
      <c r="AT212" s="79">
        <v>32015.98</v>
      </c>
      <c r="AU212" s="79">
        <v>0</v>
      </c>
      <c r="AV212" s="79">
        <v>2855.54</v>
      </c>
      <c r="AW212" s="79">
        <v>163070.560009204</v>
      </c>
      <c r="AX212" s="79">
        <v>4</v>
      </c>
      <c r="AY212" s="79">
        <v>5.08</v>
      </c>
      <c r="AZ212" s="79">
        <v>5248</v>
      </c>
      <c r="BA212" s="79">
        <v>1</v>
      </c>
      <c r="BB212" s="79">
        <v>0</v>
      </c>
      <c r="BC212" s="79">
        <v>0</v>
      </c>
      <c r="BD212" s="79">
        <v>0</v>
      </c>
      <c r="BE212" s="79">
        <v>0</v>
      </c>
      <c r="BF212" s="79">
        <v>0</v>
      </c>
      <c r="BG212" s="79">
        <v>0</v>
      </c>
      <c r="BH212" s="79">
        <v>0</v>
      </c>
      <c r="BI212" s="79">
        <v>0</v>
      </c>
      <c r="BJ212" s="79">
        <v>0</v>
      </c>
      <c r="BK212" s="79">
        <v>15</v>
      </c>
      <c r="BL212" s="79">
        <v>4600</v>
      </c>
      <c r="BM212" s="79">
        <v>226</v>
      </c>
      <c r="BN212" s="79">
        <v>4</v>
      </c>
      <c r="BO212">
        <v>12484</v>
      </c>
      <c r="BP212">
        <v>2756</v>
      </c>
      <c r="BQ212">
        <v>11629</v>
      </c>
      <c r="BR212">
        <v>2879</v>
      </c>
      <c r="BS212">
        <v>11772</v>
      </c>
      <c r="BT212">
        <v>3166</v>
      </c>
      <c r="BU212">
        <v>11832</v>
      </c>
      <c r="BV212">
        <v>3402</v>
      </c>
      <c r="BW212">
        <v>11837</v>
      </c>
      <c r="BX212">
        <v>3640</v>
      </c>
      <c r="BY212">
        <v>11894</v>
      </c>
      <c r="BZ212">
        <v>3797</v>
      </c>
      <c r="CA212">
        <v>11388</v>
      </c>
      <c r="CB212">
        <v>813.64116395538895</v>
      </c>
      <c r="CC212">
        <v>101.500549655466</v>
      </c>
      <c r="CD212">
        <v>96.410357323616196</v>
      </c>
      <c r="CE212">
        <v>15882.4063989197</v>
      </c>
      <c r="CF212">
        <v>5084.0828710123797</v>
      </c>
      <c r="CG212">
        <v>301.31733163560602</v>
      </c>
      <c r="CH212">
        <v>647</v>
      </c>
      <c r="CI212">
        <v>197.120026136592</v>
      </c>
      <c r="CJ212">
        <v>169.21838539123399</v>
      </c>
      <c r="CK212" s="81">
        <v>1569</v>
      </c>
      <c r="CL212">
        <v>423</v>
      </c>
      <c r="CM212">
        <v>5212.9208825557398</v>
      </c>
      <c r="CN212">
        <v>0.23525345280887999</v>
      </c>
      <c r="CO212">
        <v>40395</v>
      </c>
      <c r="CP212">
        <v>4763</v>
      </c>
      <c r="CQ212">
        <v>885</v>
      </c>
      <c r="CR212">
        <v>892</v>
      </c>
      <c r="CS212">
        <v>728</v>
      </c>
      <c r="CT212">
        <v>443</v>
      </c>
      <c r="CU212">
        <v>280.12607569855697</v>
      </c>
      <c r="CV212">
        <v>161.14469096886</v>
      </c>
      <c r="CW212">
        <v>64.592644946299501</v>
      </c>
      <c r="CX212">
        <v>911.60775667340999</v>
      </c>
      <c r="CY212">
        <v>524.40941053996198</v>
      </c>
      <c r="CZ212">
        <v>210.20233839445299</v>
      </c>
      <c r="DA212">
        <v>27342</v>
      </c>
      <c r="DE212">
        <v>642</v>
      </c>
      <c r="DF212" t="s">
        <v>364</v>
      </c>
      <c r="DG212">
        <v>8978</v>
      </c>
      <c r="DH212">
        <v>8911</v>
      </c>
      <c r="DI212">
        <v>8868</v>
      </c>
      <c r="DJ212">
        <v>8835</v>
      </c>
      <c r="DK212">
        <v>8818</v>
      </c>
      <c r="DO212">
        <v>489</v>
      </c>
      <c r="DP212" t="s">
        <v>34</v>
      </c>
      <c r="DQ212">
        <v>19310</v>
      </c>
      <c r="DR212">
        <v>1.37</v>
      </c>
      <c r="DS212">
        <v>1658</v>
      </c>
      <c r="DV212">
        <v>1952</v>
      </c>
      <c r="DW212" t="s">
        <v>203</v>
      </c>
      <c r="DX212">
        <v>9921.0960807253596</v>
      </c>
      <c r="DY212">
        <v>1666</v>
      </c>
      <c r="DZ212">
        <v>1378</v>
      </c>
      <c r="EA212">
        <v>673</v>
      </c>
      <c r="EB212">
        <v>4922</v>
      </c>
      <c r="EC212">
        <v>2764</v>
      </c>
      <c r="ED212">
        <v>918</v>
      </c>
      <c r="EE212" s="82">
        <v>0.24639489126515701</v>
      </c>
      <c r="EF212" s="82">
        <v>0.56554360478512</v>
      </c>
    </row>
    <row r="213" spans="1:136" x14ac:dyDescent="0.35">
      <c r="A213" s="72">
        <v>585</v>
      </c>
      <c r="B213" s="72">
        <v>8</v>
      </c>
      <c r="D213" s="72" t="s">
        <v>812</v>
      </c>
      <c r="E213" s="79">
        <v>2440000000</v>
      </c>
      <c r="F213" s="79">
        <v>375550000</v>
      </c>
      <c r="G213" s="79">
        <v>390600000</v>
      </c>
      <c r="H213" s="79">
        <v>29098</v>
      </c>
      <c r="I213" s="79">
        <v>4</v>
      </c>
      <c r="J213" s="79">
        <v>390.6</v>
      </c>
      <c r="K213" s="79">
        <v>6273</v>
      </c>
      <c r="L213" s="79">
        <v>6641</v>
      </c>
      <c r="M213" s="79">
        <v>1954</v>
      </c>
      <c r="N213" s="79">
        <v>3006</v>
      </c>
      <c r="O213" s="79">
        <v>1721.7</v>
      </c>
      <c r="P213" s="79">
        <v>225.333333333333</v>
      </c>
      <c r="Q213" s="79">
        <v>1154.3333333333301</v>
      </c>
      <c r="R213" s="79">
        <v>590</v>
      </c>
      <c r="S213" s="79">
        <v>0</v>
      </c>
      <c r="T213" s="79">
        <v>671</v>
      </c>
      <c r="U213" s="79">
        <v>12771</v>
      </c>
      <c r="V213" s="79">
        <v>17820</v>
      </c>
      <c r="W213" s="79">
        <v>1550</v>
      </c>
      <c r="X213" s="79">
        <v>0</v>
      </c>
      <c r="Y213" s="79">
        <v>0</v>
      </c>
      <c r="Z213" s="79">
        <v>0</v>
      </c>
      <c r="AA213" s="79">
        <v>0</v>
      </c>
      <c r="AB213" s="79">
        <v>0</v>
      </c>
      <c r="AC213" s="79">
        <v>6927</v>
      </c>
      <c r="AD213" s="79">
        <v>9143.64</v>
      </c>
      <c r="AE213" s="79">
        <v>630</v>
      </c>
      <c r="AF213" s="79">
        <v>0</v>
      </c>
      <c r="AG213" s="79">
        <v>193</v>
      </c>
      <c r="AH213" s="79">
        <v>207.9</v>
      </c>
      <c r="AI213" s="79">
        <v>50.16</v>
      </c>
      <c r="AJ213" s="79">
        <v>12843</v>
      </c>
      <c r="AK213" s="79">
        <v>17338.05</v>
      </c>
      <c r="AL213" s="79">
        <v>0</v>
      </c>
      <c r="AM213" s="79">
        <v>0</v>
      </c>
      <c r="AN213" s="79">
        <v>0</v>
      </c>
      <c r="AO213" s="79">
        <v>0</v>
      </c>
      <c r="AP213" s="79">
        <v>1435</v>
      </c>
      <c r="AQ213" s="79">
        <v>0</v>
      </c>
      <c r="AR213" s="80">
        <v>3.4710399999999999E-4</v>
      </c>
      <c r="AS213" s="80">
        <v>2.37159E-4</v>
      </c>
      <c r="AT213" s="79">
        <v>8476.3799999999992</v>
      </c>
      <c r="AU213" s="79">
        <v>0</v>
      </c>
      <c r="AV213" s="79">
        <v>3303.96</v>
      </c>
      <c r="AW213" s="79">
        <v>28335.606986899598</v>
      </c>
      <c r="AX213" s="79">
        <v>10</v>
      </c>
      <c r="AY213" s="79">
        <v>13.2</v>
      </c>
      <c r="AZ213" s="79">
        <v>2976</v>
      </c>
      <c r="BA213" s="79">
        <v>1</v>
      </c>
      <c r="BB213" s="79">
        <v>0</v>
      </c>
      <c r="BC213" s="79">
        <v>0</v>
      </c>
      <c r="BD213" s="79">
        <v>0</v>
      </c>
      <c r="BE213" s="79">
        <v>0</v>
      </c>
      <c r="BF213" s="79">
        <v>0</v>
      </c>
      <c r="BG213" s="79">
        <v>0</v>
      </c>
      <c r="BH213" s="79">
        <v>0</v>
      </c>
      <c r="BI213" s="79">
        <v>0</v>
      </c>
      <c r="BJ213" s="79">
        <v>0</v>
      </c>
      <c r="BK213" s="79">
        <v>9</v>
      </c>
      <c r="BL213" s="79">
        <v>3474</v>
      </c>
      <c r="BM213" s="79">
        <v>154</v>
      </c>
      <c r="BN213" s="79">
        <v>38</v>
      </c>
      <c r="BO213">
        <v>6628</v>
      </c>
      <c r="BP213">
        <v>0</v>
      </c>
      <c r="BQ213">
        <v>5877</v>
      </c>
      <c r="BR213">
        <v>0</v>
      </c>
      <c r="BS213">
        <v>5863</v>
      </c>
      <c r="BT213">
        <v>0</v>
      </c>
      <c r="BU213">
        <v>5885</v>
      </c>
      <c r="BV213">
        <v>0</v>
      </c>
      <c r="BW213">
        <v>5826</v>
      </c>
      <c r="BX213">
        <v>0</v>
      </c>
      <c r="BY213">
        <v>5795</v>
      </c>
      <c r="BZ213">
        <v>0</v>
      </c>
      <c r="CA213">
        <v>5680</v>
      </c>
      <c r="CB213">
        <v>379.71134373749697</v>
      </c>
      <c r="CC213">
        <v>45.918107750729199</v>
      </c>
      <c r="CD213">
        <v>20.9272370278197</v>
      </c>
      <c r="CE213">
        <v>9986.6473566887107</v>
      </c>
      <c r="CF213">
        <v>2385.5045989997302</v>
      </c>
      <c r="CG213">
        <v>159.61974994316901</v>
      </c>
      <c r="CH213">
        <v>247</v>
      </c>
      <c r="CI213">
        <v>74.843784609578407</v>
      </c>
      <c r="CJ213">
        <v>56.051372938815298</v>
      </c>
      <c r="CK213" s="81">
        <v>929</v>
      </c>
      <c r="CL213">
        <v>251</v>
      </c>
      <c r="CM213">
        <v>4724.5742254353399</v>
      </c>
      <c r="CN213">
        <v>0.13536702690678501</v>
      </c>
      <c r="CO213">
        <v>22457</v>
      </c>
      <c r="CP213">
        <v>3972</v>
      </c>
      <c r="CQ213">
        <v>715</v>
      </c>
      <c r="CR213">
        <v>700</v>
      </c>
      <c r="CS213">
        <v>649</v>
      </c>
      <c r="CT213">
        <v>349</v>
      </c>
      <c r="CU213">
        <v>322.716915737769</v>
      </c>
      <c r="CV213">
        <v>188.77665864510999</v>
      </c>
      <c r="CW213">
        <v>68.780132020554802</v>
      </c>
      <c r="CX213">
        <v>819.65171926447499</v>
      </c>
      <c r="CY213">
        <v>479.46390557722498</v>
      </c>
      <c r="CZ213">
        <v>174.69103946102001</v>
      </c>
      <c r="DA213">
        <v>0</v>
      </c>
      <c r="DE213">
        <v>654</v>
      </c>
      <c r="DF213" t="s">
        <v>57</v>
      </c>
      <c r="DG213">
        <v>5451</v>
      </c>
      <c r="DH213">
        <v>5426</v>
      </c>
      <c r="DI213">
        <v>5376</v>
      </c>
      <c r="DJ213">
        <v>5282</v>
      </c>
      <c r="DK213">
        <v>5228</v>
      </c>
      <c r="DO213">
        <v>585</v>
      </c>
      <c r="DP213" t="s">
        <v>812</v>
      </c>
      <c r="DQ213">
        <v>12843</v>
      </c>
      <c r="DR213">
        <v>1.35</v>
      </c>
      <c r="DS213">
        <v>660</v>
      </c>
      <c r="DV213">
        <v>815</v>
      </c>
      <c r="DW213" t="s">
        <v>204</v>
      </c>
      <c r="DX213">
        <v>1328.53965401033</v>
      </c>
      <c r="DY213">
        <v>209</v>
      </c>
      <c r="DZ213">
        <v>207</v>
      </c>
      <c r="EA213">
        <v>106</v>
      </c>
      <c r="EB213">
        <v>794</v>
      </c>
      <c r="EC213">
        <v>457</v>
      </c>
      <c r="ED213">
        <v>172</v>
      </c>
      <c r="EE213" s="82">
        <v>0.190963568552417</v>
      </c>
      <c r="EF213" s="82">
        <v>0.45316433785906901</v>
      </c>
    </row>
    <row r="214" spans="1:136" x14ac:dyDescent="0.35">
      <c r="A214" s="72">
        <v>1901</v>
      </c>
      <c r="B214" s="72">
        <v>8</v>
      </c>
      <c r="D214" s="72" t="s">
        <v>53</v>
      </c>
      <c r="E214" s="79">
        <v>3225200000</v>
      </c>
      <c r="F214" s="79">
        <v>474600000</v>
      </c>
      <c r="G214" s="79">
        <v>503650000</v>
      </c>
      <c r="H214" s="79">
        <v>33948</v>
      </c>
      <c r="I214" s="79">
        <v>6</v>
      </c>
      <c r="J214" s="79">
        <v>503.65</v>
      </c>
      <c r="K214" s="79">
        <v>8393</v>
      </c>
      <c r="L214" s="79">
        <v>6675</v>
      </c>
      <c r="M214" s="79">
        <v>2009</v>
      </c>
      <c r="N214" s="79">
        <v>3209</v>
      </c>
      <c r="O214" s="79">
        <v>1755.6</v>
      </c>
      <c r="P214" s="79">
        <v>274</v>
      </c>
      <c r="Q214" s="79">
        <v>1286</v>
      </c>
      <c r="R214" s="79">
        <v>1415</v>
      </c>
      <c r="S214" s="79">
        <v>0</v>
      </c>
      <c r="T214" s="79">
        <v>832</v>
      </c>
      <c r="U214" s="79">
        <v>14063</v>
      </c>
      <c r="V214" s="79">
        <v>26720</v>
      </c>
      <c r="W214" s="79">
        <v>4070</v>
      </c>
      <c r="X214" s="79">
        <v>0</v>
      </c>
      <c r="Y214" s="79">
        <v>0</v>
      </c>
      <c r="Z214" s="79">
        <v>0</v>
      </c>
      <c r="AA214" s="79">
        <v>0</v>
      </c>
      <c r="AB214" s="79">
        <v>0</v>
      </c>
      <c r="AC214" s="79">
        <v>7566</v>
      </c>
      <c r="AD214" s="79">
        <v>11500.32</v>
      </c>
      <c r="AE214" s="79">
        <v>1298</v>
      </c>
      <c r="AF214" s="79">
        <v>0</v>
      </c>
      <c r="AG214" s="79">
        <v>227</v>
      </c>
      <c r="AH214" s="79">
        <v>244.26</v>
      </c>
      <c r="AI214" s="79">
        <v>79.56</v>
      </c>
      <c r="AJ214" s="79">
        <v>14534</v>
      </c>
      <c r="AK214" s="79">
        <v>20056.919999999998</v>
      </c>
      <c r="AL214" s="79">
        <v>0</v>
      </c>
      <c r="AM214" s="79">
        <v>0</v>
      </c>
      <c r="AN214" s="79">
        <v>0</v>
      </c>
      <c r="AO214" s="79">
        <v>0</v>
      </c>
      <c r="AP214" s="79">
        <v>870</v>
      </c>
      <c r="AQ214" s="79">
        <v>0</v>
      </c>
      <c r="AR214" s="80">
        <v>3.8592299999999998E-4</v>
      </c>
      <c r="AS214" s="80">
        <v>2.3670000000000001E-4</v>
      </c>
      <c r="AT214" s="79">
        <v>16060.07</v>
      </c>
      <c r="AU214" s="79">
        <v>0</v>
      </c>
      <c r="AV214" s="79">
        <v>13719.52</v>
      </c>
      <c r="AW214" s="79">
        <v>147025.47898916999</v>
      </c>
      <c r="AX214" s="79">
        <v>17</v>
      </c>
      <c r="AY214" s="79">
        <v>26.52</v>
      </c>
      <c r="AZ214" s="79">
        <v>4390</v>
      </c>
      <c r="BA214" s="79">
        <v>1</v>
      </c>
      <c r="BB214" s="79">
        <v>0</v>
      </c>
      <c r="BC214" s="79">
        <v>0</v>
      </c>
      <c r="BD214" s="79">
        <v>0</v>
      </c>
      <c r="BE214" s="79">
        <v>0</v>
      </c>
      <c r="BF214" s="79">
        <v>0</v>
      </c>
      <c r="BG214" s="79">
        <v>0</v>
      </c>
      <c r="BH214" s="79">
        <v>0</v>
      </c>
      <c r="BI214" s="79">
        <v>0</v>
      </c>
      <c r="BJ214" s="79">
        <v>0</v>
      </c>
      <c r="BK214" s="79">
        <v>12</v>
      </c>
      <c r="BL214" s="79">
        <v>3872</v>
      </c>
      <c r="BM214" s="79">
        <v>177</v>
      </c>
      <c r="BN214" s="79">
        <v>51</v>
      </c>
      <c r="BO214">
        <v>8789</v>
      </c>
      <c r="BP214">
        <v>158</v>
      </c>
      <c r="BQ214">
        <v>7913</v>
      </c>
      <c r="BR214">
        <v>123</v>
      </c>
      <c r="BS214">
        <v>7805</v>
      </c>
      <c r="BT214">
        <v>98</v>
      </c>
      <c r="BU214">
        <v>7780</v>
      </c>
      <c r="BV214">
        <v>105</v>
      </c>
      <c r="BW214">
        <v>7716</v>
      </c>
      <c r="BX214">
        <v>103</v>
      </c>
      <c r="BY214">
        <v>7575</v>
      </c>
      <c r="BZ214">
        <v>51</v>
      </c>
      <c r="CA214">
        <v>7515</v>
      </c>
      <c r="CB214">
        <v>590.616856663421</v>
      </c>
      <c r="CC214">
        <v>128.48969416476899</v>
      </c>
      <c r="CD214">
        <v>78.554690847481993</v>
      </c>
      <c r="CE214">
        <v>11492.2497948441</v>
      </c>
      <c r="CF214">
        <v>3006.92481331934</v>
      </c>
      <c r="CG214">
        <v>235.281612062546</v>
      </c>
      <c r="CH214">
        <v>357</v>
      </c>
      <c r="CI214">
        <v>99.217852881609602</v>
      </c>
      <c r="CJ214">
        <v>67.048794211620901</v>
      </c>
      <c r="CK214" s="81">
        <v>1012</v>
      </c>
      <c r="CL214">
        <v>301</v>
      </c>
      <c r="CM214">
        <v>4316.06738931572</v>
      </c>
      <c r="CN214">
        <v>0.15908117913214301</v>
      </c>
      <c r="CO214">
        <v>27273</v>
      </c>
      <c r="CP214">
        <v>3967</v>
      </c>
      <c r="CQ214">
        <v>699</v>
      </c>
      <c r="CR214">
        <v>711</v>
      </c>
      <c r="CS214">
        <v>659</v>
      </c>
      <c r="CT214">
        <v>397</v>
      </c>
      <c r="CU214">
        <v>290.40197294116399</v>
      </c>
      <c r="CV214">
        <v>173.22646805225801</v>
      </c>
      <c r="CW214">
        <v>69.459706506309999</v>
      </c>
      <c r="CX214">
        <v>753.09451788415095</v>
      </c>
      <c r="CY214">
        <v>449.22526565968099</v>
      </c>
      <c r="CZ214">
        <v>180.12868044234099</v>
      </c>
      <c r="DA214">
        <v>30295</v>
      </c>
      <c r="DE214">
        <v>664</v>
      </c>
      <c r="DF214" t="s">
        <v>116</v>
      </c>
      <c r="DG214">
        <v>7508</v>
      </c>
      <c r="DH214">
        <v>7323</v>
      </c>
      <c r="DI214">
        <v>7269</v>
      </c>
      <c r="DJ214">
        <v>7259</v>
      </c>
      <c r="DK214">
        <v>7149</v>
      </c>
      <c r="DO214">
        <v>1901</v>
      </c>
      <c r="DP214" t="s">
        <v>53</v>
      </c>
      <c r="DQ214">
        <v>14534</v>
      </c>
      <c r="DR214">
        <v>1.38</v>
      </c>
      <c r="DS214">
        <v>1105</v>
      </c>
      <c r="DV214">
        <v>1709</v>
      </c>
      <c r="DW214" t="s">
        <v>205</v>
      </c>
      <c r="DX214">
        <v>4477.6715039577803</v>
      </c>
      <c r="DY214">
        <v>877</v>
      </c>
      <c r="DZ214">
        <v>824</v>
      </c>
      <c r="EA214">
        <v>405</v>
      </c>
      <c r="EB214">
        <v>2916</v>
      </c>
      <c r="EC214">
        <v>1657</v>
      </c>
      <c r="ED214">
        <v>560</v>
      </c>
      <c r="EE214" s="82">
        <v>0.17327870027206499</v>
      </c>
      <c r="EF214" s="82">
        <v>0.42241600566415499</v>
      </c>
    </row>
    <row r="215" spans="1:136" x14ac:dyDescent="0.35">
      <c r="A215" s="72">
        <v>501</v>
      </c>
      <c r="B215" s="72">
        <v>8</v>
      </c>
      <c r="D215" s="72" t="s">
        <v>61</v>
      </c>
      <c r="E215" s="79">
        <v>1408000000</v>
      </c>
      <c r="F215" s="79">
        <v>240800000</v>
      </c>
      <c r="G215" s="79">
        <v>252000000</v>
      </c>
      <c r="H215" s="79">
        <v>17040</v>
      </c>
      <c r="I215" s="79">
        <v>3</v>
      </c>
      <c r="J215" s="79">
        <v>252</v>
      </c>
      <c r="K215" s="79">
        <v>3400</v>
      </c>
      <c r="L215" s="79">
        <v>3740</v>
      </c>
      <c r="M215" s="79">
        <v>1163</v>
      </c>
      <c r="N215" s="79">
        <v>1774</v>
      </c>
      <c r="O215" s="79">
        <v>976.7</v>
      </c>
      <c r="P215" s="79">
        <v>225.666666666667</v>
      </c>
      <c r="Q215" s="79">
        <v>831.66666666666697</v>
      </c>
      <c r="R215" s="79">
        <v>475</v>
      </c>
      <c r="S215" s="79">
        <v>0</v>
      </c>
      <c r="T215" s="79">
        <v>543</v>
      </c>
      <c r="U215" s="79">
        <v>7919</v>
      </c>
      <c r="V215" s="79">
        <v>13880</v>
      </c>
      <c r="W215" s="79">
        <v>2100</v>
      </c>
      <c r="X215" s="79">
        <v>697.68</v>
      </c>
      <c r="Y215" s="79">
        <v>1258.4000000000001</v>
      </c>
      <c r="Z215" s="79">
        <v>0</v>
      </c>
      <c r="AA215" s="79">
        <v>0</v>
      </c>
      <c r="AB215" s="79">
        <v>0</v>
      </c>
      <c r="AC215" s="79">
        <v>2755</v>
      </c>
      <c r="AD215" s="79">
        <v>3223.35</v>
      </c>
      <c r="AE215" s="79">
        <v>359</v>
      </c>
      <c r="AF215" s="79">
        <v>0</v>
      </c>
      <c r="AG215" s="79">
        <v>88</v>
      </c>
      <c r="AH215" s="79">
        <v>82.96</v>
      </c>
      <c r="AI215" s="79">
        <v>23.2</v>
      </c>
      <c r="AJ215" s="79">
        <v>7973</v>
      </c>
      <c r="AK215" s="79">
        <v>9727.06</v>
      </c>
      <c r="AL215" s="79">
        <v>26</v>
      </c>
      <c r="AM215" s="79">
        <v>0</v>
      </c>
      <c r="AN215" s="79">
        <v>0</v>
      </c>
      <c r="AO215" s="79">
        <v>5800</v>
      </c>
      <c r="AP215" s="79">
        <v>870</v>
      </c>
      <c r="AQ215" s="79">
        <v>870</v>
      </c>
      <c r="AR215" s="80">
        <v>3.4786700000000002E-4</v>
      </c>
      <c r="AS215" s="80">
        <v>1.5063399999999999E-4</v>
      </c>
      <c r="AT215" s="79">
        <v>6920.5640000000003</v>
      </c>
      <c r="AU215" s="79">
        <v>0</v>
      </c>
      <c r="AV215" s="79">
        <v>1843.92</v>
      </c>
      <c r="AW215" s="79">
        <v>17888.060115606899</v>
      </c>
      <c r="AX215" s="79">
        <v>4</v>
      </c>
      <c r="AY215" s="79">
        <v>4.6399999999999997</v>
      </c>
      <c r="AZ215" s="79">
        <v>1726</v>
      </c>
      <c r="BA215" s="79">
        <v>1</v>
      </c>
      <c r="BB215" s="79">
        <v>0</v>
      </c>
      <c r="BC215" s="79">
        <v>0</v>
      </c>
      <c r="BD215" s="79">
        <v>0</v>
      </c>
      <c r="BE215" s="79">
        <v>0</v>
      </c>
      <c r="BF215" s="79">
        <v>0</v>
      </c>
      <c r="BG215" s="79">
        <v>0</v>
      </c>
      <c r="BH215" s="79">
        <v>0</v>
      </c>
      <c r="BI215" s="79">
        <v>0</v>
      </c>
      <c r="BJ215" s="79">
        <v>0</v>
      </c>
      <c r="BK215" s="79">
        <v>5</v>
      </c>
      <c r="BL215" s="79">
        <v>2445</v>
      </c>
      <c r="BM215" s="79">
        <v>68</v>
      </c>
      <c r="BN215" s="79">
        <v>20</v>
      </c>
      <c r="BO215">
        <v>3664</v>
      </c>
      <c r="BP215">
        <v>1511</v>
      </c>
      <c r="BQ215">
        <v>3223</v>
      </c>
      <c r="BR215">
        <v>1614</v>
      </c>
      <c r="BS215">
        <v>3197</v>
      </c>
      <c r="BT215">
        <v>1646</v>
      </c>
      <c r="BU215">
        <v>3174</v>
      </c>
      <c r="BV215">
        <v>1618</v>
      </c>
      <c r="BW215">
        <v>3143</v>
      </c>
      <c r="BX215">
        <v>1561</v>
      </c>
      <c r="BY215">
        <v>3132</v>
      </c>
      <c r="BZ215">
        <v>1558</v>
      </c>
      <c r="CA215">
        <v>3026</v>
      </c>
      <c r="CB215">
        <v>296.66976717163698</v>
      </c>
      <c r="CC215">
        <v>30.660242965687502</v>
      </c>
      <c r="CD215">
        <v>7.8989676036617</v>
      </c>
      <c r="CE215">
        <v>5949.4291317380303</v>
      </c>
      <c r="CF215">
        <v>1354.84567811375</v>
      </c>
      <c r="CG215">
        <v>76.980315789473707</v>
      </c>
      <c r="CH215">
        <v>208</v>
      </c>
      <c r="CI215">
        <v>65.409204993610004</v>
      </c>
      <c r="CJ215">
        <v>62.082216862611901</v>
      </c>
      <c r="CK215" s="81">
        <v>606</v>
      </c>
      <c r="CL215">
        <v>177</v>
      </c>
      <c r="CM215">
        <v>2575.6615384615402</v>
      </c>
      <c r="CN215">
        <v>0.265617799711314</v>
      </c>
      <c r="CO215">
        <v>13300</v>
      </c>
      <c r="CP215">
        <v>2191</v>
      </c>
      <c r="CQ215">
        <v>386</v>
      </c>
      <c r="CR215">
        <v>459</v>
      </c>
      <c r="CS215">
        <v>395</v>
      </c>
      <c r="CT215">
        <v>171</v>
      </c>
      <c r="CU215">
        <v>165.51048470052501</v>
      </c>
      <c r="CV215">
        <v>101.43795805480001</v>
      </c>
      <c r="CW215">
        <v>32.342537350805699</v>
      </c>
      <c r="CX215">
        <v>468.55629036481798</v>
      </c>
      <c r="CY215">
        <v>287.16847403558103</v>
      </c>
      <c r="CZ215">
        <v>91.560962735982201</v>
      </c>
      <c r="DA215">
        <v>29973</v>
      </c>
      <c r="DE215">
        <v>668</v>
      </c>
      <c r="DF215" t="s">
        <v>335</v>
      </c>
      <c r="DG215">
        <v>4035</v>
      </c>
      <c r="DH215">
        <v>4008</v>
      </c>
      <c r="DI215">
        <v>3885</v>
      </c>
      <c r="DJ215">
        <v>3839</v>
      </c>
      <c r="DK215">
        <v>3760</v>
      </c>
      <c r="DO215">
        <v>501</v>
      </c>
      <c r="DP215" t="s">
        <v>61</v>
      </c>
      <c r="DQ215">
        <v>7973</v>
      </c>
      <c r="DR215">
        <v>1.22</v>
      </c>
      <c r="DS215">
        <v>868</v>
      </c>
      <c r="DV215">
        <v>1927</v>
      </c>
      <c r="DW215" t="s">
        <v>817</v>
      </c>
      <c r="DX215">
        <v>2570.7420284465902</v>
      </c>
      <c r="DY215">
        <v>516</v>
      </c>
      <c r="DZ215">
        <v>472</v>
      </c>
      <c r="EA215">
        <v>261</v>
      </c>
      <c r="EB215">
        <v>1852</v>
      </c>
      <c r="EC215">
        <v>1032</v>
      </c>
      <c r="ED215">
        <v>373</v>
      </c>
      <c r="EE215" s="82">
        <v>0.12873405360321999</v>
      </c>
      <c r="EF215" s="82">
        <v>0.38309035837626698</v>
      </c>
    </row>
    <row r="216" spans="1:136" x14ac:dyDescent="0.35">
      <c r="A216" s="72">
        <v>502</v>
      </c>
      <c r="B216" s="72">
        <v>8</v>
      </c>
      <c r="D216" s="72" t="s">
        <v>68</v>
      </c>
      <c r="E216" s="79">
        <v>4653600000</v>
      </c>
      <c r="F216" s="79">
        <v>710150000</v>
      </c>
      <c r="G216" s="79">
        <v>735700000</v>
      </c>
      <c r="H216" s="79">
        <v>66854</v>
      </c>
      <c r="I216" s="79">
        <v>1</v>
      </c>
      <c r="J216" s="79">
        <v>735.7</v>
      </c>
      <c r="K216" s="79">
        <v>14879</v>
      </c>
      <c r="L216" s="79">
        <v>13020</v>
      </c>
      <c r="M216" s="79">
        <v>3663</v>
      </c>
      <c r="N216" s="79">
        <v>9996</v>
      </c>
      <c r="O216" s="79">
        <v>6903.6</v>
      </c>
      <c r="P216" s="79">
        <v>2285</v>
      </c>
      <c r="Q216" s="79">
        <v>5282</v>
      </c>
      <c r="R216" s="79">
        <v>9900</v>
      </c>
      <c r="S216" s="79">
        <v>0</v>
      </c>
      <c r="T216" s="79">
        <v>3420</v>
      </c>
      <c r="U216" s="79">
        <v>31613</v>
      </c>
      <c r="V216" s="79">
        <v>66670</v>
      </c>
      <c r="W216" s="79">
        <v>34460</v>
      </c>
      <c r="X216" s="79">
        <v>1744.12</v>
      </c>
      <c r="Y216" s="79">
        <v>2314.4</v>
      </c>
      <c r="Z216" s="79">
        <v>0</v>
      </c>
      <c r="AA216" s="79">
        <v>0</v>
      </c>
      <c r="AB216" s="79">
        <v>0</v>
      </c>
      <c r="AC216" s="79">
        <v>1422</v>
      </c>
      <c r="AD216" s="79">
        <v>2047.68</v>
      </c>
      <c r="AE216" s="79">
        <v>118</v>
      </c>
      <c r="AF216" s="79">
        <v>0</v>
      </c>
      <c r="AG216" s="79">
        <v>228</v>
      </c>
      <c r="AH216" s="79">
        <v>324</v>
      </c>
      <c r="AI216" s="79">
        <v>4.05</v>
      </c>
      <c r="AJ216" s="79">
        <v>30924</v>
      </c>
      <c r="AK216" s="79">
        <v>44530.559999999998</v>
      </c>
      <c r="AL216" s="79">
        <v>0</v>
      </c>
      <c r="AM216" s="79">
        <v>0</v>
      </c>
      <c r="AN216" s="79">
        <v>0</v>
      </c>
      <c r="AO216" s="79">
        <v>0</v>
      </c>
      <c r="AP216" s="79">
        <v>841</v>
      </c>
      <c r="AQ216" s="79">
        <v>0</v>
      </c>
      <c r="AR216" s="80">
        <v>2.5181200000000002E-4</v>
      </c>
      <c r="AS216" s="80">
        <v>3.1328100000000002E-3</v>
      </c>
      <c r="AT216" s="79">
        <v>69981.012000000002</v>
      </c>
      <c r="AU216" s="79">
        <v>0</v>
      </c>
      <c r="AV216" s="79">
        <v>3000.96</v>
      </c>
      <c r="AW216" s="79">
        <v>382578.52675324702</v>
      </c>
      <c r="AX216" s="79">
        <v>1</v>
      </c>
      <c r="AY216" s="79">
        <v>1.35</v>
      </c>
      <c r="AZ216" s="79">
        <v>6368</v>
      </c>
      <c r="BA216" s="79">
        <v>1</v>
      </c>
      <c r="BB216" s="79">
        <v>0</v>
      </c>
      <c r="BC216" s="79">
        <v>0</v>
      </c>
      <c r="BD216" s="79">
        <v>0</v>
      </c>
      <c r="BE216" s="79">
        <v>0</v>
      </c>
      <c r="BF216" s="79">
        <v>0</v>
      </c>
      <c r="BG216" s="79">
        <v>0</v>
      </c>
      <c r="BH216" s="79">
        <v>0</v>
      </c>
      <c r="BI216" s="79">
        <v>0</v>
      </c>
      <c r="BJ216" s="79">
        <v>0</v>
      </c>
      <c r="BK216" s="79">
        <v>22</v>
      </c>
      <c r="BL216" s="79">
        <v>11539</v>
      </c>
      <c r="BM216" s="79">
        <v>225</v>
      </c>
      <c r="BN216" s="79">
        <v>3</v>
      </c>
      <c r="BO216">
        <v>15473</v>
      </c>
      <c r="BP216">
        <v>3871</v>
      </c>
      <c r="BQ216">
        <v>13758</v>
      </c>
      <c r="BR216">
        <v>3783</v>
      </c>
      <c r="BS216">
        <v>13653</v>
      </c>
      <c r="BT216">
        <v>3526</v>
      </c>
      <c r="BU216">
        <v>13753</v>
      </c>
      <c r="BV216">
        <v>3243</v>
      </c>
      <c r="BW216">
        <v>13621</v>
      </c>
      <c r="BX216">
        <v>3051</v>
      </c>
      <c r="BY216">
        <v>13443</v>
      </c>
      <c r="BZ216">
        <v>2874</v>
      </c>
      <c r="CA216">
        <v>13351</v>
      </c>
      <c r="CB216">
        <v>2404.6265045968498</v>
      </c>
      <c r="CC216">
        <v>279.75509221234</v>
      </c>
      <c r="CD216">
        <v>209.211970857003</v>
      </c>
      <c r="CE216">
        <v>20625.5939859391</v>
      </c>
      <c r="CF216">
        <v>4760.3882967179097</v>
      </c>
      <c r="CG216">
        <v>378.19298672321599</v>
      </c>
      <c r="CH216">
        <v>1386</v>
      </c>
      <c r="CI216">
        <v>846.58822588423595</v>
      </c>
      <c r="CJ216">
        <v>855.31557060432795</v>
      </c>
      <c r="CK216" s="81">
        <v>2997</v>
      </c>
      <c r="CL216">
        <v>861</v>
      </c>
      <c r="CM216">
        <v>10376.799427247801</v>
      </c>
      <c r="CN216">
        <v>5.6243959660524396</v>
      </c>
      <c r="CO216">
        <v>53834</v>
      </c>
      <c r="CP216">
        <v>7780</v>
      </c>
      <c r="CQ216">
        <v>1577</v>
      </c>
      <c r="CR216">
        <v>2026</v>
      </c>
      <c r="CS216">
        <v>1438</v>
      </c>
      <c r="CT216">
        <v>859</v>
      </c>
      <c r="CU216">
        <v>1145.50326228775</v>
      </c>
      <c r="CV216">
        <v>593.17914010885602</v>
      </c>
      <c r="CW216">
        <v>257.63218956929597</v>
      </c>
      <c r="CX216">
        <v>2284.8157374172001</v>
      </c>
      <c r="CY216">
        <v>1183.1524876861199</v>
      </c>
      <c r="CZ216">
        <v>513.87202513729301</v>
      </c>
      <c r="DA216">
        <v>45774</v>
      </c>
      <c r="DE216">
        <v>677</v>
      </c>
      <c r="DF216" t="s">
        <v>161</v>
      </c>
      <c r="DG216">
        <v>5553</v>
      </c>
      <c r="DH216">
        <v>5458</v>
      </c>
      <c r="DI216">
        <v>5318</v>
      </c>
      <c r="DJ216">
        <v>5254</v>
      </c>
      <c r="DK216">
        <v>5126</v>
      </c>
      <c r="DO216">
        <v>502</v>
      </c>
      <c r="DP216" t="s">
        <v>68</v>
      </c>
      <c r="DQ216">
        <v>30924</v>
      </c>
      <c r="DR216">
        <v>1.44</v>
      </c>
      <c r="DS216">
        <v>2263</v>
      </c>
      <c r="DV216">
        <v>1955</v>
      </c>
      <c r="DW216" t="s">
        <v>207</v>
      </c>
      <c r="DX216">
        <v>4843.5058373458196</v>
      </c>
      <c r="DY216">
        <v>888</v>
      </c>
      <c r="DZ216">
        <v>833</v>
      </c>
      <c r="EA216">
        <v>407</v>
      </c>
      <c r="EB216">
        <v>2851</v>
      </c>
      <c r="EC216">
        <v>1830</v>
      </c>
      <c r="ED216">
        <v>573</v>
      </c>
      <c r="EE216" s="82">
        <v>0.20583480692971001</v>
      </c>
      <c r="EF216" s="82">
        <v>0.50750240615976905</v>
      </c>
    </row>
    <row r="217" spans="1:136" x14ac:dyDescent="0.35">
      <c r="A217" s="72">
        <v>611</v>
      </c>
      <c r="B217" s="72">
        <v>8</v>
      </c>
      <c r="D217" s="72" t="s">
        <v>813</v>
      </c>
      <c r="E217" s="79">
        <v>1061200000</v>
      </c>
      <c r="F217" s="79">
        <v>182700000</v>
      </c>
      <c r="G217" s="79">
        <v>192500000</v>
      </c>
      <c r="H217" s="79">
        <v>12826</v>
      </c>
      <c r="I217" s="79">
        <v>2</v>
      </c>
      <c r="J217" s="79">
        <v>192.5</v>
      </c>
      <c r="K217" s="79">
        <v>2690</v>
      </c>
      <c r="L217" s="79">
        <v>2921</v>
      </c>
      <c r="M217" s="79">
        <v>873</v>
      </c>
      <c r="N217" s="79">
        <v>1315</v>
      </c>
      <c r="O217" s="79">
        <v>750.1</v>
      </c>
      <c r="P217" s="79">
        <v>92</v>
      </c>
      <c r="Q217" s="79">
        <v>484</v>
      </c>
      <c r="R217" s="79">
        <v>200</v>
      </c>
      <c r="S217" s="79">
        <v>0</v>
      </c>
      <c r="T217" s="79">
        <v>291</v>
      </c>
      <c r="U217" s="79">
        <v>5645</v>
      </c>
      <c r="V217" s="79">
        <v>10120</v>
      </c>
      <c r="W217" s="79">
        <v>780</v>
      </c>
      <c r="X217" s="79">
        <v>0</v>
      </c>
      <c r="Y217" s="79">
        <v>0</v>
      </c>
      <c r="Z217" s="79">
        <v>0</v>
      </c>
      <c r="AA217" s="79">
        <v>0</v>
      </c>
      <c r="AB217" s="79">
        <v>0</v>
      </c>
      <c r="AC217" s="79">
        <v>5431</v>
      </c>
      <c r="AD217" s="79">
        <v>6191.34</v>
      </c>
      <c r="AE217" s="79">
        <v>1601</v>
      </c>
      <c r="AF217" s="79">
        <v>0</v>
      </c>
      <c r="AG217" s="79">
        <v>100</v>
      </c>
      <c r="AH217" s="79">
        <v>87.6</v>
      </c>
      <c r="AI217" s="79">
        <v>30.78</v>
      </c>
      <c r="AJ217" s="79">
        <v>5649</v>
      </c>
      <c r="AK217" s="79">
        <v>6778.8</v>
      </c>
      <c r="AL217" s="79">
        <v>0</v>
      </c>
      <c r="AM217" s="79">
        <v>0</v>
      </c>
      <c r="AN217" s="79">
        <v>0</v>
      </c>
      <c r="AO217" s="79">
        <v>0</v>
      </c>
      <c r="AP217" s="79">
        <v>0</v>
      </c>
      <c r="AQ217" s="79">
        <v>0</v>
      </c>
      <c r="AR217" s="80">
        <v>1.81879E-4</v>
      </c>
      <c r="AS217" s="80">
        <v>7.8554999999999996E-5</v>
      </c>
      <c r="AT217" s="79">
        <v>3700.0949999999998</v>
      </c>
      <c r="AU217" s="79">
        <v>0</v>
      </c>
      <c r="AV217" s="79">
        <v>1670.1</v>
      </c>
      <c r="AW217" s="79">
        <v>5354.1983788395901</v>
      </c>
      <c r="AX217" s="79">
        <v>5</v>
      </c>
      <c r="AY217" s="79">
        <v>5.7</v>
      </c>
      <c r="AZ217" s="79">
        <v>1499</v>
      </c>
      <c r="BA217" s="79">
        <v>1</v>
      </c>
      <c r="BB217" s="79">
        <v>0</v>
      </c>
      <c r="BC217" s="79">
        <v>0</v>
      </c>
      <c r="BD217" s="79">
        <v>0</v>
      </c>
      <c r="BE217" s="79">
        <v>0</v>
      </c>
      <c r="BF217" s="79">
        <v>0</v>
      </c>
      <c r="BG217" s="79">
        <v>0</v>
      </c>
      <c r="BH217" s="79">
        <v>0</v>
      </c>
      <c r="BI217" s="79">
        <v>0</v>
      </c>
      <c r="BJ217" s="79">
        <v>0</v>
      </c>
      <c r="BK217" s="79">
        <v>4</v>
      </c>
      <c r="BL217" s="79">
        <v>1533</v>
      </c>
      <c r="BM217" s="79">
        <v>73</v>
      </c>
      <c r="BN217" s="79">
        <v>27</v>
      </c>
      <c r="BO217">
        <v>3000</v>
      </c>
      <c r="BP217">
        <v>0</v>
      </c>
      <c r="BQ217">
        <v>2703</v>
      </c>
      <c r="BR217">
        <v>0</v>
      </c>
      <c r="BS217">
        <v>2642</v>
      </c>
      <c r="BT217">
        <v>0</v>
      </c>
      <c r="BU217">
        <v>2599</v>
      </c>
      <c r="BV217">
        <v>0</v>
      </c>
      <c r="BW217">
        <v>2591</v>
      </c>
      <c r="BX217">
        <v>0</v>
      </c>
      <c r="BY217">
        <v>2547</v>
      </c>
      <c r="BZ217">
        <v>0</v>
      </c>
      <c r="CA217">
        <v>2380</v>
      </c>
      <c r="CB217">
        <v>130.87491072489399</v>
      </c>
      <c r="CC217">
        <v>35.914962683584797</v>
      </c>
      <c r="CD217">
        <v>14.939312957705701</v>
      </c>
      <c r="CE217">
        <v>4357.7738241337902</v>
      </c>
      <c r="CF217">
        <v>1066.37488763544</v>
      </c>
      <c r="CG217">
        <v>113.317491039427</v>
      </c>
      <c r="CH217">
        <v>110</v>
      </c>
      <c r="CI217">
        <v>22.023130097020701</v>
      </c>
      <c r="CJ217">
        <v>18.447287296319001</v>
      </c>
      <c r="CK217" s="81">
        <v>392</v>
      </c>
      <c r="CL217">
        <v>106</v>
      </c>
      <c r="CM217">
        <v>2468.0622814582498</v>
      </c>
      <c r="CN217">
        <v>6.0523954119112801E-2</v>
      </c>
      <c r="CO217">
        <v>9905</v>
      </c>
      <c r="CP217">
        <v>1782</v>
      </c>
      <c r="CQ217">
        <v>266</v>
      </c>
      <c r="CR217">
        <v>345</v>
      </c>
      <c r="CS217">
        <v>261</v>
      </c>
      <c r="CT217">
        <v>132</v>
      </c>
      <c r="CU217">
        <v>146.771025992424</v>
      </c>
      <c r="CV217">
        <v>79.888026806002799</v>
      </c>
      <c r="CW217">
        <v>24.417602877582301</v>
      </c>
      <c r="CX217">
        <v>383.584942371198</v>
      </c>
      <c r="CY217">
        <v>208.786740784323</v>
      </c>
      <c r="CZ217">
        <v>63.815216452351201</v>
      </c>
      <c r="DA217">
        <v>0</v>
      </c>
      <c r="DE217">
        <v>678</v>
      </c>
      <c r="DF217" t="s">
        <v>165</v>
      </c>
      <c r="DG217">
        <v>3077</v>
      </c>
      <c r="DH217">
        <v>3070</v>
      </c>
      <c r="DI217">
        <v>3024</v>
      </c>
      <c r="DJ217">
        <v>3030</v>
      </c>
      <c r="DK217">
        <v>2997</v>
      </c>
      <c r="DO217">
        <v>611</v>
      </c>
      <c r="DP217" t="s">
        <v>813</v>
      </c>
      <c r="DQ217">
        <v>5649</v>
      </c>
      <c r="DR217">
        <v>1.2</v>
      </c>
      <c r="DS217">
        <v>655</v>
      </c>
      <c r="DV217">
        <v>335</v>
      </c>
      <c r="DW217" t="s">
        <v>208</v>
      </c>
      <c r="DX217">
        <v>1241.98738965952</v>
      </c>
      <c r="DY217">
        <v>282</v>
      </c>
      <c r="DZ217">
        <v>255</v>
      </c>
      <c r="EA217">
        <v>115</v>
      </c>
      <c r="EB217">
        <v>996</v>
      </c>
      <c r="EC217">
        <v>575</v>
      </c>
      <c r="ED217">
        <v>153</v>
      </c>
      <c r="EE217" s="82">
        <v>0.115997806897308</v>
      </c>
      <c r="EF217" s="82">
        <v>0.33432256961095702</v>
      </c>
    </row>
    <row r="218" spans="1:136" x14ac:dyDescent="0.35">
      <c r="A218" s="72">
        <v>503</v>
      </c>
      <c r="B218" s="72">
        <v>8</v>
      </c>
      <c r="D218" s="72" t="s">
        <v>80</v>
      </c>
      <c r="E218" s="79">
        <v>7576400000</v>
      </c>
      <c r="F218" s="79">
        <v>1796900000</v>
      </c>
      <c r="G218" s="79">
        <v>1845550000</v>
      </c>
      <c r="H218" s="79">
        <v>102253</v>
      </c>
      <c r="I218" s="79">
        <v>1</v>
      </c>
      <c r="J218" s="79">
        <v>1845.55</v>
      </c>
      <c r="K218" s="79">
        <v>18698</v>
      </c>
      <c r="L218" s="79">
        <v>15925</v>
      </c>
      <c r="M218" s="79">
        <v>4505</v>
      </c>
      <c r="N218" s="79">
        <v>15123</v>
      </c>
      <c r="O218" s="79">
        <v>9773.2999999999993</v>
      </c>
      <c r="P218" s="79">
        <v>3202.6666666666702</v>
      </c>
      <c r="Q218" s="79">
        <v>7554.6666666666697</v>
      </c>
      <c r="R218" s="79">
        <v>9235</v>
      </c>
      <c r="S218" s="79">
        <v>0</v>
      </c>
      <c r="T218" s="79">
        <v>3474</v>
      </c>
      <c r="U218" s="79">
        <v>59029</v>
      </c>
      <c r="V218" s="79">
        <v>107430</v>
      </c>
      <c r="W218" s="79">
        <v>88250</v>
      </c>
      <c r="X218" s="79">
        <v>2194.96</v>
      </c>
      <c r="Y218" s="79">
        <v>5473.6</v>
      </c>
      <c r="Z218" s="79">
        <v>0</v>
      </c>
      <c r="AA218" s="79">
        <v>0</v>
      </c>
      <c r="AB218" s="79">
        <v>0</v>
      </c>
      <c r="AC218" s="79">
        <v>2269</v>
      </c>
      <c r="AD218" s="79">
        <v>2881.63</v>
      </c>
      <c r="AE218" s="79">
        <v>137</v>
      </c>
      <c r="AF218" s="79">
        <v>0</v>
      </c>
      <c r="AG218" s="79">
        <v>348</v>
      </c>
      <c r="AH218" s="79">
        <v>413.75</v>
      </c>
      <c r="AI218" s="79">
        <v>21.28</v>
      </c>
      <c r="AJ218" s="79">
        <v>53497</v>
      </c>
      <c r="AK218" s="79">
        <v>66871.25</v>
      </c>
      <c r="AL218" s="79">
        <v>0</v>
      </c>
      <c r="AM218" s="79">
        <v>0</v>
      </c>
      <c r="AN218" s="79">
        <v>85</v>
      </c>
      <c r="AO218" s="79">
        <v>18100</v>
      </c>
      <c r="AP218" s="79">
        <v>11645</v>
      </c>
      <c r="AQ218" s="79">
        <v>11645</v>
      </c>
      <c r="AR218" s="80">
        <v>6.998074E-3</v>
      </c>
      <c r="AS218" s="80">
        <v>9.5393400000000003E-3</v>
      </c>
      <c r="AT218" s="79">
        <v>184029.68</v>
      </c>
      <c r="AU218" s="79">
        <v>2139.88</v>
      </c>
      <c r="AV218" s="79">
        <v>3364.23</v>
      </c>
      <c r="AW218" s="79">
        <v>293348.38730257697</v>
      </c>
      <c r="AX218" s="79">
        <v>1</v>
      </c>
      <c r="AY218" s="79">
        <v>1.33</v>
      </c>
      <c r="AZ218" s="79">
        <v>9493</v>
      </c>
      <c r="BA218" s="79">
        <v>1</v>
      </c>
      <c r="BB218" s="79">
        <v>0</v>
      </c>
      <c r="BC218" s="79">
        <v>0</v>
      </c>
      <c r="BD218" s="79">
        <v>0</v>
      </c>
      <c r="BE218" s="79">
        <v>0</v>
      </c>
      <c r="BF218" s="79">
        <v>0</v>
      </c>
      <c r="BG218" s="79">
        <v>0</v>
      </c>
      <c r="BH218" s="79">
        <v>0</v>
      </c>
      <c r="BI218" s="79">
        <v>0</v>
      </c>
      <c r="BJ218" s="79">
        <v>0</v>
      </c>
      <c r="BK218" s="79">
        <v>31</v>
      </c>
      <c r="BL218" s="79">
        <v>33248</v>
      </c>
      <c r="BM218" s="79">
        <v>331</v>
      </c>
      <c r="BN218" s="79">
        <v>16</v>
      </c>
      <c r="BO218">
        <v>19486</v>
      </c>
      <c r="BP218">
        <v>6830</v>
      </c>
      <c r="BQ218">
        <v>16011</v>
      </c>
      <c r="BR218">
        <v>6728</v>
      </c>
      <c r="BS218">
        <v>15741</v>
      </c>
      <c r="BT218">
        <v>6637</v>
      </c>
      <c r="BU218">
        <v>15631</v>
      </c>
      <c r="BV218">
        <v>6673</v>
      </c>
      <c r="BW218">
        <v>15623</v>
      </c>
      <c r="BX218">
        <v>6641</v>
      </c>
      <c r="BY218">
        <v>15349</v>
      </c>
      <c r="BZ218">
        <v>6657</v>
      </c>
      <c r="CA218">
        <v>15302</v>
      </c>
      <c r="CB218">
        <v>2760.4140812478699</v>
      </c>
      <c r="CC218">
        <v>285.63604768886302</v>
      </c>
      <c r="CD218">
        <v>283.17376032609599</v>
      </c>
      <c r="CE218">
        <v>28442.2087236193</v>
      </c>
      <c r="CF218">
        <v>5711.5184472751498</v>
      </c>
      <c r="CG218">
        <v>686.03863154476801</v>
      </c>
      <c r="CH218">
        <v>1311</v>
      </c>
      <c r="CI218">
        <v>950.71578837374705</v>
      </c>
      <c r="CJ218">
        <v>941.16640763719704</v>
      </c>
      <c r="CK218" s="81">
        <v>4352</v>
      </c>
      <c r="CL218">
        <v>1310</v>
      </c>
      <c r="CM218">
        <v>11192.348583249201</v>
      </c>
      <c r="CN218">
        <v>7.1686170597113499</v>
      </c>
      <c r="CO218">
        <v>86328</v>
      </c>
      <c r="CP218">
        <v>9379</v>
      </c>
      <c r="CQ218">
        <v>2041</v>
      </c>
      <c r="CR218">
        <v>2958</v>
      </c>
      <c r="CS218">
        <v>1889</v>
      </c>
      <c r="CT218">
        <v>1148</v>
      </c>
      <c r="CU218">
        <v>1174.46242467101</v>
      </c>
      <c r="CV218">
        <v>612.53266603233897</v>
      </c>
      <c r="CW218">
        <v>278.04196770093102</v>
      </c>
      <c r="CX218">
        <v>3123.9843371766401</v>
      </c>
      <c r="CY218">
        <v>1629.2921889179199</v>
      </c>
      <c r="CZ218">
        <v>739.57134253894003</v>
      </c>
      <c r="DA218">
        <v>104806.5</v>
      </c>
      <c r="DE218">
        <v>687</v>
      </c>
      <c r="DF218" t="s">
        <v>200</v>
      </c>
      <c r="DG218">
        <v>10143</v>
      </c>
      <c r="DH218">
        <v>10146</v>
      </c>
      <c r="DI218">
        <v>10052</v>
      </c>
      <c r="DJ218">
        <v>9947</v>
      </c>
      <c r="DK218">
        <v>9823</v>
      </c>
      <c r="DO218">
        <v>503</v>
      </c>
      <c r="DP218" t="s">
        <v>80</v>
      </c>
      <c r="DQ218">
        <v>53497</v>
      </c>
      <c r="DR218">
        <v>1.25</v>
      </c>
      <c r="DS218">
        <v>3440</v>
      </c>
      <c r="DV218">
        <v>944</v>
      </c>
      <c r="DW218" t="s">
        <v>209</v>
      </c>
      <c r="DX218">
        <v>819.12741982086095</v>
      </c>
      <c r="DY218">
        <v>218</v>
      </c>
      <c r="DZ218">
        <v>227</v>
      </c>
      <c r="EA218">
        <v>102</v>
      </c>
      <c r="EB218">
        <v>716</v>
      </c>
      <c r="EC218">
        <v>473</v>
      </c>
      <c r="ED218">
        <v>166</v>
      </c>
      <c r="EE218" s="82">
        <v>0.125468598904724</v>
      </c>
      <c r="EF218" s="82">
        <v>0.31034094060455802</v>
      </c>
    </row>
    <row r="219" spans="1:136" x14ac:dyDescent="0.35">
      <c r="A219" s="72">
        <v>505</v>
      </c>
      <c r="B219" s="72">
        <v>8</v>
      </c>
      <c r="D219" s="72" t="s">
        <v>90</v>
      </c>
      <c r="E219" s="79">
        <v>7578000000</v>
      </c>
      <c r="F219" s="79">
        <v>1968050000</v>
      </c>
      <c r="G219" s="79">
        <v>1995700000</v>
      </c>
      <c r="H219" s="79">
        <v>118426</v>
      </c>
      <c r="I219" s="79">
        <v>2</v>
      </c>
      <c r="J219" s="79">
        <v>1995.7</v>
      </c>
      <c r="K219" s="79">
        <v>26010</v>
      </c>
      <c r="L219" s="79">
        <v>22029</v>
      </c>
      <c r="M219" s="79">
        <v>6690</v>
      </c>
      <c r="N219" s="79">
        <v>18560</v>
      </c>
      <c r="O219" s="79">
        <v>13016.5</v>
      </c>
      <c r="P219" s="79">
        <v>4077.3333333333298</v>
      </c>
      <c r="Q219" s="79">
        <v>10998.333333333299</v>
      </c>
      <c r="R219" s="79">
        <v>16125</v>
      </c>
      <c r="S219" s="79">
        <v>0</v>
      </c>
      <c r="T219" s="79">
        <v>4668</v>
      </c>
      <c r="U219" s="79">
        <v>56613</v>
      </c>
      <c r="V219" s="79">
        <v>138250</v>
      </c>
      <c r="W219" s="79">
        <v>165100</v>
      </c>
      <c r="X219" s="79">
        <v>4203.74</v>
      </c>
      <c r="Y219" s="79">
        <v>5122.3999999999996</v>
      </c>
      <c r="Z219" s="79">
        <v>40.899999999999899</v>
      </c>
      <c r="AA219" s="79">
        <v>0</v>
      </c>
      <c r="AB219" s="79">
        <v>0</v>
      </c>
      <c r="AC219" s="79">
        <v>7826</v>
      </c>
      <c r="AD219" s="79">
        <v>9078.16</v>
      </c>
      <c r="AE219" s="79">
        <v>2120</v>
      </c>
      <c r="AF219" s="79">
        <v>0</v>
      </c>
      <c r="AG219" s="79">
        <v>529</v>
      </c>
      <c r="AH219" s="79">
        <v>601.29</v>
      </c>
      <c r="AI219" s="79">
        <v>77.39</v>
      </c>
      <c r="AJ219" s="79">
        <v>55435</v>
      </c>
      <c r="AK219" s="79">
        <v>72619.850000000006</v>
      </c>
      <c r="AL219" s="79">
        <v>0</v>
      </c>
      <c r="AM219" s="79">
        <v>0</v>
      </c>
      <c r="AN219" s="79">
        <v>72</v>
      </c>
      <c r="AO219" s="79">
        <v>10800</v>
      </c>
      <c r="AP219" s="79">
        <v>14520</v>
      </c>
      <c r="AQ219" s="79">
        <v>13939</v>
      </c>
      <c r="AR219" s="80">
        <v>1.2629937000000001E-2</v>
      </c>
      <c r="AS219" s="80">
        <v>1.5432448E-2</v>
      </c>
      <c r="AT219" s="79">
        <v>139640.76500000001</v>
      </c>
      <c r="AU219" s="79">
        <v>0</v>
      </c>
      <c r="AV219" s="79">
        <v>6542.4</v>
      </c>
      <c r="AW219" s="79">
        <v>134473.63983108799</v>
      </c>
      <c r="AX219" s="79">
        <v>3</v>
      </c>
      <c r="AY219" s="79">
        <v>3.27</v>
      </c>
      <c r="AZ219" s="79">
        <v>10945</v>
      </c>
      <c r="BA219" s="79">
        <v>1</v>
      </c>
      <c r="BB219" s="79">
        <v>0</v>
      </c>
      <c r="BC219" s="79">
        <v>0</v>
      </c>
      <c r="BD219" s="79">
        <v>0</v>
      </c>
      <c r="BE219" s="79">
        <v>0</v>
      </c>
      <c r="BF219" s="79">
        <v>0</v>
      </c>
      <c r="BG219" s="79">
        <v>0</v>
      </c>
      <c r="BH219" s="79">
        <v>0</v>
      </c>
      <c r="BI219" s="79">
        <v>0</v>
      </c>
      <c r="BJ219" s="79">
        <v>0</v>
      </c>
      <c r="BK219" s="79">
        <v>299</v>
      </c>
      <c r="BL219" s="79">
        <v>21557</v>
      </c>
      <c r="BM219" s="79">
        <v>459</v>
      </c>
      <c r="BN219" s="79">
        <v>71</v>
      </c>
      <c r="BO219">
        <v>28152</v>
      </c>
      <c r="BP219">
        <v>6243</v>
      </c>
      <c r="BQ219">
        <v>25168</v>
      </c>
      <c r="BR219">
        <v>6324</v>
      </c>
      <c r="BS219">
        <v>24908</v>
      </c>
      <c r="BT219">
        <v>6348</v>
      </c>
      <c r="BU219">
        <v>24763</v>
      </c>
      <c r="BV219">
        <v>6523</v>
      </c>
      <c r="BW219">
        <v>24611</v>
      </c>
      <c r="BX219">
        <v>6481</v>
      </c>
      <c r="BY219">
        <v>24398</v>
      </c>
      <c r="BZ219">
        <v>6345</v>
      </c>
      <c r="CA219">
        <v>23207</v>
      </c>
      <c r="CB219">
        <v>3508.0960183895399</v>
      </c>
      <c r="CC219">
        <v>507.15107636524601</v>
      </c>
      <c r="CD219">
        <v>672.76189260111005</v>
      </c>
      <c r="CE219">
        <v>33857.704937280898</v>
      </c>
      <c r="CF219">
        <v>7818.7721933085704</v>
      </c>
      <c r="CG219">
        <v>1225.5656461789499</v>
      </c>
      <c r="CH219">
        <v>1716</v>
      </c>
      <c r="CI219">
        <v>1220.1634344116801</v>
      </c>
      <c r="CJ219">
        <v>1202.9759850349501</v>
      </c>
      <c r="CK219" s="81">
        <v>6921</v>
      </c>
      <c r="CL219">
        <v>1684</v>
      </c>
      <c r="CM219">
        <v>18265.043113105101</v>
      </c>
      <c r="CN219">
        <v>10.868223430800301</v>
      </c>
      <c r="CO219">
        <v>96397</v>
      </c>
      <c r="CP219">
        <v>12578</v>
      </c>
      <c r="CQ219">
        <v>2761</v>
      </c>
      <c r="CR219">
        <v>3336</v>
      </c>
      <c r="CS219">
        <v>2571</v>
      </c>
      <c r="CT219">
        <v>1465</v>
      </c>
      <c r="CU219">
        <v>1923.04772043208</v>
      </c>
      <c r="CV219">
        <v>1133.6354571729</v>
      </c>
      <c r="CW219">
        <v>470.78274474558202</v>
      </c>
      <c r="CX219">
        <v>4084.8666510233102</v>
      </c>
      <c r="CY219">
        <v>2408.0263969646599</v>
      </c>
      <c r="CZ219">
        <v>1000.01924728959</v>
      </c>
      <c r="DA219">
        <v>115229.3</v>
      </c>
      <c r="DE219">
        <v>689</v>
      </c>
      <c r="DF219" t="s">
        <v>814</v>
      </c>
      <c r="DG219">
        <v>3451</v>
      </c>
      <c r="DH219">
        <v>3427</v>
      </c>
      <c r="DI219">
        <v>3387</v>
      </c>
      <c r="DJ219">
        <v>3395</v>
      </c>
      <c r="DK219">
        <v>3334</v>
      </c>
      <c r="DO219">
        <v>505</v>
      </c>
      <c r="DP219" t="s">
        <v>90</v>
      </c>
      <c r="DQ219">
        <v>55435</v>
      </c>
      <c r="DR219">
        <v>1.31</v>
      </c>
      <c r="DS219">
        <v>2519</v>
      </c>
      <c r="DV219">
        <v>1740</v>
      </c>
      <c r="DW219" t="s">
        <v>210</v>
      </c>
      <c r="DX219">
        <v>2314.5771120992299</v>
      </c>
      <c r="DY219">
        <v>402</v>
      </c>
      <c r="DZ219">
        <v>366</v>
      </c>
      <c r="EA219">
        <v>214</v>
      </c>
      <c r="EB219">
        <v>1461</v>
      </c>
      <c r="EC219">
        <v>761</v>
      </c>
      <c r="ED219">
        <v>298</v>
      </c>
      <c r="EE219" s="82">
        <v>0.16221560123476</v>
      </c>
      <c r="EF219" s="82">
        <v>0.48170966454611602</v>
      </c>
    </row>
    <row r="220" spans="1:136" x14ac:dyDescent="0.35">
      <c r="A220" s="72">
        <v>689</v>
      </c>
      <c r="B220" s="72">
        <v>8</v>
      </c>
      <c r="D220" s="72" t="s">
        <v>814</v>
      </c>
      <c r="E220" s="79">
        <v>1318400000</v>
      </c>
      <c r="F220" s="79">
        <v>198800000</v>
      </c>
      <c r="G220" s="79">
        <v>224700000</v>
      </c>
      <c r="H220" s="79">
        <v>14551</v>
      </c>
      <c r="I220" s="79">
        <v>5</v>
      </c>
      <c r="J220" s="79">
        <v>224.7</v>
      </c>
      <c r="K220" s="79">
        <v>3529</v>
      </c>
      <c r="L220" s="79">
        <v>2893</v>
      </c>
      <c r="M220" s="79">
        <v>832</v>
      </c>
      <c r="N220" s="79">
        <v>1326</v>
      </c>
      <c r="O220" s="79">
        <v>728.4</v>
      </c>
      <c r="P220" s="79">
        <v>112.666666666667</v>
      </c>
      <c r="Q220" s="79">
        <v>556.66666666666697</v>
      </c>
      <c r="R220" s="79">
        <v>210</v>
      </c>
      <c r="S220" s="79">
        <v>0</v>
      </c>
      <c r="T220" s="79">
        <v>296</v>
      </c>
      <c r="U220" s="79">
        <v>5885</v>
      </c>
      <c r="V220" s="79">
        <v>10080</v>
      </c>
      <c r="W220" s="79">
        <v>480</v>
      </c>
      <c r="X220" s="79">
        <v>0</v>
      </c>
      <c r="Y220" s="79">
        <v>0</v>
      </c>
      <c r="Z220" s="79">
        <v>0</v>
      </c>
      <c r="AA220" s="79">
        <v>0</v>
      </c>
      <c r="AB220" s="79">
        <v>0</v>
      </c>
      <c r="AC220" s="79">
        <v>6341</v>
      </c>
      <c r="AD220" s="79">
        <v>8940.81</v>
      </c>
      <c r="AE220" s="79">
        <v>170</v>
      </c>
      <c r="AF220" s="79">
        <v>0</v>
      </c>
      <c r="AG220" s="79">
        <v>127</v>
      </c>
      <c r="AH220" s="79">
        <v>115.92</v>
      </c>
      <c r="AI220" s="79">
        <v>60.63</v>
      </c>
      <c r="AJ220" s="79">
        <v>5976</v>
      </c>
      <c r="AK220" s="79">
        <v>8246.8799999999992</v>
      </c>
      <c r="AL220" s="79">
        <v>0</v>
      </c>
      <c r="AM220" s="79">
        <v>0</v>
      </c>
      <c r="AN220" s="79">
        <v>0</v>
      </c>
      <c r="AO220" s="79">
        <v>0</v>
      </c>
      <c r="AP220" s="79">
        <v>0</v>
      </c>
      <c r="AQ220" s="79">
        <v>0</v>
      </c>
      <c r="AR220" s="80">
        <v>1.50777E-4</v>
      </c>
      <c r="AS220" s="80">
        <v>7.2859000000000002E-5</v>
      </c>
      <c r="AT220" s="79">
        <v>1733.04</v>
      </c>
      <c r="AU220" s="79">
        <v>0</v>
      </c>
      <c r="AV220" s="79">
        <v>3787.26</v>
      </c>
      <c r="AW220" s="79">
        <v>22959.024152971899</v>
      </c>
      <c r="AX220" s="79">
        <v>10</v>
      </c>
      <c r="AY220" s="79">
        <v>14.1</v>
      </c>
      <c r="AZ220" s="79">
        <v>1817</v>
      </c>
      <c r="BA220" s="79">
        <v>1</v>
      </c>
      <c r="BB220" s="79">
        <v>0</v>
      </c>
      <c r="BC220" s="79">
        <v>0</v>
      </c>
      <c r="BD220" s="79">
        <v>0</v>
      </c>
      <c r="BE220" s="79">
        <v>0</v>
      </c>
      <c r="BF220" s="79">
        <v>0</v>
      </c>
      <c r="BG220" s="79">
        <v>0</v>
      </c>
      <c r="BH220" s="79">
        <v>0</v>
      </c>
      <c r="BI220" s="79">
        <v>0</v>
      </c>
      <c r="BJ220" s="79">
        <v>0</v>
      </c>
      <c r="BK220" s="79">
        <v>8</v>
      </c>
      <c r="BL220" s="79">
        <v>1432</v>
      </c>
      <c r="BM220" s="79">
        <v>84</v>
      </c>
      <c r="BN220" s="79">
        <v>43</v>
      </c>
      <c r="BO220">
        <v>3857</v>
      </c>
      <c r="BP220">
        <v>0</v>
      </c>
      <c r="BQ220">
        <v>3451</v>
      </c>
      <c r="BR220">
        <v>0</v>
      </c>
      <c r="BS220">
        <v>3427</v>
      </c>
      <c r="BT220">
        <v>0</v>
      </c>
      <c r="BU220">
        <v>3387</v>
      </c>
      <c r="BV220">
        <v>0</v>
      </c>
      <c r="BW220">
        <v>3395</v>
      </c>
      <c r="BX220">
        <v>0</v>
      </c>
      <c r="BY220">
        <v>3334</v>
      </c>
      <c r="BZ220">
        <v>0</v>
      </c>
      <c r="CA220">
        <v>3110</v>
      </c>
      <c r="CB220">
        <v>183.412655732465</v>
      </c>
      <c r="CC220">
        <v>34.084735062248299</v>
      </c>
      <c r="CD220">
        <v>22.3607394755673</v>
      </c>
      <c r="CE220">
        <v>4723.7512759636302</v>
      </c>
      <c r="CF220">
        <v>1299.96801447283</v>
      </c>
      <c r="CG220">
        <v>121.236700942588</v>
      </c>
      <c r="CH220">
        <v>128</v>
      </c>
      <c r="CI220">
        <v>36.039956233372799</v>
      </c>
      <c r="CJ220">
        <v>27.670930944478499</v>
      </c>
      <c r="CK220" s="81">
        <v>444</v>
      </c>
      <c r="CL220">
        <v>108</v>
      </c>
      <c r="CM220">
        <v>1911.6396259625999</v>
      </c>
      <c r="CN220">
        <v>6.9677314786989603E-2</v>
      </c>
      <c r="CO220">
        <v>11658</v>
      </c>
      <c r="CP220">
        <v>1790</v>
      </c>
      <c r="CQ220">
        <v>271</v>
      </c>
      <c r="CR220">
        <v>277</v>
      </c>
      <c r="CS220">
        <v>261</v>
      </c>
      <c r="CT220">
        <v>160</v>
      </c>
      <c r="CU220">
        <v>130.08271946906001</v>
      </c>
      <c r="CV220">
        <v>72.782927388030899</v>
      </c>
      <c r="CW220">
        <v>27.430751528152399</v>
      </c>
      <c r="CX220">
        <v>356.722181774891</v>
      </c>
      <c r="CY220">
        <v>199.59057405774101</v>
      </c>
      <c r="CZ220">
        <v>75.222578162465197</v>
      </c>
      <c r="DA220">
        <v>2920</v>
      </c>
      <c r="DE220">
        <v>703</v>
      </c>
      <c r="DF220" t="s">
        <v>250</v>
      </c>
      <c r="DG220">
        <v>5614</v>
      </c>
      <c r="DH220">
        <v>5641</v>
      </c>
      <c r="DI220">
        <v>5722</v>
      </c>
      <c r="DJ220">
        <v>5651</v>
      </c>
      <c r="DK220">
        <v>5679</v>
      </c>
      <c r="DO220">
        <v>689</v>
      </c>
      <c r="DP220" t="s">
        <v>814</v>
      </c>
      <c r="DQ220">
        <v>5976</v>
      </c>
      <c r="DR220">
        <v>1.38</v>
      </c>
      <c r="DS220">
        <v>290</v>
      </c>
      <c r="DV220">
        <v>946</v>
      </c>
      <c r="DW220" t="s">
        <v>211</v>
      </c>
      <c r="DX220">
        <v>2074.16631578947</v>
      </c>
      <c r="DY220">
        <v>332</v>
      </c>
      <c r="DZ220">
        <v>385</v>
      </c>
      <c r="EA220">
        <v>200</v>
      </c>
      <c r="EB220">
        <v>1316</v>
      </c>
      <c r="EC220">
        <v>835</v>
      </c>
      <c r="ED220">
        <v>285</v>
      </c>
      <c r="EE220" s="82">
        <v>0.181969319710369</v>
      </c>
      <c r="EF220" s="82">
        <v>0.46115767919659201</v>
      </c>
    </row>
    <row r="221" spans="1:136" x14ac:dyDescent="0.35">
      <c r="A221" s="72">
        <v>1924</v>
      </c>
      <c r="B221" s="72">
        <v>8</v>
      </c>
      <c r="D221" s="72" t="s">
        <v>115</v>
      </c>
      <c r="E221" s="79">
        <v>4216000000</v>
      </c>
      <c r="F221" s="79">
        <v>702100000</v>
      </c>
      <c r="G221" s="79">
        <v>754600000</v>
      </c>
      <c r="H221" s="79">
        <v>49129</v>
      </c>
      <c r="I221" s="79">
        <v>14</v>
      </c>
      <c r="J221" s="79">
        <v>754.6</v>
      </c>
      <c r="K221" s="79">
        <v>11113</v>
      </c>
      <c r="L221" s="79">
        <v>10443</v>
      </c>
      <c r="M221" s="79">
        <v>3221</v>
      </c>
      <c r="N221" s="79">
        <v>5767</v>
      </c>
      <c r="O221" s="79">
        <v>3156.5</v>
      </c>
      <c r="P221" s="79">
        <v>457</v>
      </c>
      <c r="Q221" s="79">
        <v>2579</v>
      </c>
      <c r="R221" s="79">
        <v>665</v>
      </c>
      <c r="S221" s="79">
        <v>0</v>
      </c>
      <c r="T221" s="79">
        <v>999</v>
      </c>
      <c r="U221" s="79">
        <v>21675</v>
      </c>
      <c r="V221" s="79">
        <v>45020</v>
      </c>
      <c r="W221" s="79">
        <v>5660</v>
      </c>
      <c r="X221" s="79">
        <v>562.08000000000004</v>
      </c>
      <c r="Y221" s="79">
        <v>2421.6</v>
      </c>
      <c r="Z221" s="79">
        <v>0</v>
      </c>
      <c r="AA221" s="79">
        <v>0</v>
      </c>
      <c r="AB221" s="79">
        <v>23.999999999999499</v>
      </c>
      <c r="AC221" s="79">
        <v>26059</v>
      </c>
      <c r="AD221" s="79">
        <v>26840.77</v>
      </c>
      <c r="AE221" s="79">
        <v>11749</v>
      </c>
      <c r="AF221" s="79">
        <v>4426</v>
      </c>
      <c r="AG221" s="79">
        <v>412</v>
      </c>
      <c r="AH221" s="79">
        <v>318.24</v>
      </c>
      <c r="AI221" s="79">
        <v>109.18</v>
      </c>
      <c r="AJ221" s="79">
        <v>26105</v>
      </c>
      <c r="AK221" s="79">
        <v>27149.200000000001</v>
      </c>
      <c r="AL221" s="79">
        <v>7</v>
      </c>
      <c r="AM221" s="79">
        <v>0</v>
      </c>
      <c r="AN221" s="79">
        <v>0</v>
      </c>
      <c r="AO221" s="79">
        <v>0</v>
      </c>
      <c r="AP221" s="79">
        <v>3633</v>
      </c>
      <c r="AQ221" s="79">
        <v>0</v>
      </c>
      <c r="AR221" s="80">
        <v>1.1003059999999999E-3</v>
      </c>
      <c r="AS221" s="80">
        <v>3.3899700000000001E-4</v>
      </c>
      <c r="AT221" s="79">
        <v>16002.365</v>
      </c>
      <c r="AU221" s="79">
        <v>0</v>
      </c>
      <c r="AV221" s="79">
        <v>9202.02</v>
      </c>
      <c r="AW221" s="79">
        <v>13825.847627486201</v>
      </c>
      <c r="AX221" s="79">
        <v>25</v>
      </c>
      <c r="AY221" s="79">
        <v>25.75</v>
      </c>
      <c r="AZ221" s="79">
        <v>5020</v>
      </c>
      <c r="BA221" s="79">
        <v>1</v>
      </c>
      <c r="BB221" s="79">
        <v>0</v>
      </c>
      <c r="BC221" s="79">
        <v>0</v>
      </c>
      <c r="BD221" s="79">
        <v>0</v>
      </c>
      <c r="BE221" s="79">
        <v>0</v>
      </c>
      <c r="BF221" s="79">
        <v>0</v>
      </c>
      <c r="BG221" s="79">
        <v>0</v>
      </c>
      <c r="BH221" s="79">
        <v>0</v>
      </c>
      <c r="BI221" s="79">
        <v>0</v>
      </c>
      <c r="BJ221" s="79">
        <v>0</v>
      </c>
      <c r="BK221" s="79">
        <v>24</v>
      </c>
      <c r="BL221" s="79">
        <v>6269</v>
      </c>
      <c r="BM221" s="79">
        <v>306</v>
      </c>
      <c r="BN221" s="79">
        <v>106</v>
      </c>
      <c r="BO221">
        <v>11887</v>
      </c>
      <c r="BP221">
        <v>2730</v>
      </c>
      <c r="BQ221">
        <v>10737</v>
      </c>
      <c r="BR221">
        <v>2743</v>
      </c>
      <c r="BS221">
        <v>10656</v>
      </c>
      <c r="BT221">
        <v>2745</v>
      </c>
      <c r="BU221">
        <v>10574</v>
      </c>
      <c r="BV221">
        <v>2812</v>
      </c>
      <c r="BW221">
        <v>10564</v>
      </c>
      <c r="BX221">
        <v>2865</v>
      </c>
      <c r="BY221">
        <v>10409</v>
      </c>
      <c r="BZ221">
        <v>2872</v>
      </c>
      <c r="CA221">
        <v>9951</v>
      </c>
      <c r="CB221">
        <v>652.28898551043403</v>
      </c>
      <c r="CC221">
        <v>214.952970505423</v>
      </c>
      <c r="CD221">
        <v>90.406059401204203</v>
      </c>
      <c r="CE221">
        <v>14256.3756104355</v>
      </c>
      <c r="CF221">
        <v>3606.6743695586001</v>
      </c>
      <c r="CG221">
        <v>525.68511990008301</v>
      </c>
      <c r="CH221">
        <v>387</v>
      </c>
      <c r="CI221">
        <v>142.042209866044</v>
      </c>
      <c r="CJ221">
        <v>110.683723777914</v>
      </c>
      <c r="CK221" s="81">
        <v>2122</v>
      </c>
      <c r="CL221">
        <v>678</v>
      </c>
      <c r="CM221">
        <v>8830.71432544856</v>
      </c>
      <c r="CN221">
        <v>0.28325205777789503</v>
      </c>
      <c r="CO221">
        <v>38686</v>
      </c>
      <c r="CP221">
        <v>5924</v>
      </c>
      <c r="CQ221">
        <v>1298</v>
      </c>
      <c r="CR221">
        <v>1081</v>
      </c>
      <c r="CS221">
        <v>1050</v>
      </c>
      <c r="CT221">
        <v>602</v>
      </c>
      <c r="CU221">
        <v>434.26208365327199</v>
      </c>
      <c r="CV221">
        <v>269.96303808400802</v>
      </c>
      <c r="CW221">
        <v>103.72964024902799</v>
      </c>
      <c r="CX221">
        <v>1503.98654313822</v>
      </c>
      <c r="CY221">
        <v>934.96713553108202</v>
      </c>
      <c r="CZ221">
        <v>359.248456016869</v>
      </c>
      <c r="DA221">
        <v>105314.1</v>
      </c>
      <c r="DE221">
        <v>707</v>
      </c>
      <c r="DF221" t="s">
        <v>821</v>
      </c>
      <c r="DG221">
        <v>3332</v>
      </c>
      <c r="DH221">
        <v>3344</v>
      </c>
      <c r="DI221">
        <v>3275</v>
      </c>
      <c r="DJ221">
        <v>3222</v>
      </c>
      <c r="DK221">
        <v>3204</v>
      </c>
      <c r="DO221">
        <v>1924</v>
      </c>
      <c r="DP221" t="s">
        <v>115</v>
      </c>
      <c r="DQ221">
        <v>26105</v>
      </c>
      <c r="DR221">
        <v>1.04</v>
      </c>
      <c r="DS221">
        <v>613</v>
      </c>
      <c r="DV221">
        <v>304</v>
      </c>
      <c r="DW221" t="s">
        <v>809</v>
      </c>
      <c r="DX221">
        <v>1146.3887952822199</v>
      </c>
      <c r="DY221">
        <v>240</v>
      </c>
      <c r="DZ221">
        <v>196</v>
      </c>
      <c r="EA221">
        <v>107</v>
      </c>
      <c r="EB221">
        <v>773</v>
      </c>
      <c r="EC221">
        <v>446</v>
      </c>
      <c r="ED221">
        <v>153</v>
      </c>
      <c r="EE221" s="82">
        <v>0.133053221240542</v>
      </c>
      <c r="EF221" s="82">
        <v>0.35643063385123003</v>
      </c>
    </row>
    <row r="222" spans="1:136" x14ac:dyDescent="0.35">
      <c r="A222" s="72">
        <v>512</v>
      </c>
      <c r="B222" s="72">
        <v>8</v>
      </c>
      <c r="D222" s="72" t="s">
        <v>119</v>
      </c>
      <c r="E222" s="79">
        <v>2580800000</v>
      </c>
      <c r="F222" s="79">
        <v>647150000</v>
      </c>
      <c r="G222" s="79">
        <v>661850000</v>
      </c>
      <c r="H222" s="79">
        <v>36284</v>
      </c>
      <c r="I222" s="79">
        <v>1</v>
      </c>
      <c r="J222" s="79">
        <v>661.85</v>
      </c>
      <c r="K222" s="79">
        <v>8292</v>
      </c>
      <c r="L222" s="79">
        <v>6520</v>
      </c>
      <c r="M222" s="79">
        <v>2055</v>
      </c>
      <c r="N222" s="79">
        <v>5527</v>
      </c>
      <c r="O222" s="79">
        <v>3880</v>
      </c>
      <c r="P222" s="79">
        <v>775</v>
      </c>
      <c r="Q222" s="79">
        <v>3010</v>
      </c>
      <c r="R222" s="79">
        <v>4545</v>
      </c>
      <c r="S222" s="79">
        <v>0</v>
      </c>
      <c r="T222" s="79">
        <v>1214</v>
      </c>
      <c r="U222" s="79">
        <v>16732</v>
      </c>
      <c r="V222" s="79">
        <v>45050</v>
      </c>
      <c r="W222" s="79">
        <v>27430</v>
      </c>
      <c r="X222" s="79">
        <v>1697.82</v>
      </c>
      <c r="Y222" s="79">
        <v>5566.4</v>
      </c>
      <c r="Z222" s="79">
        <v>0</v>
      </c>
      <c r="AA222" s="79">
        <v>0</v>
      </c>
      <c r="AB222" s="79">
        <v>401.99999999999898</v>
      </c>
      <c r="AC222" s="79">
        <v>1870</v>
      </c>
      <c r="AD222" s="79">
        <v>2524.5</v>
      </c>
      <c r="AE222" s="79">
        <v>323</v>
      </c>
      <c r="AF222" s="79">
        <v>0</v>
      </c>
      <c r="AG222" s="79">
        <v>193</v>
      </c>
      <c r="AH222" s="79">
        <v>229.6</v>
      </c>
      <c r="AI222" s="79">
        <v>37.99</v>
      </c>
      <c r="AJ222" s="79">
        <v>16470</v>
      </c>
      <c r="AK222" s="79">
        <v>23058</v>
      </c>
      <c r="AL222" s="79">
        <v>31</v>
      </c>
      <c r="AM222" s="79">
        <v>0</v>
      </c>
      <c r="AN222" s="79">
        <v>0</v>
      </c>
      <c r="AO222" s="79">
        <v>5750</v>
      </c>
      <c r="AP222" s="79">
        <v>3432</v>
      </c>
      <c r="AQ222" s="79">
        <v>3432</v>
      </c>
      <c r="AR222" s="80">
        <v>1.14252E-3</v>
      </c>
      <c r="AS222" s="80">
        <v>2.2560409999999999E-3</v>
      </c>
      <c r="AT222" s="79">
        <v>28163.7</v>
      </c>
      <c r="AU222" s="79">
        <v>0</v>
      </c>
      <c r="AV222" s="79">
        <v>1783.35</v>
      </c>
      <c r="AW222" s="79">
        <v>70381.529138166894</v>
      </c>
      <c r="AX222" s="79">
        <v>2</v>
      </c>
      <c r="AY222" s="79">
        <v>2.62</v>
      </c>
      <c r="AZ222" s="79">
        <v>3752</v>
      </c>
      <c r="BA222" s="79">
        <v>1</v>
      </c>
      <c r="BB222" s="79">
        <v>0</v>
      </c>
      <c r="BC222" s="79">
        <v>0</v>
      </c>
      <c r="BD222" s="79">
        <v>0</v>
      </c>
      <c r="BE222" s="79">
        <v>0</v>
      </c>
      <c r="BF222" s="79">
        <v>0</v>
      </c>
      <c r="BG222" s="79">
        <v>0</v>
      </c>
      <c r="BH222" s="79">
        <v>0</v>
      </c>
      <c r="BI222" s="79">
        <v>0</v>
      </c>
      <c r="BJ222" s="79">
        <v>0</v>
      </c>
      <c r="BK222" s="79">
        <v>14</v>
      </c>
      <c r="BL222" s="79">
        <v>6023</v>
      </c>
      <c r="BM222" s="79">
        <v>164</v>
      </c>
      <c r="BN222" s="79">
        <v>29</v>
      </c>
      <c r="BO222">
        <v>8289</v>
      </c>
      <c r="BP222">
        <v>5960</v>
      </c>
      <c r="BQ222">
        <v>7587</v>
      </c>
      <c r="BR222">
        <v>5933</v>
      </c>
      <c r="BS222">
        <v>7596</v>
      </c>
      <c r="BT222">
        <v>6023</v>
      </c>
      <c r="BU222">
        <v>7638</v>
      </c>
      <c r="BV222">
        <v>6129</v>
      </c>
      <c r="BW222">
        <v>7574</v>
      </c>
      <c r="BX222">
        <v>6229</v>
      </c>
      <c r="BY222">
        <v>7499</v>
      </c>
      <c r="BZ222">
        <v>6373</v>
      </c>
      <c r="CA222">
        <v>7425</v>
      </c>
      <c r="CB222">
        <v>965.41517089380102</v>
      </c>
      <c r="CC222">
        <v>178.78481400086301</v>
      </c>
      <c r="CD222">
        <v>184.53336352522899</v>
      </c>
      <c r="CE222">
        <v>10407.337740463699</v>
      </c>
      <c r="CF222">
        <v>2607.3929523194001</v>
      </c>
      <c r="CG222">
        <v>362.87564829821702</v>
      </c>
      <c r="CH222">
        <v>459</v>
      </c>
      <c r="CI222">
        <v>248.44727122155999</v>
      </c>
      <c r="CJ222">
        <v>222.78646965554401</v>
      </c>
      <c r="CK222" s="81">
        <v>2235</v>
      </c>
      <c r="CL222">
        <v>519</v>
      </c>
      <c r="CM222">
        <v>5841.6622575155998</v>
      </c>
      <c r="CN222">
        <v>1.6741437370516701</v>
      </c>
      <c r="CO222">
        <v>29764</v>
      </c>
      <c r="CP222">
        <v>3662</v>
      </c>
      <c r="CQ222">
        <v>803</v>
      </c>
      <c r="CR222">
        <v>904</v>
      </c>
      <c r="CS222">
        <v>781</v>
      </c>
      <c r="CT222">
        <v>435</v>
      </c>
      <c r="CU222">
        <v>554.14568704084195</v>
      </c>
      <c r="CV222">
        <v>348.93272215454402</v>
      </c>
      <c r="CW222">
        <v>139.47884639803499</v>
      </c>
      <c r="CX222">
        <v>1094.1558329162699</v>
      </c>
      <c r="CY222">
        <v>688.96462098171298</v>
      </c>
      <c r="CZ222">
        <v>275.39976746871997</v>
      </c>
      <c r="DA222">
        <v>30130.799999999999</v>
      </c>
      <c r="DE222">
        <v>715</v>
      </c>
      <c r="DF222" t="s">
        <v>290</v>
      </c>
      <c r="DG222">
        <v>11041</v>
      </c>
      <c r="DH222">
        <v>10812</v>
      </c>
      <c r="DI222">
        <v>10645</v>
      </c>
      <c r="DJ222">
        <v>10577</v>
      </c>
      <c r="DK222">
        <v>10403</v>
      </c>
      <c r="DO222">
        <v>512</v>
      </c>
      <c r="DP222" t="s">
        <v>119</v>
      </c>
      <c r="DQ222">
        <v>16470</v>
      </c>
      <c r="DR222">
        <v>1.4</v>
      </c>
      <c r="DS222">
        <v>1710</v>
      </c>
      <c r="DV222">
        <v>356</v>
      </c>
      <c r="DW222" t="s">
        <v>212</v>
      </c>
      <c r="DX222">
        <v>7910.5295303437497</v>
      </c>
      <c r="DY222">
        <v>1900</v>
      </c>
      <c r="DZ222">
        <v>1127</v>
      </c>
      <c r="EA222">
        <v>510</v>
      </c>
      <c r="EB222">
        <v>5217</v>
      </c>
      <c r="EC222">
        <v>2332</v>
      </c>
      <c r="ED222">
        <v>701</v>
      </c>
      <c r="EE222" s="82">
        <v>0.17628281399635901</v>
      </c>
      <c r="EF222" s="82">
        <v>0.44140850577478302</v>
      </c>
    </row>
    <row r="223" spans="1:136" x14ac:dyDescent="0.35">
      <c r="A223" s="72">
        <v>513</v>
      </c>
      <c r="B223" s="72">
        <v>8</v>
      </c>
      <c r="D223" s="72" t="s">
        <v>120</v>
      </c>
      <c r="E223" s="79">
        <v>4926400000</v>
      </c>
      <c r="F223" s="79">
        <v>1013950000</v>
      </c>
      <c r="G223" s="79">
        <v>1060500000</v>
      </c>
      <c r="H223" s="79">
        <v>72700</v>
      </c>
      <c r="I223" s="79">
        <v>1</v>
      </c>
      <c r="J223" s="79">
        <v>1060.5</v>
      </c>
      <c r="K223" s="79">
        <v>16798</v>
      </c>
      <c r="L223" s="79">
        <v>13408</v>
      </c>
      <c r="M223" s="79">
        <v>4087</v>
      </c>
      <c r="N223" s="79">
        <v>10437</v>
      </c>
      <c r="O223" s="79">
        <v>7130.5</v>
      </c>
      <c r="P223" s="79">
        <v>1769.6666666666699</v>
      </c>
      <c r="Q223" s="79">
        <v>5478.6666666666697</v>
      </c>
      <c r="R223" s="79">
        <v>9540</v>
      </c>
      <c r="S223" s="79">
        <v>0</v>
      </c>
      <c r="T223" s="79">
        <v>2407</v>
      </c>
      <c r="U223" s="79">
        <v>34040</v>
      </c>
      <c r="V223" s="79">
        <v>83040</v>
      </c>
      <c r="W223" s="79">
        <v>67140</v>
      </c>
      <c r="X223" s="79">
        <v>3543.44</v>
      </c>
      <c r="Y223" s="79">
        <v>6822.4</v>
      </c>
      <c r="Z223" s="79">
        <v>0</v>
      </c>
      <c r="AA223" s="79">
        <v>0</v>
      </c>
      <c r="AB223" s="79">
        <v>0</v>
      </c>
      <c r="AC223" s="79">
        <v>1664</v>
      </c>
      <c r="AD223" s="79">
        <v>3078.4</v>
      </c>
      <c r="AE223" s="79">
        <v>147</v>
      </c>
      <c r="AF223" s="79">
        <v>0</v>
      </c>
      <c r="AG223" s="79">
        <v>274</v>
      </c>
      <c r="AH223" s="79">
        <v>508.64</v>
      </c>
      <c r="AI223" s="79">
        <v>3.48</v>
      </c>
      <c r="AJ223" s="79">
        <v>33065</v>
      </c>
      <c r="AK223" s="79">
        <v>61831.55</v>
      </c>
      <c r="AL223" s="79">
        <v>0</v>
      </c>
      <c r="AM223" s="79">
        <v>53</v>
      </c>
      <c r="AN223" s="79">
        <v>0</v>
      </c>
      <c r="AO223" s="79">
        <v>10350</v>
      </c>
      <c r="AP223" s="79">
        <v>7377</v>
      </c>
      <c r="AQ223" s="79">
        <v>7377</v>
      </c>
      <c r="AR223" s="80">
        <v>2.767439E-3</v>
      </c>
      <c r="AS223" s="80">
        <v>2.8907170000000001E-3</v>
      </c>
      <c r="AT223" s="79">
        <v>82761.695000000007</v>
      </c>
      <c r="AU223" s="79">
        <v>0</v>
      </c>
      <c r="AV223" s="79">
        <v>5041.25</v>
      </c>
      <c r="AW223" s="79">
        <v>604150.64881281101</v>
      </c>
      <c r="AX223" s="79">
        <v>1</v>
      </c>
      <c r="AY223" s="79">
        <v>1.74</v>
      </c>
      <c r="AZ223" s="79">
        <v>6820</v>
      </c>
      <c r="BA223" s="79">
        <v>1</v>
      </c>
      <c r="BB223" s="79">
        <v>0</v>
      </c>
      <c r="BC223" s="79">
        <v>0</v>
      </c>
      <c r="BD223" s="79">
        <v>0</v>
      </c>
      <c r="BE223" s="79">
        <v>0</v>
      </c>
      <c r="BF223" s="79">
        <v>0</v>
      </c>
      <c r="BG223" s="79">
        <v>0</v>
      </c>
      <c r="BH223" s="79">
        <v>0</v>
      </c>
      <c r="BI223" s="79">
        <v>0</v>
      </c>
      <c r="BJ223" s="79">
        <v>0</v>
      </c>
      <c r="BK223" s="79">
        <v>54</v>
      </c>
      <c r="BL223" s="79">
        <v>12866</v>
      </c>
      <c r="BM223" s="79">
        <v>272</v>
      </c>
      <c r="BN223" s="79">
        <v>2</v>
      </c>
      <c r="BO223">
        <v>18172</v>
      </c>
      <c r="BP223">
        <v>8584</v>
      </c>
      <c r="BQ223">
        <v>16200</v>
      </c>
      <c r="BR223">
        <v>8394</v>
      </c>
      <c r="BS223">
        <v>16066</v>
      </c>
      <c r="BT223">
        <v>8484</v>
      </c>
      <c r="BU223">
        <v>15935</v>
      </c>
      <c r="BV223">
        <v>8626</v>
      </c>
      <c r="BW223">
        <v>15816</v>
      </c>
      <c r="BX223">
        <v>8621</v>
      </c>
      <c r="BY223">
        <v>15643</v>
      </c>
      <c r="BZ223">
        <v>8670</v>
      </c>
      <c r="CA223">
        <v>15034</v>
      </c>
      <c r="CB223">
        <v>1912.7240417509599</v>
      </c>
      <c r="CC223">
        <v>276.28887319260701</v>
      </c>
      <c r="CD223">
        <v>440.12125521905801</v>
      </c>
      <c r="CE223">
        <v>21445.193729751001</v>
      </c>
      <c r="CF223">
        <v>5158.1363640353802</v>
      </c>
      <c r="CG223">
        <v>573.11111952923898</v>
      </c>
      <c r="CH223">
        <v>855</v>
      </c>
      <c r="CI223">
        <v>579.04301266155596</v>
      </c>
      <c r="CJ223">
        <v>499.85053462525798</v>
      </c>
      <c r="CK223" s="81">
        <v>3709</v>
      </c>
      <c r="CL223">
        <v>1085</v>
      </c>
      <c r="CM223">
        <v>10357.592661787599</v>
      </c>
      <c r="CN223">
        <v>4.1247875378766903</v>
      </c>
      <c r="CO223">
        <v>59292</v>
      </c>
      <c r="CP223">
        <v>7652</v>
      </c>
      <c r="CQ223">
        <v>1669</v>
      </c>
      <c r="CR223">
        <v>1826</v>
      </c>
      <c r="CS223">
        <v>1490</v>
      </c>
      <c r="CT223">
        <v>890</v>
      </c>
      <c r="CU223">
        <v>1058.99560961921</v>
      </c>
      <c r="CV223">
        <v>629.66140909959404</v>
      </c>
      <c r="CW223">
        <v>250.78637629548899</v>
      </c>
      <c r="CX223">
        <v>2206.0942362053102</v>
      </c>
      <c r="CY223">
        <v>1311.7074261289999</v>
      </c>
      <c r="CZ223">
        <v>522.43689609179</v>
      </c>
      <c r="DA223">
        <v>64606.8</v>
      </c>
      <c r="DE223">
        <v>716</v>
      </c>
      <c r="DF223" t="s">
        <v>294</v>
      </c>
      <c r="DG223">
        <v>6362</v>
      </c>
      <c r="DH223">
        <v>6341</v>
      </c>
      <c r="DI223">
        <v>6245</v>
      </c>
      <c r="DJ223">
        <v>6251</v>
      </c>
      <c r="DK223">
        <v>6213</v>
      </c>
      <c r="DO223">
        <v>513</v>
      </c>
      <c r="DP223" t="s">
        <v>120</v>
      </c>
      <c r="DQ223">
        <v>33065</v>
      </c>
      <c r="DR223">
        <v>1.87</v>
      </c>
      <c r="DS223">
        <v>2503</v>
      </c>
      <c r="DV223">
        <v>569</v>
      </c>
      <c r="DW223" t="s">
        <v>213</v>
      </c>
      <c r="DX223">
        <v>2761.41051325237</v>
      </c>
      <c r="DY223">
        <v>569</v>
      </c>
      <c r="DZ223">
        <v>518</v>
      </c>
      <c r="EA223">
        <v>250</v>
      </c>
      <c r="EB223">
        <v>2064</v>
      </c>
      <c r="EC223">
        <v>1149</v>
      </c>
      <c r="ED223">
        <v>370</v>
      </c>
      <c r="EE223" s="82">
        <v>0.130906473221203</v>
      </c>
      <c r="EF223" s="82">
        <v>0.350002047795548</v>
      </c>
    </row>
    <row r="224" spans="1:136" x14ac:dyDescent="0.35">
      <c r="A224" s="72">
        <v>523</v>
      </c>
      <c r="B224" s="72">
        <v>8</v>
      </c>
      <c r="D224" s="72" t="s">
        <v>131</v>
      </c>
      <c r="E224" s="79">
        <v>1301200000</v>
      </c>
      <c r="F224" s="79">
        <v>267050000</v>
      </c>
      <c r="G224" s="79">
        <v>270900000</v>
      </c>
      <c r="H224" s="79">
        <v>17958</v>
      </c>
      <c r="I224" s="79">
        <v>1</v>
      </c>
      <c r="J224" s="79">
        <v>270.89999999999998</v>
      </c>
      <c r="K224" s="79">
        <v>4706</v>
      </c>
      <c r="L224" s="79">
        <v>3309</v>
      </c>
      <c r="M224" s="79">
        <v>1043</v>
      </c>
      <c r="N224" s="79">
        <v>1830</v>
      </c>
      <c r="O224" s="79">
        <v>1102.3</v>
      </c>
      <c r="P224" s="79">
        <v>151</v>
      </c>
      <c r="Q224" s="79">
        <v>720</v>
      </c>
      <c r="R224" s="79">
        <v>290</v>
      </c>
      <c r="S224" s="79">
        <v>0</v>
      </c>
      <c r="T224" s="79">
        <v>317</v>
      </c>
      <c r="U224" s="79">
        <v>7175</v>
      </c>
      <c r="V224" s="79">
        <v>18130</v>
      </c>
      <c r="W224" s="79">
        <v>5120</v>
      </c>
      <c r="X224" s="79">
        <v>0</v>
      </c>
      <c r="Y224" s="79">
        <v>564.79999999999995</v>
      </c>
      <c r="Z224" s="79">
        <v>0</v>
      </c>
      <c r="AA224" s="79">
        <v>0</v>
      </c>
      <c r="AB224" s="79">
        <v>0</v>
      </c>
      <c r="AC224" s="79">
        <v>1685</v>
      </c>
      <c r="AD224" s="79">
        <v>2443.25</v>
      </c>
      <c r="AE224" s="79">
        <v>251</v>
      </c>
      <c r="AF224" s="79">
        <v>0</v>
      </c>
      <c r="AG224" s="79">
        <v>107</v>
      </c>
      <c r="AH224" s="79">
        <v>145.86000000000001</v>
      </c>
      <c r="AI224" s="79">
        <v>8.76</v>
      </c>
      <c r="AJ224" s="79">
        <v>7277</v>
      </c>
      <c r="AK224" s="79">
        <v>10406.11</v>
      </c>
      <c r="AL224" s="79">
        <v>0</v>
      </c>
      <c r="AM224" s="79">
        <v>0</v>
      </c>
      <c r="AN224" s="79">
        <v>0</v>
      </c>
      <c r="AO224" s="79">
        <v>0</v>
      </c>
      <c r="AP224" s="79">
        <v>2315</v>
      </c>
      <c r="AQ224" s="79">
        <v>0</v>
      </c>
      <c r="AR224" s="80">
        <v>3.2248800000000001E-4</v>
      </c>
      <c r="AS224" s="80">
        <v>2.46567E-4</v>
      </c>
      <c r="AT224" s="79">
        <v>7109.6289999999999</v>
      </c>
      <c r="AU224" s="79">
        <v>0</v>
      </c>
      <c r="AV224" s="79">
        <v>1306.45</v>
      </c>
      <c r="AW224" s="79">
        <v>30195.134039256202</v>
      </c>
      <c r="AX224" s="79">
        <v>3</v>
      </c>
      <c r="AY224" s="79">
        <v>4.38</v>
      </c>
      <c r="AZ224" s="79">
        <v>1852</v>
      </c>
      <c r="BA224" s="79">
        <v>1</v>
      </c>
      <c r="BB224" s="79">
        <v>0</v>
      </c>
      <c r="BC224" s="79">
        <v>0</v>
      </c>
      <c r="BD224" s="79">
        <v>0</v>
      </c>
      <c r="BE224" s="79">
        <v>0</v>
      </c>
      <c r="BF224" s="79">
        <v>0</v>
      </c>
      <c r="BG224" s="79">
        <v>0</v>
      </c>
      <c r="BH224" s="79">
        <v>0</v>
      </c>
      <c r="BI224" s="79">
        <v>0</v>
      </c>
      <c r="BJ224" s="79">
        <v>0</v>
      </c>
      <c r="BK224" s="79">
        <v>3</v>
      </c>
      <c r="BL224" s="79">
        <v>1889</v>
      </c>
      <c r="BM224" s="79">
        <v>102</v>
      </c>
      <c r="BN224" s="79">
        <v>6</v>
      </c>
      <c r="BO224">
        <v>5000</v>
      </c>
      <c r="BP224">
        <v>795</v>
      </c>
      <c r="BQ224">
        <v>4496</v>
      </c>
      <c r="BR224">
        <v>788</v>
      </c>
      <c r="BS224">
        <v>4402</v>
      </c>
      <c r="BT224">
        <v>771</v>
      </c>
      <c r="BU224">
        <v>4376</v>
      </c>
      <c r="BV224">
        <v>804</v>
      </c>
      <c r="BW224">
        <v>4342</v>
      </c>
      <c r="BX224">
        <v>851</v>
      </c>
      <c r="BY224">
        <v>4300</v>
      </c>
      <c r="BZ224">
        <v>872</v>
      </c>
      <c r="CA224">
        <v>4241</v>
      </c>
      <c r="CB224">
        <v>208.64218769153601</v>
      </c>
      <c r="CC224">
        <v>103.624956827189</v>
      </c>
      <c r="CD224">
        <v>33.820216839750898</v>
      </c>
      <c r="CE224">
        <v>4810.50921082692</v>
      </c>
      <c r="CF224">
        <v>1402.58105272232</v>
      </c>
      <c r="CG224">
        <v>214.82519599578501</v>
      </c>
      <c r="CH224">
        <v>109</v>
      </c>
      <c r="CI224">
        <v>50.2244012890433</v>
      </c>
      <c r="CJ224">
        <v>31.218486193770602</v>
      </c>
      <c r="CK224" s="81">
        <v>569</v>
      </c>
      <c r="CL224">
        <v>168</v>
      </c>
      <c r="CM224">
        <v>2492.6601192753501</v>
      </c>
      <c r="CN224">
        <v>8.3996433455549399E-2</v>
      </c>
      <c r="CO224">
        <v>14649</v>
      </c>
      <c r="CP224">
        <v>1845</v>
      </c>
      <c r="CQ224">
        <v>421</v>
      </c>
      <c r="CR224">
        <v>315</v>
      </c>
      <c r="CS224">
        <v>350</v>
      </c>
      <c r="CT224">
        <v>207</v>
      </c>
      <c r="CU224">
        <v>168.36058934751401</v>
      </c>
      <c r="CV224">
        <v>108.957033070083</v>
      </c>
      <c r="CW224">
        <v>43.794968786166898</v>
      </c>
      <c r="CX224">
        <v>486.11903337914703</v>
      </c>
      <c r="CY224">
        <v>314.59908640828701</v>
      </c>
      <c r="CZ224">
        <v>126.452205802496</v>
      </c>
      <c r="DA224">
        <v>0</v>
      </c>
      <c r="DE224">
        <v>717</v>
      </c>
      <c r="DF224" t="s">
        <v>312</v>
      </c>
      <c r="DG224">
        <v>4787</v>
      </c>
      <c r="DH224">
        <v>4710</v>
      </c>
      <c r="DI224">
        <v>4661</v>
      </c>
      <c r="DJ224">
        <v>4599</v>
      </c>
      <c r="DK224">
        <v>4514</v>
      </c>
      <c r="DO224">
        <v>523</v>
      </c>
      <c r="DP224" t="s">
        <v>131</v>
      </c>
      <c r="DQ224">
        <v>7277</v>
      </c>
      <c r="DR224">
        <v>1.43</v>
      </c>
      <c r="DS224">
        <v>977</v>
      </c>
      <c r="DV224">
        <v>267</v>
      </c>
      <c r="DW224" t="s">
        <v>214</v>
      </c>
      <c r="DX224">
        <v>4347.2429149797599</v>
      </c>
      <c r="DY224">
        <v>841</v>
      </c>
      <c r="DZ224">
        <v>788</v>
      </c>
      <c r="EA224">
        <v>371</v>
      </c>
      <c r="EB224">
        <v>2765</v>
      </c>
      <c r="EC224">
        <v>1695</v>
      </c>
      <c r="ED224">
        <v>542</v>
      </c>
      <c r="EE224" s="82">
        <v>0.15686852487472</v>
      </c>
      <c r="EF224" s="82">
        <v>0.41502120714199497</v>
      </c>
    </row>
    <row r="225" spans="1:136" x14ac:dyDescent="0.35">
      <c r="A225" s="72">
        <v>530</v>
      </c>
      <c r="B225" s="72">
        <v>8</v>
      </c>
      <c r="D225" s="72" t="s">
        <v>143</v>
      </c>
      <c r="E225" s="79">
        <v>2950000000</v>
      </c>
      <c r="F225" s="79">
        <v>321300000</v>
      </c>
      <c r="G225" s="79">
        <v>332850000</v>
      </c>
      <c r="H225" s="79">
        <v>39992</v>
      </c>
      <c r="I225" s="79">
        <v>2</v>
      </c>
      <c r="J225" s="79">
        <v>332.85</v>
      </c>
      <c r="K225" s="79">
        <v>8445</v>
      </c>
      <c r="L225" s="79">
        <v>8161</v>
      </c>
      <c r="M225" s="79">
        <v>2164</v>
      </c>
      <c r="N225" s="79">
        <v>4788</v>
      </c>
      <c r="O225" s="79">
        <v>2937.2</v>
      </c>
      <c r="P225" s="79">
        <v>826.33333333333303</v>
      </c>
      <c r="Q225" s="79">
        <v>2564.3333333333298</v>
      </c>
      <c r="R225" s="79">
        <v>2505</v>
      </c>
      <c r="S225" s="79">
        <v>0</v>
      </c>
      <c r="T225" s="79">
        <v>1508</v>
      </c>
      <c r="U225" s="79">
        <v>18312</v>
      </c>
      <c r="V225" s="79">
        <v>42640</v>
      </c>
      <c r="W225" s="79">
        <v>26520</v>
      </c>
      <c r="X225" s="79">
        <v>249.42</v>
      </c>
      <c r="Y225" s="79">
        <v>2299.1999999999998</v>
      </c>
      <c r="Z225" s="79">
        <v>0</v>
      </c>
      <c r="AA225" s="79">
        <v>0</v>
      </c>
      <c r="AB225" s="79">
        <v>0</v>
      </c>
      <c r="AC225" s="79">
        <v>3149</v>
      </c>
      <c r="AD225" s="79">
        <v>3400.92</v>
      </c>
      <c r="AE225" s="79">
        <v>1366</v>
      </c>
      <c r="AF225" s="79">
        <v>112</v>
      </c>
      <c r="AG225" s="79">
        <v>169</v>
      </c>
      <c r="AH225" s="79">
        <v>159.12</v>
      </c>
      <c r="AI225" s="79">
        <v>17.600000000000001</v>
      </c>
      <c r="AJ225" s="79">
        <v>18508</v>
      </c>
      <c r="AK225" s="79">
        <v>19248.32</v>
      </c>
      <c r="AL225" s="79">
        <v>5</v>
      </c>
      <c r="AM225" s="79">
        <v>0</v>
      </c>
      <c r="AN225" s="79">
        <v>0</v>
      </c>
      <c r="AO225" s="79">
        <v>3700</v>
      </c>
      <c r="AP225" s="79">
        <v>1211</v>
      </c>
      <c r="AQ225" s="79">
        <v>636</v>
      </c>
      <c r="AR225" s="80">
        <v>2.9061499999999998E-4</v>
      </c>
      <c r="AS225" s="80">
        <v>4.1157800000000001E-4</v>
      </c>
      <c r="AT225" s="79">
        <v>28409.78</v>
      </c>
      <c r="AU225" s="79">
        <v>0</v>
      </c>
      <c r="AV225" s="79">
        <v>1834.92</v>
      </c>
      <c r="AW225" s="79">
        <v>21877.8826843854</v>
      </c>
      <c r="AX225" s="79">
        <v>3</v>
      </c>
      <c r="AY225" s="79">
        <v>3.3</v>
      </c>
      <c r="AZ225" s="79">
        <v>3054</v>
      </c>
      <c r="BA225" s="79">
        <v>1</v>
      </c>
      <c r="BB225" s="79">
        <v>0</v>
      </c>
      <c r="BC225" s="79">
        <v>0</v>
      </c>
      <c r="BD225" s="79">
        <v>0</v>
      </c>
      <c r="BE225" s="79">
        <v>0</v>
      </c>
      <c r="BF225" s="79">
        <v>0</v>
      </c>
      <c r="BG225" s="79">
        <v>0</v>
      </c>
      <c r="BH225" s="79">
        <v>0</v>
      </c>
      <c r="BI225" s="79">
        <v>0</v>
      </c>
      <c r="BJ225" s="79">
        <v>0</v>
      </c>
      <c r="BK225" s="79">
        <v>10</v>
      </c>
      <c r="BL225" s="79">
        <v>5676</v>
      </c>
      <c r="BM225" s="79">
        <v>153</v>
      </c>
      <c r="BN225" s="79">
        <v>16</v>
      </c>
      <c r="BO225">
        <v>9470</v>
      </c>
      <c r="BP225">
        <v>2909</v>
      </c>
      <c r="BQ225">
        <v>8341</v>
      </c>
      <c r="BR225">
        <v>2857</v>
      </c>
      <c r="BS225">
        <v>8258</v>
      </c>
      <c r="BT225">
        <v>2827</v>
      </c>
      <c r="BU225">
        <v>8055</v>
      </c>
      <c r="BV225">
        <v>2812</v>
      </c>
      <c r="BW225">
        <v>7887</v>
      </c>
      <c r="BX225">
        <v>2833</v>
      </c>
      <c r="BY225">
        <v>7789</v>
      </c>
      <c r="BZ225">
        <v>2849</v>
      </c>
      <c r="CA225">
        <v>7549</v>
      </c>
      <c r="CB225">
        <v>869.57194295776105</v>
      </c>
      <c r="CC225">
        <v>245.101721694471</v>
      </c>
      <c r="CD225">
        <v>93.797096502527694</v>
      </c>
      <c r="CE225">
        <v>12957.8904901527</v>
      </c>
      <c r="CF225">
        <v>3002.0704302256099</v>
      </c>
      <c r="CG225">
        <v>248.345707077019</v>
      </c>
      <c r="CH225">
        <v>548</v>
      </c>
      <c r="CI225">
        <v>279.331886739357</v>
      </c>
      <c r="CJ225">
        <v>266.42139922183702</v>
      </c>
      <c r="CK225" s="81">
        <v>1738</v>
      </c>
      <c r="CL225">
        <v>456</v>
      </c>
      <c r="CM225">
        <v>6894.01875653569</v>
      </c>
      <c r="CN225">
        <v>1.84633781253225</v>
      </c>
      <c r="CO225">
        <v>31831</v>
      </c>
      <c r="CP225">
        <v>5280</v>
      </c>
      <c r="CQ225">
        <v>717</v>
      </c>
      <c r="CR225">
        <v>1112</v>
      </c>
      <c r="CS225">
        <v>762</v>
      </c>
      <c r="CT225">
        <v>382</v>
      </c>
      <c r="CU225">
        <v>534.37753183342704</v>
      </c>
      <c r="CV225">
        <v>245.84223249479601</v>
      </c>
      <c r="CW225">
        <v>84.751292545010401</v>
      </c>
      <c r="CX225">
        <v>1348.6988553168001</v>
      </c>
      <c r="CY225">
        <v>620.47357495863605</v>
      </c>
      <c r="CZ225">
        <v>213.901154956689</v>
      </c>
      <c r="DA225">
        <v>46847</v>
      </c>
      <c r="DE225">
        <v>718</v>
      </c>
      <c r="DF225" t="s">
        <v>320</v>
      </c>
      <c r="DG225">
        <v>8432</v>
      </c>
      <c r="DH225">
        <v>8301</v>
      </c>
      <c r="DI225">
        <v>8173</v>
      </c>
      <c r="DJ225">
        <v>8190</v>
      </c>
      <c r="DK225">
        <v>8115</v>
      </c>
      <c r="DO225">
        <v>530</v>
      </c>
      <c r="DP225" t="s">
        <v>143</v>
      </c>
      <c r="DQ225">
        <v>18508</v>
      </c>
      <c r="DR225">
        <v>1.04</v>
      </c>
      <c r="DS225">
        <v>1535</v>
      </c>
      <c r="DV225">
        <v>268</v>
      </c>
      <c r="DW225" t="s">
        <v>215</v>
      </c>
      <c r="DX225">
        <v>29878.6291555799</v>
      </c>
      <c r="DY225">
        <v>5158</v>
      </c>
      <c r="DZ225">
        <v>3494</v>
      </c>
      <c r="EA225">
        <v>1610</v>
      </c>
      <c r="EB225">
        <v>10957</v>
      </c>
      <c r="EC225">
        <v>6025</v>
      </c>
      <c r="ED225">
        <v>2108</v>
      </c>
      <c r="EE225" s="82">
        <v>0.25592677620827498</v>
      </c>
      <c r="EF225" s="82">
        <v>0.51638898100144803</v>
      </c>
    </row>
    <row r="226" spans="1:136" x14ac:dyDescent="0.35">
      <c r="A226" s="72">
        <v>531</v>
      </c>
      <c r="B226" s="72">
        <v>8</v>
      </c>
      <c r="D226" s="72" t="s">
        <v>145</v>
      </c>
      <c r="E226" s="79">
        <v>2252800000</v>
      </c>
      <c r="F226" s="79">
        <v>229250000</v>
      </c>
      <c r="G226" s="79">
        <v>229950000</v>
      </c>
      <c r="H226" s="79">
        <v>30677</v>
      </c>
      <c r="I226" s="79">
        <v>1</v>
      </c>
      <c r="J226" s="79">
        <v>229.95</v>
      </c>
      <c r="K226" s="79">
        <v>8280</v>
      </c>
      <c r="L226" s="79">
        <v>5042</v>
      </c>
      <c r="M226" s="79">
        <v>1604</v>
      </c>
      <c r="N226" s="79">
        <v>2724</v>
      </c>
      <c r="O226" s="79">
        <v>1505.4</v>
      </c>
      <c r="P226" s="79">
        <v>294.66666666666703</v>
      </c>
      <c r="Q226" s="79">
        <v>1258.6666666666699</v>
      </c>
      <c r="R226" s="79">
        <v>1490</v>
      </c>
      <c r="S226" s="79">
        <v>0</v>
      </c>
      <c r="T226" s="79">
        <v>775</v>
      </c>
      <c r="U226" s="79">
        <v>12266</v>
      </c>
      <c r="V226" s="79">
        <v>29110</v>
      </c>
      <c r="W226" s="79">
        <v>11390</v>
      </c>
      <c r="X226" s="79">
        <v>0</v>
      </c>
      <c r="Y226" s="79">
        <v>0</v>
      </c>
      <c r="Z226" s="79">
        <v>0</v>
      </c>
      <c r="AA226" s="79">
        <v>509.6</v>
      </c>
      <c r="AB226" s="79">
        <v>0</v>
      </c>
      <c r="AC226" s="79">
        <v>1026</v>
      </c>
      <c r="AD226" s="79">
        <v>1354.32</v>
      </c>
      <c r="AE226" s="79">
        <v>164</v>
      </c>
      <c r="AF226" s="79">
        <v>0</v>
      </c>
      <c r="AG226" s="79">
        <v>112</v>
      </c>
      <c r="AH226" s="79">
        <v>147.15</v>
      </c>
      <c r="AI226" s="79">
        <v>2.48</v>
      </c>
      <c r="AJ226" s="79">
        <v>12186</v>
      </c>
      <c r="AK226" s="79">
        <v>16451.099999999999</v>
      </c>
      <c r="AL226" s="79">
        <v>0</v>
      </c>
      <c r="AM226" s="79">
        <v>0</v>
      </c>
      <c r="AN226" s="79">
        <v>0</v>
      </c>
      <c r="AO226" s="79">
        <v>0</v>
      </c>
      <c r="AP226" s="79">
        <v>964</v>
      </c>
      <c r="AQ226" s="79">
        <v>0</v>
      </c>
      <c r="AR226" s="80">
        <v>8.7233999999999999E-5</v>
      </c>
      <c r="AS226" s="80">
        <v>2.6871499999999999E-4</v>
      </c>
      <c r="AT226" s="79">
        <v>21715.452000000001</v>
      </c>
      <c r="AU226" s="79">
        <v>0</v>
      </c>
      <c r="AV226" s="79">
        <v>1149.72</v>
      </c>
      <c r="AW226" s="79">
        <v>68294.735697479002</v>
      </c>
      <c r="AX226" s="79">
        <v>1</v>
      </c>
      <c r="AY226" s="79">
        <v>1.24</v>
      </c>
      <c r="AZ226" s="79">
        <v>2658</v>
      </c>
      <c r="BA226" s="79">
        <v>1</v>
      </c>
      <c r="BB226" s="79">
        <v>0</v>
      </c>
      <c r="BC226" s="79">
        <v>0</v>
      </c>
      <c r="BD226" s="79">
        <v>0</v>
      </c>
      <c r="BE226" s="79">
        <v>0</v>
      </c>
      <c r="BF226" s="79">
        <v>0</v>
      </c>
      <c r="BG226" s="79">
        <v>0</v>
      </c>
      <c r="BH226" s="79">
        <v>0</v>
      </c>
      <c r="BI226" s="79">
        <v>0</v>
      </c>
      <c r="BJ226" s="79">
        <v>0</v>
      </c>
      <c r="BK226" s="79">
        <v>24</v>
      </c>
      <c r="BL226" s="79">
        <v>3020</v>
      </c>
      <c r="BM226" s="79">
        <v>109</v>
      </c>
      <c r="BN226" s="79">
        <v>2</v>
      </c>
      <c r="BO226">
        <v>7064</v>
      </c>
      <c r="BP226">
        <v>457</v>
      </c>
      <c r="BQ226">
        <v>6560</v>
      </c>
      <c r="BR226">
        <v>429</v>
      </c>
      <c r="BS226">
        <v>6777</v>
      </c>
      <c r="BT226">
        <v>0</v>
      </c>
      <c r="BU226">
        <v>6840</v>
      </c>
      <c r="BV226">
        <v>0</v>
      </c>
      <c r="BW226">
        <v>6929</v>
      </c>
      <c r="BX226">
        <v>0</v>
      </c>
      <c r="BY226">
        <v>7037</v>
      </c>
      <c r="BZ226">
        <v>0</v>
      </c>
      <c r="CA226">
        <v>7543</v>
      </c>
      <c r="CB226">
        <v>534.695970022187</v>
      </c>
      <c r="CC226">
        <v>125.47448428988</v>
      </c>
      <c r="CD226">
        <v>77.245349137104796</v>
      </c>
      <c r="CE226">
        <v>8893.8235194097797</v>
      </c>
      <c r="CF226">
        <v>2706.95409291643</v>
      </c>
      <c r="CG226">
        <v>287.14982457879103</v>
      </c>
      <c r="CH226">
        <v>297</v>
      </c>
      <c r="CI226">
        <v>132.78100100565101</v>
      </c>
      <c r="CJ226">
        <v>105.36239090397601</v>
      </c>
      <c r="CK226" s="81">
        <v>964</v>
      </c>
      <c r="CL226">
        <v>222</v>
      </c>
      <c r="CM226">
        <v>3656.2878155603898</v>
      </c>
      <c r="CN226">
        <v>0.18874521755704901</v>
      </c>
      <c r="CO226">
        <v>25635</v>
      </c>
      <c r="CP226">
        <v>2855</v>
      </c>
      <c r="CQ226">
        <v>583</v>
      </c>
      <c r="CR226">
        <v>541</v>
      </c>
      <c r="CS226">
        <v>558</v>
      </c>
      <c r="CT226">
        <v>311</v>
      </c>
      <c r="CU226">
        <v>215.55059489808301</v>
      </c>
      <c r="CV226">
        <v>141.06520307943299</v>
      </c>
      <c r="CW226">
        <v>55.215539208849798</v>
      </c>
      <c r="CX226">
        <v>650.73002799895005</v>
      </c>
      <c r="CY226">
        <v>425.86457992825302</v>
      </c>
      <c r="CZ226">
        <v>166.691302301164</v>
      </c>
      <c r="DA226">
        <v>0</v>
      </c>
      <c r="DE226">
        <v>733</v>
      </c>
      <c r="DF226" t="s">
        <v>808</v>
      </c>
      <c r="DG226">
        <v>2586</v>
      </c>
      <c r="DH226">
        <v>2522</v>
      </c>
      <c r="DI226">
        <v>2498</v>
      </c>
      <c r="DJ226">
        <v>2425</v>
      </c>
      <c r="DK226">
        <v>2428</v>
      </c>
      <c r="DO226">
        <v>531</v>
      </c>
      <c r="DP226" t="s">
        <v>145</v>
      </c>
      <c r="DQ226">
        <v>12186</v>
      </c>
      <c r="DR226">
        <v>1.35</v>
      </c>
      <c r="DS226">
        <v>1782</v>
      </c>
      <c r="DV226">
        <v>1930</v>
      </c>
      <c r="DW226" t="s">
        <v>216</v>
      </c>
      <c r="DX226">
        <v>11515.2845623013</v>
      </c>
      <c r="DY226">
        <v>2219</v>
      </c>
      <c r="DZ226">
        <v>1770</v>
      </c>
      <c r="EA226">
        <v>867</v>
      </c>
      <c r="EB226">
        <v>6278</v>
      </c>
      <c r="EC226">
        <v>3455</v>
      </c>
      <c r="ED226">
        <v>1191</v>
      </c>
      <c r="EE226" s="82">
        <v>0.195437939356577</v>
      </c>
      <c r="EF226" s="82">
        <v>0.45714514872359002</v>
      </c>
    </row>
    <row r="227" spans="1:136" x14ac:dyDescent="0.35">
      <c r="A227" s="72">
        <v>534</v>
      </c>
      <c r="B227" s="72">
        <v>8</v>
      </c>
      <c r="D227" s="72" t="s">
        <v>150</v>
      </c>
      <c r="E227" s="79">
        <v>1859600000</v>
      </c>
      <c r="F227" s="79">
        <v>271600000</v>
      </c>
      <c r="G227" s="79">
        <v>276500000</v>
      </c>
      <c r="H227" s="79">
        <v>21812</v>
      </c>
      <c r="I227" s="79">
        <v>1</v>
      </c>
      <c r="J227" s="79">
        <v>276.5</v>
      </c>
      <c r="K227" s="79">
        <v>4714</v>
      </c>
      <c r="L227" s="79">
        <v>4492</v>
      </c>
      <c r="M227" s="79">
        <v>1354</v>
      </c>
      <c r="N227" s="79">
        <v>2917</v>
      </c>
      <c r="O227" s="79">
        <v>1934.2</v>
      </c>
      <c r="P227" s="79">
        <v>235.666666666667</v>
      </c>
      <c r="Q227" s="79">
        <v>1265.6666666666699</v>
      </c>
      <c r="R227" s="79">
        <v>705</v>
      </c>
      <c r="S227" s="79">
        <v>0</v>
      </c>
      <c r="T227" s="79">
        <v>656</v>
      </c>
      <c r="U227" s="79">
        <v>10072</v>
      </c>
      <c r="V227" s="79">
        <v>20090</v>
      </c>
      <c r="W227" s="79">
        <v>4990</v>
      </c>
      <c r="X227" s="79">
        <v>158.4</v>
      </c>
      <c r="Y227" s="79">
        <v>915.2</v>
      </c>
      <c r="Z227" s="79">
        <v>0</v>
      </c>
      <c r="AA227" s="79">
        <v>0</v>
      </c>
      <c r="AB227" s="79">
        <v>555.5</v>
      </c>
      <c r="AC227" s="79">
        <v>1292</v>
      </c>
      <c r="AD227" s="79">
        <v>1408.28</v>
      </c>
      <c r="AE227" s="79">
        <v>55</v>
      </c>
      <c r="AF227" s="79">
        <v>0</v>
      </c>
      <c r="AG227" s="79">
        <v>130</v>
      </c>
      <c r="AH227" s="79">
        <v>127.65</v>
      </c>
      <c r="AI227" s="79">
        <v>16.8</v>
      </c>
      <c r="AJ227" s="79">
        <v>9828</v>
      </c>
      <c r="AK227" s="79">
        <v>10909.08</v>
      </c>
      <c r="AL227" s="79">
        <v>0</v>
      </c>
      <c r="AM227" s="79">
        <v>0</v>
      </c>
      <c r="AN227" s="79">
        <v>0</v>
      </c>
      <c r="AO227" s="79">
        <v>0</v>
      </c>
      <c r="AP227" s="79">
        <v>1874</v>
      </c>
      <c r="AQ227" s="79">
        <v>0</v>
      </c>
      <c r="AR227" s="80">
        <v>4.78849E-4</v>
      </c>
      <c r="AS227" s="80">
        <v>3.7916300000000002E-4</v>
      </c>
      <c r="AT227" s="79">
        <v>15135.12</v>
      </c>
      <c r="AU227" s="79">
        <v>0</v>
      </c>
      <c r="AV227" s="79">
        <v>1709.12</v>
      </c>
      <c r="AW227" s="79">
        <v>37736.541232368203</v>
      </c>
      <c r="AX227" s="79">
        <v>2</v>
      </c>
      <c r="AY227" s="79">
        <v>2.1</v>
      </c>
      <c r="AZ227" s="79">
        <v>2254</v>
      </c>
      <c r="BA227" s="79">
        <v>1</v>
      </c>
      <c r="BB227" s="79">
        <v>0</v>
      </c>
      <c r="BC227" s="79">
        <v>0</v>
      </c>
      <c r="BD227" s="79">
        <v>0</v>
      </c>
      <c r="BE227" s="79">
        <v>0</v>
      </c>
      <c r="BF227" s="79">
        <v>0</v>
      </c>
      <c r="BG227" s="79">
        <v>0</v>
      </c>
      <c r="BH227" s="79">
        <v>0</v>
      </c>
      <c r="BI227" s="79">
        <v>0</v>
      </c>
      <c r="BJ227" s="79">
        <v>0</v>
      </c>
      <c r="BK227" s="79">
        <v>8</v>
      </c>
      <c r="BL227" s="79">
        <v>3263</v>
      </c>
      <c r="BM227" s="79">
        <v>115</v>
      </c>
      <c r="BN227" s="79">
        <v>16</v>
      </c>
      <c r="BO227">
        <v>4754</v>
      </c>
      <c r="BP227">
        <v>535</v>
      </c>
      <c r="BQ227">
        <v>4241</v>
      </c>
      <c r="BR227">
        <v>515</v>
      </c>
      <c r="BS227">
        <v>4158</v>
      </c>
      <c r="BT227">
        <v>516</v>
      </c>
      <c r="BU227">
        <v>4189</v>
      </c>
      <c r="BV227">
        <v>525</v>
      </c>
      <c r="BW227">
        <v>4220</v>
      </c>
      <c r="BX227">
        <v>543</v>
      </c>
      <c r="BY227">
        <v>4198</v>
      </c>
      <c r="BZ227">
        <v>740</v>
      </c>
      <c r="CA227">
        <v>4231</v>
      </c>
      <c r="CB227">
        <v>408.52830946296098</v>
      </c>
      <c r="CC227">
        <v>71.394380836431694</v>
      </c>
      <c r="CD227">
        <v>29.527755551003199</v>
      </c>
      <c r="CE227">
        <v>6629.8522379289798</v>
      </c>
      <c r="CF227">
        <v>1682.0274882563599</v>
      </c>
      <c r="CG227">
        <v>168.42232931968701</v>
      </c>
      <c r="CH227">
        <v>251</v>
      </c>
      <c r="CI227">
        <v>85.614455359090002</v>
      </c>
      <c r="CJ227">
        <v>68.113060786408496</v>
      </c>
      <c r="CK227" s="81">
        <v>1030</v>
      </c>
      <c r="CL227">
        <v>253</v>
      </c>
      <c r="CM227">
        <v>3051.4666337901299</v>
      </c>
      <c r="CN227">
        <v>0.108252371916274</v>
      </c>
      <c r="CO227">
        <v>17320</v>
      </c>
      <c r="CP227">
        <v>2580</v>
      </c>
      <c r="CQ227">
        <v>558</v>
      </c>
      <c r="CR227">
        <v>547</v>
      </c>
      <c r="CS227">
        <v>459</v>
      </c>
      <c r="CT227">
        <v>270</v>
      </c>
      <c r="CU227">
        <v>314.28654574940998</v>
      </c>
      <c r="CV227">
        <v>184.79340416950299</v>
      </c>
      <c r="CW227">
        <v>73.602484727789104</v>
      </c>
      <c r="CX227">
        <v>668.67107722487106</v>
      </c>
      <c r="CY227">
        <v>393.16352004643301</v>
      </c>
      <c r="CZ227">
        <v>156.595480827866</v>
      </c>
      <c r="DA227">
        <v>23946.3</v>
      </c>
      <c r="DE227">
        <v>736</v>
      </c>
      <c r="DF227" t="s">
        <v>78</v>
      </c>
      <c r="DG227">
        <v>10183</v>
      </c>
      <c r="DH227">
        <v>9930</v>
      </c>
      <c r="DI227">
        <v>9732</v>
      </c>
      <c r="DJ227">
        <v>9583</v>
      </c>
      <c r="DK227">
        <v>9328</v>
      </c>
      <c r="DO227">
        <v>534</v>
      </c>
      <c r="DP227" t="s">
        <v>150</v>
      </c>
      <c r="DQ227">
        <v>9828</v>
      </c>
      <c r="DR227">
        <v>1.1100000000000001</v>
      </c>
      <c r="DS227">
        <v>1540</v>
      </c>
      <c r="DV227">
        <v>1695</v>
      </c>
      <c r="DW227" t="s">
        <v>218</v>
      </c>
      <c r="DX227">
        <v>1111.9656160458501</v>
      </c>
      <c r="DY227">
        <v>246</v>
      </c>
      <c r="DZ227">
        <v>206</v>
      </c>
      <c r="EA227">
        <v>85</v>
      </c>
      <c r="EB227">
        <v>732</v>
      </c>
      <c r="EC227">
        <v>425</v>
      </c>
      <c r="ED227">
        <v>129</v>
      </c>
      <c r="EE227" s="82">
        <v>8.42833304683204E-2</v>
      </c>
      <c r="EF227" s="82">
        <v>0.48170966454611602</v>
      </c>
    </row>
    <row r="228" spans="1:136" x14ac:dyDescent="0.35">
      <c r="A228" s="72">
        <v>1884</v>
      </c>
      <c r="B228" s="72">
        <v>8</v>
      </c>
      <c r="D228" s="72" t="s">
        <v>163</v>
      </c>
      <c r="E228" s="79">
        <v>2484400000</v>
      </c>
      <c r="F228" s="79">
        <v>310100000</v>
      </c>
      <c r="G228" s="79">
        <v>330400000</v>
      </c>
      <c r="H228" s="79">
        <v>26625</v>
      </c>
      <c r="I228" s="79">
        <v>6</v>
      </c>
      <c r="J228" s="79">
        <v>330.4</v>
      </c>
      <c r="K228" s="79">
        <v>5943</v>
      </c>
      <c r="L228" s="79">
        <v>5358</v>
      </c>
      <c r="M228" s="79">
        <v>1642</v>
      </c>
      <c r="N228" s="79">
        <v>2740</v>
      </c>
      <c r="O228" s="79">
        <v>1575</v>
      </c>
      <c r="P228" s="79">
        <v>265.33333333333297</v>
      </c>
      <c r="Q228" s="79">
        <v>1016.33333333333</v>
      </c>
      <c r="R228" s="79">
        <v>635</v>
      </c>
      <c r="S228" s="79">
        <v>0</v>
      </c>
      <c r="T228" s="79">
        <v>704</v>
      </c>
      <c r="U228" s="79">
        <v>11427</v>
      </c>
      <c r="V228" s="79">
        <v>19460</v>
      </c>
      <c r="W228" s="79">
        <v>2790</v>
      </c>
      <c r="X228" s="79">
        <v>0</v>
      </c>
      <c r="Y228" s="79">
        <v>254.4</v>
      </c>
      <c r="Z228" s="79">
        <v>0</v>
      </c>
      <c r="AA228" s="79">
        <v>0</v>
      </c>
      <c r="AB228" s="79">
        <v>0</v>
      </c>
      <c r="AC228" s="79">
        <v>6319</v>
      </c>
      <c r="AD228" s="79">
        <v>7898.75</v>
      </c>
      <c r="AE228" s="79">
        <v>905</v>
      </c>
      <c r="AF228" s="79">
        <v>0</v>
      </c>
      <c r="AG228" s="79">
        <v>188</v>
      </c>
      <c r="AH228" s="79">
        <v>186.88</v>
      </c>
      <c r="AI228" s="79">
        <v>50.84</v>
      </c>
      <c r="AJ228" s="79">
        <v>11650</v>
      </c>
      <c r="AK228" s="79">
        <v>14912</v>
      </c>
      <c r="AL228" s="79">
        <v>0</v>
      </c>
      <c r="AM228" s="79">
        <v>0</v>
      </c>
      <c r="AN228" s="79">
        <v>0</v>
      </c>
      <c r="AO228" s="79">
        <v>0</v>
      </c>
      <c r="AP228" s="79">
        <v>542</v>
      </c>
      <c r="AQ228" s="79">
        <v>0</v>
      </c>
      <c r="AR228" s="80">
        <v>1.7202100000000001E-4</v>
      </c>
      <c r="AS228" s="80">
        <v>1.10513E-4</v>
      </c>
      <c r="AT228" s="79">
        <v>6768.65</v>
      </c>
      <c r="AU228" s="79">
        <v>0</v>
      </c>
      <c r="AV228" s="79">
        <v>6487.5</v>
      </c>
      <c r="AW228" s="79">
        <v>59522.944352159502</v>
      </c>
      <c r="AX228" s="79">
        <v>17</v>
      </c>
      <c r="AY228" s="79">
        <v>21.08</v>
      </c>
      <c r="AZ228" s="79">
        <v>3186</v>
      </c>
      <c r="BA228" s="79">
        <v>1</v>
      </c>
      <c r="BB228" s="79">
        <v>0</v>
      </c>
      <c r="BC228" s="79">
        <v>0</v>
      </c>
      <c r="BD228" s="79">
        <v>0</v>
      </c>
      <c r="BE228" s="79">
        <v>0</v>
      </c>
      <c r="BF228" s="79">
        <v>0</v>
      </c>
      <c r="BG228" s="79">
        <v>0</v>
      </c>
      <c r="BH228" s="79">
        <v>0</v>
      </c>
      <c r="BI228" s="79">
        <v>0</v>
      </c>
      <c r="BJ228" s="79">
        <v>0</v>
      </c>
      <c r="BK228" s="79">
        <v>10</v>
      </c>
      <c r="BL228" s="79">
        <v>3202</v>
      </c>
      <c r="BM228" s="79">
        <v>146</v>
      </c>
      <c r="BN228" s="79">
        <v>41</v>
      </c>
      <c r="BO228">
        <v>6455</v>
      </c>
      <c r="BP228">
        <v>309</v>
      </c>
      <c r="BQ228">
        <v>5754</v>
      </c>
      <c r="BR228">
        <v>298</v>
      </c>
      <c r="BS228">
        <v>5723</v>
      </c>
      <c r="BT228">
        <v>286</v>
      </c>
      <c r="BU228">
        <v>5637</v>
      </c>
      <c r="BV228">
        <v>266</v>
      </c>
      <c r="BW228">
        <v>5512</v>
      </c>
      <c r="BX228">
        <v>274</v>
      </c>
      <c r="BY228">
        <v>5461</v>
      </c>
      <c r="BZ228">
        <v>274</v>
      </c>
      <c r="CA228">
        <v>5268</v>
      </c>
      <c r="CB228">
        <v>363.13198339033897</v>
      </c>
      <c r="CC228">
        <v>133.110848037404</v>
      </c>
      <c r="CD228">
        <v>43.634276148093598</v>
      </c>
      <c r="CE228">
        <v>8739.3812646322694</v>
      </c>
      <c r="CF228">
        <v>2237.7568465593799</v>
      </c>
      <c r="CG228">
        <v>127.516182726624</v>
      </c>
      <c r="CH228">
        <v>265</v>
      </c>
      <c r="CI228">
        <v>71.768189760738693</v>
      </c>
      <c r="CJ228">
        <v>51.084795589806397</v>
      </c>
      <c r="CK228" s="81">
        <v>751</v>
      </c>
      <c r="CL228">
        <v>206</v>
      </c>
      <c r="CM228">
        <v>3555.07181706757</v>
      </c>
      <c r="CN228">
        <v>0.127867615072461</v>
      </c>
      <c r="CO228">
        <v>21267</v>
      </c>
      <c r="CP228">
        <v>3178</v>
      </c>
      <c r="CQ228">
        <v>538</v>
      </c>
      <c r="CR228">
        <v>537</v>
      </c>
      <c r="CS228">
        <v>504</v>
      </c>
      <c r="CT228">
        <v>246</v>
      </c>
      <c r="CU228">
        <v>264.13980074569503</v>
      </c>
      <c r="CV228">
        <v>152.61711107568499</v>
      </c>
      <c r="CW228">
        <v>51.503205774877003</v>
      </c>
      <c r="CX228">
        <v>696.46545854530405</v>
      </c>
      <c r="CY228">
        <v>402.41018561803901</v>
      </c>
      <c r="CZ228">
        <v>135.80007149731901</v>
      </c>
      <c r="DA228">
        <v>0</v>
      </c>
      <c r="DE228">
        <v>737</v>
      </c>
      <c r="DF228" t="s">
        <v>300</v>
      </c>
      <c r="DG228">
        <v>7218</v>
      </c>
      <c r="DH228">
        <v>7212</v>
      </c>
      <c r="DI228">
        <v>7180</v>
      </c>
      <c r="DJ228">
        <v>7116</v>
      </c>
      <c r="DK228">
        <v>7034</v>
      </c>
      <c r="DO228">
        <v>1884</v>
      </c>
      <c r="DP228" t="s">
        <v>163</v>
      </c>
      <c r="DQ228">
        <v>11650</v>
      </c>
      <c r="DR228">
        <v>1.28</v>
      </c>
      <c r="DS228">
        <v>581</v>
      </c>
      <c r="DV228">
        <v>1699</v>
      </c>
      <c r="DW228" t="s">
        <v>219</v>
      </c>
      <c r="DX228">
        <v>4541.2013632078897</v>
      </c>
      <c r="DY228">
        <v>846</v>
      </c>
      <c r="DZ228">
        <v>801</v>
      </c>
      <c r="EA228">
        <v>463</v>
      </c>
      <c r="EB228">
        <v>2762</v>
      </c>
      <c r="EC228">
        <v>1864</v>
      </c>
      <c r="ED228">
        <v>683</v>
      </c>
      <c r="EE228" s="82">
        <v>0.20572245612009499</v>
      </c>
      <c r="EF228" s="82">
        <v>0.44529638226801799</v>
      </c>
    </row>
    <row r="229" spans="1:136" x14ac:dyDescent="0.35">
      <c r="A229" s="72">
        <v>537</v>
      </c>
      <c r="B229" s="72">
        <v>8</v>
      </c>
      <c r="D229" s="72" t="s">
        <v>166</v>
      </c>
      <c r="E229" s="79">
        <v>5583200000</v>
      </c>
      <c r="F229" s="79">
        <v>799400000</v>
      </c>
      <c r="G229" s="79">
        <v>810600000</v>
      </c>
      <c r="H229" s="79">
        <v>64956</v>
      </c>
      <c r="I229" s="79">
        <v>1</v>
      </c>
      <c r="J229" s="79">
        <v>810.6</v>
      </c>
      <c r="K229" s="79">
        <v>16471</v>
      </c>
      <c r="L229" s="79">
        <v>11222</v>
      </c>
      <c r="M229" s="79">
        <v>3474</v>
      </c>
      <c r="N229" s="79">
        <v>7239</v>
      </c>
      <c r="O229" s="79">
        <v>4589.7</v>
      </c>
      <c r="P229" s="79">
        <v>879</v>
      </c>
      <c r="Q229" s="79">
        <v>3343</v>
      </c>
      <c r="R229" s="79">
        <v>1600</v>
      </c>
      <c r="S229" s="79">
        <v>0</v>
      </c>
      <c r="T229" s="79">
        <v>1590</v>
      </c>
      <c r="U229" s="79">
        <v>27261</v>
      </c>
      <c r="V229" s="79">
        <v>66700</v>
      </c>
      <c r="W229" s="79">
        <v>49930</v>
      </c>
      <c r="X229" s="79">
        <v>1126.1600000000001</v>
      </c>
      <c r="Y229" s="79">
        <v>1707.2</v>
      </c>
      <c r="Z229" s="79">
        <v>0</v>
      </c>
      <c r="AA229" s="79">
        <v>0</v>
      </c>
      <c r="AB229" s="79">
        <v>0</v>
      </c>
      <c r="AC229" s="79">
        <v>2476</v>
      </c>
      <c r="AD229" s="79">
        <v>2476</v>
      </c>
      <c r="AE229" s="79">
        <v>166</v>
      </c>
      <c r="AF229" s="79">
        <v>473</v>
      </c>
      <c r="AG229" s="79">
        <v>297</v>
      </c>
      <c r="AH229" s="79">
        <v>256</v>
      </c>
      <c r="AI229" s="79">
        <v>41</v>
      </c>
      <c r="AJ229" s="79">
        <v>26493</v>
      </c>
      <c r="AK229" s="79">
        <v>26493</v>
      </c>
      <c r="AL229" s="79">
        <v>0</v>
      </c>
      <c r="AM229" s="79">
        <v>0</v>
      </c>
      <c r="AN229" s="79">
        <v>0</v>
      </c>
      <c r="AO229" s="79">
        <v>0</v>
      </c>
      <c r="AP229" s="79">
        <v>5004</v>
      </c>
      <c r="AQ229" s="79">
        <v>0</v>
      </c>
      <c r="AR229" s="80">
        <v>8.0005500000000004E-4</v>
      </c>
      <c r="AS229" s="80">
        <v>1.928201E-3</v>
      </c>
      <c r="AT229" s="79">
        <v>56218.146000000001</v>
      </c>
      <c r="AU229" s="79">
        <v>0</v>
      </c>
      <c r="AV229" s="79">
        <v>1446</v>
      </c>
      <c r="AW229" s="79">
        <v>35551.2399697199</v>
      </c>
      <c r="AX229" s="79">
        <v>4</v>
      </c>
      <c r="AY229" s="79">
        <v>4</v>
      </c>
      <c r="AZ229" s="79">
        <v>5117</v>
      </c>
      <c r="BA229" s="79">
        <v>1</v>
      </c>
      <c r="BB229" s="79">
        <v>0</v>
      </c>
      <c r="BC229" s="79">
        <v>0</v>
      </c>
      <c r="BD229" s="79">
        <v>0</v>
      </c>
      <c r="BE229" s="79">
        <v>0</v>
      </c>
      <c r="BF229" s="79">
        <v>0</v>
      </c>
      <c r="BG229" s="79">
        <v>0</v>
      </c>
      <c r="BH229" s="79">
        <v>0</v>
      </c>
      <c r="BI229" s="79">
        <v>0</v>
      </c>
      <c r="BJ229" s="79">
        <v>0</v>
      </c>
      <c r="BK229" s="79">
        <v>24</v>
      </c>
      <c r="BL229" s="79">
        <v>7837</v>
      </c>
      <c r="BM229" s="79">
        <v>256</v>
      </c>
      <c r="BN229" s="79">
        <v>41</v>
      </c>
      <c r="BO229">
        <v>16786</v>
      </c>
      <c r="BP229">
        <v>2445</v>
      </c>
      <c r="BQ229">
        <v>14831</v>
      </c>
      <c r="BR229">
        <v>2416</v>
      </c>
      <c r="BS229">
        <v>14747</v>
      </c>
      <c r="BT229">
        <v>2325</v>
      </c>
      <c r="BU229">
        <v>14613</v>
      </c>
      <c r="BV229">
        <v>2301</v>
      </c>
      <c r="BW229">
        <v>14758</v>
      </c>
      <c r="BX229">
        <v>2309</v>
      </c>
      <c r="BY229">
        <v>14729</v>
      </c>
      <c r="BZ229">
        <v>2341</v>
      </c>
      <c r="CA229">
        <v>14819</v>
      </c>
      <c r="CB229">
        <v>1143.8342152702201</v>
      </c>
      <c r="CC229">
        <v>493.87557231391497</v>
      </c>
      <c r="CD229">
        <v>177.6548411919</v>
      </c>
      <c r="CE229">
        <v>17543.2687302171</v>
      </c>
      <c r="CF229">
        <v>5115.0371122577299</v>
      </c>
      <c r="CG229">
        <v>585.46963286081302</v>
      </c>
      <c r="CH229">
        <v>625</v>
      </c>
      <c r="CI229">
        <v>311.81486081446297</v>
      </c>
      <c r="CJ229">
        <v>280.96637574393498</v>
      </c>
      <c r="CK229" s="81">
        <v>2464</v>
      </c>
      <c r="CL229">
        <v>757</v>
      </c>
      <c r="CM229">
        <v>9735.7859543268096</v>
      </c>
      <c r="CN229">
        <v>1.0040306925304501</v>
      </c>
      <c r="CO229">
        <v>53734</v>
      </c>
      <c r="CP229">
        <v>6595</v>
      </c>
      <c r="CQ229">
        <v>1153</v>
      </c>
      <c r="CR229">
        <v>1388</v>
      </c>
      <c r="CS229">
        <v>1251</v>
      </c>
      <c r="CT229">
        <v>565</v>
      </c>
      <c r="CU229">
        <v>717.44089170710902</v>
      </c>
      <c r="CV229">
        <v>429.494317928501</v>
      </c>
      <c r="CW229">
        <v>141.54774414989299</v>
      </c>
      <c r="CX229">
        <v>1827.87262241338</v>
      </c>
      <c r="CY229">
        <v>1094.2516858156901</v>
      </c>
      <c r="CZ229">
        <v>360.63074921799802</v>
      </c>
      <c r="DA229">
        <v>117214.39999999999</v>
      </c>
      <c r="DE229">
        <v>738</v>
      </c>
      <c r="DF229" t="s">
        <v>822</v>
      </c>
      <c r="DG229">
        <v>3284</v>
      </c>
      <c r="DH229">
        <v>3251</v>
      </c>
      <c r="DI229">
        <v>3241</v>
      </c>
      <c r="DJ229">
        <v>3241</v>
      </c>
      <c r="DK229">
        <v>3171</v>
      </c>
      <c r="DO229">
        <v>537</v>
      </c>
      <c r="DP229" t="s">
        <v>166</v>
      </c>
      <c r="DQ229">
        <v>26493</v>
      </c>
      <c r="DR229">
        <v>1</v>
      </c>
      <c r="DS229">
        <v>2122</v>
      </c>
      <c r="DV229">
        <v>171</v>
      </c>
      <c r="DW229" t="s">
        <v>220</v>
      </c>
      <c r="DX229">
        <v>5768.1453679195301</v>
      </c>
      <c r="DY229">
        <v>871</v>
      </c>
      <c r="DZ229">
        <v>746</v>
      </c>
      <c r="EA229">
        <v>434</v>
      </c>
      <c r="EB229">
        <v>2952</v>
      </c>
      <c r="EC229">
        <v>1604</v>
      </c>
      <c r="ED229">
        <v>590</v>
      </c>
      <c r="EE229" s="82">
        <v>0.18899971781750299</v>
      </c>
      <c r="EF229" s="82">
        <v>0.49876271685266299</v>
      </c>
    </row>
    <row r="230" spans="1:136" x14ac:dyDescent="0.35">
      <c r="A230" s="72">
        <v>588</v>
      </c>
      <c r="B230" s="72">
        <v>8</v>
      </c>
      <c r="D230" s="72" t="s">
        <v>815</v>
      </c>
      <c r="E230" s="79">
        <v>842400000</v>
      </c>
      <c r="F230" s="79">
        <v>78050000</v>
      </c>
      <c r="G230" s="79">
        <v>89600000</v>
      </c>
      <c r="H230" s="79">
        <v>11097</v>
      </c>
      <c r="I230" s="79">
        <v>4</v>
      </c>
      <c r="J230" s="79">
        <v>89.6</v>
      </c>
      <c r="K230" s="79">
        <v>2607</v>
      </c>
      <c r="L230" s="79">
        <v>2323</v>
      </c>
      <c r="M230" s="79">
        <v>704</v>
      </c>
      <c r="N230" s="79">
        <v>1154</v>
      </c>
      <c r="O230" s="79">
        <v>693.5</v>
      </c>
      <c r="P230" s="79">
        <v>77.6666666666667</v>
      </c>
      <c r="Q230" s="79">
        <v>420.66666666666703</v>
      </c>
      <c r="R230" s="79">
        <v>150</v>
      </c>
      <c r="S230" s="79">
        <v>0</v>
      </c>
      <c r="T230" s="79">
        <v>241</v>
      </c>
      <c r="U230" s="79">
        <v>4654</v>
      </c>
      <c r="V230" s="79">
        <v>5730</v>
      </c>
      <c r="W230" s="79">
        <v>170</v>
      </c>
      <c r="X230" s="79">
        <v>0</v>
      </c>
      <c r="Y230" s="79">
        <v>0</v>
      </c>
      <c r="Z230" s="79">
        <v>0</v>
      </c>
      <c r="AA230" s="79">
        <v>0</v>
      </c>
      <c r="AB230" s="79">
        <v>0</v>
      </c>
      <c r="AC230" s="79">
        <v>7601</v>
      </c>
      <c r="AD230" s="79">
        <v>8817.16</v>
      </c>
      <c r="AE230" s="79">
        <v>2446</v>
      </c>
      <c r="AF230" s="79">
        <v>0</v>
      </c>
      <c r="AG230" s="79">
        <v>78</v>
      </c>
      <c r="AH230" s="79">
        <v>65</v>
      </c>
      <c r="AI230" s="79">
        <v>30.16</v>
      </c>
      <c r="AJ230" s="79">
        <v>4605</v>
      </c>
      <c r="AK230" s="79">
        <v>5756.25</v>
      </c>
      <c r="AL230" s="79">
        <v>0</v>
      </c>
      <c r="AM230" s="79">
        <v>0</v>
      </c>
      <c r="AN230" s="79">
        <v>0</v>
      </c>
      <c r="AO230" s="79">
        <v>0</v>
      </c>
      <c r="AP230" s="79">
        <v>0</v>
      </c>
      <c r="AQ230" s="79">
        <v>0</v>
      </c>
      <c r="AR230" s="80">
        <v>1.4129600000000001E-4</v>
      </c>
      <c r="AS230" s="80">
        <v>4.4226E-5</v>
      </c>
      <c r="AT230" s="79">
        <v>1496.625</v>
      </c>
      <c r="AU230" s="79">
        <v>0</v>
      </c>
      <c r="AV230" s="79">
        <v>3271.2</v>
      </c>
      <c r="AW230" s="79">
        <v>4945.5486413854896</v>
      </c>
      <c r="AX230" s="79">
        <v>9</v>
      </c>
      <c r="AY230" s="79">
        <v>10.44</v>
      </c>
      <c r="AZ230" s="79">
        <v>1127</v>
      </c>
      <c r="BA230" s="79">
        <v>1</v>
      </c>
      <c r="BB230" s="79">
        <v>0</v>
      </c>
      <c r="BC230" s="79">
        <v>0</v>
      </c>
      <c r="BD230" s="79">
        <v>0</v>
      </c>
      <c r="BE230" s="79">
        <v>0</v>
      </c>
      <c r="BF230" s="79">
        <v>0</v>
      </c>
      <c r="BG230" s="79">
        <v>0</v>
      </c>
      <c r="BH230" s="79">
        <v>0</v>
      </c>
      <c r="BI230" s="79">
        <v>0</v>
      </c>
      <c r="BJ230" s="79">
        <v>0</v>
      </c>
      <c r="BK230" s="79">
        <v>4</v>
      </c>
      <c r="BL230" s="79">
        <v>1205</v>
      </c>
      <c r="BM230" s="79">
        <v>52</v>
      </c>
      <c r="BN230" s="79">
        <v>26</v>
      </c>
      <c r="BO230">
        <v>2796</v>
      </c>
      <c r="BP230">
        <v>0</v>
      </c>
      <c r="BQ230">
        <v>2500</v>
      </c>
      <c r="BR230">
        <v>0</v>
      </c>
      <c r="BS230">
        <v>2481</v>
      </c>
      <c r="BT230">
        <v>0</v>
      </c>
      <c r="BU230">
        <v>2427</v>
      </c>
      <c r="BV230">
        <v>0</v>
      </c>
      <c r="BW230">
        <v>2387</v>
      </c>
      <c r="BX230">
        <v>0</v>
      </c>
      <c r="BY230">
        <v>2362</v>
      </c>
      <c r="BZ230">
        <v>0</v>
      </c>
      <c r="CA230">
        <v>2343</v>
      </c>
      <c r="CB230">
        <v>127.752465581381</v>
      </c>
      <c r="CC230">
        <v>36.409537027449197</v>
      </c>
      <c r="CD230">
        <v>8.0773535062490893</v>
      </c>
      <c r="CE230">
        <v>3377.8914835115402</v>
      </c>
      <c r="CF230">
        <v>833.26399160437597</v>
      </c>
      <c r="CG230">
        <v>84.722992779783397</v>
      </c>
      <c r="CH230">
        <v>75</v>
      </c>
      <c r="CI230">
        <v>18.412903125004199</v>
      </c>
      <c r="CJ230">
        <v>17.737776246460601</v>
      </c>
      <c r="CK230" s="81">
        <v>343</v>
      </c>
      <c r="CL230">
        <v>70</v>
      </c>
      <c r="CM230">
        <v>1743.74106235566</v>
      </c>
      <c r="CN230">
        <v>5.1665132284608298E-2</v>
      </c>
      <c r="CO230">
        <v>8774</v>
      </c>
      <c r="CP230">
        <v>1382</v>
      </c>
      <c r="CQ230">
        <v>237</v>
      </c>
      <c r="CR230">
        <v>227</v>
      </c>
      <c r="CS230">
        <v>201</v>
      </c>
      <c r="CT230">
        <v>106</v>
      </c>
      <c r="CU230">
        <v>125.664724422939</v>
      </c>
      <c r="CV230">
        <v>73.229084016244897</v>
      </c>
      <c r="CW230">
        <v>23.505631906449</v>
      </c>
      <c r="CX230">
        <v>313.81708619320898</v>
      </c>
      <c r="CY230">
        <v>182.871827206115</v>
      </c>
      <c r="CZ230">
        <v>58.699598856283799</v>
      </c>
      <c r="DA230">
        <v>0</v>
      </c>
      <c r="DE230">
        <v>743</v>
      </c>
      <c r="DF230" t="s">
        <v>31</v>
      </c>
      <c r="DG230">
        <v>3816</v>
      </c>
      <c r="DH230">
        <v>3739</v>
      </c>
      <c r="DI230">
        <v>3643</v>
      </c>
      <c r="DJ230">
        <v>3572</v>
      </c>
      <c r="DK230">
        <v>3452</v>
      </c>
      <c r="DO230">
        <v>588</v>
      </c>
      <c r="DP230" t="s">
        <v>815</v>
      </c>
      <c r="DQ230">
        <v>4605</v>
      </c>
      <c r="DR230">
        <v>1.25</v>
      </c>
      <c r="DS230">
        <v>325</v>
      </c>
      <c r="DV230">
        <v>575</v>
      </c>
      <c r="DW230" t="s">
        <v>221</v>
      </c>
      <c r="DX230">
        <v>3384.9170014531201</v>
      </c>
      <c r="DY230">
        <v>779</v>
      </c>
      <c r="DZ230">
        <v>569</v>
      </c>
      <c r="EA230">
        <v>319</v>
      </c>
      <c r="EB230">
        <v>2102</v>
      </c>
      <c r="EC230">
        <v>1185</v>
      </c>
      <c r="ED230">
        <v>420</v>
      </c>
      <c r="EE230" s="82">
        <v>0.140252466566337</v>
      </c>
      <c r="EF230" s="82">
        <v>0.33432256961095702</v>
      </c>
    </row>
    <row r="231" spans="1:136" x14ac:dyDescent="0.35">
      <c r="A231" s="72">
        <v>542</v>
      </c>
      <c r="B231" s="72">
        <v>8</v>
      </c>
      <c r="D231" s="72" t="s">
        <v>169</v>
      </c>
      <c r="E231" s="79">
        <v>2278800000</v>
      </c>
      <c r="F231" s="79">
        <v>312900000</v>
      </c>
      <c r="G231" s="79">
        <v>316050000</v>
      </c>
      <c r="H231" s="79">
        <v>29306</v>
      </c>
      <c r="I231" s="79">
        <v>1</v>
      </c>
      <c r="J231" s="79">
        <v>316.05</v>
      </c>
      <c r="K231" s="79">
        <v>7063</v>
      </c>
      <c r="L231" s="79">
        <v>6901</v>
      </c>
      <c r="M231" s="79">
        <v>2353</v>
      </c>
      <c r="N231" s="79">
        <v>3383</v>
      </c>
      <c r="O231" s="79">
        <v>2134</v>
      </c>
      <c r="P231" s="79">
        <v>486.33333333333297</v>
      </c>
      <c r="Q231" s="79">
        <v>1413.3333333333301</v>
      </c>
      <c r="R231" s="79">
        <v>1385</v>
      </c>
      <c r="S231" s="79">
        <v>0</v>
      </c>
      <c r="T231" s="79">
        <v>987</v>
      </c>
      <c r="U231" s="79">
        <v>12765</v>
      </c>
      <c r="V231" s="79">
        <v>24870</v>
      </c>
      <c r="W231" s="79">
        <v>6180</v>
      </c>
      <c r="X231" s="79">
        <v>0</v>
      </c>
      <c r="Y231" s="79">
        <v>1096.8</v>
      </c>
      <c r="Z231" s="79">
        <v>0</v>
      </c>
      <c r="AA231" s="79">
        <v>0</v>
      </c>
      <c r="AB231" s="79">
        <v>0</v>
      </c>
      <c r="AC231" s="79">
        <v>767</v>
      </c>
      <c r="AD231" s="79">
        <v>1081.47</v>
      </c>
      <c r="AE231" s="79">
        <v>128</v>
      </c>
      <c r="AF231" s="79">
        <v>0</v>
      </c>
      <c r="AG231" s="79">
        <v>127</v>
      </c>
      <c r="AH231" s="79">
        <v>168.98</v>
      </c>
      <c r="AI231" s="79">
        <v>12.24</v>
      </c>
      <c r="AJ231" s="79">
        <v>12490</v>
      </c>
      <c r="AK231" s="79">
        <v>17735.8</v>
      </c>
      <c r="AL231" s="79">
        <v>0</v>
      </c>
      <c r="AM231" s="79">
        <v>0</v>
      </c>
      <c r="AN231" s="79">
        <v>0</v>
      </c>
      <c r="AO231" s="79">
        <v>0</v>
      </c>
      <c r="AP231" s="79">
        <v>925</v>
      </c>
      <c r="AQ231" s="79">
        <v>0</v>
      </c>
      <c r="AR231" s="80">
        <v>2.0524200000000001E-4</v>
      </c>
      <c r="AS231" s="80">
        <v>6.2073200000000003E-4</v>
      </c>
      <c r="AT231" s="79">
        <v>24255.58</v>
      </c>
      <c r="AU231" s="79">
        <v>0</v>
      </c>
      <c r="AV231" s="79">
        <v>1218.24</v>
      </c>
      <c r="AW231" s="79">
        <v>119670.64169832401</v>
      </c>
      <c r="AX231" s="79">
        <v>1</v>
      </c>
      <c r="AY231" s="79">
        <v>1.36</v>
      </c>
      <c r="AZ231" s="79">
        <v>2464</v>
      </c>
      <c r="BA231" s="79">
        <v>1</v>
      </c>
      <c r="BB231" s="79">
        <v>0</v>
      </c>
      <c r="BC231" s="79">
        <v>0</v>
      </c>
      <c r="BD231" s="79">
        <v>0</v>
      </c>
      <c r="BE231" s="79">
        <v>0</v>
      </c>
      <c r="BF231" s="79">
        <v>0</v>
      </c>
      <c r="BG231" s="79">
        <v>0</v>
      </c>
      <c r="BH231" s="79">
        <v>0</v>
      </c>
      <c r="BI231" s="79">
        <v>0</v>
      </c>
      <c r="BJ231" s="79">
        <v>0</v>
      </c>
      <c r="BK231" s="79">
        <v>10</v>
      </c>
      <c r="BL231" s="79">
        <v>3687</v>
      </c>
      <c r="BM231" s="79">
        <v>119</v>
      </c>
      <c r="BN231" s="79">
        <v>9</v>
      </c>
      <c r="BO231">
        <v>7211</v>
      </c>
      <c r="BP231">
        <v>1479</v>
      </c>
      <c r="BQ231">
        <v>6443</v>
      </c>
      <c r="BR231">
        <v>1415</v>
      </c>
      <c r="BS231">
        <v>6432</v>
      </c>
      <c r="BT231">
        <v>1374</v>
      </c>
      <c r="BU231">
        <v>6320</v>
      </c>
      <c r="BV231">
        <v>1358</v>
      </c>
      <c r="BW231">
        <v>6315</v>
      </c>
      <c r="BX231">
        <v>1375</v>
      </c>
      <c r="BY231">
        <v>6303</v>
      </c>
      <c r="BZ231">
        <v>1351</v>
      </c>
      <c r="CA231">
        <v>6348</v>
      </c>
      <c r="CB231">
        <v>550.22839012802001</v>
      </c>
      <c r="CC231">
        <v>120.60732586190601</v>
      </c>
      <c r="CD231">
        <v>50.168243300626301</v>
      </c>
      <c r="CE231">
        <v>8884.7683432569702</v>
      </c>
      <c r="CF231">
        <v>2267.7404182135501</v>
      </c>
      <c r="CG231">
        <v>229.31576887721599</v>
      </c>
      <c r="CH231">
        <v>371</v>
      </c>
      <c r="CI231">
        <v>172.00621581722299</v>
      </c>
      <c r="CJ231">
        <v>170.99216301588001</v>
      </c>
      <c r="CK231" s="81">
        <v>927</v>
      </c>
      <c r="CL231">
        <v>271</v>
      </c>
      <c r="CM231">
        <v>4404.3930309079697</v>
      </c>
      <c r="CN231">
        <v>0.89426017061186402</v>
      </c>
      <c r="CO231">
        <v>22405</v>
      </c>
      <c r="CP231">
        <v>3663</v>
      </c>
      <c r="CQ231">
        <v>885</v>
      </c>
      <c r="CR231">
        <v>707</v>
      </c>
      <c r="CS231">
        <v>777</v>
      </c>
      <c r="CT231">
        <v>419</v>
      </c>
      <c r="CU231">
        <v>377.44837778618597</v>
      </c>
      <c r="CV231">
        <v>283.64160576055599</v>
      </c>
      <c r="CW231">
        <v>109.526668248504</v>
      </c>
      <c r="CX231">
        <v>877.01073003605597</v>
      </c>
      <c r="CY231">
        <v>659.04835303750701</v>
      </c>
      <c r="CZ231">
        <v>254.48794837171201</v>
      </c>
      <c r="DA231">
        <v>0</v>
      </c>
      <c r="DE231">
        <v>744</v>
      </c>
      <c r="DF231" t="s">
        <v>32</v>
      </c>
      <c r="DG231">
        <v>1168</v>
      </c>
      <c r="DH231">
        <v>1148</v>
      </c>
      <c r="DI231">
        <v>1136</v>
      </c>
      <c r="DJ231">
        <v>1118</v>
      </c>
      <c r="DK231">
        <v>1111</v>
      </c>
      <c r="DO231">
        <v>542</v>
      </c>
      <c r="DP231" t="s">
        <v>169</v>
      </c>
      <c r="DQ231">
        <v>12490</v>
      </c>
      <c r="DR231">
        <v>1.42</v>
      </c>
      <c r="DS231">
        <v>1942</v>
      </c>
      <c r="DV231">
        <v>576</v>
      </c>
      <c r="DW231" t="s">
        <v>818</v>
      </c>
      <c r="DX231">
        <v>2016.36071579541</v>
      </c>
      <c r="DY231">
        <v>438</v>
      </c>
      <c r="DZ231">
        <v>367</v>
      </c>
      <c r="EA231">
        <v>162</v>
      </c>
      <c r="EB231">
        <v>1258</v>
      </c>
      <c r="EC231">
        <v>763</v>
      </c>
      <c r="ED231">
        <v>236</v>
      </c>
      <c r="EE231" s="82">
        <v>0.16176304242443301</v>
      </c>
      <c r="EF231" s="82">
        <v>0.41502120714199497</v>
      </c>
    </row>
    <row r="232" spans="1:136" x14ac:dyDescent="0.35">
      <c r="A232" s="72">
        <v>1931</v>
      </c>
      <c r="B232" s="72">
        <v>8</v>
      </c>
      <c r="D232" s="72" t="s">
        <v>170</v>
      </c>
      <c r="E232" s="79">
        <v>4524800000</v>
      </c>
      <c r="F232" s="79">
        <v>646450000</v>
      </c>
      <c r="G232" s="79">
        <v>698250000</v>
      </c>
      <c r="H232" s="79">
        <v>55644</v>
      </c>
      <c r="I232" s="79">
        <v>9</v>
      </c>
      <c r="J232" s="79">
        <v>698.25</v>
      </c>
      <c r="K232" s="79">
        <v>13127</v>
      </c>
      <c r="L232" s="79">
        <v>11458</v>
      </c>
      <c r="M232" s="79">
        <v>3568</v>
      </c>
      <c r="N232" s="79">
        <v>6198</v>
      </c>
      <c r="O232" s="79">
        <v>3831.2</v>
      </c>
      <c r="P232" s="79">
        <v>658.66666666666697</v>
      </c>
      <c r="Q232" s="79">
        <v>2490.6666666666702</v>
      </c>
      <c r="R232" s="79">
        <v>2045</v>
      </c>
      <c r="S232" s="79">
        <v>0</v>
      </c>
      <c r="T232" s="79">
        <v>1308</v>
      </c>
      <c r="U232" s="79">
        <v>23930</v>
      </c>
      <c r="V232" s="79">
        <v>40310</v>
      </c>
      <c r="W232" s="79">
        <v>3420</v>
      </c>
      <c r="X232" s="79">
        <v>0</v>
      </c>
      <c r="Y232" s="79">
        <v>2968</v>
      </c>
      <c r="Z232" s="79">
        <v>0</v>
      </c>
      <c r="AA232" s="79">
        <v>0</v>
      </c>
      <c r="AB232" s="79">
        <v>173.5</v>
      </c>
      <c r="AC232" s="79">
        <v>14905</v>
      </c>
      <c r="AD232" s="79">
        <v>23997.05</v>
      </c>
      <c r="AE232" s="79">
        <v>1226</v>
      </c>
      <c r="AF232" s="79">
        <v>0</v>
      </c>
      <c r="AG232" s="79">
        <v>378</v>
      </c>
      <c r="AH232" s="79">
        <v>420.18</v>
      </c>
      <c r="AI232" s="79">
        <v>154.85</v>
      </c>
      <c r="AJ232" s="79">
        <v>23668</v>
      </c>
      <c r="AK232" s="79">
        <v>35265.32</v>
      </c>
      <c r="AL232" s="79">
        <v>15</v>
      </c>
      <c r="AM232" s="79">
        <v>0</v>
      </c>
      <c r="AN232" s="79">
        <v>0</v>
      </c>
      <c r="AO232" s="79">
        <v>3000</v>
      </c>
      <c r="AP232" s="79">
        <v>3668</v>
      </c>
      <c r="AQ232" s="79">
        <v>1194</v>
      </c>
      <c r="AR232" s="80">
        <v>1.099844E-3</v>
      </c>
      <c r="AS232" s="80">
        <v>6.4869999999999999E-4</v>
      </c>
      <c r="AT232" s="79">
        <v>18319.031999999999</v>
      </c>
      <c r="AU232" s="79">
        <v>0</v>
      </c>
      <c r="AV232" s="79">
        <v>31766.91</v>
      </c>
      <c r="AW232" s="79">
        <v>318832.73805467697</v>
      </c>
      <c r="AX232" s="79">
        <v>24</v>
      </c>
      <c r="AY232" s="79">
        <v>39.119999999999997</v>
      </c>
      <c r="AZ232" s="79">
        <v>6157</v>
      </c>
      <c r="BA232" s="79">
        <v>1</v>
      </c>
      <c r="BB232" s="79">
        <v>0</v>
      </c>
      <c r="BC232" s="79">
        <v>0</v>
      </c>
      <c r="BD232" s="79">
        <v>0</v>
      </c>
      <c r="BE232" s="79">
        <v>0</v>
      </c>
      <c r="BF232" s="79">
        <v>0</v>
      </c>
      <c r="BG232" s="79">
        <v>0</v>
      </c>
      <c r="BH232" s="79">
        <v>0</v>
      </c>
      <c r="BI232" s="79">
        <v>0</v>
      </c>
      <c r="BJ232" s="79">
        <v>0</v>
      </c>
      <c r="BK232" s="79">
        <v>25</v>
      </c>
      <c r="BL232" s="79">
        <v>7088</v>
      </c>
      <c r="BM232" s="79">
        <v>282</v>
      </c>
      <c r="BN232" s="79">
        <v>95</v>
      </c>
      <c r="BO232">
        <v>13925</v>
      </c>
      <c r="BP232">
        <v>3215</v>
      </c>
      <c r="BQ232">
        <v>12321</v>
      </c>
      <c r="BR232">
        <v>3245</v>
      </c>
      <c r="BS232">
        <v>12173</v>
      </c>
      <c r="BT232">
        <v>3368</v>
      </c>
      <c r="BU232">
        <v>12046</v>
      </c>
      <c r="BV232">
        <v>3390</v>
      </c>
      <c r="BW232">
        <v>11901</v>
      </c>
      <c r="BX232">
        <v>3491</v>
      </c>
      <c r="BY232">
        <v>11839</v>
      </c>
      <c r="BZ232">
        <v>3577</v>
      </c>
      <c r="CA232">
        <v>11645</v>
      </c>
      <c r="CB232">
        <v>901.69015280960798</v>
      </c>
      <c r="CC232">
        <v>261.43390283209999</v>
      </c>
      <c r="CD232">
        <v>144.442522651871</v>
      </c>
      <c r="CE232">
        <v>17126.433588146901</v>
      </c>
      <c r="CF232">
        <v>4371.95117029843</v>
      </c>
      <c r="CG232">
        <v>400.32368686868699</v>
      </c>
      <c r="CH232">
        <v>518</v>
      </c>
      <c r="CI232">
        <v>213.35444065407299</v>
      </c>
      <c r="CJ232">
        <v>167.79936329151701</v>
      </c>
      <c r="CK232" s="81">
        <v>1832</v>
      </c>
      <c r="CL232">
        <v>590</v>
      </c>
      <c r="CM232">
        <v>7344.4419182844504</v>
      </c>
      <c r="CN232">
        <v>0.59727569474894804</v>
      </c>
      <c r="CO232">
        <v>44186</v>
      </c>
      <c r="CP232">
        <v>6617</v>
      </c>
      <c r="CQ232">
        <v>1273</v>
      </c>
      <c r="CR232">
        <v>1188</v>
      </c>
      <c r="CS232">
        <v>1144</v>
      </c>
      <c r="CT232">
        <v>651</v>
      </c>
      <c r="CU232">
        <v>652.27629978776201</v>
      </c>
      <c r="CV232">
        <v>407.713151157661</v>
      </c>
      <c r="CW232">
        <v>150.52529995102199</v>
      </c>
      <c r="CX232">
        <v>1557.7299898071201</v>
      </c>
      <c r="CY232">
        <v>973.67787700350505</v>
      </c>
      <c r="CZ232">
        <v>359.47615149395</v>
      </c>
      <c r="DA232">
        <v>50916</v>
      </c>
      <c r="DE232">
        <v>748</v>
      </c>
      <c r="DF232" t="s">
        <v>44</v>
      </c>
      <c r="DG232">
        <v>13364</v>
      </c>
      <c r="DH232">
        <v>13249</v>
      </c>
      <c r="DI232">
        <v>13097</v>
      </c>
      <c r="DJ232">
        <v>13037</v>
      </c>
      <c r="DK232">
        <v>12862</v>
      </c>
      <c r="DO232">
        <v>1931</v>
      </c>
      <c r="DP232" t="s">
        <v>170</v>
      </c>
      <c r="DQ232">
        <v>23668</v>
      </c>
      <c r="DR232">
        <v>1.49</v>
      </c>
      <c r="DS232">
        <v>774</v>
      </c>
      <c r="DV232">
        <v>820</v>
      </c>
      <c r="DW232" t="s">
        <v>222</v>
      </c>
      <c r="DX232">
        <v>2036.7073464472101</v>
      </c>
      <c r="DY232">
        <v>584</v>
      </c>
      <c r="DZ232">
        <v>547</v>
      </c>
      <c r="EA232">
        <v>264</v>
      </c>
      <c r="EB232">
        <v>2069</v>
      </c>
      <c r="EC232">
        <v>1274</v>
      </c>
      <c r="ED232">
        <v>398</v>
      </c>
      <c r="EE232" s="82">
        <v>0.100246519166966</v>
      </c>
      <c r="EF232" s="82">
        <v>0.29600192492781502</v>
      </c>
    </row>
    <row r="233" spans="1:136" x14ac:dyDescent="0.35">
      <c r="A233" s="72">
        <v>1621</v>
      </c>
      <c r="B233" s="72">
        <v>8</v>
      </c>
      <c r="D233" s="72" t="s">
        <v>176</v>
      </c>
      <c r="E233" s="79">
        <v>5382800000</v>
      </c>
      <c r="F233" s="79">
        <v>1189300000</v>
      </c>
      <c r="G233" s="79">
        <v>1202250000</v>
      </c>
      <c r="H233" s="79">
        <v>61155</v>
      </c>
      <c r="I233" s="79">
        <v>2</v>
      </c>
      <c r="J233" s="79">
        <v>1202.25</v>
      </c>
      <c r="K233" s="79">
        <v>17383</v>
      </c>
      <c r="L233" s="79">
        <v>9035</v>
      </c>
      <c r="M233" s="79">
        <v>2790</v>
      </c>
      <c r="N233" s="79">
        <v>4316</v>
      </c>
      <c r="O233" s="79">
        <v>1949.2</v>
      </c>
      <c r="P233" s="79">
        <v>574</v>
      </c>
      <c r="Q233" s="79">
        <v>2118</v>
      </c>
      <c r="R233" s="79">
        <v>4060</v>
      </c>
      <c r="S233" s="79">
        <v>0</v>
      </c>
      <c r="T233" s="79">
        <v>1818</v>
      </c>
      <c r="U233" s="79">
        <v>23811</v>
      </c>
      <c r="V233" s="79">
        <v>50380</v>
      </c>
      <c r="W233" s="79">
        <v>18170</v>
      </c>
      <c r="X233" s="79">
        <v>0</v>
      </c>
      <c r="Y233" s="79">
        <v>3412.8</v>
      </c>
      <c r="Z233" s="79">
        <v>0</v>
      </c>
      <c r="AA233" s="79">
        <v>1693.7</v>
      </c>
      <c r="AB233" s="79">
        <v>2237.6</v>
      </c>
      <c r="AC233" s="79">
        <v>5327</v>
      </c>
      <c r="AD233" s="79">
        <v>6818.56</v>
      </c>
      <c r="AE233" s="79">
        <v>311</v>
      </c>
      <c r="AF233" s="79">
        <v>0</v>
      </c>
      <c r="AG233" s="79">
        <v>370</v>
      </c>
      <c r="AH233" s="79">
        <v>345.8</v>
      </c>
      <c r="AI233" s="79">
        <v>131.84</v>
      </c>
      <c r="AJ233" s="79">
        <v>23668</v>
      </c>
      <c r="AK233" s="79">
        <v>30768.400000000001</v>
      </c>
      <c r="AL233" s="79">
        <v>0</v>
      </c>
      <c r="AM233" s="79">
        <v>0</v>
      </c>
      <c r="AN233" s="79">
        <v>0</v>
      </c>
      <c r="AO233" s="79">
        <v>0</v>
      </c>
      <c r="AP233" s="79">
        <v>501</v>
      </c>
      <c r="AQ233" s="79">
        <v>0</v>
      </c>
      <c r="AR233" s="80">
        <v>1.67963E-4</v>
      </c>
      <c r="AS233" s="80">
        <v>1.50531E-4</v>
      </c>
      <c r="AT233" s="79">
        <v>30058.36</v>
      </c>
      <c r="AU233" s="79">
        <v>0</v>
      </c>
      <c r="AV233" s="79">
        <v>5402.88</v>
      </c>
      <c r="AW233" s="79">
        <v>95064.243490599503</v>
      </c>
      <c r="AX233" s="79">
        <v>7</v>
      </c>
      <c r="AY233" s="79">
        <v>8.9600000000000009</v>
      </c>
      <c r="AZ233" s="79">
        <v>7069</v>
      </c>
      <c r="BA233" s="79">
        <v>1</v>
      </c>
      <c r="BB233" s="79">
        <v>0</v>
      </c>
      <c r="BC233" s="79">
        <v>0</v>
      </c>
      <c r="BD233" s="79">
        <v>0</v>
      </c>
      <c r="BE233" s="79">
        <v>0</v>
      </c>
      <c r="BF233" s="79">
        <v>0</v>
      </c>
      <c r="BG233" s="79">
        <v>0</v>
      </c>
      <c r="BH233" s="79">
        <v>0</v>
      </c>
      <c r="BI233" s="79">
        <v>0</v>
      </c>
      <c r="BJ233" s="79">
        <v>0</v>
      </c>
      <c r="BK233" s="79">
        <v>3</v>
      </c>
      <c r="BL233" s="79">
        <v>5171</v>
      </c>
      <c r="BM233" s="79">
        <v>266</v>
      </c>
      <c r="BN233" s="79">
        <v>103</v>
      </c>
      <c r="BO233">
        <v>14263</v>
      </c>
      <c r="BP233">
        <v>1844</v>
      </c>
      <c r="BQ233">
        <v>13606</v>
      </c>
      <c r="BR233">
        <v>2215</v>
      </c>
      <c r="BS233">
        <v>13990</v>
      </c>
      <c r="BT233">
        <v>2545</v>
      </c>
      <c r="BU233">
        <v>14384</v>
      </c>
      <c r="BV233">
        <v>2875</v>
      </c>
      <c r="BW233">
        <v>14676</v>
      </c>
      <c r="BX233">
        <v>3161</v>
      </c>
      <c r="BY233">
        <v>15000</v>
      </c>
      <c r="BZ233">
        <v>3442</v>
      </c>
      <c r="CA233">
        <v>15763</v>
      </c>
      <c r="CB233">
        <v>1043.66751247918</v>
      </c>
      <c r="CC233">
        <v>107.62402048456499</v>
      </c>
      <c r="CD233">
        <v>113.467196610074</v>
      </c>
      <c r="CE233">
        <v>20110.302124773301</v>
      </c>
      <c r="CF233">
        <v>7267.2660481969297</v>
      </c>
      <c r="CG233">
        <v>531.92017048853404</v>
      </c>
      <c r="CH233">
        <v>778</v>
      </c>
      <c r="CI233">
        <v>241.14588500169299</v>
      </c>
      <c r="CJ233">
        <v>185.18238401304799</v>
      </c>
      <c r="CK233" s="81">
        <v>1544</v>
      </c>
      <c r="CL233">
        <v>352</v>
      </c>
      <c r="CM233">
        <v>5117.1926653680002</v>
      </c>
      <c r="CN233">
        <v>0.28914650703822697</v>
      </c>
      <c r="CO233">
        <v>52120</v>
      </c>
      <c r="CP233">
        <v>5295</v>
      </c>
      <c r="CQ233">
        <v>950</v>
      </c>
      <c r="CR233">
        <v>941</v>
      </c>
      <c r="CS233">
        <v>853</v>
      </c>
      <c r="CT233">
        <v>426</v>
      </c>
      <c r="CU233">
        <v>264.91753694966098</v>
      </c>
      <c r="CV233">
        <v>158.57159783212001</v>
      </c>
      <c r="CW233">
        <v>54.779279251096</v>
      </c>
      <c r="CX233">
        <v>916.14295121827695</v>
      </c>
      <c r="CY233">
        <v>548.37536725596499</v>
      </c>
      <c r="CZ233">
        <v>189.438763233879</v>
      </c>
      <c r="DA233">
        <v>23549.4</v>
      </c>
      <c r="DE233">
        <v>753</v>
      </c>
      <c r="DF233" t="s">
        <v>47</v>
      </c>
      <c r="DG233">
        <v>6982</v>
      </c>
      <c r="DH233">
        <v>6878</v>
      </c>
      <c r="DI233">
        <v>6694</v>
      </c>
      <c r="DJ233">
        <v>6540</v>
      </c>
      <c r="DK233">
        <v>6407</v>
      </c>
      <c r="DO233">
        <v>1621</v>
      </c>
      <c r="DP233" t="s">
        <v>176</v>
      </c>
      <c r="DQ233">
        <v>23668</v>
      </c>
      <c r="DR233">
        <v>1.3</v>
      </c>
      <c r="DS233">
        <v>1270</v>
      </c>
      <c r="DV233">
        <v>302</v>
      </c>
      <c r="DW233" t="s">
        <v>223</v>
      </c>
      <c r="DX233">
        <v>2972.6013719512198</v>
      </c>
      <c r="DY233">
        <v>557</v>
      </c>
      <c r="DZ233">
        <v>537</v>
      </c>
      <c r="EA233">
        <v>320</v>
      </c>
      <c r="EB233">
        <v>1792</v>
      </c>
      <c r="EC233">
        <v>1179</v>
      </c>
      <c r="ED233">
        <v>467</v>
      </c>
      <c r="EE233" s="82">
        <v>0.14405594186791601</v>
      </c>
      <c r="EF233" s="82">
        <v>0.45714514872359002</v>
      </c>
    </row>
    <row r="234" spans="1:136" x14ac:dyDescent="0.35">
      <c r="A234" s="72">
        <v>545</v>
      </c>
      <c r="B234" s="72">
        <v>8</v>
      </c>
      <c r="D234" s="72" t="s">
        <v>816</v>
      </c>
      <c r="E234" s="79">
        <v>1514800000</v>
      </c>
      <c r="F234" s="79">
        <v>219800000</v>
      </c>
      <c r="G234" s="79">
        <v>236600000</v>
      </c>
      <c r="H234" s="79">
        <v>21030</v>
      </c>
      <c r="I234" s="79">
        <v>2</v>
      </c>
      <c r="J234" s="79">
        <v>236.6</v>
      </c>
      <c r="K234" s="79">
        <v>4964</v>
      </c>
      <c r="L234" s="79">
        <v>4185</v>
      </c>
      <c r="M234" s="79">
        <v>1314</v>
      </c>
      <c r="N234" s="79">
        <v>2683</v>
      </c>
      <c r="O234" s="79">
        <v>1777</v>
      </c>
      <c r="P234" s="79">
        <v>373</v>
      </c>
      <c r="Q234" s="79">
        <v>1692</v>
      </c>
      <c r="R234" s="79">
        <v>2505</v>
      </c>
      <c r="S234" s="79">
        <v>0</v>
      </c>
      <c r="T234" s="79">
        <v>656</v>
      </c>
      <c r="U234" s="79">
        <v>9058</v>
      </c>
      <c r="V234" s="79">
        <v>22920</v>
      </c>
      <c r="W234" s="79">
        <v>6850</v>
      </c>
      <c r="X234" s="79">
        <v>0</v>
      </c>
      <c r="Y234" s="79">
        <v>1000.8</v>
      </c>
      <c r="Z234" s="79">
        <v>0</v>
      </c>
      <c r="AA234" s="79">
        <v>0</v>
      </c>
      <c r="AB234" s="79">
        <v>77.3</v>
      </c>
      <c r="AC234" s="79">
        <v>3374</v>
      </c>
      <c r="AD234" s="79">
        <v>4453.68</v>
      </c>
      <c r="AE234" s="79">
        <v>69</v>
      </c>
      <c r="AF234" s="79">
        <v>0</v>
      </c>
      <c r="AG234" s="79">
        <v>120</v>
      </c>
      <c r="AH234" s="79">
        <v>128.38</v>
      </c>
      <c r="AI234" s="79">
        <v>29.26</v>
      </c>
      <c r="AJ234" s="79">
        <v>9060</v>
      </c>
      <c r="AK234" s="79">
        <v>11868.6</v>
      </c>
      <c r="AL234" s="79">
        <v>8</v>
      </c>
      <c r="AM234" s="79">
        <v>0</v>
      </c>
      <c r="AN234" s="79">
        <v>0</v>
      </c>
      <c r="AO234" s="79">
        <v>0</v>
      </c>
      <c r="AP234" s="79">
        <v>1635</v>
      </c>
      <c r="AQ234" s="79">
        <v>810</v>
      </c>
      <c r="AR234" s="80">
        <v>4.7103200000000003E-4</v>
      </c>
      <c r="AS234" s="80">
        <v>4.0727899999999997E-4</v>
      </c>
      <c r="AT234" s="79">
        <v>11361.24</v>
      </c>
      <c r="AU234" s="79">
        <v>0</v>
      </c>
      <c r="AV234" s="79">
        <v>1486.32</v>
      </c>
      <c r="AW234" s="79">
        <v>20366.1776357827</v>
      </c>
      <c r="AX234" s="79">
        <v>4</v>
      </c>
      <c r="AY234" s="79">
        <v>5.32</v>
      </c>
      <c r="AZ234" s="79">
        <v>1836</v>
      </c>
      <c r="BA234" s="79">
        <v>1</v>
      </c>
      <c r="BB234" s="79">
        <v>0</v>
      </c>
      <c r="BC234" s="79">
        <v>0</v>
      </c>
      <c r="BD234" s="79">
        <v>0</v>
      </c>
      <c r="BE234" s="79">
        <v>0</v>
      </c>
      <c r="BF234" s="79">
        <v>0</v>
      </c>
      <c r="BG234" s="79">
        <v>0</v>
      </c>
      <c r="BH234" s="79">
        <v>0</v>
      </c>
      <c r="BI234" s="79">
        <v>0</v>
      </c>
      <c r="BJ234" s="79">
        <v>0</v>
      </c>
      <c r="BK234" s="79">
        <v>6</v>
      </c>
      <c r="BL234" s="79">
        <v>2672</v>
      </c>
      <c r="BM234" s="79">
        <v>98</v>
      </c>
      <c r="BN234" s="79">
        <v>22</v>
      </c>
      <c r="BO234">
        <v>5301</v>
      </c>
      <c r="BP234">
        <v>1067</v>
      </c>
      <c r="BQ234">
        <v>4758</v>
      </c>
      <c r="BR234">
        <v>1069</v>
      </c>
      <c r="BS234">
        <v>4721</v>
      </c>
      <c r="BT234">
        <v>1119</v>
      </c>
      <c r="BU234">
        <v>4669</v>
      </c>
      <c r="BV234">
        <v>1128</v>
      </c>
      <c r="BW234">
        <v>4609</v>
      </c>
      <c r="BX234">
        <v>1161</v>
      </c>
      <c r="BY234">
        <v>4583</v>
      </c>
      <c r="BZ234">
        <v>1173</v>
      </c>
      <c r="CA234">
        <v>4406</v>
      </c>
      <c r="CB234">
        <v>551.39418522951996</v>
      </c>
      <c r="CC234">
        <v>123.42240932811001</v>
      </c>
      <c r="CD234">
        <v>105.471283754596</v>
      </c>
      <c r="CE234">
        <v>5425.6426344383199</v>
      </c>
      <c r="CF234">
        <v>1410.7742688040601</v>
      </c>
      <c r="CG234">
        <v>314.364017931859</v>
      </c>
      <c r="CH234">
        <v>254</v>
      </c>
      <c r="CI234">
        <v>129.51974380446799</v>
      </c>
      <c r="CJ234">
        <v>117.778834276498</v>
      </c>
      <c r="CK234" s="81">
        <v>1319</v>
      </c>
      <c r="CL234">
        <v>323</v>
      </c>
      <c r="CM234">
        <v>3803.3726232436902</v>
      </c>
      <c r="CN234">
        <v>0.71029197520021503</v>
      </c>
      <c r="CO234">
        <v>16845</v>
      </c>
      <c r="CP234">
        <v>2362</v>
      </c>
      <c r="CQ234">
        <v>509</v>
      </c>
      <c r="CR234">
        <v>492</v>
      </c>
      <c r="CS234">
        <v>444</v>
      </c>
      <c r="CT234">
        <v>262</v>
      </c>
      <c r="CU234">
        <v>286.41301347658998</v>
      </c>
      <c r="CV234">
        <v>180.28325985273</v>
      </c>
      <c r="CW234">
        <v>68.268307321817304</v>
      </c>
      <c r="CX234">
        <v>709.44425762605294</v>
      </c>
      <c r="CY234">
        <v>446.56114572489201</v>
      </c>
      <c r="CZ234">
        <v>169.10041209168901</v>
      </c>
      <c r="DA234">
        <v>15611.4</v>
      </c>
      <c r="DE234">
        <v>755</v>
      </c>
      <c r="DF234" t="s">
        <v>54</v>
      </c>
      <c r="DG234">
        <v>2501</v>
      </c>
      <c r="DH234">
        <v>2463</v>
      </c>
      <c r="DI234">
        <v>2412</v>
      </c>
      <c r="DJ234">
        <v>2393</v>
      </c>
      <c r="DK234">
        <v>2361</v>
      </c>
      <c r="DO234">
        <v>545</v>
      </c>
      <c r="DP234" t="s">
        <v>816</v>
      </c>
      <c r="DQ234">
        <v>9060</v>
      </c>
      <c r="DR234">
        <v>1.31</v>
      </c>
      <c r="DS234">
        <v>1254</v>
      </c>
      <c r="DV234">
        <v>951</v>
      </c>
      <c r="DW234" t="s">
        <v>825</v>
      </c>
      <c r="DX234">
        <v>2106.7607522962498</v>
      </c>
      <c r="DY234">
        <v>381</v>
      </c>
      <c r="DZ234">
        <v>448</v>
      </c>
      <c r="EA234">
        <v>199</v>
      </c>
      <c r="EB234">
        <v>1353</v>
      </c>
      <c r="EC234">
        <v>907</v>
      </c>
      <c r="ED234">
        <v>288</v>
      </c>
      <c r="EE234" s="82">
        <v>0.19993746473466001</v>
      </c>
      <c r="EF234" s="82">
        <v>0.42992500956889801</v>
      </c>
    </row>
    <row r="235" spans="1:136" x14ac:dyDescent="0.35">
      <c r="A235" s="72">
        <v>546</v>
      </c>
      <c r="B235" s="72">
        <v>8</v>
      </c>
      <c r="D235" s="72" t="s">
        <v>179</v>
      </c>
      <c r="E235" s="79">
        <v>10964000000</v>
      </c>
      <c r="F235" s="79">
        <v>2135700000</v>
      </c>
      <c r="G235" s="79">
        <v>2166500000</v>
      </c>
      <c r="H235" s="79">
        <v>124306</v>
      </c>
      <c r="I235" s="79">
        <v>1</v>
      </c>
      <c r="J235" s="79">
        <v>2166.5</v>
      </c>
      <c r="K235" s="79">
        <v>23926</v>
      </c>
      <c r="L235" s="79">
        <v>18392</v>
      </c>
      <c r="M235" s="79">
        <v>5267</v>
      </c>
      <c r="N235" s="79">
        <v>18400</v>
      </c>
      <c r="O235" s="79">
        <v>12244.1</v>
      </c>
      <c r="P235" s="79">
        <v>3543.3333333333298</v>
      </c>
      <c r="Q235" s="79">
        <v>8721.3333333333303</v>
      </c>
      <c r="R235" s="79">
        <v>11785</v>
      </c>
      <c r="S235" s="79">
        <v>0</v>
      </c>
      <c r="T235" s="79">
        <v>3683</v>
      </c>
      <c r="U235" s="79">
        <v>69110</v>
      </c>
      <c r="V235" s="79">
        <v>147710</v>
      </c>
      <c r="W235" s="79">
        <v>160260</v>
      </c>
      <c r="X235" s="79">
        <v>4597.92</v>
      </c>
      <c r="Y235" s="79">
        <v>8714.4</v>
      </c>
      <c r="Z235" s="79">
        <v>0</v>
      </c>
      <c r="AA235" s="79">
        <v>0</v>
      </c>
      <c r="AB235" s="79">
        <v>0</v>
      </c>
      <c r="AC235" s="79">
        <v>2188</v>
      </c>
      <c r="AD235" s="79">
        <v>2559.96</v>
      </c>
      <c r="AE235" s="79">
        <v>139</v>
      </c>
      <c r="AF235" s="79">
        <v>0</v>
      </c>
      <c r="AG235" s="79">
        <v>415</v>
      </c>
      <c r="AH235" s="79">
        <v>470.35</v>
      </c>
      <c r="AI235" s="79">
        <v>7.5</v>
      </c>
      <c r="AJ235" s="79">
        <v>61559</v>
      </c>
      <c r="AK235" s="79">
        <v>70792.850000000006</v>
      </c>
      <c r="AL235" s="79">
        <v>0</v>
      </c>
      <c r="AM235" s="79">
        <v>0</v>
      </c>
      <c r="AN235" s="79">
        <v>125</v>
      </c>
      <c r="AO235" s="79">
        <v>21850</v>
      </c>
      <c r="AP235" s="79">
        <v>17166</v>
      </c>
      <c r="AQ235" s="79">
        <v>17166</v>
      </c>
      <c r="AR235" s="80">
        <v>1.1120166000000001E-2</v>
      </c>
      <c r="AS235" s="80">
        <v>1.0416431E-2</v>
      </c>
      <c r="AT235" s="79">
        <v>225921.53</v>
      </c>
      <c r="AU235" s="79">
        <v>16620.93</v>
      </c>
      <c r="AV235" s="79">
        <v>2430.09</v>
      </c>
      <c r="AW235" s="79">
        <v>215938.27206703901</v>
      </c>
      <c r="AX235" s="79">
        <v>1</v>
      </c>
      <c r="AY235" s="79">
        <v>1.25</v>
      </c>
      <c r="AZ235" s="79">
        <v>12351</v>
      </c>
      <c r="BA235" s="79">
        <v>1</v>
      </c>
      <c r="BB235" s="79">
        <v>0</v>
      </c>
      <c r="BC235" s="79">
        <v>0</v>
      </c>
      <c r="BD235" s="79">
        <v>0</v>
      </c>
      <c r="BE235" s="79">
        <v>0</v>
      </c>
      <c r="BF235" s="79">
        <v>0</v>
      </c>
      <c r="BG235" s="79">
        <v>0</v>
      </c>
      <c r="BH235" s="79">
        <v>0</v>
      </c>
      <c r="BI235" s="79">
        <v>0</v>
      </c>
      <c r="BJ235" s="79">
        <v>0</v>
      </c>
      <c r="BK235" s="79">
        <v>66</v>
      </c>
      <c r="BL235" s="79">
        <v>36897</v>
      </c>
      <c r="BM235" s="79">
        <v>409</v>
      </c>
      <c r="BN235" s="79">
        <v>6</v>
      </c>
      <c r="BO235">
        <v>24594</v>
      </c>
      <c r="BP235">
        <v>10355</v>
      </c>
      <c r="BQ235">
        <v>20901</v>
      </c>
      <c r="BR235">
        <v>10296</v>
      </c>
      <c r="BS235">
        <v>20835</v>
      </c>
      <c r="BT235">
        <v>10298</v>
      </c>
      <c r="BU235">
        <v>20691</v>
      </c>
      <c r="BV235">
        <v>10295</v>
      </c>
      <c r="BW235">
        <v>20693</v>
      </c>
      <c r="BX235">
        <v>10179</v>
      </c>
      <c r="BY235">
        <v>20526</v>
      </c>
      <c r="BZ235">
        <v>10193</v>
      </c>
      <c r="CA235">
        <v>20033</v>
      </c>
      <c r="CB235">
        <v>2764.7921355501999</v>
      </c>
      <c r="CC235">
        <v>294.38561188638101</v>
      </c>
      <c r="CD235">
        <v>368.103136522017</v>
      </c>
      <c r="CE235">
        <v>38693.5120075667</v>
      </c>
      <c r="CF235">
        <v>8039.0596033009197</v>
      </c>
      <c r="CG235">
        <v>1068.40339953542</v>
      </c>
      <c r="CH235">
        <v>1276</v>
      </c>
      <c r="CI235">
        <v>967.81339974465004</v>
      </c>
      <c r="CJ235">
        <v>904.98134409441695</v>
      </c>
      <c r="CK235" s="81">
        <v>5178</v>
      </c>
      <c r="CL235">
        <v>1655</v>
      </c>
      <c r="CM235">
        <v>13404.856553716099</v>
      </c>
      <c r="CN235">
        <v>7.6428598126406602</v>
      </c>
      <c r="CO235">
        <v>105914</v>
      </c>
      <c r="CP235">
        <v>10997</v>
      </c>
      <c r="CQ235">
        <v>2128</v>
      </c>
      <c r="CR235">
        <v>3307</v>
      </c>
      <c r="CS235">
        <v>2091</v>
      </c>
      <c r="CT235">
        <v>1174</v>
      </c>
      <c r="CU235">
        <v>1485.1711840442599</v>
      </c>
      <c r="CV235">
        <v>765.95610415889303</v>
      </c>
      <c r="CW235">
        <v>314.65659744984902</v>
      </c>
      <c r="CX235">
        <v>3182.10735396461</v>
      </c>
      <c r="CY235">
        <v>1641.12701488117</v>
      </c>
      <c r="CZ235">
        <v>674.17889834900404</v>
      </c>
      <c r="DA235">
        <v>52430.7</v>
      </c>
      <c r="DE235">
        <v>756</v>
      </c>
      <c r="DF235" t="s">
        <v>58</v>
      </c>
      <c r="DG235">
        <v>6527</v>
      </c>
      <c r="DH235">
        <v>6388</v>
      </c>
      <c r="DI235">
        <v>6255</v>
      </c>
      <c r="DJ235">
        <v>6113</v>
      </c>
      <c r="DK235">
        <v>5890</v>
      </c>
      <c r="DO235">
        <v>546</v>
      </c>
      <c r="DP235" t="s">
        <v>179</v>
      </c>
      <c r="DQ235">
        <v>61559</v>
      </c>
      <c r="DR235">
        <v>1.1499999999999999</v>
      </c>
      <c r="DS235">
        <v>3670</v>
      </c>
      <c r="DV235">
        <v>579</v>
      </c>
      <c r="DW235" t="s">
        <v>224</v>
      </c>
      <c r="DX235">
        <v>2160.25099100841</v>
      </c>
      <c r="DY235">
        <v>637</v>
      </c>
      <c r="DZ235">
        <v>558</v>
      </c>
      <c r="EA235">
        <v>399</v>
      </c>
      <c r="EB235">
        <v>1697</v>
      </c>
      <c r="EC235">
        <v>1055</v>
      </c>
      <c r="ED235">
        <v>540</v>
      </c>
      <c r="EE235" s="82">
        <v>0.102441288633531</v>
      </c>
      <c r="EF235" s="82">
        <v>0.19647228670101299</v>
      </c>
    </row>
    <row r="236" spans="1:136" x14ac:dyDescent="0.35">
      <c r="A236" s="72">
        <v>547</v>
      </c>
      <c r="B236" s="72">
        <v>8</v>
      </c>
      <c r="D236" s="72" t="s">
        <v>180</v>
      </c>
      <c r="E236" s="79">
        <v>2558400000</v>
      </c>
      <c r="F236" s="79">
        <v>303450000</v>
      </c>
      <c r="G236" s="79">
        <v>310450000</v>
      </c>
      <c r="H236" s="79">
        <v>27197</v>
      </c>
      <c r="I236" s="79">
        <v>1</v>
      </c>
      <c r="J236" s="79">
        <v>310.45</v>
      </c>
      <c r="K236" s="79">
        <v>6127</v>
      </c>
      <c r="L236" s="79">
        <v>6000</v>
      </c>
      <c r="M236" s="79">
        <v>1895</v>
      </c>
      <c r="N236" s="79">
        <v>2855</v>
      </c>
      <c r="O236" s="79">
        <v>1635</v>
      </c>
      <c r="P236" s="79">
        <v>405</v>
      </c>
      <c r="Q236" s="79">
        <v>1443</v>
      </c>
      <c r="R236" s="79">
        <v>1900</v>
      </c>
      <c r="S236" s="79">
        <v>0</v>
      </c>
      <c r="T236" s="79">
        <v>842</v>
      </c>
      <c r="U236" s="79">
        <v>12422</v>
      </c>
      <c r="V236" s="79">
        <v>22910</v>
      </c>
      <c r="W236" s="79">
        <v>6560</v>
      </c>
      <c r="X236" s="79">
        <v>501.7</v>
      </c>
      <c r="Y236" s="79">
        <v>399.2</v>
      </c>
      <c r="Z236" s="79">
        <v>0</v>
      </c>
      <c r="AA236" s="79">
        <v>0</v>
      </c>
      <c r="AB236" s="79">
        <v>0</v>
      </c>
      <c r="AC236" s="79">
        <v>1149</v>
      </c>
      <c r="AD236" s="79">
        <v>1447.74</v>
      </c>
      <c r="AE236" s="79">
        <v>78</v>
      </c>
      <c r="AF236" s="79">
        <v>0</v>
      </c>
      <c r="AG236" s="79">
        <v>106</v>
      </c>
      <c r="AH236" s="79">
        <v>125.24</v>
      </c>
      <c r="AI236" s="79">
        <v>5.16</v>
      </c>
      <c r="AJ236" s="79">
        <v>12200</v>
      </c>
      <c r="AK236" s="79">
        <v>15128</v>
      </c>
      <c r="AL236" s="79">
        <v>0</v>
      </c>
      <c r="AM236" s="79">
        <v>0</v>
      </c>
      <c r="AN236" s="79">
        <v>0</v>
      </c>
      <c r="AO236" s="79">
        <v>0</v>
      </c>
      <c r="AP236" s="79">
        <v>510</v>
      </c>
      <c r="AQ236" s="79">
        <v>0</v>
      </c>
      <c r="AR236" s="80">
        <v>1.4603700000000001E-4</v>
      </c>
      <c r="AS236" s="80">
        <v>6.9047100000000001E-4</v>
      </c>
      <c r="AT236" s="79">
        <v>29804.6</v>
      </c>
      <c r="AU236" s="79">
        <v>0</v>
      </c>
      <c r="AV236" s="79">
        <v>1178.0999999999999</v>
      </c>
      <c r="AW236" s="79">
        <v>57616.4122738386</v>
      </c>
      <c r="AX236" s="79">
        <v>2</v>
      </c>
      <c r="AY236" s="79">
        <v>2.58</v>
      </c>
      <c r="AZ236" s="79">
        <v>2593</v>
      </c>
      <c r="BA236" s="79">
        <v>1</v>
      </c>
      <c r="BB236" s="79">
        <v>0</v>
      </c>
      <c r="BC236" s="79">
        <v>0</v>
      </c>
      <c r="BD236" s="79">
        <v>0</v>
      </c>
      <c r="BE236" s="79">
        <v>0</v>
      </c>
      <c r="BF236" s="79">
        <v>0</v>
      </c>
      <c r="BG236" s="79">
        <v>0</v>
      </c>
      <c r="BH236" s="79">
        <v>0</v>
      </c>
      <c r="BI236" s="79">
        <v>0</v>
      </c>
      <c r="BJ236" s="79">
        <v>0</v>
      </c>
      <c r="BK236" s="79">
        <v>15</v>
      </c>
      <c r="BL236" s="79">
        <v>4278</v>
      </c>
      <c r="BM236" s="79">
        <v>101</v>
      </c>
      <c r="BN236" s="79">
        <v>4</v>
      </c>
      <c r="BO236">
        <v>6667</v>
      </c>
      <c r="BP236">
        <v>678</v>
      </c>
      <c r="BQ236">
        <v>6016</v>
      </c>
      <c r="BR236">
        <v>626</v>
      </c>
      <c r="BS236">
        <v>5851</v>
      </c>
      <c r="BT236">
        <v>649</v>
      </c>
      <c r="BU236">
        <v>5788</v>
      </c>
      <c r="BV236">
        <v>657</v>
      </c>
      <c r="BW236">
        <v>5719</v>
      </c>
      <c r="BX236">
        <v>701</v>
      </c>
      <c r="BY236">
        <v>5691</v>
      </c>
      <c r="BZ236">
        <v>739</v>
      </c>
      <c r="CA236">
        <v>5447</v>
      </c>
      <c r="CB236">
        <v>406.88849349145897</v>
      </c>
      <c r="CC236">
        <v>57.241722263763897</v>
      </c>
      <c r="CD236">
        <v>35.469384052971499</v>
      </c>
      <c r="CE236">
        <v>9633.6471982202202</v>
      </c>
      <c r="CF236">
        <v>2366.1934728241499</v>
      </c>
      <c r="CG236">
        <v>217.247461683122</v>
      </c>
      <c r="CH236">
        <v>305</v>
      </c>
      <c r="CI236">
        <v>139.136080121231</v>
      </c>
      <c r="CJ236">
        <v>122.390656100578</v>
      </c>
      <c r="CK236" s="81">
        <v>1038</v>
      </c>
      <c r="CL236">
        <v>288</v>
      </c>
      <c r="CM236">
        <v>4121.5435879561001</v>
      </c>
      <c r="CN236">
        <v>0.46386979703060299</v>
      </c>
      <c r="CO236">
        <v>21197</v>
      </c>
      <c r="CP236">
        <v>3410</v>
      </c>
      <c r="CQ236">
        <v>695</v>
      </c>
      <c r="CR236">
        <v>831</v>
      </c>
      <c r="CS236">
        <v>727</v>
      </c>
      <c r="CT236">
        <v>404</v>
      </c>
      <c r="CU236">
        <v>293.01956772635702</v>
      </c>
      <c r="CV236">
        <v>183.90798120794199</v>
      </c>
      <c r="CW236">
        <v>76.1368318703434</v>
      </c>
      <c r="CX236">
        <v>758.15251720021604</v>
      </c>
      <c r="CY236">
        <v>475.839548764271</v>
      </c>
      <c r="CZ236">
        <v>196.99479861378001</v>
      </c>
      <c r="DA236">
        <v>40239</v>
      </c>
      <c r="DE236">
        <v>757</v>
      </c>
      <c r="DF236" t="s">
        <v>59</v>
      </c>
      <c r="DG236">
        <v>6689</v>
      </c>
      <c r="DH236">
        <v>6648</v>
      </c>
      <c r="DI236">
        <v>6603</v>
      </c>
      <c r="DJ236">
        <v>6485</v>
      </c>
      <c r="DK236">
        <v>6465</v>
      </c>
      <c r="DO236">
        <v>547</v>
      </c>
      <c r="DP236" t="s">
        <v>180</v>
      </c>
      <c r="DQ236">
        <v>12200</v>
      </c>
      <c r="DR236">
        <v>1.24</v>
      </c>
      <c r="DS236">
        <v>2443</v>
      </c>
      <c r="DV236">
        <v>823</v>
      </c>
      <c r="DW236" t="s">
        <v>225</v>
      </c>
      <c r="DX236">
        <v>1868.4114339268999</v>
      </c>
      <c r="DY236">
        <v>389</v>
      </c>
      <c r="DZ236">
        <v>365</v>
      </c>
      <c r="EA236">
        <v>186</v>
      </c>
      <c r="EB236">
        <v>1363</v>
      </c>
      <c r="EC236">
        <v>755</v>
      </c>
      <c r="ED236">
        <v>264</v>
      </c>
      <c r="EE236" s="82">
        <v>0.13299805885109101</v>
      </c>
      <c r="EF236" s="82">
        <v>0.36956730970414697</v>
      </c>
    </row>
    <row r="237" spans="1:136" x14ac:dyDescent="0.35">
      <c r="A237" s="72">
        <v>1916</v>
      </c>
      <c r="B237" s="72">
        <v>8</v>
      </c>
      <c r="D237" s="72" t="s">
        <v>181</v>
      </c>
      <c r="E237" s="79">
        <v>7413200000</v>
      </c>
      <c r="F237" s="79">
        <v>555100000</v>
      </c>
      <c r="G237" s="79">
        <v>578200000</v>
      </c>
      <c r="H237" s="79">
        <v>74947</v>
      </c>
      <c r="I237" s="79">
        <v>2</v>
      </c>
      <c r="J237" s="79">
        <v>578.20000000000005</v>
      </c>
      <c r="K237" s="79">
        <v>16003</v>
      </c>
      <c r="L237" s="79">
        <v>17071</v>
      </c>
      <c r="M237" s="79">
        <v>5537</v>
      </c>
      <c r="N237" s="79">
        <v>10551</v>
      </c>
      <c r="O237" s="79">
        <v>6882.2</v>
      </c>
      <c r="P237" s="79">
        <v>1875</v>
      </c>
      <c r="Q237" s="79">
        <v>4654</v>
      </c>
      <c r="R237" s="79">
        <v>5965</v>
      </c>
      <c r="S237" s="79">
        <v>0</v>
      </c>
      <c r="T237" s="79">
        <v>2909</v>
      </c>
      <c r="U237" s="79">
        <v>36974</v>
      </c>
      <c r="V237" s="79">
        <v>66260</v>
      </c>
      <c r="W237" s="79">
        <v>33720</v>
      </c>
      <c r="X237" s="79">
        <v>561.84</v>
      </c>
      <c r="Y237" s="79">
        <v>3969.6</v>
      </c>
      <c r="Z237" s="79">
        <v>0</v>
      </c>
      <c r="AA237" s="79">
        <v>0</v>
      </c>
      <c r="AB237" s="79">
        <v>0</v>
      </c>
      <c r="AC237" s="79">
        <v>3253</v>
      </c>
      <c r="AD237" s="79">
        <v>3773.48</v>
      </c>
      <c r="AE237" s="79">
        <v>309</v>
      </c>
      <c r="AF237" s="79">
        <v>0</v>
      </c>
      <c r="AG237" s="79">
        <v>250</v>
      </c>
      <c r="AH237" s="79">
        <v>246.98</v>
      </c>
      <c r="AI237" s="79">
        <v>20.91</v>
      </c>
      <c r="AJ237" s="79">
        <v>36688</v>
      </c>
      <c r="AK237" s="79">
        <v>38889.279999999999</v>
      </c>
      <c r="AL237" s="79">
        <v>0</v>
      </c>
      <c r="AM237" s="79">
        <v>0</v>
      </c>
      <c r="AN237" s="79">
        <v>0</v>
      </c>
      <c r="AO237" s="79">
        <v>0</v>
      </c>
      <c r="AP237" s="79">
        <v>6047</v>
      </c>
      <c r="AQ237" s="79">
        <v>0</v>
      </c>
      <c r="AR237" s="80">
        <v>3.6292170000000001E-3</v>
      </c>
      <c r="AS237" s="80">
        <v>6.4129119999999998E-3</v>
      </c>
      <c r="AT237" s="79">
        <v>104450.736</v>
      </c>
      <c r="AU237" s="79">
        <v>0</v>
      </c>
      <c r="AV237" s="79">
        <v>3016</v>
      </c>
      <c r="AW237" s="79">
        <v>96994.294912970203</v>
      </c>
      <c r="AX237" s="79">
        <v>4</v>
      </c>
      <c r="AY237" s="79">
        <v>4.92</v>
      </c>
      <c r="AZ237" s="79">
        <v>7123</v>
      </c>
      <c r="BA237" s="79">
        <v>1</v>
      </c>
      <c r="BB237" s="79">
        <v>0</v>
      </c>
      <c r="BC237" s="79">
        <v>0</v>
      </c>
      <c r="BD237" s="79">
        <v>0</v>
      </c>
      <c r="BE237" s="79">
        <v>0</v>
      </c>
      <c r="BF237" s="79">
        <v>0</v>
      </c>
      <c r="BG237" s="79">
        <v>0</v>
      </c>
      <c r="BH237" s="79">
        <v>0</v>
      </c>
      <c r="BI237" s="79">
        <v>0</v>
      </c>
      <c r="BJ237" s="79">
        <v>0</v>
      </c>
      <c r="BK237" s="79">
        <v>18</v>
      </c>
      <c r="BL237" s="79">
        <v>14985</v>
      </c>
      <c r="BM237" s="79">
        <v>233</v>
      </c>
      <c r="BN237" s="79">
        <v>17</v>
      </c>
      <c r="BO237">
        <v>15423</v>
      </c>
      <c r="BP237">
        <v>4889</v>
      </c>
      <c r="BQ237">
        <v>13904</v>
      </c>
      <c r="BR237">
        <v>4690</v>
      </c>
      <c r="BS237">
        <v>13701</v>
      </c>
      <c r="BT237">
        <v>4575</v>
      </c>
      <c r="BU237">
        <v>13589</v>
      </c>
      <c r="BV237">
        <v>4568</v>
      </c>
      <c r="BW237">
        <v>13640</v>
      </c>
      <c r="BX237">
        <v>4684</v>
      </c>
      <c r="BY237">
        <v>13616</v>
      </c>
      <c r="BZ237">
        <v>4782</v>
      </c>
      <c r="CA237">
        <v>14523</v>
      </c>
      <c r="CB237">
        <v>1840.3333171470799</v>
      </c>
      <c r="CC237">
        <v>105.378854988103</v>
      </c>
      <c r="CD237">
        <v>166.31779237406101</v>
      </c>
      <c r="CE237">
        <v>28510.943934053699</v>
      </c>
      <c r="CF237">
        <v>6460.0594247724002</v>
      </c>
      <c r="CG237">
        <v>426.38172172351898</v>
      </c>
      <c r="CH237">
        <v>1042</v>
      </c>
      <c r="CI237">
        <v>579.18051329669402</v>
      </c>
      <c r="CJ237">
        <v>545.96875286605598</v>
      </c>
      <c r="CK237" s="81">
        <v>2779</v>
      </c>
      <c r="CL237">
        <v>696</v>
      </c>
      <c r="CM237">
        <v>11077.2479862037</v>
      </c>
      <c r="CN237">
        <v>4.1735159717181398</v>
      </c>
      <c r="CO237">
        <v>57876</v>
      </c>
      <c r="CP237">
        <v>9211</v>
      </c>
      <c r="CQ237">
        <v>2323</v>
      </c>
      <c r="CR237">
        <v>2725</v>
      </c>
      <c r="CS237">
        <v>2270</v>
      </c>
      <c r="CT237">
        <v>1324</v>
      </c>
      <c r="CU237">
        <v>1156.59920070465</v>
      </c>
      <c r="CV237">
        <v>767.56469822955205</v>
      </c>
      <c r="CW237">
        <v>338.76389174060898</v>
      </c>
      <c r="CX237">
        <v>2138.5033948108598</v>
      </c>
      <c r="CY237">
        <v>1419.19492240772</v>
      </c>
      <c r="CZ237">
        <v>626.360222352969</v>
      </c>
      <c r="DA237">
        <v>107836</v>
      </c>
      <c r="DE237">
        <v>758</v>
      </c>
      <c r="DF237" t="s">
        <v>60</v>
      </c>
      <c r="DG237">
        <v>35286</v>
      </c>
      <c r="DH237">
        <v>35275</v>
      </c>
      <c r="DI237">
        <v>35281</v>
      </c>
      <c r="DJ237">
        <v>35405</v>
      </c>
      <c r="DK237">
        <v>35429</v>
      </c>
      <c r="DO237">
        <v>1916</v>
      </c>
      <c r="DP237" t="s">
        <v>181</v>
      </c>
      <c r="DQ237">
        <v>36688</v>
      </c>
      <c r="DR237">
        <v>1.06</v>
      </c>
      <c r="DS237">
        <v>2847</v>
      </c>
      <c r="DV237">
        <v>824</v>
      </c>
      <c r="DW237" t="s">
        <v>226</v>
      </c>
      <c r="DX237">
        <v>3067.7407306681198</v>
      </c>
      <c r="DY237">
        <v>632</v>
      </c>
      <c r="DZ237">
        <v>693</v>
      </c>
      <c r="EA237">
        <v>316</v>
      </c>
      <c r="EB237">
        <v>2002</v>
      </c>
      <c r="EC237">
        <v>1410</v>
      </c>
      <c r="ED237">
        <v>454</v>
      </c>
      <c r="EE237" s="82">
        <v>0.15788002107163099</v>
      </c>
      <c r="EF237" s="82">
        <v>0.34366400520543899</v>
      </c>
    </row>
    <row r="238" spans="1:136" x14ac:dyDescent="0.35">
      <c r="A238" s="72">
        <v>553</v>
      </c>
      <c r="B238" s="72">
        <v>8</v>
      </c>
      <c r="D238" s="72" t="s">
        <v>186</v>
      </c>
      <c r="E238" s="79">
        <v>2098000000</v>
      </c>
      <c r="F238" s="79">
        <v>392350000</v>
      </c>
      <c r="G238" s="79">
        <v>395500000</v>
      </c>
      <c r="H238" s="79">
        <v>22746</v>
      </c>
      <c r="I238" s="79">
        <v>2</v>
      </c>
      <c r="J238" s="79">
        <v>395.5</v>
      </c>
      <c r="K238" s="79">
        <v>4971</v>
      </c>
      <c r="L238" s="79">
        <v>4995</v>
      </c>
      <c r="M238" s="79">
        <v>1602</v>
      </c>
      <c r="N238" s="79">
        <v>2872</v>
      </c>
      <c r="O238" s="79">
        <v>1863.8</v>
      </c>
      <c r="P238" s="79">
        <v>240.666666666667</v>
      </c>
      <c r="Q238" s="79">
        <v>1042.6666666666699</v>
      </c>
      <c r="R238" s="79">
        <v>475</v>
      </c>
      <c r="S238" s="79">
        <v>0</v>
      </c>
      <c r="T238" s="79">
        <v>708</v>
      </c>
      <c r="U238" s="79">
        <v>10261</v>
      </c>
      <c r="V238" s="79">
        <v>21030</v>
      </c>
      <c r="W238" s="79">
        <v>5440</v>
      </c>
      <c r="X238" s="79">
        <v>198</v>
      </c>
      <c r="Y238" s="79">
        <v>1243.2</v>
      </c>
      <c r="Z238" s="79">
        <v>0</v>
      </c>
      <c r="AA238" s="79">
        <v>0</v>
      </c>
      <c r="AB238" s="79">
        <v>0</v>
      </c>
      <c r="AC238" s="79">
        <v>1569</v>
      </c>
      <c r="AD238" s="79">
        <v>1725.9</v>
      </c>
      <c r="AE238" s="79">
        <v>36</v>
      </c>
      <c r="AF238" s="79">
        <v>0</v>
      </c>
      <c r="AG238" s="79">
        <v>130</v>
      </c>
      <c r="AH238" s="79">
        <v>129.96</v>
      </c>
      <c r="AI238" s="79">
        <v>17.12</v>
      </c>
      <c r="AJ238" s="79">
        <v>10082</v>
      </c>
      <c r="AK238" s="79">
        <v>11493.48</v>
      </c>
      <c r="AL238" s="79">
        <v>0</v>
      </c>
      <c r="AM238" s="79">
        <v>0</v>
      </c>
      <c r="AN238" s="79">
        <v>0</v>
      </c>
      <c r="AO238" s="79">
        <v>0</v>
      </c>
      <c r="AP238" s="79">
        <v>1325</v>
      </c>
      <c r="AQ238" s="79">
        <v>0</v>
      </c>
      <c r="AR238" s="80">
        <v>2.9625000000000002E-4</v>
      </c>
      <c r="AS238" s="80">
        <v>4.2545499999999998E-4</v>
      </c>
      <c r="AT238" s="79">
        <v>16050.544</v>
      </c>
      <c r="AU238" s="79">
        <v>0</v>
      </c>
      <c r="AV238" s="79">
        <v>1170.4000000000001</v>
      </c>
      <c r="AW238" s="79">
        <v>20172.371588785001</v>
      </c>
      <c r="AX238" s="79">
        <v>3</v>
      </c>
      <c r="AY238" s="79">
        <v>3.21</v>
      </c>
      <c r="AZ238" s="79">
        <v>2370</v>
      </c>
      <c r="BA238" s="79">
        <v>1</v>
      </c>
      <c r="BB238" s="79">
        <v>0</v>
      </c>
      <c r="BC238" s="79">
        <v>0</v>
      </c>
      <c r="BD238" s="79">
        <v>0</v>
      </c>
      <c r="BE238" s="79">
        <v>0</v>
      </c>
      <c r="BF238" s="79">
        <v>0</v>
      </c>
      <c r="BG238" s="79">
        <v>0</v>
      </c>
      <c r="BH238" s="79">
        <v>0</v>
      </c>
      <c r="BI238" s="79">
        <v>0</v>
      </c>
      <c r="BJ238" s="79">
        <v>0</v>
      </c>
      <c r="BK238" s="79">
        <v>11</v>
      </c>
      <c r="BL238" s="79">
        <v>3351</v>
      </c>
      <c r="BM238" s="79">
        <v>114</v>
      </c>
      <c r="BN238" s="79">
        <v>16</v>
      </c>
      <c r="BO238">
        <v>5374</v>
      </c>
      <c r="BP238">
        <v>1688</v>
      </c>
      <c r="BQ238">
        <v>4834</v>
      </c>
      <c r="BR238">
        <v>1688</v>
      </c>
      <c r="BS238">
        <v>4762</v>
      </c>
      <c r="BT238">
        <v>1662</v>
      </c>
      <c r="BU238">
        <v>4749</v>
      </c>
      <c r="BV238">
        <v>1741</v>
      </c>
      <c r="BW238">
        <v>4677</v>
      </c>
      <c r="BX238">
        <v>1816</v>
      </c>
      <c r="BY238">
        <v>4616</v>
      </c>
      <c r="BZ238">
        <v>1640</v>
      </c>
      <c r="CA238">
        <v>4477</v>
      </c>
      <c r="CB238">
        <v>366.32994462362899</v>
      </c>
      <c r="CC238">
        <v>64.268179361582497</v>
      </c>
      <c r="CD238">
        <v>30.074867675872799</v>
      </c>
      <c r="CE238">
        <v>7354.1713792636001</v>
      </c>
      <c r="CF238">
        <v>1719.8672305714699</v>
      </c>
      <c r="CG238">
        <v>129.322509692132</v>
      </c>
      <c r="CH238">
        <v>237</v>
      </c>
      <c r="CI238">
        <v>62.230935464225503</v>
      </c>
      <c r="CJ238">
        <v>53.213328739381602</v>
      </c>
      <c r="CK238" s="81">
        <v>802</v>
      </c>
      <c r="CL238">
        <v>160</v>
      </c>
      <c r="CM238">
        <v>3299.5887321949899</v>
      </c>
      <c r="CN238">
        <v>0.111204903778385</v>
      </c>
      <c r="CO238">
        <v>17751</v>
      </c>
      <c r="CP238">
        <v>2817</v>
      </c>
      <c r="CQ238">
        <v>576</v>
      </c>
      <c r="CR238">
        <v>609</v>
      </c>
      <c r="CS238">
        <v>567</v>
      </c>
      <c r="CT238">
        <v>329</v>
      </c>
      <c r="CU238">
        <v>327.72558709620301</v>
      </c>
      <c r="CV238">
        <v>210.53550124228701</v>
      </c>
      <c r="CW238">
        <v>82.809398205921497</v>
      </c>
      <c r="CX238">
        <v>716.535804019191</v>
      </c>
      <c r="CY238">
        <v>460.31262311216</v>
      </c>
      <c r="CZ238">
        <v>181.05360417405399</v>
      </c>
      <c r="DA238">
        <v>0</v>
      </c>
      <c r="DE238">
        <v>762</v>
      </c>
      <c r="DF238" t="s">
        <v>83</v>
      </c>
      <c r="DG238">
        <v>6930</v>
      </c>
      <c r="DH238">
        <v>6830</v>
      </c>
      <c r="DI238">
        <v>6777</v>
      </c>
      <c r="DJ238">
        <v>6650</v>
      </c>
      <c r="DK238">
        <v>6492</v>
      </c>
      <c r="DO238">
        <v>553</v>
      </c>
      <c r="DP238" t="s">
        <v>186</v>
      </c>
      <c r="DQ238">
        <v>10082</v>
      </c>
      <c r="DR238">
        <v>1.1399999999999999</v>
      </c>
      <c r="DS238">
        <v>1592</v>
      </c>
      <c r="DV238">
        <v>1895</v>
      </c>
      <c r="DW238" t="s">
        <v>227</v>
      </c>
      <c r="DX238">
        <v>7208.2436562377998</v>
      </c>
      <c r="DY238">
        <v>1166</v>
      </c>
      <c r="DZ238">
        <v>1038</v>
      </c>
      <c r="EA238">
        <v>568</v>
      </c>
      <c r="EB238">
        <v>3339</v>
      </c>
      <c r="EC238">
        <v>1963</v>
      </c>
      <c r="ED238">
        <v>756</v>
      </c>
      <c r="EE238" s="82">
        <v>0.28942429261144198</v>
      </c>
      <c r="EF238" s="82">
        <v>0.62500267351085503</v>
      </c>
    </row>
    <row r="239" spans="1:136" x14ac:dyDescent="0.35">
      <c r="A239" s="72">
        <v>556</v>
      </c>
      <c r="B239" s="72">
        <v>8</v>
      </c>
      <c r="D239" s="72" t="s">
        <v>194</v>
      </c>
      <c r="E239" s="79">
        <v>2366400000</v>
      </c>
      <c r="F239" s="79">
        <v>284900000</v>
      </c>
      <c r="G239" s="79">
        <v>294000000</v>
      </c>
      <c r="H239" s="79">
        <v>32518</v>
      </c>
      <c r="I239" s="79">
        <v>1</v>
      </c>
      <c r="J239" s="79">
        <v>294</v>
      </c>
      <c r="K239" s="79">
        <v>6958</v>
      </c>
      <c r="L239" s="79">
        <v>7389</v>
      </c>
      <c r="M239" s="79">
        <v>2117</v>
      </c>
      <c r="N239" s="79">
        <v>4557</v>
      </c>
      <c r="O239" s="79">
        <v>3046.7</v>
      </c>
      <c r="P239" s="79">
        <v>854</v>
      </c>
      <c r="Q239" s="79">
        <v>2375</v>
      </c>
      <c r="R239" s="79">
        <v>4885</v>
      </c>
      <c r="S239" s="79">
        <v>0</v>
      </c>
      <c r="T239" s="79">
        <v>1128</v>
      </c>
      <c r="U239" s="79">
        <v>14971</v>
      </c>
      <c r="V239" s="79">
        <v>30910</v>
      </c>
      <c r="W239" s="79">
        <v>12420</v>
      </c>
      <c r="X239" s="79">
        <v>140.58000000000001</v>
      </c>
      <c r="Y239" s="79">
        <v>836.8</v>
      </c>
      <c r="Z239" s="79">
        <v>0</v>
      </c>
      <c r="AA239" s="79">
        <v>0</v>
      </c>
      <c r="AB239" s="79">
        <v>0</v>
      </c>
      <c r="AC239" s="79">
        <v>847</v>
      </c>
      <c r="AD239" s="79">
        <v>1050.28</v>
      </c>
      <c r="AE239" s="79">
        <v>165</v>
      </c>
      <c r="AF239" s="79">
        <v>0</v>
      </c>
      <c r="AG239" s="79">
        <v>110</v>
      </c>
      <c r="AH239" s="79">
        <v>133.91999999999999</v>
      </c>
      <c r="AI239" s="79">
        <v>3.69</v>
      </c>
      <c r="AJ239" s="79">
        <v>15103</v>
      </c>
      <c r="AK239" s="79">
        <v>18727.72</v>
      </c>
      <c r="AL239" s="79">
        <v>14</v>
      </c>
      <c r="AM239" s="79">
        <v>0</v>
      </c>
      <c r="AN239" s="79">
        <v>0</v>
      </c>
      <c r="AO239" s="79">
        <v>3750</v>
      </c>
      <c r="AP239" s="79">
        <v>2422</v>
      </c>
      <c r="AQ239" s="79">
        <v>2422</v>
      </c>
      <c r="AR239" s="80">
        <v>4.9686200000000004E-4</v>
      </c>
      <c r="AS239" s="80">
        <v>2.250578E-3</v>
      </c>
      <c r="AT239" s="79">
        <v>29903.94</v>
      </c>
      <c r="AU239" s="79">
        <v>0</v>
      </c>
      <c r="AV239" s="79">
        <v>646.04</v>
      </c>
      <c r="AW239" s="79">
        <v>39724.657154150198</v>
      </c>
      <c r="AX239" s="79">
        <v>1</v>
      </c>
      <c r="AY239" s="79">
        <v>1.23</v>
      </c>
      <c r="AZ239" s="79">
        <v>2525</v>
      </c>
      <c r="BA239" s="79">
        <v>1</v>
      </c>
      <c r="BB239" s="79">
        <v>0</v>
      </c>
      <c r="BC239" s="79">
        <v>0</v>
      </c>
      <c r="BD239" s="79">
        <v>0</v>
      </c>
      <c r="BE239" s="79">
        <v>0</v>
      </c>
      <c r="BF239" s="79">
        <v>0</v>
      </c>
      <c r="BG239" s="79">
        <v>0</v>
      </c>
      <c r="BH239" s="79">
        <v>0</v>
      </c>
      <c r="BI239" s="79">
        <v>0</v>
      </c>
      <c r="BJ239" s="79">
        <v>0</v>
      </c>
      <c r="BK239" s="79">
        <v>16</v>
      </c>
      <c r="BL239" s="79">
        <v>5006</v>
      </c>
      <c r="BM239" s="79">
        <v>108</v>
      </c>
      <c r="BN239" s="79">
        <v>3</v>
      </c>
      <c r="BO239">
        <v>7188</v>
      </c>
      <c r="BP239">
        <v>1188</v>
      </c>
      <c r="BQ239">
        <v>6375</v>
      </c>
      <c r="BR239">
        <v>1154</v>
      </c>
      <c r="BS239">
        <v>6325</v>
      </c>
      <c r="BT239">
        <v>1161</v>
      </c>
      <c r="BU239">
        <v>6376</v>
      </c>
      <c r="BV239">
        <v>1138</v>
      </c>
      <c r="BW239">
        <v>6327</v>
      </c>
      <c r="BX239">
        <v>1176</v>
      </c>
      <c r="BY239">
        <v>6332</v>
      </c>
      <c r="BZ239">
        <v>1209</v>
      </c>
      <c r="CA239">
        <v>6243</v>
      </c>
      <c r="CB239">
        <v>989.62186358514396</v>
      </c>
      <c r="CC239">
        <v>163.81515802887699</v>
      </c>
      <c r="CD239">
        <v>155.56119935085101</v>
      </c>
      <c r="CE239">
        <v>9759.7447651522307</v>
      </c>
      <c r="CF239">
        <v>2237.8304307134399</v>
      </c>
      <c r="CG239">
        <v>180.35066051510901</v>
      </c>
      <c r="CH239">
        <v>462</v>
      </c>
      <c r="CI239">
        <v>328.63725275444301</v>
      </c>
      <c r="CJ239">
        <v>257.552511098607</v>
      </c>
      <c r="CK239" s="81">
        <v>1521</v>
      </c>
      <c r="CL239">
        <v>392</v>
      </c>
      <c r="CM239">
        <v>5232.3246401585502</v>
      </c>
      <c r="CN239">
        <v>2.3449517816317398</v>
      </c>
      <c r="CO239">
        <v>25129</v>
      </c>
      <c r="CP239">
        <v>4500</v>
      </c>
      <c r="CQ239">
        <v>772</v>
      </c>
      <c r="CR239">
        <v>962</v>
      </c>
      <c r="CS239">
        <v>743</v>
      </c>
      <c r="CT239">
        <v>422</v>
      </c>
      <c r="CU239">
        <v>568.03315865737898</v>
      </c>
      <c r="CV239">
        <v>311.24828260239201</v>
      </c>
      <c r="CW239">
        <v>119.012629122107</v>
      </c>
      <c r="CX239">
        <v>1298.6200246175999</v>
      </c>
      <c r="CY239">
        <v>711.56629900034102</v>
      </c>
      <c r="CZ239">
        <v>272.08303072598898</v>
      </c>
      <c r="DA239">
        <v>27556</v>
      </c>
      <c r="DE239">
        <v>765</v>
      </c>
      <c r="DF239" t="s">
        <v>245</v>
      </c>
      <c r="DG239">
        <v>2670</v>
      </c>
      <c r="DH239">
        <v>2663</v>
      </c>
      <c r="DI239">
        <v>2609</v>
      </c>
      <c r="DJ239">
        <v>2541</v>
      </c>
      <c r="DK239">
        <v>2498</v>
      </c>
      <c r="DO239">
        <v>556</v>
      </c>
      <c r="DP239" t="s">
        <v>194</v>
      </c>
      <c r="DQ239">
        <v>15103</v>
      </c>
      <c r="DR239">
        <v>1.24</v>
      </c>
      <c r="DS239">
        <v>1980</v>
      </c>
      <c r="DV239">
        <v>269</v>
      </c>
      <c r="DW239" t="s">
        <v>228</v>
      </c>
      <c r="DX239">
        <v>2389.2472582253199</v>
      </c>
      <c r="DY239">
        <v>399</v>
      </c>
      <c r="DZ239">
        <v>420</v>
      </c>
      <c r="EA239">
        <v>218</v>
      </c>
      <c r="EB239">
        <v>1438</v>
      </c>
      <c r="EC239">
        <v>942</v>
      </c>
      <c r="ED239">
        <v>347</v>
      </c>
      <c r="EE239" s="82">
        <v>0.14517673250131599</v>
      </c>
      <c r="EF239" s="82">
        <v>0.50311442937072404</v>
      </c>
    </row>
    <row r="240" spans="1:136" x14ac:dyDescent="0.35">
      <c r="A240" s="72">
        <v>1842</v>
      </c>
      <c r="B240" s="72">
        <v>8</v>
      </c>
      <c r="D240" s="72" t="s">
        <v>202</v>
      </c>
      <c r="E240" s="79">
        <v>1881600000</v>
      </c>
      <c r="F240" s="79">
        <v>254800000</v>
      </c>
      <c r="G240" s="79">
        <v>263900000</v>
      </c>
      <c r="H240" s="79">
        <v>19338</v>
      </c>
      <c r="I240" s="79">
        <v>3</v>
      </c>
      <c r="J240" s="79">
        <v>263.89999999999998</v>
      </c>
      <c r="K240" s="79">
        <v>4750</v>
      </c>
      <c r="L240" s="79">
        <v>3449</v>
      </c>
      <c r="M240" s="79">
        <v>1091</v>
      </c>
      <c r="N240" s="79">
        <v>1562</v>
      </c>
      <c r="O240" s="79">
        <v>772.8</v>
      </c>
      <c r="P240" s="79">
        <v>121</v>
      </c>
      <c r="Q240" s="79">
        <v>610</v>
      </c>
      <c r="R240" s="79">
        <v>625</v>
      </c>
      <c r="S240" s="79">
        <v>0</v>
      </c>
      <c r="T240" s="79">
        <v>459</v>
      </c>
      <c r="U240" s="79">
        <v>7873</v>
      </c>
      <c r="V240" s="79">
        <v>9870</v>
      </c>
      <c r="W240" s="79">
        <v>630</v>
      </c>
      <c r="X240" s="79">
        <v>0</v>
      </c>
      <c r="Y240" s="79">
        <v>0</v>
      </c>
      <c r="Z240" s="79">
        <v>0</v>
      </c>
      <c r="AA240" s="79">
        <v>0</v>
      </c>
      <c r="AB240" s="79">
        <v>0</v>
      </c>
      <c r="AC240" s="79">
        <v>4722</v>
      </c>
      <c r="AD240" s="79">
        <v>6280.26</v>
      </c>
      <c r="AE240" s="79">
        <v>216</v>
      </c>
      <c r="AF240" s="79">
        <v>0</v>
      </c>
      <c r="AG240" s="79">
        <v>114</v>
      </c>
      <c r="AH240" s="79">
        <v>97.17</v>
      </c>
      <c r="AI240" s="79">
        <v>47.25</v>
      </c>
      <c r="AJ240" s="79">
        <v>7892</v>
      </c>
      <c r="AK240" s="79">
        <v>9707.16</v>
      </c>
      <c r="AL240" s="79">
        <v>0</v>
      </c>
      <c r="AM240" s="79">
        <v>0</v>
      </c>
      <c r="AN240" s="79">
        <v>0</v>
      </c>
      <c r="AO240" s="79">
        <v>0</v>
      </c>
      <c r="AP240" s="79">
        <v>0</v>
      </c>
      <c r="AQ240" s="79">
        <v>0</v>
      </c>
      <c r="AR240" s="80">
        <v>1.6998E-4</v>
      </c>
      <c r="AS240" s="80">
        <v>6.9238000000000004E-5</v>
      </c>
      <c r="AT240" s="79">
        <v>10322.736000000001</v>
      </c>
      <c r="AU240" s="79">
        <v>0</v>
      </c>
      <c r="AV240" s="79">
        <v>4013.94</v>
      </c>
      <c r="AW240" s="79">
        <v>37438.649963548</v>
      </c>
      <c r="AX240" s="79">
        <v>12</v>
      </c>
      <c r="AY240" s="79">
        <v>16.2</v>
      </c>
      <c r="AZ240" s="79">
        <v>2108</v>
      </c>
      <c r="BA240" s="79">
        <v>1</v>
      </c>
      <c r="BB240" s="79">
        <v>0</v>
      </c>
      <c r="BC240" s="79">
        <v>0</v>
      </c>
      <c r="BD240" s="79">
        <v>0</v>
      </c>
      <c r="BE240" s="79">
        <v>0</v>
      </c>
      <c r="BF240" s="79">
        <v>0</v>
      </c>
      <c r="BG240" s="79">
        <v>0</v>
      </c>
      <c r="BH240" s="79">
        <v>0</v>
      </c>
      <c r="BI240" s="79">
        <v>0</v>
      </c>
      <c r="BJ240" s="79">
        <v>0</v>
      </c>
      <c r="BK240" s="79">
        <v>1</v>
      </c>
      <c r="BL240" s="79">
        <v>2018</v>
      </c>
      <c r="BM240" s="79">
        <v>79</v>
      </c>
      <c r="BN240" s="79">
        <v>35</v>
      </c>
      <c r="BO240">
        <v>4947</v>
      </c>
      <c r="BP240">
        <v>0</v>
      </c>
      <c r="BQ240">
        <v>4421</v>
      </c>
      <c r="BR240">
        <v>0</v>
      </c>
      <c r="BS240">
        <v>4396</v>
      </c>
      <c r="BT240">
        <v>0</v>
      </c>
      <c r="BU240">
        <v>4377</v>
      </c>
      <c r="BV240">
        <v>0</v>
      </c>
      <c r="BW240">
        <v>4292</v>
      </c>
      <c r="BX240">
        <v>0</v>
      </c>
      <c r="BY240">
        <v>4243</v>
      </c>
      <c r="BZ240">
        <v>0</v>
      </c>
      <c r="CA240">
        <v>4181</v>
      </c>
      <c r="CB240">
        <v>208.07451946851501</v>
      </c>
      <c r="CC240">
        <v>34.300539484025798</v>
      </c>
      <c r="CD240">
        <v>28.1998314431534</v>
      </c>
      <c r="CE240">
        <v>6658.7822481796702</v>
      </c>
      <c r="CF240">
        <v>1893.3180782202301</v>
      </c>
      <c r="CG240">
        <v>89.503646086685393</v>
      </c>
      <c r="CH240">
        <v>167</v>
      </c>
      <c r="CI240">
        <v>36.978131089003497</v>
      </c>
      <c r="CJ240">
        <v>24.832886745044799</v>
      </c>
      <c r="CK240" s="81">
        <v>489</v>
      </c>
      <c r="CL240">
        <v>118</v>
      </c>
      <c r="CM240">
        <v>1782.09204260054</v>
      </c>
      <c r="CN240">
        <v>9.3270630567886606E-2</v>
      </c>
      <c r="CO240">
        <v>15889</v>
      </c>
      <c r="CP240">
        <v>1908</v>
      </c>
      <c r="CQ240">
        <v>450</v>
      </c>
      <c r="CR240">
        <v>312</v>
      </c>
      <c r="CS240">
        <v>322</v>
      </c>
      <c r="CT240">
        <v>211</v>
      </c>
      <c r="CU240">
        <v>115.183586288916</v>
      </c>
      <c r="CV240">
        <v>72.577412789189495</v>
      </c>
      <c r="CW240">
        <v>32.028089044622099</v>
      </c>
      <c r="CX240">
        <v>335.00749708728</v>
      </c>
      <c r="CY240">
        <v>211.088907603465</v>
      </c>
      <c r="CZ240">
        <v>93.152594853350905</v>
      </c>
      <c r="DA240">
        <v>0</v>
      </c>
      <c r="DE240">
        <v>766</v>
      </c>
      <c r="DF240" t="s">
        <v>89</v>
      </c>
      <c r="DG240">
        <v>5605</v>
      </c>
      <c r="DH240">
        <v>5447</v>
      </c>
      <c r="DI240">
        <v>5369</v>
      </c>
      <c r="DJ240">
        <v>5333</v>
      </c>
      <c r="DK240">
        <v>5297</v>
      </c>
      <c r="DO240">
        <v>1842</v>
      </c>
      <c r="DP240" t="s">
        <v>202</v>
      </c>
      <c r="DQ240">
        <v>7892</v>
      </c>
      <c r="DR240">
        <v>1.23</v>
      </c>
      <c r="DS240">
        <v>1308</v>
      </c>
      <c r="DV240">
        <v>173</v>
      </c>
      <c r="DW240" t="s">
        <v>229</v>
      </c>
      <c r="DX240">
        <v>4439.7845943613402</v>
      </c>
      <c r="DY240">
        <v>838</v>
      </c>
      <c r="DZ240">
        <v>759</v>
      </c>
      <c r="EA240">
        <v>420</v>
      </c>
      <c r="EB240">
        <v>2521</v>
      </c>
      <c r="EC240">
        <v>1557</v>
      </c>
      <c r="ED240">
        <v>552</v>
      </c>
      <c r="EE240" s="82">
        <v>0.20644565118452099</v>
      </c>
      <c r="EF240" s="82">
        <v>0.47753270234147599</v>
      </c>
    </row>
    <row r="241" spans="1:136" x14ac:dyDescent="0.35">
      <c r="A241" s="72">
        <v>1927</v>
      </c>
      <c r="B241" s="72">
        <v>8</v>
      </c>
      <c r="D241" s="72" t="s">
        <v>817</v>
      </c>
      <c r="E241" s="79">
        <v>2196800000</v>
      </c>
      <c r="F241" s="79">
        <v>359800000</v>
      </c>
      <c r="G241" s="79">
        <v>383250000</v>
      </c>
      <c r="H241" s="79">
        <v>29295</v>
      </c>
      <c r="I241" s="79">
        <v>7</v>
      </c>
      <c r="J241" s="79">
        <v>383.25</v>
      </c>
      <c r="K241" s="79">
        <v>8145</v>
      </c>
      <c r="L241" s="79">
        <v>5084</v>
      </c>
      <c r="M241" s="79">
        <v>1479</v>
      </c>
      <c r="N241" s="79">
        <v>2571</v>
      </c>
      <c r="O241" s="79">
        <v>1447.1</v>
      </c>
      <c r="P241" s="79">
        <v>215.333333333333</v>
      </c>
      <c r="Q241" s="79">
        <v>981.33333333333303</v>
      </c>
      <c r="R241" s="79">
        <v>410</v>
      </c>
      <c r="S241" s="79">
        <v>0</v>
      </c>
      <c r="T241" s="79">
        <v>565</v>
      </c>
      <c r="U241" s="79">
        <v>11087</v>
      </c>
      <c r="V241" s="79">
        <v>18840</v>
      </c>
      <c r="W241" s="79">
        <v>990</v>
      </c>
      <c r="X241" s="79">
        <v>0</v>
      </c>
      <c r="Y241" s="79">
        <v>0</v>
      </c>
      <c r="Z241" s="79">
        <v>0</v>
      </c>
      <c r="AA241" s="79">
        <v>0</v>
      </c>
      <c r="AB241" s="79">
        <v>0</v>
      </c>
      <c r="AC241" s="79">
        <v>11810</v>
      </c>
      <c r="AD241" s="79">
        <v>17833.099999999999</v>
      </c>
      <c r="AE241" s="79">
        <v>838</v>
      </c>
      <c r="AF241" s="79">
        <v>0</v>
      </c>
      <c r="AG241" s="79">
        <v>228</v>
      </c>
      <c r="AH241" s="79">
        <v>227.65</v>
      </c>
      <c r="AI241" s="79">
        <v>107.92</v>
      </c>
      <c r="AJ241" s="79">
        <v>11239</v>
      </c>
      <c r="AK241" s="79">
        <v>16296.55</v>
      </c>
      <c r="AL241" s="79">
        <v>5</v>
      </c>
      <c r="AM241" s="79">
        <v>0</v>
      </c>
      <c r="AN241" s="79">
        <v>0</v>
      </c>
      <c r="AO241" s="79">
        <v>2450</v>
      </c>
      <c r="AP241" s="79">
        <v>892</v>
      </c>
      <c r="AQ241" s="79">
        <v>0</v>
      </c>
      <c r="AR241" s="80">
        <v>3.5692599999999998E-4</v>
      </c>
      <c r="AS241" s="80">
        <v>1.02353E-4</v>
      </c>
      <c r="AT241" s="79">
        <v>5012.5940000000001</v>
      </c>
      <c r="AU241" s="79">
        <v>0</v>
      </c>
      <c r="AV241" s="79">
        <v>11717.6</v>
      </c>
      <c r="AW241" s="79">
        <v>77447.011764705894</v>
      </c>
      <c r="AX241" s="79">
        <v>19</v>
      </c>
      <c r="AY241" s="79">
        <v>28.88</v>
      </c>
      <c r="AZ241" s="79">
        <v>2976</v>
      </c>
      <c r="BA241" s="79">
        <v>1</v>
      </c>
      <c r="BB241" s="79">
        <v>0</v>
      </c>
      <c r="BC241" s="79">
        <v>0</v>
      </c>
      <c r="BD241" s="79">
        <v>0</v>
      </c>
      <c r="BE241" s="79">
        <v>0</v>
      </c>
      <c r="BF241" s="79">
        <v>0</v>
      </c>
      <c r="BG241" s="79">
        <v>0</v>
      </c>
      <c r="BH241" s="79">
        <v>0</v>
      </c>
      <c r="BI241" s="79">
        <v>0</v>
      </c>
      <c r="BJ241" s="79">
        <v>0</v>
      </c>
      <c r="BK241" s="79">
        <v>11</v>
      </c>
      <c r="BL241" s="79">
        <v>2716</v>
      </c>
      <c r="BM241" s="79">
        <v>157</v>
      </c>
      <c r="BN241" s="79">
        <v>71</v>
      </c>
      <c r="BO241">
        <v>9066</v>
      </c>
      <c r="BP241">
        <v>0</v>
      </c>
      <c r="BQ241">
        <v>8112</v>
      </c>
      <c r="BR241">
        <v>0</v>
      </c>
      <c r="BS241">
        <v>8082</v>
      </c>
      <c r="BT241">
        <v>0</v>
      </c>
      <c r="BU241">
        <v>8000</v>
      </c>
      <c r="BV241">
        <v>0</v>
      </c>
      <c r="BW241">
        <v>7940</v>
      </c>
      <c r="BX241">
        <v>0</v>
      </c>
      <c r="BY241">
        <v>7833</v>
      </c>
      <c r="BZ241">
        <v>0</v>
      </c>
      <c r="CA241">
        <v>7253</v>
      </c>
      <c r="CB241">
        <v>313.49428868959899</v>
      </c>
      <c r="CC241">
        <v>222.64504444775901</v>
      </c>
      <c r="CD241">
        <v>46.999675645890399</v>
      </c>
      <c r="CE241">
        <v>8123.19363880939</v>
      </c>
      <c r="CF241">
        <v>2499.9561885838998</v>
      </c>
      <c r="CG241">
        <v>274.60702559181101</v>
      </c>
      <c r="CH241">
        <v>221</v>
      </c>
      <c r="CI241">
        <v>80.008813956797496</v>
      </c>
      <c r="CJ241">
        <v>65.984527636833207</v>
      </c>
      <c r="CK241" s="81">
        <v>766</v>
      </c>
      <c r="CL241">
        <v>214</v>
      </c>
      <c r="CM241">
        <v>3057.7582206626098</v>
      </c>
      <c r="CN241">
        <v>0.13772333757376401</v>
      </c>
      <c r="CO241">
        <v>24211</v>
      </c>
      <c r="CP241">
        <v>3078</v>
      </c>
      <c r="CQ241">
        <v>527</v>
      </c>
      <c r="CR241">
        <v>516</v>
      </c>
      <c r="CS241">
        <v>472</v>
      </c>
      <c r="CT241">
        <v>261</v>
      </c>
      <c r="CU241">
        <v>238.41546727316401</v>
      </c>
      <c r="CV241">
        <v>132.85354331852301</v>
      </c>
      <c r="CW241">
        <v>48.017801994001204</v>
      </c>
      <c r="CX241">
        <v>709.48334371284602</v>
      </c>
      <c r="CY241">
        <v>395.349249844307</v>
      </c>
      <c r="CZ241">
        <v>142.89270367434699</v>
      </c>
      <c r="DA241">
        <v>0</v>
      </c>
      <c r="DE241">
        <v>770</v>
      </c>
      <c r="DF241" t="s">
        <v>100</v>
      </c>
      <c r="DG241">
        <v>3976</v>
      </c>
      <c r="DH241">
        <v>3884</v>
      </c>
      <c r="DI241">
        <v>3792</v>
      </c>
      <c r="DJ241">
        <v>3713</v>
      </c>
      <c r="DK241">
        <v>3613</v>
      </c>
      <c r="DO241">
        <v>1927</v>
      </c>
      <c r="DP241" t="s">
        <v>817</v>
      </c>
      <c r="DQ241">
        <v>11239</v>
      </c>
      <c r="DR241">
        <v>1.45</v>
      </c>
      <c r="DS241">
        <v>446</v>
      </c>
      <c r="DV241">
        <v>1773</v>
      </c>
      <c r="DW241" t="s">
        <v>230</v>
      </c>
      <c r="DX241">
        <v>2057.8330392289899</v>
      </c>
      <c r="DY241">
        <v>366</v>
      </c>
      <c r="DZ241">
        <v>367</v>
      </c>
      <c r="EA241">
        <v>209</v>
      </c>
      <c r="EB241">
        <v>1298</v>
      </c>
      <c r="EC241">
        <v>767</v>
      </c>
      <c r="ED241">
        <v>308</v>
      </c>
      <c r="EE241" s="82">
        <v>0.16281392582745799</v>
      </c>
      <c r="EF241" s="82">
        <v>0.45316433785906901</v>
      </c>
    </row>
    <row r="242" spans="1:136" x14ac:dyDescent="0.35">
      <c r="A242" s="72">
        <v>569</v>
      </c>
      <c r="B242" s="72">
        <v>8</v>
      </c>
      <c r="D242" s="72" t="s">
        <v>213</v>
      </c>
      <c r="E242" s="79">
        <v>2570000000</v>
      </c>
      <c r="F242" s="79">
        <v>362950000</v>
      </c>
      <c r="G242" s="79">
        <v>389550000</v>
      </c>
      <c r="H242" s="79">
        <v>28269</v>
      </c>
      <c r="I242" s="79">
        <v>4</v>
      </c>
      <c r="J242" s="79">
        <v>389.55</v>
      </c>
      <c r="K242" s="79">
        <v>6297</v>
      </c>
      <c r="L242" s="79">
        <v>5593</v>
      </c>
      <c r="M242" s="79">
        <v>1649</v>
      </c>
      <c r="N242" s="79">
        <v>2761</v>
      </c>
      <c r="O242" s="79">
        <v>1565.1</v>
      </c>
      <c r="P242" s="79">
        <v>242.666666666667</v>
      </c>
      <c r="Q242" s="79">
        <v>1381.6666666666699</v>
      </c>
      <c r="R242" s="79">
        <v>750</v>
      </c>
      <c r="S242" s="79">
        <v>0</v>
      </c>
      <c r="T242" s="79">
        <v>637</v>
      </c>
      <c r="U242" s="79">
        <v>12152</v>
      </c>
      <c r="V242" s="79">
        <v>21690</v>
      </c>
      <c r="W242" s="79">
        <v>1960</v>
      </c>
      <c r="X242" s="79">
        <v>0</v>
      </c>
      <c r="Y242" s="79">
        <v>307.2</v>
      </c>
      <c r="Z242" s="79">
        <v>0</v>
      </c>
      <c r="AA242" s="79">
        <v>0</v>
      </c>
      <c r="AB242" s="79">
        <v>110.1</v>
      </c>
      <c r="AC242" s="79">
        <v>7804</v>
      </c>
      <c r="AD242" s="79">
        <v>10457.36</v>
      </c>
      <c r="AE242" s="79">
        <v>1313</v>
      </c>
      <c r="AF242" s="79">
        <v>0</v>
      </c>
      <c r="AG242" s="79">
        <v>207</v>
      </c>
      <c r="AH242" s="79">
        <v>195</v>
      </c>
      <c r="AI242" s="79">
        <v>76.16</v>
      </c>
      <c r="AJ242" s="79">
        <v>11959</v>
      </c>
      <c r="AK242" s="79">
        <v>15546.7</v>
      </c>
      <c r="AL242" s="79">
        <v>0</v>
      </c>
      <c r="AM242" s="79">
        <v>0</v>
      </c>
      <c r="AN242" s="79">
        <v>0</v>
      </c>
      <c r="AO242" s="79">
        <v>0</v>
      </c>
      <c r="AP242" s="79">
        <v>0</v>
      </c>
      <c r="AQ242" s="79">
        <v>0</v>
      </c>
      <c r="AR242" s="80">
        <v>1.5621100000000001E-4</v>
      </c>
      <c r="AS242" s="80">
        <v>1.2901300000000001E-4</v>
      </c>
      <c r="AT242" s="79">
        <v>5979.5</v>
      </c>
      <c r="AU242" s="79">
        <v>0</v>
      </c>
      <c r="AV242" s="79">
        <v>13060.98</v>
      </c>
      <c r="AW242" s="79">
        <v>104184.768509378</v>
      </c>
      <c r="AX242" s="79">
        <v>14</v>
      </c>
      <c r="AY242" s="79">
        <v>19.04</v>
      </c>
      <c r="AZ242" s="79">
        <v>3379</v>
      </c>
      <c r="BA242" s="79">
        <v>1</v>
      </c>
      <c r="BB242" s="79">
        <v>0</v>
      </c>
      <c r="BC242" s="79">
        <v>0</v>
      </c>
      <c r="BD242" s="79">
        <v>0</v>
      </c>
      <c r="BE242" s="79">
        <v>0</v>
      </c>
      <c r="BF242" s="79">
        <v>0</v>
      </c>
      <c r="BG242" s="79">
        <v>0</v>
      </c>
      <c r="BH242" s="79">
        <v>0</v>
      </c>
      <c r="BI242" s="79">
        <v>0</v>
      </c>
      <c r="BJ242" s="79">
        <v>0</v>
      </c>
      <c r="BK242" s="79">
        <v>8</v>
      </c>
      <c r="BL242" s="79">
        <v>3144</v>
      </c>
      <c r="BM242" s="79">
        <v>150</v>
      </c>
      <c r="BN242" s="79">
        <v>56</v>
      </c>
      <c r="BO242">
        <v>6940</v>
      </c>
      <c r="BP242">
        <v>249</v>
      </c>
      <c r="BQ242">
        <v>6154</v>
      </c>
      <c r="BR242">
        <v>234</v>
      </c>
      <c r="BS242">
        <v>6059</v>
      </c>
      <c r="BT242">
        <v>254</v>
      </c>
      <c r="BU242">
        <v>5968</v>
      </c>
      <c r="BV242">
        <v>308</v>
      </c>
      <c r="BW242">
        <v>5851</v>
      </c>
      <c r="BX242">
        <v>373</v>
      </c>
      <c r="BY242">
        <v>5716</v>
      </c>
      <c r="BZ242">
        <v>419</v>
      </c>
      <c r="CA242">
        <v>5576</v>
      </c>
      <c r="CB242">
        <v>306.45083580357198</v>
      </c>
      <c r="CC242">
        <v>64.6620440872546</v>
      </c>
      <c r="CD242">
        <v>40.717994261536901</v>
      </c>
      <c r="CE242">
        <v>8703.5943527549698</v>
      </c>
      <c r="CF242">
        <v>2293.8437004266698</v>
      </c>
      <c r="CG242">
        <v>99.755489652035493</v>
      </c>
      <c r="CH242">
        <v>239</v>
      </c>
      <c r="CI242">
        <v>73.569696394259097</v>
      </c>
      <c r="CJ242">
        <v>62.082216862611901</v>
      </c>
      <c r="CK242" s="81">
        <v>1139</v>
      </c>
      <c r="CL242">
        <v>550</v>
      </c>
      <c r="CM242">
        <v>3644.82862829439</v>
      </c>
      <c r="CN242">
        <v>0.13619777746245099</v>
      </c>
      <c r="CO242">
        <v>22676</v>
      </c>
      <c r="CP242">
        <v>3434</v>
      </c>
      <c r="CQ242">
        <v>510</v>
      </c>
      <c r="CR242">
        <v>569</v>
      </c>
      <c r="CS242">
        <v>518</v>
      </c>
      <c r="CT242">
        <v>250</v>
      </c>
      <c r="CU242">
        <v>270.19096072856399</v>
      </c>
      <c r="CV242">
        <v>150.41153773116301</v>
      </c>
      <c r="CW242">
        <v>48.435395091845201</v>
      </c>
      <c r="CX242">
        <v>722.40422665001097</v>
      </c>
      <c r="CY242">
        <v>402.15235291708501</v>
      </c>
      <c r="CZ242">
        <v>129.500757684353</v>
      </c>
      <c r="DA242">
        <v>175930</v>
      </c>
      <c r="DE242">
        <v>772</v>
      </c>
      <c r="DF242" t="s">
        <v>102</v>
      </c>
      <c r="DG242">
        <v>39089</v>
      </c>
      <c r="DH242">
        <v>39258</v>
      </c>
      <c r="DI242">
        <v>39408</v>
      </c>
      <c r="DJ242">
        <v>39608</v>
      </c>
      <c r="DK242">
        <v>39691</v>
      </c>
      <c r="DO242">
        <v>569</v>
      </c>
      <c r="DP242" t="s">
        <v>213</v>
      </c>
      <c r="DQ242">
        <v>11959</v>
      </c>
      <c r="DR242">
        <v>1.3</v>
      </c>
      <c r="DS242">
        <v>500</v>
      </c>
      <c r="DV242">
        <v>175</v>
      </c>
      <c r="DW242" t="s">
        <v>231</v>
      </c>
      <c r="DX242">
        <v>2059.4005536332202</v>
      </c>
      <c r="DY242">
        <v>363</v>
      </c>
      <c r="DZ242">
        <v>356</v>
      </c>
      <c r="EA242">
        <v>236</v>
      </c>
      <c r="EB242">
        <v>1312</v>
      </c>
      <c r="EC242">
        <v>764</v>
      </c>
      <c r="ED242">
        <v>335</v>
      </c>
      <c r="EE242" s="82">
        <v>0.144962597077818</v>
      </c>
      <c r="EF242" s="82">
        <v>0.45714514872359002</v>
      </c>
    </row>
    <row r="243" spans="1:136" x14ac:dyDescent="0.35">
      <c r="A243" s="72">
        <v>1930</v>
      </c>
      <c r="B243" s="72">
        <v>8</v>
      </c>
      <c r="D243" s="72" t="s">
        <v>216</v>
      </c>
      <c r="E243" s="79">
        <v>5396400000</v>
      </c>
      <c r="F243" s="79">
        <v>788550000</v>
      </c>
      <c r="G243" s="79">
        <v>813750000</v>
      </c>
      <c r="H243" s="79">
        <v>84593</v>
      </c>
      <c r="I243" s="79">
        <v>4</v>
      </c>
      <c r="J243" s="79">
        <v>813.75</v>
      </c>
      <c r="K243" s="79">
        <v>17988</v>
      </c>
      <c r="L243" s="79">
        <v>15967</v>
      </c>
      <c r="M243" s="79">
        <v>4731</v>
      </c>
      <c r="N243" s="79">
        <v>11515</v>
      </c>
      <c r="O243" s="79">
        <v>7617.3</v>
      </c>
      <c r="P243" s="79">
        <v>2355</v>
      </c>
      <c r="Q243" s="79">
        <v>6538</v>
      </c>
      <c r="R243" s="79">
        <v>8220</v>
      </c>
      <c r="S243" s="79">
        <v>0</v>
      </c>
      <c r="T243" s="79">
        <v>3809</v>
      </c>
      <c r="U243" s="79">
        <v>39284</v>
      </c>
      <c r="V243" s="79">
        <v>88290</v>
      </c>
      <c r="W243" s="79">
        <v>70030</v>
      </c>
      <c r="X243" s="79">
        <v>1813.74</v>
      </c>
      <c r="Y243" s="79">
        <v>3904</v>
      </c>
      <c r="Z243" s="79">
        <v>0</v>
      </c>
      <c r="AA243" s="79">
        <v>0</v>
      </c>
      <c r="AB243" s="79">
        <v>0</v>
      </c>
      <c r="AC243" s="79">
        <v>8309</v>
      </c>
      <c r="AD243" s="79">
        <v>10220.07</v>
      </c>
      <c r="AE243" s="79">
        <v>1564</v>
      </c>
      <c r="AF243" s="79">
        <v>0</v>
      </c>
      <c r="AG243" s="79">
        <v>358</v>
      </c>
      <c r="AH243" s="79">
        <v>407.41</v>
      </c>
      <c r="AI243" s="79">
        <v>55.66</v>
      </c>
      <c r="AJ243" s="79">
        <v>38977</v>
      </c>
      <c r="AK243" s="79">
        <v>51059.87</v>
      </c>
      <c r="AL243" s="79">
        <v>5</v>
      </c>
      <c r="AM243" s="79">
        <v>0</v>
      </c>
      <c r="AN243" s="79">
        <v>0</v>
      </c>
      <c r="AO243" s="79">
        <v>0</v>
      </c>
      <c r="AP243" s="79">
        <v>0</v>
      </c>
      <c r="AQ243" s="79">
        <v>0</v>
      </c>
      <c r="AR243" s="80">
        <v>3.1035399999999999E-4</v>
      </c>
      <c r="AS243" s="80">
        <v>2.02177E-3</v>
      </c>
      <c r="AT243" s="79">
        <v>79435.126000000004</v>
      </c>
      <c r="AU243" s="79">
        <v>0</v>
      </c>
      <c r="AV243" s="79">
        <v>5295.15</v>
      </c>
      <c r="AW243" s="79">
        <v>87861.821577028299</v>
      </c>
      <c r="AX243" s="79">
        <v>6</v>
      </c>
      <c r="AY243" s="79">
        <v>7.26</v>
      </c>
      <c r="AZ243" s="79">
        <v>5515</v>
      </c>
      <c r="BA243" s="79">
        <v>1</v>
      </c>
      <c r="BB243" s="79">
        <v>0</v>
      </c>
      <c r="BC243" s="79">
        <v>0</v>
      </c>
      <c r="BD243" s="79">
        <v>0</v>
      </c>
      <c r="BE243" s="79">
        <v>0</v>
      </c>
      <c r="BF243" s="79">
        <v>0</v>
      </c>
      <c r="BG243" s="79">
        <v>0</v>
      </c>
      <c r="BH243" s="79">
        <v>0</v>
      </c>
      <c r="BI243" s="79">
        <v>0</v>
      </c>
      <c r="BJ243" s="79">
        <v>0</v>
      </c>
      <c r="BK243" s="79">
        <v>11</v>
      </c>
      <c r="BL243" s="79">
        <v>12909</v>
      </c>
      <c r="BM243" s="79">
        <v>311</v>
      </c>
      <c r="BN243" s="79">
        <v>46</v>
      </c>
      <c r="BO243">
        <v>20118</v>
      </c>
      <c r="BP243">
        <v>5633</v>
      </c>
      <c r="BQ243">
        <v>17402</v>
      </c>
      <c r="BR243">
        <v>5552</v>
      </c>
      <c r="BS243">
        <v>17084</v>
      </c>
      <c r="BT243">
        <v>5524</v>
      </c>
      <c r="BU243">
        <v>16807</v>
      </c>
      <c r="BV243">
        <v>5405</v>
      </c>
      <c r="BW243">
        <v>16586</v>
      </c>
      <c r="BX243">
        <v>5304</v>
      </c>
      <c r="BY243">
        <v>16424</v>
      </c>
      <c r="BZ243">
        <v>5227</v>
      </c>
      <c r="CA243">
        <v>15962</v>
      </c>
      <c r="CB243">
        <v>2460.23208833735</v>
      </c>
      <c r="CC243">
        <v>523.02060721611997</v>
      </c>
      <c r="CD243">
        <v>241.89441097342799</v>
      </c>
      <c r="CE243">
        <v>25544.616683082299</v>
      </c>
      <c r="CF243">
        <v>5884.3149502203396</v>
      </c>
      <c r="CG243">
        <v>506.07007602339201</v>
      </c>
      <c r="CH243">
        <v>1471</v>
      </c>
      <c r="CI243">
        <v>798.771005296309</v>
      </c>
      <c r="CJ243">
        <v>824.45183993548596</v>
      </c>
      <c r="CK243" s="81">
        <v>4183</v>
      </c>
      <c r="CL243">
        <v>1270</v>
      </c>
      <c r="CM243">
        <v>15304.199032980399</v>
      </c>
      <c r="CN243">
        <v>5.5135967563156099</v>
      </c>
      <c r="CO243">
        <v>68626</v>
      </c>
      <c r="CP243">
        <v>9665</v>
      </c>
      <c r="CQ243">
        <v>1571</v>
      </c>
      <c r="CR243">
        <v>2219</v>
      </c>
      <c r="CS243">
        <v>1770</v>
      </c>
      <c r="CT243">
        <v>867</v>
      </c>
      <c r="CU243">
        <v>1226.9593832805899</v>
      </c>
      <c r="CV243">
        <v>675.23808047697401</v>
      </c>
      <c r="CW243">
        <v>232.766585773683</v>
      </c>
      <c r="CX243">
        <v>2869.9572436867002</v>
      </c>
      <c r="CY243">
        <v>1579.43648884</v>
      </c>
      <c r="CZ243">
        <v>544.45987212979503</v>
      </c>
      <c r="DA243">
        <v>54385</v>
      </c>
      <c r="DE243">
        <v>777</v>
      </c>
      <c r="DF243" t="s">
        <v>109</v>
      </c>
      <c r="DG243">
        <v>8935</v>
      </c>
      <c r="DH243">
        <v>8926</v>
      </c>
      <c r="DI243">
        <v>8906</v>
      </c>
      <c r="DJ243">
        <v>8964</v>
      </c>
      <c r="DK243">
        <v>8943</v>
      </c>
      <c r="DO243">
        <v>1930</v>
      </c>
      <c r="DP243" t="s">
        <v>216</v>
      </c>
      <c r="DQ243">
        <v>38977</v>
      </c>
      <c r="DR243">
        <v>1.31</v>
      </c>
      <c r="DS243">
        <v>2038</v>
      </c>
      <c r="DV243">
        <v>881</v>
      </c>
      <c r="DW243" t="s">
        <v>826</v>
      </c>
      <c r="DX243">
        <v>1113.1896551724101</v>
      </c>
      <c r="DY243">
        <v>183</v>
      </c>
      <c r="DZ243">
        <v>161</v>
      </c>
      <c r="EA243">
        <v>93</v>
      </c>
      <c r="EB243">
        <v>633</v>
      </c>
      <c r="EC243">
        <v>380</v>
      </c>
      <c r="ED243">
        <v>133</v>
      </c>
      <c r="EE243" s="82">
        <v>0.199970265473569</v>
      </c>
      <c r="EF243" s="82">
        <v>0.51638898100144803</v>
      </c>
    </row>
    <row r="244" spans="1:136" x14ac:dyDescent="0.35">
      <c r="A244" s="72">
        <v>575</v>
      </c>
      <c r="B244" s="72">
        <v>8</v>
      </c>
      <c r="D244" s="72" t="s">
        <v>221</v>
      </c>
      <c r="E244" s="79">
        <v>3473600000</v>
      </c>
      <c r="F244" s="79">
        <v>541800000</v>
      </c>
      <c r="G244" s="79">
        <v>556150000</v>
      </c>
      <c r="H244" s="79">
        <v>26056</v>
      </c>
      <c r="I244" s="79">
        <v>2</v>
      </c>
      <c r="J244" s="79">
        <v>556.15</v>
      </c>
      <c r="K244" s="79">
        <v>5337</v>
      </c>
      <c r="L244" s="79">
        <v>5638</v>
      </c>
      <c r="M244" s="79">
        <v>1687</v>
      </c>
      <c r="N244" s="79">
        <v>3385</v>
      </c>
      <c r="O244" s="79">
        <v>1976.1</v>
      </c>
      <c r="P244" s="79">
        <v>267.33333333333297</v>
      </c>
      <c r="Q244" s="79">
        <v>1513.3333333333301</v>
      </c>
      <c r="R244" s="79">
        <v>750</v>
      </c>
      <c r="S244" s="79">
        <v>0</v>
      </c>
      <c r="T244" s="79">
        <v>856</v>
      </c>
      <c r="U244" s="79">
        <v>12640</v>
      </c>
      <c r="V244" s="79">
        <v>23500</v>
      </c>
      <c r="W244" s="79">
        <v>7430</v>
      </c>
      <c r="X244" s="79">
        <v>678.16</v>
      </c>
      <c r="Y244" s="79">
        <v>646.4</v>
      </c>
      <c r="Z244" s="79">
        <v>0</v>
      </c>
      <c r="AA244" s="79">
        <v>0</v>
      </c>
      <c r="AB244" s="79">
        <v>0</v>
      </c>
      <c r="AC244" s="79">
        <v>3597</v>
      </c>
      <c r="AD244" s="79">
        <v>3597</v>
      </c>
      <c r="AE244" s="79">
        <v>17</v>
      </c>
      <c r="AF244" s="79">
        <v>1537</v>
      </c>
      <c r="AG244" s="79">
        <v>137</v>
      </c>
      <c r="AH244" s="79">
        <v>129</v>
      </c>
      <c r="AI244" s="79">
        <v>9</v>
      </c>
      <c r="AJ244" s="79">
        <v>14089</v>
      </c>
      <c r="AK244" s="79">
        <v>14089</v>
      </c>
      <c r="AL244" s="79">
        <v>0</v>
      </c>
      <c r="AM244" s="79">
        <v>0</v>
      </c>
      <c r="AN244" s="79">
        <v>0</v>
      </c>
      <c r="AO244" s="79">
        <v>0</v>
      </c>
      <c r="AP244" s="79">
        <v>2198</v>
      </c>
      <c r="AQ244" s="79">
        <v>0</v>
      </c>
      <c r="AR244" s="80">
        <v>4.3372899999999999E-4</v>
      </c>
      <c r="AS244" s="80">
        <v>5.3239900000000002E-4</v>
      </c>
      <c r="AT244" s="79">
        <v>21542.080999999998</v>
      </c>
      <c r="AU244" s="79">
        <v>0</v>
      </c>
      <c r="AV244" s="79">
        <v>506</v>
      </c>
      <c r="AW244" s="79">
        <v>3648.12838959602</v>
      </c>
      <c r="AX244" s="79">
        <v>3</v>
      </c>
      <c r="AY244" s="79">
        <v>3</v>
      </c>
      <c r="AZ244" s="79">
        <v>3347</v>
      </c>
      <c r="BA244" s="79">
        <v>1</v>
      </c>
      <c r="BB244" s="79">
        <v>0</v>
      </c>
      <c r="BC244" s="79">
        <v>0</v>
      </c>
      <c r="BD244" s="79">
        <v>0</v>
      </c>
      <c r="BE244" s="79">
        <v>0</v>
      </c>
      <c r="BF244" s="79">
        <v>0</v>
      </c>
      <c r="BG244" s="79">
        <v>0</v>
      </c>
      <c r="BH244" s="79">
        <v>0</v>
      </c>
      <c r="BI244" s="79">
        <v>0</v>
      </c>
      <c r="BJ244" s="79">
        <v>0</v>
      </c>
      <c r="BK244" s="79">
        <v>13</v>
      </c>
      <c r="BL244" s="79">
        <v>4432</v>
      </c>
      <c r="BM244" s="79">
        <v>129</v>
      </c>
      <c r="BN244" s="79">
        <v>9</v>
      </c>
      <c r="BO244">
        <v>5428</v>
      </c>
      <c r="BP244">
        <v>991</v>
      </c>
      <c r="BQ244">
        <v>4912</v>
      </c>
      <c r="BR244">
        <v>1003</v>
      </c>
      <c r="BS244">
        <v>4861</v>
      </c>
      <c r="BT244">
        <v>1017</v>
      </c>
      <c r="BU244">
        <v>4812</v>
      </c>
      <c r="BV244">
        <v>1060</v>
      </c>
      <c r="BW244">
        <v>4820</v>
      </c>
      <c r="BX244">
        <v>1154</v>
      </c>
      <c r="BY244">
        <v>4808</v>
      </c>
      <c r="BZ244">
        <v>1083</v>
      </c>
      <c r="CA244">
        <v>4731</v>
      </c>
      <c r="CB244">
        <v>429.422430967438</v>
      </c>
      <c r="CC244">
        <v>38.199594027301998</v>
      </c>
      <c r="CD244">
        <v>37.131570834805899</v>
      </c>
      <c r="CE244">
        <v>9121.8644181046493</v>
      </c>
      <c r="CF244">
        <v>2120.0608477454998</v>
      </c>
      <c r="CG244">
        <v>126.343581280788</v>
      </c>
      <c r="CH244">
        <v>294</v>
      </c>
      <c r="CI244">
        <v>55.285247769676097</v>
      </c>
      <c r="CJ244">
        <v>47.537240340514302</v>
      </c>
      <c r="CK244" s="81">
        <v>1246</v>
      </c>
      <c r="CL244">
        <v>552</v>
      </c>
      <c r="CM244">
        <v>3322.5445962732902</v>
      </c>
      <c r="CN244">
        <v>0.12501285407208301</v>
      </c>
      <c r="CO244">
        <v>20418</v>
      </c>
      <c r="CP244">
        <v>3358</v>
      </c>
      <c r="CQ244">
        <v>593</v>
      </c>
      <c r="CR244">
        <v>779</v>
      </c>
      <c r="CS244">
        <v>569</v>
      </c>
      <c r="CT244">
        <v>319</v>
      </c>
      <c r="CU244">
        <v>294.81068472243902</v>
      </c>
      <c r="CV244">
        <v>166.19917288110901</v>
      </c>
      <c r="CW244">
        <v>58.906035957861299</v>
      </c>
      <c r="CX244">
        <v>702.74604132223101</v>
      </c>
      <c r="CY244">
        <v>396.172244988984</v>
      </c>
      <c r="CZ244">
        <v>140.41547923660201</v>
      </c>
      <c r="DA244">
        <v>313234</v>
      </c>
      <c r="DE244">
        <v>779</v>
      </c>
      <c r="DF244" t="s">
        <v>110</v>
      </c>
      <c r="DG244">
        <v>4330</v>
      </c>
      <c r="DH244">
        <v>4372</v>
      </c>
      <c r="DI244">
        <v>4388</v>
      </c>
      <c r="DJ244">
        <v>4400</v>
      </c>
      <c r="DK244">
        <v>4397</v>
      </c>
      <c r="DO244">
        <v>575</v>
      </c>
      <c r="DP244" t="s">
        <v>221</v>
      </c>
      <c r="DQ244">
        <v>14089</v>
      </c>
      <c r="DR244">
        <v>1</v>
      </c>
      <c r="DS244">
        <v>1529</v>
      </c>
      <c r="DV244">
        <v>1586</v>
      </c>
      <c r="DW244" t="s">
        <v>232</v>
      </c>
      <c r="DX244">
        <v>3741.08590505659</v>
      </c>
      <c r="DY244">
        <v>649</v>
      </c>
      <c r="DZ244">
        <v>652</v>
      </c>
      <c r="EA244">
        <v>318</v>
      </c>
      <c r="EB244">
        <v>2167</v>
      </c>
      <c r="EC244">
        <v>1339</v>
      </c>
      <c r="ED244">
        <v>423</v>
      </c>
      <c r="EE244" s="82">
        <v>0.17556613914677299</v>
      </c>
      <c r="EF244" s="82">
        <v>0.46520230991337802</v>
      </c>
    </row>
    <row r="245" spans="1:136" x14ac:dyDescent="0.35">
      <c r="A245" s="72">
        <v>576</v>
      </c>
      <c r="B245" s="72">
        <v>8</v>
      </c>
      <c r="D245" s="72" t="s">
        <v>818</v>
      </c>
      <c r="E245" s="79">
        <v>1551200000</v>
      </c>
      <c r="F245" s="79">
        <v>251650000</v>
      </c>
      <c r="G245" s="79">
        <v>265300000</v>
      </c>
      <c r="H245" s="79">
        <v>16605</v>
      </c>
      <c r="I245" s="79">
        <v>2</v>
      </c>
      <c r="J245" s="79">
        <v>265.3</v>
      </c>
      <c r="K245" s="79">
        <v>3611</v>
      </c>
      <c r="L245" s="79">
        <v>3408</v>
      </c>
      <c r="M245" s="79">
        <v>1077</v>
      </c>
      <c r="N245" s="79">
        <v>2016</v>
      </c>
      <c r="O245" s="79">
        <v>1245.7</v>
      </c>
      <c r="P245" s="79">
        <v>168.666666666667</v>
      </c>
      <c r="Q245" s="79">
        <v>866.66666666666697</v>
      </c>
      <c r="R245" s="79">
        <v>310</v>
      </c>
      <c r="S245" s="79">
        <v>0</v>
      </c>
      <c r="T245" s="79">
        <v>473</v>
      </c>
      <c r="U245" s="79">
        <v>7539</v>
      </c>
      <c r="V245" s="79">
        <v>12450</v>
      </c>
      <c r="W245" s="79">
        <v>1810</v>
      </c>
      <c r="X245" s="79">
        <v>0</v>
      </c>
      <c r="Y245" s="79">
        <v>1312.8</v>
      </c>
      <c r="Z245" s="79">
        <v>0</v>
      </c>
      <c r="AA245" s="79">
        <v>0</v>
      </c>
      <c r="AB245" s="79">
        <v>258.3</v>
      </c>
      <c r="AC245" s="79">
        <v>2257</v>
      </c>
      <c r="AD245" s="79">
        <v>2257</v>
      </c>
      <c r="AE245" s="79">
        <v>85</v>
      </c>
      <c r="AF245" s="79">
        <v>0</v>
      </c>
      <c r="AG245" s="79">
        <v>132</v>
      </c>
      <c r="AH245" s="79">
        <v>98</v>
      </c>
      <c r="AI245" s="79">
        <v>34</v>
      </c>
      <c r="AJ245" s="79">
        <v>7703</v>
      </c>
      <c r="AK245" s="79">
        <v>7703</v>
      </c>
      <c r="AL245" s="79">
        <v>0</v>
      </c>
      <c r="AM245" s="79">
        <v>0</v>
      </c>
      <c r="AN245" s="79">
        <v>0</v>
      </c>
      <c r="AO245" s="79">
        <v>0</v>
      </c>
      <c r="AP245" s="79">
        <v>544</v>
      </c>
      <c r="AQ245" s="79">
        <v>0</v>
      </c>
      <c r="AR245" s="80">
        <v>1.9649700000000001E-4</v>
      </c>
      <c r="AS245" s="80">
        <v>1.6424500000000001E-4</v>
      </c>
      <c r="AT245" s="79">
        <v>8427.0820000000003</v>
      </c>
      <c r="AU245" s="79">
        <v>0</v>
      </c>
      <c r="AV245" s="79">
        <v>1330</v>
      </c>
      <c r="AW245" s="79">
        <v>9429.8249359521797</v>
      </c>
      <c r="AX245" s="79">
        <v>6</v>
      </c>
      <c r="AY245" s="79">
        <v>6</v>
      </c>
      <c r="AZ245" s="79">
        <v>1905</v>
      </c>
      <c r="BA245" s="79">
        <v>1</v>
      </c>
      <c r="BB245" s="79">
        <v>0</v>
      </c>
      <c r="BC245" s="79">
        <v>0</v>
      </c>
      <c r="BD245" s="79">
        <v>0</v>
      </c>
      <c r="BE245" s="79">
        <v>0</v>
      </c>
      <c r="BF245" s="79">
        <v>0</v>
      </c>
      <c r="BG245" s="79">
        <v>0</v>
      </c>
      <c r="BH245" s="79">
        <v>0</v>
      </c>
      <c r="BI245" s="79">
        <v>0</v>
      </c>
      <c r="BJ245" s="79">
        <v>0</v>
      </c>
      <c r="BK245" s="79">
        <v>4</v>
      </c>
      <c r="BL245" s="79">
        <v>2504</v>
      </c>
      <c r="BM245" s="79">
        <v>98</v>
      </c>
      <c r="BN245" s="79">
        <v>34</v>
      </c>
      <c r="BO245">
        <v>3738</v>
      </c>
      <c r="BP245">
        <v>1257</v>
      </c>
      <c r="BQ245">
        <v>3298</v>
      </c>
      <c r="BR245">
        <v>1108</v>
      </c>
      <c r="BS245">
        <v>3300</v>
      </c>
      <c r="BT245">
        <v>1115</v>
      </c>
      <c r="BU245">
        <v>3248</v>
      </c>
      <c r="BV245">
        <v>1195</v>
      </c>
      <c r="BW245">
        <v>3226</v>
      </c>
      <c r="BX245">
        <v>1281</v>
      </c>
      <c r="BY245">
        <v>3233</v>
      </c>
      <c r="BZ245">
        <v>1384</v>
      </c>
      <c r="CA245">
        <v>3144</v>
      </c>
      <c r="CB245">
        <v>282.05704624687201</v>
      </c>
      <c r="CC245">
        <v>28.568277359940801</v>
      </c>
      <c r="CD245">
        <v>44.2552722620038</v>
      </c>
      <c r="CE245">
        <v>4952.6407414587402</v>
      </c>
      <c r="CF245">
        <v>1250.76427929345</v>
      </c>
      <c r="CG245">
        <v>69.482524317912194</v>
      </c>
      <c r="CH245">
        <v>181</v>
      </c>
      <c r="CI245">
        <v>48.590780107841503</v>
      </c>
      <c r="CJ245">
        <v>45.053951666009802</v>
      </c>
      <c r="CK245" s="81">
        <v>698</v>
      </c>
      <c r="CL245">
        <v>221</v>
      </c>
      <c r="CM245">
        <v>2274.9055762081798</v>
      </c>
      <c r="CN245">
        <v>7.9087452899344796E-2</v>
      </c>
      <c r="CO245">
        <v>13197</v>
      </c>
      <c r="CP245">
        <v>2006</v>
      </c>
      <c r="CQ245">
        <v>325</v>
      </c>
      <c r="CR245">
        <v>438</v>
      </c>
      <c r="CS245">
        <v>367</v>
      </c>
      <c r="CT245">
        <v>162</v>
      </c>
      <c r="CU245">
        <v>203.497907369937</v>
      </c>
      <c r="CV245">
        <v>123.425201369842</v>
      </c>
      <c r="CW245">
        <v>38.176078012166201</v>
      </c>
      <c r="CX245">
        <v>522.09667858462899</v>
      </c>
      <c r="CY245">
        <v>316.66118104934202</v>
      </c>
      <c r="CZ245">
        <v>97.945004885510699</v>
      </c>
      <c r="DA245">
        <v>53452</v>
      </c>
      <c r="DE245">
        <v>784</v>
      </c>
      <c r="DF245" t="s">
        <v>114</v>
      </c>
      <c r="DG245">
        <v>5640</v>
      </c>
      <c r="DH245">
        <v>5603</v>
      </c>
      <c r="DI245">
        <v>5532</v>
      </c>
      <c r="DJ245">
        <v>5463</v>
      </c>
      <c r="DK245">
        <v>5511</v>
      </c>
      <c r="DO245">
        <v>576</v>
      </c>
      <c r="DP245" t="s">
        <v>818</v>
      </c>
      <c r="DQ245">
        <v>7703</v>
      </c>
      <c r="DR245">
        <v>1</v>
      </c>
      <c r="DS245">
        <v>1094</v>
      </c>
      <c r="DV245">
        <v>826</v>
      </c>
      <c r="DW245" t="s">
        <v>233</v>
      </c>
      <c r="DX245">
        <v>7224.4008721767404</v>
      </c>
      <c r="DY245">
        <v>1439</v>
      </c>
      <c r="DZ245">
        <v>1265</v>
      </c>
      <c r="EA245">
        <v>631</v>
      </c>
      <c r="EB245">
        <v>4439</v>
      </c>
      <c r="EC245">
        <v>2609</v>
      </c>
      <c r="ED245">
        <v>895</v>
      </c>
      <c r="EE245" s="82">
        <v>0.18363240046235901</v>
      </c>
      <c r="EF245" s="82">
        <v>0.42992500956889801</v>
      </c>
    </row>
    <row r="246" spans="1:136" x14ac:dyDescent="0.35">
      <c r="A246" s="72">
        <v>579</v>
      </c>
      <c r="B246" s="72">
        <v>8</v>
      </c>
      <c r="D246" s="72" t="s">
        <v>224</v>
      </c>
      <c r="E246" s="79">
        <v>3032400000</v>
      </c>
      <c r="F246" s="79">
        <v>333200000</v>
      </c>
      <c r="G246" s="79">
        <v>335650000</v>
      </c>
      <c r="H246" s="79">
        <v>23887</v>
      </c>
      <c r="I246" s="79">
        <v>1</v>
      </c>
      <c r="J246" s="79">
        <v>335.65</v>
      </c>
      <c r="K246" s="79">
        <v>5857</v>
      </c>
      <c r="L246" s="79">
        <v>4883</v>
      </c>
      <c r="M246" s="79">
        <v>1520</v>
      </c>
      <c r="N246" s="79">
        <v>2160</v>
      </c>
      <c r="O246" s="79">
        <v>1092.9000000000001</v>
      </c>
      <c r="P246" s="79">
        <v>286.33333333333297</v>
      </c>
      <c r="Q246" s="79">
        <v>970.33333333333303</v>
      </c>
      <c r="R246" s="79">
        <v>850</v>
      </c>
      <c r="S246" s="79">
        <v>0</v>
      </c>
      <c r="T246" s="79">
        <v>715</v>
      </c>
      <c r="U246" s="79">
        <v>10850</v>
      </c>
      <c r="V246" s="79">
        <v>19600</v>
      </c>
      <c r="W246" s="79">
        <v>5070</v>
      </c>
      <c r="X246" s="79">
        <v>1733.46</v>
      </c>
      <c r="Y246" s="79">
        <v>1631.2</v>
      </c>
      <c r="Z246" s="79">
        <v>0</v>
      </c>
      <c r="AA246" s="79">
        <v>0</v>
      </c>
      <c r="AB246" s="79">
        <v>0</v>
      </c>
      <c r="AC246" s="79">
        <v>728</v>
      </c>
      <c r="AD246" s="79">
        <v>728</v>
      </c>
      <c r="AE246" s="79">
        <v>69</v>
      </c>
      <c r="AF246" s="79">
        <v>0</v>
      </c>
      <c r="AG246" s="79">
        <v>90</v>
      </c>
      <c r="AH246" s="79">
        <v>87</v>
      </c>
      <c r="AI246" s="79">
        <v>3</v>
      </c>
      <c r="AJ246" s="79">
        <v>10671</v>
      </c>
      <c r="AK246" s="79">
        <v>10671</v>
      </c>
      <c r="AL246" s="79">
        <v>0</v>
      </c>
      <c r="AM246" s="79">
        <v>0</v>
      </c>
      <c r="AN246" s="79">
        <v>0</v>
      </c>
      <c r="AO246" s="79">
        <v>0</v>
      </c>
      <c r="AP246" s="79">
        <v>1027</v>
      </c>
      <c r="AQ246" s="79">
        <v>0</v>
      </c>
      <c r="AR246" s="80">
        <v>2.5899099999999997E-4</v>
      </c>
      <c r="AS246" s="80">
        <v>3.4362999999999999E-4</v>
      </c>
      <c r="AT246" s="79">
        <v>18599.553</v>
      </c>
      <c r="AU246" s="79">
        <v>0</v>
      </c>
      <c r="AV246" s="79">
        <v>647</v>
      </c>
      <c r="AW246" s="79">
        <v>19391.328732747799</v>
      </c>
      <c r="AX246" s="79">
        <v>1</v>
      </c>
      <c r="AY246" s="79">
        <v>1</v>
      </c>
      <c r="AZ246" s="79">
        <v>2312</v>
      </c>
      <c r="BA246" s="79">
        <v>1</v>
      </c>
      <c r="BB246" s="79">
        <v>0</v>
      </c>
      <c r="BC246" s="79">
        <v>0</v>
      </c>
      <c r="BD246" s="79">
        <v>0</v>
      </c>
      <c r="BE246" s="79">
        <v>0</v>
      </c>
      <c r="BF246" s="79">
        <v>0</v>
      </c>
      <c r="BG246" s="79">
        <v>0</v>
      </c>
      <c r="BH246" s="79">
        <v>0</v>
      </c>
      <c r="BI246" s="79">
        <v>0</v>
      </c>
      <c r="BJ246" s="79">
        <v>0</v>
      </c>
      <c r="BK246" s="79">
        <v>4</v>
      </c>
      <c r="BL246" s="79">
        <v>3612</v>
      </c>
      <c r="BM246" s="79">
        <v>87</v>
      </c>
      <c r="BN246" s="79">
        <v>3</v>
      </c>
      <c r="BO246">
        <v>5798</v>
      </c>
      <c r="BP246">
        <v>1854</v>
      </c>
      <c r="BQ246">
        <v>5243</v>
      </c>
      <c r="BR246">
        <v>2003</v>
      </c>
      <c r="BS246">
        <v>5190</v>
      </c>
      <c r="BT246">
        <v>1937</v>
      </c>
      <c r="BU246">
        <v>5172</v>
      </c>
      <c r="BV246">
        <v>2003</v>
      </c>
      <c r="BW246">
        <v>5131</v>
      </c>
      <c r="BX246">
        <v>2039</v>
      </c>
      <c r="BY246">
        <v>5132</v>
      </c>
      <c r="BZ246">
        <v>2043</v>
      </c>
      <c r="CA246">
        <v>5282</v>
      </c>
      <c r="CB246">
        <v>338.09797273180601</v>
      </c>
      <c r="CC246">
        <v>7.0143500638275</v>
      </c>
      <c r="CD246">
        <v>29.010408327285599</v>
      </c>
      <c r="CE246">
        <v>10032.709999999999</v>
      </c>
      <c r="CF246">
        <v>2756.4297790829501</v>
      </c>
      <c r="CG246">
        <v>204.58946666666699</v>
      </c>
      <c r="CH246">
        <v>263</v>
      </c>
      <c r="CI246">
        <v>86.602329270590602</v>
      </c>
      <c r="CJ246">
        <v>69.886838411054597</v>
      </c>
      <c r="CK246" s="81">
        <v>684</v>
      </c>
      <c r="CL246">
        <v>251</v>
      </c>
      <c r="CM246">
        <v>2625.43952949287</v>
      </c>
      <c r="CN246">
        <v>0.25258999059119602</v>
      </c>
      <c r="CO246">
        <v>19004</v>
      </c>
      <c r="CP246">
        <v>2635</v>
      </c>
      <c r="CQ246">
        <v>728</v>
      </c>
      <c r="CR246">
        <v>637</v>
      </c>
      <c r="CS246">
        <v>558</v>
      </c>
      <c r="CT246">
        <v>399</v>
      </c>
      <c r="CU246">
        <v>173.842866811102</v>
      </c>
      <c r="CV246">
        <v>108.07555950837499</v>
      </c>
      <c r="CW246">
        <v>55.318295862106901</v>
      </c>
      <c r="CX246">
        <v>333.41347053162002</v>
      </c>
      <c r="CY246">
        <v>207.278262469569</v>
      </c>
      <c r="CZ246">
        <v>106.09503481854701</v>
      </c>
      <c r="DA246">
        <v>29186.400000000001</v>
      </c>
      <c r="DE246">
        <v>785</v>
      </c>
      <c r="DF246" t="s">
        <v>117</v>
      </c>
      <c r="DG246">
        <v>4695</v>
      </c>
      <c r="DH246">
        <v>4726</v>
      </c>
      <c r="DI246">
        <v>4742</v>
      </c>
      <c r="DJ246">
        <v>4757</v>
      </c>
      <c r="DK246">
        <v>4750</v>
      </c>
      <c r="DO246">
        <v>579</v>
      </c>
      <c r="DP246" t="s">
        <v>224</v>
      </c>
      <c r="DQ246">
        <v>10671</v>
      </c>
      <c r="DR246">
        <v>1</v>
      </c>
      <c r="DS246">
        <v>1743</v>
      </c>
      <c r="DV246">
        <v>85</v>
      </c>
      <c r="DW246" t="s">
        <v>234</v>
      </c>
      <c r="DX246">
        <v>3956.8114783545898</v>
      </c>
      <c r="DY246">
        <v>714</v>
      </c>
      <c r="DZ246">
        <v>590</v>
      </c>
      <c r="EA246">
        <v>371</v>
      </c>
      <c r="EB246">
        <v>2141</v>
      </c>
      <c r="EC246">
        <v>1245</v>
      </c>
      <c r="ED246">
        <v>496</v>
      </c>
      <c r="EE246" s="82">
        <v>0.22531542204674701</v>
      </c>
      <c r="EF246" s="82">
        <v>0.55829946497093697</v>
      </c>
    </row>
    <row r="247" spans="1:136" x14ac:dyDescent="0.35">
      <c r="A247" s="72">
        <v>584</v>
      </c>
      <c r="B247" s="72">
        <v>8</v>
      </c>
      <c r="D247" s="72" t="s">
        <v>819</v>
      </c>
      <c r="E247" s="79">
        <v>1920400000</v>
      </c>
      <c r="F247" s="79">
        <v>383250000</v>
      </c>
      <c r="G247" s="79">
        <v>387100000</v>
      </c>
      <c r="H247" s="79">
        <v>24301</v>
      </c>
      <c r="I247" s="79">
        <v>1</v>
      </c>
      <c r="J247" s="79">
        <v>387.1</v>
      </c>
      <c r="K247" s="79">
        <v>5833</v>
      </c>
      <c r="L247" s="79">
        <v>4920</v>
      </c>
      <c r="M247" s="79">
        <v>1486</v>
      </c>
      <c r="N247" s="79">
        <v>2487</v>
      </c>
      <c r="O247" s="79">
        <v>1465.3</v>
      </c>
      <c r="P247" s="79">
        <v>271.33333333333297</v>
      </c>
      <c r="Q247" s="79">
        <v>1167.3333333333301</v>
      </c>
      <c r="R247" s="79">
        <v>540</v>
      </c>
      <c r="S247" s="79">
        <v>0</v>
      </c>
      <c r="T247" s="79">
        <v>690</v>
      </c>
      <c r="U247" s="79">
        <v>10421</v>
      </c>
      <c r="V247" s="79">
        <v>21340</v>
      </c>
      <c r="W247" s="79">
        <v>5650</v>
      </c>
      <c r="X247" s="79">
        <v>518.5</v>
      </c>
      <c r="Y247" s="79">
        <v>2928</v>
      </c>
      <c r="Z247" s="79">
        <v>0</v>
      </c>
      <c r="AA247" s="79">
        <v>0</v>
      </c>
      <c r="AB247" s="79">
        <v>111.4</v>
      </c>
      <c r="AC247" s="79">
        <v>1870</v>
      </c>
      <c r="AD247" s="79">
        <v>2187.9</v>
      </c>
      <c r="AE247" s="79">
        <v>91</v>
      </c>
      <c r="AF247" s="79">
        <v>0</v>
      </c>
      <c r="AG247" s="79">
        <v>138</v>
      </c>
      <c r="AH247" s="79">
        <v>132.08000000000001</v>
      </c>
      <c r="AI247" s="79">
        <v>13.75</v>
      </c>
      <c r="AJ247" s="79">
        <v>10217</v>
      </c>
      <c r="AK247" s="79">
        <v>10625.68</v>
      </c>
      <c r="AL247" s="79">
        <v>0</v>
      </c>
      <c r="AM247" s="79">
        <v>0</v>
      </c>
      <c r="AN247" s="79">
        <v>0</v>
      </c>
      <c r="AO247" s="79">
        <v>0</v>
      </c>
      <c r="AP247" s="79">
        <v>1201</v>
      </c>
      <c r="AQ247" s="79">
        <v>0</v>
      </c>
      <c r="AR247" s="80">
        <v>2.26672E-4</v>
      </c>
      <c r="AS247" s="80">
        <v>1.1567500000000001E-4</v>
      </c>
      <c r="AT247" s="79">
        <v>14273.148999999999</v>
      </c>
      <c r="AU247" s="79">
        <v>0</v>
      </c>
      <c r="AV247" s="79">
        <v>794.43</v>
      </c>
      <c r="AW247" s="79">
        <v>12425.4817389087</v>
      </c>
      <c r="AX247" s="79">
        <v>2</v>
      </c>
      <c r="AY247" s="79">
        <v>2.5</v>
      </c>
      <c r="AZ247" s="79">
        <v>2397</v>
      </c>
      <c r="BA247" s="79">
        <v>1</v>
      </c>
      <c r="BB247" s="79">
        <v>0</v>
      </c>
      <c r="BC247" s="79">
        <v>0</v>
      </c>
      <c r="BD247" s="79">
        <v>0</v>
      </c>
      <c r="BE247" s="79">
        <v>0</v>
      </c>
      <c r="BF247" s="79">
        <v>0</v>
      </c>
      <c r="BG247" s="79">
        <v>0</v>
      </c>
      <c r="BH247" s="79">
        <v>0</v>
      </c>
      <c r="BI247" s="79">
        <v>0</v>
      </c>
      <c r="BJ247" s="79">
        <v>0</v>
      </c>
      <c r="BK247" s="79">
        <v>12</v>
      </c>
      <c r="BL247" s="79">
        <v>2945</v>
      </c>
      <c r="BM247" s="79">
        <v>127</v>
      </c>
      <c r="BN247" s="79">
        <v>11</v>
      </c>
      <c r="BO247">
        <v>6212</v>
      </c>
      <c r="BP247">
        <v>3226</v>
      </c>
      <c r="BQ247">
        <v>5579</v>
      </c>
      <c r="BR247">
        <v>3131</v>
      </c>
      <c r="BS247">
        <v>5445</v>
      </c>
      <c r="BT247">
        <v>3083</v>
      </c>
      <c r="BU247">
        <v>5426</v>
      </c>
      <c r="BV247">
        <v>3099</v>
      </c>
      <c r="BW247">
        <v>5345</v>
      </c>
      <c r="BX247">
        <v>3045</v>
      </c>
      <c r="BY247">
        <v>5271</v>
      </c>
      <c r="BZ247">
        <v>3120</v>
      </c>
      <c r="CA247">
        <v>5236</v>
      </c>
      <c r="CB247">
        <v>362.62405692020701</v>
      </c>
      <c r="CC247">
        <v>67.552106500829595</v>
      </c>
      <c r="CD247">
        <v>57.372714284720203</v>
      </c>
      <c r="CE247">
        <v>7512.1124011151896</v>
      </c>
      <c r="CF247">
        <v>2090.54268278363</v>
      </c>
      <c r="CG247">
        <v>179.31110593005599</v>
      </c>
      <c r="CH247">
        <v>258</v>
      </c>
      <c r="CI247">
        <v>80.729877467989795</v>
      </c>
      <c r="CJ247">
        <v>65.984527636833207</v>
      </c>
      <c r="CK247" s="81">
        <v>896</v>
      </c>
      <c r="CL247">
        <v>300</v>
      </c>
      <c r="CM247">
        <v>3661.6862135759502</v>
      </c>
      <c r="CN247">
        <v>0.21489787888703099</v>
      </c>
      <c r="CO247">
        <v>19381</v>
      </c>
      <c r="CP247">
        <v>2906</v>
      </c>
      <c r="CQ247">
        <v>528</v>
      </c>
      <c r="CR247">
        <v>581</v>
      </c>
      <c r="CS247">
        <v>533</v>
      </c>
      <c r="CT247">
        <v>261</v>
      </c>
      <c r="CU247">
        <v>259.24270473496603</v>
      </c>
      <c r="CV247">
        <v>152.07375042560199</v>
      </c>
      <c r="CW247">
        <v>54.947402276420497</v>
      </c>
      <c r="CX247">
        <v>686.06810807094701</v>
      </c>
      <c r="CY247">
        <v>402.45279167415799</v>
      </c>
      <c r="CZ247">
        <v>145.41454642566299</v>
      </c>
      <c r="DA247">
        <v>64424.7</v>
      </c>
      <c r="DE247">
        <v>786</v>
      </c>
      <c r="DF247" t="s">
        <v>121</v>
      </c>
      <c r="DG247">
        <v>2752</v>
      </c>
      <c r="DH247">
        <v>2821</v>
      </c>
      <c r="DI247">
        <v>2831</v>
      </c>
      <c r="DJ247">
        <v>2725</v>
      </c>
      <c r="DK247">
        <v>2622</v>
      </c>
      <c r="DO247">
        <v>584</v>
      </c>
      <c r="DP247" t="s">
        <v>819</v>
      </c>
      <c r="DQ247">
        <v>10217</v>
      </c>
      <c r="DR247">
        <v>1.04</v>
      </c>
      <c r="DS247">
        <v>1397</v>
      </c>
      <c r="DV247">
        <v>431</v>
      </c>
      <c r="DW247" t="s">
        <v>235</v>
      </c>
      <c r="DX247">
        <v>1062.39012345679</v>
      </c>
      <c r="DY247">
        <v>207</v>
      </c>
      <c r="DZ247">
        <v>214</v>
      </c>
      <c r="EA247">
        <v>112</v>
      </c>
      <c r="EB247">
        <v>660</v>
      </c>
      <c r="EC247">
        <v>452</v>
      </c>
      <c r="ED247">
        <v>154</v>
      </c>
      <c r="EE247" s="82">
        <v>0.158930081271458</v>
      </c>
      <c r="EF247" s="82">
        <v>0.350002047795548</v>
      </c>
    </row>
    <row r="248" spans="1:136" x14ac:dyDescent="0.35">
      <c r="A248" s="72">
        <v>590</v>
      </c>
      <c r="B248" s="72">
        <v>8</v>
      </c>
      <c r="D248" s="72" t="s">
        <v>243</v>
      </c>
      <c r="E248" s="79">
        <v>2328800000</v>
      </c>
      <c r="F248" s="79">
        <v>366450000</v>
      </c>
      <c r="G248" s="79">
        <v>372400000</v>
      </c>
      <c r="H248" s="79">
        <v>32264</v>
      </c>
      <c r="I248" s="79">
        <v>1</v>
      </c>
      <c r="J248" s="79">
        <v>372.4</v>
      </c>
      <c r="K248" s="79">
        <v>7347</v>
      </c>
      <c r="L248" s="79">
        <v>6947</v>
      </c>
      <c r="M248" s="79">
        <v>2291</v>
      </c>
      <c r="N248" s="79">
        <v>3631</v>
      </c>
      <c r="O248" s="79">
        <v>2193.8000000000002</v>
      </c>
      <c r="P248" s="79">
        <v>526.33333333333303</v>
      </c>
      <c r="Q248" s="79">
        <v>1788.3333333333301</v>
      </c>
      <c r="R248" s="79">
        <v>1945</v>
      </c>
      <c r="S248" s="79">
        <v>0</v>
      </c>
      <c r="T248" s="79">
        <v>1086</v>
      </c>
      <c r="U248" s="79">
        <v>14230</v>
      </c>
      <c r="V248" s="79">
        <v>30100</v>
      </c>
      <c r="W248" s="79">
        <v>12980</v>
      </c>
      <c r="X248" s="79">
        <v>277.2</v>
      </c>
      <c r="Y248" s="79">
        <v>2764.8</v>
      </c>
      <c r="Z248" s="79">
        <v>0</v>
      </c>
      <c r="AA248" s="79">
        <v>0</v>
      </c>
      <c r="AB248" s="79">
        <v>29.499999999999499</v>
      </c>
      <c r="AC248" s="79">
        <v>935</v>
      </c>
      <c r="AD248" s="79">
        <v>1309</v>
      </c>
      <c r="AE248" s="79">
        <v>144</v>
      </c>
      <c r="AF248" s="79">
        <v>0</v>
      </c>
      <c r="AG248" s="79">
        <v>131</v>
      </c>
      <c r="AH248" s="79">
        <v>173.75</v>
      </c>
      <c r="AI248" s="79">
        <v>8.4600000000000009</v>
      </c>
      <c r="AJ248" s="79">
        <v>14372</v>
      </c>
      <c r="AK248" s="79">
        <v>19977.080000000002</v>
      </c>
      <c r="AL248" s="79">
        <v>0</v>
      </c>
      <c r="AM248" s="79">
        <v>0</v>
      </c>
      <c r="AN248" s="79">
        <v>0</v>
      </c>
      <c r="AO248" s="79">
        <v>0</v>
      </c>
      <c r="AP248" s="79">
        <v>1239</v>
      </c>
      <c r="AQ248" s="79">
        <v>0</v>
      </c>
      <c r="AR248" s="80">
        <v>1.0791E-4</v>
      </c>
      <c r="AS248" s="80">
        <v>6.3495999999999995E-4</v>
      </c>
      <c r="AT248" s="79">
        <v>27335.544000000002</v>
      </c>
      <c r="AU248" s="79">
        <v>0</v>
      </c>
      <c r="AV248" s="79">
        <v>1080.8</v>
      </c>
      <c r="AW248" s="79">
        <v>83641.205560704402</v>
      </c>
      <c r="AX248" s="79">
        <v>1</v>
      </c>
      <c r="AY248" s="79">
        <v>1.41</v>
      </c>
      <c r="AZ248" s="79">
        <v>2718</v>
      </c>
      <c r="BA248" s="79">
        <v>1</v>
      </c>
      <c r="BB248" s="79">
        <v>0</v>
      </c>
      <c r="BC248" s="79">
        <v>0</v>
      </c>
      <c r="BD248" s="79">
        <v>0</v>
      </c>
      <c r="BE248" s="79">
        <v>0</v>
      </c>
      <c r="BF248" s="79">
        <v>0</v>
      </c>
      <c r="BG248" s="79">
        <v>0</v>
      </c>
      <c r="BH248" s="79">
        <v>0</v>
      </c>
      <c r="BI248" s="79">
        <v>0</v>
      </c>
      <c r="BJ248" s="79">
        <v>0</v>
      </c>
      <c r="BK248" s="79">
        <v>34</v>
      </c>
      <c r="BL248" s="79">
        <v>4337</v>
      </c>
      <c r="BM248" s="79">
        <v>125</v>
      </c>
      <c r="BN248" s="79">
        <v>6</v>
      </c>
      <c r="BO248">
        <v>7692</v>
      </c>
      <c r="BP248">
        <v>3115</v>
      </c>
      <c r="BQ248">
        <v>6992</v>
      </c>
      <c r="BR248">
        <v>3086</v>
      </c>
      <c r="BS248">
        <v>7011</v>
      </c>
      <c r="BT248">
        <v>3066</v>
      </c>
      <c r="BU248">
        <v>6942</v>
      </c>
      <c r="BV248">
        <v>3246</v>
      </c>
      <c r="BW248">
        <v>6930</v>
      </c>
      <c r="BX248">
        <v>3379</v>
      </c>
      <c r="BY248">
        <v>6872</v>
      </c>
      <c r="BZ248">
        <v>3539</v>
      </c>
      <c r="CA248">
        <v>6546</v>
      </c>
      <c r="CB248">
        <v>580.16308045420499</v>
      </c>
      <c r="CC248">
        <v>109.133068361855</v>
      </c>
      <c r="CD248">
        <v>83.429330835476193</v>
      </c>
      <c r="CE248">
        <v>10152.012021533399</v>
      </c>
      <c r="CF248">
        <v>2525.16394759576</v>
      </c>
      <c r="CG248">
        <v>291.09599304750901</v>
      </c>
      <c r="CH248">
        <v>455</v>
      </c>
      <c r="CI248">
        <v>179.35616142519501</v>
      </c>
      <c r="CJ248">
        <v>150.41634256998501</v>
      </c>
      <c r="CK248" s="81">
        <v>1262</v>
      </c>
      <c r="CL248">
        <v>348</v>
      </c>
      <c r="CM248">
        <v>5113.7759662614699</v>
      </c>
      <c r="CN248">
        <v>0.92813173059291398</v>
      </c>
      <c r="CO248">
        <v>25317</v>
      </c>
      <c r="CP248">
        <v>3944</v>
      </c>
      <c r="CQ248">
        <v>712</v>
      </c>
      <c r="CR248">
        <v>761</v>
      </c>
      <c r="CS248">
        <v>796</v>
      </c>
      <c r="CT248">
        <v>386</v>
      </c>
      <c r="CU248">
        <v>371.17527594483499</v>
      </c>
      <c r="CV248">
        <v>251.520088304724</v>
      </c>
      <c r="CW248">
        <v>87.452069537989502</v>
      </c>
      <c r="CX248">
        <v>1000.44168343687</v>
      </c>
      <c r="CY248">
        <v>677.93087759209004</v>
      </c>
      <c r="CZ248">
        <v>235.71261702686101</v>
      </c>
      <c r="DA248">
        <v>5475</v>
      </c>
      <c r="DE248">
        <v>788</v>
      </c>
      <c r="DF248" t="s">
        <v>125</v>
      </c>
      <c r="DG248">
        <v>3156</v>
      </c>
      <c r="DH248">
        <v>3069</v>
      </c>
      <c r="DI248">
        <v>2995</v>
      </c>
      <c r="DJ248">
        <v>2938</v>
      </c>
      <c r="DK248">
        <v>2859</v>
      </c>
      <c r="DO248">
        <v>590</v>
      </c>
      <c r="DP248" t="s">
        <v>243</v>
      </c>
      <c r="DQ248">
        <v>14372</v>
      </c>
      <c r="DR248">
        <v>1.39</v>
      </c>
      <c r="DS248">
        <v>1902</v>
      </c>
      <c r="DV248">
        <v>432</v>
      </c>
      <c r="DW248" t="s">
        <v>236</v>
      </c>
      <c r="DX248">
        <v>1347.44610140605</v>
      </c>
      <c r="DY248">
        <v>264</v>
      </c>
      <c r="DZ248">
        <v>233</v>
      </c>
      <c r="EA248">
        <v>122</v>
      </c>
      <c r="EB248">
        <v>897</v>
      </c>
      <c r="EC248">
        <v>516</v>
      </c>
      <c r="ED248">
        <v>155</v>
      </c>
      <c r="EE248" s="82">
        <v>0.174149766308454</v>
      </c>
      <c r="EF248" s="82">
        <v>0.42992500956889801</v>
      </c>
    </row>
    <row r="249" spans="1:136" x14ac:dyDescent="0.35">
      <c r="A249" s="72">
        <v>1926</v>
      </c>
      <c r="B249" s="72">
        <v>8</v>
      </c>
      <c r="D249" s="72" t="s">
        <v>246</v>
      </c>
      <c r="E249" s="79">
        <v>4815200000</v>
      </c>
      <c r="F249" s="79">
        <v>618800000</v>
      </c>
      <c r="G249" s="79">
        <v>642600000</v>
      </c>
      <c r="H249" s="79">
        <v>53634</v>
      </c>
      <c r="I249" s="79">
        <v>3</v>
      </c>
      <c r="J249" s="79">
        <v>642.6</v>
      </c>
      <c r="K249" s="79">
        <v>14871</v>
      </c>
      <c r="L249" s="79">
        <v>7757</v>
      </c>
      <c r="M249" s="79">
        <v>2521</v>
      </c>
      <c r="N249" s="79">
        <v>4013</v>
      </c>
      <c r="O249" s="79">
        <v>1919.4</v>
      </c>
      <c r="P249" s="79">
        <v>443</v>
      </c>
      <c r="Q249" s="79">
        <v>2213</v>
      </c>
      <c r="R249" s="79">
        <v>3910</v>
      </c>
      <c r="S249" s="79">
        <v>0</v>
      </c>
      <c r="T249" s="79">
        <v>1600</v>
      </c>
      <c r="U249" s="79">
        <v>21383</v>
      </c>
      <c r="V249" s="79">
        <v>34960</v>
      </c>
      <c r="W249" s="79">
        <v>5660</v>
      </c>
      <c r="X249" s="79">
        <v>503.46</v>
      </c>
      <c r="Y249" s="79">
        <v>1058.4000000000001</v>
      </c>
      <c r="Z249" s="79">
        <v>0</v>
      </c>
      <c r="AA249" s="79">
        <v>341.099999999999</v>
      </c>
      <c r="AB249" s="79">
        <v>301.10000000000002</v>
      </c>
      <c r="AC249" s="79">
        <v>3698</v>
      </c>
      <c r="AD249" s="79">
        <v>4918.34</v>
      </c>
      <c r="AE249" s="79">
        <v>164</v>
      </c>
      <c r="AF249" s="79">
        <v>0</v>
      </c>
      <c r="AG249" s="79">
        <v>232</v>
      </c>
      <c r="AH249" s="79">
        <v>277.72000000000003</v>
      </c>
      <c r="AI249" s="79">
        <v>28.14</v>
      </c>
      <c r="AJ249" s="79">
        <v>20936</v>
      </c>
      <c r="AK249" s="79">
        <v>27426.16</v>
      </c>
      <c r="AL249" s="79">
        <v>0</v>
      </c>
      <c r="AM249" s="79">
        <v>0</v>
      </c>
      <c r="AN249" s="79">
        <v>0</v>
      </c>
      <c r="AO249" s="79">
        <v>0</v>
      </c>
      <c r="AP249" s="79">
        <v>0</v>
      </c>
      <c r="AQ249" s="79">
        <v>0</v>
      </c>
      <c r="AR249" s="80">
        <v>1.7387899999999999E-4</v>
      </c>
      <c r="AS249" s="80">
        <v>2.0177899999999999E-4</v>
      </c>
      <c r="AT249" s="79">
        <v>31048.088</v>
      </c>
      <c r="AU249" s="79">
        <v>0</v>
      </c>
      <c r="AV249" s="79">
        <v>4728.1499999999996</v>
      </c>
      <c r="AW249" s="79">
        <v>140209.858368721</v>
      </c>
      <c r="AX249" s="79">
        <v>8</v>
      </c>
      <c r="AY249" s="79">
        <v>10.72</v>
      </c>
      <c r="AZ249" s="79">
        <v>5269</v>
      </c>
      <c r="BA249" s="79">
        <v>1</v>
      </c>
      <c r="BB249" s="79">
        <v>0</v>
      </c>
      <c r="BC249" s="79">
        <v>0</v>
      </c>
      <c r="BD249" s="79">
        <v>0</v>
      </c>
      <c r="BE249" s="79">
        <v>0</v>
      </c>
      <c r="BF249" s="79">
        <v>0</v>
      </c>
      <c r="BG249" s="79">
        <v>0</v>
      </c>
      <c r="BH249" s="79">
        <v>0</v>
      </c>
      <c r="BI249" s="79">
        <v>0</v>
      </c>
      <c r="BJ249" s="79">
        <v>0</v>
      </c>
      <c r="BK249" s="79">
        <v>11</v>
      </c>
      <c r="BL249" s="79">
        <v>5070</v>
      </c>
      <c r="BM249" s="79">
        <v>212</v>
      </c>
      <c r="BN249" s="79">
        <v>21</v>
      </c>
      <c r="BO249">
        <v>13209</v>
      </c>
      <c r="BP249">
        <v>929</v>
      </c>
      <c r="BQ249">
        <v>12811</v>
      </c>
      <c r="BR249">
        <v>1032</v>
      </c>
      <c r="BS249">
        <v>13387</v>
      </c>
      <c r="BT249">
        <v>1100</v>
      </c>
      <c r="BU249">
        <v>13515</v>
      </c>
      <c r="BV249">
        <v>1172</v>
      </c>
      <c r="BW249">
        <v>13496</v>
      </c>
      <c r="BX249">
        <v>1251</v>
      </c>
      <c r="BY249">
        <v>13507</v>
      </c>
      <c r="BZ249">
        <v>1294</v>
      </c>
      <c r="CA249">
        <v>13453</v>
      </c>
      <c r="CB249">
        <v>970.02685171244104</v>
      </c>
      <c r="CC249">
        <v>79.741148253799594</v>
      </c>
      <c r="CD249">
        <v>101.775493053815</v>
      </c>
      <c r="CE249">
        <v>16627.441181062699</v>
      </c>
      <c r="CF249">
        <v>5867.4122573799204</v>
      </c>
      <c r="CG249">
        <v>474.47964248704699</v>
      </c>
      <c r="CH249">
        <v>683</v>
      </c>
      <c r="CI249">
        <v>193.66544876480501</v>
      </c>
      <c r="CJ249">
        <v>151.83536466970199</v>
      </c>
      <c r="CK249" s="81">
        <v>1770</v>
      </c>
      <c r="CL249">
        <v>673</v>
      </c>
      <c r="CM249">
        <v>4717.7745496589196</v>
      </c>
      <c r="CN249">
        <v>0.25831810914526299</v>
      </c>
      <c r="CO249">
        <v>45877</v>
      </c>
      <c r="CP249">
        <v>4352</v>
      </c>
      <c r="CQ249">
        <v>884</v>
      </c>
      <c r="CR249">
        <v>788</v>
      </c>
      <c r="CS249">
        <v>781</v>
      </c>
      <c r="CT249">
        <v>461</v>
      </c>
      <c r="CU249">
        <v>244.93377916831699</v>
      </c>
      <c r="CV249">
        <v>161.05862649653201</v>
      </c>
      <c r="CW249">
        <v>59.308441288136599</v>
      </c>
      <c r="CX249">
        <v>844.92267243050105</v>
      </c>
      <c r="CY249">
        <v>555.58725129505603</v>
      </c>
      <c r="CZ249">
        <v>204.590183032385</v>
      </c>
      <c r="DA249">
        <v>165710</v>
      </c>
      <c r="DE249">
        <v>794</v>
      </c>
      <c r="DF249" t="s">
        <v>144</v>
      </c>
      <c r="DG249">
        <v>20012</v>
      </c>
      <c r="DH249">
        <v>20120</v>
      </c>
      <c r="DI249">
        <v>20169</v>
      </c>
      <c r="DJ249">
        <v>20150</v>
      </c>
      <c r="DK249">
        <v>20090</v>
      </c>
      <c r="DO249">
        <v>1926</v>
      </c>
      <c r="DP249" t="s">
        <v>246</v>
      </c>
      <c r="DQ249">
        <v>20936</v>
      </c>
      <c r="DR249">
        <v>1.31</v>
      </c>
      <c r="DS249">
        <v>1483</v>
      </c>
      <c r="DV249">
        <v>86</v>
      </c>
      <c r="DW249" t="s">
        <v>237</v>
      </c>
      <c r="DX249">
        <v>3943.3870682019501</v>
      </c>
      <c r="DY249">
        <v>739</v>
      </c>
      <c r="DZ249">
        <v>599</v>
      </c>
      <c r="EA249">
        <v>388</v>
      </c>
      <c r="EB249">
        <v>2228</v>
      </c>
      <c r="EC249">
        <v>1276</v>
      </c>
      <c r="ED249">
        <v>540</v>
      </c>
      <c r="EE249" s="82">
        <v>0.19700889268674801</v>
      </c>
      <c r="EF249" s="82">
        <v>0.49876271685266299</v>
      </c>
    </row>
    <row r="250" spans="1:136" x14ac:dyDescent="0.35">
      <c r="A250" s="72">
        <v>597</v>
      </c>
      <c r="B250" s="72">
        <v>8</v>
      </c>
      <c r="D250" s="72" t="s">
        <v>256</v>
      </c>
      <c r="E250" s="79">
        <v>3247200000</v>
      </c>
      <c r="F250" s="79">
        <v>598150000</v>
      </c>
      <c r="G250" s="79">
        <v>610400000</v>
      </c>
      <c r="H250" s="79">
        <v>45789</v>
      </c>
      <c r="I250" s="79">
        <v>1</v>
      </c>
      <c r="J250" s="79">
        <v>610.4</v>
      </c>
      <c r="K250" s="79">
        <v>9276</v>
      </c>
      <c r="L250" s="79">
        <v>11048</v>
      </c>
      <c r="M250" s="79">
        <v>3717</v>
      </c>
      <c r="N250" s="79">
        <v>6484</v>
      </c>
      <c r="O250" s="79">
        <v>4374.3999999999996</v>
      </c>
      <c r="P250" s="79">
        <v>785.66666666666697</v>
      </c>
      <c r="Q250" s="79">
        <v>2486.6666666666702</v>
      </c>
      <c r="R250" s="79">
        <v>3070</v>
      </c>
      <c r="S250" s="79">
        <v>0</v>
      </c>
      <c r="T250" s="79">
        <v>1523</v>
      </c>
      <c r="U250" s="79">
        <v>21164</v>
      </c>
      <c r="V250" s="79">
        <v>44390</v>
      </c>
      <c r="W250" s="79">
        <v>19310</v>
      </c>
      <c r="X250" s="79">
        <v>556.38</v>
      </c>
      <c r="Y250" s="79">
        <v>2016</v>
      </c>
      <c r="Z250" s="79">
        <v>0</v>
      </c>
      <c r="AA250" s="79">
        <v>0</v>
      </c>
      <c r="AB250" s="79">
        <v>0</v>
      </c>
      <c r="AC250" s="79">
        <v>2362</v>
      </c>
      <c r="AD250" s="79">
        <v>3212.32</v>
      </c>
      <c r="AE250" s="79">
        <v>164</v>
      </c>
      <c r="AF250" s="79">
        <v>0</v>
      </c>
      <c r="AG250" s="79">
        <v>221</v>
      </c>
      <c r="AH250" s="79">
        <v>286.95999999999998</v>
      </c>
      <c r="AI250" s="79">
        <v>13.7</v>
      </c>
      <c r="AJ250" s="79">
        <v>21096</v>
      </c>
      <c r="AK250" s="79">
        <v>28690.560000000001</v>
      </c>
      <c r="AL250" s="79">
        <v>0</v>
      </c>
      <c r="AM250" s="79">
        <v>0</v>
      </c>
      <c r="AN250" s="79">
        <v>0</v>
      </c>
      <c r="AO250" s="79">
        <v>0</v>
      </c>
      <c r="AP250" s="79">
        <v>2380</v>
      </c>
      <c r="AQ250" s="79">
        <v>0</v>
      </c>
      <c r="AR250" s="80">
        <v>7.2109300000000002E-4</v>
      </c>
      <c r="AS250" s="80">
        <v>2.511381E-3</v>
      </c>
      <c r="AT250" s="79">
        <v>36559.368000000002</v>
      </c>
      <c r="AU250" s="79">
        <v>0</v>
      </c>
      <c r="AV250" s="79">
        <v>1973.36</v>
      </c>
      <c r="AW250" s="79">
        <v>85717.8780997625</v>
      </c>
      <c r="AX250" s="79">
        <v>3</v>
      </c>
      <c r="AY250" s="79">
        <v>4.1100000000000003</v>
      </c>
      <c r="AZ250" s="79">
        <v>4130</v>
      </c>
      <c r="BA250" s="79">
        <v>1</v>
      </c>
      <c r="BB250" s="79">
        <v>0</v>
      </c>
      <c r="BC250" s="79">
        <v>0</v>
      </c>
      <c r="BD250" s="79">
        <v>0</v>
      </c>
      <c r="BE250" s="79">
        <v>0</v>
      </c>
      <c r="BF250" s="79">
        <v>0</v>
      </c>
      <c r="BG250" s="79">
        <v>0</v>
      </c>
      <c r="BH250" s="79">
        <v>0</v>
      </c>
      <c r="BI250" s="79">
        <v>0</v>
      </c>
      <c r="BJ250" s="79">
        <v>0</v>
      </c>
      <c r="BK250" s="79">
        <v>29</v>
      </c>
      <c r="BL250" s="79">
        <v>7040</v>
      </c>
      <c r="BM250" s="79">
        <v>211</v>
      </c>
      <c r="BN250" s="79">
        <v>10</v>
      </c>
      <c r="BO250">
        <v>9397</v>
      </c>
      <c r="BP250">
        <v>3113</v>
      </c>
      <c r="BQ250">
        <v>8216</v>
      </c>
      <c r="BR250">
        <v>3094</v>
      </c>
      <c r="BS250">
        <v>8160</v>
      </c>
      <c r="BT250">
        <v>3147</v>
      </c>
      <c r="BU250">
        <v>8189</v>
      </c>
      <c r="BV250">
        <v>3131</v>
      </c>
      <c r="BW250">
        <v>8251</v>
      </c>
      <c r="BX250">
        <v>3011</v>
      </c>
      <c r="BY250">
        <v>8218</v>
      </c>
      <c r="BZ250">
        <v>2899</v>
      </c>
      <c r="CA250">
        <v>8279</v>
      </c>
      <c r="CB250">
        <v>924.19647882578295</v>
      </c>
      <c r="CC250">
        <v>255.80814128354299</v>
      </c>
      <c r="CD250">
        <v>134.78200410085199</v>
      </c>
      <c r="CE250">
        <v>13873.5033793603</v>
      </c>
      <c r="CF250">
        <v>2954.54147460995</v>
      </c>
      <c r="CG250">
        <v>256.59579772162999</v>
      </c>
      <c r="CH250">
        <v>556</v>
      </c>
      <c r="CI250">
        <v>253.558773681254</v>
      </c>
      <c r="CJ250">
        <v>235.91242407792501</v>
      </c>
      <c r="CK250" s="81">
        <v>1701</v>
      </c>
      <c r="CL250">
        <v>425</v>
      </c>
      <c r="CM250">
        <v>8573.9361828946494</v>
      </c>
      <c r="CN250">
        <v>1.65410887902306</v>
      </c>
      <c r="CO250">
        <v>34741</v>
      </c>
      <c r="CP250">
        <v>5903</v>
      </c>
      <c r="CQ250">
        <v>1428</v>
      </c>
      <c r="CR250">
        <v>1208</v>
      </c>
      <c r="CS250">
        <v>1313</v>
      </c>
      <c r="CT250">
        <v>678</v>
      </c>
      <c r="CU250">
        <v>755.99983374437204</v>
      </c>
      <c r="CV250">
        <v>545.95380204304195</v>
      </c>
      <c r="CW250">
        <v>211.49748502996701</v>
      </c>
      <c r="CX250">
        <v>1652.2371758341701</v>
      </c>
      <c r="CY250">
        <v>1193.1817015829299</v>
      </c>
      <c r="CZ250">
        <v>462.22762461625098</v>
      </c>
      <c r="DA250">
        <v>27783</v>
      </c>
      <c r="DE250">
        <v>796</v>
      </c>
      <c r="DF250" t="s">
        <v>271</v>
      </c>
      <c r="DG250">
        <v>29521.68</v>
      </c>
      <c r="DH250">
        <v>29729.7</v>
      </c>
      <c r="DI250">
        <v>29782.52</v>
      </c>
      <c r="DJ250">
        <v>29952.400000000001</v>
      </c>
      <c r="DK250">
        <v>29924.06</v>
      </c>
      <c r="DO250">
        <v>597</v>
      </c>
      <c r="DP250" t="s">
        <v>256</v>
      </c>
      <c r="DQ250">
        <v>21096</v>
      </c>
      <c r="DR250">
        <v>1.36</v>
      </c>
      <c r="DS250">
        <v>1733</v>
      </c>
      <c r="DV250">
        <v>828</v>
      </c>
      <c r="DW250" t="s">
        <v>238</v>
      </c>
      <c r="DX250">
        <v>12107.458279356901</v>
      </c>
      <c r="DY250">
        <v>2121</v>
      </c>
      <c r="DZ250">
        <v>1887</v>
      </c>
      <c r="EA250">
        <v>992</v>
      </c>
      <c r="EB250">
        <v>6443</v>
      </c>
      <c r="EC250">
        <v>3828</v>
      </c>
      <c r="ED250">
        <v>1355</v>
      </c>
      <c r="EE250" s="82">
        <v>0.20377244346932399</v>
      </c>
      <c r="EF250" s="82">
        <v>0.46520230991337802</v>
      </c>
    </row>
    <row r="251" spans="1:136" x14ac:dyDescent="0.35">
      <c r="A251" s="72">
        <v>603</v>
      </c>
      <c r="B251" s="72">
        <v>8</v>
      </c>
      <c r="D251" s="72" t="s">
        <v>258</v>
      </c>
      <c r="E251" s="79">
        <v>4295200000</v>
      </c>
      <c r="F251" s="79">
        <v>870800000</v>
      </c>
      <c r="G251" s="79">
        <v>870800000</v>
      </c>
      <c r="H251" s="79">
        <v>52208</v>
      </c>
      <c r="I251" s="79">
        <v>2</v>
      </c>
      <c r="J251" s="79">
        <v>870.8</v>
      </c>
      <c r="K251" s="79">
        <v>10507</v>
      </c>
      <c r="L251" s="79">
        <v>11606</v>
      </c>
      <c r="M251" s="79">
        <v>3756</v>
      </c>
      <c r="N251" s="79">
        <v>8694</v>
      </c>
      <c r="O251" s="79">
        <v>6050.2</v>
      </c>
      <c r="P251" s="79">
        <v>1394.6666666666699</v>
      </c>
      <c r="Q251" s="79">
        <v>3660.6666666666702</v>
      </c>
      <c r="R251" s="79">
        <v>6265</v>
      </c>
      <c r="S251" s="79">
        <v>0</v>
      </c>
      <c r="T251" s="79">
        <v>2260</v>
      </c>
      <c r="U251" s="79">
        <v>26798</v>
      </c>
      <c r="V251" s="79">
        <v>37680</v>
      </c>
      <c r="W251" s="79">
        <v>10710</v>
      </c>
      <c r="X251" s="79">
        <v>1144.28</v>
      </c>
      <c r="Y251" s="79">
        <v>1726.4</v>
      </c>
      <c r="Z251" s="79">
        <v>0</v>
      </c>
      <c r="AA251" s="79">
        <v>1269.2</v>
      </c>
      <c r="AB251" s="79">
        <v>0</v>
      </c>
      <c r="AC251" s="79">
        <v>1397</v>
      </c>
      <c r="AD251" s="79">
        <v>1438.91</v>
      </c>
      <c r="AE251" s="79">
        <v>51</v>
      </c>
      <c r="AF251" s="79">
        <v>0</v>
      </c>
      <c r="AG251" s="79">
        <v>197</v>
      </c>
      <c r="AH251" s="79">
        <v>190.74</v>
      </c>
      <c r="AI251" s="79">
        <v>11.33</v>
      </c>
      <c r="AJ251" s="79">
        <v>26438</v>
      </c>
      <c r="AK251" s="79">
        <v>26966.76</v>
      </c>
      <c r="AL251" s="79">
        <v>0</v>
      </c>
      <c r="AM251" s="79">
        <v>0</v>
      </c>
      <c r="AN251" s="79">
        <v>0</v>
      </c>
      <c r="AO251" s="79">
        <v>0</v>
      </c>
      <c r="AP251" s="79">
        <v>4042</v>
      </c>
      <c r="AQ251" s="79">
        <v>0</v>
      </c>
      <c r="AR251" s="80">
        <v>2.4989299999999999E-3</v>
      </c>
      <c r="AS251" s="80">
        <v>7.041121E-3</v>
      </c>
      <c r="AT251" s="79">
        <v>83411.89</v>
      </c>
      <c r="AU251" s="79">
        <v>0</v>
      </c>
      <c r="AV251" s="79">
        <v>1210.25</v>
      </c>
      <c r="AW251" s="79">
        <v>44675.698011049702</v>
      </c>
      <c r="AX251" s="79">
        <v>2</v>
      </c>
      <c r="AY251" s="79">
        <v>2.06</v>
      </c>
      <c r="AZ251" s="79">
        <v>5314</v>
      </c>
      <c r="BA251" s="79">
        <v>1</v>
      </c>
      <c r="BB251" s="79">
        <v>0</v>
      </c>
      <c r="BC251" s="79">
        <v>0</v>
      </c>
      <c r="BD251" s="79">
        <v>0</v>
      </c>
      <c r="BE251" s="79">
        <v>0</v>
      </c>
      <c r="BF251" s="79">
        <v>0</v>
      </c>
      <c r="BG251" s="79">
        <v>0</v>
      </c>
      <c r="BH251" s="79">
        <v>0</v>
      </c>
      <c r="BI251" s="79">
        <v>0</v>
      </c>
      <c r="BJ251" s="79">
        <v>0</v>
      </c>
      <c r="BK251" s="79">
        <v>27</v>
      </c>
      <c r="BL251" s="79">
        <v>11050</v>
      </c>
      <c r="BM251" s="79">
        <v>187</v>
      </c>
      <c r="BN251" s="79">
        <v>11</v>
      </c>
      <c r="BO251">
        <v>8398</v>
      </c>
      <c r="BP251">
        <v>2469</v>
      </c>
      <c r="BQ251">
        <v>7558</v>
      </c>
      <c r="BR251">
        <v>2318</v>
      </c>
      <c r="BS251">
        <v>7540</v>
      </c>
      <c r="BT251">
        <v>2218</v>
      </c>
      <c r="BU251">
        <v>7551</v>
      </c>
      <c r="BV251">
        <v>2227</v>
      </c>
      <c r="BW251">
        <v>7677</v>
      </c>
      <c r="BX251">
        <v>2214</v>
      </c>
      <c r="BY251">
        <v>7794</v>
      </c>
      <c r="BZ251">
        <v>2207</v>
      </c>
      <c r="CA251">
        <v>9546</v>
      </c>
      <c r="CB251">
        <v>2033.38290321875</v>
      </c>
      <c r="CC251">
        <v>161.66121872113001</v>
      </c>
      <c r="CD251">
        <v>187.58780689395601</v>
      </c>
      <c r="CE251">
        <v>17401.997061460199</v>
      </c>
      <c r="CF251">
        <v>3460.0652087212402</v>
      </c>
      <c r="CG251">
        <v>323.63834307566202</v>
      </c>
      <c r="CH251">
        <v>746</v>
      </c>
      <c r="CI251">
        <v>542.72197855278398</v>
      </c>
      <c r="CJ251">
        <v>459.76316030825802</v>
      </c>
      <c r="CK251" s="81">
        <v>2266</v>
      </c>
      <c r="CL251">
        <v>580</v>
      </c>
      <c r="CM251">
        <v>9211.7993253324694</v>
      </c>
      <c r="CN251">
        <v>3.2523473287465601</v>
      </c>
      <c r="CO251">
        <v>40602</v>
      </c>
      <c r="CP251">
        <v>6021</v>
      </c>
      <c r="CQ251">
        <v>1829</v>
      </c>
      <c r="CR251">
        <v>1764</v>
      </c>
      <c r="CS251">
        <v>1558</v>
      </c>
      <c r="CT251">
        <v>1000</v>
      </c>
      <c r="CU251">
        <v>918.55651069442501</v>
      </c>
      <c r="CV251">
        <v>626.78781335127803</v>
      </c>
      <c r="CW251">
        <v>306.87201814679202</v>
      </c>
      <c r="CX251">
        <v>1787.41967842382</v>
      </c>
      <c r="CY251">
        <v>1219.6667910321</v>
      </c>
      <c r="CZ251">
        <v>597.14244862141197</v>
      </c>
      <c r="DA251">
        <v>44982</v>
      </c>
      <c r="DE251">
        <v>797</v>
      </c>
      <c r="DF251" t="s">
        <v>149</v>
      </c>
      <c r="DG251">
        <v>9661</v>
      </c>
      <c r="DH251">
        <v>9526</v>
      </c>
      <c r="DI251">
        <v>9384</v>
      </c>
      <c r="DJ251">
        <v>9256</v>
      </c>
      <c r="DK251">
        <v>9144</v>
      </c>
      <c r="DO251">
        <v>603</v>
      </c>
      <c r="DP251" t="s">
        <v>258</v>
      </c>
      <c r="DQ251">
        <v>26438</v>
      </c>
      <c r="DR251">
        <v>1.02</v>
      </c>
      <c r="DS251">
        <v>3155</v>
      </c>
      <c r="DV251">
        <v>584</v>
      </c>
      <c r="DW251" t="s">
        <v>819</v>
      </c>
      <c r="DX251">
        <v>2487.4901019795998</v>
      </c>
      <c r="DY251">
        <v>581</v>
      </c>
      <c r="DZ251">
        <v>533</v>
      </c>
      <c r="EA251">
        <v>261</v>
      </c>
      <c r="EB251">
        <v>1807</v>
      </c>
      <c r="EC251">
        <v>1060</v>
      </c>
      <c r="ED251">
        <v>383</v>
      </c>
      <c r="EE251" s="82">
        <v>0.143465802288304</v>
      </c>
      <c r="EF251" s="82">
        <v>0.37967244497562103</v>
      </c>
    </row>
    <row r="252" spans="1:136" x14ac:dyDescent="0.35">
      <c r="A252" s="72">
        <v>599</v>
      </c>
      <c r="B252" s="72">
        <v>8</v>
      </c>
      <c r="D252" s="72" t="s">
        <v>262</v>
      </c>
      <c r="E252" s="79">
        <v>41480400000</v>
      </c>
      <c r="F252" s="79">
        <v>21842450000</v>
      </c>
      <c r="G252" s="79">
        <v>21954800000</v>
      </c>
      <c r="H252" s="79">
        <v>638712</v>
      </c>
      <c r="I252" s="79">
        <v>7</v>
      </c>
      <c r="J252" s="79">
        <v>21954.799999999999</v>
      </c>
      <c r="K252" s="79">
        <v>138916</v>
      </c>
      <c r="L252" s="79">
        <v>97147</v>
      </c>
      <c r="M252" s="79">
        <v>30274</v>
      </c>
      <c r="N252" s="79">
        <v>121930</v>
      </c>
      <c r="O252" s="79">
        <v>90056.8</v>
      </c>
      <c r="P252" s="79">
        <v>38465</v>
      </c>
      <c r="Q252" s="79">
        <v>67527</v>
      </c>
      <c r="R252" s="79">
        <v>176965</v>
      </c>
      <c r="S252" s="79">
        <v>49222.6</v>
      </c>
      <c r="T252" s="79">
        <v>33970</v>
      </c>
      <c r="U252" s="79">
        <v>330938</v>
      </c>
      <c r="V252" s="79">
        <v>724340</v>
      </c>
      <c r="W252" s="79">
        <v>1423420</v>
      </c>
      <c r="X252" s="79">
        <v>19582.148799999999</v>
      </c>
      <c r="Y252" s="79">
        <v>25759.200000000001</v>
      </c>
      <c r="Z252" s="79">
        <v>4891.8999999999996</v>
      </c>
      <c r="AA252" s="79">
        <v>0</v>
      </c>
      <c r="AB252" s="79">
        <v>0</v>
      </c>
      <c r="AC252" s="79">
        <v>21901</v>
      </c>
      <c r="AD252" s="79">
        <v>25624.17</v>
      </c>
      <c r="AE252" s="79">
        <v>7564</v>
      </c>
      <c r="AF252" s="79">
        <v>2951</v>
      </c>
      <c r="AG252" s="79">
        <v>2299</v>
      </c>
      <c r="AH252" s="79">
        <v>2463.12</v>
      </c>
      <c r="AI252" s="79">
        <v>462.24</v>
      </c>
      <c r="AJ252" s="79">
        <v>318732</v>
      </c>
      <c r="AK252" s="79">
        <v>420726.24</v>
      </c>
      <c r="AL252" s="79">
        <v>25</v>
      </c>
      <c r="AM252" s="79">
        <v>0</v>
      </c>
      <c r="AN252" s="79">
        <v>0</v>
      </c>
      <c r="AO252" s="79">
        <v>12900</v>
      </c>
      <c r="AP252" s="79">
        <v>152086</v>
      </c>
      <c r="AQ252" s="79">
        <v>143539</v>
      </c>
      <c r="AR252" s="80">
        <v>0.17663910499999999</v>
      </c>
      <c r="AS252" s="80">
        <v>0.18705828599999999</v>
      </c>
      <c r="AT252" s="79">
        <v>1256122.8119999999</v>
      </c>
      <c r="AU252" s="79">
        <v>172434.01199999999</v>
      </c>
      <c r="AV252" s="79">
        <v>14844.96</v>
      </c>
      <c r="AW252" s="79">
        <v>636029.69140064495</v>
      </c>
      <c r="AX252" s="79">
        <v>10</v>
      </c>
      <c r="AY252" s="79">
        <v>10.7</v>
      </c>
      <c r="AZ252" s="79">
        <v>68201</v>
      </c>
      <c r="BA252" s="79">
        <v>1</v>
      </c>
      <c r="BB252" s="79">
        <v>0</v>
      </c>
      <c r="BC252" s="79">
        <v>1</v>
      </c>
      <c r="BD252" s="79">
        <v>0</v>
      </c>
      <c r="BE252" s="79">
        <v>0</v>
      </c>
      <c r="BF252" s="79">
        <v>0</v>
      </c>
      <c r="BG252" s="79">
        <v>0</v>
      </c>
      <c r="BH252" s="79">
        <v>0</v>
      </c>
      <c r="BI252" s="79">
        <v>0</v>
      </c>
      <c r="BJ252" s="79">
        <v>0</v>
      </c>
      <c r="BK252" s="79">
        <v>240</v>
      </c>
      <c r="BL252" s="79">
        <v>154323</v>
      </c>
      <c r="BM252" s="79">
        <v>1866</v>
      </c>
      <c r="BN252" s="79">
        <v>432</v>
      </c>
      <c r="BO252">
        <v>134899</v>
      </c>
      <c r="BP252">
        <v>31062</v>
      </c>
      <c r="BQ252">
        <v>119229</v>
      </c>
      <c r="BR252">
        <v>30412</v>
      </c>
      <c r="BS252">
        <v>119522</v>
      </c>
      <c r="BT252">
        <v>30657</v>
      </c>
      <c r="BU252">
        <v>119962</v>
      </c>
      <c r="BV252">
        <v>31300</v>
      </c>
      <c r="BW252">
        <v>120646</v>
      </c>
      <c r="BX252">
        <v>31859</v>
      </c>
      <c r="BY252">
        <v>120838</v>
      </c>
      <c r="BZ252">
        <v>32241</v>
      </c>
      <c r="CA252">
        <v>122969</v>
      </c>
      <c r="CB252">
        <v>34577.842583843099</v>
      </c>
      <c r="CC252">
        <v>3159.8644598441902</v>
      </c>
      <c r="CD252">
        <v>5679.3546785121198</v>
      </c>
      <c r="CE252">
        <v>173419.78966475799</v>
      </c>
      <c r="CF252">
        <v>36626.680333269302</v>
      </c>
      <c r="CG252">
        <v>3586.4857686082601</v>
      </c>
      <c r="CH252">
        <v>13539</v>
      </c>
      <c r="CI252">
        <v>12606.021217822499</v>
      </c>
      <c r="CJ252">
        <v>12116.3201984323</v>
      </c>
      <c r="CK252" s="81">
        <v>29062</v>
      </c>
      <c r="CL252">
        <v>8594</v>
      </c>
      <c r="CM252">
        <v>83788.842176472303</v>
      </c>
      <c r="CN252">
        <v>115.236560658562</v>
      </c>
      <c r="CO252">
        <v>541565</v>
      </c>
      <c r="CP252">
        <v>53778</v>
      </c>
      <c r="CQ252">
        <v>13095</v>
      </c>
      <c r="CR252">
        <v>18819</v>
      </c>
      <c r="CS252">
        <v>13406</v>
      </c>
      <c r="CT252">
        <v>7384</v>
      </c>
      <c r="CU252">
        <v>10650.086011720699</v>
      </c>
      <c r="CV252">
        <v>6413.5596100084304</v>
      </c>
      <c r="CW252">
        <v>2740.9992412305301</v>
      </c>
      <c r="CX252">
        <v>21043.9817331495</v>
      </c>
      <c r="CY252">
        <v>12672.8395553753</v>
      </c>
      <c r="CZ252">
        <v>5416.0631096830602</v>
      </c>
      <c r="DA252">
        <v>647620.69999999995</v>
      </c>
      <c r="DE252">
        <v>798</v>
      </c>
      <c r="DF252" t="s">
        <v>151</v>
      </c>
      <c r="DG252">
        <v>3526</v>
      </c>
      <c r="DH252">
        <v>3427</v>
      </c>
      <c r="DI252">
        <v>3379</v>
      </c>
      <c r="DJ252">
        <v>3295</v>
      </c>
      <c r="DK252">
        <v>3209</v>
      </c>
      <c r="DO252">
        <v>599</v>
      </c>
      <c r="DP252" t="s">
        <v>262</v>
      </c>
      <c r="DQ252">
        <v>318732</v>
      </c>
      <c r="DR252">
        <v>1.32</v>
      </c>
      <c r="DS252">
        <v>3941</v>
      </c>
      <c r="DV252">
        <v>1509</v>
      </c>
      <c r="DW252" t="s">
        <v>239</v>
      </c>
      <c r="DX252">
        <v>5768.34072366087</v>
      </c>
      <c r="DY252">
        <v>963</v>
      </c>
      <c r="DZ252">
        <v>935</v>
      </c>
      <c r="EA252">
        <v>478</v>
      </c>
      <c r="EB252">
        <v>3121</v>
      </c>
      <c r="EC252">
        <v>1939</v>
      </c>
      <c r="ED252">
        <v>667</v>
      </c>
      <c r="EE252" s="82">
        <v>0.22877405093535899</v>
      </c>
      <c r="EF252" s="82">
        <v>0.53000245735465801</v>
      </c>
    </row>
    <row r="253" spans="1:136" x14ac:dyDescent="0.35">
      <c r="A253" s="72">
        <v>606</v>
      </c>
      <c r="B253" s="72">
        <v>8</v>
      </c>
      <c r="D253" s="72" t="s">
        <v>267</v>
      </c>
      <c r="E253" s="79">
        <v>4551200000</v>
      </c>
      <c r="F253" s="79">
        <v>1100750000</v>
      </c>
      <c r="G253" s="79">
        <v>1120350000</v>
      </c>
      <c r="H253" s="79">
        <v>77907</v>
      </c>
      <c r="I253" s="79">
        <v>1</v>
      </c>
      <c r="J253" s="79">
        <v>1120.3499999999999</v>
      </c>
      <c r="K253" s="79">
        <v>16961</v>
      </c>
      <c r="L253" s="79">
        <v>13382</v>
      </c>
      <c r="M253" s="79">
        <v>3977</v>
      </c>
      <c r="N253" s="79">
        <v>13503</v>
      </c>
      <c r="O253" s="79">
        <v>9772.2000000000007</v>
      </c>
      <c r="P253" s="79">
        <v>2746.3333333333298</v>
      </c>
      <c r="Q253" s="79">
        <v>6474.3333333333303</v>
      </c>
      <c r="R253" s="79">
        <v>16325</v>
      </c>
      <c r="S253" s="79">
        <v>743.599999999999</v>
      </c>
      <c r="T253" s="79">
        <v>3783</v>
      </c>
      <c r="U253" s="79">
        <v>37804</v>
      </c>
      <c r="V253" s="79">
        <v>76980</v>
      </c>
      <c r="W253" s="79">
        <v>51580</v>
      </c>
      <c r="X253" s="79">
        <v>1629.6</v>
      </c>
      <c r="Y253" s="79">
        <v>3440.8</v>
      </c>
      <c r="Z253" s="79">
        <v>347.3</v>
      </c>
      <c r="AA253" s="79">
        <v>0</v>
      </c>
      <c r="AB253" s="79">
        <v>532.4</v>
      </c>
      <c r="AC253" s="79">
        <v>1787</v>
      </c>
      <c r="AD253" s="79">
        <v>2448.19</v>
      </c>
      <c r="AE253" s="79">
        <v>199</v>
      </c>
      <c r="AF253" s="79">
        <v>0</v>
      </c>
      <c r="AG253" s="79">
        <v>278</v>
      </c>
      <c r="AH253" s="79">
        <v>357.42</v>
      </c>
      <c r="AI253" s="79">
        <v>24.3</v>
      </c>
      <c r="AJ253" s="79">
        <v>37308</v>
      </c>
      <c r="AK253" s="79">
        <v>51485.04</v>
      </c>
      <c r="AL253" s="79">
        <v>33</v>
      </c>
      <c r="AM253" s="79">
        <v>0</v>
      </c>
      <c r="AN253" s="79">
        <v>0</v>
      </c>
      <c r="AO253" s="79">
        <v>6850</v>
      </c>
      <c r="AP253" s="79">
        <v>13298</v>
      </c>
      <c r="AQ253" s="79">
        <v>13298</v>
      </c>
      <c r="AR253" s="80">
        <v>1.3840837E-2</v>
      </c>
      <c r="AS253" s="80">
        <v>1.9156579E-2</v>
      </c>
      <c r="AT253" s="79">
        <v>122407.548</v>
      </c>
      <c r="AU253" s="79">
        <v>0</v>
      </c>
      <c r="AV253" s="79">
        <v>2167.34</v>
      </c>
      <c r="AW253" s="79">
        <v>223568.76858005999</v>
      </c>
      <c r="AX253" s="79">
        <v>2</v>
      </c>
      <c r="AY253" s="79">
        <v>2.7</v>
      </c>
      <c r="AZ253" s="79">
        <v>6799</v>
      </c>
      <c r="BA253" s="79">
        <v>1</v>
      </c>
      <c r="BB253" s="79">
        <v>0</v>
      </c>
      <c r="BC253" s="79">
        <v>0</v>
      </c>
      <c r="BD253" s="79">
        <v>0</v>
      </c>
      <c r="BE253" s="79">
        <v>0</v>
      </c>
      <c r="BF253" s="79">
        <v>0</v>
      </c>
      <c r="BG253" s="79">
        <v>0</v>
      </c>
      <c r="BH253" s="79">
        <v>0</v>
      </c>
      <c r="BI253" s="79">
        <v>0</v>
      </c>
      <c r="BJ253" s="79">
        <v>0</v>
      </c>
      <c r="BK253" s="79">
        <v>35</v>
      </c>
      <c r="BL253" s="79">
        <v>15175</v>
      </c>
      <c r="BM253" s="79">
        <v>259</v>
      </c>
      <c r="BN253" s="79">
        <v>18</v>
      </c>
      <c r="BO253">
        <v>17199</v>
      </c>
      <c r="BP253">
        <v>3426</v>
      </c>
      <c r="BQ253">
        <v>15330</v>
      </c>
      <c r="BR253">
        <v>3276</v>
      </c>
      <c r="BS253">
        <v>15265</v>
      </c>
      <c r="BT253">
        <v>3149</v>
      </c>
      <c r="BU253">
        <v>15231</v>
      </c>
      <c r="BV253">
        <v>3245</v>
      </c>
      <c r="BW253">
        <v>15292</v>
      </c>
      <c r="BX253">
        <v>3312</v>
      </c>
      <c r="BY253">
        <v>15175</v>
      </c>
      <c r="BZ253">
        <v>3436</v>
      </c>
      <c r="CA253">
        <v>15126</v>
      </c>
      <c r="CB253">
        <v>3238.3118122065598</v>
      </c>
      <c r="CC253">
        <v>453.72060023940799</v>
      </c>
      <c r="CD253">
        <v>781.297723054362</v>
      </c>
      <c r="CE253">
        <v>21160.2984665843</v>
      </c>
      <c r="CF253">
        <v>4834.1550070146704</v>
      </c>
      <c r="CG253">
        <v>451.18260606060602</v>
      </c>
      <c r="CH253">
        <v>1452</v>
      </c>
      <c r="CI253">
        <v>982.86730046282798</v>
      </c>
      <c r="CJ253">
        <v>940.45689658733795</v>
      </c>
      <c r="CK253" s="81">
        <v>3728</v>
      </c>
      <c r="CL253">
        <v>986</v>
      </c>
      <c r="CM253">
        <v>11274.6709716242</v>
      </c>
      <c r="CN253">
        <v>7.2711868272911699</v>
      </c>
      <c r="CO253">
        <v>64525</v>
      </c>
      <c r="CP253">
        <v>7622</v>
      </c>
      <c r="CQ253">
        <v>1783</v>
      </c>
      <c r="CR253">
        <v>2208</v>
      </c>
      <c r="CS253">
        <v>1680</v>
      </c>
      <c r="CT253">
        <v>939</v>
      </c>
      <c r="CU253">
        <v>1337.2044252661301</v>
      </c>
      <c r="CV253">
        <v>770.88983811130504</v>
      </c>
      <c r="CW253">
        <v>323.23413531408403</v>
      </c>
      <c r="CX253">
        <v>2801.1328918915501</v>
      </c>
      <c r="CY253">
        <v>1614.8352793020299</v>
      </c>
      <c r="CZ253">
        <v>677.10048748172005</v>
      </c>
      <c r="DA253">
        <v>66793.7</v>
      </c>
      <c r="DE253">
        <v>809</v>
      </c>
      <c r="DF253" t="s">
        <v>188</v>
      </c>
      <c r="DG253">
        <v>4913</v>
      </c>
      <c r="DH253">
        <v>4857</v>
      </c>
      <c r="DI253">
        <v>4747</v>
      </c>
      <c r="DJ253">
        <v>4672</v>
      </c>
      <c r="DK253">
        <v>4594</v>
      </c>
      <c r="DO253">
        <v>606</v>
      </c>
      <c r="DP253" t="s">
        <v>267</v>
      </c>
      <c r="DQ253">
        <v>37308</v>
      </c>
      <c r="DR253">
        <v>1.38</v>
      </c>
      <c r="DS253">
        <v>3281</v>
      </c>
      <c r="DV253">
        <v>437</v>
      </c>
      <c r="DW253" t="s">
        <v>240</v>
      </c>
      <c r="DX253">
        <v>1519.4203971726699</v>
      </c>
      <c r="DY253">
        <v>456</v>
      </c>
      <c r="DZ253">
        <v>298</v>
      </c>
      <c r="EA253">
        <v>198</v>
      </c>
      <c r="EB253">
        <v>1094</v>
      </c>
      <c r="EC253">
        <v>564</v>
      </c>
      <c r="ED253">
        <v>264</v>
      </c>
      <c r="EE253" s="82">
        <v>0.156269252348232</v>
      </c>
      <c r="EF253" s="82">
        <v>0.25571611897887198</v>
      </c>
    </row>
    <row r="254" spans="1:136" x14ac:dyDescent="0.35">
      <c r="A254" s="72">
        <v>518</v>
      </c>
      <c r="B254" s="72">
        <v>8</v>
      </c>
      <c r="D254" s="72" t="s">
        <v>270</v>
      </c>
      <c r="E254" s="79">
        <v>43299200000</v>
      </c>
      <c r="F254" s="79">
        <v>9108050000</v>
      </c>
      <c r="G254" s="79">
        <v>9223550000</v>
      </c>
      <c r="H254" s="79">
        <v>532561</v>
      </c>
      <c r="I254" s="79">
        <v>3</v>
      </c>
      <c r="J254" s="79">
        <v>9223.5499999999993</v>
      </c>
      <c r="K254" s="79">
        <v>122564</v>
      </c>
      <c r="L254" s="79">
        <v>76410</v>
      </c>
      <c r="M254" s="79">
        <v>22232</v>
      </c>
      <c r="N254" s="79">
        <v>89169</v>
      </c>
      <c r="O254" s="79">
        <v>62944.1</v>
      </c>
      <c r="P254" s="79">
        <v>26344.666666666701</v>
      </c>
      <c r="Q254" s="79">
        <v>52385.666666666701</v>
      </c>
      <c r="R254" s="79">
        <v>137165</v>
      </c>
      <c r="S254" s="79">
        <v>30652.799999999999</v>
      </c>
      <c r="T254" s="79">
        <v>24547</v>
      </c>
      <c r="U254" s="79">
        <v>269060</v>
      </c>
      <c r="V254" s="79">
        <v>593380</v>
      </c>
      <c r="W254" s="79">
        <v>983980</v>
      </c>
      <c r="X254" s="79">
        <v>11040.46</v>
      </c>
      <c r="Y254" s="79">
        <v>19953.599999999999</v>
      </c>
      <c r="Z254" s="79">
        <v>3337.5</v>
      </c>
      <c r="AA254" s="79">
        <v>1618.99999999999</v>
      </c>
      <c r="AB254" s="79">
        <v>2075.1999999999998</v>
      </c>
      <c r="AC254" s="79">
        <v>8259</v>
      </c>
      <c r="AD254" s="79">
        <v>8424.18</v>
      </c>
      <c r="AE254" s="79">
        <v>354</v>
      </c>
      <c r="AF254" s="79">
        <v>1200</v>
      </c>
      <c r="AG254" s="79">
        <v>1541</v>
      </c>
      <c r="AH254" s="79">
        <v>1544.28</v>
      </c>
      <c r="AI254" s="79">
        <v>27</v>
      </c>
      <c r="AJ254" s="79">
        <v>262249</v>
      </c>
      <c r="AK254" s="79">
        <v>267493.98</v>
      </c>
      <c r="AL254" s="79">
        <v>0</v>
      </c>
      <c r="AM254" s="79">
        <v>0</v>
      </c>
      <c r="AN254" s="79">
        <v>130</v>
      </c>
      <c r="AO254" s="79">
        <v>9850</v>
      </c>
      <c r="AP254" s="79">
        <v>130270</v>
      </c>
      <c r="AQ254" s="79">
        <v>116262</v>
      </c>
      <c r="AR254" s="80">
        <v>0.11285255199999999</v>
      </c>
      <c r="AS254" s="80">
        <v>0.10392003900000001</v>
      </c>
      <c r="AT254" s="79">
        <v>1273481.1440000001</v>
      </c>
      <c r="AU254" s="79">
        <v>381834.54399999999</v>
      </c>
      <c r="AV254" s="79">
        <v>6037.38</v>
      </c>
      <c r="AW254" s="79">
        <v>396135.60360153299</v>
      </c>
      <c r="AX254" s="79">
        <v>3</v>
      </c>
      <c r="AY254" s="79">
        <v>3</v>
      </c>
      <c r="AZ254" s="79">
        <v>61581</v>
      </c>
      <c r="BA254" s="79">
        <v>1</v>
      </c>
      <c r="BB254" s="79">
        <v>0</v>
      </c>
      <c r="BC254" s="79">
        <v>0</v>
      </c>
      <c r="BD254" s="79">
        <v>1</v>
      </c>
      <c r="BE254" s="79">
        <v>0</v>
      </c>
      <c r="BF254" s="79">
        <v>0</v>
      </c>
      <c r="BG254" s="79">
        <v>0</v>
      </c>
      <c r="BH254" s="79">
        <v>0</v>
      </c>
      <c r="BI254" s="79">
        <v>0</v>
      </c>
      <c r="BJ254" s="79">
        <v>0</v>
      </c>
      <c r="BK254" s="79">
        <v>821</v>
      </c>
      <c r="BL254" s="79">
        <v>124124</v>
      </c>
      <c r="BM254" s="79">
        <v>1514</v>
      </c>
      <c r="BN254" s="79">
        <v>27</v>
      </c>
      <c r="BO254">
        <v>109950</v>
      </c>
      <c r="BP254">
        <v>20788</v>
      </c>
      <c r="BQ254">
        <v>99550</v>
      </c>
      <c r="BR254">
        <v>20811</v>
      </c>
      <c r="BS254">
        <v>100716</v>
      </c>
      <c r="BT254">
        <v>20944</v>
      </c>
      <c r="BU254">
        <v>102336</v>
      </c>
      <c r="BV254">
        <v>22119</v>
      </c>
      <c r="BW254">
        <v>103959</v>
      </c>
      <c r="BX254">
        <v>22625</v>
      </c>
      <c r="BY254">
        <v>104864</v>
      </c>
      <c r="BZ254">
        <v>22853</v>
      </c>
      <c r="CA254">
        <v>109831</v>
      </c>
      <c r="CB254">
        <v>25867.436829316899</v>
      </c>
      <c r="CC254">
        <v>1819.2831764606401</v>
      </c>
      <c r="CD254">
        <v>4406.6318010805198</v>
      </c>
      <c r="CE254">
        <v>156320.158994453</v>
      </c>
      <c r="CF254">
        <v>36285.182567277101</v>
      </c>
      <c r="CG254">
        <v>4322.1975578234697</v>
      </c>
      <c r="CH254">
        <v>9250</v>
      </c>
      <c r="CI254">
        <v>7938.9713739009303</v>
      </c>
      <c r="CJ254">
        <v>7230.6271091071803</v>
      </c>
      <c r="CK254" s="81">
        <v>26041</v>
      </c>
      <c r="CL254">
        <v>6357</v>
      </c>
      <c r="CM254">
        <v>65193.5664300715</v>
      </c>
      <c r="CN254">
        <v>75.191336274322197</v>
      </c>
      <c r="CO254">
        <v>456151</v>
      </c>
      <c r="CP254">
        <v>44401</v>
      </c>
      <c r="CQ254">
        <v>9777</v>
      </c>
      <c r="CR254">
        <v>15965</v>
      </c>
      <c r="CS254">
        <v>10143</v>
      </c>
      <c r="CT254">
        <v>5196</v>
      </c>
      <c r="CU254">
        <v>7537.6715929060701</v>
      </c>
      <c r="CV254">
        <v>4036.8125623654601</v>
      </c>
      <c r="CW254">
        <v>1627.5418268268099</v>
      </c>
      <c r="CX254">
        <v>15528.102410318599</v>
      </c>
      <c r="CY254">
        <v>8316.1010806925005</v>
      </c>
      <c r="CZ254">
        <v>3352.8438925129799</v>
      </c>
      <c r="DA254">
        <v>547158.30000000005</v>
      </c>
      <c r="DE254">
        <v>815</v>
      </c>
      <c r="DF254" t="s">
        <v>204</v>
      </c>
      <c r="DG254">
        <v>2486</v>
      </c>
      <c r="DH254">
        <v>2458</v>
      </c>
      <c r="DI254">
        <v>2404</v>
      </c>
      <c r="DJ254">
        <v>2352</v>
      </c>
      <c r="DK254">
        <v>2253</v>
      </c>
      <c r="DO254">
        <v>518</v>
      </c>
      <c r="DP254" t="s">
        <v>270</v>
      </c>
      <c r="DQ254">
        <v>262249</v>
      </c>
      <c r="DR254">
        <v>1.02</v>
      </c>
      <c r="DS254">
        <v>4856</v>
      </c>
      <c r="DV254">
        <v>589</v>
      </c>
      <c r="DW254" t="s">
        <v>241</v>
      </c>
      <c r="DX254">
        <v>1145.5446768060799</v>
      </c>
      <c r="DY254">
        <v>254</v>
      </c>
      <c r="DZ254">
        <v>231</v>
      </c>
      <c r="EA254">
        <v>82</v>
      </c>
      <c r="EB254">
        <v>743</v>
      </c>
      <c r="EC254">
        <v>463</v>
      </c>
      <c r="ED254">
        <v>123</v>
      </c>
      <c r="EE254" s="82">
        <v>0.16480459473094899</v>
      </c>
      <c r="EF254" s="82">
        <v>0.34682182854538701</v>
      </c>
    </row>
    <row r="255" spans="1:136" x14ac:dyDescent="0.35">
      <c r="A255" s="72">
        <v>610</v>
      </c>
      <c r="B255" s="72">
        <v>8</v>
      </c>
      <c r="D255" s="72" t="s">
        <v>276</v>
      </c>
      <c r="E255" s="79">
        <v>1598400000</v>
      </c>
      <c r="F255" s="79">
        <v>432950000</v>
      </c>
      <c r="G255" s="79">
        <v>446950000</v>
      </c>
      <c r="H255" s="79">
        <v>25020</v>
      </c>
      <c r="I255" s="79">
        <v>1</v>
      </c>
      <c r="J255" s="79">
        <v>446.95</v>
      </c>
      <c r="K255" s="79">
        <v>6100</v>
      </c>
      <c r="L255" s="79">
        <v>4902</v>
      </c>
      <c r="M255" s="79">
        <v>1580</v>
      </c>
      <c r="N255" s="79">
        <v>3326</v>
      </c>
      <c r="O255" s="79">
        <v>2181.3000000000002</v>
      </c>
      <c r="P255" s="79">
        <v>484.66666666666703</v>
      </c>
      <c r="Q255" s="79">
        <v>2130.6666666666702</v>
      </c>
      <c r="R255" s="79">
        <v>1340</v>
      </c>
      <c r="S255" s="79">
        <v>0</v>
      </c>
      <c r="T255" s="79">
        <v>657</v>
      </c>
      <c r="U255" s="79">
        <v>11218</v>
      </c>
      <c r="V255" s="79">
        <v>24560</v>
      </c>
      <c r="W255" s="79">
        <v>9400</v>
      </c>
      <c r="X255" s="79">
        <v>970.48</v>
      </c>
      <c r="Y255" s="79">
        <v>277.60000000000002</v>
      </c>
      <c r="Z255" s="79">
        <v>0</v>
      </c>
      <c r="AA255" s="79">
        <v>0</v>
      </c>
      <c r="AB255" s="79">
        <v>0</v>
      </c>
      <c r="AC255" s="79">
        <v>1282</v>
      </c>
      <c r="AD255" s="79">
        <v>1987.1</v>
      </c>
      <c r="AE255" s="79">
        <v>119</v>
      </c>
      <c r="AF255" s="79">
        <v>0</v>
      </c>
      <c r="AG255" s="79">
        <v>119</v>
      </c>
      <c r="AH255" s="79">
        <v>161.59</v>
      </c>
      <c r="AI255" s="79">
        <v>8.35</v>
      </c>
      <c r="AJ255" s="79">
        <v>11447</v>
      </c>
      <c r="AK255" s="79">
        <v>16369.21</v>
      </c>
      <c r="AL255" s="79">
        <v>0</v>
      </c>
      <c r="AM255" s="79">
        <v>0</v>
      </c>
      <c r="AN255" s="79">
        <v>0</v>
      </c>
      <c r="AO255" s="79">
        <v>0</v>
      </c>
      <c r="AP255" s="79">
        <v>3255</v>
      </c>
      <c r="AQ255" s="79">
        <v>0</v>
      </c>
      <c r="AR255" s="80">
        <v>6.9931099999999999E-4</v>
      </c>
      <c r="AS255" s="80">
        <v>1.142985E-3</v>
      </c>
      <c r="AT255" s="79">
        <v>18670.057000000001</v>
      </c>
      <c r="AU255" s="79">
        <v>0</v>
      </c>
      <c r="AV255" s="79">
        <v>1112.9000000000001</v>
      </c>
      <c r="AW255" s="79">
        <v>51929.447537473199</v>
      </c>
      <c r="AX255" s="79">
        <v>1</v>
      </c>
      <c r="AY255" s="79">
        <v>1.67</v>
      </c>
      <c r="AZ255" s="79">
        <v>2136</v>
      </c>
      <c r="BA255" s="79">
        <v>1</v>
      </c>
      <c r="BB255" s="79">
        <v>0</v>
      </c>
      <c r="BC255" s="79">
        <v>0</v>
      </c>
      <c r="BD255" s="79">
        <v>0</v>
      </c>
      <c r="BE255" s="79">
        <v>0</v>
      </c>
      <c r="BF255" s="79">
        <v>0</v>
      </c>
      <c r="BG255" s="79">
        <v>0</v>
      </c>
      <c r="BH255" s="79">
        <v>0</v>
      </c>
      <c r="BI255" s="79">
        <v>0</v>
      </c>
      <c r="BJ255" s="79">
        <v>0</v>
      </c>
      <c r="BK255" s="79">
        <v>26</v>
      </c>
      <c r="BL255" s="79">
        <v>3409</v>
      </c>
      <c r="BM255" s="79">
        <v>113</v>
      </c>
      <c r="BN255" s="79">
        <v>5</v>
      </c>
      <c r="BO255">
        <v>5900</v>
      </c>
      <c r="BP255">
        <v>476</v>
      </c>
      <c r="BQ255">
        <v>5322</v>
      </c>
      <c r="BR255">
        <v>456</v>
      </c>
      <c r="BS255">
        <v>5322</v>
      </c>
      <c r="BT255">
        <v>443</v>
      </c>
      <c r="BU255">
        <v>5260</v>
      </c>
      <c r="BV255">
        <v>417</v>
      </c>
      <c r="BW255">
        <v>5336</v>
      </c>
      <c r="BX255">
        <v>381</v>
      </c>
      <c r="BY255">
        <v>5347</v>
      </c>
      <c r="BZ255">
        <v>322</v>
      </c>
      <c r="CA255">
        <v>5497</v>
      </c>
      <c r="CB255">
        <v>562.97654492390802</v>
      </c>
      <c r="CC255">
        <v>125.858994526386</v>
      </c>
      <c r="CD255">
        <v>91.741954348696098</v>
      </c>
      <c r="CE255">
        <v>6435.1880646210202</v>
      </c>
      <c r="CF255">
        <v>1748.83049584779</v>
      </c>
      <c r="CG255">
        <v>341.19210052910103</v>
      </c>
      <c r="CH255">
        <v>289</v>
      </c>
      <c r="CI255">
        <v>157.314902303461</v>
      </c>
      <c r="CJ255">
        <v>138.70941024732201</v>
      </c>
      <c r="CK255" s="81">
        <v>1646</v>
      </c>
      <c r="CL255">
        <v>769</v>
      </c>
      <c r="CM255">
        <v>3950.0495354053201</v>
      </c>
      <c r="CN255">
        <v>1.09724887690824</v>
      </c>
      <c r="CO255">
        <v>20118</v>
      </c>
      <c r="CP255">
        <v>2609</v>
      </c>
      <c r="CQ255">
        <v>713</v>
      </c>
      <c r="CR255">
        <v>523</v>
      </c>
      <c r="CS255">
        <v>559</v>
      </c>
      <c r="CT255">
        <v>349</v>
      </c>
      <c r="CU255">
        <v>304.49912233617101</v>
      </c>
      <c r="CV255">
        <v>210.36735360396301</v>
      </c>
      <c r="CW255">
        <v>92.416817480001995</v>
      </c>
      <c r="CX255">
        <v>769.772043944693</v>
      </c>
      <c r="CY255">
        <v>531.80746965891205</v>
      </c>
      <c r="CZ255">
        <v>233.62918730486601</v>
      </c>
      <c r="DA255">
        <v>220816.2</v>
      </c>
      <c r="DE255">
        <v>820</v>
      </c>
      <c r="DF255" t="s">
        <v>222</v>
      </c>
      <c r="DG255">
        <v>4938</v>
      </c>
      <c r="DH255">
        <v>4750</v>
      </c>
      <c r="DI255">
        <v>4647</v>
      </c>
      <c r="DJ255">
        <v>4559</v>
      </c>
      <c r="DK255">
        <v>4481</v>
      </c>
      <c r="DO255">
        <v>610</v>
      </c>
      <c r="DP255" t="s">
        <v>276</v>
      </c>
      <c r="DQ255">
        <v>11447</v>
      </c>
      <c r="DR255">
        <v>1.43</v>
      </c>
      <c r="DS255">
        <v>1631</v>
      </c>
      <c r="DV255">
        <v>1734</v>
      </c>
      <c r="DW255" t="s">
        <v>242</v>
      </c>
      <c r="DX255">
        <v>4804.0912533720702</v>
      </c>
      <c r="DY255">
        <v>995</v>
      </c>
      <c r="DZ255">
        <v>837</v>
      </c>
      <c r="EA255">
        <v>344</v>
      </c>
      <c r="EB255">
        <v>3273</v>
      </c>
      <c r="EC255">
        <v>1863</v>
      </c>
      <c r="ED255">
        <v>528</v>
      </c>
      <c r="EE255" s="82">
        <v>0.14468224780340599</v>
      </c>
      <c r="EF255" s="82">
        <v>0.42241600566415499</v>
      </c>
    </row>
    <row r="256" spans="1:136" x14ac:dyDescent="0.35">
      <c r="A256" s="72">
        <v>617</v>
      </c>
      <c r="B256" s="72">
        <v>8</v>
      </c>
      <c r="D256" s="72" t="s">
        <v>820</v>
      </c>
      <c r="E256" s="79">
        <v>678000000</v>
      </c>
      <c r="F256" s="79">
        <v>120400000</v>
      </c>
      <c r="G256" s="79">
        <v>128100000</v>
      </c>
      <c r="H256" s="79">
        <v>8793</v>
      </c>
      <c r="I256" s="79">
        <v>1</v>
      </c>
      <c r="J256" s="79">
        <v>128.1</v>
      </c>
      <c r="K256" s="79">
        <v>1730</v>
      </c>
      <c r="L256" s="79">
        <v>1912</v>
      </c>
      <c r="M256" s="79">
        <v>549</v>
      </c>
      <c r="N256" s="79">
        <v>1025</v>
      </c>
      <c r="O256" s="79">
        <v>628.6</v>
      </c>
      <c r="P256" s="79">
        <v>74.6666666666667</v>
      </c>
      <c r="Q256" s="79">
        <v>415.66666666666703</v>
      </c>
      <c r="R256" s="79">
        <v>165</v>
      </c>
      <c r="S256" s="79">
        <v>0</v>
      </c>
      <c r="T256" s="79">
        <v>248</v>
      </c>
      <c r="U256" s="79">
        <v>3916</v>
      </c>
      <c r="V256" s="79">
        <v>6540</v>
      </c>
      <c r="W256" s="79">
        <v>510</v>
      </c>
      <c r="X256" s="79">
        <v>0</v>
      </c>
      <c r="Y256" s="79">
        <v>0</v>
      </c>
      <c r="Z256" s="79">
        <v>0</v>
      </c>
      <c r="AA256" s="79">
        <v>0</v>
      </c>
      <c r="AB256" s="79">
        <v>0</v>
      </c>
      <c r="AC256" s="79">
        <v>5039</v>
      </c>
      <c r="AD256" s="79">
        <v>6853.04</v>
      </c>
      <c r="AE256" s="79">
        <v>731</v>
      </c>
      <c r="AF256" s="79">
        <v>0</v>
      </c>
      <c r="AG256" s="79">
        <v>78</v>
      </c>
      <c r="AH256" s="79">
        <v>80.08</v>
      </c>
      <c r="AI256" s="79">
        <v>29.7</v>
      </c>
      <c r="AJ256" s="79">
        <v>3964</v>
      </c>
      <c r="AK256" s="79">
        <v>5668.52</v>
      </c>
      <c r="AL256" s="79">
        <v>0</v>
      </c>
      <c r="AM256" s="79">
        <v>0</v>
      </c>
      <c r="AN256" s="79">
        <v>0</v>
      </c>
      <c r="AO256" s="79">
        <v>0</v>
      </c>
      <c r="AP256" s="79">
        <v>536</v>
      </c>
      <c r="AQ256" s="79">
        <v>0</v>
      </c>
      <c r="AR256" s="80">
        <v>1.58209E-4</v>
      </c>
      <c r="AS256" s="80">
        <v>7.5306E-5</v>
      </c>
      <c r="AT256" s="79">
        <v>2441.8240000000001</v>
      </c>
      <c r="AU256" s="79">
        <v>0</v>
      </c>
      <c r="AV256" s="79">
        <v>2261.6799999999998</v>
      </c>
      <c r="AW256" s="79">
        <v>8213.4239584055504</v>
      </c>
      <c r="AX256" s="79">
        <v>4</v>
      </c>
      <c r="AY256" s="79">
        <v>5.4</v>
      </c>
      <c r="AZ256" s="79">
        <v>1021</v>
      </c>
      <c r="BA256" s="79">
        <v>1</v>
      </c>
      <c r="BB256" s="79">
        <v>0</v>
      </c>
      <c r="BC256" s="79">
        <v>0</v>
      </c>
      <c r="BD256" s="79">
        <v>0</v>
      </c>
      <c r="BE256" s="79">
        <v>0</v>
      </c>
      <c r="BF256" s="79">
        <v>0</v>
      </c>
      <c r="BG256" s="79">
        <v>0</v>
      </c>
      <c r="BH256" s="79">
        <v>0</v>
      </c>
      <c r="BI256" s="79">
        <v>0</v>
      </c>
      <c r="BJ256" s="79">
        <v>0</v>
      </c>
      <c r="BK256" s="79">
        <v>5</v>
      </c>
      <c r="BL256" s="79">
        <v>1055</v>
      </c>
      <c r="BM256" s="79">
        <v>56</v>
      </c>
      <c r="BN256" s="79">
        <v>22</v>
      </c>
      <c r="BO256">
        <v>2188</v>
      </c>
      <c r="BP256">
        <v>0</v>
      </c>
      <c r="BQ256">
        <v>1918</v>
      </c>
      <c r="BR256">
        <v>0</v>
      </c>
      <c r="BS256">
        <v>1861</v>
      </c>
      <c r="BT256">
        <v>0</v>
      </c>
      <c r="BU256">
        <v>1816</v>
      </c>
      <c r="BV256">
        <v>0</v>
      </c>
      <c r="BW256">
        <v>1767</v>
      </c>
      <c r="BX256">
        <v>0</v>
      </c>
      <c r="BY256">
        <v>1686</v>
      </c>
      <c r="BZ256">
        <v>0</v>
      </c>
      <c r="CA256">
        <v>1514</v>
      </c>
      <c r="CB256">
        <v>89.616754572254905</v>
      </c>
      <c r="CC256">
        <v>26.844550545287198</v>
      </c>
      <c r="CD256">
        <v>15.8810350015116</v>
      </c>
      <c r="CE256">
        <v>2866.79994351696</v>
      </c>
      <c r="CF256">
        <v>580.97892046858203</v>
      </c>
      <c r="CG256">
        <v>56.730737631184397</v>
      </c>
      <c r="CH256">
        <v>102</v>
      </c>
      <c r="CI256">
        <v>22.9063578672422</v>
      </c>
      <c r="CJ256">
        <v>15.2544875719561</v>
      </c>
      <c r="CK256" s="81">
        <v>341</v>
      </c>
      <c r="CL256">
        <v>99</v>
      </c>
      <c r="CM256">
        <v>1335.1798357289499</v>
      </c>
      <c r="CN256">
        <v>4.3161267505706202E-2</v>
      </c>
      <c r="CO256">
        <v>6881</v>
      </c>
      <c r="CP256">
        <v>1181</v>
      </c>
      <c r="CQ256">
        <v>182</v>
      </c>
      <c r="CR256">
        <v>181</v>
      </c>
      <c r="CS256">
        <v>179</v>
      </c>
      <c r="CT256">
        <v>107</v>
      </c>
      <c r="CU256">
        <v>110.91812828424101</v>
      </c>
      <c r="CV256">
        <v>63.155100224789699</v>
      </c>
      <c r="CW256">
        <v>24.436898076928699</v>
      </c>
      <c r="CX256">
        <v>267.78016050500997</v>
      </c>
      <c r="CY256">
        <v>152.46996263375399</v>
      </c>
      <c r="CZ256">
        <v>58.995915189945102</v>
      </c>
      <c r="DA256">
        <v>0</v>
      </c>
      <c r="DE256">
        <v>823</v>
      </c>
      <c r="DF256" t="s">
        <v>225</v>
      </c>
      <c r="DG256">
        <v>4106</v>
      </c>
      <c r="DH256">
        <v>4008</v>
      </c>
      <c r="DI256">
        <v>3929</v>
      </c>
      <c r="DJ256">
        <v>3876</v>
      </c>
      <c r="DK256">
        <v>3805</v>
      </c>
      <c r="DO256">
        <v>617</v>
      </c>
      <c r="DP256" t="s">
        <v>820</v>
      </c>
      <c r="DQ256">
        <v>3964</v>
      </c>
      <c r="DR256">
        <v>1.43</v>
      </c>
      <c r="DS256">
        <v>616</v>
      </c>
      <c r="DV256">
        <v>590</v>
      </c>
      <c r="DW256" t="s">
        <v>243</v>
      </c>
      <c r="DX256">
        <v>3630.6749448516298</v>
      </c>
      <c r="DY256">
        <v>761</v>
      </c>
      <c r="DZ256">
        <v>796</v>
      </c>
      <c r="EA256">
        <v>386</v>
      </c>
      <c r="EB256">
        <v>2432</v>
      </c>
      <c r="EC256">
        <v>1648</v>
      </c>
      <c r="ED256">
        <v>573</v>
      </c>
      <c r="EE256" s="82">
        <v>0.15262141280626401</v>
      </c>
      <c r="EF256" s="82">
        <v>0.41136582378160802</v>
      </c>
    </row>
    <row r="257" spans="1:136" x14ac:dyDescent="0.35">
      <c r="A257" s="72">
        <v>1525</v>
      </c>
      <c r="B257" s="72">
        <v>8</v>
      </c>
      <c r="D257" s="72" t="s">
        <v>293</v>
      </c>
      <c r="E257" s="79">
        <v>3741600000</v>
      </c>
      <c r="F257" s="79">
        <v>514150000</v>
      </c>
      <c r="G257" s="79">
        <v>529200000</v>
      </c>
      <c r="H257" s="79">
        <v>36584</v>
      </c>
      <c r="I257" s="79">
        <v>2</v>
      </c>
      <c r="J257" s="79">
        <v>529.20000000000005</v>
      </c>
      <c r="K257" s="79">
        <v>8641</v>
      </c>
      <c r="L257" s="79">
        <v>6848</v>
      </c>
      <c r="M257" s="79">
        <v>2247</v>
      </c>
      <c r="N257" s="79">
        <v>3796</v>
      </c>
      <c r="O257" s="79">
        <v>2221.4</v>
      </c>
      <c r="P257" s="79">
        <v>282</v>
      </c>
      <c r="Q257" s="79">
        <v>1477</v>
      </c>
      <c r="R257" s="79">
        <v>1105</v>
      </c>
      <c r="S257" s="79">
        <v>0</v>
      </c>
      <c r="T257" s="79">
        <v>1008</v>
      </c>
      <c r="U257" s="79">
        <v>15978</v>
      </c>
      <c r="V257" s="79">
        <v>33970</v>
      </c>
      <c r="W257" s="79">
        <v>12660</v>
      </c>
      <c r="X257" s="79">
        <v>692</v>
      </c>
      <c r="Y257" s="79">
        <v>1828.8</v>
      </c>
      <c r="Z257" s="79">
        <v>0</v>
      </c>
      <c r="AA257" s="79">
        <v>0</v>
      </c>
      <c r="AB257" s="79">
        <v>109.1</v>
      </c>
      <c r="AC257" s="79">
        <v>2837</v>
      </c>
      <c r="AD257" s="79">
        <v>3035.59</v>
      </c>
      <c r="AE257" s="79">
        <v>511</v>
      </c>
      <c r="AF257" s="79">
        <v>0</v>
      </c>
      <c r="AG257" s="79">
        <v>212</v>
      </c>
      <c r="AH257" s="79">
        <v>194.48</v>
      </c>
      <c r="AI257" s="79">
        <v>26.4</v>
      </c>
      <c r="AJ257" s="79">
        <v>15746</v>
      </c>
      <c r="AK257" s="79">
        <v>16375.84</v>
      </c>
      <c r="AL257" s="79">
        <v>0</v>
      </c>
      <c r="AM257" s="79">
        <v>0</v>
      </c>
      <c r="AN257" s="79">
        <v>0</v>
      </c>
      <c r="AO257" s="79">
        <v>0</v>
      </c>
      <c r="AP257" s="79">
        <v>1524</v>
      </c>
      <c r="AQ257" s="79">
        <v>0</v>
      </c>
      <c r="AR257" s="80">
        <v>3.3695699999999998E-4</v>
      </c>
      <c r="AS257" s="80">
        <v>3.8505499999999998E-4</v>
      </c>
      <c r="AT257" s="79">
        <v>21635.004000000001</v>
      </c>
      <c r="AU257" s="79">
        <v>0</v>
      </c>
      <c r="AV257" s="79">
        <v>3035.59</v>
      </c>
      <c r="AW257" s="79">
        <v>49983.381720430101</v>
      </c>
      <c r="AX257" s="79">
        <v>7</v>
      </c>
      <c r="AY257" s="79">
        <v>7.7</v>
      </c>
      <c r="AZ257" s="79">
        <v>3849</v>
      </c>
      <c r="BA257" s="79">
        <v>1</v>
      </c>
      <c r="BB257" s="79">
        <v>0</v>
      </c>
      <c r="BC257" s="79">
        <v>0</v>
      </c>
      <c r="BD257" s="79">
        <v>0</v>
      </c>
      <c r="BE257" s="79">
        <v>0</v>
      </c>
      <c r="BF257" s="79">
        <v>0</v>
      </c>
      <c r="BG257" s="79">
        <v>0</v>
      </c>
      <c r="BH257" s="79">
        <v>0</v>
      </c>
      <c r="BI257" s="79">
        <v>0</v>
      </c>
      <c r="BJ257" s="79">
        <v>0</v>
      </c>
      <c r="BK257" s="79">
        <v>16</v>
      </c>
      <c r="BL257" s="79">
        <v>4695</v>
      </c>
      <c r="BM257" s="79">
        <v>187</v>
      </c>
      <c r="BN257" s="79">
        <v>24</v>
      </c>
      <c r="BO257">
        <v>9571</v>
      </c>
      <c r="BP257">
        <v>1979</v>
      </c>
      <c r="BQ257">
        <v>8608</v>
      </c>
      <c r="BR257">
        <v>2025</v>
      </c>
      <c r="BS257">
        <v>8523</v>
      </c>
      <c r="BT257">
        <v>1976</v>
      </c>
      <c r="BU257">
        <v>8437</v>
      </c>
      <c r="BV257">
        <v>2041</v>
      </c>
      <c r="BW257">
        <v>8300</v>
      </c>
      <c r="BX257">
        <v>1965</v>
      </c>
      <c r="BY257">
        <v>8231</v>
      </c>
      <c r="BZ257">
        <v>1980</v>
      </c>
      <c r="CA257">
        <v>7628</v>
      </c>
      <c r="CB257">
        <v>405.81193158446098</v>
      </c>
      <c r="CC257">
        <v>42.428110927495602</v>
      </c>
      <c r="CD257">
        <v>41.371472424748198</v>
      </c>
      <c r="CE257">
        <v>12646.9394131515</v>
      </c>
      <c r="CF257">
        <v>3506.0162489110398</v>
      </c>
      <c r="CG257">
        <v>245.598189258312</v>
      </c>
      <c r="CH257">
        <v>407</v>
      </c>
      <c r="CI257">
        <v>81.116653376211005</v>
      </c>
      <c r="CJ257">
        <v>66.339283161762495</v>
      </c>
      <c r="CK257" s="81">
        <v>1195</v>
      </c>
      <c r="CL257">
        <v>320</v>
      </c>
      <c r="CM257">
        <v>4135.99425096493</v>
      </c>
      <c r="CN257">
        <v>0.175620667467663</v>
      </c>
      <c r="CO257">
        <v>29736</v>
      </c>
      <c r="CP257">
        <v>3749</v>
      </c>
      <c r="CQ257">
        <v>852</v>
      </c>
      <c r="CR257">
        <v>763</v>
      </c>
      <c r="CS257">
        <v>685</v>
      </c>
      <c r="CT257">
        <v>405</v>
      </c>
      <c r="CU257">
        <v>326.31295160128298</v>
      </c>
      <c r="CV257">
        <v>211.89885573070799</v>
      </c>
      <c r="CW257">
        <v>83.800213251691403</v>
      </c>
      <c r="CX257">
        <v>697.785354722855</v>
      </c>
      <c r="CY257">
        <v>453.12304487407198</v>
      </c>
      <c r="CZ257">
        <v>179.19779537629799</v>
      </c>
      <c r="DA257">
        <v>46484.7</v>
      </c>
      <c r="DE257">
        <v>824</v>
      </c>
      <c r="DF257" t="s">
        <v>226</v>
      </c>
      <c r="DG257">
        <v>5588</v>
      </c>
      <c r="DH257">
        <v>5576</v>
      </c>
      <c r="DI257">
        <v>5371</v>
      </c>
      <c r="DJ257">
        <v>5354</v>
      </c>
      <c r="DK257">
        <v>5165</v>
      </c>
      <c r="DO257">
        <v>1525</v>
      </c>
      <c r="DP257" t="s">
        <v>293</v>
      </c>
      <c r="DQ257">
        <v>15746</v>
      </c>
      <c r="DR257">
        <v>1.04</v>
      </c>
      <c r="DS257">
        <v>1374</v>
      </c>
      <c r="DV257">
        <v>1894</v>
      </c>
      <c r="DW257" t="s">
        <v>244</v>
      </c>
      <c r="DX257">
        <v>5059.8658475286202</v>
      </c>
      <c r="DY257">
        <v>850</v>
      </c>
      <c r="DZ257">
        <v>872</v>
      </c>
      <c r="EA257">
        <v>420</v>
      </c>
      <c r="EB257">
        <v>3221</v>
      </c>
      <c r="EC257">
        <v>1948</v>
      </c>
      <c r="ED257">
        <v>606</v>
      </c>
      <c r="EE257" s="82">
        <v>0.17013324689171</v>
      </c>
      <c r="EF257" s="82">
        <v>0.46927942762387398</v>
      </c>
    </row>
    <row r="258" spans="1:136" x14ac:dyDescent="0.35">
      <c r="A258" s="72">
        <v>622</v>
      </c>
      <c r="B258" s="72">
        <v>8</v>
      </c>
      <c r="D258" s="72" t="s">
        <v>318</v>
      </c>
      <c r="E258" s="79">
        <v>4726800000</v>
      </c>
      <c r="F258" s="79">
        <v>966350000</v>
      </c>
      <c r="G258" s="79">
        <v>989100000</v>
      </c>
      <c r="H258" s="79">
        <v>72050</v>
      </c>
      <c r="I258" s="79">
        <v>1</v>
      </c>
      <c r="J258" s="79">
        <v>989.1</v>
      </c>
      <c r="K258" s="79">
        <v>15375</v>
      </c>
      <c r="L258" s="79">
        <v>15242</v>
      </c>
      <c r="M258" s="79">
        <v>4801</v>
      </c>
      <c r="N258" s="79">
        <v>12293</v>
      </c>
      <c r="O258" s="79">
        <v>8764.7999999999993</v>
      </c>
      <c r="P258" s="79">
        <v>2548.3333333333298</v>
      </c>
      <c r="Q258" s="79">
        <v>5912.3333333333303</v>
      </c>
      <c r="R258" s="79">
        <v>10765</v>
      </c>
      <c r="S258" s="79">
        <v>0</v>
      </c>
      <c r="T258" s="79">
        <v>3285</v>
      </c>
      <c r="U258" s="79">
        <v>34999</v>
      </c>
      <c r="V258" s="79">
        <v>72470</v>
      </c>
      <c r="W258" s="79">
        <v>51680</v>
      </c>
      <c r="X258" s="79">
        <v>976.52</v>
      </c>
      <c r="Y258" s="79">
        <v>3476</v>
      </c>
      <c r="Z258" s="79">
        <v>105</v>
      </c>
      <c r="AA258" s="79">
        <v>0</v>
      </c>
      <c r="AB258" s="79">
        <v>0</v>
      </c>
      <c r="AC258" s="79">
        <v>2334</v>
      </c>
      <c r="AD258" s="79">
        <v>3150.9</v>
      </c>
      <c r="AE258" s="79">
        <v>335</v>
      </c>
      <c r="AF258" s="79">
        <v>0</v>
      </c>
      <c r="AG258" s="79">
        <v>245</v>
      </c>
      <c r="AH258" s="79">
        <v>323.87</v>
      </c>
      <c r="AI258" s="79">
        <v>17.03</v>
      </c>
      <c r="AJ258" s="79">
        <v>35282</v>
      </c>
      <c r="AK258" s="79">
        <v>49041.98</v>
      </c>
      <c r="AL258" s="79">
        <v>10</v>
      </c>
      <c r="AM258" s="79">
        <v>0</v>
      </c>
      <c r="AN258" s="79">
        <v>0</v>
      </c>
      <c r="AO258" s="79">
        <v>0</v>
      </c>
      <c r="AP258" s="79">
        <v>6938</v>
      </c>
      <c r="AQ258" s="79">
        <v>6540</v>
      </c>
      <c r="AR258" s="80">
        <v>3.1864559999999998E-3</v>
      </c>
      <c r="AS258" s="80">
        <v>1.1512477E-2</v>
      </c>
      <c r="AT258" s="79">
        <v>97872.267999999996</v>
      </c>
      <c r="AU258" s="79">
        <v>0</v>
      </c>
      <c r="AV258" s="79">
        <v>2115.4499999999998</v>
      </c>
      <c r="AW258" s="79">
        <v>143842.196515549</v>
      </c>
      <c r="AX258" s="79">
        <v>1</v>
      </c>
      <c r="AY258" s="79">
        <v>1.31</v>
      </c>
      <c r="AZ258" s="79">
        <v>5316</v>
      </c>
      <c r="BA258" s="79">
        <v>1</v>
      </c>
      <c r="BB258" s="79">
        <v>0</v>
      </c>
      <c r="BC258" s="79">
        <v>0</v>
      </c>
      <c r="BD258" s="79">
        <v>0</v>
      </c>
      <c r="BE258" s="79">
        <v>0</v>
      </c>
      <c r="BF258" s="79">
        <v>0</v>
      </c>
      <c r="BG258" s="79">
        <v>0</v>
      </c>
      <c r="BH258" s="79">
        <v>0</v>
      </c>
      <c r="BI258" s="79">
        <v>0</v>
      </c>
      <c r="BJ258" s="79">
        <v>0</v>
      </c>
      <c r="BK258" s="79">
        <v>9</v>
      </c>
      <c r="BL258" s="79">
        <v>13541</v>
      </c>
      <c r="BM258" s="79">
        <v>233</v>
      </c>
      <c r="BN258" s="79">
        <v>13</v>
      </c>
      <c r="BO258">
        <v>15418</v>
      </c>
      <c r="BP258">
        <v>4620</v>
      </c>
      <c r="BQ258">
        <v>13651</v>
      </c>
      <c r="BR258">
        <v>4646</v>
      </c>
      <c r="BS258">
        <v>13531</v>
      </c>
      <c r="BT258">
        <v>4702</v>
      </c>
      <c r="BU258">
        <v>13577</v>
      </c>
      <c r="BV258">
        <v>4722</v>
      </c>
      <c r="BW258">
        <v>13534</v>
      </c>
      <c r="BX258">
        <v>4614</v>
      </c>
      <c r="BY258">
        <v>13505</v>
      </c>
      <c r="BZ258">
        <v>4655</v>
      </c>
      <c r="CA258">
        <v>13823</v>
      </c>
      <c r="CB258">
        <v>2879.36102723357</v>
      </c>
      <c r="CC258">
        <v>397.42832929838198</v>
      </c>
      <c r="CD258">
        <v>440.62026336890301</v>
      </c>
      <c r="CE258">
        <v>20481.614056360399</v>
      </c>
      <c r="CF258">
        <v>4622.2713760316801</v>
      </c>
      <c r="CG258">
        <v>410.95587186880499</v>
      </c>
      <c r="CH258">
        <v>1255</v>
      </c>
      <c r="CI258">
        <v>924.82771259136598</v>
      </c>
      <c r="CJ258">
        <v>830.48268385928304</v>
      </c>
      <c r="CK258" s="81">
        <v>3364</v>
      </c>
      <c r="CL258">
        <v>981</v>
      </c>
      <c r="CM258">
        <v>11101.326899509801</v>
      </c>
      <c r="CN258">
        <v>6.9531104734228899</v>
      </c>
      <c r="CO258">
        <v>56808</v>
      </c>
      <c r="CP258">
        <v>8313</v>
      </c>
      <c r="CQ258">
        <v>2128</v>
      </c>
      <c r="CR258">
        <v>2174</v>
      </c>
      <c r="CS258">
        <v>1859</v>
      </c>
      <c r="CT258">
        <v>1185</v>
      </c>
      <c r="CU258">
        <v>1344.63614746441</v>
      </c>
      <c r="CV258">
        <v>859.24560023635502</v>
      </c>
      <c r="CW258">
        <v>391.74047747115702</v>
      </c>
      <c r="CX258">
        <v>2844.1318893655898</v>
      </c>
      <c r="CY258">
        <v>1817.4491419389601</v>
      </c>
      <c r="CZ258">
        <v>828.59707916673506</v>
      </c>
      <c r="DA258">
        <v>45548.800000000003</v>
      </c>
      <c r="DE258">
        <v>826</v>
      </c>
      <c r="DF258" t="s">
        <v>233</v>
      </c>
      <c r="DG258">
        <v>11578</v>
      </c>
      <c r="DH258">
        <v>11400</v>
      </c>
      <c r="DI258">
        <v>11246</v>
      </c>
      <c r="DJ258">
        <v>11091</v>
      </c>
      <c r="DK258">
        <v>10792</v>
      </c>
      <c r="DO258">
        <v>622</v>
      </c>
      <c r="DP258" t="s">
        <v>318</v>
      </c>
      <c r="DQ258">
        <v>35282</v>
      </c>
      <c r="DR258">
        <v>1.39</v>
      </c>
      <c r="DS258">
        <v>2774</v>
      </c>
      <c r="DV258">
        <v>765</v>
      </c>
      <c r="DW258" t="s">
        <v>245</v>
      </c>
      <c r="DX258">
        <v>2261.1043826150199</v>
      </c>
      <c r="DY258">
        <v>345</v>
      </c>
      <c r="DZ258">
        <v>277</v>
      </c>
      <c r="EA258">
        <v>142</v>
      </c>
      <c r="EB258">
        <v>1021</v>
      </c>
      <c r="EC258">
        <v>566</v>
      </c>
      <c r="ED258">
        <v>202</v>
      </c>
      <c r="EE258" s="82">
        <v>0.2920083881094</v>
      </c>
      <c r="EF258" s="82">
        <v>0.67019508403050299</v>
      </c>
    </row>
    <row r="259" spans="1:136" x14ac:dyDescent="0.35">
      <c r="A259" s="72">
        <v>626</v>
      </c>
      <c r="B259" s="72">
        <v>8</v>
      </c>
      <c r="D259" s="72" t="s">
        <v>322</v>
      </c>
      <c r="E259" s="79">
        <v>2818000000</v>
      </c>
      <c r="F259" s="79">
        <v>186200000</v>
      </c>
      <c r="G259" s="79">
        <v>198800000</v>
      </c>
      <c r="H259" s="79">
        <v>25453</v>
      </c>
      <c r="I259" s="79">
        <v>1</v>
      </c>
      <c r="J259" s="79">
        <v>198.8</v>
      </c>
      <c r="K259" s="79">
        <v>6052</v>
      </c>
      <c r="L259" s="79">
        <v>5845</v>
      </c>
      <c r="M259" s="79">
        <v>1862</v>
      </c>
      <c r="N259" s="79">
        <v>2666</v>
      </c>
      <c r="O259" s="79">
        <v>1515.9</v>
      </c>
      <c r="P259" s="79">
        <v>324.33333333333297</v>
      </c>
      <c r="Q259" s="79">
        <v>1082.3333333333301</v>
      </c>
      <c r="R259" s="79">
        <v>1205</v>
      </c>
      <c r="S259" s="79">
        <v>0</v>
      </c>
      <c r="T259" s="79">
        <v>816</v>
      </c>
      <c r="U259" s="79">
        <v>11479</v>
      </c>
      <c r="V259" s="79">
        <v>20170</v>
      </c>
      <c r="W259" s="79">
        <v>4960</v>
      </c>
      <c r="X259" s="79">
        <v>0</v>
      </c>
      <c r="Y259" s="79">
        <v>0</v>
      </c>
      <c r="Z259" s="79">
        <v>0</v>
      </c>
      <c r="AA259" s="79">
        <v>0</v>
      </c>
      <c r="AB259" s="79">
        <v>0</v>
      </c>
      <c r="AC259" s="79">
        <v>1112</v>
      </c>
      <c r="AD259" s="79">
        <v>1145.3599999999999</v>
      </c>
      <c r="AE259" s="79">
        <v>44</v>
      </c>
      <c r="AF259" s="79">
        <v>0</v>
      </c>
      <c r="AG259" s="79">
        <v>103</v>
      </c>
      <c r="AH259" s="79">
        <v>103.95</v>
      </c>
      <c r="AI259" s="79">
        <v>3.03</v>
      </c>
      <c r="AJ259" s="79">
        <v>11501</v>
      </c>
      <c r="AK259" s="79">
        <v>12076.05</v>
      </c>
      <c r="AL259" s="79">
        <v>0</v>
      </c>
      <c r="AM259" s="79">
        <v>0</v>
      </c>
      <c r="AN259" s="79">
        <v>0</v>
      </c>
      <c r="AO259" s="79">
        <v>0</v>
      </c>
      <c r="AP259" s="79">
        <v>891</v>
      </c>
      <c r="AQ259" s="79">
        <v>0</v>
      </c>
      <c r="AR259" s="80">
        <v>2.69614E-4</v>
      </c>
      <c r="AS259" s="80">
        <v>5.9376000000000003E-4</v>
      </c>
      <c r="AT259" s="79">
        <v>21207.844000000001</v>
      </c>
      <c r="AU259" s="79">
        <v>0</v>
      </c>
      <c r="AV259" s="79">
        <v>1090.77</v>
      </c>
      <c r="AW259" s="79">
        <v>31999.661323529399</v>
      </c>
      <c r="AX259" s="79">
        <v>1</v>
      </c>
      <c r="AY259" s="79">
        <v>1.01</v>
      </c>
      <c r="AZ259" s="79">
        <v>2563</v>
      </c>
      <c r="BA259" s="79">
        <v>1</v>
      </c>
      <c r="BB259" s="79">
        <v>0</v>
      </c>
      <c r="BC259" s="79">
        <v>0</v>
      </c>
      <c r="BD259" s="79">
        <v>0</v>
      </c>
      <c r="BE259" s="79">
        <v>0</v>
      </c>
      <c r="BF259" s="79">
        <v>0</v>
      </c>
      <c r="BG259" s="79">
        <v>0</v>
      </c>
      <c r="BH259" s="79">
        <v>0</v>
      </c>
      <c r="BI259" s="79">
        <v>0</v>
      </c>
      <c r="BJ259" s="79">
        <v>0</v>
      </c>
      <c r="BK259" s="79">
        <v>6</v>
      </c>
      <c r="BL259" s="79">
        <v>3707</v>
      </c>
      <c r="BM259" s="79">
        <v>99</v>
      </c>
      <c r="BN259" s="79">
        <v>3</v>
      </c>
      <c r="BO259">
        <v>5650</v>
      </c>
      <c r="BP259">
        <v>0</v>
      </c>
      <c r="BQ259">
        <v>5114</v>
      </c>
      <c r="BR259">
        <v>0</v>
      </c>
      <c r="BS259">
        <v>5238</v>
      </c>
      <c r="BT259">
        <v>0</v>
      </c>
      <c r="BU259">
        <v>5368</v>
      </c>
      <c r="BV259">
        <v>0</v>
      </c>
      <c r="BW259">
        <v>5428</v>
      </c>
      <c r="BX259">
        <v>0</v>
      </c>
      <c r="BY259">
        <v>5447</v>
      </c>
      <c r="BZ259">
        <v>0</v>
      </c>
      <c r="CA259">
        <v>5478</v>
      </c>
      <c r="CB259">
        <v>474.87827766578903</v>
      </c>
      <c r="CC259">
        <v>43.934546231849502</v>
      </c>
      <c r="CD259">
        <v>35.885782197774503</v>
      </c>
      <c r="CE259">
        <v>9863.4746518196098</v>
      </c>
      <c r="CF259">
        <v>2565.9411323454301</v>
      </c>
      <c r="CG259">
        <v>250.34310587651899</v>
      </c>
      <c r="CH259">
        <v>311</v>
      </c>
      <c r="CI259">
        <v>111.819079516353</v>
      </c>
      <c r="CJ259">
        <v>97.557769355532997</v>
      </c>
      <c r="CK259" s="81">
        <v>758</v>
      </c>
      <c r="CL259">
        <v>212</v>
      </c>
      <c r="CM259">
        <v>3305.10400380786</v>
      </c>
      <c r="CN259">
        <v>0.259369590705542</v>
      </c>
      <c r="CO259">
        <v>19608</v>
      </c>
      <c r="CP259">
        <v>3084</v>
      </c>
      <c r="CQ259">
        <v>899</v>
      </c>
      <c r="CR259">
        <v>700</v>
      </c>
      <c r="CS259">
        <v>634</v>
      </c>
      <c r="CT259">
        <v>408</v>
      </c>
      <c r="CU259">
        <v>257.10376357659101</v>
      </c>
      <c r="CV259">
        <v>167.974458870039</v>
      </c>
      <c r="CW259">
        <v>79.504394582914998</v>
      </c>
      <c r="CX259">
        <v>529.15412971770797</v>
      </c>
      <c r="CY259">
        <v>345.71403141556902</v>
      </c>
      <c r="CZ259">
        <v>163.63073857424499</v>
      </c>
      <c r="DA259">
        <v>0</v>
      </c>
      <c r="DE259">
        <v>828</v>
      </c>
      <c r="DF259" t="s">
        <v>238</v>
      </c>
      <c r="DG259">
        <v>19258.32</v>
      </c>
      <c r="DH259">
        <v>19075.3</v>
      </c>
      <c r="DI259">
        <v>18823.48</v>
      </c>
      <c r="DJ259">
        <v>18759.599999999999</v>
      </c>
      <c r="DK259">
        <v>18542.939999999999</v>
      </c>
      <c r="DO259">
        <v>626</v>
      </c>
      <c r="DP259" t="s">
        <v>322</v>
      </c>
      <c r="DQ259">
        <v>11501</v>
      </c>
      <c r="DR259">
        <v>1.05</v>
      </c>
      <c r="DS259">
        <v>1844</v>
      </c>
      <c r="DV259">
        <v>1926</v>
      </c>
      <c r="DW259" t="s">
        <v>246</v>
      </c>
      <c r="DX259">
        <v>4012.73682659726</v>
      </c>
      <c r="DY259">
        <v>788</v>
      </c>
      <c r="DZ259">
        <v>781</v>
      </c>
      <c r="EA259">
        <v>461</v>
      </c>
      <c r="EB259">
        <v>2672</v>
      </c>
      <c r="EC259">
        <v>1757</v>
      </c>
      <c r="ED259">
        <v>647</v>
      </c>
      <c r="EE259" s="82">
        <v>9.1666833521076602E-2</v>
      </c>
      <c r="EF259" s="82">
        <v>0.316213575011415</v>
      </c>
    </row>
    <row r="260" spans="1:136" x14ac:dyDescent="0.35">
      <c r="A260" s="72">
        <v>627</v>
      </c>
      <c r="B260" s="72">
        <v>8</v>
      </c>
      <c r="D260" s="72" t="s">
        <v>328</v>
      </c>
      <c r="E260" s="79">
        <v>2032400000</v>
      </c>
      <c r="F260" s="79">
        <v>499100000</v>
      </c>
      <c r="G260" s="79">
        <v>506800000</v>
      </c>
      <c r="H260" s="79">
        <v>27578</v>
      </c>
      <c r="I260" s="79">
        <v>1</v>
      </c>
      <c r="J260" s="79">
        <v>506.8</v>
      </c>
      <c r="K260" s="79">
        <v>6425</v>
      </c>
      <c r="L260" s="79">
        <v>5475</v>
      </c>
      <c r="M260" s="79">
        <v>1734</v>
      </c>
      <c r="N260" s="79">
        <v>3022</v>
      </c>
      <c r="O260" s="79">
        <v>1843.4</v>
      </c>
      <c r="P260" s="79">
        <v>331.66666666666703</v>
      </c>
      <c r="Q260" s="79">
        <v>1448.6666666666699</v>
      </c>
      <c r="R260" s="79">
        <v>1690</v>
      </c>
      <c r="S260" s="79">
        <v>0</v>
      </c>
      <c r="T260" s="79">
        <v>704</v>
      </c>
      <c r="U260" s="79">
        <v>11822</v>
      </c>
      <c r="V260" s="79">
        <v>25860</v>
      </c>
      <c r="W260" s="79">
        <v>7980</v>
      </c>
      <c r="X260" s="79">
        <v>0</v>
      </c>
      <c r="Y260" s="79">
        <v>777.6</v>
      </c>
      <c r="Z260" s="79">
        <v>0</v>
      </c>
      <c r="AA260" s="79">
        <v>0</v>
      </c>
      <c r="AB260" s="79">
        <v>0</v>
      </c>
      <c r="AC260" s="79">
        <v>2781</v>
      </c>
      <c r="AD260" s="79">
        <v>3865.59</v>
      </c>
      <c r="AE260" s="79">
        <v>159</v>
      </c>
      <c r="AF260" s="79">
        <v>0</v>
      </c>
      <c r="AG260" s="79">
        <v>180</v>
      </c>
      <c r="AH260" s="79">
        <v>180.6</v>
      </c>
      <c r="AI260" s="79">
        <v>70.89</v>
      </c>
      <c r="AJ260" s="79">
        <v>11786</v>
      </c>
      <c r="AK260" s="79">
        <v>16500.400000000001</v>
      </c>
      <c r="AL260" s="79">
        <v>0</v>
      </c>
      <c r="AM260" s="79">
        <v>0</v>
      </c>
      <c r="AN260" s="79">
        <v>0</v>
      </c>
      <c r="AO260" s="79">
        <v>0</v>
      </c>
      <c r="AP260" s="79">
        <v>1491</v>
      </c>
      <c r="AQ260" s="79">
        <v>0</v>
      </c>
      <c r="AR260" s="80">
        <v>1.8527100000000001E-4</v>
      </c>
      <c r="AS260" s="80">
        <v>7.0727699999999997E-4</v>
      </c>
      <c r="AT260" s="79">
        <v>18174.011999999999</v>
      </c>
      <c r="AU260" s="79">
        <v>0</v>
      </c>
      <c r="AV260" s="79">
        <v>4933.1099999999997</v>
      </c>
      <c r="AW260" s="79">
        <v>129460.04325850301</v>
      </c>
      <c r="AX260" s="79">
        <v>2</v>
      </c>
      <c r="AY260" s="79">
        <v>2.78</v>
      </c>
      <c r="AZ260" s="79">
        <v>2757</v>
      </c>
      <c r="BA260" s="79">
        <v>1</v>
      </c>
      <c r="BB260" s="79">
        <v>0</v>
      </c>
      <c r="BC260" s="79">
        <v>0</v>
      </c>
      <c r="BD260" s="79">
        <v>0</v>
      </c>
      <c r="BE260" s="79">
        <v>0</v>
      </c>
      <c r="BF260" s="79">
        <v>0</v>
      </c>
      <c r="BG260" s="79">
        <v>0</v>
      </c>
      <c r="BH260" s="79">
        <v>0</v>
      </c>
      <c r="BI260" s="79">
        <v>0</v>
      </c>
      <c r="BJ260" s="79">
        <v>0</v>
      </c>
      <c r="BK260" s="79">
        <v>3</v>
      </c>
      <c r="BL260" s="79">
        <v>3359</v>
      </c>
      <c r="BM260" s="79">
        <v>129</v>
      </c>
      <c r="BN260" s="79">
        <v>51</v>
      </c>
      <c r="BO260">
        <v>6591</v>
      </c>
      <c r="BP260">
        <v>1284</v>
      </c>
      <c r="BQ260">
        <v>5775</v>
      </c>
      <c r="BR260">
        <v>1258</v>
      </c>
      <c r="BS260">
        <v>5701</v>
      </c>
      <c r="BT260">
        <v>1201</v>
      </c>
      <c r="BU260">
        <v>5588</v>
      </c>
      <c r="BV260">
        <v>1157</v>
      </c>
      <c r="BW260">
        <v>5516</v>
      </c>
      <c r="BX260">
        <v>1070</v>
      </c>
      <c r="BY260">
        <v>5395</v>
      </c>
      <c r="BZ260">
        <v>997</v>
      </c>
      <c r="CA260">
        <v>5786</v>
      </c>
      <c r="CB260">
        <v>485.524041094795</v>
      </c>
      <c r="CC260">
        <v>107.57067774655199</v>
      </c>
      <c r="CD260">
        <v>63.599391813067299</v>
      </c>
      <c r="CE260">
        <v>8069.25822348765</v>
      </c>
      <c r="CF260">
        <v>1985.81562748806</v>
      </c>
      <c r="CG260">
        <v>185.10254700854699</v>
      </c>
      <c r="CH260">
        <v>277</v>
      </c>
      <c r="CI260">
        <v>115.608112567768</v>
      </c>
      <c r="CJ260">
        <v>97.9125248804622</v>
      </c>
      <c r="CK260" s="81">
        <v>1117</v>
      </c>
      <c r="CL260">
        <v>385</v>
      </c>
      <c r="CM260">
        <v>4020.9384044185299</v>
      </c>
      <c r="CN260">
        <v>0.31647051830066403</v>
      </c>
      <c r="CO260">
        <v>22103</v>
      </c>
      <c r="CP260">
        <v>3157</v>
      </c>
      <c r="CQ260">
        <v>584</v>
      </c>
      <c r="CR260">
        <v>554</v>
      </c>
      <c r="CS260">
        <v>559</v>
      </c>
      <c r="CT260">
        <v>319</v>
      </c>
      <c r="CU260">
        <v>303.81512526035402</v>
      </c>
      <c r="CV260">
        <v>189.45423104546299</v>
      </c>
      <c r="CW260">
        <v>73.528892313268102</v>
      </c>
      <c r="CX260">
        <v>777.89521147170501</v>
      </c>
      <c r="CY260">
        <v>485.08295627818501</v>
      </c>
      <c r="CZ260">
        <v>188.265061478734</v>
      </c>
      <c r="DA260">
        <v>21170</v>
      </c>
      <c r="DE260">
        <v>840</v>
      </c>
      <c r="DF260" t="s">
        <v>264</v>
      </c>
      <c r="DG260">
        <v>4147</v>
      </c>
      <c r="DH260">
        <v>4007</v>
      </c>
      <c r="DI260">
        <v>3882</v>
      </c>
      <c r="DJ260">
        <v>3774</v>
      </c>
      <c r="DK260">
        <v>3701</v>
      </c>
      <c r="DO260">
        <v>627</v>
      </c>
      <c r="DP260" t="s">
        <v>328</v>
      </c>
      <c r="DQ260">
        <v>11786</v>
      </c>
      <c r="DR260">
        <v>1.4</v>
      </c>
      <c r="DS260">
        <v>1542</v>
      </c>
      <c r="DV260">
        <v>439</v>
      </c>
      <c r="DW260" t="s">
        <v>247</v>
      </c>
      <c r="DX260">
        <v>11050.044099918699</v>
      </c>
      <c r="DY260">
        <v>2065</v>
      </c>
      <c r="DZ260">
        <v>1854</v>
      </c>
      <c r="EA260">
        <v>1058</v>
      </c>
      <c r="EB260">
        <v>5510</v>
      </c>
      <c r="EC260">
        <v>3561</v>
      </c>
      <c r="ED260">
        <v>1396</v>
      </c>
      <c r="EE260" s="82">
        <v>0.207167512645764</v>
      </c>
      <c r="EF260" s="82">
        <v>0.473389425315906</v>
      </c>
    </row>
    <row r="261" spans="1:136" x14ac:dyDescent="0.35">
      <c r="A261" s="72">
        <v>629</v>
      </c>
      <c r="B261" s="72">
        <v>8</v>
      </c>
      <c r="D261" s="72" t="s">
        <v>330</v>
      </c>
      <c r="E261" s="79">
        <v>5013200000</v>
      </c>
      <c r="F261" s="79">
        <v>376250000</v>
      </c>
      <c r="G261" s="79">
        <v>387800000</v>
      </c>
      <c r="H261" s="79">
        <v>26084</v>
      </c>
      <c r="I261" s="79">
        <v>1</v>
      </c>
      <c r="J261" s="79">
        <v>387.8</v>
      </c>
      <c r="K261" s="79">
        <v>6374</v>
      </c>
      <c r="L261" s="79">
        <v>6618</v>
      </c>
      <c r="M261" s="79">
        <v>2220</v>
      </c>
      <c r="N261" s="79">
        <v>2720</v>
      </c>
      <c r="O261" s="79">
        <v>1494</v>
      </c>
      <c r="P261" s="79">
        <v>397.33333333333297</v>
      </c>
      <c r="Q261" s="79">
        <v>1074.3333333333301</v>
      </c>
      <c r="R261" s="79">
        <v>950</v>
      </c>
      <c r="S261" s="79">
        <v>0</v>
      </c>
      <c r="T261" s="79">
        <v>841</v>
      </c>
      <c r="U261" s="79">
        <v>11844</v>
      </c>
      <c r="V261" s="79">
        <v>20340</v>
      </c>
      <c r="W261" s="79">
        <v>4840</v>
      </c>
      <c r="X261" s="79">
        <v>0</v>
      </c>
      <c r="Y261" s="79">
        <v>1596.8</v>
      </c>
      <c r="Z261" s="79">
        <v>0</v>
      </c>
      <c r="AA261" s="79">
        <v>0</v>
      </c>
      <c r="AB261" s="79">
        <v>0</v>
      </c>
      <c r="AC261" s="79">
        <v>5120</v>
      </c>
      <c r="AD261" s="79">
        <v>5120</v>
      </c>
      <c r="AE261" s="79">
        <v>178</v>
      </c>
      <c r="AF261" s="79">
        <v>942</v>
      </c>
      <c r="AG261" s="79">
        <v>147</v>
      </c>
      <c r="AH261" s="79">
        <v>131</v>
      </c>
      <c r="AI261" s="79">
        <v>16</v>
      </c>
      <c r="AJ261" s="79">
        <v>12260</v>
      </c>
      <c r="AK261" s="79">
        <v>12260</v>
      </c>
      <c r="AL261" s="79">
        <v>0</v>
      </c>
      <c r="AM261" s="79">
        <v>0</v>
      </c>
      <c r="AN261" s="79">
        <v>0</v>
      </c>
      <c r="AO261" s="79">
        <v>0</v>
      </c>
      <c r="AP261" s="79">
        <v>1617</v>
      </c>
      <c r="AQ261" s="79">
        <v>0</v>
      </c>
      <c r="AR261" s="80">
        <v>7.3021800000000003E-4</v>
      </c>
      <c r="AS261" s="80">
        <v>4.3625000000000001E-4</v>
      </c>
      <c r="AT261" s="79">
        <v>17666.66</v>
      </c>
      <c r="AU261" s="79">
        <v>0</v>
      </c>
      <c r="AV261" s="79">
        <v>2891</v>
      </c>
      <c r="AW261" s="79">
        <v>14233.454888637199</v>
      </c>
      <c r="AX261" s="79">
        <v>2</v>
      </c>
      <c r="AY261" s="79">
        <v>2</v>
      </c>
      <c r="AZ261" s="79">
        <v>3138</v>
      </c>
      <c r="BA261" s="79">
        <v>1</v>
      </c>
      <c r="BB261" s="79">
        <v>0</v>
      </c>
      <c r="BC261" s="79">
        <v>0</v>
      </c>
      <c r="BD261" s="79">
        <v>0</v>
      </c>
      <c r="BE261" s="79">
        <v>0</v>
      </c>
      <c r="BF261" s="79">
        <v>0</v>
      </c>
      <c r="BG261" s="79">
        <v>0</v>
      </c>
      <c r="BH261" s="79">
        <v>0</v>
      </c>
      <c r="BI261" s="79">
        <v>0</v>
      </c>
      <c r="BJ261" s="79">
        <v>0</v>
      </c>
      <c r="BK261" s="79">
        <v>3</v>
      </c>
      <c r="BL261" s="79">
        <v>4040</v>
      </c>
      <c r="BM261" s="79">
        <v>131</v>
      </c>
      <c r="BN261" s="79">
        <v>16</v>
      </c>
      <c r="BO261">
        <v>6339</v>
      </c>
      <c r="BP261">
        <v>2819</v>
      </c>
      <c r="BQ261">
        <v>5793</v>
      </c>
      <c r="BR261">
        <v>2948</v>
      </c>
      <c r="BS261">
        <v>5724</v>
      </c>
      <c r="BT261">
        <v>3035</v>
      </c>
      <c r="BU261">
        <v>5626</v>
      </c>
      <c r="BV261">
        <v>2352</v>
      </c>
      <c r="BW261">
        <v>5637</v>
      </c>
      <c r="BX261">
        <v>2231</v>
      </c>
      <c r="BY261">
        <v>5591</v>
      </c>
      <c r="BZ261">
        <v>2239</v>
      </c>
      <c r="CA261">
        <v>5720</v>
      </c>
      <c r="CB261">
        <v>583.61438857031101</v>
      </c>
      <c r="CC261">
        <v>23.267925071259501</v>
      </c>
      <c r="CD261">
        <v>15.149124230191999</v>
      </c>
      <c r="CE261">
        <v>11133.66</v>
      </c>
      <c r="CF261">
        <v>2930.37</v>
      </c>
      <c r="CG261">
        <v>154.36035803083001</v>
      </c>
      <c r="CH261">
        <v>332</v>
      </c>
      <c r="CI261">
        <v>131.97364901796101</v>
      </c>
      <c r="CJ261">
        <v>124.164433725224</v>
      </c>
      <c r="CK261" s="81">
        <v>677</v>
      </c>
      <c r="CL261">
        <v>166</v>
      </c>
      <c r="CM261">
        <v>3404.7757079389598</v>
      </c>
      <c r="CN261">
        <v>0.62156319226066303</v>
      </c>
      <c r="CO261">
        <v>19466</v>
      </c>
      <c r="CP261">
        <v>3280</v>
      </c>
      <c r="CQ261">
        <v>1118</v>
      </c>
      <c r="CR261">
        <v>771</v>
      </c>
      <c r="CS261">
        <v>771</v>
      </c>
      <c r="CT261">
        <v>586</v>
      </c>
      <c r="CU261">
        <v>254.24282618681499</v>
      </c>
      <c r="CV261">
        <v>188.946154008505</v>
      </c>
      <c r="CW261">
        <v>97.214075369946698</v>
      </c>
      <c r="CX261">
        <v>199.94085291935099</v>
      </c>
      <c r="CY261">
        <v>148.59044699468799</v>
      </c>
      <c r="CZ261">
        <v>76.450790910226303</v>
      </c>
      <c r="DA261">
        <v>18034</v>
      </c>
      <c r="DE261">
        <v>845</v>
      </c>
      <c r="DF261" t="s">
        <v>274</v>
      </c>
      <c r="DG261">
        <v>6523</v>
      </c>
      <c r="DH261">
        <v>6420</v>
      </c>
      <c r="DI261">
        <v>6292</v>
      </c>
      <c r="DJ261">
        <v>6251</v>
      </c>
      <c r="DK261">
        <v>6125</v>
      </c>
      <c r="DO261">
        <v>629</v>
      </c>
      <c r="DP261" t="s">
        <v>330</v>
      </c>
      <c r="DQ261">
        <v>12260</v>
      </c>
      <c r="DR261">
        <v>1</v>
      </c>
      <c r="DS261">
        <v>1441</v>
      </c>
      <c r="DV261">
        <v>273</v>
      </c>
      <c r="DW261" t="s">
        <v>248</v>
      </c>
      <c r="DX261">
        <v>2577.7458654339998</v>
      </c>
      <c r="DY261">
        <v>450</v>
      </c>
      <c r="DZ261">
        <v>495</v>
      </c>
      <c r="EA261">
        <v>295</v>
      </c>
      <c r="EB261">
        <v>1588</v>
      </c>
      <c r="EC261">
        <v>1106</v>
      </c>
      <c r="ED261">
        <v>425</v>
      </c>
      <c r="EE261" s="82">
        <v>0.12797787790165399</v>
      </c>
      <c r="EF261" s="82">
        <v>0.42992500956889801</v>
      </c>
    </row>
    <row r="262" spans="1:136" x14ac:dyDescent="0.35">
      <c r="A262" s="72">
        <v>1783</v>
      </c>
      <c r="B262" s="72">
        <v>8</v>
      </c>
      <c r="D262" s="72" t="s">
        <v>340</v>
      </c>
      <c r="E262" s="79">
        <v>8912000000</v>
      </c>
      <c r="F262" s="79">
        <v>2819950000</v>
      </c>
      <c r="G262" s="79">
        <v>2865800000</v>
      </c>
      <c r="H262" s="79">
        <v>107492</v>
      </c>
      <c r="I262" s="79">
        <v>1</v>
      </c>
      <c r="J262" s="79">
        <v>2865.8</v>
      </c>
      <c r="K262" s="79">
        <v>24455</v>
      </c>
      <c r="L262" s="79">
        <v>20224</v>
      </c>
      <c r="M262" s="79">
        <v>6366</v>
      </c>
      <c r="N262" s="79">
        <v>11922</v>
      </c>
      <c r="O262" s="79">
        <v>7506.8</v>
      </c>
      <c r="P262" s="79">
        <v>1215</v>
      </c>
      <c r="Q262" s="79">
        <v>4977</v>
      </c>
      <c r="R262" s="79">
        <v>4300</v>
      </c>
      <c r="S262" s="79">
        <v>0</v>
      </c>
      <c r="T262" s="79">
        <v>2787</v>
      </c>
      <c r="U262" s="79">
        <v>46721</v>
      </c>
      <c r="V262" s="79">
        <v>108570</v>
      </c>
      <c r="W262" s="79">
        <v>95540</v>
      </c>
      <c r="X262" s="79">
        <v>1362.98</v>
      </c>
      <c r="Y262" s="79">
        <v>3524.8</v>
      </c>
      <c r="Z262" s="79">
        <v>0</v>
      </c>
      <c r="AA262" s="79">
        <v>0</v>
      </c>
      <c r="AB262" s="79">
        <v>0</v>
      </c>
      <c r="AC262" s="79">
        <v>8098</v>
      </c>
      <c r="AD262" s="79">
        <v>8907.7999999999993</v>
      </c>
      <c r="AE262" s="79">
        <v>232</v>
      </c>
      <c r="AF262" s="79">
        <v>744</v>
      </c>
      <c r="AG262" s="79">
        <v>767</v>
      </c>
      <c r="AH262" s="79">
        <v>708.5</v>
      </c>
      <c r="AI262" s="79">
        <v>132.16</v>
      </c>
      <c r="AJ262" s="79">
        <v>44152</v>
      </c>
      <c r="AK262" s="79">
        <v>48125.68</v>
      </c>
      <c r="AL262" s="79">
        <v>5</v>
      </c>
      <c r="AM262" s="79">
        <v>0</v>
      </c>
      <c r="AN262" s="79">
        <v>0</v>
      </c>
      <c r="AO262" s="79">
        <v>0</v>
      </c>
      <c r="AP262" s="79">
        <v>4323</v>
      </c>
      <c r="AQ262" s="79">
        <v>1048</v>
      </c>
      <c r="AR262" s="80">
        <v>1.1044729999999999E-3</v>
      </c>
      <c r="AS262" s="80">
        <v>1.0410599999999999E-3</v>
      </c>
      <c r="AT262" s="79">
        <v>61989.408000000003</v>
      </c>
      <c r="AU262" s="79">
        <v>0</v>
      </c>
      <c r="AV262" s="79">
        <v>6253.5</v>
      </c>
      <c r="AW262" s="79">
        <v>105792.516638655</v>
      </c>
      <c r="AX262" s="79">
        <v>5</v>
      </c>
      <c r="AY262" s="79">
        <v>5.6</v>
      </c>
      <c r="AZ262" s="79">
        <v>13511</v>
      </c>
      <c r="BA262" s="79">
        <v>1</v>
      </c>
      <c r="BB262" s="79">
        <v>0</v>
      </c>
      <c r="BC262" s="79">
        <v>0</v>
      </c>
      <c r="BD262" s="79">
        <v>0</v>
      </c>
      <c r="BE262" s="79">
        <v>0</v>
      </c>
      <c r="BF262" s="79">
        <v>0</v>
      </c>
      <c r="BG262" s="79">
        <v>0</v>
      </c>
      <c r="BH262" s="79">
        <v>0</v>
      </c>
      <c r="BI262" s="79">
        <v>0</v>
      </c>
      <c r="BJ262" s="79">
        <v>0</v>
      </c>
      <c r="BK262" s="79">
        <v>37</v>
      </c>
      <c r="BL262" s="79">
        <v>14222</v>
      </c>
      <c r="BM262" s="79">
        <v>650</v>
      </c>
      <c r="BN262" s="79">
        <v>118</v>
      </c>
      <c r="BO262">
        <v>26176</v>
      </c>
      <c r="BP262">
        <v>4361</v>
      </c>
      <c r="BQ262">
        <v>23188</v>
      </c>
      <c r="BR262">
        <v>4261</v>
      </c>
      <c r="BS262">
        <v>22955</v>
      </c>
      <c r="BT262">
        <v>4211</v>
      </c>
      <c r="BU262">
        <v>22601</v>
      </c>
      <c r="BV262">
        <v>4175</v>
      </c>
      <c r="BW262">
        <v>22237</v>
      </c>
      <c r="BX262">
        <v>4173</v>
      </c>
      <c r="BY262">
        <v>22014</v>
      </c>
      <c r="BZ262">
        <v>4256</v>
      </c>
      <c r="CA262">
        <v>21829</v>
      </c>
      <c r="CB262">
        <v>1994.93169770739</v>
      </c>
      <c r="CC262">
        <v>511.58548612531001</v>
      </c>
      <c r="CD262">
        <v>244.82553166044499</v>
      </c>
      <c r="CE262">
        <v>31433.877500618499</v>
      </c>
      <c r="CF262">
        <v>8865.7944598507002</v>
      </c>
      <c r="CG262">
        <v>773.84233220120598</v>
      </c>
      <c r="CH262">
        <v>1113</v>
      </c>
      <c r="CI262">
        <v>468.74141818535099</v>
      </c>
      <c r="CJ262">
        <v>392.004855046778</v>
      </c>
      <c r="CK262" s="81">
        <v>3762</v>
      </c>
      <c r="CL262">
        <v>1117</v>
      </c>
      <c r="CM262">
        <v>13192.553788109801</v>
      </c>
      <c r="CN262">
        <v>0.85360444248118506</v>
      </c>
      <c r="CO262">
        <v>87268</v>
      </c>
      <c r="CP262">
        <v>11652</v>
      </c>
      <c r="CQ262">
        <v>2206</v>
      </c>
      <c r="CR262">
        <v>2039</v>
      </c>
      <c r="CS262">
        <v>1990</v>
      </c>
      <c r="CT262">
        <v>1063</v>
      </c>
      <c r="CU262">
        <v>1206.3545175782599</v>
      </c>
      <c r="CV262">
        <v>754.58792797918295</v>
      </c>
      <c r="CW262">
        <v>266.60519852892298</v>
      </c>
      <c r="CX262">
        <v>2944.5754646724499</v>
      </c>
      <c r="CY262">
        <v>1841.86411729617</v>
      </c>
      <c r="CZ262">
        <v>650.75325279864705</v>
      </c>
      <c r="DA262">
        <v>256722.6</v>
      </c>
      <c r="DE262">
        <v>847</v>
      </c>
      <c r="DF262" t="s">
        <v>280</v>
      </c>
      <c r="DG262">
        <v>4173</v>
      </c>
      <c r="DH262">
        <v>4048</v>
      </c>
      <c r="DI262">
        <v>3925</v>
      </c>
      <c r="DJ262">
        <v>3821</v>
      </c>
      <c r="DK262">
        <v>3720</v>
      </c>
      <c r="DO262">
        <v>1783</v>
      </c>
      <c r="DP262" t="s">
        <v>340</v>
      </c>
      <c r="DQ262">
        <v>44152</v>
      </c>
      <c r="DR262">
        <v>1.0900000000000001</v>
      </c>
      <c r="DS262">
        <v>1404</v>
      </c>
      <c r="DV262">
        <v>177</v>
      </c>
      <c r="DW262" t="s">
        <v>249</v>
      </c>
      <c r="DX262">
        <v>4402.1307849739196</v>
      </c>
      <c r="DY262">
        <v>745</v>
      </c>
      <c r="DZ262">
        <v>794</v>
      </c>
      <c r="EA262">
        <v>418</v>
      </c>
      <c r="EB262">
        <v>2686</v>
      </c>
      <c r="EC262">
        <v>1674</v>
      </c>
      <c r="ED262">
        <v>626</v>
      </c>
      <c r="EE262" s="82">
        <v>0.171468351318076</v>
      </c>
      <c r="EF262" s="82">
        <v>0.46115767919659201</v>
      </c>
    </row>
    <row r="263" spans="1:136" x14ac:dyDescent="0.35">
      <c r="A263" s="72">
        <v>614</v>
      </c>
      <c r="B263" s="72">
        <v>8</v>
      </c>
      <c r="D263" s="72" t="s">
        <v>342</v>
      </c>
      <c r="E263" s="79">
        <v>1633600000</v>
      </c>
      <c r="F263" s="79">
        <v>168700000</v>
      </c>
      <c r="G263" s="79">
        <v>186200000</v>
      </c>
      <c r="H263" s="79">
        <v>14508</v>
      </c>
      <c r="I263" s="79">
        <v>2</v>
      </c>
      <c r="J263" s="79">
        <v>186.2</v>
      </c>
      <c r="K263" s="79">
        <v>2806</v>
      </c>
      <c r="L263" s="79">
        <v>3779</v>
      </c>
      <c r="M263" s="79">
        <v>1159</v>
      </c>
      <c r="N263" s="79">
        <v>1541</v>
      </c>
      <c r="O263" s="79">
        <v>835.2</v>
      </c>
      <c r="P263" s="79">
        <v>128.333333333333</v>
      </c>
      <c r="Q263" s="79">
        <v>559.33333333333303</v>
      </c>
      <c r="R263" s="79">
        <v>315</v>
      </c>
      <c r="S263" s="79">
        <v>0</v>
      </c>
      <c r="T263" s="79">
        <v>378</v>
      </c>
      <c r="U263" s="79">
        <v>6690</v>
      </c>
      <c r="V263" s="79">
        <v>11550</v>
      </c>
      <c r="W263" s="79">
        <v>870</v>
      </c>
      <c r="X263" s="79">
        <v>546.67999999999995</v>
      </c>
      <c r="Y263" s="79">
        <v>0</v>
      </c>
      <c r="Z263" s="79">
        <v>0</v>
      </c>
      <c r="AA263" s="79">
        <v>0</v>
      </c>
      <c r="AB263" s="79">
        <v>0</v>
      </c>
      <c r="AC263" s="79">
        <v>5331</v>
      </c>
      <c r="AD263" s="79">
        <v>5864.1</v>
      </c>
      <c r="AE263" s="79">
        <v>521</v>
      </c>
      <c r="AF263" s="79">
        <v>3897</v>
      </c>
      <c r="AG263" s="79">
        <v>108</v>
      </c>
      <c r="AH263" s="79">
        <v>78.44</v>
      </c>
      <c r="AI263" s="79">
        <v>36.299999999999997</v>
      </c>
      <c r="AJ263" s="79">
        <v>7058</v>
      </c>
      <c r="AK263" s="79">
        <v>7481.48</v>
      </c>
      <c r="AL263" s="79">
        <v>0</v>
      </c>
      <c r="AM263" s="79">
        <v>0</v>
      </c>
      <c r="AN263" s="79">
        <v>0</v>
      </c>
      <c r="AO263" s="79">
        <v>0</v>
      </c>
      <c r="AP263" s="79">
        <v>0</v>
      </c>
      <c r="AQ263" s="79">
        <v>0</v>
      </c>
      <c r="AR263" s="80">
        <v>1.92802E-4</v>
      </c>
      <c r="AS263" s="80">
        <v>6.8749000000000002E-5</v>
      </c>
      <c r="AT263" s="79">
        <v>4284.2060000000001</v>
      </c>
      <c r="AU263" s="79">
        <v>0</v>
      </c>
      <c r="AV263" s="79">
        <v>1999.8</v>
      </c>
      <c r="AW263" s="79">
        <v>6697.6781954887201</v>
      </c>
      <c r="AX263" s="79">
        <v>7</v>
      </c>
      <c r="AY263" s="79">
        <v>7.7</v>
      </c>
      <c r="AZ263" s="79">
        <v>1647</v>
      </c>
      <c r="BA263" s="79">
        <v>1</v>
      </c>
      <c r="BB263" s="79">
        <v>0</v>
      </c>
      <c r="BC263" s="79">
        <v>0</v>
      </c>
      <c r="BD263" s="79">
        <v>0</v>
      </c>
      <c r="BE263" s="79">
        <v>0</v>
      </c>
      <c r="BF263" s="79">
        <v>0</v>
      </c>
      <c r="BG263" s="79">
        <v>0</v>
      </c>
      <c r="BH263" s="79">
        <v>0</v>
      </c>
      <c r="BI263" s="79">
        <v>0</v>
      </c>
      <c r="BJ263" s="79">
        <v>0</v>
      </c>
      <c r="BK263" s="79">
        <v>3</v>
      </c>
      <c r="BL263" s="79">
        <v>1977</v>
      </c>
      <c r="BM263" s="79">
        <v>74</v>
      </c>
      <c r="BN263" s="79">
        <v>33</v>
      </c>
      <c r="BO263">
        <v>3152</v>
      </c>
      <c r="BP263">
        <v>0</v>
      </c>
      <c r="BQ263">
        <v>2825</v>
      </c>
      <c r="BR263">
        <v>0</v>
      </c>
      <c r="BS263">
        <v>2733</v>
      </c>
      <c r="BT263">
        <v>0</v>
      </c>
      <c r="BU263">
        <v>2675</v>
      </c>
      <c r="BV263">
        <v>0</v>
      </c>
      <c r="BW263">
        <v>2603</v>
      </c>
      <c r="BX263">
        <v>0</v>
      </c>
      <c r="BY263">
        <v>2589</v>
      </c>
      <c r="BZ263">
        <v>0</v>
      </c>
      <c r="CA263">
        <v>2472</v>
      </c>
      <c r="CB263">
        <v>210.685037587594</v>
      </c>
      <c r="CC263">
        <v>25.310994911620298</v>
      </c>
      <c r="CD263">
        <v>22.236085540827201</v>
      </c>
      <c r="CE263">
        <v>6043.7557467183797</v>
      </c>
      <c r="CF263">
        <v>1282.6107223438501</v>
      </c>
      <c r="CG263">
        <v>65.916793774319103</v>
      </c>
      <c r="CH263">
        <v>127</v>
      </c>
      <c r="CI263">
        <v>42.775210971299003</v>
      </c>
      <c r="CJ263">
        <v>33.701774868275102</v>
      </c>
      <c r="CK263" s="81">
        <v>431</v>
      </c>
      <c r="CL263">
        <v>114</v>
      </c>
      <c r="CM263">
        <v>2209.7287370571198</v>
      </c>
      <c r="CN263">
        <v>6.5259232286405497E-2</v>
      </c>
      <c r="CO263">
        <v>10729</v>
      </c>
      <c r="CP263">
        <v>2104</v>
      </c>
      <c r="CQ263">
        <v>516</v>
      </c>
      <c r="CR263">
        <v>373</v>
      </c>
      <c r="CS263">
        <v>399</v>
      </c>
      <c r="CT263">
        <v>292</v>
      </c>
      <c r="CU263">
        <v>153.77646364203099</v>
      </c>
      <c r="CV263">
        <v>96.287724157394607</v>
      </c>
      <c r="CW263">
        <v>49.799916302534498</v>
      </c>
      <c r="CX263">
        <v>322.549530571849</v>
      </c>
      <c r="CY263">
        <v>201.965629142681</v>
      </c>
      <c r="CZ263">
        <v>104.456424900576</v>
      </c>
      <c r="DA263">
        <v>10426</v>
      </c>
      <c r="DE263">
        <v>848</v>
      </c>
      <c r="DF263" t="s">
        <v>281</v>
      </c>
      <c r="DG263">
        <v>3681</v>
      </c>
      <c r="DH263">
        <v>3670</v>
      </c>
      <c r="DI263">
        <v>3664</v>
      </c>
      <c r="DJ263">
        <v>3619</v>
      </c>
      <c r="DK263">
        <v>3613</v>
      </c>
      <c r="DO263">
        <v>614</v>
      </c>
      <c r="DP263" t="s">
        <v>342</v>
      </c>
      <c r="DQ263">
        <v>7058</v>
      </c>
      <c r="DR263">
        <v>1.06</v>
      </c>
      <c r="DS263">
        <v>607</v>
      </c>
      <c r="DV263">
        <v>703</v>
      </c>
      <c r="DW263" t="s">
        <v>250</v>
      </c>
      <c r="DX263">
        <v>2591.1397360036399</v>
      </c>
      <c r="DY263">
        <v>431</v>
      </c>
      <c r="DZ263">
        <v>386</v>
      </c>
      <c r="EA263">
        <v>234</v>
      </c>
      <c r="EB263">
        <v>1321</v>
      </c>
      <c r="EC263">
        <v>799</v>
      </c>
      <c r="ED263">
        <v>352</v>
      </c>
      <c r="EE263" s="82">
        <v>0.184147355631499</v>
      </c>
      <c r="EF263" s="82">
        <v>0.48592072440140599</v>
      </c>
    </row>
    <row r="264" spans="1:136" x14ac:dyDescent="0.35">
      <c r="A264" s="72">
        <v>707</v>
      </c>
      <c r="B264" s="72">
        <v>8</v>
      </c>
      <c r="D264" s="72" t="s">
        <v>821</v>
      </c>
      <c r="E264" s="79">
        <v>1114400000</v>
      </c>
      <c r="F264" s="79">
        <v>201950000</v>
      </c>
      <c r="G264" s="79">
        <v>216650000</v>
      </c>
      <c r="H264" s="79">
        <v>14004</v>
      </c>
      <c r="I264" s="79">
        <v>3</v>
      </c>
      <c r="J264" s="79">
        <v>216.65</v>
      </c>
      <c r="K264" s="79">
        <v>3558</v>
      </c>
      <c r="L264" s="79">
        <v>2617</v>
      </c>
      <c r="M264" s="79">
        <v>773</v>
      </c>
      <c r="N264" s="79">
        <v>1338</v>
      </c>
      <c r="O264" s="79">
        <v>770.9</v>
      </c>
      <c r="P264" s="79">
        <v>90</v>
      </c>
      <c r="Q264" s="79">
        <v>510</v>
      </c>
      <c r="R264" s="79">
        <v>160</v>
      </c>
      <c r="S264" s="79">
        <v>0</v>
      </c>
      <c r="T264" s="79">
        <v>257</v>
      </c>
      <c r="U264" s="79">
        <v>5576</v>
      </c>
      <c r="V264" s="79">
        <v>9100</v>
      </c>
      <c r="W264" s="79">
        <v>310</v>
      </c>
      <c r="X264" s="79">
        <v>0</v>
      </c>
      <c r="Y264" s="79">
        <v>0</v>
      </c>
      <c r="Z264" s="79">
        <v>0</v>
      </c>
      <c r="AA264" s="79">
        <v>0</v>
      </c>
      <c r="AB264" s="79">
        <v>0</v>
      </c>
      <c r="AC264" s="79">
        <v>7346</v>
      </c>
      <c r="AD264" s="79">
        <v>9843.64</v>
      </c>
      <c r="AE264" s="79">
        <v>304</v>
      </c>
      <c r="AF264" s="79">
        <v>0</v>
      </c>
      <c r="AG264" s="79">
        <v>129</v>
      </c>
      <c r="AH264" s="79">
        <v>83.16</v>
      </c>
      <c r="AI264" s="79">
        <v>83.7</v>
      </c>
      <c r="AJ264" s="79">
        <v>5671</v>
      </c>
      <c r="AK264" s="79">
        <v>7145.46</v>
      </c>
      <c r="AL264" s="79">
        <v>0</v>
      </c>
      <c r="AM264" s="79">
        <v>0</v>
      </c>
      <c r="AN264" s="79">
        <v>0</v>
      </c>
      <c r="AO264" s="79">
        <v>0</v>
      </c>
      <c r="AP264" s="79">
        <v>0</v>
      </c>
      <c r="AQ264" s="79">
        <v>0</v>
      </c>
      <c r="AR264" s="80">
        <v>2.6304200000000001E-4</v>
      </c>
      <c r="AS264" s="80">
        <v>6.8799000000000003E-5</v>
      </c>
      <c r="AT264" s="79">
        <v>1695.6289999999999</v>
      </c>
      <c r="AU264" s="79">
        <v>0</v>
      </c>
      <c r="AV264" s="79">
        <v>3644.8</v>
      </c>
      <c r="AW264" s="79">
        <v>16606.730352941198</v>
      </c>
      <c r="AX264" s="79">
        <v>10</v>
      </c>
      <c r="AY264" s="79">
        <v>13.5</v>
      </c>
      <c r="AZ264" s="79">
        <v>1664</v>
      </c>
      <c r="BA264" s="79">
        <v>1</v>
      </c>
      <c r="BB264" s="79">
        <v>0</v>
      </c>
      <c r="BC264" s="79">
        <v>0</v>
      </c>
      <c r="BD264" s="79">
        <v>0</v>
      </c>
      <c r="BE264" s="79">
        <v>0</v>
      </c>
      <c r="BF264" s="79">
        <v>0</v>
      </c>
      <c r="BG264" s="79">
        <v>0</v>
      </c>
      <c r="BH264" s="79">
        <v>0</v>
      </c>
      <c r="BI264" s="79">
        <v>0</v>
      </c>
      <c r="BJ264" s="79">
        <v>0</v>
      </c>
      <c r="BK264" s="79">
        <v>7</v>
      </c>
      <c r="BL264" s="79">
        <v>1390</v>
      </c>
      <c r="BM264" s="79">
        <v>66</v>
      </c>
      <c r="BN264" s="79">
        <v>62</v>
      </c>
      <c r="BO264">
        <v>3726</v>
      </c>
      <c r="BP264">
        <v>0</v>
      </c>
      <c r="BQ264">
        <v>3332</v>
      </c>
      <c r="BR264">
        <v>0</v>
      </c>
      <c r="BS264">
        <v>3344</v>
      </c>
      <c r="BT264">
        <v>0</v>
      </c>
      <c r="BU264">
        <v>3275</v>
      </c>
      <c r="BV264">
        <v>0</v>
      </c>
      <c r="BW264">
        <v>3222</v>
      </c>
      <c r="BX264">
        <v>0</v>
      </c>
      <c r="BY264">
        <v>3204</v>
      </c>
      <c r="BZ264">
        <v>0</v>
      </c>
      <c r="CA264">
        <v>3193</v>
      </c>
      <c r="CB264">
        <v>149.81324387972299</v>
      </c>
      <c r="CC264">
        <v>28.513287749992301</v>
      </c>
      <c r="CD264">
        <v>41.681138182735999</v>
      </c>
      <c r="CE264">
        <v>4008.9765273407902</v>
      </c>
      <c r="CF264">
        <v>1087.7394457727301</v>
      </c>
      <c r="CG264">
        <v>95.750399173174102</v>
      </c>
      <c r="CH264">
        <v>92</v>
      </c>
      <c r="CI264">
        <v>30.514883780042599</v>
      </c>
      <c r="CJ264">
        <v>21.9948425456111</v>
      </c>
      <c r="CK264" s="81">
        <v>420</v>
      </c>
      <c r="CL264">
        <v>119</v>
      </c>
      <c r="CM264">
        <v>2007.8457034553101</v>
      </c>
      <c r="CN264">
        <v>6.5742578064247201E-2</v>
      </c>
      <c r="CO264">
        <v>11387</v>
      </c>
      <c r="CP264">
        <v>1548</v>
      </c>
      <c r="CQ264">
        <v>296</v>
      </c>
      <c r="CR264">
        <v>250</v>
      </c>
      <c r="CS264">
        <v>278</v>
      </c>
      <c r="CT264">
        <v>132</v>
      </c>
      <c r="CU264">
        <v>127.19837057493601</v>
      </c>
      <c r="CV264">
        <v>74.199049502046194</v>
      </c>
      <c r="CW264">
        <v>25.820182061151598</v>
      </c>
      <c r="CX264">
        <v>361.79535247132998</v>
      </c>
      <c r="CY264">
        <v>211.047288941609</v>
      </c>
      <c r="CZ264">
        <v>73.4413642837102</v>
      </c>
      <c r="DA264">
        <v>0</v>
      </c>
      <c r="DE264">
        <v>851</v>
      </c>
      <c r="DF264" t="s">
        <v>285</v>
      </c>
      <c r="DG264">
        <v>4796</v>
      </c>
      <c r="DH264">
        <v>4707</v>
      </c>
      <c r="DI264">
        <v>4630</v>
      </c>
      <c r="DJ264">
        <v>4565</v>
      </c>
      <c r="DK264">
        <v>4498</v>
      </c>
      <c r="DO264">
        <v>707</v>
      </c>
      <c r="DP264" t="s">
        <v>821</v>
      </c>
      <c r="DQ264">
        <v>5671</v>
      </c>
      <c r="DR264">
        <v>1.26</v>
      </c>
      <c r="DS264">
        <v>299</v>
      </c>
      <c r="DV264">
        <v>274</v>
      </c>
      <c r="DW264" t="s">
        <v>251</v>
      </c>
      <c r="DX264">
        <v>4214.2396837506103</v>
      </c>
      <c r="DY264">
        <v>1036</v>
      </c>
      <c r="DZ264">
        <v>1013</v>
      </c>
      <c r="EA264">
        <v>587</v>
      </c>
      <c r="EB264">
        <v>2849</v>
      </c>
      <c r="EC264">
        <v>1954</v>
      </c>
      <c r="ED264">
        <v>806</v>
      </c>
      <c r="EE264" s="82">
        <v>0.17517072698338901</v>
      </c>
      <c r="EF264" s="82">
        <v>0.34366400520543899</v>
      </c>
    </row>
    <row r="265" spans="1:136" x14ac:dyDescent="0.35">
      <c r="A265" s="72">
        <v>637</v>
      </c>
      <c r="B265" s="72">
        <v>8</v>
      </c>
      <c r="D265" s="72" t="s">
        <v>358</v>
      </c>
      <c r="E265" s="79">
        <v>8907200000</v>
      </c>
      <c r="F265" s="79">
        <v>1312150000</v>
      </c>
      <c r="G265" s="79">
        <v>1313550000</v>
      </c>
      <c r="H265" s="79">
        <v>124695</v>
      </c>
      <c r="I265" s="79">
        <v>1</v>
      </c>
      <c r="J265" s="79">
        <v>1313.55</v>
      </c>
      <c r="K265" s="79">
        <v>28751</v>
      </c>
      <c r="L265" s="79">
        <v>22330</v>
      </c>
      <c r="M265" s="79">
        <v>6078</v>
      </c>
      <c r="N265" s="79">
        <v>15522</v>
      </c>
      <c r="O265" s="79">
        <v>9898.5</v>
      </c>
      <c r="P265" s="79">
        <v>3122.6666666666702</v>
      </c>
      <c r="Q265" s="79">
        <v>9005.6666666666697</v>
      </c>
      <c r="R265" s="79">
        <v>16190</v>
      </c>
      <c r="S265" s="79">
        <v>0</v>
      </c>
      <c r="T265" s="79">
        <v>5798</v>
      </c>
      <c r="U265" s="79">
        <v>56321</v>
      </c>
      <c r="V265" s="79">
        <v>134550</v>
      </c>
      <c r="W265" s="79">
        <v>134760</v>
      </c>
      <c r="X265" s="79">
        <v>3252.9780000000001</v>
      </c>
      <c r="Y265" s="79">
        <v>6213.6</v>
      </c>
      <c r="Z265" s="79">
        <v>0</v>
      </c>
      <c r="AA265" s="79">
        <v>0</v>
      </c>
      <c r="AB265" s="79">
        <v>0</v>
      </c>
      <c r="AC265" s="79">
        <v>3451</v>
      </c>
      <c r="AD265" s="79">
        <v>4106.6899999999996</v>
      </c>
      <c r="AE265" s="79">
        <v>254</v>
      </c>
      <c r="AF265" s="79">
        <v>0</v>
      </c>
      <c r="AG265" s="79">
        <v>445</v>
      </c>
      <c r="AH265" s="79">
        <v>502.18</v>
      </c>
      <c r="AI265" s="79">
        <v>27.6</v>
      </c>
      <c r="AJ265" s="79">
        <v>56235</v>
      </c>
      <c r="AK265" s="79">
        <v>66919.649999999994</v>
      </c>
      <c r="AL265" s="79">
        <v>0</v>
      </c>
      <c r="AM265" s="79">
        <v>0</v>
      </c>
      <c r="AN265" s="79">
        <v>0</v>
      </c>
      <c r="AO265" s="79">
        <v>0</v>
      </c>
      <c r="AP265" s="79">
        <v>0</v>
      </c>
      <c r="AQ265" s="79">
        <v>0</v>
      </c>
      <c r="AR265" s="80">
        <v>2.10132E-4</v>
      </c>
      <c r="AS265" s="80">
        <v>2.9735289999999999E-3</v>
      </c>
      <c r="AT265" s="79">
        <v>140981.14499999999</v>
      </c>
      <c r="AU265" s="79">
        <v>0</v>
      </c>
      <c r="AV265" s="79">
        <v>3159.45</v>
      </c>
      <c r="AW265" s="79">
        <v>108817.17</v>
      </c>
      <c r="AX265" s="79">
        <v>1</v>
      </c>
      <c r="AY265" s="79">
        <v>1.2</v>
      </c>
      <c r="AZ265" s="79">
        <v>10545</v>
      </c>
      <c r="BA265" s="79">
        <v>1</v>
      </c>
      <c r="BB265" s="79">
        <v>0</v>
      </c>
      <c r="BC265" s="79">
        <v>0</v>
      </c>
      <c r="BD265" s="79">
        <v>0</v>
      </c>
      <c r="BE265" s="79">
        <v>0</v>
      </c>
      <c r="BF265" s="79">
        <v>0</v>
      </c>
      <c r="BG265" s="79">
        <v>0</v>
      </c>
      <c r="BH265" s="79">
        <v>0</v>
      </c>
      <c r="BI265" s="79">
        <v>0</v>
      </c>
      <c r="BJ265" s="79">
        <v>0</v>
      </c>
      <c r="BK265" s="79">
        <v>79</v>
      </c>
      <c r="BL265" s="79">
        <v>18952</v>
      </c>
      <c r="BM265" s="79">
        <v>422</v>
      </c>
      <c r="BN265" s="79">
        <v>23</v>
      </c>
      <c r="BO265">
        <v>30062</v>
      </c>
      <c r="BP265">
        <v>8087</v>
      </c>
      <c r="BQ265">
        <v>26664</v>
      </c>
      <c r="BR265">
        <v>7867</v>
      </c>
      <c r="BS265">
        <v>26361</v>
      </c>
      <c r="BT265">
        <v>7708</v>
      </c>
      <c r="BU265">
        <v>26195</v>
      </c>
      <c r="BV265">
        <v>7814</v>
      </c>
      <c r="BW265">
        <v>26164</v>
      </c>
      <c r="BX265">
        <v>7672</v>
      </c>
      <c r="BY265">
        <v>26065</v>
      </c>
      <c r="BZ265">
        <v>7585</v>
      </c>
      <c r="CA265">
        <v>25859</v>
      </c>
      <c r="CB265">
        <v>4299.2143879517698</v>
      </c>
      <c r="CC265">
        <v>356.79243272971303</v>
      </c>
      <c r="CD265">
        <v>384.12678870137</v>
      </c>
      <c r="CE265">
        <v>39034.3518368441</v>
      </c>
      <c r="CF265">
        <v>9231.1064817517199</v>
      </c>
      <c r="CG265">
        <v>1054.7669352002299</v>
      </c>
      <c r="CH265">
        <v>2346</v>
      </c>
      <c r="CI265">
        <v>1273.2413086594299</v>
      </c>
      <c r="CJ265">
        <v>1218.93998365677</v>
      </c>
      <c r="CK265" s="81">
        <v>5883</v>
      </c>
      <c r="CL265">
        <v>1559</v>
      </c>
      <c r="CM265">
        <v>18777.706384007401</v>
      </c>
      <c r="CN265">
        <v>6.9872391255454298</v>
      </c>
      <c r="CO265">
        <v>102365</v>
      </c>
      <c r="CP265">
        <v>14073</v>
      </c>
      <c r="CQ265">
        <v>2179</v>
      </c>
      <c r="CR265">
        <v>3287</v>
      </c>
      <c r="CS265">
        <v>2330</v>
      </c>
      <c r="CT265">
        <v>1201</v>
      </c>
      <c r="CU265">
        <v>1621.1853933166101</v>
      </c>
      <c r="CV265">
        <v>792.81422491834905</v>
      </c>
      <c r="CW265">
        <v>287.80001282004901</v>
      </c>
      <c r="CX265">
        <v>3924.8973791367398</v>
      </c>
      <c r="CY265">
        <v>1919.4069267787099</v>
      </c>
      <c r="CZ265">
        <v>696.76516991189806</v>
      </c>
      <c r="DA265">
        <v>48381.5</v>
      </c>
      <c r="DE265">
        <v>852</v>
      </c>
      <c r="DF265" t="s">
        <v>331</v>
      </c>
      <c r="DG265">
        <v>3594</v>
      </c>
      <c r="DH265">
        <v>3562</v>
      </c>
      <c r="DI265">
        <v>3502</v>
      </c>
      <c r="DJ265">
        <v>3412</v>
      </c>
      <c r="DK265">
        <v>3388</v>
      </c>
      <c r="DO265">
        <v>637</v>
      </c>
      <c r="DP265" t="s">
        <v>358</v>
      </c>
      <c r="DQ265">
        <v>56235</v>
      </c>
      <c r="DR265">
        <v>1.19</v>
      </c>
      <c r="DS265">
        <v>2507</v>
      </c>
      <c r="DV265">
        <v>339</v>
      </c>
      <c r="DW265" t="s">
        <v>252</v>
      </c>
      <c r="DX265">
        <v>427.53478491768499</v>
      </c>
      <c r="DY265">
        <v>94</v>
      </c>
      <c r="DZ265">
        <v>69</v>
      </c>
      <c r="EA265">
        <v>31</v>
      </c>
      <c r="EB265">
        <v>309</v>
      </c>
      <c r="EC265">
        <v>149</v>
      </c>
      <c r="ED265">
        <v>43</v>
      </c>
      <c r="EE265" s="82">
        <v>0.113234306692112</v>
      </c>
      <c r="EF265" s="82">
        <v>0.39000213880868401</v>
      </c>
    </row>
    <row r="266" spans="1:136" x14ac:dyDescent="0.35">
      <c r="A266" s="72">
        <v>638</v>
      </c>
      <c r="B266" s="72">
        <v>8</v>
      </c>
      <c r="D266" s="72" t="s">
        <v>359</v>
      </c>
      <c r="E266" s="79">
        <v>781600000</v>
      </c>
      <c r="F266" s="79">
        <v>323400000</v>
      </c>
      <c r="G266" s="79">
        <v>327250000</v>
      </c>
      <c r="H266" s="79">
        <v>8430</v>
      </c>
      <c r="I266" s="79">
        <v>2</v>
      </c>
      <c r="J266" s="79">
        <v>327.25</v>
      </c>
      <c r="K266" s="79">
        <v>1841</v>
      </c>
      <c r="L266" s="79">
        <v>1694</v>
      </c>
      <c r="M266" s="79">
        <v>521</v>
      </c>
      <c r="N266" s="79">
        <v>840</v>
      </c>
      <c r="O266" s="79">
        <v>459.9</v>
      </c>
      <c r="P266" s="79">
        <v>54</v>
      </c>
      <c r="Q266" s="79">
        <v>522</v>
      </c>
      <c r="R266" s="79">
        <v>285</v>
      </c>
      <c r="S266" s="79">
        <v>0</v>
      </c>
      <c r="T266" s="79">
        <v>221</v>
      </c>
      <c r="U266" s="79">
        <v>3798</v>
      </c>
      <c r="V266" s="79">
        <v>4020</v>
      </c>
      <c r="W266" s="79">
        <v>160</v>
      </c>
      <c r="X266" s="79">
        <v>0</v>
      </c>
      <c r="Y266" s="79">
        <v>0</v>
      </c>
      <c r="Z266" s="79">
        <v>0</v>
      </c>
      <c r="AA266" s="79">
        <v>0</v>
      </c>
      <c r="AB266" s="79">
        <v>0</v>
      </c>
      <c r="AC266" s="79">
        <v>2121</v>
      </c>
      <c r="AD266" s="79">
        <v>2820.93</v>
      </c>
      <c r="AE266" s="79">
        <v>75</v>
      </c>
      <c r="AF266" s="79">
        <v>0</v>
      </c>
      <c r="AG266" s="79">
        <v>87</v>
      </c>
      <c r="AH266" s="79">
        <v>96.2</v>
      </c>
      <c r="AI266" s="79">
        <v>17.29</v>
      </c>
      <c r="AJ266" s="79">
        <v>3801</v>
      </c>
      <c r="AK266" s="79">
        <v>4941.3</v>
      </c>
      <c r="AL266" s="79">
        <v>0</v>
      </c>
      <c r="AM266" s="79">
        <v>0</v>
      </c>
      <c r="AN266" s="79">
        <v>0</v>
      </c>
      <c r="AO266" s="79">
        <v>0</v>
      </c>
      <c r="AP266" s="79">
        <v>0</v>
      </c>
      <c r="AQ266" s="79">
        <v>0</v>
      </c>
      <c r="AR266" s="80">
        <v>9.7362999999999996E-5</v>
      </c>
      <c r="AS266" s="80">
        <v>4.3390999999999998E-5</v>
      </c>
      <c r="AT266" s="79">
        <v>2812.74</v>
      </c>
      <c r="AU266" s="79">
        <v>0</v>
      </c>
      <c r="AV266" s="79">
        <v>1834.07</v>
      </c>
      <c r="AW266" s="79">
        <v>14576.491120218599</v>
      </c>
      <c r="AX266" s="79">
        <v>4</v>
      </c>
      <c r="AY266" s="79">
        <v>5.32</v>
      </c>
      <c r="AZ266" s="79">
        <v>1021</v>
      </c>
      <c r="BA266" s="79">
        <v>1</v>
      </c>
      <c r="BB266" s="79">
        <v>0</v>
      </c>
      <c r="BC266" s="79">
        <v>0</v>
      </c>
      <c r="BD266" s="79">
        <v>0</v>
      </c>
      <c r="BE266" s="79">
        <v>0</v>
      </c>
      <c r="BF266" s="79">
        <v>0</v>
      </c>
      <c r="BG266" s="79">
        <v>0</v>
      </c>
      <c r="BH266" s="79">
        <v>0</v>
      </c>
      <c r="BI266" s="79">
        <v>0</v>
      </c>
      <c r="BJ266" s="79">
        <v>0</v>
      </c>
      <c r="BK266" s="79">
        <v>0</v>
      </c>
      <c r="BL266" s="79">
        <v>929</v>
      </c>
      <c r="BM266" s="79">
        <v>74</v>
      </c>
      <c r="BN266" s="79">
        <v>13</v>
      </c>
      <c r="BO266">
        <v>2149</v>
      </c>
      <c r="BP266">
        <v>0</v>
      </c>
      <c r="BQ266">
        <v>1808</v>
      </c>
      <c r="BR266">
        <v>0</v>
      </c>
      <c r="BS266">
        <v>1743</v>
      </c>
      <c r="BT266">
        <v>0</v>
      </c>
      <c r="BU266">
        <v>1733</v>
      </c>
      <c r="BV266">
        <v>0</v>
      </c>
      <c r="BW266">
        <v>1694</v>
      </c>
      <c r="BX266">
        <v>0</v>
      </c>
      <c r="BY266">
        <v>1629</v>
      </c>
      <c r="BZ266">
        <v>0</v>
      </c>
      <c r="CA266">
        <v>1638</v>
      </c>
      <c r="CB266">
        <v>97.459437929241304</v>
      </c>
      <c r="CC266">
        <v>14.070862843082001</v>
      </c>
      <c r="CD266">
        <v>16.053847165255501</v>
      </c>
      <c r="CE266">
        <v>2544.8696256193798</v>
      </c>
      <c r="CF266">
        <v>561.65237057373997</v>
      </c>
      <c r="CG266">
        <v>60.776311926605501</v>
      </c>
      <c r="CH266">
        <v>79</v>
      </c>
      <c r="CI266">
        <v>24.4386047258525</v>
      </c>
      <c r="CJ266">
        <v>16.3187541467437</v>
      </c>
      <c r="CK266" s="81">
        <v>468</v>
      </c>
      <c r="CL266">
        <v>297</v>
      </c>
      <c r="CM266">
        <v>1143.9216159625601</v>
      </c>
      <c r="CN266">
        <v>4.0782300005391701E-2</v>
      </c>
      <c r="CO266">
        <v>6736</v>
      </c>
      <c r="CP266">
        <v>1003</v>
      </c>
      <c r="CQ266">
        <v>170</v>
      </c>
      <c r="CR266">
        <v>187</v>
      </c>
      <c r="CS266">
        <v>170</v>
      </c>
      <c r="CT266">
        <v>84</v>
      </c>
      <c r="CU266">
        <v>72.331353844880695</v>
      </c>
      <c r="CV266">
        <v>43.302047953958699</v>
      </c>
      <c r="CW266">
        <v>14.514652945461</v>
      </c>
      <c r="CX266">
        <v>198.088699069618</v>
      </c>
      <c r="CY266">
        <v>118.588217837664</v>
      </c>
      <c r="CZ266">
        <v>39.7502406159769</v>
      </c>
      <c r="DA266">
        <v>115705</v>
      </c>
      <c r="DE266">
        <v>855</v>
      </c>
      <c r="DF266" t="s">
        <v>296</v>
      </c>
      <c r="DG266">
        <v>40121</v>
      </c>
      <c r="DH266">
        <v>40083</v>
      </c>
      <c r="DI266">
        <v>40242</v>
      </c>
      <c r="DJ266">
        <v>40301</v>
      </c>
      <c r="DK266">
        <v>40177</v>
      </c>
      <c r="DO266">
        <v>638</v>
      </c>
      <c r="DP266" t="s">
        <v>359</v>
      </c>
      <c r="DQ266">
        <v>3801</v>
      </c>
      <c r="DR266">
        <v>1.3</v>
      </c>
      <c r="DS266">
        <v>740</v>
      </c>
      <c r="DV266">
        <v>1667</v>
      </c>
      <c r="DW266" t="s">
        <v>253</v>
      </c>
      <c r="DX266">
        <v>1346.9751225028299</v>
      </c>
      <c r="DY266">
        <v>236</v>
      </c>
      <c r="DZ266">
        <v>245</v>
      </c>
      <c r="EA266">
        <v>115</v>
      </c>
      <c r="EB266">
        <v>933</v>
      </c>
      <c r="EC266">
        <v>503</v>
      </c>
      <c r="ED266">
        <v>164</v>
      </c>
      <c r="EE266" s="82">
        <v>0.13916461692166701</v>
      </c>
      <c r="EF266" s="82">
        <v>0.42992500956889801</v>
      </c>
    </row>
    <row r="267" spans="1:136" x14ac:dyDescent="0.35">
      <c r="A267" s="72">
        <v>1892</v>
      </c>
      <c r="B267" s="72">
        <v>8</v>
      </c>
      <c r="D267" s="72" t="s">
        <v>360</v>
      </c>
      <c r="E267" s="79">
        <v>3412000000</v>
      </c>
      <c r="F267" s="79">
        <v>639800000</v>
      </c>
      <c r="G267" s="79">
        <v>649950000</v>
      </c>
      <c r="H267" s="79">
        <v>41882</v>
      </c>
      <c r="I267" s="79">
        <v>4</v>
      </c>
      <c r="J267" s="79">
        <v>649.95000000000005</v>
      </c>
      <c r="K267" s="79">
        <v>10231</v>
      </c>
      <c r="L267" s="79">
        <v>7561</v>
      </c>
      <c r="M267" s="79">
        <v>2325</v>
      </c>
      <c r="N267" s="79">
        <v>4114</v>
      </c>
      <c r="O267" s="79">
        <v>2338.9</v>
      </c>
      <c r="P267" s="79">
        <v>538.33333333333303</v>
      </c>
      <c r="Q267" s="79">
        <v>1963.3333333333301</v>
      </c>
      <c r="R267" s="79">
        <v>2170</v>
      </c>
      <c r="S267" s="79">
        <v>0</v>
      </c>
      <c r="T267" s="79">
        <v>1237</v>
      </c>
      <c r="U267" s="79">
        <v>17471</v>
      </c>
      <c r="V267" s="79">
        <v>28630</v>
      </c>
      <c r="W267" s="79">
        <v>3860</v>
      </c>
      <c r="X267" s="79">
        <v>0</v>
      </c>
      <c r="Y267" s="79">
        <v>664</v>
      </c>
      <c r="Z267" s="79">
        <v>0</v>
      </c>
      <c r="AA267" s="79">
        <v>0</v>
      </c>
      <c r="AB267" s="79">
        <v>106.2</v>
      </c>
      <c r="AC267" s="79">
        <v>5816</v>
      </c>
      <c r="AD267" s="79">
        <v>8026.08</v>
      </c>
      <c r="AE267" s="79">
        <v>589</v>
      </c>
      <c r="AF267" s="79">
        <v>0</v>
      </c>
      <c r="AG267" s="79">
        <v>251</v>
      </c>
      <c r="AH267" s="79">
        <v>301.60000000000002</v>
      </c>
      <c r="AI267" s="79">
        <v>58.05</v>
      </c>
      <c r="AJ267" s="79">
        <v>17751</v>
      </c>
      <c r="AK267" s="79">
        <v>25738.95</v>
      </c>
      <c r="AL267" s="79">
        <v>0</v>
      </c>
      <c r="AM267" s="79">
        <v>0</v>
      </c>
      <c r="AN267" s="79">
        <v>0</v>
      </c>
      <c r="AO267" s="79">
        <v>0</v>
      </c>
      <c r="AP267" s="79">
        <v>0</v>
      </c>
      <c r="AQ267" s="79">
        <v>0</v>
      </c>
      <c r="AR267" s="80">
        <v>2.5454699999999999E-4</v>
      </c>
      <c r="AS267" s="80">
        <v>4.1769300000000001E-4</v>
      </c>
      <c r="AT267" s="79">
        <v>20591.16</v>
      </c>
      <c r="AU267" s="79">
        <v>0</v>
      </c>
      <c r="AV267" s="79">
        <v>6345.24</v>
      </c>
      <c r="AW267" s="79">
        <v>98990.608149882901</v>
      </c>
      <c r="AX267" s="79">
        <v>13</v>
      </c>
      <c r="AY267" s="79">
        <v>17.55</v>
      </c>
      <c r="AZ267" s="79">
        <v>4780</v>
      </c>
      <c r="BA267" s="79">
        <v>1</v>
      </c>
      <c r="BB267" s="79">
        <v>0</v>
      </c>
      <c r="BC267" s="79">
        <v>0</v>
      </c>
      <c r="BD267" s="79">
        <v>0</v>
      </c>
      <c r="BE267" s="79">
        <v>0</v>
      </c>
      <c r="BF267" s="79">
        <v>0</v>
      </c>
      <c r="BG267" s="79">
        <v>0</v>
      </c>
      <c r="BH267" s="79">
        <v>0</v>
      </c>
      <c r="BI267" s="79">
        <v>0</v>
      </c>
      <c r="BJ267" s="79">
        <v>0</v>
      </c>
      <c r="BK267" s="79">
        <v>14</v>
      </c>
      <c r="BL267" s="79">
        <v>4542</v>
      </c>
      <c r="BM267" s="79">
        <v>208</v>
      </c>
      <c r="BN267" s="79">
        <v>43</v>
      </c>
      <c r="BO267">
        <v>10993</v>
      </c>
      <c r="BP267">
        <v>658</v>
      </c>
      <c r="BQ267">
        <v>9717</v>
      </c>
      <c r="BR267">
        <v>647</v>
      </c>
      <c r="BS267">
        <v>9544</v>
      </c>
      <c r="BT267">
        <v>623</v>
      </c>
      <c r="BU267">
        <v>9463</v>
      </c>
      <c r="BV267">
        <v>598</v>
      </c>
      <c r="BW267">
        <v>9285</v>
      </c>
      <c r="BX267">
        <v>640</v>
      </c>
      <c r="BY267">
        <v>9180</v>
      </c>
      <c r="BZ267">
        <v>681</v>
      </c>
      <c r="CA267">
        <v>9145</v>
      </c>
      <c r="CB267">
        <v>673.63685141957296</v>
      </c>
      <c r="CC267">
        <v>92.774933374612203</v>
      </c>
      <c r="CD267">
        <v>105.705739852698</v>
      </c>
      <c r="CE267">
        <v>13503.8206685885</v>
      </c>
      <c r="CF267">
        <v>3858.9430468978599</v>
      </c>
      <c r="CG267">
        <v>253.63570730304801</v>
      </c>
      <c r="CH267">
        <v>504</v>
      </c>
      <c r="CI267">
        <v>181.94023226057999</v>
      </c>
      <c r="CJ267">
        <v>132.67856632352499</v>
      </c>
      <c r="CK267" s="81">
        <v>1425</v>
      </c>
      <c r="CL267">
        <v>456</v>
      </c>
      <c r="CM267">
        <v>4962.5315465227104</v>
      </c>
      <c r="CN267">
        <v>0.49349708962497202</v>
      </c>
      <c r="CO267">
        <v>34321</v>
      </c>
      <c r="CP267">
        <v>4497</v>
      </c>
      <c r="CQ267">
        <v>739</v>
      </c>
      <c r="CR267">
        <v>841</v>
      </c>
      <c r="CS267">
        <v>769</v>
      </c>
      <c r="CT267">
        <v>361</v>
      </c>
      <c r="CU267">
        <v>367.83534927322597</v>
      </c>
      <c r="CV267">
        <v>217.77644425094701</v>
      </c>
      <c r="CW267">
        <v>67.454046858127398</v>
      </c>
      <c r="CX267">
        <v>950.75513094574796</v>
      </c>
      <c r="CY267">
        <v>562.89334937439799</v>
      </c>
      <c r="CZ267">
        <v>174.35051111899099</v>
      </c>
      <c r="DA267">
        <v>31390</v>
      </c>
      <c r="DE267">
        <v>856</v>
      </c>
      <c r="DF267" t="s">
        <v>301</v>
      </c>
      <c r="DG267">
        <v>8975</v>
      </c>
      <c r="DH267">
        <v>8909</v>
      </c>
      <c r="DI267">
        <v>8881</v>
      </c>
      <c r="DJ267">
        <v>8792</v>
      </c>
      <c r="DK267">
        <v>8663</v>
      </c>
      <c r="DO267">
        <v>1892</v>
      </c>
      <c r="DP267" t="s">
        <v>360</v>
      </c>
      <c r="DQ267">
        <v>17751</v>
      </c>
      <c r="DR267">
        <v>1.45</v>
      </c>
      <c r="DS267">
        <v>1160</v>
      </c>
      <c r="DV267">
        <v>275</v>
      </c>
      <c r="DW267" t="s">
        <v>254</v>
      </c>
      <c r="DX267">
        <v>7154.4236207640297</v>
      </c>
      <c r="DY267">
        <v>1323</v>
      </c>
      <c r="DZ267">
        <v>1399</v>
      </c>
      <c r="EA267">
        <v>820</v>
      </c>
      <c r="EB267">
        <v>3574</v>
      </c>
      <c r="EC267">
        <v>2698</v>
      </c>
      <c r="ED267">
        <v>1149</v>
      </c>
      <c r="EE267" s="82">
        <v>0.228455771773209</v>
      </c>
      <c r="EF267" s="82">
        <v>0.45714514872359002</v>
      </c>
    </row>
    <row r="268" spans="1:136" x14ac:dyDescent="0.35">
      <c r="A268" s="72">
        <v>642</v>
      </c>
      <c r="B268" s="72">
        <v>8</v>
      </c>
      <c r="D268" s="72" t="s">
        <v>364</v>
      </c>
      <c r="E268" s="79">
        <v>2984800000</v>
      </c>
      <c r="F268" s="79">
        <v>609350000</v>
      </c>
      <c r="G268" s="79">
        <v>616700000</v>
      </c>
      <c r="H268" s="79">
        <v>44586</v>
      </c>
      <c r="I268" s="79">
        <v>2</v>
      </c>
      <c r="J268" s="79">
        <v>616.70000000000005</v>
      </c>
      <c r="K268" s="79">
        <v>9867</v>
      </c>
      <c r="L268" s="79">
        <v>9916</v>
      </c>
      <c r="M268" s="79">
        <v>3281</v>
      </c>
      <c r="N268" s="79">
        <v>6438</v>
      </c>
      <c r="O268" s="79">
        <v>4391.7</v>
      </c>
      <c r="P268" s="79">
        <v>1050</v>
      </c>
      <c r="Q268" s="79">
        <v>3065</v>
      </c>
      <c r="R268" s="79">
        <v>4400</v>
      </c>
      <c r="S268" s="79">
        <v>0</v>
      </c>
      <c r="T268" s="79">
        <v>1832</v>
      </c>
      <c r="U268" s="79">
        <v>20485</v>
      </c>
      <c r="V268" s="79">
        <v>42500</v>
      </c>
      <c r="W268" s="79">
        <v>21770</v>
      </c>
      <c r="X268" s="79">
        <v>469.26</v>
      </c>
      <c r="Y268" s="79">
        <v>2714.4</v>
      </c>
      <c r="Z268" s="79">
        <v>0</v>
      </c>
      <c r="AA268" s="79">
        <v>0</v>
      </c>
      <c r="AB268" s="79">
        <v>260.2</v>
      </c>
      <c r="AC268" s="79">
        <v>2029</v>
      </c>
      <c r="AD268" s="79">
        <v>2718.86</v>
      </c>
      <c r="AE268" s="79">
        <v>249</v>
      </c>
      <c r="AF268" s="79">
        <v>0</v>
      </c>
      <c r="AG268" s="79">
        <v>230</v>
      </c>
      <c r="AH268" s="79">
        <v>251.92</v>
      </c>
      <c r="AI268" s="79">
        <v>54.53</v>
      </c>
      <c r="AJ268" s="79">
        <v>20463</v>
      </c>
      <c r="AK268" s="79">
        <v>27420.42</v>
      </c>
      <c r="AL268" s="79">
        <v>0</v>
      </c>
      <c r="AM268" s="79">
        <v>0</v>
      </c>
      <c r="AN268" s="79">
        <v>0</v>
      </c>
      <c r="AO268" s="79">
        <v>0</v>
      </c>
      <c r="AP268" s="79">
        <v>2450</v>
      </c>
      <c r="AQ268" s="79">
        <v>0</v>
      </c>
      <c r="AR268" s="80">
        <v>3.7453299999999997E-4</v>
      </c>
      <c r="AS268" s="80">
        <v>2.1429280000000001E-3</v>
      </c>
      <c r="AT268" s="79">
        <v>41908.224000000002</v>
      </c>
      <c r="AU268" s="79">
        <v>0</v>
      </c>
      <c r="AV268" s="79">
        <v>1729.94</v>
      </c>
      <c r="AW268" s="79">
        <v>74878.252941176499</v>
      </c>
      <c r="AX268" s="79">
        <v>3</v>
      </c>
      <c r="AY268" s="79">
        <v>3.99</v>
      </c>
      <c r="AZ268" s="79">
        <v>3902</v>
      </c>
      <c r="BA268" s="79">
        <v>1</v>
      </c>
      <c r="BB268" s="79">
        <v>0</v>
      </c>
      <c r="BC268" s="79">
        <v>0</v>
      </c>
      <c r="BD268" s="79">
        <v>0</v>
      </c>
      <c r="BE268" s="79">
        <v>0</v>
      </c>
      <c r="BF268" s="79">
        <v>0</v>
      </c>
      <c r="BG268" s="79">
        <v>0</v>
      </c>
      <c r="BH268" s="79">
        <v>0</v>
      </c>
      <c r="BI268" s="79">
        <v>0</v>
      </c>
      <c r="BJ268" s="79">
        <v>0</v>
      </c>
      <c r="BK268" s="79">
        <v>64</v>
      </c>
      <c r="BL268" s="79">
        <v>6803</v>
      </c>
      <c r="BM268" s="79">
        <v>188</v>
      </c>
      <c r="BN268" s="79">
        <v>41</v>
      </c>
      <c r="BO268">
        <v>10127</v>
      </c>
      <c r="BP268">
        <v>2848</v>
      </c>
      <c r="BQ268">
        <v>8978</v>
      </c>
      <c r="BR268">
        <v>2857</v>
      </c>
      <c r="BS268">
        <v>8911</v>
      </c>
      <c r="BT268">
        <v>3285</v>
      </c>
      <c r="BU268">
        <v>8868</v>
      </c>
      <c r="BV268">
        <v>3209</v>
      </c>
      <c r="BW268">
        <v>8835</v>
      </c>
      <c r="BX268">
        <v>3288</v>
      </c>
      <c r="BY268">
        <v>8818</v>
      </c>
      <c r="BZ268">
        <v>3425</v>
      </c>
      <c r="CA268">
        <v>8840</v>
      </c>
      <c r="CB268">
        <v>1457.95674655582</v>
      </c>
      <c r="CC268">
        <v>226.59803274849</v>
      </c>
      <c r="CD268">
        <v>167.902257566581</v>
      </c>
      <c r="CE268">
        <v>13399.1625616692</v>
      </c>
      <c r="CF268">
        <v>3025.2635769292501</v>
      </c>
      <c r="CG268">
        <v>414.19464005702099</v>
      </c>
      <c r="CH268">
        <v>709</v>
      </c>
      <c r="CI268">
        <v>459.73887870028602</v>
      </c>
      <c r="CJ268">
        <v>410.09738681816799</v>
      </c>
      <c r="CK268" s="81">
        <v>2015</v>
      </c>
      <c r="CL268">
        <v>472</v>
      </c>
      <c r="CM268">
        <v>7561.9075610743703</v>
      </c>
      <c r="CN268">
        <v>2.4551528856246998</v>
      </c>
      <c r="CO268">
        <v>34670</v>
      </c>
      <c r="CP268">
        <v>5359</v>
      </c>
      <c r="CQ268">
        <v>1276</v>
      </c>
      <c r="CR268">
        <v>1154</v>
      </c>
      <c r="CS268">
        <v>1195</v>
      </c>
      <c r="CT268">
        <v>686</v>
      </c>
      <c r="CU268">
        <v>720.410982614197</v>
      </c>
      <c r="CV268">
        <v>506.88434344198203</v>
      </c>
      <c r="CW268">
        <v>206.01565186465001</v>
      </c>
      <c r="CX268">
        <v>1534.6362642650899</v>
      </c>
      <c r="CY268">
        <v>1079.7768412851201</v>
      </c>
      <c r="CZ268">
        <v>438.859342774646</v>
      </c>
      <c r="DA268">
        <v>23814</v>
      </c>
      <c r="DE268">
        <v>858</v>
      </c>
      <c r="DF268" t="s">
        <v>309</v>
      </c>
      <c r="DG268">
        <v>5981</v>
      </c>
      <c r="DH268">
        <v>5884</v>
      </c>
      <c r="DI268">
        <v>5730</v>
      </c>
      <c r="DJ268">
        <v>5667</v>
      </c>
      <c r="DK268">
        <v>5552</v>
      </c>
      <c r="DO268">
        <v>642</v>
      </c>
      <c r="DP268" t="s">
        <v>364</v>
      </c>
      <c r="DQ268">
        <v>20463</v>
      </c>
      <c r="DR268">
        <v>1.34</v>
      </c>
      <c r="DS268">
        <v>2048</v>
      </c>
      <c r="DV268">
        <v>340</v>
      </c>
      <c r="DW268" t="s">
        <v>255</v>
      </c>
      <c r="DX268">
        <v>2186.7870243293801</v>
      </c>
      <c r="DY268">
        <v>443</v>
      </c>
      <c r="DZ268">
        <v>459</v>
      </c>
      <c r="EA268">
        <v>230</v>
      </c>
      <c r="EB268">
        <v>1412</v>
      </c>
      <c r="EC268">
        <v>953</v>
      </c>
      <c r="ED268">
        <v>356</v>
      </c>
      <c r="EE268" s="82">
        <v>0.16957433731871099</v>
      </c>
      <c r="EF268" s="82">
        <v>0.41502120714199497</v>
      </c>
    </row>
    <row r="269" spans="1:136" x14ac:dyDescent="0.35">
      <c r="A269" s="72">
        <v>654</v>
      </c>
      <c r="B269" s="72">
        <v>9</v>
      </c>
      <c r="D269" s="72" t="s">
        <v>57</v>
      </c>
      <c r="E269" s="79">
        <v>1634400000</v>
      </c>
      <c r="F269" s="79">
        <v>808150000</v>
      </c>
      <c r="G269" s="79">
        <v>838950000</v>
      </c>
      <c r="H269" s="79">
        <v>22716</v>
      </c>
      <c r="I269" s="79">
        <v>6</v>
      </c>
      <c r="J269" s="79">
        <v>838.95</v>
      </c>
      <c r="K269" s="79">
        <v>5421</v>
      </c>
      <c r="L269" s="79">
        <v>4474</v>
      </c>
      <c r="M269" s="79">
        <v>1376</v>
      </c>
      <c r="N269" s="79">
        <v>2653</v>
      </c>
      <c r="O269" s="79">
        <v>1637.3</v>
      </c>
      <c r="P269" s="79">
        <v>229.666666666667</v>
      </c>
      <c r="Q269" s="79">
        <v>1181.6666666666699</v>
      </c>
      <c r="R269" s="79">
        <v>350</v>
      </c>
      <c r="S269" s="79">
        <v>0</v>
      </c>
      <c r="T269" s="79">
        <v>544</v>
      </c>
      <c r="U269" s="79">
        <v>9731</v>
      </c>
      <c r="V269" s="79">
        <v>18080</v>
      </c>
      <c r="W269" s="79">
        <v>5320</v>
      </c>
      <c r="X269" s="79">
        <v>0</v>
      </c>
      <c r="Y269" s="79">
        <v>0</v>
      </c>
      <c r="Z269" s="79">
        <v>0</v>
      </c>
      <c r="AA269" s="79">
        <v>0</v>
      </c>
      <c r="AB269" s="79">
        <v>0</v>
      </c>
      <c r="AC269" s="79">
        <v>14146</v>
      </c>
      <c r="AD269" s="79">
        <v>15843.52</v>
      </c>
      <c r="AE269" s="79">
        <v>268</v>
      </c>
      <c r="AF269" s="79">
        <v>5038</v>
      </c>
      <c r="AG269" s="79">
        <v>277</v>
      </c>
      <c r="AH269" s="79">
        <v>129.91999999999999</v>
      </c>
      <c r="AI269" s="79">
        <v>181.44</v>
      </c>
      <c r="AJ269" s="79">
        <v>10157</v>
      </c>
      <c r="AK269" s="79">
        <v>11375.84</v>
      </c>
      <c r="AL269" s="79">
        <v>0</v>
      </c>
      <c r="AM269" s="79">
        <v>0</v>
      </c>
      <c r="AN269" s="79">
        <v>0</v>
      </c>
      <c r="AO269" s="79">
        <v>0</v>
      </c>
      <c r="AP269" s="79">
        <v>0</v>
      </c>
      <c r="AQ269" s="79">
        <v>0</v>
      </c>
      <c r="AR269" s="80">
        <v>6.57707E-4</v>
      </c>
      <c r="AS269" s="80">
        <v>2.03131E-4</v>
      </c>
      <c r="AT269" s="79">
        <v>3240.0830000000001</v>
      </c>
      <c r="AU269" s="79">
        <v>0</v>
      </c>
      <c r="AV269" s="79">
        <v>2479.6799999999998</v>
      </c>
      <c r="AW269" s="79">
        <v>5588.2557735534901</v>
      </c>
      <c r="AX269" s="79">
        <v>18</v>
      </c>
      <c r="AY269" s="79">
        <v>20.16</v>
      </c>
      <c r="AZ269" s="79">
        <v>2420</v>
      </c>
      <c r="BA269" s="79">
        <v>1</v>
      </c>
      <c r="BB269" s="79">
        <v>0</v>
      </c>
      <c r="BC269" s="79">
        <v>0</v>
      </c>
      <c r="BD269" s="79">
        <v>0</v>
      </c>
      <c r="BE269" s="79">
        <v>0</v>
      </c>
      <c r="BF269" s="79">
        <v>0</v>
      </c>
      <c r="BG269" s="79">
        <v>0</v>
      </c>
      <c r="BH269" s="79">
        <v>0</v>
      </c>
      <c r="BI269" s="79">
        <v>0</v>
      </c>
      <c r="BJ269" s="79">
        <v>0</v>
      </c>
      <c r="BK269" s="79">
        <v>12</v>
      </c>
      <c r="BL269" s="79">
        <v>2807</v>
      </c>
      <c r="BM269" s="79">
        <v>116</v>
      </c>
      <c r="BN269" s="79">
        <v>162</v>
      </c>
      <c r="BO269">
        <v>5989</v>
      </c>
      <c r="BP269">
        <v>0</v>
      </c>
      <c r="BQ269">
        <v>5451</v>
      </c>
      <c r="BR269">
        <v>0</v>
      </c>
      <c r="BS269">
        <v>5426</v>
      </c>
      <c r="BT269">
        <v>0</v>
      </c>
      <c r="BU269">
        <v>5376</v>
      </c>
      <c r="BV269">
        <v>0</v>
      </c>
      <c r="BW269">
        <v>5282</v>
      </c>
      <c r="BX269">
        <v>0</v>
      </c>
      <c r="BY269">
        <v>5228</v>
      </c>
      <c r="BZ269">
        <v>0</v>
      </c>
      <c r="CA269">
        <v>4859</v>
      </c>
      <c r="CB269">
        <v>346.22695900272799</v>
      </c>
      <c r="CC269">
        <v>118.86575687135399</v>
      </c>
      <c r="CD269">
        <v>49.035187634392202</v>
      </c>
      <c r="CE269">
        <v>6513.87244526833</v>
      </c>
      <c r="CF269">
        <v>1649.41451647593</v>
      </c>
      <c r="CG269">
        <v>178.55908473592601</v>
      </c>
      <c r="CH269">
        <v>239</v>
      </c>
      <c r="CI269">
        <v>70.063794559791106</v>
      </c>
      <c r="CJ269">
        <v>56.406128463744601</v>
      </c>
      <c r="CK269" s="81">
        <v>952</v>
      </c>
      <c r="CL269">
        <v>264</v>
      </c>
      <c r="CM269">
        <v>2974.1765858836002</v>
      </c>
      <c r="CN269">
        <v>0.168930167682211</v>
      </c>
      <c r="CO269">
        <v>18242</v>
      </c>
      <c r="CP269">
        <v>2566</v>
      </c>
      <c r="CQ269">
        <v>532</v>
      </c>
      <c r="CR269">
        <v>477</v>
      </c>
      <c r="CS269">
        <v>443</v>
      </c>
      <c r="CT269">
        <v>256</v>
      </c>
      <c r="CU269">
        <v>257.25962248703797</v>
      </c>
      <c r="CV269">
        <v>154.90382030704501</v>
      </c>
      <c r="CW269">
        <v>62.380622745917101</v>
      </c>
      <c r="CX269">
        <v>698.33121266707406</v>
      </c>
      <c r="CY269">
        <v>420.48640060968501</v>
      </c>
      <c r="CZ269">
        <v>169.332192545211</v>
      </c>
      <c r="DA269">
        <v>0</v>
      </c>
      <c r="DE269">
        <v>861</v>
      </c>
      <c r="DF269" t="s">
        <v>313</v>
      </c>
      <c r="DG269">
        <v>9074</v>
      </c>
      <c r="DH269">
        <v>8972</v>
      </c>
      <c r="DI269">
        <v>8885</v>
      </c>
      <c r="DJ269">
        <v>8785</v>
      </c>
      <c r="DK269">
        <v>8767</v>
      </c>
      <c r="DO269">
        <v>654</v>
      </c>
      <c r="DP269" t="s">
        <v>57</v>
      </c>
      <c r="DQ269">
        <v>10157</v>
      </c>
      <c r="DR269">
        <v>1.1200000000000001</v>
      </c>
      <c r="DS269">
        <v>319</v>
      </c>
      <c r="DV269">
        <v>597</v>
      </c>
      <c r="DW269" t="s">
        <v>256</v>
      </c>
      <c r="DX269">
        <v>6483.8656315609596</v>
      </c>
      <c r="DY269">
        <v>1208</v>
      </c>
      <c r="DZ269">
        <v>1313</v>
      </c>
      <c r="EA269">
        <v>678</v>
      </c>
      <c r="EB269">
        <v>3646</v>
      </c>
      <c r="EC269">
        <v>2633</v>
      </c>
      <c r="ED269">
        <v>1020</v>
      </c>
      <c r="EE269" s="82">
        <v>0.207350475519575</v>
      </c>
      <c r="EF269" s="82">
        <v>0.45316433785906901</v>
      </c>
    </row>
    <row r="270" spans="1:136" x14ac:dyDescent="0.35">
      <c r="A270" s="72">
        <v>664</v>
      </c>
      <c r="B270" s="72">
        <v>9</v>
      </c>
      <c r="D270" s="72" t="s">
        <v>116</v>
      </c>
      <c r="E270" s="79">
        <v>2940800000</v>
      </c>
      <c r="F270" s="79">
        <v>756350000</v>
      </c>
      <c r="G270" s="79">
        <v>794150000</v>
      </c>
      <c r="H270" s="79">
        <v>37636</v>
      </c>
      <c r="I270" s="79">
        <v>3</v>
      </c>
      <c r="J270" s="79">
        <v>794.15</v>
      </c>
      <c r="K270" s="79">
        <v>7787</v>
      </c>
      <c r="L270" s="79">
        <v>8635</v>
      </c>
      <c r="M270" s="79">
        <v>2732</v>
      </c>
      <c r="N270" s="79">
        <v>5820</v>
      </c>
      <c r="O270" s="79">
        <v>3955.1</v>
      </c>
      <c r="P270" s="79">
        <v>751.66666666666697</v>
      </c>
      <c r="Q270" s="79">
        <v>2940.6666666666702</v>
      </c>
      <c r="R270" s="79">
        <v>1440</v>
      </c>
      <c r="S270" s="79">
        <v>0</v>
      </c>
      <c r="T270" s="79">
        <v>1137</v>
      </c>
      <c r="U270" s="79">
        <v>18483</v>
      </c>
      <c r="V270" s="79">
        <v>42520</v>
      </c>
      <c r="W270" s="79">
        <v>49940</v>
      </c>
      <c r="X270" s="79">
        <v>3319.56</v>
      </c>
      <c r="Y270" s="79">
        <v>4671.2</v>
      </c>
      <c r="Z270" s="79">
        <v>0</v>
      </c>
      <c r="AA270" s="79">
        <v>0</v>
      </c>
      <c r="AB270" s="79">
        <v>0</v>
      </c>
      <c r="AC270" s="79">
        <v>9253</v>
      </c>
      <c r="AD270" s="79">
        <v>10733.48</v>
      </c>
      <c r="AE270" s="79">
        <v>631</v>
      </c>
      <c r="AF270" s="79">
        <v>307</v>
      </c>
      <c r="AG270" s="79">
        <v>264</v>
      </c>
      <c r="AH270" s="79">
        <v>270.83999999999997</v>
      </c>
      <c r="AI270" s="79">
        <v>48.3</v>
      </c>
      <c r="AJ270" s="79">
        <v>18649</v>
      </c>
      <c r="AK270" s="79">
        <v>22751.78</v>
      </c>
      <c r="AL270" s="79">
        <v>21</v>
      </c>
      <c r="AM270" s="79">
        <v>0</v>
      </c>
      <c r="AN270" s="79">
        <v>0</v>
      </c>
      <c r="AO270" s="79">
        <v>2350</v>
      </c>
      <c r="AP270" s="79">
        <v>2371</v>
      </c>
      <c r="AQ270" s="79">
        <v>2371</v>
      </c>
      <c r="AR270" s="80">
        <v>1.723544E-3</v>
      </c>
      <c r="AS270" s="80">
        <v>1.8454540000000001E-3</v>
      </c>
      <c r="AT270" s="79">
        <v>24374.242999999999</v>
      </c>
      <c r="AU270" s="79">
        <v>0</v>
      </c>
      <c r="AV270" s="79">
        <v>2919.72</v>
      </c>
      <c r="AW270" s="79">
        <v>16108.847705382401</v>
      </c>
      <c r="AX270" s="79">
        <v>7</v>
      </c>
      <c r="AY270" s="79">
        <v>8.0500000000000007</v>
      </c>
      <c r="AZ270" s="79">
        <v>4213</v>
      </c>
      <c r="BA270" s="79">
        <v>1</v>
      </c>
      <c r="BB270" s="79">
        <v>0</v>
      </c>
      <c r="BC270" s="79">
        <v>0</v>
      </c>
      <c r="BD270" s="79">
        <v>0</v>
      </c>
      <c r="BE270" s="79">
        <v>0</v>
      </c>
      <c r="BF270" s="79">
        <v>0</v>
      </c>
      <c r="BG270" s="79">
        <v>0</v>
      </c>
      <c r="BH270" s="79">
        <v>0</v>
      </c>
      <c r="BI270" s="79">
        <v>0</v>
      </c>
      <c r="BJ270" s="79">
        <v>0</v>
      </c>
      <c r="BK270" s="79">
        <v>24</v>
      </c>
      <c r="BL270" s="79">
        <v>6615</v>
      </c>
      <c r="BM270" s="79">
        <v>222</v>
      </c>
      <c r="BN270" s="79">
        <v>42</v>
      </c>
      <c r="BO270">
        <v>8347</v>
      </c>
      <c r="BP270">
        <v>6106</v>
      </c>
      <c r="BQ270">
        <v>7508</v>
      </c>
      <c r="BR270">
        <v>6080</v>
      </c>
      <c r="BS270">
        <v>7323</v>
      </c>
      <c r="BT270">
        <v>6122</v>
      </c>
      <c r="BU270">
        <v>7269</v>
      </c>
      <c r="BV270">
        <v>5968</v>
      </c>
      <c r="BW270">
        <v>7259</v>
      </c>
      <c r="BX270">
        <v>5913</v>
      </c>
      <c r="BY270">
        <v>7149</v>
      </c>
      <c r="BZ270">
        <v>5890</v>
      </c>
      <c r="CA270">
        <v>6926</v>
      </c>
      <c r="CB270">
        <v>681.87328511973499</v>
      </c>
      <c r="CC270">
        <v>130.71819905096399</v>
      </c>
      <c r="CD270">
        <v>131.50142122328</v>
      </c>
      <c r="CE270">
        <v>11235.929977846001</v>
      </c>
      <c r="CF270">
        <v>2515.0456091690098</v>
      </c>
      <c r="CG270">
        <v>263.37117133001198</v>
      </c>
      <c r="CH270">
        <v>400</v>
      </c>
      <c r="CI270">
        <v>187.00468187150599</v>
      </c>
      <c r="CJ270">
        <v>179.506295614181</v>
      </c>
      <c r="CK270" s="81">
        <v>2189</v>
      </c>
      <c r="CL270">
        <v>702</v>
      </c>
      <c r="CM270">
        <v>7336.7895761550199</v>
      </c>
      <c r="CN270">
        <v>1.6068049681158001</v>
      </c>
      <c r="CO270">
        <v>29001</v>
      </c>
      <c r="CP270">
        <v>4654</v>
      </c>
      <c r="CQ270">
        <v>1249</v>
      </c>
      <c r="CR270">
        <v>999</v>
      </c>
      <c r="CS270">
        <v>891</v>
      </c>
      <c r="CT270">
        <v>660</v>
      </c>
      <c r="CU270">
        <v>611.24200414069605</v>
      </c>
      <c r="CV270">
        <v>397.03158631206901</v>
      </c>
      <c r="CW270">
        <v>184.30579514166001</v>
      </c>
      <c r="CX270">
        <v>1294.6372609944499</v>
      </c>
      <c r="CY270">
        <v>840.93024031283903</v>
      </c>
      <c r="CZ270">
        <v>390.36772373496598</v>
      </c>
      <c r="DA270">
        <v>95474.5</v>
      </c>
      <c r="DE270">
        <v>865</v>
      </c>
      <c r="DF270" t="s">
        <v>324</v>
      </c>
      <c r="DG270">
        <v>5660</v>
      </c>
      <c r="DH270">
        <v>5613</v>
      </c>
      <c r="DI270">
        <v>5638</v>
      </c>
      <c r="DJ270">
        <v>5624</v>
      </c>
      <c r="DK270">
        <v>5459</v>
      </c>
      <c r="DO270">
        <v>664</v>
      </c>
      <c r="DP270" t="s">
        <v>116</v>
      </c>
      <c r="DQ270">
        <v>18649</v>
      </c>
      <c r="DR270">
        <v>1.22</v>
      </c>
      <c r="DS270">
        <v>1307</v>
      </c>
      <c r="DV270">
        <v>1742</v>
      </c>
      <c r="DW270" t="s">
        <v>257</v>
      </c>
      <c r="DX270">
        <v>3798.0168971909302</v>
      </c>
      <c r="DY270">
        <v>621</v>
      </c>
      <c r="DZ270">
        <v>714</v>
      </c>
      <c r="EA270">
        <v>434</v>
      </c>
      <c r="EB270">
        <v>2266</v>
      </c>
      <c r="EC270">
        <v>1516</v>
      </c>
      <c r="ED270">
        <v>635</v>
      </c>
      <c r="EE270" s="82">
        <v>0.14544506250426101</v>
      </c>
      <c r="EF270" s="82">
        <v>0.47753270234147599</v>
      </c>
    </row>
    <row r="271" spans="1:136" x14ac:dyDescent="0.35">
      <c r="A271" s="72">
        <v>677</v>
      </c>
      <c r="B271" s="72">
        <v>9</v>
      </c>
      <c r="D271" s="72" t="s">
        <v>161</v>
      </c>
      <c r="E271" s="79">
        <v>2003200000</v>
      </c>
      <c r="F271" s="79">
        <v>292600000</v>
      </c>
      <c r="G271" s="79">
        <v>339850000</v>
      </c>
      <c r="H271" s="79">
        <v>27472</v>
      </c>
      <c r="I271" s="79">
        <v>4</v>
      </c>
      <c r="J271" s="79">
        <v>339.85</v>
      </c>
      <c r="K271" s="79">
        <v>5174</v>
      </c>
      <c r="L271" s="79">
        <v>6650</v>
      </c>
      <c r="M271" s="79">
        <v>2090</v>
      </c>
      <c r="N271" s="79">
        <v>3838</v>
      </c>
      <c r="O271" s="79">
        <v>2482.3000000000002</v>
      </c>
      <c r="P271" s="79">
        <v>304.66666666666703</v>
      </c>
      <c r="Q271" s="79">
        <v>1858.6666666666699</v>
      </c>
      <c r="R271" s="79">
        <v>405</v>
      </c>
      <c r="S271" s="79">
        <v>0</v>
      </c>
      <c r="T271" s="79">
        <v>699</v>
      </c>
      <c r="U271" s="79">
        <v>13071</v>
      </c>
      <c r="V271" s="79">
        <v>26900</v>
      </c>
      <c r="W271" s="79">
        <v>21030</v>
      </c>
      <c r="X271" s="79">
        <v>298.98</v>
      </c>
      <c r="Y271" s="79">
        <v>1106.4000000000001</v>
      </c>
      <c r="Z271" s="79">
        <v>0</v>
      </c>
      <c r="AA271" s="79">
        <v>0</v>
      </c>
      <c r="AB271" s="79">
        <v>0</v>
      </c>
      <c r="AC271" s="79">
        <v>20116</v>
      </c>
      <c r="AD271" s="79">
        <v>20920.64</v>
      </c>
      <c r="AE271" s="79">
        <v>342</v>
      </c>
      <c r="AF271" s="79">
        <v>4725</v>
      </c>
      <c r="AG271" s="79">
        <v>287</v>
      </c>
      <c r="AH271" s="79">
        <v>204</v>
      </c>
      <c r="AI271" s="79">
        <v>90.48</v>
      </c>
      <c r="AJ271" s="79">
        <v>13557</v>
      </c>
      <c r="AK271" s="79">
        <v>13828.14</v>
      </c>
      <c r="AL271" s="79">
        <v>15</v>
      </c>
      <c r="AM271" s="79">
        <v>0</v>
      </c>
      <c r="AN271" s="79">
        <v>0</v>
      </c>
      <c r="AO271" s="79">
        <v>4550</v>
      </c>
      <c r="AP271" s="79">
        <v>874</v>
      </c>
      <c r="AQ271" s="79">
        <v>874</v>
      </c>
      <c r="AR271" s="80">
        <v>1.272037E-3</v>
      </c>
      <c r="AS271" s="80">
        <v>3.3927099999999998E-4</v>
      </c>
      <c r="AT271" s="79">
        <v>6737.8289999999997</v>
      </c>
      <c r="AU271" s="79">
        <v>0</v>
      </c>
      <c r="AV271" s="79">
        <v>3108.56</v>
      </c>
      <c r="AW271" s="79">
        <v>4724.5716609639303</v>
      </c>
      <c r="AX271" s="79">
        <v>16</v>
      </c>
      <c r="AY271" s="79">
        <v>16.64</v>
      </c>
      <c r="AZ271" s="79">
        <v>2462</v>
      </c>
      <c r="BA271" s="79">
        <v>1</v>
      </c>
      <c r="BB271" s="79">
        <v>0</v>
      </c>
      <c r="BC271" s="79">
        <v>0</v>
      </c>
      <c r="BD271" s="79">
        <v>0</v>
      </c>
      <c r="BE271" s="79">
        <v>0</v>
      </c>
      <c r="BF271" s="79">
        <v>0</v>
      </c>
      <c r="BG271" s="79">
        <v>0</v>
      </c>
      <c r="BH271" s="79">
        <v>0</v>
      </c>
      <c r="BI271" s="79">
        <v>0</v>
      </c>
      <c r="BJ271" s="79">
        <v>0</v>
      </c>
      <c r="BK271" s="79">
        <v>9</v>
      </c>
      <c r="BL271" s="79">
        <v>4096</v>
      </c>
      <c r="BM271" s="79">
        <v>200</v>
      </c>
      <c r="BN271" s="79">
        <v>87</v>
      </c>
      <c r="BO271">
        <v>6077</v>
      </c>
      <c r="BP271">
        <v>1531</v>
      </c>
      <c r="BQ271">
        <v>5553</v>
      </c>
      <c r="BR271">
        <v>1484</v>
      </c>
      <c r="BS271">
        <v>5458</v>
      </c>
      <c r="BT271">
        <v>1515</v>
      </c>
      <c r="BU271">
        <v>5318</v>
      </c>
      <c r="BV271">
        <v>1555</v>
      </c>
      <c r="BW271">
        <v>5254</v>
      </c>
      <c r="BX271">
        <v>1576</v>
      </c>
      <c r="BY271">
        <v>5126</v>
      </c>
      <c r="BZ271">
        <v>1564</v>
      </c>
      <c r="CA271">
        <v>4624</v>
      </c>
      <c r="CB271">
        <v>370.36110185532999</v>
      </c>
      <c r="CC271">
        <v>60.048345934890001</v>
      </c>
      <c r="CD271">
        <v>40.2922498324454</v>
      </c>
      <c r="CE271">
        <v>8287.8683057490707</v>
      </c>
      <c r="CF271">
        <v>1891.3846213146001</v>
      </c>
      <c r="CG271">
        <v>90.708853470437006</v>
      </c>
      <c r="CH271">
        <v>258</v>
      </c>
      <c r="CI271">
        <v>81.7635228486035</v>
      </c>
      <c r="CJ271">
        <v>75.208171284992702</v>
      </c>
      <c r="CK271" s="81">
        <v>1554</v>
      </c>
      <c r="CL271">
        <v>511</v>
      </c>
      <c r="CM271">
        <v>3652.6559228408601</v>
      </c>
      <c r="CN271">
        <v>0.329029314796141</v>
      </c>
      <c r="CO271">
        <v>20822</v>
      </c>
      <c r="CP271">
        <v>3766</v>
      </c>
      <c r="CQ271">
        <v>794</v>
      </c>
      <c r="CR271">
        <v>698</v>
      </c>
      <c r="CS271">
        <v>714</v>
      </c>
      <c r="CT271">
        <v>425</v>
      </c>
      <c r="CU271">
        <v>420.29041047546099</v>
      </c>
      <c r="CV271">
        <v>270.12128777834602</v>
      </c>
      <c r="CW271">
        <v>109.513579723018</v>
      </c>
      <c r="CX271">
        <v>1040.0121553865599</v>
      </c>
      <c r="CY271">
        <v>668.41739834212694</v>
      </c>
      <c r="CZ271">
        <v>270.99227403972299</v>
      </c>
      <c r="DA271">
        <v>109681</v>
      </c>
      <c r="DE271">
        <v>866</v>
      </c>
      <c r="DF271" t="s">
        <v>326</v>
      </c>
      <c r="DG271">
        <v>3806</v>
      </c>
      <c r="DH271">
        <v>3763</v>
      </c>
      <c r="DI271">
        <v>3668</v>
      </c>
      <c r="DJ271">
        <v>3599</v>
      </c>
      <c r="DK271">
        <v>3638</v>
      </c>
      <c r="DO271">
        <v>677</v>
      </c>
      <c r="DP271" t="s">
        <v>161</v>
      </c>
      <c r="DQ271">
        <v>13557</v>
      </c>
      <c r="DR271">
        <v>1.02</v>
      </c>
      <c r="DS271">
        <v>497</v>
      </c>
      <c r="DV271">
        <v>603</v>
      </c>
      <c r="DW271" t="s">
        <v>258</v>
      </c>
      <c r="DX271">
        <v>8693.8241728298999</v>
      </c>
      <c r="DY271">
        <v>1764</v>
      </c>
      <c r="DZ271">
        <v>1558</v>
      </c>
      <c r="EA271">
        <v>1000</v>
      </c>
      <c r="EB271">
        <v>4014</v>
      </c>
      <c r="EC271">
        <v>2739</v>
      </c>
      <c r="ED271">
        <v>1341</v>
      </c>
      <c r="EE271" s="82">
        <v>0.22883819399462499</v>
      </c>
      <c r="EF271" s="82">
        <v>0.44529638226801799</v>
      </c>
    </row>
    <row r="272" spans="1:136" x14ac:dyDescent="0.35">
      <c r="A272" s="72">
        <v>678</v>
      </c>
      <c r="B272" s="72">
        <v>9</v>
      </c>
      <c r="D272" s="72" t="s">
        <v>165</v>
      </c>
      <c r="E272" s="79">
        <v>979600000</v>
      </c>
      <c r="F272" s="79">
        <v>161350000</v>
      </c>
      <c r="G272" s="79">
        <v>171500000</v>
      </c>
      <c r="H272" s="79">
        <v>12720</v>
      </c>
      <c r="I272" s="79">
        <v>2</v>
      </c>
      <c r="J272" s="79">
        <v>171.5</v>
      </c>
      <c r="K272" s="79">
        <v>3200</v>
      </c>
      <c r="L272" s="79">
        <v>2523</v>
      </c>
      <c r="M272" s="79">
        <v>753</v>
      </c>
      <c r="N272" s="79">
        <v>1228</v>
      </c>
      <c r="O272" s="79">
        <v>673.3</v>
      </c>
      <c r="P272" s="79">
        <v>91.3333333333333</v>
      </c>
      <c r="Q272" s="79">
        <v>501.33333333333297</v>
      </c>
      <c r="R272" s="79">
        <v>210</v>
      </c>
      <c r="S272" s="79">
        <v>0</v>
      </c>
      <c r="T272" s="79">
        <v>298</v>
      </c>
      <c r="U272" s="79">
        <v>5323</v>
      </c>
      <c r="V272" s="79">
        <v>12430</v>
      </c>
      <c r="W272" s="79">
        <v>6070</v>
      </c>
      <c r="X272" s="79">
        <v>473.24</v>
      </c>
      <c r="Y272" s="79">
        <v>306.39999999999998</v>
      </c>
      <c r="Z272" s="79">
        <v>0</v>
      </c>
      <c r="AA272" s="79">
        <v>0</v>
      </c>
      <c r="AB272" s="79">
        <v>383</v>
      </c>
      <c r="AC272" s="79">
        <v>3708</v>
      </c>
      <c r="AD272" s="79">
        <v>4375.4399999999996</v>
      </c>
      <c r="AE272" s="79">
        <v>109</v>
      </c>
      <c r="AF272" s="79">
        <v>1146</v>
      </c>
      <c r="AG272" s="79">
        <v>119</v>
      </c>
      <c r="AH272" s="79">
        <v>105.3</v>
      </c>
      <c r="AI272" s="79">
        <v>34.22</v>
      </c>
      <c r="AJ272" s="79">
        <v>5547</v>
      </c>
      <c r="AK272" s="79">
        <v>6489.99</v>
      </c>
      <c r="AL272" s="79">
        <v>0</v>
      </c>
      <c r="AM272" s="79">
        <v>0</v>
      </c>
      <c r="AN272" s="79">
        <v>0</v>
      </c>
      <c r="AO272" s="79">
        <v>0</v>
      </c>
      <c r="AP272" s="79">
        <v>0</v>
      </c>
      <c r="AQ272" s="79">
        <v>0</v>
      </c>
      <c r="AR272" s="80">
        <v>2.8052699999999998E-4</v>
      </c>
      <c r="AS272" s="80">
        <v>8.8933999999999999E-5</v>
      </c>
      <c r="AT272" s="79">
        <v>3538.9859999999999</v>
      </c>
      <c r="AU272" s="79">
        <v>0</v>
      </c>
      <c r="AV272" s="79">
        <v>791.78</v>
      </c>
      <c r="AW272" s="79">
        <v>4722.6957296306</v>
      </c>
      <c r="AX272" s="79">
        <v>4</v>
      </c>
      <c r="AY272" s="79">
        <v>4.72</v>
      </c>
      <c r="AZ272" s="79">
        <v>1317</v>
      </c>
      <c r="BA272" s="79">
        <v>1</v>
      </c>
      <c r="BB272" s="79">
        <v>0</v>
      </c>
      <c r="BC272" s="79">
        <v>0</v>
      </c>
      <c r="BD272" s="79">
        <v>0</v>
      </c>
      <c r="BE272" s="79">
        <v>0</v>
      </c>
      <c r="BF272" s="79">
        <v>0</v>
      </c>
      <c r="BG272" s="79">
        <v>0</v>
      </c>
      <c r="BH272" s="79">
        <v>0</v>
      </c>
      <c r="BI272" s="79">
        <v>0</v>
      </c>
      <c r="BJ272" s="79">
        <v>0</v>
      </c>
      <c r="BK272" s="79">
        <v>4</v>
      </c>
      <c r="BL272" s="79">
        <v>1413</v>
      </c>
      <c r="BM272" s="79">
        <v>90</v>
      </c>
      <c r="BN272" s="79">
        <v>29</v>
      </c>
      <c r="BO272">
        <v>3275</v>
      </c>
      <c r="BP272">
        <v>0</v>
      </c>
      <c r="BQ272">
        <v>3077</v>
      </c>
      <c r="BR272">
        <v>0</v>
      </c>
      <c r="BS272">
        <v>3070</v>
      </c>
      <c r="BT272">
        <v>0</v>
      </c>
      <c r="BU272">
        <v>3024</v>
      </c>
      <c r="BV272">
        <v>80</v>
      </c>
      <c r="BW272">
        <v>3030</v>
      </c>
      <c r="BX272">
        <v>158</v>
      </c>
      <c r="BY272">
        <v>2997</v>
      </c>
      <c r="BZ272">
        <v>235</v>
      </c>
      <c r="CA272">
        <v>2880</v>
      </c>
      <c r="CB272">
        <v>189.06634616354901</v>
      </c>
      <c r="CC272">
        <v>28.754826398159899</v>
      </c>
      <c r="CD272">
        <v>29.696170920958298</v>
      </c>
      <c r="CE272">
        <v>3721.8505610858901</v>
      </c>
      <c r="CF272">
        <v>1051.82266739949</v>
      </c>
      <c r="CG272">
        <v>96.507115956392497</v>
      </c>
      <c r="CH272">
        <v>123</v>
      </c>
      <c r="CI272">
        <v>36.529833539768099</v>
      </c>
      <c r="CJ272">
        <v>34.411285918133501</v>
      </c>
      <c r="CK272" s="81">
        <v>410</v>
      </c>
      <c r="CL272">
        <v>100</v>
      </c>
      <c r="CM272">
        <v>1603.5311654402999</v>
      </c>
      <c r="CN272">
        <v>5.9119230452260398E-2</v>
      </c>
      <c r="CO272">
        <v>10197</v>
      </c>
      <c r="CP272">
        <v>1445</v>
      </c>
      <c r="CQ272">
        <v>325</v>
      </c>
      <c r="CR272">
        <v>220</v>
      </c>
      <c r="CS272">
        <v>232</v>
      </c>
      <c r="CT272">
        <v>175</v>
      </c>
      <c r="CU272">
        <v>105.05303429081999</v>
      </c>
      <c r="CV272">
        <v>63.686885684388699</v>
      </c>
      <c r="CW272">
        <v>29.235313237976499</v>
      </c>
      <c r="CX272">
        <v>356.24280339487302</v>
      </c>
      <c r="CY272">
        <v>215.96705748534399</v>
      </c>
      <c r="CZ272">
        <v>99.139163531367601</v>
      </c>
      <c r="DA272">
        <v>0</v>
      </c>
      <c r="DE272">
        <v>867</v>
      </c>
      <c r="DF272" t="s">
        <v>327</v>
      </c>
      <c r="DG272">
        <v>9444</v>
      </c>
      <c r="DH272">
        <v>9340</v>
      </c>
      <c r="DI272">
        <v>9326</v>
      </c>
      <c r="DJ272">
        <v>9258</v>
      </c>
      <c r="DK272">
        <v>9169</v>
      </c>
      <c r="DO272">
        <v>678</v>
      </c>
      <c r="DP272" t="s">
        <v>165</v>
      </c>
      <c r="DQ272">
        <v>5547</v>
      </c>
      <c r="DR272">
        <v>1.17</v>
      </c>
      <c r="DS272">
        <v>638</v>
      </c>
      <c r="DV272">
        <v>1669</v>
      </c>
      <c r="DW272" t="s">
        <v>259</v>
      </c>
      <c r="DX272">
        <v>2749.9039103738</v>
      </c>
      <c r="DY272">
        <v>578</v>
      </c>
      <c r="DZ272">
        <v>525</v>
      </c>
      <c r="EA272">
        <v>265</v>
      </c>
      <c r="EB272">
        <v>1915</v>
      </c>
      <c r="EC272">
        <v>1115</v>
      </c>
      <c r="ED272">
        <v>374</v>
      </c>
      <c r="EE272" s="82">
        <v>0.18040215258221701</v>
      </c>
      <c r="EF272" s="82">
        <v>0.45714514872359002</v>
      </c>
    </row>
    <row r="273" spans="1:136" x14ac:dyDescent="0.35">
      <c r="A273" s="72">
        <v>687</v>
      </c>
      <c r="B273" s="72">
        <v>9</v>
      </c>
      <c r="D273" s="72" t="s">
        <v>200</v>
      </c>
      <c r="E273" s="79">
        <v>3420000000</v>
      </c>
      <c r="F273" s="79">
        <v>674450000</v>
      </c>
      <c r="G273" s="79">
        <v>705950000</v>
      </c>
      <c r="H273" s="79">
        <v>48303</v>
      </c>
      <c r="I273" s="79">
        <v>2</v>
      </c>
      <c r="J273" s="79">
        <v>705.95</v>
      </c>
      <c r="K273" s="79">
        <v>10878</v>
      </c>
      <c r="L273" s="79">
        <v>10456</v>
      </c>
      <c r="M273" s="79">
        <v>3309</v>
      </c>
      <c r="N273" s="79">
        <v>7296</v>
      </c>
      <c r="O273" s="79">
        <v>4915.1000000000004</v>
      </c>
      <c r="P273" s="79">
        <v>1359.6666666666699</v>
      </c>
      <c r="Q273" s="79">
        <v>3617.6666666666702</v>
      </c>
      <c r="R273" s="79">
        <v>2505</v>
      </c>
      <c r="S273" s="79">
        <v>0</v>
      </c>
      <c r="T273" s="79">
        <v>1673</v>
      </c>
      <c r="U273" s="79">
        <v>23670</v>
      </c>
      <c r="V273" s="79">
        <v>54060</v>
      </c>
      <c r="W273" s="79">
        <v>68260</v>
      </c>
      <c r="X273" s="79">
        <v>1462.3</v>
      </c>
      <c r="Y273" s="79">
        <v>3827.2</v>
      </c>
      <c r="Z273" s="79">
        <v>0</v>
      </c>
      <c r="AA273" s="79">
        <v>0</v>
      </c>
      <c r="AB273" s="79">
        <v>0</v>
      </c>
      <c r="AC273" s="79">
        <v>4840</v>
      </c>
      <c r="AD273" s="79">
        <v>5227.2</v>
      </c>
      <c r="AE273" s="79">
        <v>464</v>
      </c>
      <c r="AF273" s="79">
        <v>0</v>
      </c>
      <c r="AG273" s="79">
        <v>276</v>
      </c>
      <c r="AH273" s="79">
        <v>280</v>
      </c>
      <c r="AI273" s="79">
        <v>27.56</v>
      </c>
      <c r="AJ273" s="79">
        <v>23809</v>
      </c>
      <c r="AK273" s="79">
        <v>26666.080000000002</v>
      </c>
      <c r="AL273" s="79">
        <v>0</v>
      </c>
      <c r="AM273" s="79">
        <v>0</v>
      </c>
      <c r="AN273" s="79">
        <v>77</v>
      </c>
      <c r="AO273" s="79">
        <v>8700</v>
      </c>
      <c r="AP273" s="79">
        <v>4287</v>
      </c>
      <c r="AQ273" s="79">
        <v>4287</v>
      </c>
      <c r="AR273" s="80">
        <v>3.8971890000000001E-3</v>
      </c>
      <c r="AS273" s="80">
        <v>2.3647749999999999E-3</v>
      </c>
      <c r="AT273" s="79">
        <v>41380.042000000001</v>
      </c>
      <c r="AU273" s="79">
        <v>0</v>
      </c>
      <c r="AV273" s="79">
        <v>1763.64</v>
      </c>
      <c r="AW273" s="79">
        <v>21490.463687782802</v>
      </c>
      <c r="AX273" s="79">
        <v>4</v>
      </c>
      <c r="AY273" s="79">
        <v>4.24</v>
      </c>
      <c r="AZ273" s="79">
        <v>4343</v>
      </c>
      <c r="BA273" s="79">
        <v>1</v>
      </c>
      <c r="BB273" s="79">
        <v>0</v>
      </c>
      <c r="BC273" s="79">
        <v>0</v>
      </c>
      <c r="BD273" s="79">
        <v>0</v>
      </c>
      <c r="BE273" s="79">
        <v>0</v>
      </c>
      <c r="BF273" s="79">
        <v>0</v>
      </c>
      <c r="BG273" s="79">
        <v>0</v>
      </c>
      <c r="BH273" s="79">
        <v>0</v>
      </c>
      <c r="BI273" s="79">
        <v>0</v>
      </c>
      <c r="BJ273" s="79">
        <v>0</v>
      </c>
      <c r="BK273" s="79">
        <v>6</v>
      </c>
      <c r="BL273" s="79">
        <v>9132</v>
      </c>
      <c r="BM273" s="79">
        <v>250</v>
      </c>
      <c r="BN273" s="79">
        <v>26</v>
      </c>
      <c r="BO273">
        <v>11391</v>
      </c>
      <c r="BP273">
        <v>4462</v>
      </c>
      <c r="BQ273">
        <v>10143</v>
      </c>
      <c r="BR273">
        <v>4445</v>
      </c>
      <c r="BS273">
        <v>10146</v>
      </c>
      <c r="BT273">
        <v>4366</v>
      </c>
      <c r="BU273">
        <v>10052</v>
      </c>
      <c r="BV273">
        <v>4526</v>
      </c>
      <c r="BW273">
        <v>9947</v>
      </c>
      <c r="BX273">
        <v>4584</v>
      </c>
      <c r="BY273">
        <v>9823</v>
      </c>
      <c r="BZ273">
        <v>4664</v>
      </c>
      <c r="CA273">
        <v>9599</v>
      </c>
      <c r="CB273">
        <v>1264.3891477567799</v>
      </c>
      <c r="CC273">
        <v>189.26010282229501</v>
      </c>
      <c r="CD273">
        <v>177.007602782719</v>
      </c>
      <c r="CE273">
        <v>14281.2020112069</v>
      </c>
      <c r="CF273">
        <v>3122.3169372933899</v>
      </c>
      <c r="CG273">
        <v>396.16606651074397</v>
      </c>
      <c r="CH273">
        <v>643</v>
      </c>
      <c r="CI273">
        <v>452.64943605066401</v>
      </c>
      <c r="CJ273">
        <v>440.96111748700901</v>
      </c>
      <c r="CK273" s="81">
        <v>2258</v>
      </c>
      <c r="CL273">
        <v>710</v>
      </c>
      <c r="CM273">
        <v>6259.9670946044698</v>
      </c>
      <c r="CN273">
        <v>3.59393513193353</v>
      </c>
      <c r="CO273">
        <v>37847</v>
      </c>
      <c r="CP273">
        <v>5804</v>
      </c>
      <c r="CQ273">
        <v>1343</v>
      </c>
      <c r="CR273">
        <v>1366</v>
      </c>
      <c r="CS273">
        <v>1187</v>
      </c>
      <c r="CT273">
        <v>690</v>
      </c>
      <c r="CU273">
        <v>759.82658055480397</v>
      </c>
      <c r="CV273">
        <v>483.43217920656099</v>
      </c>
      <c r="CW273">
        <v>195.684759132289</v>
      </c>
      <c r="CX273">
        <v>1727.41757308348</v>
      </c>
      <c r="CY273">
        <v>1099.0524194951099</v>
      </c>
      <c r="CZ273">
        <v>444.876897387432</v>
      </c>
      <c r="DA273">
        <v>168902</v>
      </c>
      <c r="DE273">
        <v>870</v>
      </c>
      <c r="DF273" t="s">
        <v>823</v>
      </c>
      <c r="DG273">
        <v>6217</v>
      </c>
      <c r="DH273">
        <v>6170</v>
      </c>
      <c r="DI273">
        <v>6085</v>
      </c>
      <c r="DJ273">
        <v>6089</v>
      </c>
      <c r="DK273">
        <v>6000</v>
      </c>
      <c r="DO273">
        <v>687</v>
      </c>
      <c r="DP273" t="s">
        <v>200</v>
      </c>
      <c r="DQ273">
        <v>23809</v>
      </c>
      <c r="DR273">
        <v>1.1200000000000001</v>
      </c>
      <c r="DS273">
        <v>1738</v>
      </c>
      <c r="DV273">
        <v>957</v>
      </c>
      <c r="DW273" t="s">
        <v>260</v>
      </c>
      <c r="DX273">
        <v>10227.3657860166</v>
      </c>
      <c r="DY273">
        <v>1848</v>
      </c>
      <c r="DZ273">
        <v>1437</v>
      </c>
      <c r="EA273">
        <v>690</v>
      </c>
      <c r="EB273">
        <v>4494</v>
      </c>
      <c r="EC273">
        <v>2621</v>
      </c>
      <c r="ED273">
        <v>936</v>
      </c>
      <c r="EE273" s="82">
        <v>0.27191773468186597</v>
      </c>
      <c r="EF273" s="82">
        <v>0.52542617575569694</v>
      </c>
    </row>
    <row r="274" spans="1:136" x14ac:dyDescent="0.35">
      <c r="A274" s="72">
        <v>1695</v>
      </c>
      <c r="B274" s="72">
        <v>9</v>
      </c>
      <c r="D274" s="72" t="s">
        <v>218</v>
      </c>
      <c r="E274" s="79">
        <v>951600000</v>
      </c>
      <c r="F274" s="79">
        <v>179200000</v>
      </c>
      <c r="G274" s="79">
        <v>199150000</v>
      </c>
      <c r="H274" s="79">
        <v>7314</v>
      </c>
      <c r="I274" s="79">
        <v>5</v>
      </c>
      <c r="J274" s="79">
        <v>199.15</v>
      </c>
      <c r="K274" s="79">
        <v>1300</v>
      </c>
      <c r="L274" s="79">
        <v>1969</v>
      </c>
      <c r="M274" s="79">
        <v>587</v>
      </c>
      <c r="N274" s="79">
        <v>1112</v>
      </c>
      <c r="O274" s="79">
        <v>508.6</v>
      </c>
      <c r="P274" s="79">
        <v>107.666666666667</v>
      </c>
      <c r="Q274" s="79">
        <v>436.66666666666703</v>
      </c>
      <c r="R274" s="79">
        <v>95</v>
      </c>
      <c r="S274" s="79">
        <v>0</v>
      </c>
      <c r="T274" s="79">
        <v>186</v>
      </c>
      <c r="U274" s="79">
        <v>3653</v>
      </c>
      <c r="V274" s="79">
        <v>5160</v>
      </c>
      <c r="W274" s="79">
        <v>420</v>
      </c>
      <c r="X274" s="79">
        <v>89.96</v>
      </c>
      <c r="Y274" s="79">
        <v>0</v>
      </c>
      <c r="Z274" s="79">
        <v>0</v>
      </c>
      <c r="AA274" s="79">
        <v>0</v>
      </c>
      <c r="AB274" s="79">
        <v>0</v>
      </c>
      <c r="AC274" s="79">
        <v>8601</v>
      </c>
      <c r="AD274" s="79">
        <v>9461.1</v>
      </c>
      <c r="AE274" s="79">
        <v>717</v>
      </c>
      <c r="AF274" s="79">
        <v>2841</v>
      </c>
      <c r="AG274" s="79">
        <v>99</v>
      </c>
      <c r="AH274" s="79">
        <v>74.12</v>
      </c>
      <c r="AI274" s="79">
        <v>34.409999999999997</v>
      </c>
      <c r="AJ274" s="79">
        <v>6034</v>
      </c>
      <c r="AK274" s="79">
        <v>6577.06</v>
      </c>
      <c r="AL274" s="79">
        <v>0</v>
      </c>
      <c r="AM274" s="79">
        <v>0</v>
      </c>
      <c r="AN274" s="79">
        <v>0</v>
      </c>
      <c r="AO274" s="79">
        <v>0</v>
      </c>
      <c r="AP274" s="79">
        <v>0</v>
      </c>
      <c r="AQ274" s="79">
        <v>0</v>
      </c>
      <c r="AR274" s="80">
        <v>5.3019199999999997E-4</v>
      </c>
      <c r="AS274" s="80">
        <v>1.0336900000000001E-4</v>
      </c>
      <c r="AT274" s="79">
        <v>1357.65</v>
      </c>
      <c r="AU274" s="79">
        <v>0</v>
      </c>
      <c r="AV274" s="79">
        <v>1674.2</v>
      </c>
      <c r="AW274" s="79">
        <v>1491.9994848680001</v>
      </c>
      <c r="AX274" s="79">
        <v>13</v>
      </c>
      <c r="AY274" s="79">
        <v>14.43</v>
      </c>
      <c r="AZ274" s="79">
        <v>981</v>
      </c>
      <c r="BA274" s="79">
        <v>1</v>
      </c>
      <c r="BB274" s="79">
        <v>0</v>
      </c>
      <c r="BC274" s="79">
        <v>0</v>
      </c>
      <c r="BD274" s="79">
        <v>0</v>
      </c>
      <c r="BE274" s="79">
        <v>0</v>
      </c>
      <c r="BF274" s="79">
        <v>0</v>
      </c>
      <c r="BG274" s="79">
        <v>0</v>
      </c>
      <c r="BH274" s="79">
        <v>0</v>
      </c>
      <c r="BI274" s="79">
        <v>0</v>
      </c>
      <c r="BJ274" s="79">
        <v>0</v>
      </c>
      <c r="BK274" s="79">
        <v>2</v>
      </c>
      <c r="BL274" s="79">
        <v>1299</v>
      </c>
      <c r="BM274" s="79">
        <v>68</v>
      </c>
      <c r="BN274" s="79">
        <v>31</v>
      </c>
      <c r="BO274">
        <v>1500</v>
      </c>
      <c r="BP274">
        <v>0</v>
      </c>
      <c r="BQ274">
        <v>1347</v>
      </c>
      <c r="BR274">
        <v>0</v>
      </c>
      <c r="BS274">
        <v>1334</v>
      </c>
      <c r="BT274">
        <v>0</v>
      </c>
      <c r="BU274">
        <v>1348</v>
      </c>
      <c r="BV274">
        <v>0</v>
      </c>
      <c r="BW274">
        <v>1370</v>
      </c>
      <c r="BX274">
        <v>0</v>
      </c>
      <c r="BY274">
        <v>1340</v>
      </c>
      <c r="BZ274">
        <v>0</v>
      </c>
      <c r="CA274">
        <v>1169</v>
      </c>
      <c r="CB274">
        <v>102.297885982574</v>
      </c>
      <c r="CC274">
        <v>38.459827197353903</v>
      </c>
      <c r="CD274">
        <v>12.478349257738801</v>
      </c>
      <c r="CE274">
        <v>2249.7893157479102</v>
      </c>
      <c r="CF274">
        <v>365.900527256727</v>
      </c>
      <c r="CG274">
        <v>53.859536585365902</v>
      </c>
      <c r="CH274">
        <v>68</v>
      </c>
      <c r="CI274">
        <v>24.3387974528104</v>
      </c>
      <c r="CJ274">
        <v>21.2853314957527</v>
      </c>
      <c r="CK274" s="81">
        <v>329</v>
      </c>
      <c r="CL274">
        <v>57</v>
      </c>
      <c r="CM274">
        <v>1174.3005956070599</v>
      </c>
      <c r="CN274">
        <v>0.19898453691760501</v>
      </c>
      <c r="CO274">
        <v>5345</v>
      </c>
      <c r="CP274">
        <v>1157</v>
      </c>
      <c r="CQ274">
        <v>225</v>
      </c>
      <c r="CR274">
        <v>246</v>
      </c>
      <c r="CS274">
        <v>206</v>
      </c>
      <c r="CT274">
        <v>85</v>
      </c>
      <c r="CU274">
        <v>61.695397902810498</v>
      </c>
      <c r="CV274">
        <v>35.820415449036197</v>
      </c>
      <c r="CW274">
        <v>10.8725496304133</v>
      </c>
      <c r="CX274">
        <v>352.61147444775702</v>
      </c>
      <c r="CY274">
        <v>204.726607432099</v>
      </c>
      <c r="CZ274">
        <v>62.140546726449003</v>
      </c>
      <c r="DA274">
        <v>0</v>
      </c>
      <c r="DE274">
        <v>873</v>
      </c>
      <c r="DF274" t="s">
        <v>348</v>
      </c>
      <c r="DG274">
        <v>4289</v>
      </c>
      <c r="DH274">
        <v>4230</v>
      </c>
      <c r="DI274">
        <v>4215</v>
      </c>
      <c r="DJ274">
        <v>4176</v>
      </c>
      <c r="DK274">
        <v>4094</v>
      </c>
      <c r="DO274">
        <v>1695</v>
      </c>
      <c r="DP274" t="s">
        <v>218</v>
      </c>
      <c r="DQ274">
        <v>6034</v>
      </c>
      <c r="DR274">
        <v>1.0900000000000001</v>
      </c>
      <c r="DS274">
        <v>225</v>
      </c>
      <c r="DV274">
        <v>1674</v>
      </c>
      <c r="DW274" t="s">
        <v>261</v>
      </c>
      <c r="DX274">
        <v>11165.6544047308</v>
      </c>
      <c r="DY274">
        <v>1972</v>
      </c>
      <c r="DZ274">
        <v>1845</v>
      </c>
      <c r="EA274">
        <v>844</v>
      </c>
      <c r="EB274">
        <v>5793</v>
      </c>
      <c r="EC274">
        <v>3579</v>
      </c>
      <c r="ED274">
        <v>1152</v>
      </c>
      <c r="EE274" s="82">
        <v>0.21555659068310101</v>
      </c>
      <c r="EF274" s="82">
        <v>0.47753270234147599</v>
      </c>
    </row>
    <row r="275" spans="1:136" x14ac:dyDescent="0.35">
      <c r="A275" s="72">
        <v>703</v>
      </c>
      <c r="B275" s="72">
        <v>9</v>
      </c>
      <c r="D275" s="72" t="s">
        <v>250</v>
      </c>
      <c r="E275" s="79">
        <v>1366800000</v>
      </c>
      <c r="F275" s="79">
        <v>357350000</v>
      </c>
      <c r="G275" s="79">
        <v>376600000</v>
      </c>
      <c r="H275" s="79">
        <v>22555</v>
      </c>
      <c r="I275" s="79">
        <v>5</v>
      </c>
      <c r="J275" s="79">
        <v>376.6</v>
      </c>
      <c r="K275" s="79">
        <v>6273</v>
      </c>
      <c r="L275" s="79">
        <v>3753</v>
      </c>
      <c r="M275" s="79">
        <v>1123</v>
      </c>
      <c r="N275" s="79">
        <v>2591</v>
      </c>
      <c r="O275" s="79">
        <v>1679.1</v>
      </c>
      <c r="P275" s="79">
        <v>228</v>
      </c>
      <c r="Q275" s="79">
        <v>961</v>
      </c>
      <c r="R275" s="79">
        <v>525</v>
      </c>
      <c r="S275" s="79">
        <v>0</v>
      </c>
      <c r="T275" s="79">
        <v>488</v>
      </c>
      <c r="U275" s="79">
        <v>9162</v>
      </c>
      <c r="V275" s="79">
        <v>20930</v>
      </c>
      <c r="W275" s="79">
        <v>5250</v>
      </c>
      <c r="X275" s="79">
        <v>114.84</v>
      </c>
      <c r="Y275" s="79">
        <v>662.4</v>
      </c>
      <c r="Z275" s="79">
        <v>0</v>
      </c>
      <c r="AA275" s="79">
        <v>0</v>
      </c>
      <c r="AB275" s="79">
        <v>0</v>
      </c>
      <c r="AC275" s="79">
        <v>10176</v>
      </c>
      <c r="AD275" s="79">
        <v>12211.2</v>
      </c>
      <c r="AE275" s="79">
        <v>1186</v>
      </c>
      <c r="AF275" s="79">
        <v>10000</v>
      </c>
      <c r="AG275" s="79">
        <v>188</v>
      </c>
      <c r="AH275" s="79">
        <v>155</v>
      </c>
      <c r="AI275" s="79">
        <v>74.97</v>
      </c>
      <c r="AJ275" s="79">
        <v>9119</v>
      </c>
      <c r="AK275" s="79">
        <v>11398.75</v>
      </c>
      <c r="AL275" s="79">
        <v>0</v>
      </c>
      <c r="AM275" s="79">
        <v>0</v>
      </c>
      <c r="AN275" s="79">
        <v>0</v>
      </c>
      <c r="AO275" s="79">
        <v>0</v>
      </c>
      <c r="AP275" s="79">
        <v>822</v>
      </c>
      <c r="AQ275" s="79">
        <v>0</v>
      </c>
      <c r="AR275" s="80">
        <v>6.4446999999999996E-4</v>
      </c>
      <c r="AS275" s="80">
        <v>2.5352799999999999E-4</v>
      </c>
      <c r="AT275" s="79">
        <v>4614.2139999999999</v>
      </c>
      <c r="AU275" s="79">
        <v>0</v>
      </c>
      <c r="AV275" s="79">
        <v>3066</v>
      </c>
      <c r="AW275" s="79">
        <v>9692.9725400457701</v>
      </c>
      <c r="AX275" s="79">
        <v>12</v>
      </c>
      <c r="AY275" s="79">
        <v>14.28</v>
      </c>
      <c r="AZ275" s="79">
        <v>2194</v>
      </c>
      <c r="BA275" s="79">
        <v>1</v>
      </c>
      <c r="BB275" s="79">
        <v>0</v>
      </c>
      <c r="BC275" s="79">
        <v>0</v>
      </c>
      <c r="BD275" s="79">
        <v>0</v>
      </c>
      <c r="BE275" s="79">
        <v>0</v>
      </c>
      <c r="BF275" s="79">
        <v>0</v>
      </c>
      <c r="BG275" s="79">
        <v>0</v>
      </c>
      <c r="BH275" s="79">
        <v>0</v>
      </c>
      <c r="BI275" s="79">
        <v>0</v>
      </c>
      <c r="BJ275" s="79">
        <v>0</v>
      </c>
      <c r="BK275" s="79">
        <v>10</v>
      </c>
      <c r="BL275" s="79">
        <v>2756</v>
      </c>
      <c r="BM275" s="79">
        <v>124</v>
      </c>
      <c r="BN275" s="79">
        <v>63</v>
      </c>
      <c r="BO275">
        <v>6178</v>
      </c>
      <c r="BP275">
        <v>913</v>
      </c>
      <c r="BQ275">
        <v>5614</v>
      </c>
      <c r="BR275">
        <v>930</v>
      </c>
      <c r="BS275">
        <v>5641</v>
      </c>
      <c r="BT275">
        <v>899</v>
      </c>
      <c r="BU275">
        <v>5722</v>
      </c>
      <c r="BV275">
        <v>866</v>
      </c>
      <c r="BW275">
        <v>5651</v>
      </c>
      <c r="BX275">
        <v>859</v>
      </c>
      <c r="BY275">
        <v>5679</v>
      </c>
      <c r="BZ275">
        <v>843</v>
      </c>
      <c r="CA275">
        <v>5725</v>
      </c>
      <c r="CB275">
        <v>420.59400557980598</v>
      </c>
      <c r="CC275">
        <v>262.40674321344</v>
      </c>
      <c r="CD275">
        <v>100.98608153596101</v>
      </c>
      <c r="CE275">
        <v>5593.1440873242</v>
      </c>
      <c r="CF275">
        <v>1665.21484179404</v>
      </c>
      <c r="CG275">
        <v>302.27213958810103</v>
      </c>
      <c r="CH275">
        <v>190</v>
      </c>
      <c r="CI275">
        <v>80.4434566477168</v>
      </c>
      <c r="CJ275">
        <v>56.760883988673797</v>
      </c>
      <c r="CK275" s="81">
        <v>733</v>
      </c>
      <c r="CL275">
        <v>158</v>
      </c>
      <c r="CM275">
        <v>3157.8013024927</v>
      </c>
      <c r="CN275">
        <v>0.24851042369405801</v>
      </c>
      <c r="CO275">
        <v>18802</v>
      </c>
      <c r="CP275">
        <v>2108</v>
      </c>
      <c r="CQ275">
        <v>522</v>
      </c>
      <c r="CR275">
        <v>431</v>
      </c>
      <c r="CS275">
        <v>386</v>
      </c>
      <c r="CT275">
        <v>234</v>
      </c>
      <c r="CU275">
        <v>243.25865678920999</v>
      </c>
      <c r="CV275">
        <v>147.13373714956799</v>
      </c>
      <c r="CW275">
        <v>64.819869182287704</v>
      </c>
      <c r="CX275">
        <v>641.90127693425802</v>
      </c>
      <c r="CY275">
        <v>388.250658796724</v>
      </c>
      <c r="CZ275">
        <v>171.04409498929499</v>
      </c>
      <c r="DA275">
        <v>7938</v>
      </c>
      <c r="DE275">
        <v>874</v>
      </c>
      <c r="DF275" t="s">
        <v>824</v>
      </c>
      <c r="DG275">
        <v>3393</v>
      </c>
      <c r="DH275">
        <v>3320</v>
      </c>
      <c r="DI275">
        <v>3253</v>
      </c>
      <c r="DJ275">
        <v>3209</v>
      </c>
      <c r="DK275">
        <v>3159</v>
      </c>
      <c r="DO275">
        <v>703</v>
      </c>
      <c r="DP275" t="s">
        <v>250</v>
      </c>
      <c r="DQ275">
        <v>9119</v>
      </c>
      <c r="DR275">
        <v>1.25</v>
      </c>
      <c r="DS275">
        <v>506</v>
      </c>
      <c r="DV275">
        <v>599</v>
      </c>
      <c r="DW275" t="s">
        <v>262</v>
      </c>
      <c r="DX275">
        <v>121930.32505472501</v>
      </c>
      <c r="DY275">
        <v>18819</v>
      </c>
      <c r="DZ275">
        <v>13406</v>
      </c>
      <c r="EA275">
        <v>7384</v>
      </c>
      <c r="EB275">
        <v>37693</v>
      </c>
      <c r="EC275">
        <v>22699</v>
      </c>
      <c r="ED275">
        <v>9701</v>
      </c>
      <c r="EE275" s="82">
        <v>0.28254811269256003</v>
      </c>
      <c r="EF275" s="82">
        <v>0.55829946497093697</v>
      </c>
    </row>
    <row r="276" spans="1:136" x14ac:dyDescent="0.35">
      <c r="A276" s="72">
        <v>1676</v>
      </c>
      <c r="B276" s="72">
        <v>9</v>
      </c>
      <c r="D276" s="72" t="s">
        <v>269</v>
      </c>
      <c r="E276" s="79">
        <v>3554400000</v>
      </c>
      <c r="F276" s="79">
        <v>540050000</v>
      </c>
      <c r="G276" s="79">
        <v>650300000</v>
      </c>
      <c r="H276" s="79">
        <v>33687</v>
      </c>
      <c r="I276" s="79">
        <v>9</v>
      </c>
      <c r="J276" s="79">
        <v>650.29999999999995</v>
      </c>
      <c r="K276" s="79">
        <v>6731</v>
      </c>
      <c r="L276" s="79">
        <v>8905</v>
      </c>
      <c r="M276" s="79">
        <v>2761</v>
      </c>
      <c r="N276" s="79">
        <v>4702</v>
      </c>
      <c r="O276" s="79">
        <v>2527.6</v>
      </c>
      <c r="P276" s="79">
        <v>459.66666666666703</v>
      </c>
      <c r="Q276" s="79">
        <v>1885.6666666666699</v>
      </c>
      <c r="R276" s="79">
        <v>480</v>
      </c>
      <c r="S276" s="79">
        <v>0</v>
      </c>
      <c r="T276" s="79">
        <v>855</v>
      </c>
      <c r="U276" s="79">
        <v>15725</v>
      </c>
      <c r="V276" s="79">
        <v>32940</v>
      </c>
      <c r="W276" s="79">
        <v>5640</v>
      </c>
      <c r="X276" s="79">
        <v>228.16</v>
      </c>
      <c r="Y276" s="79">
        <v>831.2</v>
      </c>
      <c r="Z276" s="79">
        <v>0</v>
      </c>
      <c r="AA276" s="79">
        <v>0</v>
      </c>
      <c r="AB276" s="79">
        <v>0</v>
      </c>
      <c r="AC276" s="79">
        <v>22945</v>
      </c>
      <c r="AD276" s="79">
        <v>24092.25</v>
      </c>
      <c r="AE276" s="79">
        <v>7308</v>
      </c>
      <c r="AF276" s="79">
        <v>10000</v>
      </c>
      <c r="AG276" s="79">
        <v>351</v>
      </c>
      <c r="AH276" s="79">
        <v>257.58</v>
      </c>
      <c r="AI276" s="79">
        <v>113.4</v>
      </c>
      <c r="AJ276" s="79">
        <v>21744</v>
      </c>
      <c r="AK276" s="79">
        <v>23048.639999999999</v>
      </c>
      <c r="AL276" s="79">
        <v>10</v>
      </c>
      <c r="AM276" s="79">
        <v>46</v>
      </c>
      <c r="AN276" s="79">
        <v>0</v>
      </c>
      <c r="AO276" s="79">
        <v>6500</v>
      </c>
      <c r="AP276" s="79">
        <v>2425</v>
      </c>
      <c r="AQ276" s="79">
        <v>1819</v>
      </c>
      <c r="AR276" s="80">
        <v>2.0994310000000001E-3</v>
      </c>
      <c r="AS276" s="80">
        <v>5.4060000000000002E-4</v>
      </c>
      <c r="AT276" s="79">
        <v>10350.144</v>
      </c>
      <c r="AU276" s="79">
        <v>0</v>
      </c>
      <c r="AV276" s="79">
        <v>7579.95</v>
      </c>
      <c r="AW276" s="79">
        <v>9148.8716408290093</v>
      </c>
      <c r="AX276" s="79">
        <v>23</v>
      </c>
      <c r="AY276" s="79">
        <v>24.15</v>
      </c>
      <c r="AZ276" s="79">
        <v>4444</v>
      </c>
      <c r="BA276" s="79">
        <v>1</v>
      </c>
      <c r="BB276" s="79">
        <v>0</v>
      </c>
      <c r="BC276" s="79">
        <v>0</v>
      </c>
      <c r="BD276" s="79">
        <v>0</v>
      </c>
      <c r="BE276" s="79">
        <v>0</v>
      </c>
      <c r="BF276" s="79">
        <v>0</v>
      </c>
      <c r="BG276" s="79">
        <v>0</v>
      </c>
      <c r="BH276" s="79">
        <v>0</v>
      </c>
      <c r="BI276" s="79">
        <v>0</v>
      </c>
      <c r="BJ276" s="79">
        <v>0</v>
      </c>
      <c r="BK276" s="79">
        <v>21</v>
      </c>
      <c r="BL276" s="79">
        <v>5095</v>
      </c>
      <c r="BM276" s="79">
        <v>243</v>
      </c>
      <c r="BN276" s="79">
        <v>108</v>
      </c>
      <c r="BO276">
        <v>7528</v>
      </c>
      <c r="BP276">
        <v>1031</v>
      </c>
      <c r="BQ276">
        <v>6750</v>
      </c>
      <c r="BR276">
        <v>981</v>
      </c>
      <c r="BS276">
        <v>6718</v>
      </c>
      <c r="BT276">
        <v>941</v>
      </c>
      <c r="BU276">
        <v>6703</v>
      </c>
      <c r="BV276">
        <v>1022</v>
      </c>
      <c r="BW276">
        <v>6537</v>
      </c>
      <c r="BX276">
        <v>1105</v>
      </c>
      <c r="BY276">
        <v>6419</v>
      </c>
      <c r="BZ276">
        <v>1106</v>
      </c>
      <c r="CA276">
        <v>5960</v>
      </c>
      <c r="CB276">
        <v>548.14650034830299</v>
      </c>
      <c r="CC276">
        <v>172.25222600354201</v>
      </c>
      <c r="CD276">
        <v>90.402630801559198</v>
      </c>
      <c r="CE276">
        <v>10906.1671897549</v>
      </c>
      <c r="CF276">
        <v>2178.9129324349801</v>
      </c>
      <c r="CG276">
        <v>254.32539031836001</v>
      </c>
      <c r="CH276">
        <v>311</v>
      </c>
      <c r="CI276">
        <v>137.056059641492</v>
      </c>
      <c r="CJ276">
        <v>115.29554560199399</v>
      </c>
      <c r="CK276" s="81">
        <v>1426</v>
      </c>
      <c r="CL276">
        <v>304</v>
      </c>
      <c r="CM276">
        <v>6488.5545753668302</v>
      </c>
      <c r="CN276">
        <v>0.76053078314425304</v>
      </c>
      <c r="CO276">
        <v>24782</v>
      </c>
      <c r="CP276">
        <v>5029</v>
      </c>
      <c r="CQ276">
        <v>1115</v>
      </c>
      <c r="CR276">
        <v>989</v>
      </c>
      <c r="CS276">
        <v>903</v>
      </c>
      <c r="CT276">
        <v>546</v>
      </c>
      <c r="CU276">
        <v>360.89661179237402</v>
      </c>
      <c r="CV276">
        <v>222.930660682053</v>
      </c>
      <c r="CW276">
        <v>93.100865071076299</v>
      </c>
      <c r="CX276">
        <v>1300.0774544666399</v>
      </c>
      <c r="CY276">
        <v>803.07521986055303</v>
      </c>
      <c r="CZ276">
        <v>335.38229984791599</v>
      </c>
      <c r="DA276">
        <v>19845</v>
      </c>
      <c r="DE276">
        <v>879</v>
      </c>
      <c r="DF276" t="s">
        <v>361</v>
      </c>
      <c r="DG276">
        <v>4277</v>
      </c>
      <c r="DH276">
        <v>4187</v>
      </c>
      <c r="DI276">
        <v>4173</v>
      </c>
      <c r="DJ276">
        <v>4073</v>
      </c>
      <c r="DK276">
        <v>3998</v>
      </c>
      <c r="DO276">
        <v>1676</v>
      </c>
      <c r="DP276" t="s">
        <v>269</v>
      </c>
      <c r="DQ276">
        <v>21744</v>
      </c>
      <c r="DR276">
        <v>1.06</v>
      </c>
      <c r="DS276">
        <v>476</v>
      </c>
      <c r="DV276">
        <v>277</v>
      </c>
      <c r="DW276" t="s">
        <v>263</v>
      </c>
      <c r="DX276">
        <v>102.96875</v>
      </c>
      <c r="DY276">
        <v>17</v>
      </c>
      <c r="DZ276">
        <v>42</v>
      </c>
      <c r="EA276">
        <v>27</v>
      </c>
      <c r="EB276">
        <v>124</v>
      </c>
      <c r="EC276">
        <v>99</v>
      </c>
      <c r="ED276">
        <v>44</v>
      </c>
      <c r="EE276" s="82">
        <v>5.46077327327327E-2</v>
      </c>
      <c r="EF276" s="82">
        <v>6.0097542015251297E-2</v>
      </c>
    </row>
    <row r="277" spans="1:136" x14ac:dyDescent="0.35">
      <c r="A277" s="72">
        <v>1714</v>
      </c>
      <c r="B277" s="72">
        <v>9</v>
      </c>
      <c r="D277" s="72" t="s">
        <v>277</v>
      </c>
      <c r="E277" s="79">
        <v>2729600000</v>
      </c>
      <c r="F277" s="79">
        <v>432950000</v>
      </c>
      <c r="G277" s="79">
        <v>490700000</v>
      </c>
      <c r="H277" s="79">
        <v>23526</v>
      </c>
      <c r="I277" s="79">
        <v>10</v>
      </c>
      <c r="J277" s="79">
        <v>490.7</v>
      </c>
      <c r="K277" s="79">
        <v>4181</v>
      </c>
      <c r="L277" s="79">
        <v>6463</v>
      </c>
      <c r="M277" s="79">
        <v>1994</v>
      </c>
      <c r="N277" s="79">
        <v>3807</v>
      </c>
      <c r="O277" s="79">
        <v>2073.3000000000002</v>
      </c>
      <c r="P277" s="79">
        <v>320.66666666666703</v>
      </c>
      <c r="Q277" s="79">
        <v>1390.6666666666699</v>
      </c>
      <c r="R277" s="79">
        <v>400</v>
      </c>
      <c r="S277" s="79">
        <v>0</v>
      </c>
      <c r="T277" s="79">
        <v>627</v>
      </c>
      <c r="U277" s="79">
        <v>11567</v>
      </c>
      <c r="V277" s="79">
        <v>21050</v>
      </c>
      <c r="W277" s="79">
        <v>8450</v>
      </c>
      <c r="X277" s="79">
        <v>0</v>
      </c>
      <c r="Y277" s="79">
        <v>738.4</v>
      </c>
      <c r="Z277" s="79">
        <v>0</v>
      </c>
      <c r="AA277" s="79">
        <v>0</v>
      </c>
      <c r="AB277" s="79">
        <v>0</v>
      </c>
      <c r="AC277" s="79">
        <v>27877</v>
      </c>
      <c r="AD277" s="79">
        <v>28434.54</v>
      </c>
      <c r="AE277" s="79">
        <v>479</v>
      </c>
      <c r="AF277" s="79">
        <v>2360</v>
      </c>
      <c r="AG277" s="79">
        <v>313</v>
      </c>
      <c r="AH277" s="79">
        <v>198.9</v>
      </c>
      <c r="AI277" s="79">
        <v>120.36</v>
      </c>
      <c r="AJ277" s="79">
        <v>17337</v>
      </c>
      <c r="AK277" s="79">
        <v>17683.740000000002</v>
      </c>
      <c r="AL277" s="79">
        <v>24</v>
      </c>
      <c r="AM277" s="79">
        <v>0</v>
      </c>
      <c r="AN277" s="79">
        <v>0</v>
      </c>
      <c r="AO277" s="79">
        <v>7800</v>
      </c>
      <c r="AP277" s="79">
        <v>1274</v>
      </c>
      <c r="AQ277" s="79">
        <v>0</v>
      </c>
      <c r="AR277" s="80">
        <v>1.3058499999999999E-3</v>
      </c>
      <c r="AS277" s="80">
        <v>5.7956200000000005E-4</v>
      </c>
      <c r="AT277" s="79">
        <v>7298.8770000000004</v>
      </c>
      <c r="AU277" s="79">
        <v>0</v>
      </c>
      <c r="AV277" s="79">
        <v>5389.68</v>
      </c>
      <c r="AW277" s="79">
        <v>4471.6325179856103</v>
      </c>
      <c r="AX277" s="79">
        <v>23</v>
      </c>
      <c r="AY277" s="79">
        <v>23.46</v>
      </c>
      <c r="AZ277" s="79">
        <v>2983</v>
      </c>
      <c r="BA277" s="79">
        <v>1</v>
      </c>
      <c r="BB277" s="79">
        <v>0</v>
      </c>
      <c r="BC277" s="79">
        <v>0</v>
      </c>
      <c r="BD277" s="79">
        <v>0</v>
      </c>
      <c r="BE277" s="79">
        <v>0</v>
      </c>
      <c r="BF277" s="79">
        <v>0</v>
      </c>
      <c r="BG277" s="79">
        <v>0</v>
      </c>
      <c r="BH277" s="79">
        <v>0</v>
      </c>
      <c r="BI277" s="79">
        <v>0</v>
      </c>
      <c r="BJ277" s="79">
        <v>0</v>
      </c>
      <c r="BK277" s="79">
        <v>6</v>
      </c>
      <c r="BL277" s="79">
        <v>4149</v>
      </c>
      <c r="BM277" s="79">
        <v>195</v>
      </c>
      <c r="BN277" s="79">
        <v>118</v>
      </c>
      <c r="BO277">
        <v>4771</v>
      </c>
      <c r="BP277">
        <v>1163</v>
      </c>
      <c r="BQ277">
        <v>4333</v>
      </c>
      <c r="BR277">
        <v>1151</v>
      </c>
      <c r="BS277">
        <v>4222</v>
      </c>
      <c r="BT277">
        <v>1116</v>
      </c>
      <c r="BU277">
        <v>4110</v>
      </c>
      <c r="BV277">
        <v>1103</v>
      </c>
      <c r="BW277">
        <v>4066</v>
      </c>
      <c r="BX277">
        <v>1108</v>
      </c>
      <c r="BY277">
        <v>4021</v>
      </c>
      <c r="BZ277">
        <v>1080</v>
      </c>
      <c r="CA277">
        <v>3769</v>
      </c>
      <c r="CB277">
        <v>401.46519150168803</v>
      </c>
      <c r="CC277">
        <v>97.266581771095204</v>
      </c>
      <c r="CD277">
        <v>44.587850804723502</v>
      </c>
      <c r="CE277">
        <v>7388.0216540476504</v>
      </c>
      <c r="CF277">
        <v>1457.63301608652</v>
      </c>
      <c r="CG277">
        <v>83.124098680075406</v>
      </c>
      <c r="CH277">
        <v>199</v>
      </c>
      <c r="CI277">
        <v>85.379541734379501</v>
      </c>
      <c r="CJ277">
        <v>79.819993109072499</v>
      </c>
      <c r="CK277" s="81">
        <v>1070</v>
      </c>
      <c r="CL277">
        <v>207</v>
      </c>
      <c r="CM277">
        <v>3925.4652193409202</v>
      </c>
      <c r="CN277">
        <v>0.56915931459406</v>
      </c>
      <c r="CO277">
        <v>17063</v>
      </c>
      <c r="CP277">
        <v>3611</v>
      </c>
      <c r="CQ277">
        <v>858</v>
      </c>
      <c r="CR277">
        <v>778</v>
      </c>
      <c r="CS277">
        <v>721</v>
      </c>
      <c r="CT277">
        <v>498</v>
      </c>
      <c r="CU277">
        <v>271.11232993842299</v>
      </c>
      <c r="CV277">
        <v>172.33033411612999</v>
      </c>
      <c r="CW277">
        <v>80.365013550339796</v>
      </c>
      <c r="CX277">
        <v>1063.85646242332</v>
      </c>
      <c r="CY277">
        <v>676.23165520600196</v>
      </c>
      <c r="CZ277">
        <v>315.35577536324303</v>
      </c>
      <c r="DA277">
        <v>17595.900000000001</v>
      </c>
      <c r="DE277">
        <v>880</v>
      </c>
      <c r="DF277" t="s">
        <v>350</v>
      </c>
      <c r="DG277">
        <v>3569</v>
      </c>
      <c r="DH277">
        <v>3509</v>
      </c>
      <c r="DI277">
        <v>3428</v>
      </c>
      <c r="DJ277">
        <v>3350</v>
      </c>
      <c r="DK277">
        <v>3234</v>
      </c>
      <c r="DO277">
        <v>1714</v>
      </c>
      <c r="DP277" t="s">
        <v>277</v>
      </c>
      <c r="DQ277">
        <v>17337</v>
      </c>
      <c r="DR277">
        <v>1.02</v>
      </c>
      <c r="DS277">
        <v>421</v>
      </c>
      <c r="DV277">
        <v>840</v>
      </c>
      <c r="DW277" t="s">
        <v>264</v>
      </c>
      <c r="DX277">
        <v>2852.3494953698901</v>
      </c>
      <c r="DY277">
        <v>563</v>
      </c>
      <c r="DZ277">
        <v>492</v>
      </c>
      <c r="EA277">
        <v>203</v>
      </c>
      <c r="EB277">
        <v>1809</v>
      </c>
      <c r="EC277">
        <v>1001</v>
      </c>
      <c r="ED277">
        <v>272</v>
      </c>
      <c r="EE277" s="82">
        <v>0.191770611228507</v>
      </c>
      <c r="EF277" s="82">
        <v>0.47753270234147599</v>
      </c>
    </row>
    <row r="278" spans="1:136" x14ac:dyDescent="0.35">
      <c r="A278" s="72">
        <v>715</v>
      </c>
      <c r="B278" s="72">
        <v>9</v>
      </c>
      <c r="D278" s="72" t="s">
        <v>290</v>
      </c>
      <c r="E278" s="79">
        <v>3476400000</v>
      </c>
      <c r="F278" s="79">
        <v>1318800000</v>
      </c>
      <c r="G278" s="79">
        <v>1370950000</v>
      </c>
      <c r="H278" s="79">
        <v>54440</v>
      </c>
      <c r="I278" s="79">
        <v>9</v>
      </c>
      <c r="J278" s="79">
        <v>1370.95</v>
      </c>
      <c r="K278" s="79">
        <v>10911</v>
      </c>
      <c r="L278" s="79">
        <v>13349</v>
      </c>
      <c r="M278" s="79">
        <v>4188</v>
      </c>
      <c r="N278" s="79">
        <v>8351</v>
      </c>
      <c r="O278" s="79">
        <v>5655.6</v>
      </c>
      <c r="P278" s="79">
        <v>1125</v>
      </c>
      <c r="Q278" s="79">
        <v>4190</v>
      </c>
      <c r="R278" s="79">
        <v>2750</v>
      </c>
      <c r="S278" s="79">
        <v>0</v>
      </c>
      <c r="T278" s="79">
        <v>1757</v>
      </c>
      <c r="U278" s="79">
        <v>26091</v>
      </c>
      <c r="V278" s="79">
        <v>55400</v>
      </c>
      <c r="W278" s="79">
        <v>50750</v>
      </c>
      <c r="X278" s="79">
        <v>1280.3800000000001</v>
      </c>
      <c r="Y278" s="79">
        <v>2002.4</v>
      </c>
      <c r="Z278" s="79">
        <v>0</v>
      </c>
      <c r="AA278" s="79">
        <v>0</v>
      </c>
      <c r="AB278" s="79">
        <v>0</v>
      </c>
      <c r="AC278" s="79">
        <v>25009</v>
      </c>
      <c r="AD278" s="79">
        <v>25009</v>
      </c>
      <c r="AE278" s="79">
        <v>1275</v>
      </c>
      <c r="AF278" s="79">
        <v>5492</v>
      </c>
      <c r="AG278" s="79">
        <v>512</v>
      </c>
      <c r="AH278" s="79">
        <v>314.11</v>
      </c>
      <c r="AI278" s="79">
        <v>200</v>
      </c>
      <c r="AJ278" s="79">
        <v>26954</v>
      </c>
      <c r="AK278" s="79">
        <v>27223.54</v>
      </c>
      <c r="AL278" s="79">
        <v>13</v>
      </c>
      <c r="AM278" s="79">
        <v>0</v>
      </c>
      <c r="AN278" s="79">
        <v>0</v>
      </c>
      <c r="AO278" s="79">
        <v>3000</v>
      </c>
      <c r="AP278" s="79">
        <v>3331</v>
      </c>
      <c r="AQ278" s="79">
        <v>1539</v>
      </c>
      <c r="AR278" s="80">
        <v>2.6003659999999998E-3</v>
      </c>
      <c r="AS278" s="80">
        <v>1.7233699999999999E-3</v>
      </c>
      <c r="AT278" s="79">
        <v>23153.486000000001</v>
      </c>
      <c r="AU278" s="79">
        <v>0</v>
      </c>
      <c r="AV278" s="79">
        <v>5153</v>
      </c>
      <c r="AW278" s="79">
        <v>10867.702024045</v>
      </c>
      <c r="AX278" s="79">
        <v>25</v>
      </c>
      <c r="AY278" s="79">
        <v>25</v>
      </c>
      <c r="AZ278" s="79">
        <v>4450</v>
      </c>
      <c r="BA278" s="79">
        <v>1</v>
      </c>
      <c r="BB278" s="79">
        <v>0</v>
      </c>
      <c r="BC278" s="79">
        <v>0</v>
      </c>
      <c r="BD278" s="79">
        <v>0</v>
      </c>
      <c r="BE278" s="79">
        <v>0</v>
      </c>
      <c r="BF278" s="79">
        <v>0</v>
      </c>
      <c r="BG278" s="79">
        <v>0</v>
      </c>
      <c r="BH278" s="79">
        <v>0</v>
      </c>
      <c r="BI278" s="79">
        <v>0</v>
      </c>
      <c r="BJ278" s="79">
        <v>0</v>
      </c>
      <c r="BK278" s="79">
        <v>11</v>
      </c>
      <c r="BL278" s="79">
        <v>9103</v>
      </c>
      <c r="BM278" s="79">
        <v>311</v>
      </c>
      <c r="BN278" s="79">
        <v>200</v>
      </c>
      <c r="BO278">
        <v>12297</v>
      </c>
      <c r="BP278">
        <v>2580</v>
      </c>
      <c r="BQ278">
        <v>11041</v>
      </c>
      <c r="BR278">
        <v>2555</v>
      </c>
      <c r="BS278">
        <v>10812</v>
      </c>
      <c r="BT278">
        <v>2550</v>
      </c>
      <c r="BU278">
        <v>10645</v>
      </c>
      <c r="BV278">
        <v>2581</v>
      </c>
      <c r="BW278">
        <v>10577</v>
      </c>
      <c r="BX278">
        <v>2569</v>
      </c>
      <c r="BY278">
        <v>10403</v>
      </c>
      <c r="BZ278">
        <v>2572</v>
      </c>
      <c r="CA278">
        <v>9808</v>
      </c>
      <c r="CB278">
        <v>1272.0840565138701</v>
      </c>
      <c r="CC278">
        <v>282.323146182372</v>
      </c>
      <c r="CD278">
        <v>209.17541496825999</v>
      </c>
      <c r="CE278">
        <v>16278.826100724</v>
      </c>
      <c r="CF278">
        <v>3499.2448113082501</v>
      </c>
      <c r="CG278">
        <v>423.31468959322501</v>
      </c>
      <c r="CH278">
        <v>623</v>
      </c>
      <c r="CI278">
        <v>335.39318072865802</v>
      </c>
      <c r="CJ278">
        <v>317.151439286715</v>
      </c>
      <c r="CK278" s="81">
        <v>3065</v>
      </c>
      <c r="CL278">
        <v>652</v>
      </c>
      <c r="CM278">
        <v>9503.2795506522507</v>
      </c>
      <c r="CN278">
        <v>2.4438408833159202</v>
      </c>
      <c r="CO278">
        <v>41091</v>
      </c>
      <c r="CP278">
        <v>7507</v>
      </c>
      <c r="CQ278">
        <v>1654</v>
      </c>
      <c r="CR278">
        <v>1651</v>
      </c>
      <c r="CS278">
        <v>1434</v>
      </c>
      <c r="CT278">
        <v>796</v>
      </c>
      <c r="CU278">
        <v>979.58542981531502</v>
      </c>
      <c r="CV278">
        <v>624.593237215719</v>
      </c>
      <c r="CW278">
        <v>238.96933059748201</v>
      </c>
      <c r="CX278">
        <v>2268.7638622301702</v>
      </c>
      <c r="CY278">
        <v>1446.58599654299</v>
      </c>
      <c r="CZ278">
        <v>553.46370509320195</v>
      </c>
      <c r="DA278">
        <v>34771.5</v>
      </c>
      <c r="DE278">
        <v>881</v>
      </c>
      <c r="DF278" t="s">
        <v>826</v>
      </c>
      <c r="DG278">
        <v>1546</v>
      </c>
      <c r="DH278">
        <v>1530</v>
      </c>
      <c r="DI278">
        <v>1486</v>
      </c>
      <c r="DJ278">
        <v>1441</v>
      </c>
      <c r="DK278">
        <v>1389</v>
      </c>
      <c r="DO278">
        <v>715</v>
      </c>
      <c r="DP278" t="s">
        <v>290</v>
      </c>
      <c r="DQ278">
        <v>26954</v>
      </c>
      <c r="DR278">
        <v>1.01</v>
      </c>
      <c r="DS278">
        <v>859</v>
      </c>
      <c r="DV278">
        <v>441</v>
      </c>
      <c r="DW278" t="s">
        <v>265</v>
      </c>
      <c r="DX278">
        <v>5714.0260180431596</v>
      </c>
      <c r="DY278">
        <v>1332</v>
      </c>
      <c r="DZ278">
        <v>1055</v>
      </c>
      <c r="EA278">
        <v>571</v>
      </c>
      <c r="EB278">
        <v>4049</v>
      </c>
      <c r="EC278">
        <v>2260</v>
      </c>
      <c r="ED278">
        <v>796</v>
      </c>
      <c r="EE278" s="82">
        <v>0.13998429307195101</v>
      </c>
      <c r="EF278" s="82">
        <v>0.44140850577478302</v>
      </c>
    </row>
    <row r="279" spans="1:136" x14ac:dyDescent="0.35">
      <c r="A279" s="72">
        <v>716</v>
      </c>
      <c r="B279" s="72">
        <v>9</v>
      </c>
      <c r="D279" s="72" t="s">
        <v>294</v>
      </c>
      <c r="E279" s="79">
        <v>1616800000</v>
      </c>
      <c r="F279" s="79">
        <v>301350000</v>
      </c>
      <c r="G279" s="79">
        <v>342650000</v>
      </c>
      <c r="H279" s="79">
        <v>25583</v>
      </c>
      <c r="I279" s="79">
        <v>7</v>
      </c>
      <c r="J279" s="79">
        <v>342.65</v>
      </c>
      <c r="K279" s="79">
        <v>6443</v>
      </c>
      <c r="L279" s="79">
        <v>4770</v>
      </c>
      <c r="M279" s="79">
        <v>1446</v>
      </c>
      <c r="N279" s="79">
        <v>3151</v>
      </c>
      <c r="O279" s="79">
        <v>2032.6</v>
      </c>
      <c r="P279" s="79">
        <v>354.33333333333297</v>
      </c>
      <c r="Q279" s="79">
        <v>1454.3333333333301</v>
      </c>
      <c r="R279" s="79">
        <v>515</v>
      </c>
      <c r="S279" s="79">
        <v>0</v>
      </c>
      <c r="T279" s="79">
        <v>584</v>
      </c>
      <c r="U279" s="79">
        <v>10606</v>
      </c>
      <c r="V279" s="79">
        <v>22760</v>
      </c>
      <c r="W279" s="79">
        <v>2650</v>
      </c>
      <c r="X279" s="79">
        <v>100.94</v>
      </c>
      <c r="Y279" s="79">
        <v>243.2</v>
      </c>
      <c r="Z279" s="79">
        <v>0</v>
      </c>
      <c r="AA279" s="79">
        <v>0</v>
      </c>
      <c r="AB279" s="79">
        <v>0</v>
      </c>
      <c r="AC279" s="79">
        <v>14687</v>
      </c>
      <c r="AD279" s="79">
        <v>17918.14</v>
      </c>
      <c r="AE279" s="79">
        <v>1547</v>
      </c>
      <c r="AF279" s="79">
        <v>9166</v>
      </c>
      <c r="AG279" s="79">
        <v>223</v>
      </c>
      <c r="AH279" s="79">
        <v>193.7</v>
      </c>
      <c r="AI279" s="79">
        <v>91.5</v>
      </c>
      <c r="AJ279" s="79">
        <v>11184</v>
      </c>
      <c r="AK279" s="79">
        <v>14539.2</v>
      </c>
      <c r="AL279" s="79">
        <v>16</v>
      </c>
      <c r="AM279" s="79">
        <v>0</v>
      </c>
      <c r="AN279" s="79">
        <v>0</v>
      </c>
      <c r="AO279" s="79">
        <v>1300</v>
      </c>
      <c r="AP279" s="79">
        <v>1288</v>
      </c>
      <c r="AQ279" s="79">
        <v>669</v>
      </c>
      <c r="AR279" s="80">
        <v>9.7933099999999995E-4</v>
      </c>
      <c r="AS279" s="80">
        <v>2.2477799999999999E-4</v>
      </c>
      <c r="AT279" s="79">
        <v>5245.2960000000003</v>
      </c>
      <c r="AU279" s="79">
        <v>0</v>
      </c>
      <c r="AV279" s="79">
        <v>4370.04</v>
      </c>
      <c r="AW279" s="79">
        <v>13696.502170752699</v>
      </c>
      <c r="AX279" s="79">
        <v>11</v>
      </c>
      <c r="AY279" s="79">
        <v>13.42</v>
      </c>
      <c r="AZ279" s="79">
        <v>2545</v>
      </c>
      <c r="BA279" s="79">
        <v>1</v>
      </c>
      <c r="BB279" s="79">
        <v>0</v>
      </c>
      <c r="BC279" s="79">
        <v>0</v>
      </c>
      <c r="BD279" s="79">
        <v>0</v>
      </c>
      <c r="BE279" s="79">
        <v>0</v>
      </c>
      <c r="BF279" s="79">
        <v>0</v>
      </c>
      <c r="BG279" s="79">
        <v>0</v>
      </c>
      <c r="BH279" s="79">
        <v>0</v>
      </c>
      <c r="BI279" s="79">
        <v>0</v>
      </c>
      <c r="BJ279" s="79">
        <v>0</v>
      </c>
      <c r="BK279" s="79">
        <v>4</v>
      </c>
      <c r="BL279" s="79">
        <v>3027</v>
      </c>
      <c r="BM279" s="79">
        <v>149</v>
      </c>
      <c r="BN279" s="79">
        <v>75</v>
      </c>
      <c r="BO279">
        <v>7018</v>
      </c>
      <c r="BP279">
        <v>577</v>
      </c>
      <c r="BQ279">
        <v>6362</v>
      </c>
      <c r="BR279">
        <v>627</v>
      </c>
      <c r="BS279">
        <v>6341</v>
      </c>
      <c r="BT279">
        <v>634</v>
      </c>
      <c r="BU279">
        <v>6245</v>
      </c>
      <c r="BV279">
        <v>625</v>
      </c>
      <c r="BW279">
        <v>6251</v>
      </c>
      <c r="BX279">
        <v>609</v>
      </c>
      <c r="BY279">
        <v>6213</v>
      </c>
      <c r="BZ279">
        <v>582</v>
      </c>
      <c r="CA279">
        <v>5773</v>
      </c>
      <c r="CB279">
        <v>495.287765223755</v>
      </c>
      <c r="CC279">
        <v>181.79981738397899</v>
      </c>
      <c r="CD279">
        <v>42.645897220320002</v>
      </c>
      <c r="CE279">
        <v>6426.4847349816</v>
      </c>
      <c r="CF279">
        <v>1789.6712211383599</v>
      </c>
      <c r="CG279">
        <v>291.95258513309898</v>
      </c>
      <c r="CH279">
        <v>233</v>
      </c>
      <c r="CI279">
        <v>105.988219748398</v>
      </c>
      <c r="CJ279">
        <v>95.429236205957807</v>
      </c>
      <c r="CK279" s="81">
        <v>1100</v>
      </c>
      <c r="CL279">
        <v>249</v>
      </c>
      <c r="CM279">
        <v>4123.5919452421203</v>
      </c>
      <c r="CN279">
        <v>0.52445161265178397</v>
      </c>
      <c r="CO279">
        <v>20813</v>
      </c>
      <c r="CP279">
        <v>2771</v>
      </c>
      <c r="CQ279">
        <v>553</v>
      </c>
      <c r="CR279">
        <v>540</v>
      </c>
      <c r="CS279">
        <v>487</v>
      </c>
      <c r="CT279">
        <v>292</v>
      </c>
      <c r="CU279">
        <v>310.47215991070601</v>
      </c>
      <c r="CV279">
        <v>185.41077465393499</v>
      </c>
      <c r="CW279">
        <v>73.073658245962406</v>
      </c>
      <c r="CX279">
        <v>866.81410972088497</v>
      </c>
      <c r="CY279">
        <v>517.65245428296396</v>
      </c>
      <c r="CZ279">
        <v>204.015967276227</v>
      </c>
      <c r="DA279">
        <v>7938</v>
      </c>
      <c r="DE279">
        <v>882</v>
      </c>
      <c r="DF279" t="s">
        <v>173</v>
      </c>
      <c r="DG279">
        <v>6903</v>
      </c>
      <c r="DH279">
        <v>6710</v>
      </c>
      <c r="DI279">
        <v>6532</v>
      </c>
      <c r="DJ279">
        <v>6486</v>
      </c>
      <c r="DK279">
        <v>6352</v>
      </c>
      <c r="DO279">
        <v>716</v>
      </c>
      <c r="DP279" t="s">
        <v>294</v>
      </c>
      <c r="DQ279">
        <v>11184</v>
      </c>
      <c r="DR279">
        <v>1.3</v>
      </c>
      <c r="DS279">
        <v>469</v>
      </c>
      <c r="DV279">
        <v>279</v>
      </c>
      <c r="DW279" t="s">
        <v>266</v>
      </c>
      <c r="DX279">
        <v>1042.8351160970501</v>
      </c>
      <c r="DY279">
        <v>195</v>
      </c>
      <c r="DZ279">
        <v>204</v>
      </c>
      <c r="EA279">
        <v>112</v>
      </c>
      <c r="EB279">
        <v>637</v>
      </c>
      <c r="EC279">
        <v>402</v>
      </c>
      <c r="ED279">
        <v>146</v>
      </c>
      <c r="EE279" s="82">
        <v>0.157172655017769</v>
      </c>
      <c r="EF279" s="82">
        <v>0.44140850577478302</v>
      </c>
    </row>
    <row r="280" spans="1:136" x14ac:dyDescent="0.35">
      <c r="A280" s="72">
        <v>717</v>
      </c>
      <c r="B280" s="72">
        <v>9</v>
      </c>
      <c r="D280" s="72" t="s">
        <v>312</v>
      </c>
      <c r="E280" s="79">
        <v>2881600000</v>
      </c>
      <c r="F280" s="79">
        <v>418250000</v>
      </c>
      <c r="G280" s="79">
        <v>496300000</v>
      </c>
      <c r="H280" s="79">
        <v>21867</v>
      </c>
      <c r="I280" s="79">
        <v>10</v>
      </c>
      <c r="J280" s="79">
        <v>496.3</v>
      </c>
      <c r="K280" s="79">
        <v>4683</v>
      </c>
      <c r="L280" s="79">
        <v>5673</v>
      </c>
      <c r="M280" s="79">
        <v>1691</v>
      </c>
      <c r="N280" s="79">
        <v>2405</v>
      </c>
      <c r="O280" s="79">
        <v>941.2</v>
      </c>
      <c r="P280" s="79">
        <v>221.666666666667</v>
      </c>
      <c r="Q280" s="79">
        <v>900.66666666666697</v>
      </c>
      <c r="R280" s="79">
        <v>230</v>
      </c>
      <c r="S280" s="79">
        <v>0</v>
      </c>
      <c r="T280" s="79">
        <v>370</v>
      </c>
      <c r="U280" s="79">
        <v>9745</v>
      </c>
      <c r="V280" s="79">
        <v>15670</v>
      </c>
      <c r="W280" s="79">
        <v>3270</v>
      </c>
      <c r="X280" s="79">
        <v>0</v>
      </c>
      <c r="Y280" s="79">
        <v>0</v>
      </c>
      <c r="Z280" s="79">
        <v>0</v>
      </c>
      <c r="AA280" s="79">
        <v>0</v>
      </c>
      <c r="AB280" s="79">
        <v>0</v>
      </c>
      <c r="AC280" s="79">
        <v>13239</v>
      </c>
      <c r="AD280" s="79">
        <v>14298.12</v>
      </c>
      <c r="AE280" s="79">
        <v>1198</v>
      </c>
      <c r="AF280" s="79">
        <v>6218</v>
      </c>
      <c r="AG280" s="79">
        <v>228</v>
      </c>
      <c r="AH280" s="79">
        <v>172.7</v>
      </c>
      <c r="AI280" s="79">
        <v>76.680000000000007</v>
      </c>
      <c r="AJ280" s="79">
        <v>14638</v>
      </c>
      <c r="AK280" s="79">
        <v>16101.8</v>
      </c>
      <c r="AL280" s="79">
        <v>14</v>
      </c>
      <c r="AM280" s="79">
        <v>0</v>
      </c>
      <c r="AN280" s="79">
        <v>0</v>
      </c>
      <c r="AO280" s="79">
        <v>3200</v>
      </c>
      <c r="AP280" s="79">
        <v>591</v>
      </c>
      <c r="AQ280" s="79">
        <v>0</v>
      </c>
      <c r="AR280" s="80">
        <v>7.0332599999999999E-4</v>
      </c>
      <c r="AS280" s="80">
        <v>2.5701400000000002E-4</v>
      </c>
      <c r="AT280" s="79">
        <v>4933.0060000000003</v>
      </c>
      <c r="AU280" s="79">
        <v>0</v>
      </c>
      <c r="AV280" s="79">
        <v>2947.32</v>
      </c>
      <c r="AW280" s="79">
        <v>5821.8899522061402</v>
      </c>
      <c r="AX280" s="79">
        <v>13</v>
      </c>
      <c r="AY280" s="79">
        <v>14.04</v>
      </c>
      <c r="AZ280" s="79">
        <v>2775</v>
      </c>
      <c r="BA280" s="79">
        <v>1</v>
      </c>
      <c r="BB280" s="79">
        <v>0</v>
      </c>
      <c r="BC280" s="79">
        <v>0</v>
      </c>
      <c r="BD280" s="79">
        <v>0</v>
      </c>
      <c r="BE280" s="79">
        <v>0</v>
      </c>
      <c r="BF280" s="79">
        <v>0</v>
      </c>
      <c r="BG280" s="79">
        <v>0</v>
      </c>
      <c r="BH280" s="79">
        <v>0</v>
      </c>
      <c r="BI280" s="79">
        <v>0</v>
      </c>
      <c r="BJ280" s="79">
        <v>0</v>
      </c>
      <c r="BK280" s="79">
        <v>0</v>
      </c>
      <c r="BL280" s="79">
        <v>2814</v>
      </c>
      <c r="BM280" s="79">
        <v>157</v>
      </c>
      <c r="BN280" s="79">
        <v>71</v>
      </c>
      <c r="BO280">
        <v>5330</v>
      </c>
      <c r="BP280">
        <v>0</v>
      </c>
      <c r="BQ280">
        <v>4787</v>
      </c>
      <c r="BR280">
        <v>0</v>
      </c>
      <c r="BS280">
        <v>4710</v>
      </c>
      <c r="BT280">
        <v>0</v>
      </c>
      <c r="BU280">
        <v>4661</v>
      </c>
      <c r="BV280">
        <v>0</v>
      </c>
      <c r="BW280">
        <v>4599</v>
      </c>
      <c r="BX280">
        <v>0</v>
      </c>
      <c r="BY280">
        <v>4514</v>
      </c>
      <c r="BZ280">
        <v>0</v>
      </c>
      <c r="CA280">
        <v>4150</v>
      </c>
      <c r="CB280">
        <v>278.08270470815302</v>
      </c>
      <c r="CC280">
        <v>63.142527160009003</v>
      </c>
      <c r="CD280">
        <v>25.608360864302799</v>
      </c>
      <c r="CE280">
        <v>6767.5264084341297</v>
      </c>
      <c r="CF280">
        <v>1456.2953616090499</v>
      </c>
      <c r="CG280">
        <v>120.21175882744799</v>
      </c>
      <c r="CH280">
        <v>143</v>
      </c>
      <c r="CI280">
        <v>55.095158137648902</v>
      </c>
      <c r="CJ280">
        <v>46.4729737657266</v>
      </c>
      <c r="CK280" s="81">
        <v>679</v>
      </c>
      <c r="CL280">
        <v>197</v>
      </c>
      <c r="CM280">
        <v>2637.5824043715802</v>
      </c>
      <c r="CN280">
        <v>0.22688866597384399</v>
      </c>
      <c r="CO280">
        <v>16194</v>
      </c>
      <c r="CP280">
        <v>3344</v>
      </c>
      <c r="CQ280">
        <v>638</v>
      </c>
      <c r="CR280">
        <v>631</v>
      </c>
      <c r="CS280">
        <v>496</v>
      </c>
      <c r="CT280">
        <v>304</v>
      </c>
      <c r="CU280">
        <v>130.26477902407399</v>
      </c>
      <c r="CV280">
        <v>74.519683558194401</v>
      </c>
      <c r="CW280">
        <v>28.354771742160299</v>
      </c>
      <c r="CX280">
        <v>811.54258416152095</v>
      </c>
      <c r="CY280">
        <v>464.253630327346</v>
      </c>
      <c r="CZ280">
        <v>176.64870662153501</v>
      </c>
      <c r="DA280">
        <v>44982</v>
      </c>
      <c r="DE280">
        <v>888</v>
      </c>
      <c r="DF280" t="s">
        <v>36</v>
      </c>
      <c r="DG280">
        <v>3222</v>
      </c>
      <c r="DH280">
        <v>3132</v>
      </c>
      <c r="DI280">
        <v>3064</v>
      </c>
      <c r="DJ280">
        <v>2981</v>
      </c>
      <c r="DK280">
        <v>2911</v>
      </c>
      <c r="DO280">
        <v>717</v>
      </c>
      <c r="DP280" t="s">
        <v>312</v>
      </c>
      <c r="DQ280">
        <v>14638</v>
      </c>
      <c r="DR280">
        <v>1.1000000000000001</v>
      </c>
      <c r="DS280">
        <v>337</v>
      </c>
      <c r="DV280">
        <v>606</v>
      </c>
      <c r="DW280" t="s">
        <v>267</v>
      </c>
      <c r="DX280">
        <v>13503.262820338599</v>
      </c>
      <c r="DY280">
        <v>2208</v>
      </c>
      <c r="DZ280">
        <v>1680</v>
      </c>
      <c r="EA280">
        <v>939</v>
      </c>
      <c r="EB280">
        <v>5105</v>
      </c>
      <c r="EC280">
        <v>2943</v>
      </c>
      <c r="ED280">
        <v>1234</v>
      </c>
      <c r="EE280" s="82">
        <v>0.26194014206976002</v>
      </c>
      <c r="EF280" s="82">
        <v>0.54870379860755203</v>
      </c>
    </row>
    <row r="281" spans="1:136" x14ac:dyDescent="0.35">
      <c r="A281" s="72">
        <v>718</v>
      </c>
      <c r="B281" s="72">
        <v>9</v>
      </c>
      <c r="D281" s="72" t="s">
        <v>320</v>
      </c>
      <c r="E281" s="79">
        <v>2776800000</v>
      </c>
      <c r="F281" s="79">
        <v>749700000</v>
      </c>
      <c r="G281" s="79">
        <v>783650000</v>
      </c>
      <c r="H281" s="79">
        <v>44485</v>
      </c>
      <c r="I281" s="79">
        <v>1</v>
      </c>
      <c r="J281" s="79">
        <v>783.65</v>
      </c>
      <c r="K281" s="79">
        <v>8922</v>
      </c>
      <c r="L281" s="79">
        <v>10115</v>
      </c>
      <c r="M281" s="79">
        <v>3053</v>
      </c>
      <c r="N281" s="79">
        <v>7674</v>
      </c>
      <c r="O281" s="79">
        <v>5350.2</v>
      </c>
      <c r="P281" s="79">
        <v>2007.6666666666699</v>
      </c>
      <c r="Q281" s="79">
        <v>4312.6666666666697</v>
      </c>
      <c r="R281" s="79">
        <v>3475</v>
      </c>
      <c r="S281" s="79">
        <v>0</v>
      </c>
      <c r="T281" s="79">
        <v>1740</v>
      </c>
      <c r="U281" s="79">
        <v>22853</v>
      </c>
      <c r="V281" s="79">
        <v>50190</v>
      </c>
      <c r="W281" s="79">
        <v>67540</v>
      </c>
      <c r="X281" s="79">
        <v>180.18</v>
      </c>
      <c r="Y281" s="79">
        <v>1120</v>
      </c>
      <c r="Z281" s="79">
        <v>0</v>
      </c>
      <c r="AA281" s="79">
        <v>0</v>
      </c>
      <c r="AB281" s="79">
        <v>0</v>
      </c>
      <c r="AC281" s="79">
        <v>3432</v>
      </c>
      <c r="AD281" s="79">
        <v>3775.2</v>
      </c>
      <c r="AE281" s="79">
        <v>514</v>
      </c>
      <c r="AF281" s="79">
        <v>10000</v>
      </c>
      <c r="AG281" s="79">
        <v>297</v>
      </c>
      <c r="AH281" s="79">
        <v>220.8</v>
      </c>
      <c r="AI281" s="79">
        <v>112.35</v>
      </c>
      <c r="AJ281" s="79">
        <v>23238</v>
      </c>
      <c r="AK281" s="79">
        <v>26723.7</v>
      </c>
      <c r="AL281" s="79">
        <v>16</v>
      </c>
      <c r="AM281" s="79">
        <v>0</v>
      </c>
      <c r="AN281" s="79">
        <v>0</v>
      </c>
      <c r="AO281" s="79">
        <v>3200</v>
      </c>
      <c r="AP281" s="79">
        <v>6521</v>
      </c>
      <c r="AQ281" s="79">
        <v>5750</v>
      </c>
      <c r="AR281" s="80">
        <v>3.673599E-3</v>
      </c>
      <c r="AS281" s="80">
        <v>5.5830760000000002E-3</v>
      </c>
      <c r="AT281" s="79">
        <v>45035.243999999999</v>
      </c>
      <c r="AU281" s="79">
        <v>0</v>
      </c>
      <c r="AV281" s="79">
        <v>1250.7</v>
      </c>
      <c r="AW281" s="79">
        <v>19531.237328940701</v>
      </c>
      <c r="AX281" s="79">
        <v>3</v>
      </c>
      <c r="AY281" s="79">
        <v>3.21</v>
      </c>
      <c r="AZ281" s="79">
        <v>3124</v>
      </c>
      <c r="BA281" s="79">
        <v>1</v>
      </c>
      <c r="BB281" s="79">
        <v>0</v>
      </c>
      <c r="BC281" s="79">
        <v>0</v>
      </c>
      <c r="BD281" s="79">
        <v>0</v>
      </c>
      <c r="BE281" s="79">
        <v>0</v>
      </c>
      <c r="BF281" s="79">
        <v>0</v>
      </c>
      <c r="BG281" s="79">
        <v>0</v>
      </c>
      <c r="BH281" s="79">
        <v>0</v>
      </c>
      <c r="BI281" s="79">
        <v>0</v>
      </c>
      <c r="BJ281" s="79">
        <v>0</v>
      </c>
      <c r="BK281" s="79">
        <v>3</v>
      </c>
      <c r="BL281" s="79">
        <v>9795</v>
      </c>
      <c r="BM281" s="79">
        <v>192</v>
      </c>
      <c r="BN281" s="79">
        <v>105</v>
      </c>
      <c r="BO281">
        <v>9533</v>
      </c>
      <c r="BP281">
        <v>1553</v>
      </c>
      <c r="BQ281">
        <v>8432</v>
      </c>
      <c r="BR281">
        <v>1608</v>
      </c>
      <c r="BS281">
        <v>8301</v>
      </c>
      <c r="BT281">
        <v>1591</v>
      </c>
      <c r="BU281">
        <v>8173</v>
      </c>
      <c r="BV281">
        <v>1597</v>
      </c>
      <c r="BW281">
        <v>8190</v>
      </c>
      <c r="BX281">
        <v>1598</v>
      </c>
      <c r="BY281">
        <v>8115</v>
      </c>
      <c r="BZ281">
        <v>1501</v>
      </c>
      <c r="CA281">
        <v>7910</v>
      </c>
      <c r="CB281">
        <v>1223.1193227906001</v>
      </c>
      <c r="CC281">
        <v>225.127811576212</v>
      </c>
      <c r="CD281">
        <v>160.39275768987099</v>
      </c>
      <c r="CE281">
        <v>12555.0071402141</v>
      </c>
      <c r="CF281">
        <v>2490.9738830362699</v>
      </c>
      <c r="CG281">
        <v>243.952984496124</v>
      </c>
      <c r="CH281">
        <v>652</v>
      </c>
      <c r="CI281">
        <v>512.51547219808003</v>
      </c>
      <c r="CJ281">
        <v>514.04075562242701</v>
      </c>
      <c r="CK281" s="81">
        <v>2305</v>
      </c>
      <c r="CL281">
        <v>507</v>
      </c>
      <c r="CM281">
        <v>7015.2417673393202</v>
      </c>
      <c r="CN281">
        <v>5.67590754751508</v>
      </c>
      <c r="CO281">
        <v>34370</v>
      </c>
      <c r="CP281">
        <v>5764</v>
      </c>
      <c r="CQ281">
        <v>1298</v>
      </c>
      <c r="CR281">
        <v>1468</v>
      </c>
      <c r="CS281">
        <v>1214</v>
      </c>
      <c r="CT281">
        <v>741</v>
      </c>
      <c r="CU281">
        <v>859.72324112963304</v>
      </c>
      <c r="CV281">
        <v>511.82773568055001</v>
      </c>
      <c r="CW281">
        <v>226.327784153837</v>
      </c>
      <c r="CX281">
        <v>2048.8599840006</v>
      </c>
      <c r="CY281">
        <v>1219.76854430459</v>
      </c>
      <c r="CZ281">
        <v>539.37583403122403</v>
      </c>
      <c r="DA281">
        <v>3544</v>
      </c>
      <c r="DE281">
        <v>889</v>
      </c>
      <c r="DF281" t="s">
        <v>39</v>
      </c>
      <c r="DG281">
        <v>2899</v>
      </c>
      <c r="DH281">
        <v>2900</v>
      </c>
      <c r="DI281">
        <v>2848</v>
      </c>
      <c r="DJ281">
        <v>2760</v>
      </c>
      <c r="DK281">
        <v>2741</v>
      </c>
      <c r="DO281">
        <v>718</v>
      </c>
      <c r="DP281" t="s">
        <v>320</v>
      </c>
      <c r="DQ281">
        <v>23238</v>
      </c>
      <c r="DR281">
        <v>1.1499999999999999</v>
      </c>
      <c r="DS281">
        <v>1938</v>
      </c>
      <c r="DV281">
        <v>88</v>
      </c>
      <c r="DW281" t="s">
        <v>268</v>
      </c>
      <c r="DX281">
        <v>206.80550098231799</v>
      </c>
      <c r="DY281">
        <v>48</v>
      </c>
      <c r="DZ281">
        <v>26</v>
      </c>
      <c r="EA281">
        <v>19</v>
      </c>
      <c r="EB281">
        <v>101</v>
      </c>
      <c r="EC281">
        <v>60</v>
      </c>
      <c r="ED281">
        <v>28</v>
      </c>
      <c r="EE281" s="82">
        <v>5.4217375825740703E-2</v>
      </c>
      <c r="EF281" s="82">
        <v>0.51192710241985195</v>
      </c>
    </row>
    <row r="282" spans="1:136" x14ac:dyDescent="0.35">
      <c r="A282" s="72">
        <v>738</v>
      </c>
      <c r="B282" s="72">
        <v>10</v>
      </c>
      <c r="D282" s="72" t="s">
        <v>822</v>
      </c>
      <c r="E282" s="79">
        <v>1002400000</v>
      </c>
      <c r="F282" s="79">
        <v>165550000</v>
      </c>
      <c r="G282" s="79">
        <v>179900000</v>
      </c>
      <c r="H282" s="79">
        <v>13153</v>
      </c>
      <c r="I282" s="79">
        <v>2</v>
      </c>
      <c r="J282" s="79">
        <v>179.9</v>
      </c>
      <c r="K282" s="79">
        <v>3467</v>
      </c>
      <c r="L282" s="79">
        <v>2240</v>
      </c>
      <c r="M282" s="79">
        <v>656</v>
      </c>
      <c r="N282" s="79">
        <v>1348</v>
      </c>
      <c r="O282" s="79">
        <v>836</v>
      </c>
      <c r="P282" s="79">
        <v>110.666666666667</v>
      </c>
      <c r="Q282" s="79">
        <v>549.66666666666697</v>
      </c>
      <c r="R282" s="79">
        <v>135</v>
      </c>
      <c r="S282" s="79">
        <v>0</v>
      </c>
      <c r="T282" s="79">
        <v>257</v>
      </c>
      <c r="U282" s="79">
        <v>5139</v>
      </c>
      <c r="V282" s="79">
        <v>10980</v>
      </c>
      <c r="W282" s="79">
        <v>1610</v>
      </c>
      <c r="X282" s="79">
        <v>0</v>
      </c>
      <c r="Y282" s="79">
        <v>504.8</v>
      </c>
      <c r="Z282" s="79">
        <v>0</v>
      </c>
      <c r="AA282" s="79">
        <v>0</v>
      </c>
      <c r="AB282" s="79">
        <v>0</v>
      </c>
      <c r="AC282" s="79">
        <v>5037</v>
      </c>
      <c r="AD282" s="79">
        <v>5490.33</v>
      </c>
      <c r="AE282" s="79">
        <v>281</v>
      </c>
      <c r="AF282" s="79">
        <v>0</v>
      </c>
      <c r="AG282" s="79">
        <v>115</v>
      </c>
      <c r="AH282" s="79">
        <v>92.88</v>
      </c>
      <c r="AI282" s="79">
        <v>31.61</v>
      </c>
      <c r="AJ282" s="79">
        <v>5120</v>
      </c>
      <c r="AK282" s="79">
        <v>5529.6</v>
      </c>
      <c r="AL282" s="79">
        <v>0</v>
      </c>
      <c r="AM282" s="79">
        <v>0</v>
      </c>
      <c r="AN282" s="79">
        <v>0</v>
      </c>
      <c r="AO282" s="79">
        <v>0</v>
      </c>
      <c r="AP282" s="79">
        <v>0</v>
      </c>
      <c r="AQ282" s="79">
        <v>0</v>
      </c>
      <c r="AR282" s="80">
        <v>9.7768000000000003E-5</v>
      </c>
      <c r="AS282" s="80">
        <v>3.2772999999999999E-5</v>
      </c>
      <c r="AT282" s="79">
        <v>1945.6</v>
      </c>
      <c r="AU282" s="79">
        <v>0</v>
      </c>
      <c r="AV282" s="79">
        <v>1233.8800000000001</v>
      </c>
      <c r="AW282" s="79">
        <v>3488.48822489658</v>
      </c>
      <c r="AX282" s="79">
        <v>7</v>
      </c>
      <c r="AY282" s="79">
        <v>7.63</v>
      </c>
      <c r="AZ282" s="79">
        <v>1734</v>
      </c>
      <c r="BA282" s="79">
        <v>1</v>
      </c>
      <c r="BB282" s="79">
        <v>0</v>
      </c>
      <c r="BC282" s="79">
        <v>0</v>
      </c>
      <c r="BD282" s="79">
        <v>0</v>
      </c>
      <c r="BE282" s="79">
        <v>0</v>
      </c>
      <c r="BF282" s="79">
        <v>0</v>
      </c>
      <c r="BG282" s="79">
        <v>0</v>
      </c>
      <c r="BH282" s="79">
        <v>0</v>
      </c>
      <c r="BI282" s="79">
        <v>0</v>
      </c>
      <c r="BJ282" s="79">
        <v>0</v>
      </c>
      <c r="BK282" s="79">
        <v>0</v>
      </c>
      <c r="BL282" s="79">
        <v>1287</v>
      </c>
      <c r="BM282" s="79">
        <v>86</v>
      </c>
      <c r="BN282" s="79">
        <v>29</v>
      </c>
      <c r="BO282">
        <v>3590</v>
      </c>
      <c r="BP282">
        <v>621</v>
      </c>
      <c r="BQ282">
        <v>3284</v>
      </c>
      <c r="BR282">
        <v>651</v>
      </c>
      <c r="BS282">
        <v>3251</v>
      </c>
      <c r="BT282">
        <v>636</v>
      </c>
      <c r="BU282">
        <v>3241</v>
      </c>
      <c r="BV282">
        <v>613</v>
      </c>
      <c r="BW282">
        <v>3241</v>
      </c>
      <c r="BX282">
        <v>601</v>
      </c>
      <c r="BY282">
        <v>3171</v>
      </c>
      <c r="BZ282">
        <v>625</v>
      </c>
      <c r="CA282">
        <v>3099</v>
      </c>
      <c r="CB282">
        <v>163.11536430166001</v>
      </c>
      <c r="CC282">
        <v>72.940551710125902</v>
      </c>
      <c r="CD282">
        <v>19.949987452253399</v>
      </c>
      <c r="CE282">
        <v>3455.6657032635699</v>
      </c>
      <c r="CF282">
        <v>982.92407353112696</v>
      </c>
      <c r="CG282">
        <v>183.352058176821</v>
      </c>
      <c r="CH282">
        <v>82</v>
      </c>
      <c r="CI282">
        <v>30.7082156432303</v>
      </c>
      <c r="CJ282">
        <v>23.413864645327902</v>
      </c>
      <c r="CK282" s="81">
        <v>439</v>
      </c>
      <c r="CL282">
        <v>112</v>
      </c>
      <c r="CM282">
        <v>1761.8442491179601</v>
      </c>
      <c r="CN282">
        <v>6.30615194527816E-2</v>
      </c>
      <c r="CO282">
        <v>10913</v>
      </c>
      <c r="CP282">
        <v>1334</v>
      </c>
      <c r="CQ282">
        <v>250</v>
      </c>
      <c r="CR282">
        <v>224</v>
      </c>
      <c r="CS282">
        <v>222</v>
      </c>
      <c r="CT282">
        <v>136</v>
      </c>
      <c r="CU282">
        <v>132.75288148423201</v>
      </c>
      <c r="CV282">
        <v>75.602194498400394</v>
      </c>
      <c r="CW282">
        <v>29.065206524223001</v>
      </c>
      <c r="CX282">
        <v>346.46488265343902</v>
      </c>
      <c r="CY282">
        <v>197.31025912489801</v>
      </c>
      <c r="CZ282">
        <v>75.855779965943597</v>
      </c>
      <c r="DA282">
        <v>3969</v>
      </c>
      <c r="DE282">
        <v>893</v>
      </c>
      <c r="DF282" t="s">
        <v>42</v>
      </c>
      <c r="DG282">
        <v>2819</v>
      </c>
      <c r="DH282">
        <v>2784</v>
      </c>
      <c r="DI282">
        <v>2691</v>
      </c>
      <c r="DJ282">
        <v>2631</v>
      </c>
      <c r="DK282">
        <v>2570</v>
      </c>
      <c r="DO282">
        <v>738</v>
      </c>
      <c r="DP282" t="s">
        <v>822</v>
      </c>
      <c r="DQ282">
        <v>5120</v>
      </c>
      <c r="DR282">
        <v>1.08</v>
      </c>
      <c r="DS282">
        <v>380</v>
      </c>
      <c r="DV282">
        <v>962</v>
      </c>
      <c r="DW282" t="s">
        <v>827</v>
      </c>
      <c r="DX282">
        <v>1599.5338715338701</v>
      </c>
      <c r="DY282">
        <v>317</v>
      </c>
      <c r="DZ282">
        <v>340</v>
      </c>
      <c r="EA282">
        <v>173</v>
      </c>
      <c r="EB282">
        <v>1144</v>
      </c>
      <c r="EC282">
        <v>726</v>
      </c>
      <c r="ED282">
        <v>242</v>
      </c>
      <c r="EE282" s="82">
        <v>0.16752531719917599</v>
      </c>
      <c r="EF282" s="82">
        <v>0.42615606722440202</v>
      </c>
    </row>
    <row r="283" spans="1:136" x14ac:dyDescent="0.35">
      <c r="A283" s="72">
        <v>1723</v>
      </c>
      <c r="B283" s="72">
        <v>10</v>
      </c>
      <c r="D283" s="72" t="s">
        <v>21</v>
      </c>
      <c r="E283" s="79">
        <v>960800000</v>
      </c>
      <c r="F283" s="79">
        <v>180600000</v>
      </c>
      <c r="G283" s="79">
        <v>215950000</v>
      </c>
      <c r="H283" s="79">
        <v>10083</v>
      </c>
      <c r="I283" s="79">
        <v>2</v>
      </c>
      <c r="J283" s="79">
        <v>215.95</v>
      </c>
      <c r="K283" s="79">
        <v>2140</v>
      </c>
      <c r="L283" s="79">
        <v>2206</v>
      </c>
      <c r="M283" s="79">
        <v>673</v>
      </c>
      <c r="N283" s="79">
        <v>937</v>
      </c>
      <c r="O283" s="79">
        <v>487.3</v>
      </c>
      <c r="P283" s="79">
        <v>90.6666666666667</v>
      </c>
      <c r="Q283" s="79">
        <v>430.66666666666703</v>
      </c>
      <c r="R283" s="79">
        <v>130</v>
      </c>
      <c r="S283" s="79">
        <v>0</v>
      </c>
      <c r="T283" s="79">
        <v>226</v>
      </c>
      <c r="U283" s="79">
        <v>4247</v>
      </c>
      <c r="V283" s="79">
        <v>6110</v>
      </c>
      <c r="W283" s="79">
        <v>350</v>
      </c>
      <c r="X283" s="79">
        <v>0</v>
      </c>
      <c r="Y283" s="79">
        <v>0</v>
      </c>
      <c r="Z283" s="79">
        <v>0</v>
      </c>
      <c r="AA283" s="79">
        <v>0</v>
      </c>
      <c r="AB283" s="79">
        <v>0</v>
      </c>
      <c r="AC283" s="79">
        <v>9300</v>
      </c>
      <c r="AD283" s="79">
        <v>9300</v>
      </c>
      <c r="AE283" s="79">
        <v>52</v>
      </c>
      <c r="AF283" s="79">
        <v>0</v>
      </c>
      <c r="AG283" s="79">
        <v>148</v>
      </c>
      <c r="AH283" s="79">
        <v>56</v>
      </c>
      <c r="AI283" s="79">
        <v>93</v>
      </c>
      <c r="AJ283" s="79">
        <v>4497</v>
      </c>
      <c r="AK283" s="79">
        <v>4497</v>
      </c>
      <c r="AL283" s="79">
        <v>0</v>
      </c>
      <c r="AM283" s="79">
        <v>0</v>
      </c>
      <c r="AN283" s="79">
        <v>0</v>
      </c>
      <c r="AO283" s="79">
        <v>0</v>
      </c>
      <c r="AP283" s="79">
        <v>0</v>
      </c>
      <c r="AQ283" s="79">
        <v>0</v>
      </c>
      <c r="AR283" s="80">
        <v>7.2244999999999997E-5</v>
      </c>
      <c r="AS283" s="80">
        <v>2.7603999999999999E-5</v>
      </c>
      <c r="AT283" s="79">
        <v>1367.088</v>
      </c>
      <c r="AU283" s="79">
        <v>0</v>
      </c>
      <c r="AV283" s="79">
        <v>745</v>
      </c>
      <c r="AW283" s="79">
        <v>803.23299828913605</v>
      </c>
      <c r="AX283" s="79">
        <v>8</v>
      </c>
      <c r="AY283" s="79">
        <v>8</v>
      </c>
      <c r="AZ283" s="79">
        <v>1386</v>
      </c>
      <c r="BA283" s="79">
        <v>1</v>
      </c>
      <c r="BB283" s="79">
        <v>0</v>
      </c>
      <c r="BC283" s="79">
        <v>0</v>
      </c>
      <c r="BD283" s="79">
        <v>0</v>
      </c>
      <c r="BE283" s="79">
        <v>0</v>
      </c>
      <c r="BF283" s="79">
        <v>0</v>
      </c>
      <c r="BG283" s="79">
        <v>0</v>
      </c>
      <c r="BH283" s="79">
        <v>0</v>
      </c>
      <c r="BI283" s="79">
        <v>0</v>
      </c>
      <c r="BJ283" s="79">
        <v>0</v>
      </c>
      <c r="BK283" s="79">
        <v>1</v>
      </c>
      <c r="BL283" s="79">
        <v>1011</v>
      </c>
      <c r="BM283" s="79">
        <v>56</v>
      </c>
      <c r="BN283" s="79">
        <v>93</v>
      </c>
      <c r="BO283">
        <v>2313</v>
      </c>
      <c r="BP283">
        <v>0</v>
      </c>
      <c r="BQ283">
        <v>2050</v>
      </c>
      <c r="BR283">
        <v>0</v>
      </c>
      <c r="BS283">
        <v>2027</v>
      </c>
      <c r="BT283">
        <v>0</v>
      </c>
      <c r="BU283">
        <v>2006</v>
      </c>
      <c r="BV283">
        <v>0</v>
      </c>
      <c r="BW283">
        <v>1973</v>
      </c>
      <c r="BX283">
        <v>0</v>
      </c>
      <c r="BY283">
        <v>1941</v>
      </c>
      <c r="BZ283">
        <v>0</v>
      </c>
      <c r="CA283">
        <v>1924</v>
      </c>
      <c r="CB283">
        <v>161.119671019192</v>
      </c>
      <c r="CC283">
        <v>20.0970672650284</v>
      </c>
      <c r="CD283">
        <v>8.0252602473087098</v>
      </c>
      <c r="CE283">
        <v>3186.2470008376899</v>
      </c>
      <c r="CF283">
        <v>747.89952331575898</v>
      </c>
      <c r="CG283">
        <v>33.643466324567001</v>
      </c>
      <c r="CH283">
        <v>90</v>
      </c>
      <c r="CI283">
        <v>26.909377405728598</v>
      </c>
      <c r="CJ283">
        <v>19.1567983461774</v>
      </c>
      <c r="CK283" s="81">
        <v>340</v>
      </c>
      <c r="CL283">
        <v>79</v>
      </c>
      <c r="CM283">
        <v>1465.22530834341</v>
      </c>
      <c r="CN283">
        <v>4.8040038950795699E-2</v>
      </c>
      <c r="CO283">
        <v>7877</v>
      </c>
      <c r="CP283">
        <v>1301</v>
      </c>
      <c r="CQ283">
        <v>232</v>
      </c>
      <c r="CR283">
        <v>192</v>
      </c>
      <c r="CS283">
        <v>138</v>
      </c>
      <c r="CT283">
        <v>100</v>
      </c>
      <c r="CU283">
        <v>80.455972206073099</v>
      </c>
      <c r="CV283">
        <v>47.384447242660301</v>
      </c>
      <c r="CW283">
        <v>16.5899780964005</v>
      </c>
      <c r="CX283">
        <v>269.31017442061699</v>
      </c>
      <c r="CY283">
        <v>158.609900568477</v>
      </c>
      <c r="CZ283">
        <v>55.531612784844299</v>
      </c>
      <c r="DA283">
        <v>0</v>
      </c>
      <c r="DE283">
        <v>899</v>
      </c>
      <c r="DF283" t="s">
        <v>64</v>
      </c>
      <c r="DG283">
        <v>5289</v>
      </c>
      <c r="DH283">
        <v>5211</v>
      </c>
      <c r="DI283">
        <v>5098</v>
      </c>
      <c r="DJ283">
        <v>5055</v>
      </c>
      <c r="DK283">
        <v>4984</v>
      </c>
      <c r="DO283">
        <v>1723</v>
      </c>
      <c r="DP283" t="s">
        <v>21</v>
      </c>
      <c r="DQ283">
        <v>4497</v>
      </c>
      <c r="DR283">
        <v>1</v>
      </c>
      <c r="DS283">
        <v>304</v>
      </c>
      <c r="DV283">
        <v>1676</v>
      </c>
      <c r="DW283" t="s">
        <v>269</v>
      </c>
      <c r="DX283">
        <v>4701.7223596822496</v>
      </c>
      <c r="DY283">
        <v>989</v>
      </c>
      <c r="DZ283">
        <v>903</v>
      </c>
      <c r="EA283">
        <v>546</v>
      </c>
      <c r="EB283">
        <v>3105</v>
      </c>
      <c r="EC283">
        <v>1918</v>
      </c>
      <c r="ED283">
        <v>801</v>
      </c>
      <c r="EE283" s="82">
        <v>0.11623079284778599</v>
      </c>
      <c r="EF283" s="82">
        <v>0.418704494192155</v>
      </c>
    </row>
    <row r="284" spans="1:136" x14ac:dyDescent="0.35">
      <c r="A284" s="72">
        <v>743</v>
      </c>
      <c r="B284" s="72">
        <v>10</v>
      </c>
      <c r="D284" s="72" t="s">
        <v>31</v>
      </c>
      <c r="E284" s="79">
        <v>1394800000</v>
      </c>
      <c r="F284" s="79">
        <v>310100000</v>
      </c>
      <c r="G284" s="79">
        <v>344400000</v>
      </c>
      <c r="H284" s="79">
        <v>16719</v>
      </c>
      <c r="I284" s="79">
        <v>2</v>
      </c>
      <c r="J284" s="79">
        <v>344.4</v>
      </c>
      <c r="K284" s="79">
        <v>3615</v>
      </c>
      <c r="L284" s="79">
        <v>3588</v>
      </c>
      <c r="M284" s="79">
        <v>1133</v>
      </c>
      <c r="N284" s="79">
        <v>2150</v>
      </c>
      <c r="O284" s="79">
        <v>1466.7</v>
      </c>
      <c r="P284" s="79">
        <v>195.333333333333</v>
      </c>
      <c r="Q284" s="79">
        <v>950.33333333333303</v>
      </c>
      <c r="R284" s="79">
        <v>290</v>
      </c>
      <c r="S284" s="79">
        <v>0</v>
      </c>
      <c r="T284" s="79">
        <v>376</v>
      </c>
      <c r="U284" s="79">
        <v>7359</v>
      </c>
      <c r="V284" s="79">
        <v>16220</v>
      </c>
      <c r="W284" s="79">
        <v>8200</v>
      </c>
      <c r="X284" s="79">
        <v>0</v>
      </c>
      <c r="Y284" s="79">
        <v>856</v>
      </c>
      <c r="Z284" s="79">
        <v>0</v>
      </c>
      <c r="AA284" s="79">
        <v>0</v>
      </c>
      <c r="AB284" s="79">
        <v>0</v>
      </c>
      <c r="AC284" s="79">
        <v>7022</v>
      </c>
      <c r="AD284" s="79">
        <v>7022</v>
      </c>
      <c r="AE284" s="79">
        <v>112</v>
      </c>
      <c r="AF284" s="79">
        <v>0</v>
      </c>
      <c r="AG284" s="79">
        <v>206</v>
      </c>
      <c r="AH284" s="79">
        <v>105</v>
      </c>
      <c r="AI284" s="79">
        <v>101</v>
      </c>
      <c r="AJ284" s="79">
        <v>6833</v>
      </c>
      <c r="AK284" s="79">
        <v>6833</v>
      </c>
      <c r="AL284" s="79">
        <v>0</v>
      </c>
      <c r="AM284" s="79">
        <v>0</v>
      </c>
      <c r="AN284" s="79">
        <v>0</v>
      </c>
      <c r="AO284" s="79">
        <v>0</v>
      </c>
      <c r="AP284" s="79">
        <v>538</v>
      </c>
      <c r="AQ284" s="79">
        <v>0</v>
      </c>
      <c r="AR284" s="80">
        <v>1.2217599999999999E-4</v>
      </c>
      <c r="AS284" s="80">
        <v>7.5828000000000007E-5</v>
      </c>
      <c r="AT284" s="79">
        <v>6470.8509999999997</v>
      </c>
      <c r="AU284" s="79">
        <v>0</v>
      </c>
      <c r="AV284" s="79">
        <v>988</v>
      </c>
      <c r="AW284" s="79">
        <v>2315.4432296047098</v>
      </c>
      <c r="AX284" s="79">
        <v>2</v>
      </c>
      <c r="AY284" s="79">
        <v>2</v>
      </c>
      <c r="AZ284" s="79">
        <v>2057</v>
      </c>
      <c r="BA284" s="79">
        <v>1</v>
      </c>
      <c r="BB284" s="79">
        <v>0</v>
      </c>
      <c r="BC284" s="79">
        <v>0</v>
      </c>
      <c r="BD284" s="79">
        <v>0</v>
      </c>
      <c r="BE284" s="79">
        <v>0</v>
      </c>
      <c r="BF284" s="79">
        <v>0</v>
      </c>
      <c r="BG284" s="79">
        <v>0</v>
      </c>
      <c r="BH284" s="79">
        <v>0</v>
      </c>
      <c r="BI284" s="79">
        <v>0</v>
      </c>
      <c r="BJ284" s="79">
        <v>0</v>
      </c>
      <c r="BK284" s="79">
        <v>3</v>
      </c>
      <c r="BL284" s="79">
        <v>2234</v>
      </c>
      <c r="BM284" s="79">
        <v>105</v>
      </c>
      <c r="BN284" s="79">
        <v>101</v>
      </c>
      <c r="BO284">
        <v>4205</v>
      </c>
      <c r="BP284">
        <v>1131</v>
      </c>
      <c r="BQ284">
        <v>3816</v>
      </c>
      <c r="BR284">
        <v>1173</v>
      </c>
      <c r="BS284">
        <v>3739</v>
      </c>
      <c r="BT284">
        <v>1180</v>
      </c>
      <c r="BU284">
        <v>3643</v>
      </c>
      <c r="BV284">
        <v>1167</v>
      </c>
      <c r="BW284">
        <v>3572</v>
      </c>
      <c r="BX284">
        <v>1157</v>
      </c>
      <c r="BY284">
        <v>3452</v>
      </c>
      <c r="BZ284">
        <v>1139</v>
      </c>
      <c r="CA284">
        <v>3222</v>
      </c>
      <c r="CB284">
        <v>264.24931630629999</v>
      </c>
      <c r="CC284">
        <v>35.8165285092782</v>
      </c>
      <c r="CD284">
        <v>37.742532103894099</v>
      </c>
      <c r="CE284">
        <v>4841.2143518417597</v>
      </c>
      <c r="CF284">
        <v>1200.6197968225799</v>
      </c>
      <c r="CG284">
        <v>31.9225070422535</v>
      </c>
      <c r="CH284">
        <v>148</v>
      </c>
      <c r="CI284">
        <v>59.268978203519602</v>
      </c>
      <c r="CJ284">
        <v>40.087374317000801</v>
      </c>
      <c r="CK284" s="81">
        <v>755</v>
      </c>
      <c r="CL284">
        <v>169</v>
      </c>
      <c r="CM284">
        <v>1940.5333896260599</v>
      </c>
      <c r="CN284">
        <v>0.16307502244168701</v>
      </c>
      <c r="CO284">
        <v>13131</v>
      </c>
      <c r="CP284">
        <v>2116</v>
      </c>
      <c r="CQ284">
        <v>339</v>
      </c>
      <c r="CR284">
        <v>356</v>
      </c>
      <c r="CS284">
        <v>377</v>
      </c>
      <c r="CT284">
        <v>142</v>
      </c>
      <c r="CU284">
        <v>277.948259671203</v>
      </c>
      <c r="CV284">
        <v>165.910428359722</v>
      </c>
      <c r="CW284">
        <v>44.428795175242598</v>
      </c>
      <c r="CX284">
        <v>571.62401497834401</v>
      </c>
      <c r="CY284">
        <v>341.20877496390801</v>
      </c>
      <c r="CZ284">
        <v>91.371560695380197</v>
      </c>
      <c r="DA284">
        <v>3650</v>
      </c>
      <c r="DE284">
        <v>907</v>
      </c>
      <c r="DF284" t="s">
        <v>113</v>
      </c>
      <c r="DG284">
        <v>3495</v>
      </c>
      <c r="DH284">
        <v>3499</v>
      </c>
      <c r="DI284">
        <v>3545</v>
      </c>
      <c r="DJ284">
        <v>3497</v>
      </c>
      <c r="DK284">
        <v>3478</v>
      </c>
      <c r="DO284">
        <v>743</v>
      </c>
      <c r="DP284" t="s">
        <v>31</v>
      </c>
      <c r="DQ284">
        <v>6833</v>
      </c>
      <c r="DR284">
        <v>1</v>
      </c>
      <c r="DS284">
        <v>947</v>
      </c>
      <c r="DV284">
        <v>518</v>
      </c>
      <c r="DW284" t="s">
        <v>270</v>
      </c>
      <c r="DX284">
        <v>89168.598059800104</v>
      </c>
      <c r="DY284">
        <v>15965</v>
      </c>
      <c r="DZ284">
        <v>10143</v>
      </c>
      <c r="EA284">
        <v>5196</v>
      </c>
      <c r="EB284">
        <v>31405</v>
      </c>
      <c r="EC284">
        <v>16819</v>
      </c>
      <c r="ED284">
        <v>6781</v>
      </c>
      <c r="EE284" s="82">
        <v>0.240015016491198</v>
      </c>
      <c r="EF284" s="82">
        <v>0.49444682089853698</v>
      </c>
    </row>
    <row r="285" spans="1:136" x14ac:dyDescent="0.35">
      <c r="A285" s="72">
        <v>744</v>
      </c>
      <c r="B285" s="72">
        <v>10</v>
      </c>
      <c r="D285" s="72" t="s">
        <v>32</v>
      </c>
      <c r="E285" s="79">
        <v>622800000</v>
      </c>
      <c r="F285" s="79">
        <v>160300000</v>
      </c>
      <c r="G285" s="79">
        <v>191800000</v>
      </c>
      <c r="H285" s="79">
        <v>6799</v>
      </c>
      <c r="I285" s="79">
        <v>1</v>
      </c>
      <c r="J285" s="79">
        <v>191.8</v>
      </c>
      <c r="K285" s="79">
        <v>1265</v>
      </c>
      <c r="L285" s="79">
        <v>1807</v>
      </c>
      <c r="M285" s="79">
        <v>573</v>
      </c>
      <c r="N285" s="79">
        <v>949</v>
      </c>
      <c r="O285" s="79">
        <v>566.4</v>
      </c>
      <c r="P285" s="79">
        <v>65.3333333333333</v>
      </c>
      <c r="Q285" s="79">
        <v>335.33333333333297</v>
      </c>
      <c r="R285" s="79">
        <v>120</v>
      </c>
      <c r="S285" s="79">
        <v>0</v>
      </c>
      <c r="T285" s="79">
        <v>196</v>
      </c>
      <c r="U285" s="79">
        <v>3118</v>
      </c>
      <c r="V285" s="79">
        <v>4880</v>
      </c>
      <c r="W285" s="79">
        <v>440</v>
      </c>
      <c r="X285" s="79">
        <v>0</v>
      </c>
      <c r="Y285" s="79">
        <v>201.6</v>
      </c>
      <c r="Z285" s="79">
        <v>0</v>
      </c>
      <c r="AA285" s="79">
        <v>0</v>
      </c>
      <c r="AB285" s="79">
        <v>0</v>
      </c>
      <c r="AC285" s="79">
        <v>7610</v>
      </c>
      <c r="AD285" s="79">
        <v>7610</v>
      </c>
      <c r="AE285" s="79">
        <v>18</v>
      </c>
      <c r="AF285" s="79">
        <v>0</v>
      </c>
      <c r="AG285" s="79">
        <v>132</v>
      </c>
      <c r="AH285" s="79">
        <v>49</v>
      </c>
      <c r="AI285" s="79">
        <v>83</v>
      </c>
      <c r="AJ285" s="79">
        <v>3826</v>
      </c>
      <c r="AK285" s="79">
        <v>3826</v>
      </c>
      <c r="AL285" s="79">
        <v>0</v>
      </c>
      <c r="AM285" s="79">
        <v>0</v>
      </c>
      <c r="AN285" s="79">
        <v>0</v>
      </c>
      <c r="AO285" s="79">
        <v>0</v>
      </c>
      <c r="AP285" s="79">
        <v>0</v>
      </c>
      <c r="AQ285" s="79">
        <v>0</v>
      </c>
      <c r="AR285" s="80">
        <v>9.7893000000000006E-5</v>
      </c>
      <c r="AS285" s="80">
        <v>3.1458000000000003E-5</v>
      </c>
      <c r="AT285" s="79">
        <v>1258.7539999999999</v>
      </c>
      <c r="AU285" s="79">
        <v>0</v>
      </c>
      <c r="AV285" s="79">
        <v>386</v>
      </c>
      <c r="AW285" s="79">
        <v>344.05007865757699</v>
      </c>
      <c r="AX285" s="79">
        <v>6</v>
      </c>
      <c r="AY285" s="79">
        <v>6</v>
      </c>
      <c r="AZ285" s="79">
        <v>989</v>
      </c>
      <c r="BA285" s="79">
        <v>1</v>
      </c>
      <c r="BB285" s="79">
        <v>0</v>
      </c>
      <c r="BC285" s="79">
        <v>0</v>
      </c>
      <c r="BD285" s="79">
        <v>0</v>
      </c>
      <c r="BE285" s="79">
        <v>0</v>
      </c>
      <c r="BF285" s="79">
        <v>1</v>
      </c>
      <c r="BG285" s="79">
        <v>0</v>
      </c>
      <c r="BH285" s="79">
        <v>0</v>
      </c>
      <c r="BI285" s="79">
        <v>0</v>
      </c>
      <c r="BJ285" s="79">
        <v>0</v>
      </c>
      <c r="BK285" s="79">
        <v>3</v>
      </c>
      <c r="BL285" s="79">
        <v>985</v>
      </c>
      <c r="BM285" s="79">
        <v>49</v>
      </c>
      <c r="BN285" s="79">
        <v>83</v>
      </c>
      <c r="BO285">
        <v>1311</v>
      </c>
      <c r="BP285">
        <v>267</v>
      </c>
      <c r="BQ285">
        <v>1168</v>
      </c>
      <c r="BR285">
        <v>264</v>
      </c>
      <c r="BS285">
        <v>1148</v>
      </c>
      <c r="BT285">
        <v>251</v>
      </c>
      <c r="BU285">
        <v>1136</v>
      </c>
      <c r="BV285">
        <v>260</v>
      </c>
      <c r="BW285">
        <v>1118</v>
      </c>
      <c r="BX285">
        <v>244</v>
      </c>
      <c r="BY285">
        <v>1111</v>
      </c>
      <c r="BZ285">
        <v>254</v>
      </c>
      <c r="CA285">
        <v>1152</v>
      </c>
      <c r="CB285">
        <v>137.498879857535</v>
      </c>
      <c r="CC285">
        <v>3.0944748811158398</v>
      </c>
      <c r="CD285">
        <v>6.1785050331519402</v>
      </c>
      <c r="CE285">
        <v>1883.91754241442</v>
      </c>
      <c r="CF285">
        <v>321.241908913651</v>
      </c>
      <c r="CG285">
        <v>33.528250521920697</v>
      </c>
      <c r="CH285">
        <v>69</v>
      </c>
      <c r="CI285">
        <v>22.060010258203398</v>
      </c>
      <c r="CJ285">
        <v>13.48070994731</v>
      </c>
      <c r="CK285" s="81">
        <v>270</v>
      </c>
      <c r="CL285">
        <v>61</v>
      </c>
      <c r="CM285">
        <v>1478.56395704129</v>
      </c>
      <c r="CN285">
        <v>0.14552864961748199</v>
      </c>
      <c r="CO285">
        <v>4992</v>
      </c>
      <c r="CP285">
        <v>1053</v>
      </c>
      <c r="CQ285">
        <v>181</v>
      </c>
      <c r="CR285">
        <v>213</v>
      </c>
      <c r="CS285">
        <v>176</v>
      </c>
      <c r="CT285">
        <v>81</v>
      </c>
      <c r="CU285">
        <v>96.989602819047306</v>
      </c>
      <c r="CV285">
        <v>57.157231584965302</v>
      </c>
      <c r="CW285">
        <v>18.361390457346399</v>
      </c>
      <c r="CX285">
        <v>302.05827987376802</v>
      </c>
      <c r="CY285">
        <v>178.00686416988401</v>
      </c>
      <c r="CZ285">
        <v>57.1835522203774</v>
      </c>
      <c r="DA285">
        <v>0</v>
      </c>
      <c r="DE285">
        <v>917</v>
      </c>
      <c r="DF285" t="s">
        <v>139</v>
      </c>
      <c r="DG285">
        <v>15361</v>
      </c>
      <c r="DH285">
        <v>15072</v>
      </c>
      <c r="DI285">
        <v>14902</v>
      </c>
      <c r="DJ285">
        <v>14674</v>
      </c>
      <c r="DK285">
        <v>14399</v>
      </c>
      <c r="DO285">
        <v>744</v>
      </c>
      <c r="DP285" t="s">
        <v>32</v>
      </c>
      <c r="DQ285">
        <v>3826</v>
      </c>
      <c r="DR285">
        <v>1</v>
      </c>
      <c r="DS285">
        <v>329</v>
      </c>
      <c r="DV285">
        <v>796</v>
      </c>
      <c r="DW285" t="s">
        <v>271</v>
      </c>
      <c r="DX285">
        <v>21418.9990341681</v>
      </c>
      <c r="DY285">
        <v>4139</v>
      </c>
      <c r="DZ285">
        <v>3067</v>
      </c>
      <c r="EA285">
        <v>1555</v>
      </c>
      <c r="EB285">
        <v>10496</v>
      </c>
      <c r="EC285">
        <v>5773</v>
      </c>
      <c r="ED285">
        <v>2093</v>
      </c>
      <c r="EE285" s="82">
        <v>0.19653061017510301</v>
      </c>
      <c r="EF285" s="82">
        <v>0.418704494192155</v>
      </c>
    </row>
    <row r="286" spans="1:136" x14ac:dyDescent="0.35">
      <c r="A286" s="72">
        <v>1724</v>
      </c>
      <c r="B286" s="72">
        <v>10</v>
      </c>
      <c r="D286" s="72" t="s">
        <v>41</v>
      </c>
      <c r="E286" s="79">
        <v>1779600000</v>
      </c>
      <c r="F286" s="79">
        <v>444150000</v>
      </c>
      <c r="G286" s="79">
        <v>467600000</v>
      </c>
      <c r="H286" s="79">
        <v>18398</v>
      </c>
      <c r="I286" s="79">
        <v>5</v>
      </c>
      <c r="J286" s="79">
        <v>467.6</v>
      </c>
      <c r="K286" s="79">
        <v>3930</v>
      </c>
      <c r="L286" s="79">
        <v>3999</v>
      </c>
      <c r="M286" s="79">
        <v>1290</v>
      </c>
      <c r="N286" s="79">
        <v>1850</v>
      </c>
      <c r="O286" s="79">
        <v>985.3</v>
      </c>
      <c r="P286" s="79">
        <v>140</v>
      </c>
      <c r="Q286" s="79">
        <v>896</v>
      </c>
      <c r="R286" s="79">
        <v>185</v>
      </c>
      <c r="S286" s="79">
        <v>0</v>
      </c>
      <c r="T286" s="79">
        <v>419</v>
      </c>
      <c r="U286" s="79">
        <v>7851</v>
      </c>
      <c r="V286" s="79">
        <v>14510</v>
      </c>
      <c r="W286" s="79">
        <v>3440</v>
      </c>
      <c r="X286" s="79">
        <v>0</v>
      </c>
      <c r="Y286" s="79">
        <v>0</v>
      </c>
      <c r="Z286" s="79">
        <v>0</v>
      </c>
      <c r="AA286" s="79">
        <v>0</v>
      </c>
      <c r="AB286" s="79">
        <v>0</v>
      </c>
      <c r="AC286" s="79">
        <v>10103</v>
      </c>
      <c r="AD286" s="79">
        <v>10103</v>
      </c>
      <c r="AE286" s="79">
        <v>73</v>
      </c>
      <c r="AF286" s="79">
        <v>0</v>
      </c>
      <c r="AG286" s="79">
        <v>232</v>
      </c>
      <c r="AH286" s="79">
        <v>155</v>
      </c>
      <c r="AI286" s="79">
        <v>77</v>
      </c>
      <c r="AJ286" s="79">
        <v>8647</v>
      </c>
      <c r="AK286" s="79">
        <v>8647</v>
      </c>
      <c r="AL286" s="79">
        <v>0</v>
      </c>
      <c r="AM286" s="79">
        <v>0</v>
      </c>
      <c r="AN286" s="79">
        <v>0</v>
      </c>
      <c r="AO286" s="79">
        <v>0</v>
      </c>
      <c r="AP286" s="79">
        <v>0</v>
      </c>
      <c r="AQ286" s="79">
        <v>0</v>
      </c>
      <c r="AR286" s="80">
        <v>1.2627999999999999E-4</v>
      </c>
      <c r="AS286" s="80">
        <v>6.2057999999999994E-5</v>
      </c>
      <c r="AT286" s="79">
        <v>4297.5590000000002</v>
      </c>
      <c r="AU286" s="79">
        <v>0</v>
      </c>
      <c r="AV286" s="79">
        <v>684</v>
      </c>
      <c r="AW286" s="79">
        <v>1236.65801886792</v>
      </c>
      <c r="AX286" s="79">
        <v>9</v>
      </c>
      <c r="AY286" s="79">
        <v>9</v>
      </c>
      <c r="AZ286" s="79">
        <v>2361</v>
      </c>
      <c r="BA286" s="79">
        <v>1</v>
      </c>
      <c r="BB286" s="79">
        <v>0</v>
      </c>
      <c r="BC286" s="79">
        <v>0</v>
      </c>
      <c r="BD286" s="79">
        <v>0</v>
      </c>
      <c r="BE286" s="79">
        <v>0</v>
      </c>
      <c r="BF286" s="79">
        <v>0</v>
      </c>
      <c r="BG286" s="79">
        <v>0</v>
      </c>
      <c r="BH286" s="79">
        <v>0</v>
      </c>
      <c r="BI286" s="79">
        <v>0</v>
      </c>
      <c r="BJ286" s="79">
        <v>0</v>
      </c>
      <c r="BK286" s="79">
        <v>11</v>
      </c>
      <c r="BL286" s="79">
        <v>2127</v>
      </c>
      <c r="BM286" s="79">
        <v>155</v>
      </c>
      <c r="BN286" s="79">
        <v>77</v>
      </c>
      <c r="BO286">
        <v>4588</v>
      </c>
      <c r="BP286">
        <v>0</v>
      </c>
      <c r="BQ286">
        <v>4105</v>
      </c>
      <c r="BR286">
        <v>0</v>
      </c>
      <c r="BS286">
        <v>4016</v>
      </c>
      <c r="BT286">
        <v>0</v>
      </c>
      <c r="BU286">
        <v>3959</v>
      </c>
      <c r="BV286">
        <v>0</v>
      </c>
      <c r="BW286">
        <v>3896</v>
      </c>
      <c r="BX286">
        <v>0</v>
      </c>
      <c r="BY286">
        <v>3829</v>
      </c>
      <c r="BZ286">
        <v>0</v>
      </c>
      <c r="CA286">
        <v>3470</v>
      </c>
      <c r="CB286">
        <v>232.03947270285801</v>
      </c>
      <c r="CC286">
        <v>37.529926621995401</v>
      </c>
      <c r="CD286">
        <v>27.606960725900301</v>
      </c>
      <c r="CE286">
        <v>5605.1264476167598</v>
      </c>
      <c r="CF286">
        <v>1335.4949270638299</v>
      </c>
      <c r="CG286">
        <v>88.153733616719805</v>
      </c>
      <c r="CH286">
        <v>170</v>
      </c>
      <c r="CI286">
        <v>41.962911413881301</v>
      </c>
      <c r="CJ286">
        <v>37.958841167425597</v>
      </c>
      <c r="CK286" s="81">
        <v>756</v>
      </c>
      <c r="CL286">
        <v>172</v>
      </c>
      <c r="CM286">
        <v>2524.5366087766402</v>
      </c>
      <c r="CN286">
        <v>8.8036902067194694E-2</v>
      </c>
      <c r="CO286">
        <v>14399</v>
      </c>
      <c r="CP286">
        <v>2342</v>
      </c>
      <c r="CQ286">
        <v>367</v>
      </c>
      <c r="CR286">
        <v>371</v>
      </c>
      <c r="CS286">
        <v>419</v>
      </c>
      <c r="CT286">
        <v>204</v>
      </c>
      <c r="CU286">
        <v>158.43102519899699</v>
      </c>
      <c r="CV286">
        <v>102.507492939682</v>
      </c>
      <c r="CW286">
        <v>32.460706097565797</v>
      </c>
      <c r="CX286">
        <v>562.15527546006501</v>
      </c>
      <c r="CY286">
        <v>363.72375838537602</v>
      </c>
      <c r="CZ286">
        <v>115.179190155369</v>
      </c>
      <c r="DA286">
        <v>0</v>
      </c>
      <c r="DE286">
        <v>928</v>
      </c>
      <c r="DF286" t="s">
        <v>167</v>
      </c>
      <c r="DG286">
        <v>7545</v>
      </c>
      <c r="DH286">
        <v>7339</v>
      </c>
      <c r="DI286">
        <v>7250</v>
      </c>
      <c r="DJ286">
        <v>7277</v>
      </c>
      <c r="DK286">
        <v>7278</v>
      </c>
      <c r="DO286">
        <v>1724</v>
      </c>
      <c r="DP286" t="s">
        <v>41</v>
      </c>
      <c r="DQ286">
        <v>8647</v>
      </c>
      <c r="DR286">
        <v>1</v>
      </c>
      <c r="DS286">
        <v>497</v>
      </c>
      <c r="DV286">
        <v>965</v>
      </c>
      <c r="DW286" t="s">
        <v>272</v>
      </c>
      <c r="DX286">
        <v>1567.6081330868799</v>
      </c>
      <c r="DY286">
        <v>323</v>
      </c>
      <c r="DZ286">
        <v>297</v>
      </c>
      <c r="EA286">
        <v>132</v>
      </c>
      <c r="EB286">
        <v>957</v>
      </c>
      <c r="EC286">
        <v>623</v>
      </c>
      <c r="ED286">
        <v>196</v>
      </c>
      <c r="EE286" s="82">
        <v>0.19622224737091401</v>
      </c>
      <c r="EF286" s="82">
        <v>0.50311442937072404</v>
      </c>
    </row>
    <row r="287" spans="1:136" x14ac:dyDescent="0.35">
      <c r="A287" s="72">
        <v>748</v>
      </c>
      <c r="B287" s="72">
        <v>10</v>
      </c>
      <c r="D287" s="72" t="s">
        <v>44</v>
      </c>
      <c r="E287" s="79">
        <v>4936800000</v>
      </c>
      <c r="F287" s="79">
        <v>1132950000</v>
      </c>
      <c r="G287" s="79">
        <v>1214500000</v>
      </c>
      <c r="H287" s="79">
        <v>66354</v>
      </c>
      <c r="I287" s="79">
        <v>2</v>
      </c>
      <c r="J287" s="79">
        <v>1214.5</v>
      </c>
      <c r="K287" s="79">
        <v>14005</v>
      </c>
      <c r="L287" s="79">
        <v>13892</v>
      </c>
      <c r="M287" s="79">
        <v>4238</v>
      </c>
      <c r="N287" s="79">
        <v>9501</v>
      </c>
      <c r="O287" s="79">
        <v>6426.8</v>
      </c>
      <c r="P287" s="79">
        <v>1777.6666666666699</v>
      </c>
      <c r="Q287" s="79">
        <v>5689.6666666666697</v>
      </c>
      <c r="R287" s="79">
        <v>7835</v>
      </c>
      <c r="S287" s="79">
        <v>0</v>
      </c>
      <c r="T287" s="79">
        <v>2220</v>
      </c>
      <c r="U287" s="79">
        <v>31010</v>
      </c>
      <c r="V287" s="79">
        <v>72880</v>
      </c>
      <c r="W287" s="79">
        <v>83190</v>
      </c>
      <c r="X287" s="79">
        <v>2327</v>
      </c>
      <c r="Y287" s="79">
        <v>4759.2</v>
      </c>
      <c r="Z287" s="79">
        <v>0</v>
      </c>
      <c r="AA287" s="79">
        <v>0</v>
      </c>
      <c r="AB287" s="79">
        <v>0</v>
      </c>
      <c r="AC287" s="79">
        <v>7988</v>
      </c>
      <c r="AD287" s="79">
        <v>8307.52</v>
      </c>
      <c r="AE287" s="79">
        <v>1325</v>
      </c>
      <c r="AF287" s="79">
        <v>0</v>
      </c>
      <c r="AG287" s="79">
        <v>440</v>
      </c>
      <c r="AH287" s="79">
        <v>350</v>
      </c>
      <c r="AI287" s="79">
        <v>94.5</v>
      </c>
      <c r="AJ287" s="79">
        <v>30742</v>
      </c>
      <c r="AK287" s="79">
        <v>30742</v>
      </c>
      <c r="AL287" s="79">
        <v>39</v>
      </c>
      <c r="AM287" s="79">
        <v>0</v>
      </c>
      <c r="AN287" s="79">
        <v>0</v>
      </c>
      <c r="AO287" s="79">
        <v>1100</v>
      </c>
      <c r="AP287" s="79">
        <v>4083</v>
      </c>
      <c r="AQ287" s="79">
        <v>4083</v>
      </c>
      <c r="AR287" s="80">
        <v>1.541239E-3</v>
      </c>
      <c r="AS287" s="80">
        <v>1.7147130000000001E-3</v>
      </c>
      <c r="AT287" s="79">
        <v>55243.374000000003</v>
      </c>
      <c r="AU287" s="79">
        <v>0</v>
      </c>
      <c r="AV287" s="79">
        <v>1995.76</v>
      </c>
      <c r="AW287" s="79">
        <v>17968.945345216402</v>
      </c>
      <c r="AX287" s="79">
        <v>8</v>
      </c>
      <c r="AY287" s="79">
        <v>8.4</v>
      </c>
      <c r="AZ287" s="79">
        <v>5881</v>
      </c>
      <c r="BA287" s="79">
        <v>1</v>
      </c>
      <c r="BB287" s="79">
        <v>0</v>
      </c>
      <c r="BC287" s="79">
        <v>0</v>
      </c>
      <c r="BD287" s="79">
        <v>0</v>
      </c>
      <c r="BE287" s="79">
        <v>0</v>
      </c>
      <c r="BF287" s="79">
        <v>0</v>
      </c>
      <c r="BG287" s="79">
        <v>0</v>
      </c>
      <c r="BH287" s="79">
        <v>0</v>
      </c>
      <c r="BI287" s="79">
        <v>0</v>
      </c>
      <c r="BJ287" s="79">
        <v>0</v>
      </c>
      <c r="BK287" s="79">
        <v>18</v>
      </c>
      <c r="BL287" s="79">
        <v>10028</v>
      </c>
      <c r="BM287" s="79">
        <v>350</v>
      </c>
      <c r="BN287" s="79">
        <v>90</v>
      </c>
      <c r="BO287">
        <v>15018</v>
      </c>
      <c r="BP287">
        <v>5474</v>
      </c>
      <c r="BQ287">
        <v>13364</v>
      </c>
      <c r="BR287">
        <v>5459</v>
      </c>
      <c r="BS287">
        <v>13249</v>
      </c>
      <c r="BT287">
        <v>5602</v>
      </c>
      <c r="BU287">
        <v>13097</v>
      </c>
      <c r="BV287">
        <v>5779</v>
      </c>
      <c r="BW287">
        <v>13037</v>
      </c>
      <c r="BX287">
        <v>5820</v>
      </c>
      <c r="BY287">
        <v>12862</v>
      </c>
      <c r="BZ287">
        <v>5893</v>
      </c>
      <c r="CA287">
        <v>12400</v>
      </c>
      <c r="CB287">
        <v>1877.4017122994401</v>
      </c>
      <c r="CC287">
        <v>241.08433123284101</v>
      </c>
      <c r="CD287">
        <v>374.93969077248602</v>
      </c>
      <c r="CE287">
        <v>19112.291569239402</v>
      </c>
      <c r="CF287">
        <v>4490.2127687087604</v>
      </c>
      <c r="CG287">
        <v>520.05445405188004</v>
      </c>
      <c r="CH287">
        <v>814</v>
      </c>
      <c r="CI287">
        <v>577.88979207546902</v>
      </c>
      <c r="CJ287">
        <v>497.36724595075401</v>
      </c>
      <c r="CK287" s="81">
        <v>3912</v>
      </c>
      <c r="CL287">
        <v>985</v>
      </c>
      <c r="CM287">
        <v>12668.898685628899</v>
      </c>
      <c r="CN287">
        <v>4.6091804955747397</v>
      </c>
      <c r="CO287">
        <v>52462</v>
      </c>
      <c r="CP287">
        <v>8132</v>
      </c>
      <c r="CQ287">
        <v>1522</v>
      </c>
      <c r="CR287">
        <v>1781</v>
      </c>
      <c r="CS287">
        <v>1426</v>
      </c>
      <c r="CT287">
        <v>754</v>
      </c>
      <c r="CU287">
        <v>1063.3971980313099</v>
      </c>
      <c r="CV287">
        <v>616.88325759590805</v>
      </c>
      <c r="CW287">
        <v>212.80486487042799</v>
      </c>
      <c r="CX287">
        <v>2366.4841505293498</v>
      </c>
      <c r="CY287">
        <v>1372.8120165543801</v>
      </c>
      <c r="CZ287">
        <v>473.57595149181901</v>
      </c>
      <c r="DA287">
        <v>100313.4</v>
      </c>
      <c r="DE287">
        <v>935</v>
      </c>
      <c r="DF287" t="s">
        <v>195</v>
      </c>
      <c r="DG287">
        <v>18600</v>
      </c>
      <c r="DH287">
        <v>18101</v>
      </c>
      <c r="DI287">
        <v>17804</v>
      </c>
      <c r="DJ287">
        <v>17533</v>
      </c>
      <c r="DK287">
        <v>17214</v>
      </c>
      <c r="DO287">
        <v>748</v>
      </c>
      <c r="DP287" t="s">
        <v>44</v>
      </c>
      <c r="DQ287">
        <v>30742</v>
      </c>
      <c r="DR287">
        <v>1</v>
      </c>
      <c r="DS287">
        <v>1797</v>
      </c>
      <c r="DV287">
        <v>1702</v>
      </c>
      <c r="DW287" t="s">
        <v>273</v>
      </c>
      <c r="DX287">
        <v>1205.5241409308401</v>
      </c>
      <c r="DY287">
        <v>180</v>
      </c>
      <c r="DZ287">
        <v>233</v>
      </c>
      <c r="EA287">
        <v>153</v>
      </c>
      <c r="EB287">
        <v>751</v>
      </c>
      <c r="EC287">
        <v>521</v>
      </c>
      <c r="ED287">
        <v>216</v>
      </c>
      <c r="EE287" s="82">
        <v>0.142462618851738</v>
      </c>
      <c r="EF287" s="82">
        <v>0.41502120714199497</v>
      </c>
    </row>
    <row r="288" spans="1:136" x14ac:dyDescent="0.35">
      <c r="A288" s="72">
        <v>1721</v>
      </c>
      <c r="B288" s="72">
        <v>10</v>
      </c>
      <c r="D288" s="72" t="s">
        <v>46</v>
      </c>
      <c r="E288" s="79">
        <v>2564000000</v>
      </c>
      <c r="F288" s="79">
        <v>394450000</v>
      </c>
      <c r="G288" s="79">
        <v>396200000</v>
      </c>
      <c r="H288" s="79">
        <v>30550</v>
      </c>
      <c r="I288" s="79">
        <v>4</v>
      </c>
      <c r="J288" s="79">
        <v>396.2</v>
      </c>
      <c r="K288" s="79">
        <v>7110</v>
      </c>
      <c r="L288" s="79">
        <v>6153</v>
      </c>
      <c r="M288" s="79">
        <v>1906</v>
      </c>
      <c r="N288" s="79">
        <v>3135</v>
      </c>
      <c r="O288" s="79">
        <v>1900.9</v>
      </c>
      <c r="P288" s="79">
        <v>280</v>
      </c>
      <c r="Q288" s="79">
        <v>1751</v>
      </c>
      <c r="R288" s="79">
        <v>465</v>
      </c>
      <c r="S288" s="79">
        <v>0</v>
      </c>
      <c r="T288" s="79">
        <v>736</v>
      </c>
      <c r="U288" s="79">
        <v>12586</v>
      </c>
      <c r="V288" s="79">
        <v>24610</v>
      </c>
      <c r="W288" s="79">
        <v>6240</v>
      </c>
      <c r="X288" s="79">
        <v>0</v>
      </c>
      <c r="Y288" s="79">
        <v>988.8</v>
      </c>
      <c r="Z288" s="79">
        <v>0</v>
      </c>
      <c r="AA288" s="79">
        <v>0</v>
      </c>
      <c r="AB288" s="79">
        <v>187.7</v>
      </c>
      <c r="AC288" s="79">
        <v>8971</v>
      </c>
      <c r="AD288" s="79">
        <v>8971</v>
      </c>
      <c r="AE288" s="79">
        <v>69</v>
      </c>
      <c r="AF288" s="79">
        <v>0</v>
      </c>
      <c r="AG288" s="79">
        <v>323</v>
      </c>
      <c r="AH288" s="79">
        <v>178</v>
      </c>
      <c r="AI288" s="79">
        <v>146</v>
      </c>
      <c r="AJ288" s="79">
        <v>12341</v>
      </c>
      <c r="AK288" s="79">
        <v>12341</v>
      </c>
      <c r="AL288" s="79">
        <v>0</v>
      </c>
      <c r="AM288" s="79">
        <v>0</v>
      </c>
      <c r="AN288" s="79">
        <v>0</v>
      </c>
      <c r="AO288" s="79">
        <v>0</v>
      </c>
      <c r="AP288" s="79">
        <v>0</v>
      </c>
      <c r="AQ288" s="79">
        <v>0</v>
      </c>
      <c r="AR288" s="80">
        <v>1.39025E-4</v>
      </c>
      <c r="AS288" s="80">
        <v>9.2204E-5</v>
      </c>
      <c r="AT288" s="79">
        <v>8095.6959999999999</v>
      </c>
      <c r="AU288" s="79">
        <v>0</v>
      </c>
      <c r="AV288" s="79">
        <v>1063</v>
      </c>
      <c r="AW288" s="79">
        <v>3592.32853982301</v>
      </c>
      <c r="AX288" s="79">
        <v>8</v>
      </c>
      <c r="AY288" s="79">
        <v>8</v>
      </c>
      <c r="AZ288" s="79">
        <v>3471</v>
      </c>
      <c r="BA288" s="79">
        <v>1</v>
      </c>
      <c r="BB288" s="79">
        <v>0</v>
      </c>
      <c r="BC288" s="79">
        <v>0</v>
      </c>
      <c r="BD288" s="79">
        <v>0</v>
      </c>
      <c r="BE288" s="79">
        <v>0</v>
      </c>
      <c r="BF288" s="79">
        <v>0</v>
      </c>
      <c r="BG288" s="79">
        <v>0</v>
      </c>
      <c r="BH288" s="79">
        <v>0</v>
      </c>
      <c r="BI288" s="79">
        <v>0</v>
      </c>
      <c r="BJ288" s="79">
        <v>0</v>
      </c>
      <c r="BK288" s="79">
        <v>39</v>
      </c>
      <c r="BL288" s="79">
        <v>3126</v>
      </c>
      <c r="BM288" s="79">
        <v>178</v>
      </c>
      <c r="BN288" s="79">
        <v>146</v>
      </c>
      <c r="BO288">
        <v>7856</v>
      </c>
      <c r="BP288">
        <v>953</v>
      </c>
      <c r="BQ288">
        <v>7068</v>
      </c>
      <c r="BR288">
        <v>946</v>
      </c>
      <c r="BS288">
        <v>7061</v>
      </c>
      <c r="BT288">
        <v>962</v>
      </c>
      <c r="BU288">
        <v>6935</v>
      </c>
      <c r="BV288">
        <v>954</v>
      </c>
      <c r="BW288">
        <v>6915</v>
      </c>
      <c r="BX288">
        <v>988</v>
      </c>
      <c r="BY288">
        <v>6810</v>
      </c>
      <c r="BZ288">
        <v>1016</v>
      </c>
      <c r="CA288">
        <v>6319</v>
      </c>
      <c r="CB288">
        <v>432.98572823840601</v>
      </c>
      <c r="CC288">
        <v>85.177416419531198</v>
      </c>
      <c r="CD288">
        <v>41.528070158884297</v>
      </c>
      <c r="CE288">
        <v>8736.91360364297</v>
      </c>
      <c r="CF288">
        <v>2459.8555217776602</v>
      </c>
      <c r="CG288">
        <v>138.28119195425799</v>
      </c>
      <c r="CH288">
        <v>274</v>
      </c>
      <c r="CI288">
        <v>91.827938786209501</v>
      </c>
      <c r="CJ288">
        <v>79.110482059214107</v>
      </c>
      <c r="CK288" s="81">
        <v>1471</v>
      </c>
      <c r="CL288">
        <v>318</v>
      </c>
      <c r="CM288">
        <v>4419.3212851405597</v>
      </c>
      <c r="CN288">
        <v>0.14538889951922099</v>
      </c>
      <c r="CO288">
        <v>24397</v>
      </c>
      <c r="CP288">
        <v>3525</v>
      </c>
      <c r="CQ288">
        <v>722</v>
      </c>
      <c r="CR288">
        <v>589</v>
      </c>
      <c r="CS288">
        <v>514</v>
      </c>
      <c r="CT288">
        <v>291</v>
      </c>
      <c r="CU288">
        <v>324.62740850109299</v>
      </c>
      <c r="CV288">
        <v>189.661290870833</v>
      </c>
      <c r="CW288">
        <v>65.171995157077504</v>
      </c>
      <c r="CX288">
        <v>843.98826496955803</v>
      </c>
      <c r="CY288">
        <v>493.094235490046</v>
      </c>
      <c r="CZ288">
        <v>169.43855533086</v>
      </c>
      <c r="DA288">
        <v>9790.2000000000007</v>
      </c>
      <c r="DE288">
        <v>938</v>
      </c>
      <c r="DF288" t="s">
        <v>197</v>
      </c>
      <c r="DG288">
        <v>3838</v>
      </c>
      <c r="DH288">
        <v>3776</v>
      </c>
      <c r="DI288">
        <v>3695</v>
      </c>
      <c r="DJ288">
        <v>3606</v>
      </c>
      <c r="DK288">
        <v>3518</v>
      </c>
      <c r="DO288">
        <v>1721</v>
      </c>
      <c r="DP288" t="s">
        <v>46</v>
      </c>
      <c r="DQ288">
        <v>12341</v>
      </c>
      <c r="DR288">
        <v>1</v>
      </c>
      <c r="DS288">
        <v>656</v>
      </c>
      <c r="DV288">
        <v>845</v>
      </c>
      <c r="DW288" t="s">
        <v>274</v>
      </c>
      <c r="DX288">
        <v>2841.1958833619201</v>
      </c>
      <c r="DY288">
        <v>588</v>
      </c>
      <c r="DZ288">
        <v>650</v>
      </c>
      <c r="EA288">
        <v>316</v>
      </c>
      <c r="EB288">
        <v>2076</v>
      </c>
      <c r="EC288">
        <v>1360</v>
      </c>
      <c r="ED288">
        <v>460</v>
      </c>
      <c r="EE288" s="82">
        <v>0.135412700585129</v>
      </c>
      <c r="EF288" s="82">
        <v>0.35320490205816601</v>
      </c>
    </row>
    <row r="289" spans="1:136" x14ac:dyDescent="0.35">
      <c r="A289" s="72">
        <v>753</v>
      </c>
      <c r="B289" s="72">
        <v>10</v>
      </c>
      <c r="D289" s="72" t="s">
        <v>47</v>
      </c>
      <c r="E289" s="79">
        <v>2700400000</v>
      </c>
      <c r="F289" s="79">
        <v>492450000</v>
      </c>
      <c r="G289" s="79">
        <v>504000000</v>
      </c>
      <c r="H289" s="79">
        <v>29497</v>
      </c>
      <c r="I289" s="79">
        <v>1</v>
      </c>
      <c r="J289" s="79">
        <v>504</v>
      </c>
      <c r="K289" s="79">
        <v>6797</v>
      </c>
      <c r="L289" s="79">
        <v>5467</v>
      </c>
      <c r="M289" s="79">
        <v>1882</v>
      </c>
      <c r="N289" s="79">
        <v>3016</v>
      </c>
      <c r="O289" s="79">
        <v>1776.5</v>
      </c>
      <c r="P289" s="79">
        <v>431.66666666666703</v>
      </c>
      <c r="Q289" s="79">
        <v>1647.6666666666699</v>
      </c>
      <c r="R289" s="79">
        <v>1210</v>
      </c>
      <c r="S289" s="79">
        <v>0</v>
      </c>
      <c r="T289" s="79">
        <v>904</v>
      </c>
      <c r="U289" s="79">
        <v>12551</v>
      </c>
      <c r="V289" s="79">
        <v>29250</v>
      </c>
      <c r="W289" s="79">
        <v>18240</v>
      </c>
      <c r="X289" s="79">
        <v>0</v>
      </c>
      <c r="Y289" s="79">
        <v>1635.2</v>
      </c>
      <c r="Z289" s="79">
        <v>0</v>
      </c>
      <c r="AA289" s="79">
        <v>0</v>
      </c>
      <c r="AB289" s="79">
        <v>0</v>
      </c>
      <c r="AC289" s="79">
        <v>3431</v>
      </c>
      <c r="AD289" s="79">
        <v>3431</v>
      </c>
      <c r="AE289" s="79">
        <v>79</v>
      </c>
      <c r="AF289" s="79">
        <v>0</v>
      </c>
      <c r="AG289" s="79">
        <v>226</v>
      </c>
      <c r="AH289" s="79">
        <v>180</v>
      </c>
      <c r="AI289" s="79">
        <v>46</v>
      </c>
      <c r="AJ289" s="79">
        <v>12395</v>
      </c>
      <c r="AK289" s="79">
        <v>12395</v>
      </c>
      <c r="AL289" s="79">
        <v>0</v>
      </c>
      <c r="AM289" s="79">
        <v>0</v>
      </c>
      <c r="AN289" s="79">
        <v>0</v>
      </c>
      <c r="AO289" s="79">
        <v>0</v>
      </c>
      <c r="AP289" s="79">
        <v>0</v>
      </c>
      <c r="AQ289" s="79">
        <v>0</v>
      </c>
      <c r="AR289" s="80">
        <v>7.6761999999999995E-5</v>
      </c>
      <c r="AS289" s="80">
        <v>2.15054E-4</v>
      </c>
      <c r="AT289" s="79">
        <v>17167.075000000001</v>
      </c>
      <c r="AU289" s="79">
        <v>0</v>
      </c>
      <c r="AV289" s="79">
        <v>477</v>
      </c>
      <c r="AW289" s="79">
        <v>4008.5666666666698</v>
      </c>
      <c r="AX289" s="79">
        <v>2</v>
      </c>
      <c r="AY289" s="79">
        <v>2</v>
      </c>
      <c r="AZ289" s="79">
        <v>3004</v>
      </c>
      <c r="BA289" s="79">
        <v>1</v>
      </c>
      <c r="BB289" s="79">
        <v>0</v>
      </c>
      <c r="BC289" s="79">
        <v>0</v>
      </c>
      <c r="BD289" s="79">
        <v>0</v>
      </c>
      <c r="BE289" s="79">
        <v>0</v>
      </c>
      <c r="BF289" s="79">
        <v>0</v>
      </c>
      <c r="BG289" s="79">
        <v>0</v>
      </c>
      <c r="BH289" s="79">
        <v>0</v>
      </c>
      <c r="BI289" s="79">
        <v>0</v>
      </c>
      <c r="BJ289" s="79">
        <v>0</v>
      </c>
      <c r="BK289" s="79">
        <v>23</v>
      </c>
      <c r="BL289" s="79">
        <v>3507</v>
      </c>
      <c r="BM289" s="79">
        <v>180</v>
      </c>
      <c r="BN289" s="79">
        <v>46</v>
      </c>
      <c r="BO289">
        <v>7719</v>
      </c>
      <c r="BP289">
        <v>1919</v>
      </c>
      <c r="BQ289">
        <v>6982</v>
      </c>
      <c r="BR289">
        <v>1850</v>
      </c>
      <c r="BS289">
        <v>6878</v>
      </c>
      <c r="BT289">
        <v>1832</v>
      </c>
      <c r="BU289">
        <v>6694</v>
      </c>
      <c r="BV289">
        <v>1778</v>
      </c>
      <c r="BW289">
        <v>6540</v>
      </c>
      <c r="BX289">
        <v>1754</v>
      </c>
      <c r="BY289">
        <v>6407</v>
      </c>
      <c r="BZ289">
        <v>1776</v>
      </c>
      <c r="CA289">
        <v>5989</v>
      </c>
      <c r="CB289">
        <v>390.38514009860501</v>
      </c>
      <c r="CC289">
        <v>46.341735039322401</v>
      </c>
      <c r="CD289">
        <v>36.420223225097899</v>
      </c>
      <c r="CE289">
        <v>9422.6573734772101</v>
      </c>
      <c r="CF289">
        <v>2579.5956791016201</v>
      </c>
      <c r="CG289">
        <v>181.67453182751501</v>
      </c>
      <c r="CH289">
        <v>330</v>
      </c>
      <c r="CI289">
        <v>130.89225342303899</v>
      </c>
      <c r="CJ289">
        <v>123.10016715043599</v>
      </c>
      <c r="CK289" s="81">
        <v>1216</v>
      </c>
      <c r="CL289">
        <v>231</v>
      </c>
      <c r="CM289">
        <v>4793.54753451132</v>
      </c>
      <c r="CN289">
        <v>0.44211062827872399</v>
      </c>
      <c r="CO289">
        <v>24030</v>
      </c>
      <c r="CP289">
        <v>3074</v>
      </c>
      <c r="CQ289">
        <v>511</v>
      </c>
      <c r="CR289">
        <v>552</v>
      </c>
      <c r="CS289">
        <v>589</v>
      </c>
      <c r="CT289">
        <v>299</v>
      </c>
      <c r="CU289">
        <v>273.33844479330099</v>
      </c>
      <c r="CV289">
        <v>187.337885340768</v>
      </c>
      <c r="CW289">
        <v>60.343725882527501</v>
      </c>
      <c r="CX289">
        <v>704.76485960580806</v>
      </c>
      <c r="CY289">
        <v>483.02447378331999</v>
      </c>
      <c r="CZ289">
        <v>155.58783738544599</v>
      </c>
      <c r="DA289">
        <v>8760</v>
      </c>
      <c r="DE289">
        <v>944</v>
      </c>
      <c r="DF289" t="s">
        <v>209</v>
      </c>
      <c r="DG289">
        <v>1786</v>
      </c>
      <c r="DH289">
        <v>1763</v>
      </c>
      <c r="DI289">
        <v>1679</v>
      </c>
      <c r="DJ289">
        <v>1637</v>
      </c>
      <c r="DK289">
        <v>1577</v>
      </c>
      <c r="DO289">
        <v>753</v>
      </c>
      <c r="DP289" t="s">
        <v>47</v>
      </c>
      <c r="DQ289">
        <v>12395</v>
      </c>
      <c r="DR289">
        <v>1</v>
      </c>
      <c r="DS289">
        <v>1385</v>
      </c>
      <c r="DV289">
        <v>1883</v>
      </c>
      <c r="DW289" t="s">
        <v>275</v>
      </c>
      <c r="DX289">
        <v>16147.0992080218</v>
      </c>
      <c r="DY289">
        <v>2848</v>
      </c>
      <c r="DZ289">
        <v>2593</v>
      </c>
      <c r="EA289">
        <v>1216</v>
      </c>
      <c r="EB289">
        <v>7676</v>
      </c>
      <c r="EC289">
        <v>4878</v>
      </c>
      <c r="ED289">
        <v>1707</v>
      </c>
      <c r="EE289" s="82">
        <v>0.24446410120364001</v>
      </c>
      <c r="EF289" s="82">
        <v>0.51638898100144803</v>
      </c>
    </row>
    <row r="290" spans="1:136" x14ac:dyDescent="0.35">
      <c r="A290" s="72">
        <v>1728</v>
      </c>
      <c r="B290" s="72">
        <v>10</v>
      </c>
      <c r="D290" s="72" t="s">
        <v>50</v>
      </c>
      <c r="E290" s="79">
        <v>1887200000</v>
      </c>
      <c r="F290" s="79">
        <v>390250000</v>
      </c>
      <c r="G290" s="79">
        <v>422800000</v>
      </c>
      <c r="H290" s="79">
        <v>20144</v>
      </c>
      <c r="I290" s="79">
        <v>4</v>
      </c>
      <c r="J290" s="79">
        <v>422.8</v>
      </c>
      <c r="K290" s="79">
        <v>4425</v>
      </c>
      <c r="L290" s="79">
        <v>4228</v>
      </c>
      <c r="M290" s="79">
        <v>1373</v>
      </c>
      <c r="N290" s="79">
        <v>2256</v>
      </c>
      <c r="O290" s="79">
        <v>1336.6</v>
      </c>
      <c r="P290" s="79">
        <v>151.666666666667</v>
      </c>
      <c r="Q290" s="79">
        <v>1119.6666666666699</v>
      </c>
      <c r="R290" s="79">
        <v>240</v>
      </c>
      <c r="S290" s="79">
        <v>0</v>
      </c>
      <c r="T290" s="79">
        <v>483</v>
      </c>
      <c r="U290" s="79">
        <v>8731</v>
      </c>
      <c r="V290" s="79">
        <v>18060</v>
      </c>
      <c r="W290" s="79">
        <v>4730</v>
      </c>
      <c r="X290" s="79">
        <v>653.4</v>
      </c>
      <c r="Y290" s="79">
        <v>1614.4</v>
      </c>
      <c r="Z290" s="79">
        <v>0</v>
      </c>
      <c r="AA290" s="79">
        <v>0</v>
      </c>
      <c r="AB290" s="79">
        <v>0</v>
      </c>
      <c r="AC290" s="79">
        <v>7539</v>
      </c>
      <c r="AD290" s="79">
        <v>7539</v>
      </c>
      <c r="AE290" s="79">
        <v>24</v>
      </c>
      <c r="AF290" s="79">
        <v>0</v>
      </c>
      <c r="AG290" s="79">
        <v>254</v>
      </c>
      <c r="AH290" s="79">
        <v>172</v>
      </c>
      <c r="AI290" s="79">
        <v>82</v>
      </c>
      <c r="AJ290" s="79">
        <v>9194</v>
      </c>
      <c r="AK290" s="79">
        <v>9194</v>
      </c>
      <c r="AL290" s="79">
        <v>0</v>
      </c>
      <c r="AM290" s="79">
        <v>0</v>
      </c>
      <c r="AN290" s="79">
        <v>0</v>
      </c>
      <c r="AO290" s="79">
        <v>0</v>
      </c>
      <c r="AP290" s="79">
        <v>0</v>
      </c>
      <c r="AQ290" s="79">
        <v>0</v>
      </c>
      <c r="AR290" s="80">
        <v>1.09221E-4</v>
      </c>
      <c r="AS290" s="80">
        <v>7.9597000000000004E-5</v>
      </c>
      <c r="AT290" s="79">
        <v>6288.6959999999999</v>
      </c>
      <c r="AU290" s="79">
        <v>0</v>
      </c>
      <c r="AV290" s="79">
        <v>499</v>
      </c>
      <c r="AW290" s="79">
        <v>1329.083168055</v>
      </c>
      <c r="AX290" s="79">
        <v>9</v>
      </c>
      <c r="AY290" s="79">
        <v>9</v>
      </c>
      <c r="AZ290" s="79">
        <v>2358</v>
      </c>
      <c r="BA290" s="79">
        <v>1</v>
      </c>
      <c r="BB290" s="79">
        <v>0</v>
      </c>
      <c r="BC290" s="79">
        <v>0</v>
      </c>
      <c r="BD290" s="79">
        <v>0</v>
      </c>
      <c r="BE290" s="79">
        <v>0</v>
      </c>
      <c r="BF290" s="79">
        <v>0</v>
      </c>
      <c r="BG290" s="79">
        <v>0</v>
      </c>
      <c r="BH290" s="79">
        <v>0</v>
      </c>
      <c r="BI290" s="79">
        <v>0</v>
      </c>
      <c r="BJ290" s="79">
        <v>0</v>
      </c>
      <c r="BK290" s="79">
        <v>9</v>
      </c>
      <c r="BL290" s="79">
        <v>2486</v>
      </c>
      <c r="BM290" s="79">
        <v>172</v>
      </c>
      <c r="BN290" s="79">
        <v>82</v>
      </c>
      <c r="BO290">
        <v>4776</v>
      </c>
      <c r="BP290">
        <v>2182</v>
      </c>
      <c r="BQ290">
        <v>4334</v>
      </c>
      <c r="BR290">
        <v>2227</v>
      </c>
      <c r="BS290">
        <v>4268</v>
      </c>
      <c r="BT290">
        <v>2183</v>
      </c>
      <c r="BU290">
        <v>4251</v>
      </c>
      <c r="BV290">
        <v>2214</v>
      </c>
      <c r="BW290">
        <v>4228</v>
      </c>
      <c r="BX290">
        <v>2173</v>
      </c>
      <c r="BY290">
        <v>4156</v>
      </c>
      <c r="BZ290">
        <v>2161</v>
      </c>
      <c r="CA290">
        <v>3937</v>
      </c>
      <c r="CB290">
        <v>256.63439792033</v>
      </c>
      <c r="CC290">
        <v>72.313193776100505</v>
      </c>
      <c r="CD290">
        <v>46.479236795016703</v>
      </c>
      <c r="CE290">
        <v>5899.6230559802998</v>
      </c>
      <c r="CF290">
        <v>1452.4071561441201</v>
      </c>
      <c r="CG290">
        <v>91.901415389631595</v>
      </c>
      <c r="CH290">
        <v>193</v>
      </c>
      <c r="CI290">
        <v>47.441841325129403</v>
      </c>
      <c r="CJ290">
        <v>37.958841167425597</v>
      </c>
      <c r="CK290" s="81">
        <v>968</v>
      </c>
      <c r="CL290">
        <v>216</v>
      </c>
      <c r="CM290">
        <v>2857.3284343383698</v>
      </c>
      <c r="CN290">
        <v>9.6351959901627302E-2</v>
      </c>
      <c r="CO290">
        <v>15916</v>
      </c>
      <c r="CP290">
        <v>2425</v>
      </c>
      <c r="CQ290">
        <v>430</v>
      </c>
      <c r="CR290">
        <v>431</v>
      </c>
      <c r="CS290">
        <v>424</v>
      </c>
      <c r="CT290">
        <v>206</v>
      </c>
      <c r="CU290">
        <v>213.41994533726401</v>
      </c>
      <c r="CV290">
        <v>134.33244515778699</v>
      </c>
      <c r="CW290">
        <v>42.451378772807203</v>
      </c>
      <c r="CX290">
        <v>625.59710668542198</v>
      </c>
      <c r="CY290">
        <v>393.76820611534799</v>
      </c>
      <c r="CZ290">
        <v>124.437571629525</v>
      </c>
      <c r="DA290">
        <v>33098.5</v>
      </c>
      <c r="DE290">
        <v>946</v>
      </c>
      <c r="DF290" t="s">
        <v>211</v>
      </c>
      <c r="DG290">
        <v>3537</v>
      </c>
      <c r="DH290">
        <v>3436</v>
      </c>
      <c r="DI290">
        <v>3407</v>
      </c>
      <c r="DJ290">
        <v>3348</v>
      </c>
      <c r="DK290">
        <v>3278</v>
      </c>
      <c r="DO290">
        <v>1728</v>
      </c>
      <c r="DP290" t="s">
        <v>50</v>
      </c>
      <c r="DQ290">
        <v>9194</v>
      </c>
      <c r="DR290">
        <v>1</v>
      </c>
      <c r="DS290">
        <v>684</v>
      </c>
      <c r="DV290">
        <v>610</v>
      </c>
      <c r="DW290" t="s">
        <v>276</v>
      </c>
      <c r="DX290">
        <v>3325.92744266718</v>
      </c>
      <c r="DY290">
        <v>523</v>
      </c>
      <c r="DZ290">
        <v>559</v>
      </c>
      <c r="EA290">
        <v>349</v>
      </c>
      <c r="EB290">
        <v>1598</v>
      </c>
      <c r="EC290">
        <v>1104</v>
      </c>
      <c r="ED290">
        <v>485</v>
      </c>
      <c r="EE290" s="82">
        <v>0.19055013913402499</v>
      </c>
      <c r="EF290" s="82">
        <v>0.48170966454611602</v>
      </c>
    </row>
    <row r="291" spans="1:136" x14ac:dyDescent="0.35">
      <c r="A291" s="72">
        <v>755</v>
      </c>
      <c r="B291" s="72">
        <v>10</v>
      </c>
      <c r="D291" s="72" t="s">
        <v>54</v>
      </c>
      <c r="E291" s="79">
        <v>807600000</v>
      </c>
      <c r="F291" s="79">
        <v>135450000</v>
      </c>
      <c r="G291" s="79">
        <v>166600000</v>
      </c>
      <c r="H291" s="79">
        <v>10502</v>
      </c>
      <c r="I291" s="79">
        <v>1</v>
      </c>
      <c r="J291" s="79">
        <v>166.6</v>
      </c>
      <c r="K291" s="79">
        <v>2516</v>
      </c>
      <c r="L291" s="79">
        <v>1927</v>
      </c>
      <c r="M291" s="79">
        <v>586</v>
      </c>
      <c r="N291" s="79">
        <v>1044</v>
      </c>
      <c r="O291" s="79">
        <v>616.4</v>
      </c>
      <c r="P291" s="79">
        <v>77.3333333333333</v>
      </c>
      <c r="Q291" s="79">
        <v>693.33333333333303</v>
      </c>
      <c r="R291" s="79">
        <v>130</v>
      </c>
      <c r="S291" s="79">
        <v>0</v>
      </c>
      <c r="T291" s="79">
        <v>217</v>
      </c>
      <c r="U291" s="79">
        <v>4315</v>
      </c>
      <c r="V291" s="79">
        <v>8910</v>
      </c>
      <c r="W291" s="79">
        <v>2040</v>
      </c>
      <c r="X291" s="79">
        <v>0</v>
      </c>
      <c r="Y291" s="79">
        <v>0</v>
      </c>
      <c r="Z291" s="79">
        <v>0</v>
      </c>
      <c r="AA291" s="79">
        <v>0</v>
      </c>
      <c r="AB291" s="79">
        <v>0</v>
      </c>
      <c r="AC291" s="79">
        <v>3451</v>
      </c>
      <c r="AD291" s="79">
        <v>3451</v>
      </c>
      <c r="AE291" s="79">
        <v>1</v>
      </c>
      <c r="AF291" s="79">
        <v>0</v>
      </c>
      <c r="AG291" s="79">
        <v>146</v>
      </c>
      <c r="AH291" s="79">
        <v>68</v>
      </c>
      <c r="AI291" s="79">
        <v>78</v>
      </c>
      <c r="AJ291" s="79">
        <v>4276</v>
      </c>
      <c r="AK291" s="79">
        <v>4276</v>
      </c>
      <c r="AL291" s="79">
        <v>0</v>
      </c>
      <c r="AM291" s="79">
        <v>0</v>
      </c>
      <c r="AN291" s="79">
        <v>0</v>
      </c>
      <c r="AO291" s="79">
        <v>0</v>
      </c>
      <c r="AP291" s="79">
        <v>0</v>
      </c>
      <c r="AQ291" s="79">
        <v>0</v>
      </c>
      <c r="AR291" s="80">
        <v>5.3584000000000001E-5</v>
      </c>
      <c r="AS291" s="80">
        <v>2.7067E-5</v>
      </c>
      <c r="AT291" s="79">
        <v>2202.14</v>
      </c>
      <c r="AU291" s="79">
        <v>0</v>
      </c>
      <c r="AV291" s="79">
        <v>150</v>
      </c>
      <c r="AW291" s="79">
        <v>456.34414831981502</v>
      </c>
      <c r="AX291" s="79">
        <v>6</v>
      </c>
      <c r="AY291" s="79">
        <v>6</v>
      </c>
      <c r="AZ291" s="79">
        <v>1280</v>
      </c>
      <c r="BA291" s="79">
        <v>1</v>
      </c>
      <c r="BB291" s="79">
        <v>0</v>
      </c>
      <c r="BC291" s="79">
        <v>0</v>
      </c>
      <c r="BD291" s="79">
        <v>0</v>
      </c>
      <c r="BE291" s="79">
        <v>0</v>
      </c>
      <c r="BF291" s="79">
        <v>0</v>
      </c>
      <c r="BG291" s="79">
        <v>0</v>
      </c>
      <c r="BH291" s="79">
        <v>0</v>
      </c>
      <c r="BI291" s="79">
        <v>0</v>
      </c>
      <c r="BJ291" s="79">
        <v>0</v>
      </c>
      <c r="BK291" s="79">
        <v>14</v>
      </c>
      <c r="BL291" s="79">
        <v>987</v>
      </c>
      <c r="BM291" s="79">
        <v>68</v>
      </c>
      <c r="BN291" s="79">
        <v>78</v>
      </c>
      <c r="BO291">
        <v>2737</v>
      </c>
      <c r="BP291">
        <v>0</v>
      </c>
      <c r="BQ291">
        <v>2501</v>
      </c>
      <c r="BR291">
        <v>0</v>
      </c>
      <c r="BS291">
        <v>2463</v>
      </c>
      <c r="BT291">
        <v>0</v>
      </c>
      <c r="BU291">
        <v>2412</v>
      </c>
      <c r="BV291">
        <v>0</v>
      </c>
      <c r="BW291">
        <v>2393</v>
      </c>
      <c r="BX291">
        <v>0</v>
      </c>
      <c r="BY291">
        <v>2361</v>
      </c>
      <c r="BZ291">
        <v>0</v>
      </c>
      <c r="CA291">
        <v>2214</v>
      </c>
      <c r="CB291">
        <v>169.804489693428</v>
      </c>
      <c r="CC291">
        <v>66.951987667236907</v>
      </c>
      <c r="CD291">
        <v>4.9146321108558597</v>
      </c>
      <c r="CE291">
        <v>2585.1967653310799</v>
      </c>
      <c r="CF291">
        <v>724.431808127473</v>
      </c>
      <c r="CG291">
        <v>24.627951219512202</v>
      </c>
      <c r="CH291">
        <v>91</v>
      </c>
      <c r="CI291">
        <v>27.802909795516499</v>
      </c>
      <c r="CJ291">
        <v>17.737776246460601</v>
      </c>
      <c r="CK291" s="81">
        <v>616</v>
      </c>
      <c r="CL291">
        <v>160</v>
      </c>
      <c r="CM291">
        <v>1230.57958260191</v>
      </c>
      <c r="CN291">
        <v>5.5198894595212801E-2</v>
      </c>
      <c r="CO291">
        <v>8575</v>
      </c>
      <c r="CP291">
        <v>1156</v>
      </c>
      <c r="CQ291">
        <v>185</v>
      </c>
      <c r="CR291">
        <v>169</v>
      </c>
      <c r="CS291">
        <v>175</v>
      </c>
      <c r="CT291">
        <v>96</v>
      </c>
      <c r="CU291">
        <v>95.7623290332197</v>
      </c>
      <c r="CV291">
        <v>56.245946269511599</v>
      </c>
      <c r="CW291">
        <v>18.315987631353799</v>
      </c>
      <c r="CX291">
        <v>298.27867498275901</v>
      </c>
      <c r="CY291">
        <v>175.193800065175</v>
      </c>
      <c r="CZ291">
        <v>57.050288739172302</v>
      </c>
      <c r="DA291">
        <v>7670</v>
      </c>
      <c r="DE291">
        <v>951</v>
      </c>
      <c r="DF291" t="s">
        <v>825</v>
      </c>
      <c r="DG291">
        <v>2856</v>
      </c>
      <c r="DH291">
        <v>2805</v>
      </c>
      <c r="DI291">
        <v>2742</v>
      </c>
      <c r="DJ291">
        <v>2698</v>
      </c>
      <c r="DK291">
        <v>2659</v>
      </c>
      <c r="DO291">
        <v>755</v>
      </c>
      <c r="DP291" t="s">
        <v>54</v>
      </c>
      <c r="DQ291">
        <v>4276</v>
      </c>
      <c r="DR291">
        <v>1</v>
      </c>
      <c r="DS291">
        <v>515</v>
      </c>
      <c r="DV291">
        <v>1714</v>
      </c>
      <c r="DW291" t="s">
        <v>277</v>
      </c>
      <c r="DX291">
        <v>3807.0455951223798</v>
      </c>
      <c r="DY291">
        <v>778</v>
      </c>
      <c r="DZ291">
        <v>721</v>
      </c>
      <c r="EA291">
        <v>498</v>
      </c>
      <c r="EB291">
        <v>2267</v>
      </c>
      <c r="EC291">
        <v>1441</v>
      </c>
      <c r="ED291">
        <v>672</v>
      </c>
      <c r="EE291" s="82">
        <v>0.11959079397371999</v>
      </c>
      <c r="EF291" s="82">
        <v>0.46927942762387398</v>
      </c>
    </row>
    <row r="292" spans="1:136" x14ac:dyDescent="0.35">
      <c r="A292" s="72">
        <v>756</v>
      </c>
      <c r="B292" s="72">
        <v>10</v>
      </c>
      <c r="D292" s="72" t="s">
        <v>58</v>
      </c>
      <c r="E292" s="79">
        <v>2335600000</v>
      </c>
      <c r="F292" s="79">
        <v>476700000</v>
      </c>
      <c r="G292" s="79">
        <v>526400000</v>
      </c>
      <c r="H292" s="79">
        <v>28853</v>
      </c>
      <c r="I292" s="79">
        <v>6</v>
      </c>
      <c r="J292" s="79">
        <v>526.4</v>
      </c>
      <c r="K292" s="79">
        <v>6055</v>
      </c>
      <c r="L292" s="79">
        <v>6301</v>
      </c>
      <c r="M292" s="79">
        <v>1949</v>
      </c>
      <c r="N292" s="79">
        <v>3453</v>
      </c>
      <c r="O292" s="79">
        <v>2195.6999999999998</v>
      </c>
      <c r="P292" s="79">
        <v>344.66666666666703</v>
      </c>
      <c r="Q292" s="79">
        <v>1929.6666666666699</v>
      </c>
      <c r="R292" s="79">
        <v>810</v>
      </c>
      <c r="S292" s="79">
        <v>0</v>
      </c>
      <c r="T292" s="79">
        <v>730</v>
      </c>
      <c r="U292" s="79">
        <v>12980</v>
      </c>
      <c r="V292" s="79">
        <v>27340</v>
      </c>
      <c r="W292" s="79">
        <v>11430</v>
      </c>
      <c r="X292" s="79">
        <v>499.88</v>
      </c>
      <c r="Y292" s="79">
        <v>2175.1999999999998</v>
      </c>
      <c r="Z292" s="79">
        <v>0</v>
      </c>
      <c r="AA292" s="79">
        <v>0</v>
      </c>
      <c r="AB292" s="79">
        <v>470.6</v>
      </c>
      <c r="AC292" s="79">
        <v>11136</v>
      </c>
      <c r="AD292" s="79">
        <v>11136</v>
      </c>
      <c r="AE292" s="79">
        <v>248</v>
      </c>
      <c r="AF292" s="79">
        <v>0</v>
      </c>
      <c r="AG292" s="79">
        <v>320</v>
      </c>
      <c r="AH292" s="79">
        <v>181</v>
      </c>
      <c r="AI292" s="79">
        <v>139</v>
      </c>
      <c r="AJ292" s="79">
        <v>12573</v>
      </c>
      <c r="AK292" s="79">
        <v>12573</v>
      </c>
      <c r="AL292" s="79">
        <v>0</v>
      </c>
      <c r="AM292" s="79">
        <v>0</v>
      </c>
      <c r="AN292" s="79">
        <v>0</v>
      </c>
      <c r="AO292" s="79">
        <v>0</v>
      </c>
      <c r="AP292" s="79">
        <v>736</v>
      </c>
      <c r="AQ292" s="79">
        <v>0</v>
      </c>
      <c r="AR292" s="80">
        <v>2.3918100000000001E-4</v>
      </c>
      <c r="AS292" s="80">
        <v>1.3863100000000001E-4</v>
      </c>
      <c r="AT292" s="79">
        <v>8122.1580000000004</v>
      </c>
      <c r="AU292" s="79">
        <v>0</v>
      </c>
      <c r="AV292" s="79">
        <v>1096</v>
      </c>
      <c r="AW292" s="79">
        <v>2777.8362614195398</v>
      </c>
      <c r="AX292" s="79">
        <v>12</v>
      </c>
      <c r="AY292" s="79">
        <v>12</v>
      </c>
      <c r="AZ292" s="79">
        <v>2734</v>
      </c>
      <c r="BA292" s="79">
        <v>1</v>
      </c>
      <c r="BB292" s="79">
        <v>0</v>
      </c>
      <c r="BC292" s="79">
        <v>0</v>
      </c>
      <c r="BD292" s="79">
        <v>0</v>
      </c>
      <c r="BE292" s="79">
        <v>0</v>
      </c>
      <c r="BF292" s="79">
        <v>0</v>
      </c>
      <c r="BG292" s="79">
        <v>0</v>
      </c>
      <c r="BH292" s="79">
        <v>0</v>
      </c>
      <c r="BI292" s="79">
        <v>0</v>
      </c>
      <c r="BJ292" s="79">
        <v>0</v>
      </c>
      <c r="BK292" s="79">
        <v>43</v>
      </c>
      <c r="BL292" s="79">
        <v>3517</v>
      </c>
      <c r="BM292" s="79">
        <v>181</v>
      </c>
      <c r="BN292" s="79">
        <v>139</v>
      </c>
      <c r="BO292">
        <v>7274</v>
      </c>
      <c r="BP292">
        <v>2044</v>
      </c>
      <c r="BQ292">
        <v>6527</v>
      </c>
      <c r="BR292">
        <v>2160</v>
      </c>
      <c r="BS292">
        <v>6388</v>
      </c>
      <c r="BT292">
        <v>2283</v>
      </c>
      <c r="BU292">
        <v>6255</v>
      </c>
      <c r="BV292">
        <v>2323</v>
      </c>
      <c r="BW292">
        <v>6113</v>
      </c>
      <c r="BX292">
        <v>2490</v>
      </c>
      <c r="BY292">
        <v>5890</v>
      </c>
      <c r="BZ292">
        <v>2575</v>
      </c>
      <c r="CA292">
        <v>5289</v>
      </c>
      <c r="CB292">
        <v>358.49876982601597</v>
      </c>
      <c r="CC292">
        <v>84.925882727770201</v>
      </c>
      <c r="CD292">
        <v>76.986460962495002</v>
      </c>
      <c r="CE292">
        <v>8501.9343891790195</v>
      </c>
      <c r="CF292">
        <v>1986.91817268727</v>
      </c>
      <c r="CG292">
        <v>121.959357159597</v>
      </c>
      <c r="CH292">
        <v>282</v>
      </c>
      <c r="CI292">
        <v>96.980942979788395</v>
      </c>
      <c r="CJ292">
        <v>79.465237584143296</v>
      </c>
      <c r="CK292" s="81">
        <v>1585</v>
      </c>
      <c r="CL292">
        <v>365</v>
      </c>
      <c r="CM292">
        <v>5177.8287229931502</v>
      </c>
      <c r="CN292">
        <v>0.34757941133287601</v>
      </c>
      <c r="CO292">
        <v>22552</v>
      </c>
      <c r="CP292">
        <v>3654</v>
      </c>
      <c r="CQ292">
        <v>698</v>
      </c>
      <c r="CR292">
        <v>578</v>
      </c>
      <c r="CS292">
        <v>636</v>
      </c>
      <c r="CT292">
        <v>294</v>
      </c>
      <c r="CU292">
        <v>387.44824509277998</v>
      </c>
      <c r="CV292">
        <v>231.176870889067</v>
      </c>
      <c r="CW292">
        <v>77.175360221274701</v>
      </c>
      <c r="CX292">
        <v>929.10527261239201</v>
      </c>
      <c r="CY292">
        <v>554.364750310413</v>
      </c>
      <c r="CZ292">
        <v>185.06738643293201</v>
      </c>
      <c r="DA292">
        <v>21130.5</v>
      </c>
      <c r="DE292">
        <v>957</v>
      </c>
      <c r="DF292" t="s">
        <v>260</v>
      </c>
      <c r="DG292">
        <v>10667</v>
      </c>
      <c r="DH292">
        <v>10623</v>
      </c>
      <c r="DI292">
        <v>10592</v>
      </c>
      <c r="DJ292">
        <v>10587</v>
      </c>
      <c r="DK292">
        <v>10584</v>
      </c>
      <c r="DO292">
        <v>756</v>
      </c>
      <c r="DP292" t="s">
        <v>58</v>
      </c>
      <c r="DQ292">
        <v>12573</v>
      </c>
      <c r="DR292">
        <v>1</v>
      </c>
      <c r="DS292">
        <v>646</v>
      </c>
      <c r="DV292">
        <v>90</v>
      </c>
      <c r="DW292" t="s">
        <v>278</v>
      </c>
      <c r="DX292">
        <v>8795.6515719172494</v>
      </c>
      <c r="DY292">
        <v>1447</v>
      </c>
      <c r="DZ292">
        <v>1274</v>
      </c>
      <c r="EA292">
        <v>662</v>
      </c>
      <c r="EB292">
        <v>3982</v>
      </c>
      <c r="EC292">
        <v>2610</v>
      </c>
      <c r="ED292">
        <v>915</v>
      </c>
      <c r="EE292" s="82">
        <v>0.23928605045198501</v>
      </c>
      <c r="EF292" s="82">
        <v>0.553480771644976</v>
      </c>
    </row>
    <row r="293" spans="1:136" x14ac:dyDescent="0.35">
      <c r="A293" s="72">
        <v>757</v>
      </c>
      <c r="B293" s="72">
        <v>10</v>
      </c>
      <c r="D293" s="72" t="s">
        <v>59</v>
      </c>
      <c r="E293" s="79">
        <v>2556400000</v>
      </c>
      <c r="F293" s="79">
        <v>416150000</v>
      </c>
      <c r="G293" s="79">
        <v>443450000</v>
      </c>
      <c r="H293" s="79">
        <v>30672</v>
      </c>
      <c r="I293" s="79">
        <v>2</v>
      </c>
      <c r="J293" s="79">
        <v>443.45</v>
      </c>
      <c r="K293" s="79">
        <v>6839</v>
      </c>
      <c r="L293" s="79">
        <v>6524</v>
      </c>
      <c r="M293" s="79">
        <v>1887</v>
      </c>
      <c r="N293" s="79">
        <v>3879</v>
      </c>
      <c r="O293" s="79">
        <v>2507.5</v>
      </c>
      <c r="P293" s="79">
        <v>428</v>
      </c>
      <c r="Q293" s="79">
        <v>2201</v>
      </c>
      <c r="R293" s="79">
        <v>1470</v>
      </c>
      <c r="S293" s="79">
        <v>0</v>
      </c>
      <c r="T293" s="79">
        <v>903</v>
      </c>
      <c r="U293" s="79">
        <v>14083</v>
      </c>
      <c r="V293" s="79">
        <v>29940</v>
      </c>
      <c r="W293" s="79">
        <v>18220</v>
      </c>
      <c r="X293" s="79">
        <v>1175.5999999999999</v>
      </c>
      <c r="Y293" s="79">
        <v>1675.2</v>
      </c>
      <c r="Z293" s="79">
        <v>0</v>
      </c>
      <c r="AA293" s="79">
        <v>0</v>
      </c>
      <c r="AB293" s="79">
        <v>0</v>
      </c>
      <c r="AC293" s="79">
        <v>6368</v>
      </c>
      <c r="AD293" s="79">
        <v>6368</v>
      </c>
      <c r="AE293" s="79">
        <v>117</v>
      </c>
      <c r="AF293" s="79">
        <v>0</v>
      </c>
      <c r="AG293" s="79">
        <v>229</v>
      </c>
      <c r="AH293" s="79">
        <v>174</v>
      </c>
      <c r="AI293" s="79">
        <v>54</v>
      </c>
      <c r="AJ293" s="79">
        <v>13715</v>
      </c>
      <c r="AK293" s="79">
        <v>13715</v>
      </c>
      <c r="AL293" s="79">
        <v>0</v>
      </c>
      <c r="AM293" s="79">
        <v>0</v>
      </c>
      <c r="AN293" s="79">
        <v>0</v>
      </c>
      <c r="AO293" s="79">
        <v>0</v>
      </c>
      <c r="AP293" s="79">
        <v>1588</v>
      </c>
      <c r="AQ293" s="79">
        <v>0</v>
      </c>
      <c r="AR293" s="80">
        <v>3.6101999999999998E-4</v>
      </c>
      <c r="AS293" s="80">
        <v>3.91364E-4</v>
      </c>
      <c r="AT293" s="79">
        <v>16650.009999999998</v>
      </c>
      <c r="AU293" s="79">
        <v>0</v>
      </c>
      <c r="AV293" s="79">
        <v>1536</v>
      </c>
      <c r="AW293" s="79">
        <v>7264.7944487278301</v>
      </c>
      <c r="AX293" s="79">
        <v>4</v>
      </c>
      <c r="AY293" s="79">
        <v>4</v>
      </c>
      <c r="AZ293" s="79">
        <v>3152</v>
      </c>
      <c r="BA293" s="79">
        <v>1</v>
      </c>
      <c r="BB293" s="79">
        <v>0</v>
      </c>
      <c r="BC293" s="79">
        <v>0</v>
      </c>
      <c r="BD293" s="79">
        <v>0</v>
      </c>
      <c r="BE293" s="79">
        <v>0</v>
      </c>
      <c r="BF293" s="79">
        <v>0</v>
      </c>
      <c r="BG293" s="79">
        <v>0</v>
      </c>
      <c r="BH293" s="79">
        <v>0</v>
      </c>
      <c r="BI293" s="79">
        <v>0</v>
      </c>
      <c r="BJ293" s="79">
        <v>0</v>
      </c>
      <c r="BK293" s="79">
        <v>85</v>
      </c>
      <c r="BL293" s="79">
        <v>4486</v>
      </c>
      <c r="BM293" s="79">
        <v>174</v>
      </c>
      <c r="BN293" s="79">
        <v>54</v>
      </c>
      <c r="BO293">
        <v>7483</v>
      </c>
      <c r="BP293">
        <v>2087</v>
      </c>
      <c r="BQ293">
        <v>6689</v>
      </c>
      <c r="BR293">
        <v>2085</v>
      </c>
      <c r="BS293">
        <v>6648</v>
      </c>
      <c r="BT293">
        <v>1972</v>
      </c>
      <c r="BU293">
        <v>6603</v>
      </c>
      <c r="BV293">
        <v>1942</v>
      </c>
      <c r="BW293">
        <v>6485</v>
      </c>
      <c r="BX293">
        <v>1931</v>
      </c>
      <c r="BY293">
        <v>6465</v>
      </c>
      <c r="BZ293">
        <v>1955</v>
      </c>
      <c r="CA293">
        <v>6087</v>
      </c>
      <c r="CB293">
        <v>641.36049835513097</v>
      </c>
      <c r="CC293">
        <v>86.3954047528226</v>
      </c>
      <c r="CD293">
        <v>85.269491179683996</v>
      </c>
      <c r="CE293">
        <v>9026.1380484265792</v>
      </c>
      <c r="CF293">
        <v>2176.6790748673702</v>
      </c>
      <c r="CG293">
        <v>202.19902472348701</v>
      </c>
      <c r="CH293">
        <v>355</v>
      </c>
      <c r="CI293">
        <v>139.50189948851801</v>
      </c>
      <c r="CJ293">
        <v>130.55003317395</v>
      </c>
      <c r="CK293" s="81">
        <v>1773</v>
      </c>
      <c r="CL293">
        <v>376</v>
      </c>
      <c r="CM293">
        <v>4533.5971900282902</v>
      </c>
      <c r="CN293">
        <v>0.40405063618654502</v>
      </c>
      <c r="CO293">
        <v>24148</v>
      </c>
      <c r="CP293">
        <v>3899</v>
      </c>
      <c r="CQ293">
        <v>738</v>
      </c>
      <c r="CR293">
        <v>753</v>
      </c>
      <c r="CS293">
        <v>644</v>
      </c>
      <c r="CT293">
        <v>341</v>
      </c>
      <c r="CU293">
        <v>438.05370414072303</v>
      </c>
      <c r="CV293">
        <v>234.74998168476199</v>
      </c>
      <c r="CW293">
        <v>84.466114905264703</v>
      </c>
      <c r="CX293">
        <v>1057.61477983638</v>
      </c>
      <c r="CY293">
        <v>566.76852141482198</v>
      </c>
      <c r="CZ293">
        <v>203.93072966795</v>
      </c>
      <c r="DA293">
        <v>79024.7</v>
      </c>
      <c r="DE293">
        <v>962</v>
      </c>
      <c r="DF293" t="s">
        <v>827</v>
      </c>
      <c r="DG293">
        <v>2642</v>
      </c>
      <c r="DH293">
        <v>2562</v>
      </c>
      <c r="DI293">
        <v>2504</v>
      </c>
      <c r="DJ293">
        <v>2390</v>
      </c>
      <c r="DK293">
        <v>2323</v>
      </c>
      <c r="DO293">
        <v>757</v>
      </c>
      <c r="DP293" t="s">
        <v>59</v>
      </c>
      <c r="DQ293">
        <v>13715</v>
      </c>
      <c r="DR293">
        <v>1</v>
      </c>
      <c r="DS293">
        <v>1214</v>
      </c>
      <c r="DV293">
        <v>342</v>
      </c>
      <c r="DW293" t="s">
        <v>279</v>
      </c>
      <c r="DX293">
        <v>5554.8594307814401</v>
      </c>
      <c r="DY293">
        <v>1343</v>
      </c>
      <c r="DZ293">
        <v>1141</v>
      </c>
      <c r="EA293">
        <v>711</v>
      </c>
      <c r="EB293">
        <v>3742</v>
      </c>
      <c r="EC293">
        <v>2210</v>
      </c>
      <c r="ED293">
        <v>982</v>
      </c>
      <c r="EE293" s="82">
        <v>0.166535167735782</v>
      </c>
      <c r="EF293" s="82">
        <v>0.337414606567638</v>
      </c>
    </row>
    <row r="294" spans="1:136" x14ac:dyDescent="0.35">
      <c r="A294" s="72">
        <v>758</v>
      </c>
      <c r="B294" s="72">
        <v>10</v>
      </c>
      <c r="D294" s="72" t="s">
        <v>60</v>
      </c>
      <c r="E294" s="79">
        <v>16690400000</v>
      </c>
      <c r="F294" s="79">
        <v>2969400000</v>
      </c>
      <c r="G294" s="79">
        <v>3041500000</v>
      </c>
      <c r="H294" s="79">
        <v>183448</v>
      </c>
      <c r="I294" s="79">
        <v>1</v>
      </c>
      <c r="J294" s="79">
        <v>3041.5</v>
      </c>
      <c r="K294" s="79">
        <v>40156</v>
      </c>
      <c r="L294" s="79">
        <v>32907</v>
      </c>
      <c r="M294" s="79">
        <v>10412</v>
      </c>
      <c r="N294" s="79">
        <v>25815</v>
      </c>
      <c r="O294" s="79">
        <v>17285.7</v>
      </c>
      <c r="P294" s="79">
        <v>4751.6666666666697</v>
      </c>
      <c r="Q294" s="79">
        <v>12621.666666666701</v>
      </c>
      <c r="R294" s="79">
        <v>14680</v>
      </c>
      <c r="S294" s="79">
        <v>0</v>
      </c>
      <c r="T294" s="79">
        <v>6143</v>
      </c>
      <c r="U294" s="79">
        <v>90661</v>
      </c>
      <c r="V294" s="79">
        <v>204840</v>
      </c>
      <c r="W294" s="79">
        <v>290900</v>
      </c>
      <c r="X294" s="79">
        <v>6837.4489999999996</v>
      </c>
      <c r="Y294" s="79">
        <v>9515.2000000000007</v>
      </c>
      <c r="Z294" s="79">
        <v>0</v>
      </c>
      <c r="AA294" s="79">
        <v>0</v>
      </c>
      <c r="AB294" s="79">
        <v>647.599999999999</v>
      </c>
      <c r="AC294" s="79">
        <v>12560</v>
      </c>
      <c r="AD294" s="79">
        <v>12560</v>
      </c>
      <c r="AE294" s="79">
        <v>308</v>
      </c>
      <c r="AF294" s="79">
        <v>0</v>
      </c>
      <c r="AG294" s="79">
        <v>1033</v>
      </c>
      <c r="AH294" s="79">
        <v>911</v>
      </c>
      <c r="AI294" s="79">
        <v>122</v>
      </c>
      <c r="AJ294" s="79">
        <v>85293</v>
      </c>
      <c r="AK294" s="79">
        <v>85293</v>
      </c>
      <c r="AL294" s="79">
        <v>0</v>
      </c>
      <c r="AM294" s="79">
        <v>42</v>
      </c>
      <c r="AN294" s="79">
        <v>0</v>
      </c>
      <c r="AO294" s="79">
        <v>0</v>
      </c>
      <c r="AP294" s="79">
        <v>12005</v>
      </c>
      <c r="AQ294" s="79">
        <v>9613</v>
      </c>
      <c r="AR294" s="80">
        <v>5.6601309999999997E-3</v>
      </c>
      <c r="AS294" s="80">
        <v>7.3612529999999999E-3</v>
      </c>
      <c r="AT294" s="79">
        <v>184659.345</v>
      </c>
      <c r="AU294" s="79">
        <v>0</v>
      </c>
      <c r="AV294" s="79">
        <v>3385</v>
      </c>
      <c r="AW294" s="79">
        <v>48257.031395710299</v>
      </c>
      <c r="AX294" s="79">
        <v>5</v>
      </c>
      <c r="AY294" s="79">
        <v>5</v>
      </c>
      <c r="AZ294" s="79">
        <v>21376</v>
      </c>
      <c r="BA294" s="79">
        <v>1</v>
      </c>
      <c r="BB294" s="79">
        <v>0</v>
      </c>
      <c r="BC294" s="79">
        <v>0</v>
      </c>
      <c r="BD294" s="79">
        <v>0</v>
      </c>
      <c r="BE294" s="79">
        <v>0</v>
      </c>
      <c r="BF294" s="79">
        <v>0</v>
      </c>
      <c r="BG294" s="79">
        <v>0</v>
      </c>
      <c r="BH294" s="79">
        <v>0</v>
      </c>
      <c r="BI294" s="79">
        <v>0</v>
      </c>
      <c r="BJ294" s="79">
        <v>0</v>
      </c>
      <c r="BK294" s="79">
        <v>64</v>
      </c>
      <c r="BL294" s="79">
        <v>37646</v>
      </c>
      <c r="BM294" s="79">
        <v>911</v>
      </c>
      <c r="BN294" s="79">
        <v>122</v>
      </c>
      <c r="BO294">
        <v>39524</v>
      </c>
      <c r="BP294">
        <v>10224</v>
      </c>
      <c r="BQ294">
        <v>35286</v>
      </c>
      <c r="BR294">
        <v>10395</v>
      </c>
      <c r="BS294">
        <v>35275</v>
      </c>
      <c r="BT294">
        <v>10568</v>
      </c>
      <c r="BU294">
        <v>35281</v>
      </c>
      <c r="BV294">
        <v>10833</v>
      </c>
      <c r="BW294">
        <v>35405</v>
      </c>
      <c r="BX294">
        <v>10851</v>
      </c>
      <c r="BY294">
        <v>35429</v>
      </c>
      <c r="BZ294">
        <v>10628</v>
      </c>
      <c r="CA294">
        <v>35277</v>
      </c>
      <c r="CB294">
        <v>4484.2496577740903</v>
      </c>
      <c r="CC294">
        <v>531.74527053574695</v>
      </c>
      <c r="CD294">
        <v>679.962446752858</v>
      </c>
      <c r="CE294">
        <v>57743.975238105602</v>
      </c>
      <c r="CF294">
        <v>14155.7800613454</v>
      </c>
      <c r="CG294">
        <v>1331.32388335221</v>
      </c>
      <c r="CH294">
        <v>2277</v>
      </c>
      <c r="CI294">
        <v>1395.11131414601</v>
      </c>
      <c r="CJ294">
        <v>1270.3795347714999</v>
      </c>
      <c r="CK294" s="81">
        <v>7870</v>
      </c>
      <c r="CL294">
        <v>2241</v>
      </c>
      <c r="CM294">
        <v>25810.1359093887</v>
      </c>
      <c r="CN294">
        <v>10.9633073581731</v>
      </c>
      <c r="CO294">
        <v>150541</v>
      </c>
      <c r="CP294">
        <v>18306</v>
      </c>
      <c r="CQ294">
        <v>4189</v>
      </c>
      <c r="CR294">
        <v>4598</v>
      </c>
      <c r="CS294">
        <v>3823</v>
      </c>
      <c r="CT294">
        <v>2125</v>
      </c>
      <c r="CU294">
        <v>2387.5866615249001</v>
      </c>
      <c r="CV294">
        <v>1496.26961395792</v>
      </c>
      <c r="CW294">
        <v>585.902133814487</v>
      </c>
      <c r="CX294">
        <v>4846.3007699711297</v>
      </c>
      <c r="CY294">
        <v>3037.1138769796098</v>
      </c>
      <c r="CZ294">
        <v>1189.25859655263</v>
      </c>
      <c r="DA294">
        <v>178728</v>
      </c>
      <c r="DE294">
        <v>965</v>
      </c>
      <c r="DF294" t="s">
        <v>272</v>
      </c>
      <c r="DG294">
        <v>2010</v>
      </c>
      <c r="DH294">
        <v>1974</v>
      </c>
      <c r="DI294">
        <v>1934</v>
      </c>
      <c r="DJ294">
        <v>1906</v>
      </c>
      <c r="DK294">
        <v>1863</v>
      </c>
      <c r="DO294">
        <v>758</v>
      </c>
      <c r="DP294" t="s">
        <v>60</v>
      </c>
      <c r="DQ294">
        <v>85293</v>
      </c>
      <c r="DR294">
        <v>1</v>
      </c>
      <c r="DS294">
        <v>2165</v>
      </c>
      <c r="DV294">
        <v>847</v>
      </c>
      <c r="DW294" t="s">
        <v>280</v>
      </c>
      <c r="DX294">
        <v>2290.54243308385</v>
      </c>
      <c r="DY294">
        <v>395</v>
      </c>
      <c r="DZ294">
        <v>397</v>
      </c>
      <c r="EA294">
        <v>185</v>
      </c>
      <c r="EB294">
        <v>1298</v>
      </c>
      <c r="EC294">
        <v>831</v>
      </c>
      <c r="ED294">
        <v>255</v>
      </c>
      <c r="EE294" s="82">
        <v>0.18546141987585399</v>
      </c>
      <c r="EF294" s="82">
        <v>0.45714514872359002</v>
      </c>
    </row>
    <row r="295" spans="1:136" x14ac:dyDescent="0.35">
      <c r="A295" s="72">
        <v>1706</v>
      </c>
      <c r="B295" s="72">
        <v>10</v>
      </c>
      <c r="D295" s="72" t="s">
        <v>71</v>
      </c>
      <c r="E295" s="79">
        <v>1703600000</v>
      </c>
      <c r="F295" s="79">
        <v>316400000</v>
      </c>
      <c r="G295" s="79">
        <v>358750000</v>
      </c>
      <c r="H295" s="79">
        <v>20336</v>
      </c>
      <c r="I295" s="79">
        <v>4</v>
      </c>
      <c r="J295" s="79">
        <v>358.75</v>
      </c>
      <c r="K295" s="79">
        <v>4119</v>
      </c>
      <c r="L295" s="79">
        <v>4767</v>
      </c>
      <c r="M295" s="79">
        <v>1445</v>
      </c>
      <c r="N295" s="79">
        <v>2473</v>
      </c>
      <c r="O295" s="79">
        <v>1578.9</v>
      </c>
      <c r="P295" s="79">
        <v>253.666666666667</v>
      </c>
      <c r="Q295" s="79">
        <v>1163.6666666666699</v>
      </c>
      <c r="R295" s="79">
        <v>395</v>
      </c>
      <c r="S295" s="79">
        <v>0</v>
      </c>
      <c r="T295" s="79">
        <v>514</v>
      </c>
      <c r="U295" s="79">
        <v>9025</v>
      </c>
      <c r="V295" s="79">
        <v>17640</v>
      </c>
      <c r="W295" s="79">
        <v>5390</v>
      </c>
      <c r="X295" s="79">
        <v>0</v>
      </c>
      <c r="Y295" s="79">
        <v>256</v>
      </c>
      <c r="Z295" s="79">
        <v>0</v>
      </c>
      <c r="AA295" s="79">
        <v>0</v>
      </c>
      <c r="AB295" s="79">
        <v>3.19999999999999</v>
      </c>
      <c r="AC295" s="79">
        <v>7642</v>
      </c>
      <c r="AD295" s="79">
        <v>7642</v>
      </c>
      <c r="AE295" s="79">
        <v>163</v>
      </c>
      <c r="AF295" s="79">
        <v>0</v>
      </c>
      <c r="AG295" s="79">
        <v>227</v>
      </c>
      <c r="AH295" s="79">
        <v>158</v>
      </c>
      <c r="AI295" s="79">
        <v>69</v>
      </c>
      <c r="AJ295" s="79">
        <v>8941</v>
      </c>
      <c r="AK295" s="79">
        <v>8941</v>
      </c>
      <c r="AL295" s="79">
        <v>0</v>
      </c>
      <c r="AM295" s="79">
        <v>0</v>
      </c>
      <c r="AN295" s="79">
        <v>0</v>
      </c>
      <c r="AO295" s="79">
        <v>0</v>
      </c>
      <c r="AP295" s="79">
        <v>0</v>
      </c>
      <c r="AQ295" s="79">
        <v>0</v>
      </c>
      <c r="AR295" s="80">
        <v>1.6137500000000001E-4</v>
      </c>
      <c r="AS295" s="80">
        <v>1.0402400000000001E-4</v>
      </c>
      <c r="AT295" s="79">
        <v>5266.2489999999998</v>
      </c>
      <c r="AU295" s="79">
        <v>0</v>
      </c>
      <c r="AV295" s="79">
        <v>740</v>
      </c>
      <c r="AW295" s="79">
        <v>1928.0768737988501</v>
      </c>
      <c r="AX295" s="79">
        <v>10</v>
      </c>
      <c r="AY295" s="79">
        <v>10</v>
      </c>
      <c r="AZ295" s="79">
        <v>2322</v>
      </c>
      <c r="BA295" s="79">
        <v>1</v>
      </c>
      <c r="BB295" s="79">
        <v>0</v>
      </c>
      <c r="BC295" s="79">
        <v>0</v>
      </c>
      <c r="BD295" s="79">
        <v>0</v>
      </c>
      <c r="BE295" s="79">
        <v>0</v>
      </c>
      <c r="BF295" s="79">
        <v>0</v>
      </c>
      <c r="BG295" s="79">
        <v>0</v>
      </c>
      <c r="BH295" s="79">
        <v>0</v>
      </c>
      <c r="BI295" s="79">
        <v>0</v>
      </c>
      <c r="BJ295" s="79">
        <v>0</v>
      </c>
      <c r="BK295" s="79">
        <v>8</v>
      </c>
      <c r="BL295" s="79">
        <v>2463</v>
      </c>
      <c r="BM295" s="79">
        <v>158</v>
      </c>
      <c r="BN295" s="79">
        <v>69</v>
      </c>
      <c r="BO295">
        <v>4596</v>
      </c>
      <c r="BP295">
        <v>288</v>
      </c>
      <c r="BQ295">
        <v>4101</v>
      </c>
      <c r="BR295">
        <v>248</v>
      </c>
      <c r="BS295">
        <v>4100</v>
      </c>
      <c r="BT295">
        <v>219</v>
      </c>
      <c r="BU295">
        <v>4063</v>
      </c>
      <c r="BV295">
        <v>211</v>
      </c>
      <c r="BW295">
        <v>4058</v>
      </c>
      <c r="BX295">
        <v>234</v>
      </c>
      <c r="BY295">
        <v>3985</v>
      </c>
      <c r="BZ295">
        <v>243</v>
      </c>
      <c r="CA295">
        <v>3668</v>
      </c>
      <c r="CB295">
        <v>321.727465049111</v>
      </c>
      <c r="CC295">
        <v>50.426953377613302</v>
      </c>
      <c r="CD295">
        <v>37.756388064994802</v>
      </c>
      <c r="CE295">
        <v>6056.4963095643197</v>
      </c>
      <c r="CF295">
        <v>1430.1711026211799</v>
      </c>
      <c r="CG295">
        <v>91.454296650717694</v>
      </c>
      <c r="CH295">
        <v>179</v>
      </c>
      <c r="CI295">
        <v>84.033304310058796</v>
      </c>
      <c r="CJ295">
        <v>65.2750165869748</v>
      </c>
      <c r="CK295" s="81">
        <v>910</v>
      </c>
      <c r="CL295">
        <v>174</v>
      </c>
      <c r="CM295">
        <v>3248.0509583736698</v>
      </c>
      <c r="CN295">
        <v>0.27913990070005901</v>
      </c>
      <c r="CO295">
        <v>15569</v>
      </c>
      <c r="CP295">
        <v>2849</v>
      </c>
      <c r="CQ295">
        <v>473</v>
      </c>
      <c r="CR295">
        <v>494</v>
      </c>
      <c r="CS295">
        <v>435</v>
      </c>
      <c r="CT295">
        <v>209</v>
      </c>
      <c r="CU295">
        <v>308.23476121239202</v>
      </c>
      <c r="CV295">
        <v>175.654975605</v>
      </c>
      <c r="CW295">
        <v>53.843987497010097</v>
      </c>
      <c r="CX295">
        <v>757.28065223716897</v>
      </c>
      <c r="CY295">
        <v>431.55455267811197</v>
      </c>
      <c r="CZ295">
        <v>132.28556639881799</v>
      </c>
      <c r="DA295">
        <v>0</v>
      </c>
      <c r="DE295">
        <v>971</v>
      </c>
      <c r="DF295" t="s">
        <v>287</v>
      </c>
      <c r="DG295">
        <v>4788</v>
      </c>
      <c r="DH295">
        <v>4701</v>
      </c>
      <c r="DI295">
        <v>4627</v>
      </c>
      <c r="DJ295">
        <v>4545</v>
      </c>
      <c r="DK295">
        <v>4416</v>
      </c>
      <c r="DO295">
        <v>1706</v>
      </c>
      <c r="DP295" t="s">
        <v>71</v>
      </c>
      <c r="DQ295">
        <v>8941</v>
      </c>
      <c r="DR295">
        <v>1</v>
      </c>
      <c r="DS295">
        <v>589</v>
      </c>
      <c r="DV295">
        <v>848</v>
      </c>
      <c r="DW295" t="s">
        <v>281</v>
      </c>
      <c r="DX295">
        <v>1537.3503028554901</v>
      </c>
      <c r="DY295">
        <v>364</v>
      </c>
      <c r="DZ295">
        <v>452</v>
      </c>
      <c r="EA295">
        <v>276</v>
      </c>
      <c r="EB295">
        <v>1087</v>
      </c>
      <c r="EC295">
        <v>994</v>
      </c>
      <c r="ED295">
        <v>408</v>
      </c>
      <c r="EE295" s="82">
        <v>0.11579875110267999</v>
      </c>
      <c r="EF295" s="82">
        <v>0.30454739891698501</v>
      </c>
    </row>
    <row r="296" spans="1:136" x14ac:dyDescent="0.35">
      <c r="A296" s="72">
        <v>1684</v>
      </c>
      <c r="B296" s="72">
        <v>10</v>
      </c>
      <c r="D296" s="72" t="s">
        <v>72</v>
      </c>
      <c r="E296" s="79">
        <v>1824400000</v>
      </c>
      <c r="F296" s="79">
        <v>361900000</v>
      </c>
      <c r="G296" s="79">
        <v>384650000</v>
      </c>
      <c r="H296" s="79">
        <v>24911</v>
      </c>
      <c r="I296" s="79">
        <v>3</v>
      </c>
      <c r="J296" s="79">
        <v>384.65</v>
      </c>
      <c r="K296" s="79">
        <v>5373</v>
      </c>
      <c r="L296" s="79">
        <v>5153</v>
      </c>
      <c r="M296" s="79">
        <v>1605</v>
      </c>
      <c r="N296" s="79">
        <v>3276</v>
      </c>
      <c r="O296" s="79">
        <v>2176.1</v>
      </c>
      <c r="P296" s="79">
        <v>419.33333333333297</v>
      </c>
      <c r="Q296" s="79">
        <v>2036.3333333333301</v>
      </c>
      <c r="R296" s="79">
        <v>1815</v>
      </c>
      <c r="S296" s="79">
        <v>0</v>
      </c>
      <c r="T296" s="79">
        <v>744</v>
      </c>
      <c r="U296" s="79">
        <v>11078</v>
      </c>
      <c r="V296" s="79">
        <v>25100</v>
      </c>
      <c r="W296" s="79">
        <v>14220</v>
      </c>
      <c r="X296" s="79">
        <v>172.26</v>
      </c>
      <c r="Y296" s="79">
        <v>795.2</v>
      </c>
      <c r="Z296" s="79">
        <v>0</v>
      </c>
      <c r="AA296" s="79">
        <v>0</v>
      </c>
      <c r="AB296" s="79">
        <v>0</v>
      </c>
      <c r="AC296" s="79">
        <v>5119</v>
      </c>
      <c r="AD296" s="79">
        <v>5119</v>
      </c>
      <c r="AE296" s="79">
        <v>588</v>
      </c>
      <c r="AF296" s="79">
        <v>0</v>
      </c>
      <c r="AG296" s="79">
        <v>217</v>
      </c>
      <c r="AH296" s="79">
        <v>146</v>
      </c>
      <c r="AI296" s="79">
        <v>71</v>
      </c>
      <c r="AJ296" s="79">
        <v>10999</v>
      </c>
      <c r="AK296" s="79">
        <v>10999</v>
      </c>
      <c r="AL296" s="79">
        <v>0</v>
      </c>
      <c r="AM296" s="79">
        <v>0</v>
      </c>
      <c r="AN296" s="79">
        <v>0</v>
      </c>
      <c r="AO296" s="79">
        <v>0</v>
      </c>
      <c r="AP296" s="79">
        <v>0</v>
      </c>
      <c r="AQ296" s="79">
        <v>0</v>
      </c>
      <c r="AR296" s="80">
        <v>1.6914100000000001E-4</v>
      </c>
      <c r="AS296" s="80">
        <v>1.9411E-4</v>
      </c>
      <c r="AT296" s="79">
        <v>9360.1489999999994</v>
      </c>
      <c r="AU296" s="79">
        <v>0</v>
      </c>
      <c r="AV296" s="79">
        <v>1019</v>
      </c>
      <c r="AW296" s="79">
        <v>4447.9251796039898</v>
      </c>
      <c r="AX296" s="79">
        <v>6</v>
      </c>
      <c r="AY296" s="79">
        <v>6</v>
      </c>
      <c r="AZ296" s="79">
        <v>2127</v>
      </c>
      <c r="BA296" s="79">
        <v>1</v>
      </c>
      <c r="BB296" s="79">
        <v>0</v>
      </c>
      <c r="BC296" s="79">
        <v>0</v>
      </c>
      <c r="BD296" s="79">
        <v>0</v>
      </c>
      <c r="BE296" s="79">
        <v>0</v>
      </c>
      <c r="BF296" s="79">
        <v>0</v>
      </c>
      <c r="BG296" s="79">
        <v>0</v>
      </c>
      <c r="BH296" s="79">
        <v>0</v>
      </c>
      <c r="BI296" s="79">
        <v>0</v>
      </c>
      <c r="BJ296" s="79">
        <v>0</v>
      </c>
      <c r="BK296" s="79">
        <v>34</v>
      </c>
      <c r="BL296" s="79">
        <v>3333</v>
      </c>
      <c r="BM296" s="79">
        <v>146</v>
      </c>
      <c r="BN296" s="79">
        <v>71</v>
      </c>
      <c r="BO296">
        <v>6044</v>
      </c>
      <c r="BP296">
        <v>1420</v>
      </c>
      <c r="BQ296">
        <v>5475</v>
      </c>
      <c r="BR296">
        <v>1332</v>
      </c>
      <c r="BS296">
        <v>5421</v>
      </c>
      <c r="BT296">
        <v>1233</v>
      </c>
      <c r="BU296">
        <v>5404</v>
      </c>
      <c r="BV296">
        <v>1224</v>
      </c>
      <c r="BW296">
        <v>5360</v>
      </c>
      <c r="BX296">
        <v>1212</v>
      </c>
      <c r="BY296">
        <v>5268</v>
      </c>
      <c r="BZ296">
        <v>1189</v>
      </c>
      <c r="CA296">
        <v>4744</v>
      </c>
      <c r="CB296">
        <v>428.57924405667399</v>
      </c>
      <c r="CC296">
        <v>82.465742255780398</v>
      </c>
      <c r="CD296">
        <v>72.525787538736395</v>
      </c>
      <c r="CE296">
        <v>6798.1105456435098</v>
      </c>
      <c r="CF296">
        <v>1689.4099502040599</v>
      </c>
      <c r="CG296">
        <v>155.91620618556701</v>
      </c>
      <c r="CH296">
        <v>263</v>
      </c>
      <c r="CI296">
        <v>132.59690920629299</v>
      </c>
      <c r="CJ296">
        <v>121.32638952579001</v>
      </c>
      <c r="CK296" s="81">
        <v>1617</v>
      </c>
      <c r="CL296">
        <v>327</v>
      </c>
      <c r="CM296">
        <v>4252.7676950585201</v>
      </c>
      <c r="CN296">
        <v>0.733846263997189</v>
      </c>
      <c r="CO296">
        <v>19758</v>
      </c>
      <c r="CP296">
        <v>3075</v>
      </c>
      <c r="CQ296">
        <v>473</v>
      </c>
      <c r="CR296">
        <v>554</v>
      </c>
      <c r="CS296">
        <v>537</v>
      </c>
      <c r="CT296">
        <v>251</v>
      </c>
      <c r="CU296">
        <v>368.331596445466</v>
      </c>
      <c r="CV296">
        <v>220.95939486014299</v>
      </c>
      <c r="CW296">
        <v>68.641817382694299</v>
      </c>
      <c r="CX296">
        <v>904.78438883541901</v>
      </c>
      <c r="CY296">
        <v>542.77344915637104</v>
      </c>
      <c r="CZ296">
        <v>168.614491367288</v>
      </c>
      <c r="DA296">
        <v>12729</v>
      </c>
      <c r="DE296">
        <v>981</v>
      </c>
      <c r="DF296" t="s">
        <v>307</v>
      </c>
      <c r="DG296">
        <v>1603</v>
      </c>
      <c r="DH296">
        <v>1576</v>
      </c>
      <c r="DI296">
        <v>1531</v>
      </c>
      <c r="DJ296">
        <v>1489</v>
      </c>
      <c r="DK296">
        <v>1453</v>
      </c>
      <c r="DO296">
        <v>1684</v>
      </c>
      <c r="DP296" t="s">
        <v>72</v>
      </c>
      <c r="DQ296">
        <v>10999</v>
      </c>
      <c r="DR296">
        <v>1</v>
      </c>
      <c r="DS296">
        <v>851</v>
      </c>
      <c r="DV296">
        <v>37</v>
      </c>
      <c r="DW296" t="s">
        <v>282</v>
      </c>
      <c r="DX296">
        <v>5885.4953964545803</v>
      </c>
      <c r="DY296">
        <v>914</v>
      </c>
      <c r="DZ296">
        <v>941</v>
      </c>
      <c r="EA296">
        <v>518</v>
      </c>
      <c r="EB296">
        <v>2656</v>
      </c>
      <c r="EC296">
        <v>1844</v>
      </c>
      <c r="ED296">
        <v>718</v>
      </c>
      <c r="EE296" s="82">
        <v>0.27968488461741697</v>
      </c>
      <c r="EF296" s="82">
        <v>0.63046780222485799</v>
      </c>
    </row>
    <row r="297" spans="1:136" x14ac:dyDescent="0.35">
      <c r="A297" s="72">
        <v>762</v>
      </c>
      <c r="B297" s="72">
        <v>10</v>
      </c>
      <c r="D297" s="72" t="s">
        <v>83</v>
      </c>
      <c r="E297" s="79">
        <v>2657600000</v>
      </c>
      <c r="F297" s="79">
        <v>477750000</v>
      </c>
      <c r="G297" s="79">
        <v>563500000</v>
      </c>
      <c r="H297" s="79">
        <v>32137</v>
      </c>
      <c r="I297" s="79">
        <v>3</v>
      </c>
      <c r="J297" s="79">
        <v>563.5</v>
      </c>
      <c r="K297" s="79">
        <v>6951</v>
      </c>
      <c r="L297" s="79">
        <v>6676</v>
      </c>
      <c r="M297" s="79">
        <v>2213</v>
      </c>
      <c r="N297" s="79">
        <v>3903</v>
      </c>
      <c r="O297" s="79">
        <v>2507.9</v>
      </c>
      <c r="P297" s="79">
        <v>417</v>
      </c>
      <c r="Q297" s="79">
        <v>2201</v>
      </c>
      <c r="R297" s="79">
        <v>685</v>
      </c>
      <c r="S297" s="79">
        <v>0</v>
      </c>
      <c r="T297" s="79">
        <v>798</v>
      </c>
      <c r="U297" s="79">
        <v>14104</v>
      </c>
      <c r="V297" s="79">
        <v>31430</v>
      </c>
      <c r="W297" s="79">
        <v>22770</v>
      </c>
      <c r="X297" s="79">
        <v>726.58</v>
      </c>
      <c r="Y297" s="79">
        <v>2349.6</v>
      </c>
      <c r="Z297" s="79">
        <v>0</v>
      </c>
      <c r="AA297" s="79">
        <v>0</v>
      </c>
      <c r="AB297" s="79">
        <v>0</v>
      </c>
      <c r="AC297" s="79">
        <v>11676</v>
      </c>
      <c r="AD297" s="79">
        <v>11676</v>
      </c>
      <c r="AE297" s="79">
        <v>159</v>
      </c>
      <c r="AF297" s="79">
        <v>0</v>
      </c>
      <c r="AG297" s="79">
        <v>400</v>
      </c>
      <c r="AH297" s="79">
        <v>216</v>
      </c>
      <c r="AI297" s="79">
        <v>184</v>
      </c>
      <c r="AJ297" s="79">
        <v>13951</v>
      </c>
      <c r="AK297" s="79">
        <v>13951</v>
      </c>
      <c r="AL297" s="79">
        <v>0</v>
      </c>
      <c r="AM297" s="79">
        <v>0</v>
      </c>
      <c r="AN297" s="79">
        <v>0</v>
      </c>
      <c r="AO297" s="79">
        <v>0</v>
      </c>
      <c r="AP297" s="79">
        <v>720</v>
      </c>
      <c r="AQ297" s="79">
        <v>0</v>
      </c>
      <c r="AR297" s="80">
        <v>2.331E-4</v>
      </c>
      <c r="AS297" s="80">
        <v>1.51934E-4</v>
      </c>
      <c r="AT297" s="79">
        <v>11969.958000000001</v>
      </c>
      <c r="AU297" s="79">
        <v>0</v>
      </c>
      <c r="AV297" s="79">
        <v>2277</v>
      </c>
      <c r="AW297" s="79">
        <v>6183.0121673003796</v>
      </c>
      <c r="AX297" s="79">
        <v>6</v>
      </c>
      <c r="AY297" s="79">
        <v>6</v>
      </c>
      <c r="AZ297" s="79">
        <v>3606</v>
      </c>
      <c r="BA297" s="79">
        <v>1</v>
      </c>
      <c r="BB297" s="79">
        <v>0</v>
      </c>
      <c r="BC297" s="79">
        <v>0</v>
      </c>
      <c r="BD297" s="79">
        <v>0</v>
      </c>
      <c r="BE297" s="79">
        <v>0</v>
      </c>
      <c r="BF297" s="79">
        <v>0</v>
      </c>
      <c r="BG297" s="79">
        <v>0</v>
      </c>
      <c r="BH297" s="79">
        <v>0</v>
      </c>
      <c r="BI297" s="79">
        <v>0</v>
      </c>
      <c r="BJ297" s="79">
        <v>0</v>
      </c>
      <c r="BK297" s="79">
        <v>17</v>
      </c>
      <c r="BL297" s="79">
        <v>4037</v>
      </c>
      <c r="BM297" s="79">
        <v>216</v>
      </c>
      <c r="BN297" s="79">
        <v>184</v>
      </c>
      <c r="BO297">
        <v>7835</v>
      </c>
      <c r="BP297">
        <v>2847</v>
      </c>
      <c r="BQ297">
        <v>6930</v>
      </c>
      <c r="BR297">
        <v>2756</v>
      </c>
      <c r="BS297">
        <v>6830</v>
      </c>
      <c r="BT297">
        <v>2681</v>
      </c>
      <c r="BU297">
        <v>6777</v>
      </c>
      <c r="BV297">
        <v>2684</v>
      </c>
      <c r="BW297">
        <v>6650</v>
      </c>
      <c r="BX297">
        <v>2629</v>
      </c>
      <c r="BY297">
        <v>6492</v>
      </c>
      <c r="BZ297">
        <v>2650</v>
      </c>
      <c r="CA297">
        <v>6105</v>
      </c>
      <c r="CB297">
        <v>575.99235875960403</v>
      </c>
      <c r="CC297">
        <v>104.230696861685</v>
      </c>
      <c r="CD297">
        <v>54.504891467532403</v>
      </c>
      <c r="CE297">
        <v>8626.55605253254</v>
      </c>
      <c r="CF297">
        <v>2072.1976140039201</v>
      </c>
      <c r="CG297">
        <v>129.77038461538501</v>
      </c>
      <c r="CH297">
        <v>345</v>
      </c>
      <c r="CI297">
        <v>124.001577403594</v>
      </c>
      <c r="CJ297">
        <v>106.426657478763</v>
      </c>
      <c r="CK297" s="81">
        <v>1784</v>
      </c>
      <c r="CL297">
        <v>537</v>
      </c>
      <c r="CM297">
        <v>4945.4969784804598</v>
      </c>
      <c r="CN297">
        <v>0.55516315607738398</v>
      </c>
      <c r="CO297">
        <v>25461</v>
      </c>
      <c r="CP297">
        <v>3808</v>
      </c>
      <c r="CQ297">
        <v>655</v>
      </c>
      <c r="CR297">
        <v>661</v>
      </c>
      <c r="CS297">
        <v>756</v>
      </c>
      <c r="CT297">
        <v>343</v>
      </c>
      <c r="CU297">
        <v>418.28565520774998</v>
      </c>
      <c r="CV297">
        <v>278.43767937980402</v>
      </c>
      <c r="CW297">
        <v>86.281527503102694</v>
      </c>
      <c r="CX297">
        <v>1092.01322808075</v>
      </c>
      <c r="CY297">
        <v>726.91383338937999</v>
      </c>
      <c r="CZ297">
        <v>225.25412525945899</v>
      </c>
      <c r="DA297">
        <v>109672.6</v>
      </c>
      <c r="DE297">
        <v>983</v>
      </c>
      <c r="DF297" t="s">
        <v>315</v>
      </c>
      <c r="DG297">
        <v>19950</v>
      </c>
      <c r="DH297">
        <v>19847</v>
      </c>
      <c r="DI297">
        <v>19441</v>
      </c>
      <c r="DJ297">
        <v>19267</v>
      </c>
      <c r="DK297">
        <v>18989</v>
      </c>
      <c r="DO297">
        <v>762</v>
      </c>
      <c r="DP297" t="s">
        <v>83</v>
      </c>
      <c r="DQ297">
        <v>13951</v>
      </c>
      <c r="DR297">
        <v>1</v>
      </c>
      <c r="DS297">
        <v>858</v>
      </c>
      <c r="DV297">
        <v>180</v>
      </c>
      <c r="DW297" t="s">
        <v>283</v>
      </c>
      <c r="DX297">
        <v>1351.70220975096</v>
      </c>
      <c r="DY297">
        <v>208</v>
      </c>
      <c r="DZ297">
        <v>256</v>
      </c>
      <c r="EA297">
        <v>140</v>
      </c>
      <c r="EB297">
        <v>862</v>
      </c>
      <c r="EC297">
        <v>562</v>
      </c>
      <c r="ED297">
        <v>213</v>
      </c>
      <c r="EE297" s="82">
        <v>0.12047010434692</v>
      </c>
      <c r="EF297" s="82">
        <v>0.48592072440140599</v>
      </c>
    </row>
    <row r="298" spans="1:136" x14ac:dyDescent="0.35">
      <c r="A298" s="72">
        <v>766</v>
      </c>
      <c r="B298" s="72">
        <v>10</v>
      </c>
      <c r="D298" s="72" t="s">
        <v>89</v>
      </c>
      <c r="E298" s="79">
        <v>2045600000</v>
      </c>
      <c r="F298" s="79">
        <v>307300000</v>
      </c>
      <c r="G298" s="79">
        <v>330050000</v>
      </c>
      <c r="H298" s="79">
        <v>25777</v>
      </c>
      <c r="I298" s="79">
        <v>2</v>
      </c>
      <c r="J298" s="79">
        <v>330.05</v>
      </c>
      <c r="K298" s="79">
        <v>5564</v>
      </c>
      <c r="L298" s="79">
        <v>5332</v>
      </c>
      <c r="M298" s="79">
        <v>1605</v>
      </c>
      <c r="N298" s="79">
        <v>3056</v>
      </c>
      <c r="O298" s="79">
        <v>1942.2</v>
      </c>
      <c r="P298" s="79">
        <v>290.66666666666703</v>
      </c>
      <c r="Q298" s="79">
        <v>1407.6666666666699</v>
      </c>
      <c r="R298" s="79">
        <v>1240</v>
      </c>
      <c r="S298" s="79">
        <v>0</v>
      </c>
      <c r="T298" s="79">
        <v>722</v>
      </c>
      <c r="U298" s="79">
        <v>11354</v>
      </c>
      <c r="V298" s="79">
        <v>23450</v>
      </c>
      <c r="W298" s="79">
        <v>9930</v>
      </c>
      <c r="X298" s="79">
        <v>0</v>
      </c>
      <c r="Y298" s="79">
        <v>1022.4</v>
      </c>
      <c r="Z298" s="79">
        <v>0</v>
      </c>
      <c r="AA298" s="79">
        <v>0</v>
      </c>
      <c r="AB298" s="79">
        <v>0</v>
      </c>
      <c r="AC298" s="79">
        <v>2926</v>
      </c>
      <c r="AD298" s="79">
        <v>2926</v>
      </c>
      <c r="AE298" s="79">
        <v>48</v>
      </c>
      <c r="AF298" s="79">
        <v>0</v>
      </c>
      <c r="AG298" s="79">
        <v>199</v>
      </c>
      <c r="AH298" s="79">
        <v>145</v>
      </c>
      <c r="AI298" s="79">
        <v>53</v>
      </c>
      <c r="AJ298" s="79">
        <v>11138</v>
      </c>
      <c r="AK298" s="79">
        <v>11138</v>
      </c>
      <c r="AL298" s="79">
        <v>0</v>
      </c>
      <c r="AM298" s="79">
        <v>0</v>
      </c>
      <c r="AN298" s="79">
        <v>0</v>
      </c>
      <c r="AO298" s="79">
        <v>0</v>
      </c>
      <c r="AP298" s="79">
        <v>1346</v>
      </c>
      <c r="AQ298" s="79">
        <v>0</v>
      </c>
      <c r="AR298" s="80">
        <v>2.5246600000000002E-4</v>
      </c>
      <c r="AS298" s="80">
        <v>2.0193899999999999E-4</v>
      </c>
      <c r="AT298" s="79">
        <v>13064.874</v>
      </c>
      <c r="AU298" s="79">
        <v>0</v>
      </c>
      <c r="AV298" s="79">
        <v>625</v>
      </c>
      <c r="AW298" s="79">
        <v>5417.1570275722897</v>
      </c>
      <c r="AX298" s="79">
        <v>3</v>
      </c>
      <c r="AY298" s="79">
        <v>3</v>
      </c>
      <c r="AZ298" s="79">
        <v>2533</v>
      </c>
      <c r="BA298" s="79">
        <v>1</v>
      </c>
      <c r="BB298" s="79">
        <v>0</v>
      </c>
      <c r="BC298" s="79">
        <v>0</v>
      </c>
      <c r="BD298" s="79">
        <v>0</v>
      </c>
      <c r="BE298" s="79">
        <v>0</v>
      </c>
      <c r="BF298" s="79">
        <v>0</v>
      </c>
      <c r="BG298" s="79">
        <v>0</v>
      </c>
      <c r="BH298" s="79">
        <v>0</v>
      </c>
      <c r="BI298" s="79">
        <v>0</v>
      </c>
      <c r="BJ298" s="79">
        <v>0</v>
      </c>
      <c r="BK298" s="79">
        <v>12</v>
      </c>
      <c r="BL298" s="79">
        <v>3173</v>
      </c>
      <c r="BM298" s="79">
        <v>145</v>
      </c>
      <c r="BN298" s="79">
        <v>53</v>
      </c>
      <c r="BO298">
        <v>6205</v>
      </c>
      <c r="BP298">
        <v>1411</v>
      </c>
      <c r="BQ298">
        <v>5605</v>
      </c>
      <c r="BR298">
        <v>1432</v>
      </c>
      <c r="BS298">
        <v>5447</v>
      </c>
      <c r="BT298">
        <v>1376</v>
      </c>
      <c r="BU298">
        <v>5369</v>
      </c>
      <c r="BV298">
        <v>1368</v>
      </c>
      <c r="BW298">
        <v>5333</v>
      </c>
      <c r="BX298">
        <v>1399</v>
      </c>
      <c r="BY298">
        <v>5297</v>
      </c>
      <c r="BZ298">
        <v>1422</v>
      </c>
      <c r="CA298">
        <v>4939</v>
      </c>
      <c r="CB298">
        <v>353.60273229658401</v>
      </c>
      <c r="CC298">
        <v>118.58601350963301</v>
      </c>
      <c r="CD298">
        <v>74.612951357170203</v>
      </c>
      <c r="CE298">
        <v>7387.8948181751803</v>
      </c>
      <c r="CF298">
        <v>1898.3267864387101</v>
      </c>
      <c r="CG298">
        <v>140.72544444444401</v>
      </c>
      <c r="CH298">
        <v>245</v>
      </c>
      <c r="CI298">
        <v>75.884922890926006</v>
      </c>
      <c r="CJ298">
        <v>63.855994487258002</v>
      </c>
      <c r="CK298" s="81">
        <v>1117</v>
      </c>
      <c r="CL298">
        <v>259</v>
      </c>
      <c r="CM298">
        <v>4573.0160894030596</v>
      </c>
      <c r="CN298">
        <v>0.28232399331320701</v>
      </c>
      <c r="CO298">
        <v>20445</v>
      </c>
      <c r="CP298">
        <v>3153</v>
      </c>
      <c r="CQ298">
        <v>574</v>
      </c>
      <c r="CR298">
        <v>591</v>
      </c>
      <c r="CS298">
        <v>522</v>
      </c>
      <c r="CT298">
        <v>286</v>
      </c>
      <c r="CU298">
        <v>335.90316147661298</v>
      </c>
      <c r="CV298">
        <v>190.798576664286</v>
      </c>
      <c r="CW298">
        <v>66.7969422874055</v>
      </c>
      <c r="CX298">
        <v>850.15278212223302</v>
      </c>
      <c r="CY298">
        <v>482.90090531761302</v>
      </c>
      <c r="CZ298">
        <v>169.059457711742</v>
      </c>
      <c r="DA298">
        <v>20432.900000000001</v>
      </c>
      <c r="DE298">
        <v>984</v>
      </c>
      <c r="DF298" t="s">
        <v>316</v>
      </c>
      <c r="DG298">
        <v>10548</v>
      </c>
      <c r="DH298">
        <v>9391</v>
      </c>
      <c r="DI298">
        <v>9266</v>
      </c>
      <c r="DJ298">
        <v>9146</v>
      </c>
      <c r="DK298">
        <v>9045</v>
      </c>
      <c r="DO298">
        <v>766</v>
      </c>
      <c r="DP298" t="s">
        <v>89</v>
      </c>
      <c r="DQ298">
        <v>11138</v>
      </c>
      <c r="DR298">
        <v>1</v>
      </c>
      <c r="DS298">
        <v>1173</v>
      </c>
      <c r="DV298">
        <v>532</v>
      </c>
      <c r="DW298" t="s">
        <v>284</v>
      </c>
      <c r="DX298">
        <v>2549.31187078217</v>
      </c>
      <c r="DY298">
        <v>534</v>
      </c>
      <c r="DZ298">
        <v>350</v>
      </c>
      <c r="EA298">
        <v>151</v>
      </c>
      <c r="EB298">
        <v>1810</v>
      </c>
      <c r="EC298">
        <v>843</v>
      </c>
      <c r="ED298">
        <v>211</v>
      </c>
      <c r="EE298" s="82">
        <v>0.17833954261187501</v>
      </c>
      <c r="EF298" s="82">
        <v>0.48170966454611602</v>
      </c>
    </row>
    <row r="299" spans="1:136" x14ac:dyDescent="0.35">
      <c r="A299" s="72">
        <v>1719</v>
      </c>
      <c r="B299" s="72">
        <v>10</v>
      </c>
      <c r="D299" s="72" t="s">
        <v>92</v>
      </c>
      <c r="E299" s="79">
        <v>2193600000</v>
      </c>
      <c r="F299" s="79">
        <v>295050000</v>
      </c>
      <c r="G299" s="79">
        <v>332150000</v>
      </c>
      <c r="H299" s="79">
        <v>27063</v>
      </c>
      <c r="I299" s="79">
        <v>5</v>
      </c>
      <c r="J299" s="79">
        <v>332.15</v>
      </c>
      <c r="K299" s="79">
        <v>5552</v>
      </c>
      <c r="L299" s="79">
        <v>5861</v>
      </c>
      <c r="M299" s="79">
        <v>1724</v>
      </c>
      <c r="N299" s="79">
        <v>2966</v>
      </c>
      <c r="O299" s="79">
        <v>1777.4</v>
      </c>
      <c r="P299" s="79">
        <v>175</v>
      </c>
      <c r="Q299" s="79">
        <v>1324</v>
      </c>
      <c r="R299" s="79">
        <v>355</v>
      </c>
      <c r="S299" s="79">
        <v>0</v>
      </c>
      <c r="T299" s="79">
        <v>615</v>
      </c>
      <c r="U299" s="79">
        <v>11919</v>
      </c>
      <c r="V299" s="79">
        <v>19150</v>
      </c>
      <c r="W299" s="79">
        <v>2680</v>
      </c>
      <c r="X299" s="79">
        <v>0</v>
      </c>
      <c r="Y299" s="79">
        <v>506.4</v>
      </c>
      <c r="Z299" s="79">
        <v>0</v>
      </c>
      <c r="AA299" s="79">
        <v>0</v>
      </c>
      <c r="AB299" s="79">
        <v>14.8</v>
      </c>
      <c r="AC299" s="79">
        <v>9485</v>
      </c>
      <c r="AD299" s="79">
        <v>9485</v>
      </c>
      <c r="AE299" s="79">
        <v>2458</v>
      </c>
      <c r="AF299" s="79">
        <v>0</v>
      </c>
      <c r="AG299" s="79">
        <v>210</v>
      </c>
      <c r="AH299" s="79">
        <v>154</v>
      </c>
      <c r="AI299" s="79">
        <v>56</v>
      </c>
      <c r="AJ299" s="79">
        <v>11886</v>
      </c>
      <c r="AK299" s="79">
        <v>11886</v>
      </c>
      <c r="AL299" s="79">
        <v>0</v>
      </c>
      <c r="AM299" s="79">
        <v>0</v>
      </c>
      <c r="AN299" s="79">
        <v>0</v>
      </c>
      <c r="AO299" s="79">
        <v>0</v>
      </c>
      <c r="AP299" s="79">
        <v>1237</v>
      </c>
      <c r="AQ299" s="79">
        <v>0</v>
      </c>
      <c r="AR299" s="80">
        <v>2.5231400000000001E-4</v>
      </c>
      <c r="AS299" s="80">
        <v>1.0967999999999999E-4</v>
      </c>
      <c r="AT299" s="79">
        <v>9282.9660000000003</v>
      </c>
      <c r="AU299" s="79">
        <v>0</v>
      </c>
      <c r="AV299" s="79">
        <v>4709</v>
      </c>
      <c r="AW299" s="79">
        <v>10901.791258477801</v>
      </c>
      <c r="AX299" s="79">
        <v>7</v>
      </c>
      <c r="AY299" s="79">
        <v>7</v>
      </c>
      <c r="AZ299" s="79">
        <v>2935</v>
      </c>
      <c r="BA299" s="79">
        <v>1</v>
      </c>
      <c r="BB299" s="79">
        <v>0</v>
      </c>
      <c r="BC299" s="79">
        <v>0</v>
      </c>
      <c r="BD299" s="79">
        <v>0</v>
      </c>
      <c r="BE299" s="79">
        <v>0</v>
      </c>
      <c r="BF299" s="79">
        <v>0</v>
      </c>
      <c r="BG299" s="79">
        <v>0</v>
      </c>
      <c r="BH299" s="79">
        <v>0</v>
      </c>
      <c r="BI299" s="79">
        <v>0</v>
      </c>
      <c r="BJ299" s="79">
        <v>0</v>
      </c>
      <c r="BK299" s="79">
        <v>8</v>
      </c>
      <c r="BL299" s="79">
        <v>3084</v>
      </c>
      <c r="BM299" s="79">
        <v>154</v>
      </c>
      <c r="BN299" s="79">
        <v>56</v>
      </c>
      <c r="BO299">
        <v>6326</v>
      </c>
      <c r="BP299">
        <v>562</v>
      </c>
      <c r="BQ299">
        <v>5586</v>
      </c>
      <c r="BR299">
        <v>569</v>
      </c>
      <c r="BS299">
        <v>5506</v>
      </c>
      <c r="BT299">
        <v>607</v>
      </c>
      <c r="BU299">
        <v>5398</v>
      </c>
      <c r="BV299">
        <v>634</v>
      </c>
      <c r="BW299">
        <v>5378</v>
      </c>
      <c r="BX299">
        <v>720</v>
      </c>
      <c r="BY299">
        <v>5304</v>
      </c>
      <c r="BZ299">
        <v>794</v>
      </c>
      <c r="CA299">
        <v>4903</v>
      </c>
      <c r="CB299">
        <v>311.84588426747001</v>
      </c>
      <c r="CC299">
        <v>98.647147390850293</v>
      </c>
      <c r="CD299">
        <v>37.4226532172489</v>
      </c>
      <c r="CE299">
        <v>8184.1702264250898</v>
      </c>
      <c r="CF299">
        <v>2015.05051274948</v>
      </c>
      <c r="CG299">
        <v>131.19586939571099</v>
      </c>
      <c r="CH299">
        <v>253</v>
      </c>
      <c r="CI299">
        <v>55.636671005265498</v>
      </c>
      <c r="CJ299">
        <v>40.087374317000801</v>
      </c>
      <c r="CK299" s="81">
        <v>1149</v>
      </c>
      <c r="CL299">
        <v>391</v>
      </c>
      <c r="CM299">
        <v>4417.6827745664796</v>
      </c>
      <c r="CN299">
        <v>0.130186164350545</v>
      </c>
      <c r="CO299">
        <v>21202</v>
      </c>
      <c r="CP299">
        <v>3555</v>
      </c>
      <c r="CQ299">
        <v>582</v>
      </c>
      <c r="CR299">
        <v>597</v>
      </c>
      <c r="CS299">
        <v>549</v>
      </c>
      <c r="CT299">
        <v>283</v>
      </c>
      <c r="CU299">
        <v>322.94971957312401</v>
      </c>
      <c r="CV299">
        <v>176.575749451787</v>
      </c>
      <c r="CW299">
        <v>61.5996687333921</v>
      </c>
      <c r="CX299">
        <v>857.55689310904597</v>
      </c>
      <c r="CY299">
        <v>468.87717164897401</v>
      </c>
      <c r="CZ299">
        <v>163.571037018948</v>
      </c>
      <c r="DA299">
        <v>97820</v>
      </c>
      <c r="DE299">
        <v>986</v>
      </c>
      <c r="DF299" t="s">
        <v>321</v>
      </c>
      <c r="DG299">
        <v>2391</v>
      </c>
      <c r="DH299">
        <v>2366</v>
      </c>
      <c r="DI299">
        <v>2343</v>
      </c>
      <c r="DJ299">
        <v>2301</v>
      </c>
      <c r="DK299">
        <v>2228</v>
      </c>
      <c r="DO299">
        <v>1719</v>
      </c>
      <c r="DP299" t="s">
        <v>92</v>
      </c>
      <c r="DQ299">
        <v>11886</v>
      </c>
      <c r="DR299">
        <v>1</v>
      </c>
      <c r="DS299">
        <v>781</v>
      </c>
      <c r="DV299">
        <v>851</v>
      </c>
      <c r="DW299" t="s">
        <v>285</v>
      </c>
      <c r="DX299">
        <v>3634.2240442556599</v>
      </c>
      <c r="DY299">
        <v>564</v>
      </c>
      <c r="DZ299">
        <v>518</v>
      </c>
      <c r="EA299">
        <v>268</v>
      </c>
      <c r="EB299">
        <v>1839</v>
      </c>
      <c r="EC299">
        <v>1052</v>
      </c>
      <c r="ED299">
        <v>376</v>
      </c>
      <c r="EE299" s="82">
        <v>0.25025289555278102</v>
      </c>
      <c r="EF299" s="82">
        <v>0.473389425315906</v>
      </c>
    </row>
    <row r="300" spans="1:136" x14ac:dyDescent="0.35">
      <c r="A300" s="72">
        <v>770</v>
      </c>
      <c r="B300" s="72">
        <v>10</v>
      </c>
      <c r="D300" s="72" t="s">
        <v>100</v>
      </c>
      <c r="E300" s="79">
        <v>1848400000</v>
      </c>
      <c r="F300" s="79">
        <v>310800000</v>
      </c>
      <c r="G300" s="79">
        <v>340900000</v>
      </c>
      <c r="H300" s="79">
        <v>18778</v>
      </c>
      <c r="I300" s="79">
        <v>4</v>
      </c>
      <c r="J300" s="79">
        <v>340.9</v>
      </c>
      <c r="K300" s="79">
        <v>3901</v>
      </c>
      <c r="L300" s="79">
        <v>4072</v>
      </c>
      <c r="M300" s="79">
        <v>1431</v>
      </c>
      <c r="N300" s="79">
        <v>1846</v>
      </c>
      <c r="O300" s="79">
        <v>995.2</v>
      </c>
      <c r="P300" s="79">
        <v>147.666666666667</v>
      </c>
      <c r="Q300" s="79">
        <v>1192.6666666666699</v>
      </c>
      <c r="R300" s="79">
        <v>215</v>
      </c>
      <c r="S300" s="79">
        <v>0</v>
      </c>
      <c r="T300" s="79">
        <v>409</v>
      </c>
      <c r="U300" s="79">
        <v>8249</v>
      </c>
      <c r="V300" s="79">
        <v>15070</v>
      </c>
      <c r="W300" s="79">
        <v>4650</v>
      </c>
      <c r="X300" s="79">
        <v>325.24</v>
      </c>
      <c r="Y300" s="79">
        <v>1043.2</v>
      </c>
      <c r="Z300" s="79">
        <v>0</v>
      </c>
      <c r="AA300" s="79">
        <v>0</v>
      </c>
      <c r="AB300" s="79">
        <v>0</v>
      </c>
      <c r="AC300" s="79">
        <v>8246</v>
      </c>
      <c r="AD300" s="79">
        <v>8246</v>
      </c>
      <c r="AE300" s="79">
        <v>86</v>
      </c>
      <c r="AF300" s="79">
        <v>0</v>
      </c>
      <c r="AG300" s="79">
        <v>215</v>
      </c>
      <c r="AH300" s="79">
        <v>126</v>
      </c>
      <c r="AI300" s="79">
        <v>89</v>
      </c>
      <c r="AJ300" s="79">
        <v>8508</v>
      </c>
      <c r="AK300" s="79">
        <v>8508</v>
      </c>
      <c r="AL300" s="79">
        <v>0</v>
      </c>
      <c r="AM300" s="79">
        <v>0</v>
      </c>
      <c r="AN300" s="79">
        <v>0</v>
      </c>
      <c r="AO300" s="79">
        <v>0</v>
      </c>
      <c r="AP300" s="79">
        <v>0</v>
      </c>
      <c r="AQ300" s="79">
        <v>0</v>
      </c>
      <c r="AR300" s="80">
        <v>9.4083E-5</v>
      </c>
      <c r="AS300" s="80">
        <v>5.6078000000000001E-5</v>
      </c>
      <c r="AT300" s="79">
        <v>4772.9880000000003</v>
      </c>
      <c r="AU300" s="79">
        <v>0</v>
      </c>
      <c r="AV300" s="79">
        <v>503</v>
      </c>
      <c r="AW300" s="79">
        <v>1133.6214594335099</v>
      </c>
      <c r="AX300" s="79">
        <v>12</v>
      </c>
      <c r="AY300" s="79">
        <v>12</v>
      </c>
      <c r="AZ300" s="79">
        <v>2336</v>
      </c>
      <c r="BA300" s="79">
        <v>1</v>
      </c>
      <c r="BB300" s="79">
        <v>0</v>
      </c>
      <c r="BC300" s="79">
        <v>0</v>
      </c>
      <c r="BD300" s="79">
        <v>0</v>
      </c>
      <c r="BE300" s="79">
        <v>0</v>
      </c>
      <c r="BF300" s="79">
        <v>0</v>
      </c>
      <c r="BG300" s="79">
        <v>0</v>
      </c>
      <c r="BH300" s="79">
        <v>0</v>
      </c>
      <c r="BI300" s="79">
        <v>0</v>
      </c>
      <c r="BJ300" s="79">
        <v>0</v>
      </c>
      <c r="BK300" s="79">
        <v>13</v>
      </c>
      <c r="BL300" s="79">
        <v>2222</v>
      </c>
      <c r="BM300" s="79">
        <v>126</v>
      </c>
      <c r="BN300" s="79">
        <v>89</v>
      </c>
      <c r="BO300">
        <v>4457</v>
      </c>
      <c r="BP300">
        <v>1476</v>
      </c>
      <c r="BQ300">
        <v>3976</v>
      </c>
      <c r="BR300">
        <v>1387</v>
      </c>
      <c r="BS300">
        <v>3884</v>
      </c>
      <c r="BT300">
        <v>1310</v>
      </c>
      <c r="BU300">
        <v>3792</v>
      </c>
      <c r="BV300">
        <v>1310</v>
      </c>
      <c r="BW300">
        <v>3713</v>
      </c>
      <c r="BX300">
        <v>1331</v>
      </c>
      <c r="BY300">
        <v>3613</v>
      </c>
      <c r="BZ300">
        <v>1306</v>
      </c>
      <c r="CA300">
        <v>3474</v>
      </c>
      <c r="CB300">
        <v>260.54284708685998</v>
      </c>
      <c r="CC300">
        <v>30.792014588277901</v>
      </c>
      <c r="CD300">
        <v>21.8155184347473</v>
      </c>
      <c r="CE300">
        <v>5970.0747364256704</v>
      </c>
      <c r="CF300">
        <v>1408.92476032628</v>
      </c>
      <c r="CG300">
        <v>78.034312636961303</v>
      </c>
      <c r="CH300">
        <v>155</v>
      </c>
      <c r="CI300">
        <v>40.417520914038803</v>
      </c>
      <c r="CJ300">
        <v>29.089953044195301</v>
      </c>
      <c r="CK300" s="81">
        <v>1045</v>
      </c>
      <c r="CL300">
        <v>425</v>
      </c>
      <c r="CM300">
        <v>2661.0483876879998</v>
      </c>
      <c r="CN300">
        <v>8.9071564122886998E-2</v>
      </c>
      <c r="CO300">
        <v>14706</v>
      </c>
      <c r="CP300">
        <v>2211</v>
      </c>
      <c r="CQ300">
        <v>430</v>
      </c>
      <c r="CR300">
        <v>348</v>
      </c>
      <c r="CS300">
        <v>444</v>
      </c>
      <c r="CT300">
        <v>211</v>
      </c>
      <c r="CU300">
        <v>154.41605674704101</v>
      </c>
      <c r="CV300">
        <v>113.23844161449701</v>
      </c>
      <c r="CW300">
        <v>37.6681592973843</v>
      </c>
      <c r="CX300">
        <v>462.00270309012399</v>
      </c>
      <c r="CY300">
        <v>338.80198226609099</v>
      </c>
      <c r="CZ300">
        <v>112.700659390167</v>
      </c>
      <c r="DA300">
        <v>121910</v>
      </c>
      <c r="DE300">
        <v>988</v>
      </c>
      <c r="DF300" t="s">
        <v>332</v>
      </c>
      <c r="DG300">
        <v>9709</v>
      </c>
      <c r="DH300">
        <v>9587</v>
      </c>
      <c r="DI300">
        <v>9487</v>
      </c>
      <c r="DJ300">
        <v>9351</v>
      </c>
      <c r="DK300">
        <v>9201</v>
      </c>
      <c r="DO300">
        <v>770</v>
      </c>
      <c r="DP300" t="s">
        <v>100</v>
      </c>
      <c r="DQ300">
        <v>8508</v>
      </c>
      <c r="DR300">
        <v>1</v>
      </c>
      <c r="DS300">
        <v>561</v>
      </c>
      <c r="DV300">
        <v>1708</v>
      </c>
      <c r="DW300" t="s">
        <v>286</v>
      </c>
      <c r="DX300">
        <v>6245.7564082152503</v>
      </c>
      <c r="DY300">
        <v>1086</v>
      </c>
      <c r="DZ300">
        <v>1007</v>
      </c>
      <c r="EA300">
        <v>562</v>
      </c>
      <c r="EB300">
        <v>3331</v>
      </c>
      <c r="EC300">
        <v>2094</v>
      </c>
      <c r="ED300">
        <v>782</v>
      </c>
      <c r="EE300" s="82">
        <v>0.201334317953165</v>
      </c>
      <c r="EF300" s="82">
        <v>0.52542617575569694</v>
      </c>
    </row>
    <row r="301" spans="1:136" x14ac:dyDescent="0.35">
      <c r="A301" s="72">
        <v>772</v>
      </c>
      <c r="B301" s="72">
        <v>10</v>
      </c>
      <c r="D301" s="72" t="s">
        <v>102</v>
      </c>
      <c r="E301" s="79">
        <v>19835600000</v>
      </c>
      <c r="F301" s="79">
        <v>5352900000</v>
      </c>
      <c r="G301" s="79">
        <v>5443200000</v>
      </c>
      <c r="H301" s="79">
        <v>229126</v>
      </c>
      <c r="I301" s="79">
        <v>1</v>
      </c>
      <c r="J301" s="79">
        <v>5443.2</v>
      </c>
      <c r="K301" s="79">
        <v>45824</v>
      </c>
      <c r="L301" s="79">
        <v>38333</v>
      </c>
      <c r="M301" s="79">
        <v>12618</v>
      </c>
      <c r="N301" s="79">
        <v>37147</v>
      </c>
      <c r="O301" s="79">
        <v>25889.3</v>
      </c>
      <c r="P301" s="79">
        <v>7160.6666666666697</v>
      </c>
      <c r="Q301" s="79">
        <v>19357.666666666701</v>
      </c>
      <c r="R301" s="79">
        <v>25730</v>
      </c>
      <c r="S301" s="79">
        <v>0</v>
      </c>
      <c r="T301" s="79">
        <v>8012</v>
      </c>
      <c r="U301" s="79">
        <v>120323</v>
      </c>
      <c r="V301" s="79">
        <v>267440</v>
      </c>
      <c r="W301" s="79">
        <v>524160</v>
      </c>
      <c r="X301" s="79">
        <v>7432.0478000000003</v>
      </c>
      <c r="Y301" s="79">
        <v>11432.8</v>
      </c>
      <c r="Z301" s="79">
        <v>0</v>
      </c>
      <c r="AA301" s="79">
        <v>0</v>
      </c>
      <c r="AB301" s="79">
        <v>0</v>
      </c>
      <c r="AC301" s="79">
        <v>8751</v>
      </c>
      <c r="AD301" s="79">
        <v>8751</v>
      </c>
      <c r="AE301" s="79">
        <v>140</v>
      </c>
      <c r="AF301" s="79">
        <v>0</v>
      </c>
      <c r="AG301" s="79">
        <v>1213</v>
      </c>
      <c r="AH301" s="79">
        <v>1098</v>
      </c>
      <c r="AI301" s="79">
        <v>115</v>
      </c>
      <c r="AJ301" s="79">
        <v>112577</v>
      </c>
      <c r="AK301" s="79">
        <v>112577</v>
      </c>
      <c r="AL301" s="79">
        <v>9</v>
      </c>
      <c r="AM301" s="79">
        <v>0</v>
      </c>
      <c r="AN301" s="79">
        <v>0</v>
      </c>
      <c r="AO301" s="79">
        <v>0</v>
      </c>
      <c r="AP301" s="79">
        <v>19215</v>
      </c>
      <c r="AQ301" s="79">
        <v>18701</v>
      </c>
      <c r="AR301" s="80">
        <v>9.5433710000000001E-3</v>
      </c>
      <c r="AS301" s="80">
        <v>1.5647069999999999E-2</v>
      </c>
      <c r="AT301" s="79">
        <v>293263.08500000002</v>
      </c>
      <c r="AU301" s="79">
        <v>0</v>
      </c>
      <c r="AV301" s="79">
        <v>1706</v>
      </c>
      <c r="AW301" s="79">
        <v>43964.565965583199</v>
      </c>
      <c r="AX301" s="79">
        <v>3</v>
      </c>
      <c r="AY301" s="79">
        <v>3</v>
      </c>
      <c r="AZ301" s="79">
        <v>24240</v>
      </c>
      <c r="BA301" s="79">
        <v>1</v>
      </c>
      <c r="BB301" s="79">
        <v>0</v>
      </c>
      <c r="BC301" s="79">
        <v>0</v>
      </c>
      <c r="BD301" s="79">
        <v>0</v>
      </c>
      <c r="BE301" s="79">
        <v>0</v>
      </c>
      <c r="BF301" s="79">
        <v>0</v>
      </c>
      <c r="BG301" s="79">
        <v>0</v>
      </c>
      <c r="BH301" s="79">
        <v>0</v>
      </c>
      <c r="BI301" s="79">
        <v>0</v>
      </c>
      <c r="BJ301" s="79">
        <v>0</v>
      </c>
      <c r="BK301" s="79">
        <v>259</v>
      </c>
      <c r="BL301" s="79">
        <v>57152</v>
      </c>
      <c r="BM301" s="79">
        <v>1098</v>
      </c>
      <c r="BN301" s="79">
        <v>115</v>
      </c>
      <c r="BO301">
        <v>43849</v>
      </c>
      <c r="BP301">
        <v>13261</v>
      </c>
      <c r="BQ301">
        <v>39089</v>
      </c>
      <c r="BR301">
        <v>12980</v>
      </c>
      <c r="BS301">
        <v>39258</v>
      </c>
      <c r="BT301">
        <v>12919</v>
      </c>
      <c r="BU301">
        <v>39408</v>
      </c>
      <c r="BV301">
        <v>13239</v>
      </c>
      <c r="BW301">
        <v>39608</v>
      </c>
      <c r="BX301">
        <v>13657</v>
      </c>
      <c r="BY301">
        <v>39691</v>
      </c>
      <c r="BZ301">
        <v>13763</v>
      </c>
      <c r="CA301">
        <v>39839</v>
      </c>
      <c r="CB301">
        <v>6575.11414505627</v>
      </c>
      <c r="CC301">
        <v>734.65040046001502</v>
      </c>
      <c r="CD301">
        <v>900.139905969653</v>
      </c>
      <c r="CE301">
        <v>68794.272201293206</v>
      </c>
      <c r="CF301">
        <v>14119.1575010009</v>
      </c>
      <c r="CG301">
        <v>1565.9918450886501</v>
      </c>
      <c r="CH301">
        <v>2950</v>
      </c>
      <c r="CI301">
        <v>2012.73484329493</v>
      </c>
      <c r="CJ301">
        <v>1930.9343221897</v>
      </c>
      <c r="CK301" s="81">
        <v>12197</v>
      </c>
      <c r="CL301">
        <v>2984</v>
      </c>
      <c r="CM301">
        <v>30062.905227469899</v>
      </c>
      <c r="CN301">
        <v>17.013347051207599</v>
      </c>
      <c r="CO301">
        <v>190793</v>
      </c>
      <c r="CP301">
        <v>20631</v>
      </c>
      <c r="CQ301">
        <v>5084</v>
      </c>
      <c r="CR301">
        <v>5804</v>
      </c>
      <c r="CS301">
        <v>4862</v>
      </c>
      <c r="CT301">
        <v>2931</v>
      </c>
      <c r="CU301">
        <v>3127.4162600015802</v>
      </c>
      <c r="CV301">
        <v>2095.2930027850798</v>
      </c>
      <c r="CW301">
        <v>910.69699166161001</v>
      </c>
      <c r="CX301">
        <v>6550.7697281626297</v>
      </c>
      <c r="CY301">
        <v>4388.85675367966</v>
      </c>
      <c r="CZ301">
        <v>1907.5702716026201</v>
      </c>
      <c r="DA301">
        <v>340060.9</v>
      </c>
      <c r="DE301">
        <v>994</v>
      </c>
      <c r="DF301" t="s">
        <v>308</v>
      </c>
      <c r="DG301">
        <v>2868</v>
      </c>
      <c r="DH301">
        <v>2849</v>
      </c>
      <c r="DI301">
        <v>2809</v>
      </c>
      <c r="DJ301">
        <v>2751</v>
      </c>
      <c r="DK301">
        <v>2628</v>
      </c>
      <c r="DO301">
        <v>772</v>
      </c>
      <c r="DP301" t="s">
        <v>102</v>
      </c>
      <c r="DQ301">
        <v>112577</v>
      </c>
      <c r="DR301">
        <v>1</v>
      </c>
      <c r="DS301">
        <v>2605</v>
      </c>
      <c r="DV301">
        <v>971</v>
      </c>
      <c r="DW301" t="s">
        <v>287</v>
      </c>
      <c r="DX301">
        <v>3455.8814866760199</v>
      </c>
      <c r="DY301">
        <v>695</v>
      </c>
      <c r="DZ301">
        <v>661</v>
      </c>
      <c r="EA301">
        <v>336</v>
      </c>
      <c r="EB301">
        <v>2346</v>
      </c>
      <c r="EC301">
        <v>1422</v>
      </c>
      <c r="ED301">
        <v>460</v>
      </c>
      <c r="EE301" s="82">
        <v>0.194996285674436</v>
      </c>
      <c r="EF301" s="82">
        <v>0.47753270234147599</v>
      </c>
    </row>
    <row r="302" spans="1:136" x14ac:dyDescent="0.35">
      <c r="A302" s="72">
        <v>777</v>
      </c>
      <c r="B302" s="72">
        <v>10</v>
      </c>
      <c r="D302" s="72" t="s">
        <v>109</v>
      </c>
      <c r="E302" s="79">
        <v>3560400000</v>
      </c>
      <c r="F302" s="79">
        <v>708750000</v>
      </c>
      <c r="G302" s="79">
        <v>757750000</v>
      </c>
      <c r="H302" s="79">
        <v>43532</v>
      </c>
      <c r="I302" s="79">
        <v>1</v>
      </c>
      <c r="J302" s="79">
        <v>757.75</v>
      </c>
      <c r="K302" s="79">
        <v>9906</v>
      </c>
      <c r="L302" s="79">
        <v>8564</v>
      </c>
      <c r="M302" s="79">
        <v>2565</v>
      </c>
      <c r="N302" s="79">
        <v>5061</v>
      </c>
      <c r="O302" s="79">
        <v>3178.6</v>
      </c>
      <c r="P302" s="79">
        <v>683</v>
      </c>
      <c r="Q302" s="79">
        <v>2746</v>
      </c>
      <c r="R302" s="79">
        <v>2700</v>
      </c>
      <c r="S302" s="79">
        <v>0</v>
      </c>
      <c r="T302" s="79">
        <v>1350</v>
      </c>
      <c r="U302" s="79">
        <v>19137</v>
      </c>
      <c r="V302" s="79">
        <v>46400</v>
      </c>
      <c r="W302" s="79">
        <v>37750</v>
      </c>
      <c r="X302" s="79">
        <v>217.8</v>
      </c>
      <c r="Y302" s="79">
        <v>2544</v>
      </c>
      <c r="Z302" s="79">
        <v>0</v>
      </c>
      <c r="AA302" s="79">
        <v>0</v>
      </c>
      <c r="AB302" s="79">
        <v>0</v>
      </c>
      <c r="AC302" s="79">
        <v>5529</v>
      </c>
      <c r="AD302" s="79">
        <v>5584.29</v>
      </c>
      <c r="AE302" s="79">
        <v>63</v>
      </c>
      <c r="AF302" s="79">
        <v>0</v>
      </c>
      <c r="AG302" s="79">
        <v>337</v>
      </c>
      <c r="AH302" s="79">
        <v>244</v>
      </c>
      <c r="AI302" s="79">
        <v>93.93</v>
      </c>
      <c r="AJ302" s="79">
        <v>18824</v>
      </c>
      <c r="AK302" s="79">
        <v>18824</v>
      </c>
      <c r="AL302" s="79">
        <v>0</v>
      </c>
      <c r="AM302" s="79">
        <v>0</v>
      </c>
      <c r="AN302" s="79">
        <v>0</v>
      </c>
      <c r="AO302" s="79">
        <v>0</v>
      </c>
      <c r="AP302" s="79">
        <v>542</v>
      </c>
      <c r="AQ302" s="79">
        <v>0</v>
      </c>
      <c r="AR302" s="80">
        <v>1.68302E-4</v>
      </c>
      <c r="AS302" s="80">
        <v>2.28271E-4</v>
      </c>
      <c r="AT302" s="79">
        <v>31191.367999999999</v>
      </c>
      <c r="AU302" s="79">
        <v>0</v>
      </c>
      <c r="AV302" s="79">
        <v>1010</v>
      </c>
      <c r="AW302" s="79">
        <v>8397.1920171673792</v>
      </c>
      <c r="AX302" s="79">
        <v>2</v>
      </c>
      <c r="AY302" s="79">
        <v>2.02</v>
      </c>
      <c r="AZ302" s="79">
        <v>4031</v>
      </c>
      <c r="BA302" s="79">
        <v>1</v>
      </c>
      <c r="BB302" s="79">
        <v>0</v>
      </c>
      <c r="BC302" s="79">
        <v>0</v>
      </c>
      <c r="BD302" s="79">
        <v>0</v>
      </c>
      <c r="BE302" s="79">
        <v>0</v>
      </c>
      <c r="BF302" s="79">
        <v>0</v>
      </c>
      <c r="BG302" s="79">
        <v>0</v>
      </c>
      <c r="BH302" s="79">
        <v>0</v>
      </c>
      <c r="BI302" s="79">
        <v>0</v>
      </c>
      <c r="BJ302" s="79">
        <v>0</v>
      </c>
      <c r="BK302" s="79">
        <v>20</v>
      </c>
      <c r="BL302" s="79">
        <v>5432</v>
      </c>
      <c r="BM302" s="79">
        <v>244</v>
      </c>
      <c r="BN302" s="79">
        <v>93</v>
      </c>
      <c r="BO302">
        <v>9726</v>
      </c>
      <c r="BP302">
        <v>3218</v>
      </c>
      <c r="BQ302">
        <v>8935</v>
      </c>
      <c r="BR302">
        <v>3094</v>
      </c>
      <c r="BS302">
        <v>8926</v>
      </c>
      <c r="BT302">
        <v>3130</v>
      </c>
      <c r="BU302">
        <v>8906</v>
      </c>
      <c r="BV302">
        <v>3126</v>
      </c>
      <c r="BW302">
        <v>8964</v>
      </c>
      <c r="BX302">
        <v>3226</v>
      </c>
      <c r="BY302">
        <v>8943</v>
      </c>
      <c r="BZ302">
        <v>3202</v>
      </c>
      <c r="CA302">
        <v>8944</v>
      </c>
      <c r="CB302">
        <v>958.67847223844296</v>
      </c>
      <c r="CC302">
        <v>148.90375218685901</v>
      </c>
      <c r="CD302">
        <v>94.045431359754105</v>
      </c>
      <c r="CE302">
        <v>12638.7746354672</v>
      </c>
      <c r="CF302">
        <v>3357.9722791981599</v>
      </c>
      <c r="CG302">
        <v>340.808768361582</v>
      </c>
      <c r="CH302">
        <v>529</v>
      </c>
      <c r="CI302">
        <v>257.79986811488698</v>
      </c>
      <c r="CJ302">
        <v>218.884158881323</v>
      </c>
      <c r="CK302" s="81">
        <v>2063</v>
      </c>
      <c r="CL302">
        <v>506</v>
      </c>
      <c r="CM302">
        <v>7575.9827493462799</v>
      </c>
      <c r="CN302">
        <v>1.1627639032339601</v>
      </c>
      <c r="CO302">
        <v>34968</v>
      </c>
      <c r="CP302">
        <v>5196</v>
      </c>
      <c r="CQ302">
        <v>803</v>
      </c>
      <c r="CR302">
        <v>1034</v>
      </c>
      <c r="CS302">
        <v>818</v>
      </c>
      <c r="CT302">
        <v>373</v>
      </c>
      <c r="CU302">
        <v>540.32172015736705</v>
      </c>
      <c r="CV302">
        <v>296.16384286125702</v>
      </c>
      <c r="CW302">
        <v>92.698945114498301</v>
      </c>
      <c r="CX302">
        <v>1387.91413926629</v>
      </c>
      <c r="CY302">
        <v>760.75043758533502</v>
      </c>
      <c r="CZ302">
        <v>238.114019517873</v>
      </c>
      <c r="DA302">
        <v>39402.699999999997</v>
      </c>
      <c r="DE302">
        <v>995</v>
      </c>
      <c r="DF302" t="s">
        <v>182</v>
      </c>
      <c r="DG302">
        <v>17374</v>
      </c>
      <c r="DH302">
        <v>17416</v>
      </c>
      <c r="DI302">
        <v>17565</v>
      </c>
      <c r="DJ302">
        <v>17520</v>
      </c>
      <c r="DK302">
        <v>17476</v>
      </c>
      <c r="DO302">
        <v>777</v>
      </c>
      <c r="DP302" t="s">
        <v>109</v>
      </c>
      <c r="DQ302">
        <v>18824</v>
      </c>
      <c r="DR302">
        <v>1</v>
      </c>
      <c r="DS302">
        <v>1657</v>
      </c>
      <c r="DV302">
        <v>1904</v>
      </c>
      <c r="DW302" t="s">
        <v>288</v>
      </c>
      <c r="DX302">
        <v>6710.0159735213701</v>
      </c>
      <c r="DY302">
        <v>1792</v>
      </c>
      <c r="DZ302">
        <v>1315</v>
      </c>
      <c r="EA302">
        <v>655</v>
      </c>
      <c r="EB302">
        <v>4954</v>
      </c>
      <c r="EC302">
        <v>2676</v>
      </c>
      <c r="ED302">
        <v>933</v>
      </c>
      <c r="EE302" s="82">
        <v>0.13509270455894401</v>
      </c>
      <c r="EF302" s="82">
        <v>0.31326727033450502</v>
      </c>
    </row>
    <row r="303" spans="1:136" x14ac:dyDescent="0.35">
      <c r="A303" s="72">
        <v>779</v>
      </c>
      <c r="B303" s="72">
        <v>10</v>
      </c>
      <c r="D303" s="72" t="s">
        <v>110</v>
      </c>
      <c r="E303" s="79">
        <v>1624800000</v>
      </c>
      <c r="F303" s="79">
        <v>525700000</v>
      </c>
      <c r="G303" s="79">
        <v>540400000</v>
      </c>
      <c r="H303" s="79">
        <v>21517</v>
      </c>
      <c r="I303" s="79">
        <v>2</v>
      </c>
      <c r="J303" s="79">
        <v>540.4</v>
      </c>
      <c r="K303" s="79">
        <v>4672</v>
      </c>
      <c r="L303" s="79">
        <v>4341</v>
      </c>
      <c r="M303" s="79">
        <v>1293</v>
      </c>
      <c r="N303" s="79">
        <v>2731</v>
      </c>
      <c r="O303" s="79">
        <v>1762.3</v>
      </c>
      <c r="P303" s="79">
        <v>327.66666666666703</v>
      </c>
      <c r="Q303" s="79">
        <v>1282.6666666666699</v>
      </c>
      <c r="R303" s="79">
        <v>470</v>
      </c>
      <c r="S303" s="79">
        <v>0</v>
      </c>
      <c r="T303" s="79">
        <v>627</v>
      </c>
      <c r="U303" s="79">
        <v>9652</v>
      </c>
      <c r="V303" s="79">
        <v>20170</v>
      </c>
      <c r="W303" s="79">
        <v>7150</v>
      </c>
      <c r="X303" s="79">
        <v>0</v>
      </c>
      <c r="Y303" s="79">
        <v>1339.2</v>
      </c>
      <c r="Z303" s="79">
        <v>0</v>
      </c>
      <c r="AA303" s="79">
        <v>0</v>
      </c>
      <c r="AB303" s="79">
        <v>0</v>
      </c>
      <c r="AC303" s="79">
        <v>2662</v>
      </c>
      <c r="AD303" s="79">
        <v>2662</v>
      </c>
      <c r="AE303" s="79">
        <v>302</v>
      </c>
      <c r="AF303" s="79">
        <v>0</v>
      </c>
      <c r="AG303" s="79">
        <v>192</v>
      </c>
      <c r="AH303" s="79">
        <v>153</v>
      </c>
      <c r="AI303" s="79">
        <v>38</v>
      </c>
      <c r="AJ303" s="79">
        <v>9687</v>
      </c>
      <c r="AK303" s="79">
        <v>9687</v>
      </c>
      <c r="AL303" s="79">
        <v>13</v>
      </c>
      <c r="AM303" s="79">
        <v>0</v>
      </c>
      <c r="AN303" s="79">
        <v>0</v>
      </c>
      <c r="AO303" s="79">
        <v>3600</v>
      </c>
      <c r="AP303" s="79">
        <v>1532</v>
      </c>
      <c r="AQ303" s="79">
        <v>537</v>
      </c>
      <c r="AR303" s="80">
        <v>3.0082299999999998E-4</v>
      </c>
      <c r="AS303" s="80">
        <v>1.6282199999999999E-4</v>
      </c>
      <c r="AT303" s="79">
        <v>10578.204</v>
      </c>
      <c r="AU303" s="79">
        <v>0</v>
      </c>
      <c r="AV303" s="79">
        <v>1084</v>
      </c>
      <c r="AW303" s="79">
        <v>7869.2402159244302</v>
      </c>
      <c r="AX303" s="79">
        <v>2</v>
      </c>
      <c r="AY303" s="79">
        <v>2</v>
      </c>
      <c r="AZ303" s="79">
        <v>2233</v>
      </c>
      <c r="BA303" s="79">
        <v>1</v>
      </c>
      <c r="BB303" s="79">
        <v>0</v>
      </c>
      <c r="BC303" s="79">
        <v>0</v>
      </c>
      <c r="BD303" s="79">
        <v>0</v>
      </c>
      <c r="BE303" s="79">
        <v>0</v>
      </c>
      <c r="BF303" s="79">
        <v>0</v>
      </c>
      <c r="BG303" s="79">
        <v>0</v>
      </c>
      <c r="BH303" s="79">
        <v>0</v>
      </c>
      <c r="BI303" s="79">
        <v>0</v>
      </c>
      <c r="BJ303" s="79">
        <v>0</v>
      </c>
      <c r="BK303" s="79">
        <v>10</v>
      </c>
      <c r="BL303" s="79">
        <v>2783</v>
      </c>
      <c r="BM303" s="79">
        <v>153</v>
      </c>
      <c r="BN303" s="79">
        <v>38</v>
      </c>
      <c r="BO303">
        <v>4725</v>
      </c>
      <c r="BP303">
        <v>1685</v>
      </c>
      <c r="BQ303">
        <v>4330</v>
      </c>
      <c r="BR303">
        <v>1668</v>
      </c>
      <c r="BS303">
        <v>4372</v>
      </c>
      <c r="BT303">
        <v>1577</v>
      </c>
      <c r="BU303">
        <v>4388</v>
      </c>
      <c r="BV303">
        <v>1586</v>
      </c>
      <c r="BW303">
        <v>4400</v>
      </c>
      <c r="BX303">
        <v>1538</v>
      </c>
      <c r="BY303">
        <v>4397</v>
      </c>
      <c r="BZ303">
        <v>1536</v>
      </c>
      <c r="CA303">
        <v>4216</v>
      </c>
      <c r="CB303">
        <v>378.62167407625998</v>
      </c>
      <c r="CC303">
        <v>180.02095388277701</v>
      </c>
      <c r="CD303">
        <v>35.548445874483797</v>
      </c>
      <c r="CE303">
        <v>6240.7335201302403</v>
      </c>
      <c r="CF303">
        <v>1609.51158370233</v>
      </c>
      <c r="CG303">
        <v>165.01193724578701</v>
      </c>
      <c r="CH303">
        <v>217</v>
      </c>
      <c r="CI303">
        <v>92.812849684225696</v>
      </c>
      <c r="CJ303">
        <v>90.817414381877995</v>
      </c>
      <c r="CK303" s="81">
        <v>955</v>
      </c>
      <c r="CL303">
        <v>207</v>
      </c>
      <c r="CM303">
        <v>3621.3817290799798</v>
      </c>
      <c r="CN303">
        <v>0.49797552093671199</v>
      </c>
      <c r="CO303">
        <v>17176</v>
      </c>
      <c r="CP303">
        <v>2627</v>
      </c>
      <c r="CQ303">
        <v>421</v>
      </c>
      <c r="CR303">
        <v>517</v>
      </c>
      <c r="CS303">
        <v>456</v>
      </c>
      <c r="CT303">
        <v>194</v>
      </c>
      <c r="CU303">
        <v>293.11520604300699</v>
      </c>
      <c r="CV303">
        <v>166.66264974264101</v>
      </c>
      <c r="CW303">
        <v>49.125453526761</v>
      </c>
      <c r="CX303">
        <v>723.68515873076001</v>
      </c>
      <c r="CY303">
        <v>411.48082271717999</v>
      </c>
      <c r="CZ303">
        <v>121.28801542973601</v>
      </c>
      <c r="DA303">
        <v>56933.3</v>
      </c>
      <c r="DE303">
        <v>1507</v>
      </c>
      <c r="DF303" t="s">
        <v>158</v>
      </c>
      <c r="DG303">
        <v>8434</v>
      </c>
      <c r="DH303">
        <v>9287</v>
      </c>
      <c r="DI303">
        <v>9212</v>
      </c>
      <c r="DJ303">
        <v>9045</v>
      </c>
      <c r="DK303">
        <v>8833</v>
      </c>
      <c r="DO303">
        <v>779</v>
      </c>
      <c r="DP303" t="s">
        <v>110</v>
      </c>
      <c r="DQ303">
        <v>9687</v>
      </c>
      <c r="DR303">
        <v>1</v>
      </c>
      <c r="DS303">
        <v>1092</v>
      </c>
      <c r="DV303">
        <v>617</v>
      </c>
      <c r="DW303" t="s">
        <v>820</v>
      </c>
      <c r="DX303">
        <v>1025.4121037463999</v>
      </c>
      <c r="DY303">
        <v>181</v>
      </c>
      <c r="DZ303">
        <v>179</v>
      </c>
      <c r="EA303">
        <v>107</v>
      </c>
      <c r="EB303">
        <v>699</v>
      </c>
      <c r="EC303">
        <v>398</v>
      </c>
      <c r="ED303">
        <v>154</v>
      </c>
      <c r="EE303" s="82">
        <v>0.15868115634369301</v>
      </c>
      <c r="EF303" s="82">
        <v>0.38309035837626698</v>
      </c>
    </row>
    <row r="304" spans="1:136" x14ac:dyDescent="0.35">
      <c r="A304" s="72">
        <v>1771</v>
      </c>
      <c r="B304" s="72">
        <v>10</v>
      </c>
      <c r="D304" s="72" t="s">
        <v>111</v>
      </c>
      <c r="E304" s="79">
        <v>3399600000</v>
      </c>
      <c r="F304" s="79">
        <v>407750000</v>
      </c>
      <c r="G304" s="79">
        <v>427700000</v>
      </c>
      <c r="H304" s="79">
        <v>39252</v>
      </c>
      <c r="I304" s="79">
        <v>2</v>
      </c>
      <c r="J304" s="79">
        <v>427.7</v>
      </c>
      <c r="K304" s="79">
        <v>8587</v>
      </c>
      <c r="L304" s="79">
        <v>8436</v>
      </c>
      <c r="M304" s="79">
        <v>2733</v>
      </c>
      <c r="N304" s="79">
        <v>4991</v>
      </c>
      <c r="O304" s="79">
        <v>3228.3</v>
      </c>
      <c r="P304" s="79">
        <v>729.66666666666697</v>
      </c>
      <c r="Q304" s="79">
        <v>2561.6666666666702</v>
      </c>
      <c r="R304" s="79">
        <v>1745</v>
      </c>
      <c r="S304" s="79">
        <v>0</v>
      </c>
      <c r="T304" s="79">
        <v>1241</v>
      </c>
      <c r="U304" s="79">
        <v>17727</v>
      </c>
      <c r="V304" s="79">
        <v>35870</v>
      </c>
      <c r="W304" s="79">
        <v>18510</v>
      </c>
      <c r="X304" s="79">
        <v>297</v>
      </c>
      <c r="Y304" s="79">
        <v>1136.8</v>
      </c>
      <c r="Z304" s="79">
        <v>0</v>
      </c>
      <c r="AA304" s="79">
        <v>0</v>
      </c>
      <c r="AB304" s="79">
        <v>0</v>
      </c>
      <c r="AC304" s="79">
        <v>3101</v>
      </c>
      <c r="AD304" s="79">
        <v>3101</v>
      </c>
      <c r="AE304" s="79">
        <v>38</v>
      </c>
      <c r="AF304" s="79">
        <v>0</v>
      </c>
      <c r="AG304" s="79">
        <v>249</v>
      </c>
      <c r="AH304" s="79">
        <v>225</v>
      </c>
      <c r="AI304" s="79">
        <v>23</v>
      </c>
      <c r="AJ304" s="79">
        <v>17627</v>
      </c>
      <c r="AK304" s="79">
        <v>17627</v>
      </c>
      <c r="AL304" s="79">
        <v>0</v>
      </c>
      <c r="AM304" s="79">
        <v>0</v>
      </c>
      <c r="AN304" s="79">
        <v>0</v>
      </c>
      <c r="AO304" s="79">
        <v>0</v>
      </c>
      <c r="AP304" s="79">
        <v>1074</v>
      </c>
      <c r="AQ304" s="79">
        <v>0</v>
      </c>
      <c r="AR304" s="80">
        <v>2.8959599999999998E-4</v>
      </c>
      <c r="AS304" s="80">
        <v>5.5208099999999995E-4</v>
      </c>
      <c r="AT304" s="79">
        <v>23673.061000000002</v>
      </c>
      <c r="AU304" s="79">
        <v>0</v>
      </c>
      <c r="AV304" s="79">
        <v>457</v>
      </c>
      <c r="AW304" s="79">
        <v>5714.6110226186702</v>
      </c>
      <c r="AX304" s="79">
        <v>2</v>
      </c>
      <c r="AY304" s="79">
        <v>2</v>
      </c>
      <c r="AZ304" s="79">
        <v>3612</v>
      </c>
      <c r="BA304" s="79">
        <v>1</v>
      </c>
      <c r="BB304" s="79">
        <v>0</v>
      </c>
      <c r="BC304" s="79">
        <v>0</v>
      </c>
      <c r="BD304" s="79">
        <v>0</v>
      </c>
      <c r="BE304" s="79">
        <v>0</v>
      </c>
      <c r="BF304" s="79">
        <v>0</v>
      </c>
      <c r="BG304" s="79">
        <v>0</v>
      </c>
      <c r="BH304" s="79">
        <v>0</v>
      </c>
      <c r="BI304" s="79">
        <v>0</v>
      </c>
      <c r="BJ304" s="79">
        <v>0</v>
      </c>
      <c r="BK304" s="79">
        <v>23</v>
      </c>
      <c r="BL304" s="79">
        <v>5712</v>
      </c>
      <c r="BM304" s="79">
        <v>225</v>
      </c>
      <c r="BN304" s="79">
        <v>23</v>
      </c>
      <c r="BO304">
        <v>8988</v>
      </c>
      <c r="BP304">
        <v>1858</v>
      </c>
      <c r="BQ304">
        <v>8083</v>
      </c>
      <c r="BR304">
        <v>1878</v>
      </c>
      <c r="BS304">
        <v>8050</v>
      </c>
      <c r="BT304">
        <v>1973</v>
      </c>
      <c r="BU304">
        <v>7982</v>
      </c>
      <c r="BV304">
        <v>2005</v>
      </c>
      <c r="BW304">
        <v>7970</v>
      </c>
      <c r="BX304">
        <v>1922</v>
      </c>
      <c r="BY304">
        <v>7930</v>
      </c>
      <c r="BZ304">
        <v>1814</v>
      </c>
      <c r="CA304">
        <v>7710</v>
      </c>
      <c r="CB304">
        <v>921.28077031869304</v>
      </c>
      <c r="CC304">
        <v>119.93599391963799</v>
      </c>
      <c r="CD304">
        <v>132.813724478968</v>
      </c>
      <c r="CE304">
        <v>12094.4366197297</v>
      </c>
      <c r="CF304">
        <v>2878.24948186647</v>
      </c>
      <c r="CG304">
        <v>267.19917174378401</v>
      </c>
      <c r="CH304">
        <v>472</v>
      </c>
      <c r="CI304">
        <v>243.53799995266999</v>
      </c>
      <c r="CJ304">
        <v>218.529403356394</v>
      </c>
      <c r="CK304" s="81">
        <v>1832</v>
      </c>
      <c r="CL304">
        <v>397</v>
      </c>
      <c r="CM304">
        <v>6690.0271946108596</v>
      </c>
      <c r="CN304">
        <v>1.31640072058677</v>
      </c>
      <c r="CO304">
        <v>30816</v>
      </c>
      <c r="CP304">
        <v>4774</v>
      </c>
      <c r="CQ304">
        <v>929</v>
      </c>
      <c r="CR304">
        <v>967</v>
      </c>
      <c r="CS304">
        <v>971</v>
      </c>
      <c r="CT304">
        <v>514</v>
      </c>
      <c r="CU304">
        <v>544.49463428386696</v>
      </c>
      <c r="CV304">
        <v>355.67056164792098</v>
      </c>
      <c r="CW304">
        <v>127.836278079428</v>
      </c>
      <c r="CX304">
        <v>1278.1670534483301</v>
      </c>
      <c r="CY304">
        <v>834.91436858279997</v>
      </c>
      <c r="CZ304">
        <v>300.08765667909103</v>
      </c>
      <c r="DA304">
        <v>12427</v>
      </c>
      <c r="DE304">
        <v>1509</v>
      </c>
      <c r="DF304" t="s">
        <v>239</v>
      </c>
      <c r="DG304">
        <v>8832</v>
      </c>
      <c r="DH304">
        <v>8694</v>
      </c>
      <c r="DI304">
        <v>8577</v>
      </c>
      <c r="DJ304">
        <v>8381</v>
      </c>
      <c r="DK304">
        <v>8177</v>
      </c>
      <c r="DO304">
        <v>1771</v>
      </c>
      <c r="DP304" t="s">
        <v>111</v>
      </c>
      <c r="DQ304">
        <v>17627</v>
      </c>
      <c r="DR304">
        <v>1</v>
      </c>
      <c r="DS304">
        <v>1343</v>
      </c>
      <c r="DV304">
        <v>1900</v>
      </c>
      <c r="DW304" t="s">
        <v>289</v>
      </c>
      <c r="DX304">
        <v>13315.2504464058</v>
      </c>
      <c r="DY304">
        <v>2433</v>
      </c>
      <c r="DZ304">
        <v>1992</v>
      </c>
      <c r="EA304">
        <v>1077</v>
      </c>
      <c r="EB304">
        <v>7050</v>
      </c>
      <c r="EC304">
        <v>4237</v>
      </c>
      <c r="ED304">
        <v>1481</v>
      </c>
      <c r="EE304" s="82">
        <v>0.20947705860327201</v>
      </c>
      <c r="EF304" s="82">
        <v>0.51720871999144702</v>
      </c>
    </row>
    <row r="305" spans="1:136" x14ac:dyDescent="0.35">
      <c r="A305" s="72">
        <v>1652</v>
      </c>
      <c r="B305" s="72">
        <v>10</v>
      </c>
      <c r="D305" s="72" t="s">
        <v>112</v>
      </c>
      <c r="E305" s="79">
        <v>2377200000</v>
      </c>
      <c r="F305" s="79">
        <v>421050000</v>
      </c>
      <c r="G305" s="79">
        <v>473550000</v>
      </c>
      <c r="H305" s="79">
        <v>30340</v>
      </c>
      <c r="I305" s="79">
        <v>4</v>
      </c>
      <c r="J305" s="79">
        <v>473.55</v>
      </c>
      <c r="K305" s="79">
        <v>6765</v>
      </c>
      <c r="L305" s="79">
        <v>5659</v>
      </c>
      <c r="M305" s="79">
        <v>1743</v>
      </c>
      <c r="N305" s="79">
        <v>3745</v>
      </c>
      <c r="O305" s="79">
        <v>2443.1</v>
      </c>
      <c r="P305" s="79">
        <v>373.33333333333297</v>
      </c>
      <c r="Q305" s="79">
        <v>2014.3333333333301</v>
      </c>
      <c r="R305" s="79">
        <v>440</v>
      </c>
      <c r="S305" s="79">
        <v>0</v>
      </c>
      <c r="T305" s="79">
        <v>777</v>
      </c>
      <c r="U305" s="79">
        <v>13029</v>
      </c>
      <c r="V305" s="79">
        <v>25920</v>
      </c>
      <c r="W305" s="79">
        <v>11360</v>
      </c>
      <c r="X305" s="79">
        <v>362.34</v>
      </c>
      <c r="Y305" s="79">
        <v>1729.6</v>
      </c>
      <c r="Z305" s="79">
        <v>0</v>
      </c>
      <c r="AA305" s="79">
        <v>0</v>
      </c>
      <c r="AB305" s="79">
        <v>0</v>
      </c>
      <c r="AC305" s="79">
        <v>12211</v>
      </c>
      <c r="AD305" s="79">
        <v>12211</v>
      </c>
      <c r="AE305" s="79">
        <v>123</v>
      </c>
      <c r="AF305" s="79">
        <v>0</v>
      </c>
      <c r="AG305" s="79">
        <v>368</v>
      </c>
      <c r="AH305" s="79">
        <v>188</v>
      </c>
      <c r="AI305" s="79">
        <v>180</v>
      </c>
      <c r="AJ305" s="79">
        <v>13019</v>
      </c>
      <c r="AK305" s="79">
        <v>13019</v>
      </c>
      <c r="AL305" s="79">
        <v>8</v>
      </c>
      <c r="AM305" s="79">
        <v>0</v>
      </c>
      <c r="AN305" s="79">
        <v>0</v>
      </c>
      <c r="AO305" s="79">
        <v>0</v>
      </c>
      <c r="AP305" s="79">
        <v>663</v>
      </c>
      <c r="AQ305" s="79">
        <v>663</v>
      </c>
      <c r="AR305" s="80">
        <v>2.2607899999999999E-4</v>
      </c>
      <c r="AS305" s="80">
        <v>1.18987E-4</v>
      </c>
      <c r="AT305" s="79">
        <v>9972.5540000000001</v>
      </c>
      <c r="AU305" s="79">
        <v>0</v>
      </c>
      <c r="AV305" s="79">
        <v>1068</v>
      </c>
      <c r="AW305" s="79">
        <v>2627.1379925409401</v>
      </c>
      <c r="AX305" s="79">
        <v>11</v>
      </c>
      <c r="AY305" s="79">
        <v>11</v>
      </c>
      <c r="AZ305" s="79">
        <v>3265</v>
      </c>
      <c r="BA305" s="79">
        <v>1</v>
      </c>
      <c r="BB305" s="79">
        <v>0</v>
      </c>
      <c r="BC305" s="79">
        <v>0</v>
      </c>
      <c r="BD305" s="79">
        <v>0</v>
      </c>
      <c r="BE305" s="79">
        <v>0</v>
      </c>
      <c r="BF305" s="79">
        <v>0</v>
      </c>
      <c r="BG305" s="79">
        <v>0</v>
      </c>
      <c r="BH305" s="79">
        <v>0</v>
      </c>
      <c r="BI305" s="79">
        <v>0</v>
      </c>
      <c r="BJ305" s="79">
        <v>0</v>
      </c>
      <c r="BK305" s="79">
        <v>11</v>
      </c>
      <c r="BL305" s="79">
        <v>3790</v>
      </c>
      <c r="BM305" s="79">
        <v>188</v>
      </c>
      <c r="BN305" s="79">
        <v>180</v>
      </c>
      <c r="BO305">
        <v>7018</v>
      </c>
      <c r="BP305">
        <v>2173</v>
      </c>
      <c r="BQ305">
        <v>6356</v>
      </c>
      <c r="BR305">
        <v>2141</v>
      </c>
      <c r="BS305">
        <v>6351</v>
      </c>
      <c r="BT305">
        <v>2102</v>
      </c>
      <c r="BU305">
        <v>6311</v>
      </c>
      <c r="BV305">
        <v>2096</v>
      </c>
      <c r="BW305">
        <v>6245</v>
      </c>
      <c r="BX305">
        <v>2097</v>
      </c>
      <c r="BY305">
        <v>6145</v>
      </c>
      <c r="BZ305">
        <v>2097</v>
      </c>
      <c r="CA305">
        <v>6073</v>
      </c>
      <c r="CB305">
        <v>544.87849789429401</v>
      </c>
      <c r="CC305">
        <v>129.21121189793499</v>
      </c>
      <c r="CD305">
        <v>63.996601392389401</v>
      </c>
      <c r="CE305">
        <v>8268.63018189592</v>
      </c>
      <c r="CF305">
        <v>2151.8231764955999</v>
      </c>
      <c r="CG305">
        <v>118.42983924843401</v>
      </c>
      <c r="CH305">
        <v>289</v>
      </c>
      <c r="CI305">
        <v>110.923421971555</v>
      </c>
      <c r="CJ305">
        <v>86.560348082727501</v>
      </c>
      <c r="CK305" s="81">
        <v>1641</v>
      </c>
      <c r="CL305">
        <v>388</v>
      </c>
      <c r="CM305">
        <v>3905.56759199919</v>
      </c>
      <c r="CN305">
        <v>0.43485213111517401</v>
      </c>
      <c r="CO305">
        <v>24681</v>
      </c>
      <c r="CP305">
        <v>3354</v>
      </c>
      <c r="CQ305">
        <v>562</v>
      </c>
      <c r="CR305">
        <v>608</v>
      </c>
      <c r="CS305">
        <v>590</v>
      </c>
      <c r="CT305">
        <v>347</v>
      </c>
      <c r="CU305">
        <v>390.473686600512</v>
      </c>
      <c r="CV305">
        <v>229.668328879878</v>
      </c>
      <c r="CW305">
        <v>86.313260853549096</v>
      </c>
      <c r="CX305">
        <v>976.57048888528095</v>
      </c>
      <c r="CY305">
        <v>574.39801941162102</v>
      </c>
      <c r="CZ305">
        <v>215.86853670698201</v>
      </c>
      <c r="DA305">
        <v>46247.8</v>
      </c>
      <c r="DE305">
        <v>1525</v>
      </c>
      <c r="DF305" t="s">
        <v>293</v>
      </c>
      <c r="DG305">
        <v>8608</v>
      </c>
      <c r="DH305">
        <v>8523</v>
      </c>
      <c r="DI305">
        <v>8437</v>
      </c>
      <c r="DJ305">
        <v>8300</v>
      </c>
      <c r="DK305">
        <v>8231</v>
      </c>
      <c r="DO305">
        <v>1652</v>
      </c>
      <c r="DP305" t="s">
        <v>112</v>
      </c>
      <c r="DQ305">
        <v>13019</v>
      </c>
      <c r="DR305">
        <v>1</v>
      </c>
      <c r="DS305">
        <v>766</v>
      </c>
      <c r="DV305">
        <v>9</v>
      </c>
      <c r="DW305" t="s">
        <v>801</v>
      </c>
      <c r="DX305">
        <v>902.66396213657902</v>
      </c>
      <c r="DY305">
        <v>187</v>
      </c>
      <c r="DZ305">
        <v>123</v>
      </c>
      <c r="EA305">
        <v>68</v>
      </c>
      <c r="EB305">
        <v>551</v>
      </c>
      <c r="EC305">
        <v>244</v>
      </c>
      <c r="ED305">
        <v>93</v>
      </c>
      <c r="EE305" s="82">
        <v>0.186378160576326</v>
      </c>
      <c r="EF305" s="82">
        <v>0.47753270234147599</v>
      </c>
    </row>
    <row r="306" spans="1:136" x14ac:dyDescent="0.35">
      <c r="A306" s="72">
        <v>784</v>
      </c>
      <c r="B306" s="72">
        <v>10</v>
      </c>
      <c r="D306" s="72" t="s">
        <v>114</v>
      </c>
      <c r="E306" s="79">
        <v>2081200000</v>
      </c>
      <c r="F306" s="79">
        <v>568400000</v>
      </c>
      <c r="G306" s="79">
        <v>598150000</v>
      </c>
      <c r="H306" s="79">
        <v>26313</v>
      </c>
      <c r="I306" s="79">
        <v>2</v>
      </c>
      <c r="J306" s="79">
        <v>598.15</v>
      </c>
      <c r="K306" s="79">
        <v>5883</v>
      </c>
      <c r="L306" s="79">
        <v>5343</v>
      </c>
      <c r="M306" s="79">
        <v>1630</v>
      </c>
      <c r="N306" s="79">
        <v>3206</v>
      </c>
      <c r="O306" s="79">
        <v>2061.3000000000002</v>
      </c>
      <c r="P306" s="79">
        <v>460</v>
      </c>
      <c r="Q306" s="79">
        <v>1553</v>
      </c>
      <c r="R306" s="79">
        <v>1615</v>
      </c>
      <c r="S306" s="79">
        <v>0</v>
      </c>
      <c r="T306" s="79">
        <v>751</v>
      </c>
      <c r="U306" s="79">
        <v>11724</v>
      </c>
      <c r="V306" s="79">
        <v>20980</v>
      </c>
      <c r="W306" s="79">
        <v>5520</v>
      </c>
      <c r="X306" s="79">
        <v>0</v>
      </c>
      <c r="Y306" s="79">
        <v>0</v>
      </c>
      <c r="Z306" s="79">
        <v>0</v>
      </c>
      <c r="AA306" s="79">
        <v>0</v>
      </c>
      <c r="AB306" s="79">
        <v>0</v>
      </c>
      <c r="AC306" s="79">
        <v>6538</v>
      </c>
      <c r="AD306" s="79">
        <v>6538</v>
      </c>
      <c r="AE306" s="79">
        <v>28</v>
      </c>
      <c r="AF306" s="79">
        <v>0</v>
      </c>
      <c r="AG306" s="79">
        <v>243</v>
      </c>
      <c r="AH306" s="79">
        <v>177</v>
      </c>
      <c r="AI306" s="79">
        <v>66</v>
      </c>
      <c r="AJ306" s="79">
        <v>11447</v>
      </c>
      <c r="AK306" s="79">
        <v>11447</v>
      </c>
      <c r="AL306" s="79">
        <v>0</v>
      </c>
      <c r="AM306" s="79">
        <v>0</v>
      </c>
      <c r="AN306" s="79">
        <v>0</v>
      </c>
      <c r="AO306" s="79">
        <v>0</v>
      </c>
      <c r="AP306" s="79">
        <v>0</v>
      </c>
      <c r="AQ306" s="79">
        <v>0</v>
      </c>
      <c r="AR306" s="80">
        <v>1.98715E-4</v>
      </c>
      <c r="AS306" s="80">
        <v>1.15251E-4</v>
      </c>
      <c r="AT306" s="79">
        <v>12225.396000000001</v>
      </c>
      <c r="AU306" s="79">
        <v>0</v>
      </c>
      <c r="AV306" s="79">
        <v>522</v>
      </c>
      <c r="AW306" s="79">
        <v>2091.8955223880598</v>
      </c>
      <c r="AX306" s="79">
        <v>8</v>
      </c>
      <c r="AY306" s="79">
        <v>8</v>
      </c>
      <c r="AZ306" s="79">
        <v>2581</v>
      </c>
      <c r="BA306" s="79">
        <v>1</v>
      </c>
      <c r="BB306" s="79">
        <v>0</v>
      </c>
      <c r="BC306" s="79">
        <v>0</v>
      </c>
      <c r="BD306" s="79">
        <v>0</v>
      </c>
      <c r="BE306" s="79">
        <v>0</v>
      </c>
      <c r="BF306" s="79">
        <v>0</v>
      </c>
      <c r="BG306" s="79">
        <v>0</v>
      </c>
      <c r="BH306" s="79">
        <v>0</v>
      </c>
      <c r="BI306" s="79">
        <v>0</v>
      </c>
      <c r="BJ306" s="79">
        <v>0</v>
      </c>
      <c r="BK306" s="79">
        <v>11</v>
      </c>
      <c r="BL306" s="79">
        <v>3154</v>
      </c>
      <c r="BM306" s="79">
        <v>177</v>
      </c>
      <c r="BN306" s="79">
        <v>66</v>
      </c>
      <c r="BO306">
        <v>6278</v>
      </c>
      <c r="BP306">
        <v>0</v>
      </c>
      <c r="BQ306">
        <v>5640</v>
      </c>
      <c r="BR306">
        <v>0</v>
      </c>
      <c r="BS306">
        <v>5603</v>
      </c>
      <c r="BT306">
        <v>0</v>
      </c>
      <c r="BU306">
        <v>5532</v>
      </c>
      <c r="BV306">
        <v>0</v>
      </c>
      <c r="BW306">
        <v>5463</v>
      </c>
      <c r="BX306">
        <v>0</v>
      </c>
      <c r="BY306">
        <v>5511</v>
      </c>
      <c r="BZ306">
        <v>0</v>
      </c>
      <c r="CA306">
        <v>5266</v>
      </c>
      <c r="CB306">
        <v>554.431673848988</v>
      </c>
      <c r="CC306">
        <v>97.496582877747201</v>
      </c>
      <c r="CD306">
        <v>145.00488126466999</v>
      </c>
      <c r="CE306">
        <v>7386.6746627844304</v>
      </c>
      <c r="CF306">
        <v>1854.3439440868401</v>
      </c>
      <c r="CG306">
        <v>175.865564828614</v>
      </c>
      <c r="CH306">
        <v>302</v>
      </c>
      <c r="CI306">
        <v>147.284656256538</v>
      </c>
      <c r="CJ306">
        <v>127.002477924658</v>
      </c>
      <c r="CK306" s="81">
        <v>1093</v>
      </c>
      <c r="CL306">
        <v>230</v>
      </c>
      <c r="CM306">
        <v>4564.6897323340499</v>
      </c>
      <c r="CN306">
        <v>0.83180218498093705</v>
      </c>
      <c r="CO306">
        <v>20970</v>
      </c>
      <c r="CP306">
        <v>3242</v>
      </c>
      <c r="CQ306">
        <v>471</v>
      </c>
      <c r="CR306">
        <v>613</v>
      </c>
      <c r="CS306">
        <v>518</v>
      </c>
      <c r="CT306">
        <v>214</v>
      </c>
      <c r="CU306">
        <v>357.021423849244</v>
      </c>
      <c r="CV306">
        <v>201.28590613386501</v>
      </c>
      <c r="CW306">
        <v>58.693385867298801</v>
      </c>
      <c r="CX306">
        <v>890.79309110061899</v>
      </c>
      <c r="CY306">
        <v>502.22222685350101</v>
      </c>
      <c r="CZ306">
        <v>146.444048259608</v>
      </c>
      <c r="DA306">
        <v>9125</v>
      </c>
      <c r="DE306">
        <v>1581</v>
      </c>
      <c r="DF306" t="s">
        <v>306</v>
      </c>
      <c r="DG306">
        <v>10682</v>
      </c>
      <c r="DH306">
        <v>10552</v>
      </c>
      <c r="DI306">
        <v>10497</v>
      </c>
      <c r="DJ306">
        <v>10254</v>
      </c>
      <c r="DK306">
        <v>10038</v>
      </c>
      <c r="DO306">
        <v>784</v>
      </c>
      <c r="DP306" t="s">
        <v>114</v>
      </c>
      <c r="DQ306">
        <v>11447</v>
      </c>
      <c r="DR306">
        <v>1</v>
      </c>
      <c r="DS306">
        <v>1068</v>
      </c>
      <c r="DV306">
        <v>715</v>
      </c>
      <c r="DW306" t="s">
        <v>290</v>
      </c>
      <c r="DX306">
        <v>8350.5179428661395</v>
      </c>
      <c r="DY306">
        <v>1651</v>
      </c>
      <c r="DZ306">
        <v>1434</v>
      </c>
      <c r="EA306">
        <v>796</v>
      </c>
      <c r="EB306">
        <v>4669</v>
      </c>
      <c r="EC306">
        <v>2977</v>
      </c>
      <c r="ED306">
        <v>1139</v>
      </c>
      <c r="EE306" s="82">
        <v>0.20980626040165201</v>
      </c>
      <c r="EF306" s="82">
        <v>0.48592072440140599</v>
      </c>
    </row>
    <row r="307" spans="1:136" x14ac:dyDescent="0.35">
      <c r="A307" s="72">
        <v>785</v>
      </c>
      <c r="B307" s="72">
        <v>10</v>
      </c>
      <c r="D307" s="72" t="s">
        <v>117</v>
      </c>
      <c r="E307" s="79">
        <v>2118400000</v>
      </c>
      <c r="F307" s="79">
        <v>237650000</v>
      </c>
      <c r="G307" s="79">
        <v>255500000</v>
      </c>
      <c r="H307" s="79">
        <v>23621</v>
      </c>
      <c r="I307" s="79">
        <v>2</v>
      </c>
      <c r="J307" s="79">
        <v>255.5</v>
      </c>
      <c r="K307" s="79">
        <v>5385</v>
      </c>
      <c r="L307" s="79">
        <v>5236</v>
      </c>
      <c r="M307" s="79">
        <v>1592</v>
      </c>
      <c r="N307" s="79">
        <v>2539</v>
      </c>
      <c r="O307" s="79">
        <v>1518.9</v>
      </c>
      <c r="P307" s="79">
        <v>304</v>
      </c>
      <c r="Q307" s="79">
        <v>1303</v>
      </c>
      <c r="R307" s="79">
        <v>660</v>
      </c>
      <c r="S307" s="79">
        <v>0</v>
      </c>
      <c r="T307" s="79">
        <v>682</v>
      </c>
      <c r="U307" s="79">
        <v>10342</v>
      </c>
      <c r="V307" s="79">
        <v>19230</v>
      </c>
      <c r="W307" s="79">
        <v>5770</v>
      </c>
      <c r="X307" s="79">
        <v>1660.8</v>
      </c>
      <c r="Y307" s="79">
        <v>1213.5999999999999</v>
      </c>
      <c r="Z307" s="79">
        <v>0</v>
      </c>
      <c r="AA307" s="79">
        <v>0</v>
      </c>
      <c r="AB307" s="79">
        <v>3.39999999999986</v>
      </c>
      <c r="AC307" s="79">
        <v>4208</v>
      </c>
      <c r="AD307" s="79">
        <v>4208</v>
      </c>
      <c r="AE307" s="79">
        <v>27</v>
      </c>
      <c r="AF307" s="79">
        <v>0</v>
      </c>
      <c r="AG307" s="79">
        <v>162</v>
      </c>
      <c r="AH307" s="79">
        <v>132</v>
      </c>
      <c r="AI307" s="79">
        <v>30</v>
      </c>
      <c r="AJ307" s="79">
        <v>10201</v>
      </c>
      <c r="AK307" s="79">
        <v>10201</v>
      </c>
      <c r="AL307" s="79">
        <v>0</v>
      </c>
      <c r="AM307" s="79">
        <v>0</v>
      </c>
      <c r="AN307" s="79">
        <v>0</v>
      </c>
      <c r="AO307" s="79">
        <v>0</v>
      </c>
      <c r="AP307" s="79">
        <v>891</v>
      </c>
      <c r="AQ307" s="79">
        <v>0</v>
      </c>
      <c r="AR307" s="80">
        <v>1.16285E-4</v>
      </c>
      <c r="AS307" s="80">
        <v>1.0025400000000001E-4</v>
      </c>
      <c r="AT307" s="79">
        <v>11904.566999999999</v>
      </c>
      <c r="AU307" s="79">
        <v>0</v>
      </c>
      <c r="AV307" s="79">
        <v>362</v>
      </c>
      <c r="AW307" s="79">
        <v>2019.0795749704801</v>
      </c>
      <c r="AX307" s="79">
        <v>3</v>
      </c>
      <c r="AY307" s="79">
        <v>3</v>
      </c>
      <c r="AZ307" s="79">
        <v>2351</v>
      </c>
      <c r="BA307" s="79">
        <v>1</v>
      </c>
      <c r="BB307" s="79">
        <v>0</v>
      </c>
      <c r="BC307" s="79">
        <v>0</v>
      </c>
      <c r="BD307" s="79">
        <v>0</v>
      </c>
      <c r="BE307" s="79">
        <v>0</v>
      </c>
      <c r="BF307" s="79">
        <v>0</v>
      </c>
      <c r="BG307" s="79">
        <v>0</v>
      </c>
      <c r="BH307" s="79">
        <v>0</v>
      </c>
      <c r="BI307" s="79">
        <v>0</v>
      </c>
      <c r="BJ307" s="79">
        <v>0</v>
      </c>
      <c r="BK307" s="79">
        <v>21</v>
      </c>
      <c r="BL307" s="79">
        <v>2762</v>
      </c>
      <c r="BM307" s="79">
        <v>132</v>
      </c>
      <c r="BN307" s="79">
        <v>30</v>
      </c>
      <c r="BO307">
        <v>5236</v>
      </c>
      <c r="BP307">
        <v>1376</v>
      </c>
      <c r="BQ307">
        <v>4695</v>
      </c>
      <c r="BR307">
        <v>1418</v>
      </c>
      <c r="BS307">
        <v>4726</v>
      </c>
      <c r="BT307">
        <v>1474</v>
      </c>
      <c r="BU307">
        <v>4742</v>
      </c>
      <c r="BV307">
        <v>1513</v>
      </c>
      <c r="BW307">
        <v>4757</v>
      </c>
      <c r="BX307">
        <v>1521</v>
      </c>
      <c r="BY307">
        <v>4750</v>
      </c>
      <c r="BZ307">
        <v>1582</v>
      </c>
      <c r="CA307">
        <v>4871</v>
      </c>
      <c r="CB307">
        <v>435.23892131194901</v>
      </c>
      <c r="CC307">
        <v>40.303990103956799</v>
      </c>
      <c r="CD307">
        <v>54.318561408369398</v>
      </c>
      <c r="CE307">
        <v>7361.2192335560103</v>
      </c>
      <c r="CF307">
        <v>1854.20474369609</v>
      </c>
      <c r="CG307">
        <v>150.24998805646001</v>
      </c>
      <c r="CH307">
        <v>236</v>
      </c>
      <c r="CI307">
        <v>95.180068144436206</v>
      </c>
      <c r="CJ307">
        <v>97.9125248804622</v>
      </c>
      <c r="CK307" s="81">
        <v>999</v>
      </c>
      <c r="CL307">
        <v>230</v>
      </c>
      <c r="CM307">
        <v>4373.0994020163598</v>
      </c>
      <c r="CN307">
        <v>0.32695331285160001</v>
      </c>
      <c r="CO307">
        <v>18385</v>
      </c>
      <c r="CP307">
        <v>3181</v>
      </c>
      <c r="CQ307">
        <v>463</v>
      </c>
      <c r="CR307">
        <v>548</v>
      </c>
      <c r="CS307">
        <v>497</v>
      </c>
      <c r="CT307">
        <v>256</v>
      </c>
      <c r="CU307">
        <v>287.45097301368202</v>
      </c>
      <c r="CV307">
        <v>162.70528923042701</v>
      </c>
      <c r="CW307">
        <v>52.399141636880302</v>
      </c>
      <c r="CX307">
        <v>753.09413003956797</v>
      </c>
      <c r="CY307">
        <v>426.27233771789099</v>
      </c>
      <c r="CZ307">
        <v>137.280752860657</v>
      </c>
      <c r="DA307">
        <v>27828</v>
      </c>
      <c r="DE307">
        <v>1586</v>
      </c>
      <c r="DF307" t="s">
        <v>232</v>
      </c>
      <c r="DG307">
        <v>7018</v>
      </c>
      <c r="DH307">
        <v>6947</v>
      </c>
      <c r="DI307">
        <v>6936</v>
      </c>
      <c r="DJ307">
        <v>6784</v>
      </c>
      <c r="DK307">
        <v>6630</v>
      </c>
      <c r="DO307">
        <v>785</v>
      </c>
      <c r="DP307" t="s">
        <v>117</v>
      </c>
      <c r="DQ307">
        <v>10201</v>
      </c>
      <c r="DR307">
        <v>1</v>
      </c>
      <c r="DS307">
        <v>1167</v>
      </c>
      <c r="DV307">
        <v>93</v>
      </c>
      <c r="DW307" t="s">
        <v>291</v>
      </c>
      <c r="DX307">
        <v>588.69673405909805</v>
      </c>
      <c r="DY307">
        <v>155</v>
      </c>
      <c r="DZ307">
        <v>114</v>
      </c>
      <c r="EA307">
        <v>48</v>
      </c>
      <c r="EB307">
        <v>417</v>
      </c>
      <c r="EC307">
        <v>228</v>
      </c>
      <c r="ED307">
        <v>74</v>
      </c>
      <c r="EE307" s="82">
        <v>5.3907642891267399E-2</v>
      </c>
      <c r="EF307" s="82">
        <v>0.42992500956889801</v>
      </c>
    </row>
    <row r="308" spans="1:136" x14ac:dyDescent="0.35">
      <c r="A308" s="72">
        <v>786</v>
      </c>
      <c r="B308" s="72">
        <v>10</v>
      </c>
      <c r="D308" s="72" t="s">
        <v>121</v>
      </c>
      <c r="E308" s="79">
        <v>908000000</v>
      </c>
      <c r="F308" s="79">
        <v>128800000</v>
      </c>
      <c r="G308" s="79">
        <v>139300000</v>
      </c>
      <c r="H308" s="79">
        <v>12419</v>
      </c>
      <c r="I308" s="79">
        <v>1</v>
      </c>
      <c r="J308" s="79">
        <v>139.30000000000001</v>
      </c>
      <c r="K308" s="79">
        <v>2687</v>
      </c>
      <c r="L308" s="79">
        <v>2657</v>
      </c>
      <c r="M308" s="79">
        <v>803</v>
      </c>
      <c r="N308" s="79">
        <v>1398</v>
      </c>
      <c r="O308" s="79">
        <v>835.6</v>
      </c>
      <c r="P308" s="79">
        <v>146</v>
      </c>
      <c r="Q308" s="79">
        <v>834</v>
      </c>
      <c r="R308" s="79">
        <v>325</v>
      </c>
      <c r="S308" s="79">
        <v>0</v>
      </c>
      <c r="T308" s="79">
        <v>317</v>
      </c>
      <c r="U308" s="79">
        <v>5800</v>
      </c>
      <c r="V308" s="79">
        <v>11000</v>
      </c>
      <c r="W308" s="79">
        <v>2910</v>
      </c>
      <c r="X308" s="79">
        <v>387.52</v>
      </c>
      <c r="Y308" s="79">
        <v>616</v>
      </c>
      <c r="Z308" s="79">
        <v>0</v>
      </c>
      <c r="AA308" s="79">
        <v>0</v>
      </c>
      <c r="AB308" s="79">
        <v>0</v>
      </c>
      <c r="AC308" s="79">
        <v>2714</v>
      </c>
      <c r="AD308" s="79">
        <v>2714</v>
      </c>
      <c r="AE308" s="79">
        <v>89</v>
      </c>
      <c r="AF308" s="79">
        <v>0</v>
      </c>
      <c r="AG308" s="79">
        <v>88</v>
      </c>
      <c r="AH308" s="79">
        <v>62.62</v>
      </c>
      <c r="AI308" s="79">
        <v>26</v>
      </c>
      <c r="AJ308" s="79">
        <v>5624</v>
      </c>
      <c r="AK308" s="79">
        <v>5680.24</v>
      </c>
      <c r="AL308" s="79">
        <v>8</v>
      </c>
      <c r="AM308" s="79">
        <v>0</v>
      </c>
      <c r="AN308" s="79">
        <v>0</v>
      </c>
      <c r="AO308" s="79">
        <v>2950</v>
      </c>
      <c r="AP308" s="79">
        <v>0</v>
      </c>
      <c r="AQ308" s="79">
        <v>0</v>
      </c>
      <c r="AR308" s="80">
        <v>1.5497899999999999E-4</v>
      </c>
      <c r="AS308" s="80">
        <v>8.1524000000000001E-5</v>
      </c>
      <c r="AT308" s="79">
        <v>3576.864</v>
      </c>
      <c r="AU308" s="79">
        <v>0</v>
      </c>
      <c r="AV308" s="79">
        <v>539</v>
      </c>
      <c r="AW308" s="79">
        <v>2388.0988226899699</v>
      </c>
      <c r="AX308" s="79">
        <v>3</v>
      </c>
      <c r="AY308" s="79">
        <v>3</v>
      </c>
      <c r="AZ308" s="79">
        <v>1126</v>
      </c>
      <c r="BA308" s="79">
        <v>1</v>
      </c>
      <c r="BB308" s="79">
        <v>0</v>
      </c>
      <c r="BC308" s="79">
        <v>0</v>
      </c>
      <c r="BD308" s="79">
        <v>0</v>
      </c>
      <c r="BE308" s="79">
        <v>0</v>
      </c>
      <c r="BF308" s="79">
        <v>0</v>
      </c>
      <c r="BG308" s="79">
        <v>0</v>
      </c>
      <c r="BH308" s="79">
        <v>0</v>
      </c>
      <c r="BI308" s="79">
        <v>0</v>
      </c>
      <c r="BJ308" s="79">
        <v>0</v>
      </c>
      <c r="BK308" s="79">
        <v>6</v>
      </c>
      <c r="BL308" s="79">
        <v>1655</v>
      </c>
      <c r="BM308" s="79">
        <v>62</v>
      </c>
      <c r="BN308" s="79">
        <v>26</v>
      </c>
      <c r="BO308">
        <v>3126</v>
      </c>
      <c r="BP308">
        <v>990</v>
      </c>
      <c r="BQ308">
        <v>2752</v>
      </c>
      <c r="BR308">
        <v>999</v>
      </c>
      <c r="BS308">
        <v>2821</v>
      </c>
      <c r="BT308">
        <v>948</v>
      </c>
      <c r="BU308">
        <v>2831</v>
      </c>
      <c r="BV308">
        <v>869</v>
      </c>
      <c r="BW308">
        <v>2725</v>
      </c>
      <c r="BX308">
        <v>839</v>
      </c>
      <c r="BY308">
        <v>2622</v>
      </c>
      <c r="BZ308">
        <v>832</v>
      </c>
      <c r="CA308">
        <v>2391</v>
      </c>
      <c r="CB308">
        <v>184.92493489268699</v>
      </c>
      <c r="CC308">
        <v>41.023426569756097</v>
      </c>
      <c r="CD308">
        <v>27.968717668242501</v>
      </c>
      <c r="CE308">
        <v>3452.7623926308802</v>
      </c>
      <c r="CF308">
        <v>824.81030122994105</v>
      </c>
      <c r="CG308">
        <v>106.173324324324</v>
      </c>
      <c r="CH308">
        <v>118</v>
      </c>
      <c r="CI308">
        <v>43.7789486054983</v>
      </c>
      <c r="CJ308">
        <v>41.151640891788503</v>
      </c>
      <c r="CK308" s="81">
        <v>688</v>
      </c>
      <c r="CL308">
        <v>195</v>
      </c>
      <c r="CM308">
        <v>1852.4279807007799</v>
      </c>
      <c r="CN308">
        <v>0.12953265433066</v>
      </c>
      <c r="CO308">
        <v>9762</v>
      </c>
      <c r="CP308">
        <v>1606</v>
      </c>
      <c r="CQ308">
        <v>248</v>
      </c>
      <c r="CR308">
        <v>317</v>
      </c>
      <c r="CS308">
        <v>269</v>
      </c>
      <c r="CT308">
        <v>113</v>
      </c>
      <c r="CU308">
        <v>142.89691931026201</v>
      </c>
      <c r="CV308">
        <v>80.806573913495299</v>
      </c>
      <c r="CW308">
        <v>23.469556393993098</v>
      </c>
      <c r="CX308">
        <v>435.94409302042499</v>
      </c>
      <c r="CY308">
        <v>246.52139979533399</v>
      </c>
      <c r="CZ308">
        <v>71.5999653817329</v>
      </c>
      <c r="DA308">
        <v>173010</v>
      </c>
      <c r="DE308">
        <v>1598</v>
      </c>
      <c r="DF308" t="s">
        <v>168</v>
      </c>
      <c r="DG308">
        <v>5304</v>
      </c>
      <c r="DH308">
        <v>5289</v>
      </c>
      <c r="DI308">
        <v>5211</v>
      </c>
      <c r="DJ308">
        <v>5211</v>
      </c>
      <c r="DK308">
        <v>5111</v>
      </c>
      <c r="DO308">
        <v>786</v>
      </c>
      <c r="DP308" t="s">
        <v>121</v>
      </c>
      <c r="DQ308">
        <v>5624</v>
      </c>
      <c r="DR308">
        <v>1.01</v>
      </c>
      <c r="DS308">
        <v>636</v>
      </c>
      <c r="DV308">
        <v>448</v>
      </c>
      <c r="DW308" t="s">
        <v>292</v>
      </c>
      <c r="DX308">
        <v>2043.1704965450699</v>
      </c>
      <c r="DY308">
        <v>460</v>
      </c>
      <c r="DZ308">
        <v>304</v>
      </c>
      <c r="EA308">
        <v>140</v>
      </c>
      <c r="EB308">
        <v>1297</v>
      </c>
      <c r="EC308">
        <v>663</v>
      </c>
      <c r="ED308">
        <v>195</v>
      </c>
      <c r="EE308" s="82">
        <v>9.1039784623195397E-2</v>
      </c>
      <c r="EF308" s="82">
        <v>0.49444682089853698</v>
      </c>
    </row>
    <row r="309" spans="1:136" x14ac:dyDescent="0.35">
      <c r="A309" s="72">
        <v>788</v>
      </c>
      <c r="B309" s="72">
        <v>10</v>
      </c>
      <c r="D309" s="72" t="s">
        <v>125</v>
      </c>
      <c r="E309" s="79">
        <v>1421600000</v>
      </c>
      <c r="F309" s="79">
        <v>158200000</v>
      </c>
      <c r="G309" s="79">
        <v>184450000</v>
      </c>
      <c r="H309" s="79">
        <v>14103</v>
      </c>
      <c r="I309" s="79">
        <v>3</v>
      </c>
      <c r="J309" s="79">
        <v>184.45</v>
      </c>
      <c r="K309" s="79">
        <v>2933</v>
      </c>
      <c r="L309" s="79">
        <v>3130</v>
      </c>
      <c r="M309" s="79">
        <v>945</v>
      </c>
      <c r="N309" s="79">
        <v>1278</v>
      </c>
      <c r="O309" s="79">
        <v>642.20000000000005</v>
      </c>
      <c r="P309" s="79">
        <v>84.3333333333333</v>
      </c>
      <c r="Q309" s="79">
        <v>847.33333333333303</v>
      </c>
      <c r="R309" s="79">
        <v>165</v>
      </c>
      <c r="S309" s="79">
        <v>0</v>
      </c>
      <c r="T309" s="79">
        <v>294</v>
      </c>
      <c r="U309" s="79">
        <v>6196</v>
      </c>
      <c r="V309" s="79">
        <v>8550</v>
      </c>
      <c r="W309" s="79">
        <v>730</v>
      </c>
      <c r="X309" s="79">
        <v>0</v>
      </c>
      <c r="Y309" s="79">
        <v>0</v>
      </c>
      <c r="Z309" s="79">
        <v>0</v>
      </c>
      <c r="AA309" s="79">
        <v>0</v>
      </c>
      <c r="AB309" s="79">
        <v>0</v>
      </c>
      <c r="AC309" s="79">
        <v>5764</v>
      </c>
      <c r="AD309" s="79">
        <v>5764</v>
      </c>
      <c r="AE309" s="79">
        <v>92</v>
      </c>
      <c r="AF309" s="79">
        <v>0</v>
      </c>
      <c r="AG309" s="79">
        <v>145</v>
      </c>
      <c r="AH309" s="79">
        <v>81</v>
      </c>
      <c r="AI309" s="79">
        <v>64</v>
      </c>
      <c r="AJ309" s="79">
        <v>6358</v>
      </c>
      <c r="AK309" s="79">
        <v>6358</v>
      </c>
      <c r="AL309" s="79">
        <v>0</v>
      </c>
      <c r="AM309" s="79">
        <v>0</v>
      </c>
      <c r="AN309" s="79">
        <v>0</v>
      </c>
      <c r="AO309" s="79">
        <v>0</v>
      </c>
      <c r="AP309" s="79">
        <v>0</v>
      </c>
      <c r="AQ309" s="79">
        <v>0</v>
      </c>
      <c r="AR309" s="80">
        <v>1.13755E-4</v>
      </c>
      <c r="AS309" s="80">
        <v>3.8544999999999998E-5</v>
      </c>
      <c r="AT309" s="79">
        <v>2327.0279999999998</v>
      </c>
      <c r="AU309" s="79">
        <v>0</v>
      </c>
      <c r="AV309" s="79">
        <v>937</v>
      </c>
      <c r="AW309" s="79">
        <v>2256.5763319672101</v>
      </c>
      <c r="AX309" s="79">
        <v>6</v>
      </c>
      <c r="AY309" s="79">
        <v>6</v>
      </c>
      <c r="AZ309" s="79">
        <v>1812</v>
      </c>
      <c r="BA309" s="79">
        <v>1</v>
      </c>
      <c r="BB309" s="79">
        <v>0</v>
      </c>
      <c r="BC309" s="79">
        <v>0</v>
      </c>
      <c r="BD309" s="79">
        <v>0</v>
      </c>
      <c r="BE309" s="79">
        <v>0</v>
      </c>
      <c r="BF309" s="79">
        <v>0</v>
      </c>
      <c r="BG309" s="79">
        <v>0</v>
      </c>
      <c r="BH309" s="79">
        <v>0</v>
      </c>
      <c r="BI309" s="79">
        <v>0</v>
      </c>
      <c r="BJ309" s="79">
        <v>0</v>
      </c>
      <c r="BK309" s="79">
        <v>21</v>
      </c>
      <c r="BL309" s="79">
        <v>1557</v>
      </c>
      <c r="BM309" s="79">
        <v>81</v>
      </c>
      <c r="BN309" s="79">
        <v>64</v>
      </c>
      <c r="BO309">
        <v>3556</v>
      </c>
      <c r="BP309">
        <v>0</v>
      </c>
      <c r="BQ309">
        <v>3156</v>
      </c>
      <c r="BR309">
        <v>0</v>
      </c>
      <c r="BS309">
        <v>3069</v>
      </c>
      <c r="BT309">
        <v>0</v>
      </c>
      <c r="BU309">
        <v>2995</v>
      </c>
      <c r="BV309">
        <v>0</v>
      </c>
      <c r="BW309">
        <v>2938</v>
      </c>
      <c r="BX309">
        <v>0</v>
      </c>
      <c r="BY309">
        <v>2859</v>
      </c>
      <c r="BZ309">
        <v>0</v>
      </c>
      <c r="CA309">
        <v>2560</v>
      </c>
      <c r="CB309">
        <v>155.031174533117</v>
      </c>
      <c r="CC309">
        <v>33.859707862632298</v>
      </c>
      <c r="CD309">
        <v>16.901282405537899</v>
      </c>
      <c r="CE309">
        <v>4482.3602609532099</v>
      </c>
      <c r="CF309">
        <v>1097.54314576917</v>
      </c>
      <c r="CG309">
        <v>26.782110358180098</v>
      </c>
      <c r="CH309">
        <v>122</v>
      </c>
      <c r="CI309">
        <v>22.505212916438001</v>
      </c>
      <c r="CJ309">
        <v>20.930575970823501</v>
      </c>
      <c r="CK309" s="81">
        <v>763</v>
      </c>
      <c r="CL309">
        <v>341</v>
      </c>
      <c r="CM309">
        <v>2024.0974797347101</v>
      </c>
      <c r="CN309">
        <v>6.6792344675497106E-2</v>
      </c>
      <c r="CO309">
        <v>10973</v>
      </c>
      <c r="CP309">
        <v>1906</v>
      </c>
      <c r="CQ309">
        <v>279</v>
      </c>
      <c r="CR309">
        <v>301</v>
      </c>
      <c r="CS309">
        <v>289</v>
      </c>
      <c r="CT309">
        <v>160</v>
      </c>
      <c r="CU309">
        <v>111.949076364707</v>
      </c>
      <c r="CV309">
        <v>64.764763492578595</v>
      </c>
      <c r="CW309">
        <v>23.440600827267101</v>
      </c>
      <c r="CX309">
        <v>360.29324084829602</v>
      </c>
      <c r="CY309">
        <v>208.43679366765099</v>
      </c>
      <c r="CZ309">
        <v>75.4404619826757</v>
      </c>
      <c r="DA309">
        <v>224110</v>
      </c>
      <c r="DE309">
        <v>1621</v>
      </c>
      <c r="DF309" t="s">
        <v>176</v>
      </c>
      <c r="DG309">
        <v>13606</v>
      </c>
      <c r="DH309">
        <v>13990</v>
      </c>
      <c r="DI309">
        <v>14384</v>
      </c>
      <c r="DJ309">
        <v>14676</v>
      </c>
      <c r="DK309">
        <v>15000</v>
      </c>
      <c r="DO309">
        <v>788</v>
      </c>
      <c r="DP309" t="s">
        <v>125</v>
      </c>
      <c r="DQ309">
        <v>6358</v>
      </c>
      <c r="DR309">
        <v>1</v>
      </c>
      <c r="DS309">
        <v>366</v>
      </c>
      <c r="DV309">
        <v>1525</v>
      </c>
      <c r="DW309" t="s">
        <v>293</v>
      </c>
      <c r="DX309">
        <v>3796.01104017026</v>
      </c>
      <c r="DY309">
        <v>763</v>
      </c>
      <c r="DZ309">
        <v>685</v>
      </c>
      <c r="EA309">
        <v>405</v>
      </c>
      <c r="EB309">
        <v>2313</v>
      </c>
      <c r="EC309">
        <v>1502</v>
      </c>
      <c r="ED309">
        <v>594</v>
      </c>
      <c r="EE309" s="82">
        <v>0.141077800087023</v>
      </c>
      <c r="EF309" s="82">
        <v>0.301679790195787</v>
      </c>
    </row>
    <row r="310" spans="1:136" x14ac:dyDescent="0.35">
      <c r="A310" s="72">
        <v>1655</v>
      </c>
      <c r="B310" s="72">
        <v>10</v>
      </c>
      <c r="D310" s="72" t="s">
        <v>128</v>
      </c>
      <c r="E310" s="79">
        <v>2444400000</v>
      </c>
      <c r="F310" s="79">
        <v>512400000</v>
      </c>
      <c r="G310" s="79">
        <v>553350000</v>
      </c>
      <c r="H310" s="79">
        <v>29888</v>
      </c>
      <c r="I310" s="79">
        <v>5</v>
      </c>
      <c r="J310" s="79">
        <v>553.35</v>
      </c>
      <c r="K310" s="79">
        <v>6115</v>
      </c>
      <c r="L310" s="79">
        <v>6820</v>
      </c>
      <c r="M310" s="79">
        <v>2127</v>
      </c>
      <c r="N310" s="79">
        <v>3702</v>
      </c>
      <c r="O310" s="79">
        <v>2366.4</v>
      </c>
      <c r="P310" s="79">
        <v>458.33333333333297</v>
      </c>
      <c r="Q310" s="79">
        <v>1897.3333333333301</v>
      </c>
      <c r="R310" s="79">
        <v>1630</v>
      </c>
      <c r="S310" s="79">
        <v>0</v>
      </c>
      <c r="T310" s="79">
        <v>832</v>
      </c>
      <c r="U310" s="79">
        <v>13392</v>
      </c>
      <c r="V310" s="79">
        <v>25640</v>
      </c>
      <c r="W310" s="79">
        <v>4810</v>
      </c>
      <c r="X310" s="79">
        <v>0</v>
      </c>
      <c r="Y310" s="79">
        <v>956.8</v>
      </c>
      <c r="Z310" s="79">
        <v>0</v>
      </c>
      <c r="AA310" s="79">
        <v>0</v>
      </c>
      <c r="AB310" s="79">
        <v>0</v>
      </c>
      <c r="AC310" s="79">
        <v>7445</v>
      </c>
      <c r="AD310" s="79">
        <v>7445</v>
      </c>
      <c r="AE310" s="79">
        <v>77</v>
      </c>
      <c r="AF310" s="79">
        <v>0</v>
      </c>
      <c r="AG310" s="79">
        <v>286</v>
      </c>
      <c r="AH310" s="79">
        <v>188</v>
      </c>
      <c r="AI310" s="79">
        <v>98</v>
      </c>
      <c r="AJ310" s="79">
        <v>13356</v>
      </c>
      <c r="AK310" s="79">
        <v>13356</v>
      </c>
      <c r="AL310" s="79">
        <v>10</v>
      </c>
      <c r="AM310" s="79">
        <v>0</v>
      </c>
      <c r="AN310" s="79">
        <v>0</v>
      </c>
      <c r="AO310" s="79">
        <v>0</v>
      </c>
      <c r="AP310" s="79">
        <v>1296</v>
      </c>
      <c r="AQ310" s="79">
        <v>616</v>
      </c>
      <c r="AR310" s="80">
        <v>2.9650100000000001E-4</v>
      </c>
      <c r="AS310" s="80">
        <v>1.6897E-4</v>
      </c>
      <c r="AT310" s="79">
        <v>9950.2199999999993</v>
      </c>
      <c r="AU310" s="79">
        <v>0</v>
      </c>
      <c r="AV310" s="79">
        <v>967</v>
      </c>
      <c r="AW310" s="79">
        <v>4048.9061419835198</v>
      </c>
      <c r="AX310" s="79">
        <v>9</v>
      </c>
      <c r="AY310" s="79">
        <v>9</v>
      </c>
      <c r="AZ310" s="79">
        <v>3113</v>
      </c>
      <c r="BA310" s="79">
        <v>1</v>
      </c>
      <c r="BB310" s="79">
        <v>0</v>
      </c>
      <c r="BC310" s="79">
        <v>0</v>
      </c>
      <c r="BD310" s="79">
        <v>0</v>
      </c>
      <c r="BE310" s="79">
        <v>0</v>
      </c>
      <c r="BF310" s="79">
        <v>0</v>
      </c>
      <c r="BG310" s="79">
        <v>0</v>
      </c>
      <c r="BH310" s="79">
        <v>0</v>
      </c>
      <c r="BI310" s="79">
        <v>0</v>
      </c>
      <c r="BJ310" s="79">
        <v>0</v>
      </c>
      <c r="BK310" s="79">
        <v>10</v>
      </c>
      <c r="BL310" s="79">
        <v>3761</v>
      </c>
      <c r="BM310" s="79">
        <v>188</v>
      </c>
      <c r="BN310" s="79">
        <v>98</v>
      </c>
      <c r="BO310">
        <v>6753</v>
      </c>
      <c r="BP310">
        <v>2279</v>
      </c>
      <c r="BQ310">
        <v>5949</v>
      </c>
      <c r="BR310">
        <v>2138</v>
      </c>
      <c r="BS310">
        <v>5819</v>
      </c>
      <c r="BT310">
        <v>1975</v>
      </c>
      <c r="BU310">
        <v>5795</v>
      </c>
      <c r="BV310">
        <v>1842</v>
      </c>
      <c r="BW310">
        <v>5684</v>
      </c>
      <c r="BX310">
        <v>1695</v>
      </c>
      <c r="BY310">
        <v>5564</v>
      </c>
      <c r="BZ310">
        <v>1564</v>
      </c>
      <c r="CA310">
        <v>5411</v>
      </c>
      <c r="CB310">
        <v>599.08068995010694</v>
      </c>
      <c r="CC310">
        <v>125.99598096576599</v>
      </c>
      <c r="CD310">
        <v>136.76443057331201</v>
      </c>
      <c r="CE310">
        <v>8790.4518991413606</v>
      </c>
      <c r="CF310">
        <v>2049.8265173283498</v>
      </c>
      <c r="CG310">
        <v>152.46401557632399</v>
      </c>
      <c r="CH310">
        <v>300</v>
      </c>
      <c r="CI310">
        <v>150.259228669267</v>
      </c>
      <c r="CJ310">
        <v>138.35465472239201</v>
      </c>
      <c r="CK310" s="81">
        <v>1439</v>
      </c>
      <c r="CL310">
        <v>288</v>
      </c>
      <c r="CM310">
        <v>6667.9256591378598</v>
      </c>
      <c r="CN310">
        <v>0.72594819423047097</v>
      </c>
      <c r="CO310">
        <v>23068</v>
      </c>
      <c r="CP310">
        <v>4012</v>
      </c>
      <c r="CQ310">
        <v>681</v>
      </c>
      <c r="CR310">
        <v>666</v>
      </c>
      <c r="CS310">
        <v>672</v>
      </c>
      <c r="CT310">
        <v>300</v>
      </c>
      <c r="CU310">
        <v>429.79456003015503</v>
      </c>
      <c r="CV310">
        <v>253.164231773739</v>
      </c>
      <c r="CW310">
        <v>75.8252562625335</v>
      </c>
      <c r="CX310">
        <v>1061.49844732476</v>
      </c>
      <c r="CY310">
        <v>625.26021485040599</v>
      </c>
      <c r="CZ310">
        <v>187.27177883553099</v>
      </c>
      <c r="DA310">
        <v>8354</v>
      </c>
      <c r="DE310">
        <v>1640</v>
      </c>
      <c r="DF310" t="s">
        <v>183</v>
      </c>
      <c r="DG310">
        <v>7802</v>
      </c>
      <c r="DH310">
        <v>7667</v>
      </c>
      <c r="DI310">
        <v>7474</v>
      </c>
      <c r="DJ310">
        <v>7174</v>
      </c>
      <c r="DK310">
        <v>7013</v>
      </c>
      <c r="DO310">
        <v>1655</v>
      </c>
      <c r="DP310" t="s">
        <v>128</v>
      </c>
      <c r="DQ310">
        <v>13356</v>
      </c>
      <c r="DR310">
        <v>1</v>
      </c>
      <c r="DS310">
        <v>745</v>
      </c>
      <c r="DV310">
        <v>716</v>
      </c>
      <c r="DW310" t="s">
        <v>294</v>
      </c>
      <c r="DX310">
        <v>3151.3746114996102</v>
      </c>
      <c r="DY310">
        <v>540</v>
      </c>
      <c r="DZ310">
        <v>487</v>
      </c>
      <c r="EA310">
        <v>292</v>
      </c>
      <c r="EB310">
        <v>1708</v>
      </c>
      <c r="EC310">
        <v>1020</v>
      </c>
      <c r="ED310">
        <v>402</v>
      </c>
      <c r="EE310" s="82">
        <v>0.18177526926856299</v>
      </c>
      <c r="EF310" s="82">
        <v>0.50750240615976905</v>
      </c>
    </row>
    <row r="311" spans="1:136" x14ac:dyDescent="0.35">
      <c r="A311" s="72">
        <v>1658</v>
      </c>
      <c r="B311" s="72">
        <v>10</v>
      </c>
      <c r="D311" s="72" t="s">
        <v>140</v>
      </c>
      <c r="E311" s="79">
        <v>1706400000</v>
      </c>
      <c r="F311" s="79">
        <v>230300000</v>
      </c>
      <c r="G311" s="79">
        <v>286300000</v>
      </c>
      <c r="H311" s="79">
        <v>15886</v>
      </c>
      <c r="I311" s="79">
        <v>2</v>
      </c>
      <c r="J311" s="79">
        <v>286.3</v>
      </c>
      <c r="K311" s="79">
        <v>3266</v>
      </c>
      <c r="L311" s="79">
        <v>3702</v>
      </c>
      <c r="M311" s="79">
        <v>1249</v>
      </c>
      <c r="N311" s="79">
        <v>1555</v>
      </c>
      <c r="O311" s="79">
        <v>841.8</v>
      </c>
      <c r="P311" s="79">
        <v>114</v>
      </c>
      <c r="Q311" s="79">
        <v>822</v>
      </c>
      <c r="R311" s="79">
        <v>220</v>
      </c>
      <c r="S311" s="79">
        <v>0</v>
      </c>
      <c r="T311" s="79">
        <v>365</v>
      </c>
      <c r="U311" s="79">
        <v>7004</v>
      </c>
      <c r="V311" s="79">
        <v>11350</v>
      </c>
      <c r="W311" s="79">
        <v>2150</v>
      </c>
      <c r="X311" s="79">
        <v>2186.7199999999998</v>
      </c>
      <c r="Y311" s="79">
        <v>0</v>
      </c>
      <c r="Z311" s="79">
        <v>0</v>
      </c>
      <c r="AA311" s="79">
        <v>0</v>
      </c>
      <c r="AB311" s="79">
        <v>0</v>
      </c>
      <c r="AC311" s="79">
        <v>10398</v>
      </c>
      <c r="AD311" s="79">
        <v>10398</v>
      </c>
      <c r="AE311" s="79">
        <v>107</v>
      </c>
      <c r="AF311" s="79">
        <v>0</v>
      </c>
      <c r="AG311" s="79">
        <v>170</v>
      </c>
      <c r="AH311" s="79">
        <v>106</v>
      </c>
      <c r="AI311" s="79">
        <v>63</v>
      </c>
      <c r="AJ311" s="79">
        <v>7132</v>
      </c>
      <c r="AK311" s="79">
        <v>7132</v>
      </c>
      <c r="AL311" s="79">
        <v>0</v>
      </c>
      <c r="AM311" s="79">
        <v>0</v>
      </c>
      <c r="AN311" s="79">
        <v>0</v>
      </c>
      <c r="AO311" s="79">
        <v>0</v>
      </c>
      <c r="AP311" s="79">
        <v>0</v>
      </c>
      <c r="AQ311" s="79">
        <v>0</v>
      </c>
      <c r="AR311" s="80">
        <v>9.9848999999999999E-5</v>
      </c>
      <c r="AS311" s="80">
        <v>5.0760999999999997E-5</v>
      </c>
      <c r="AT311" s="79">
        <v>4150.8239999999996</v>
      </c>
      <c r="AU311" s="79">
        <v>0</v>
      </c>
      <c r="AV311" s="79">
        <v>1353</v>
      </c>
      <c r="AW311" s="79">
        <v>2046.0502617801001</v>
      </c>
      <c r="AX311" s="79">
        <v>7</v>
      </c>
      <c r="AY311" s="79">
        <v>7</v>
      </c>
      <c r="AZ311" s="79">
        <v>2014</v>
      </c>
      <c r="BA311" s="79">
        <v>1</v>
      </c>
      <c r="BB311" s="79">
        <v>0</v>
      </c>
      <c r="BC311" s="79">
        <v>0</v>
      </c>
      <c r="BD311" s="79">
        <v>0</v>
      </c>
      <c r="BE311" s="79">
        <v>0</v>
      </c>
      <c r="BF311" s="79">
        <v>0</v>
      </c>
      <c r="BG311" s="79">
        <v>0</v>
      </c>
      <c r="BH311" s="79">
        <v>0</v>
      </c>
      <c r="BI311" s="79">
        <v>0</v>
      </c>
      <c r="BJ311" s="79">
        <v>0</v>
      </c>
      <c r="BK311" s="79">
        <v>7</v>
      </c>
      <c r="BL311" s="79">
        <v>1890</v>
      </c>
      <c r="BM311" s="79">
        <v>106</v>
      </c>
      <c r="BN311" s="79">
        <v>63</v>
      </c>
      <c r="BO311">
        <v>3633</v>
      </c>
      <c r="BP311">
        <v>0</v>
      </c>
      <c r="BQ311">
        <v>3287</v>
      </c>
      <c r="BR311">
        <v>0</v>
      </c>
      <c r="BS311">
        <v>3233</v>
      </c>
      <c r="BT311">
        <v>0</v>
      </c>
      <c r="BU311">
        <v>3193</v>
      </c>
      <c r="BV311">
        <v>0</v>
      </c>
      <c r="BW311">
        <v>3135</v>
      </c>
      <c r="BX311">
        <v>0</v>
      </c>
      <c r="BY311">
        <v>3081</v>
      </c>
      <c r="BZ311">
        <v>0</v>
      </c>
      <c r="CA311">
        <v>2884</v>
      </c>
      <c r="CB311">
        <v>180.31532765788</v>
      </c>
      <c r="CC311">
        <v>45.408721795311301</v>
      </c>
      <c r="CD311">
        <v>19.7096035423485</v>
      </c>
      <c r="CE311">
        <v>5294.7928415533097</v>
      </c>
      <c r="CF311">
        <v>1270.9180627839801</v>
      </c>
      <c r="CG311">
        <v>58.005767441860499</v>
      </c>
      <c r="CH311">
        <v>133</v>
      </c>
      <c r="CI311">
        <v>31.047477931639701</v>
      </c>
      <c r="CJ311">
        <v>29.089953044195301</v>
      </c>
      <c r="CK311" s="81">
        <v>708</v>
      </c>
      <c r="CL311">
        <v>251</v>
      </c>
      <c r="CM311">
        <v>2306.2614696485598</v>
      </c>
      <c r="CN311">
        <v>7.3951904009776998E-2</v>
      </c>
      <c r="CO311">
        <v>12184</v>
      </c>
      <c r="CP311">
        <v>2041</v>
      </c>
      <c r="CQ311">
        <v>412</v>
      </c>
      <c r="CR311">
        <v>353</v>
      </c>
      <c r="CS311">
        <v>373</v>
      </c>
      <c r="CT311">
        <v>191</v>
      </c>
      <c r="CU311">
        <v>146.25398990893601</v>
      </c>
      <c r="CV311">
        <v>98.446995628775596</v>
      </c>
      <c r="CW311">
        <v>34.468252666189997</v>
      </c>
      <c r="CX311">
        <v>395.46409416325002</v>
      </c>
      <c r="CY311">
        <v>266.19616992102499</v>
      </c>
      <c r="CZ311">
        <v>93.200577478344499</v>
      </c>
      <c r="DA311">
        <v>191625</v>
      </c>
      <c r="DE311">
        <v>1641</v>
      </c>
      <c r="DF311" t="s">
        <v>193</v>
      </c>
      <c r="DG311">
        <v>4564</v>
      </c>
      <c r="DH311">
        <v>4432</v>
      </c>
      <c r="DI311">
        <v>4317</v>
      </c>
      <c r="DJ311">
        <v>4203</v>
      </c>
      <c r="DK311">
        <v>4067</v>
      </c>
      <c r="DO311">
        <v>1658</v>
      </c>
      <c r="DP311" t="s">
        <v>140</v>
      </c>
      <c r="DQ311">
        <v>7132</v>
      </c>
      <c r="DR311">
        <v>1</v>
      </c>
      <c r="DS311">
        <v>582</v>
      </c>
      <c r="DV311">
        <v>281</v>
      </c>
      <c r="DW311" t="s">
        <v>295</v>
      </c>
      <c r="DX311">
        <v>5719.0731008927096</v>
      </c>
      <c r="DY311">
        <v>929</v>
      </c>
      <c r="DZ311">
        <v>736</v>
      </c>
      <c r="EA311">
        <v>329</v>
      </c>
      <c r="EB311">
        <v>2778</v>
      </c>
      <c r="EC311">
        <v>1482</v>
      </c>
      <c r="ED311">
        <v>452</v>
      </c>
      <c r="EE311" s="82">
        <v>0.216512983612414</v>
      </c>
      <c r="EF311" s="82">
        <v>0.49444682089853698</v>
      </c>
    </row>
    <row r="312" spans="1:136" x14ac:dyDescent="0.35">
      <c r="A312" s="72">
        <v>794</v>
      </c>
      <c r="B312" s="72">
        <v>10</v>
      </c>
      <c r="D312" s="72" t="s">
        <v>144</v>
      </c>
      <c r="E312" s="79">
        <v>6563600000</v>
      </c>
      <c r="F312" s="79">
        <v>1359400000</v>
      </c>
      <c r="G312" s="79">
        <v>1372700000</v>
      </c>
      <c r="H312" s="79">
        <v>90903</v>
      </c>
      <c r="I312" s="79">
        <v>1</v>
      </c>
      <c r="J312" s="79">
        <v>1372.7</v>
      </c>
      <c r="K312" s="79">
        <v>21519</v>
      </c>
      <c r="L312" s="79">
        <v>15263</v>
      </c>
      <c r="M312" s="79">
        <v>4651</v>
      </c>
      <c r="N312" s="79">
        <v>13444</v>
      </c>
      <c r="O312" s="79">
        <v>9449.6</v>
      </c>
      <c r="P312" s="79">
        <v>2643</v>
      </c>
      <c r="Q312" s="79">
        <v>8485</v>
      </c>
      <c r="R312" s="79">
        <v>8515</v>
      </c>
      <c r="S312" s="79">
        <v>0</v>
      </c>
      <c r="T312" s="79">
        <v>3273</v>
      </c>
      <c r="U312" s="79">
        <v>40538</v>
      </c>
      <c r="V312" s="79">
        <v>104860</v>
      </c>
      <c r="W312" s="79">
        <v>144280</v>
      </c>
      <c r="X312" s="79">
        <v>2904.54</v>
      </c>
      <c r="Y312" s="79">
        <v>4352.8</v>
      </c>
      <c r="Z312" s="79">
        <v>0</v>
      </c>
      <c r="AA312" s="79">
        <v>0</v>
      </c>
      <c r="AB312" s="79">
        <v>0</v>
      </c>
      <c r="AC312" s="79">
        <v>5315</v>
      </c>
      <c r="AD312" s="79">
        <v>5315</v>
      </c>
      <c r="AE312" s="79">
        <v>161</v>
      </c>
      <c r="AF312" s="79">
        <v>0</v>
      </c>
      <c r="AG312" s="79">
        <v>579</v>
      </c>
      <c r="AH312" s="79">
        <v>498</v>
      </c>
      <c r="AI312" s="79">
        <v>81</v>
      </c>
      <c r="AJ312" s="79">
        <v>39944</v>
      </c>
      <c r="AK312" s="79">
        <v>39944</v>
      </c>
      <c r="AL312" s="79">
        <v>10</v>
      </c>
      <c r="AM312" s="79">
        <v>0</v>
      </c>
      <c r="AN312" s="79">
        <v>0</v>
      </c>
      <c r="AO312" s="79">
        <v>0</v>
      </c>
      <c r="AP312" s="79">
        <v>4770</v>
      </c>
      <c r="AQ312" s="79">
        <v>4770</v>
      </c>
      <c r="AR312" s="80">
        <v>1.2117849999999999E-3</v>
      </c>
      <c r="AS312" s="80">
        <v>1.999514E-3</v>
      </c>
      <c r="AT312" s="79">
        <v>69183.008000000002</v>
      </c>
      <c r="AU312" s="79">
        <v>0</v>
      </c>
      <c r="AV312" s="79">
        <v>1408</v>
      </c>
      <c r="AW312" s="79">
        <v>23373.159970781599</v>
      </c>
      <c r="AX312" s="79">
        <v>1</v>
      </c>
      <c r="AY312" s="79">
        <v>1</v>
      </c>
      <c r="AZ312" s="79">
        <v>7895</v>
      </c>
      <c r="BA312" s="79">
        <v>1</v>
      </c>
      <c r="BB312" s="79">
        <v>0</v>
      </c>
      <c r="BC312" s="79">
        <v>0</v>
      </c>
      <c r="BD312" s="79">
        <v>0</v>
      </c>
      <c r="BE312" s="79">
        <v>0</v>
      </c>
      <c r="BF312" s="79">
        <v>0</v>
      </c>
      <c r="BG312" s="79">
        <v>0</v>
      </c>
      <c r="BH312" s="79">
        <v>0</v>
      </c>
      <c r="BI312" s="79">
        <v>0</v>
      </c>
      <c r="BJ312" s="79">
        <v>0</v>
      </c>
      <c r="BK312" s="79">
        <v>125</v>
      </c>
      <c r="BL312" s="79">
        <v>13562</v>
      </c>
      <c r="BM312" s="79">
        <v>498</v>
      </c>
      <c r="BN312" s="79">
        <v>81</v>
      </c>
      <c r="BO312">
        <v>21813</v>
      </c>
      <c r="BP312">
        <v>5649</v>
      </c>
      <c r="BQ312">
        <v>20012</v>
      </c>
      <c r="BR312">
        <v>5699</v>
      </c>
      <c r="BS312">
        <v>20120</v>
      </c>
      <c r="BT312">
        <v>5617</v>
      </c>
      <c r="BU312">
        <v>20169</v>
      </c>
      <c r="BV312">
        <v>5646</v>
      </c>
      <c r="BW312">
        <v>20150</v>
      </c>
      <c r="BX312">
        <v>5590</v>
      </c>
      <c r="BY312">
        <v>20090</v>
      </c>
      <c r="BZ312">
        <v>5538</v>
      </c>
      <c r="CA312">
        <v>19281</v>
      </c>
      <c r="CB312">
        <v>2883.7619524032798</v>
      </c>
      <c r="CC312">
        <v>519.46594830809897</v>
      </c>
      <c r="CD312">
        <v>478.47199235159201</v>
      </c>
      <c r="CE312">
        <v>24188.628513947901</v>
      </c>
      <c r="CF312">
        <v>6368.9486063395898</v>
      </c>
      <c r="CG312">
        <v>757.42878723404306</v>
      </c>
      <c r="CH312">
        <v>1214</v>
      </c>
      <c r="CI312">
        <v>829.59653212756496</v>
      </c>
      <c r="CJ312">
        <v>726.53931505502396</v>
      </c>
      <c r="CK312" s="81">
        <v>5842</v>
      </c>
      <c r="CL312">
        <v>1175</v>
      </c>
      <c r="CM312">
        <v>13126.8180265625</v>
      </c>
      <c r="CN312">
        <v>6.8330413074026302</v>
      </c>
      <c r="CO312">
        <v>75640</v>
      </c>
      <c r="CP312">
        <v>9178</v>
      </c>
      <c r="CQ312">
        <v>1434</v>
      </c>
      <c r="CR312">
        <v>2123</v>
      </c>
      <c r="CS312">
        <v>1694</v>
      </c>
      <c r="CT312">
        <v>813</v>
      </c>
      <c r="CU312">
        <v>1387.7596108957</v>
      </c>
      <c r="CV312">
        <v>791.34945421856798</v>
      </c>
      <c r="CW312">
        <v>261.65396004954698</v>
      </c>
      <c r="CX312">
        <v>3055.5320147171701</v>
      </c>
      <c r="CY312">
        <v>1742.37207453613</v>
      </c>
      <c r="CZ312">
        <v>576.10269489894097</v>
      </c>
      <c r="DA312">
        <v>17520.900000000001</v>
      </c>
      <c r="DE312">
        <v>1651</v>
      </c>
      <c r="DF312" t="s">
        <v>796</v>
      </c>
      <c r="DG312">
        <v>3716</v>
      </c>
      <c r="DH312">
        <v>3650</v>
      </c>
      <c r="DI312">
        <v>3557</v>
      </c>
      <c r="DJ312">
        <v>3467</v>
      </c>
      <c r="DK312">
        <v>3370</v>
      </c>
      <c r="DO312">
        <v>794</v>
      </c>
      <c r="DP312" t="s">
        <v>144</v>
      </c>
      <c r="DQ312">
        <v>39944</v>
      </c>
      <c r="DR312">
        <v>1</v>
      </c>
      <c r="DS312">
        <v>1732</v>
      </c>
      <c r="DV312">
        <v>855</v>
      </c>
      <c r="DW312" t="s">
        <v>296</v>
      </c>
      <c r="DX312">
        <v>34259.531309767299</v>
      </c>
      <c r="DY312">
        <v>5344</v>
      </c>
      <c r="DZ312">
        <v>4212</v>
      </c>
      <c r="EA312">
        <v>1868</v>
      </c>
      <c r="EB312">
        <v>13411</v>
      </c>
      <c r="EC312">
        <v>7821</v>
      </c>
      <c r="ED312">
        <v>2484</v>
      </c>
      <c r="EE312" s="82">
        <v>0.238205406915905</v>
      </c>
      <c r="EF312" s="82">
        <v>0.53461785247155802</v>
      </c>
    </row>
    <row r="313" spans="1:136" x14ac:dyDescent="0.35">
      <c r="A313" s="72">
        <v>797</v>
      </c>
      <c r="B313" s="72">
        <v>10</v>
      </c>
      <c r="D313" s="72" t="s">
        <v>149</v>
      </c>
      <c r="E313" s="79">
        <v>3865600000</v>
      </c>
      <c r="F313" s="79">
        <v>503300000</v>
      </c>
      <c r="G313" s="79">
        <v>534800000</v>
      </c>
      <c r="H313" s="79">
        <v>43723</v>
      </c>
      <c r="I313" s="79">
        <v>2</v>
      </c>
      <c r="J313" s="79">
        <v>534.79999999999995</v>
      </c>
      <c r="K313" s="79">
        <v>9691</v>
      </c>
      <c r="L313" s="79">
        <v>8732</v>
      </c>
      <c r="M313" s="79">
        <v>2778</v>
      </c>
      <c r="N313" s="79">
        <v>4911</v>
      </c>
      <c r="O313" s="79">
        <v>3052.2</v>
      </c>
      <c r="P313" s="79">
        <v>576</v>
      </c>
      <c r="Q313" s="79">
        <v>2554</v>
      </c>
      <c r="R313" s="79">
        <v>1945</v>
      </c>
      <c r="S313" s="79">
        <v>0</v>
      </c>
      <c r="T313" s="79">
        <v>1162</v>
      </c>
      <c r="U313" s="79">
        <v>18801</v>
      </c>
      <c r="V313" s="79">
        <v>44700</v>
      </c>
      <c r="W313" s="79">
        <v>32180</v>
      </c>
      <c r="X313" s="79">
        <v>182.16</v>
      </c>
      <c r="Y313" s="79">
        <v>916</v>
      </c>
      <c r="Z313" s="79">
        <v>0</v>
      </c>
      <c r="AA313" s="79">
        <v>0</v>
      </c>
      <c r="AB313" s="79">
        <v>0</v>
      </c>
      <c r="AC313" s="79">
        <v>7884</v>
      </c>
      <c r="AD313" s="79">
        <v>7884</v>
      </c>
      <c r="AE313" s="79">
        <v>238</v>
      </c>
      <c r="AF313" s="79">
        <v>0</v>
      </c>
      <c r="AG313" s="79">
        <v>331</v>
      </c>
      <c r="AH313" s="79">
        <v>276</v>
      </c>
      <c r="AI313" s="79">
        <v>55</v>
      </c>
      <c r="AJ313" s="79">
        <v>18588</v>
      </c>
      <c r="AK313" s="79">
        <v>18588</v>
      </c>
      <c r="AL313" s="79">
        <v>16</v>
      </c>
      <c r="AM313" s="79">
        <v>0</v>
      </c>
      <c r="AN313" s="79">
        <v>0</v>
      </c>
      <c r="AO313" s="79">
        <v>6900</v>
      </c>
      <c r="AP313" s="79">
        <v>1162</v>
      </c>
      <c r="AQ313" s="79">
        <v>0</v>
      </c>
      <c r="AR313" s="80">
        <v>3.7964100000000001E-4</v>
      </c>
      <c r="AS313" s="80">
        <v>2.0282000000000001E-4</v>
      </c>
      <c r="AT313" s="79">
        <v>19833.396000000001</v>
      </c>
      <c r="AU313" s="79">
        <v>0</v>
      </c>
      <c r="AV313" s="79">
        <v>1551</v>
      </c>
      <c r="AW313" s="79">
        <v>8349.4672494459501</v>
      </c>
      <c r="AX313" s="79">
        <v>3</v>
      </c>
      <c r="AY313" s="79">
        <v>3</v>
      </c>
      <c r="AZ313" s="79">
        <v>4853</v>
      </c>
      <c r="BA313" s="79">
        <v>1</v>
      </c>
      <c r="BB313" s="79">
        <v>0</v>
      </c>
      <c r="BC313" s="79">
        <v>0</v>
      </c>
      <c r="BD313" s="79">
        <v>0</v>
      </c>
      <c r="BE313" s="79">
        <v>0</v>
      </c>
      <c r="BF313" s="79">
        <v>0</v>
      </c>
      <c r="BG313" s="79">
        <v>0</v>
      </c>
      <c r="BH313" s="79">
        <v>0</v>
      </c>
      <c r="BI313" s="79">
        <v>0</v>
      </c>
      <c r="BJ313" s="79">
        <v>0</v>
      </c>
      <c r="BK313" s="79">
        <v>26</v>
      </c>
      <c r="BL313" s="79">
        <v>5195</v>
      </c>
      <c r="BM313" s="79">
        <v>276</v>
      </c>
      <c r="BN313" s="79">
        <v>55</v>
      </c>
      <c r="BO313">
        <v>10914</v>
      </c>
      <c r="BP313">
        <v>1549</v>
      </c>
      <c r="BQ313">
        <v>9661</v>
      </c>
      <c r="BR313">
        <v>1570</v>
      </c>
      <c r="BS313">
        <v>9526</v>
      </c>
      <c r="BT313">
        <v>1559</v>
      </c>
      <c r="BU313">
        <v>9384</v>
      </c>
      <c r="BV313">
        <v>1536</v>
      </c>
      <c r="BW313">
        <v>9256</v>
      </c>
      <c r="BX313">
        <v>1457</v>
      </c>
      <c r="BY313">
        <v>9144</v>
      </c>
      <c r="BZ313">
        <v>1363</v>
      </c>
      <c r="CA313">
        <v>8584</v>
      </c>
      <c r="CB313">
        <v>767.38173063151498</v>
      </c>
      <c r="CC313">
        <v>192.385192581594</v>
      </c>
      <c r="CD313">
        <v>74.854354691684506</v>
      </c>
      <c r="CE313">
        <v>12993.237470435301</v>
      </c>
      <c r="CF313">
        <v>3413.2866948625501</v>
      </c>
      <c r="CG313">
        <v>259.189924914676</v>
      </c>
      <c r="CH313">
        <v>479</v>
      </c>
      <c r="CI313">
        <v>177.02576642609699</v>
      </c>
      <c r="CJ313">
        <v>161.41376384279101</v>
      </c>
      <c r="CK313" s="81">
        <v>1978</v>
      </c>
      <c r="CL313">
        <v>457</v>
      </c>
      <c r="CM313">
        <v>6832.2820344779802</v>
      </c>
      <c r="CN313">
        <v>0.65313929766658396</v>
      </c>
      <c r="CO313">
        <v>34991</v>
      </c>
      <c r="CP313">
        <v>5111</v>
      </c>
      <c r="CQ313">
        <v>843</v>
      </c>
      <c r="CR313">
        <v>912</v>
      </c>
      <c r="CS313">
        <v>895</v>
      </c>
      <c r="CT313">
        <v>441</v>
      </c>
      <c r="CU313">
        <v>510.868964633578</v>
      </c>
      <c r="CV313">
        <v>316.93253029341201</v>
      </c>
      <c r="CW313">
        <v>102.140950177462</v>
      </c>
      <c r="CX313">
        <v>1291.13097541875</v>
      </c>
      <c r="CY313">
        <v>800.99092978404894</v>
      </c>
      <c r="CZ313">
        <v>258.14319084232102</v>
      </c>
      <c r="DA313">
        <v>1144</v>
      </c>
      <c r="DE313">
        <v>1652</v>
      </c>
      <c r="DF313" t="s">
        <v>112</v>
      </c>
      <c r="DG313">
        <v>6356</v>
      </c>
      <c r="DH313">
        <v>6351</v>
      </c>
      <c r="DI313">
        <v>6311</v>
      </c>
      <c r="DJ313">
        <v>6245</v>
      </c>
      <c r="DK313">
        <v>6145</v>
      </c>
      <c r="DO313">
        <v>797</v>
      </c>
      <c r="DP313" t="s">
        <v>149</v>
      </c>
      <c r="DQ313">
        <v>18588</v>
      </c>
      <c r="DR313">
        <v>1</v>
      </c>
      <c r="DS313">
        <v>1067</v>
      </c>
      <c r="DV313">
        <v>183</v>
      </c>
      <c r="DW313" t="s">
        <v>297</v>
      </c>
      <c r="DX313">
        <v>2053.0815656565701</v>
      </c>
      <c r="DY313">
        <v>369</v>
      </c>
      <c r="DZ313">
        <v>420</v>
      </c>
      <c r="EA313">
        <v>240</v>
      </c>
      <c r="EB313">
        <v>1346</v>
      </c>
      <c r="EC313">
        <v>853</v>
      </c>
      <c r="ED313">
        <v>328</v>
      </c>
      <c r="EE313" s="82">
        <v>0.13814888825618399</v>
      </c>
      <c r="EF313" s="82">
        <v>0.44529638226801799</v>
      </c>
    </row>
    <row r="314" spans="1:136" x14ac:dyDescent="0.35">
      <c r="A314" s="72">
        <v>798</v>
      </c>
      <c r="B314" s="72">
        <v>10</v>
      </c>
      <c r="D314" s="72" t="s">
        <v>151</v>
      </c>
      <c r="E314" s="79">
        <v>1474400000</v>
      </c>
      <c r="F314" s="79">
        <v>247450000</v>
      </c>
      <c r="G314" s="79">
        <v>295750000</v>
      </c>
      <c r="H314" s="79">
        <v>15366</v>
      </c>
      <c r="I314" s="79">
        <v>2</v>
      </c>
      <c r="J314" s="79">
        <v>295.75</v>
      </c>
      <c r="K314" s="79">
        <v>3353</v>
      </c>
      <c r="L314" s="79">
        <v>3325</v>
      </c>
      <c r="M314" s="79">
        <v>1098</v>
      </c>
      <c r="N314" s="79">
        <v>1553</v>
      </c>
      <c r="O314" s="79">
        <v>863.5</v>
      </c>
      <c r="P314" s="79">
        <v>118.666666666667</v>
      </c>
      <c r="Q314" s="79">
        <v>744.66666666666697</v>
      </c>
      <c r="R314" s="79">
        <v>180</v>
      </c>
      <c r="S314" s="79">
        <v>0</v>
      </c>
      <c r="T314" s="79">
        <v>337</v>
      </c>
      <c r="U314" s="79">
        <v>6531</v>
      </c>
      <c r="V314" s="79">
        <v>11930</v>
      </c>
      <c r="W314" s="79">
        <v>1770</v>
      </c>
      <c r="X314" s="79">
        <v>0</v>
      </c>
      <c r="Y314" s="79">
        <v>0</v>
      </c>
      <c r="Z314" s="79">
        <v>0</v>
      </c>
      <c r="AA314" s="79">
        <v>0</v>
      </c>
      <c r="AB314" s="79">
        <v>0</v>
      </c>
      <c r="AC314" s="79">
        <v>9483</v>
      </c>
      <c r="AD314" s="79">
        <v>9483</v>
      </c>
      <c r="AE314" s="79">
        <v>168</v>
      </c>
      <c r="AF314" s="79">
        <v>0</v>
      </c>
      <c r="AG314" s="79">
        <v>192</v>
      </c>
      <c r="AH314" s="79">
        <v>100</v>
      </c>
      <c r="AI314" s="79">
        <v>92</v>
      </c>
      <c r="AJ314" s="79">
        <v>6895</v>
      </c>
      <c r="AK314" s="79">
        <v>6895</v>
      </c>
      <c r="AL314" s="79">
        <v>0</v>
      </c>
      <c r="AM314" s="79">
        <v>0</v>
      </c>
      <c r="AN314" s="79">
        <v>0</v>
      </c>
      <c r="AO314" s="79">
        <v>0</v>
      </c>
      <c r="AP314" s="79">
        <v>0</v>
      </c>
      <c r="AQ314" s="79">
        <v>0</v>
      </c>
      <c r="AR314" s="80">
        <v>1.2509899999999999E-4</v>
      </c>
      <c r="AS314" s="80">
        <v>4.1677000000000001E-5</v>
      </c>
      <c r="AT314" s="79">
        <v>4054.26</v>
      </c>
      <c r="AU314" s="79">
        <v>0</v>
      </c>
      <c r="AV314" s="79">
        <v>1173</v>
      </c>
      <c r="AW314" s="79">
        <v>1867.6114392290999</v>
      </c>
      <c r="AX314" s="79">
        <v>8</v>
      </c>
      <c r="AY314" s="79">
        <v>8</v>
      </c>
      <c r="AZ314" s="79">
        <v>1958</v>
      </c>
      <c r="BA314" s="79">
        <v>1</v>
      </c>
      <c r="BB314" s="79">
        <v>0</v>
      </c>
      <c r="BC314" s="79">
        <v>0</v>
      </c>
      <c r="BD314" s="79">
        <v>0</v>
      </c>
      <c r="BE314" s="79">
        <v>0</v>
      </c>
      <c r="BF314" s="79">
        <v>0</v>
      </c>
      <c r="BG314" s="79">
        <v>0</v>
      </c>
      <c r="BH314" s="79">
        <v>0</v>
      </c>
      <c r="BI314" s="79">
        <v>0</v>
      </c>
      <c r="BJ314" s="79">
        <v>0</v>
      </c>
      <c r="BK314" s="79">
        <v>2</v>
      </c>
      <c r="BL314" s="79">
        <v>1691</v>
      </c>
      <c r="BM314" s="79">
        <v>100</v>
      </c>
      <c r="BN314" s="79">
        <v>92</v>
      </c>
      <c r="BO314">
        <v>3966</v>
      </c>
      <c r="BP314">
        <v>0</v>
      </c>
      <c r="BQ314">
        <v>3526</v>
      </c>
      <c r="BR314">
        <v>0</v>
      </c>
      <c r="BS314">
        <v>3427</v>
      </c>
      <c r="BT314">
        <v>0</v>
      </c>
      <c r="BU314">
        <v>3379</v>
      </c>
      <c r="BV314">
        <v>0</v>
      </c>
      <c r="BW314">
        <v>3295</v>
      </c>
      <c r="BX314">
        <v>0</v>
      </c>
      <c r="BY314">
        <v>3209</v>
      </c>
      <c r="BZ314">
        <v>0</v>
      </c>
      <c r="CA314">
        <v>2960</v>
      </c>
      <c r="CB314">
        <v>178.89794203354001</v>
      </c>
      <c r="CC314">
        <v>19.566771982576402</v>
      </c>
      <c r="CD314">
        <v>29.300625426298101</v>
      </c>
      <c r="CE314">
        <v>4825.8387606342203</v>
      </c>
      <c r="CF314">
        <v>1219.0026348824099</v>
      </c>
      <c r="CG314">
        <v>56.834974874371902</v>
      </c>
      <c r="CH314">
        <v>129</v>
      </c>
      <c r="CI314">
        <v>45.760375738538599</v>
      </c>
      <c r="CJ314">
        <v>32.282752768558197</v>
      </c>
      <c r="CK314" s="81">
        <v>626</v>
      </c>
      <c r="CL314">
        <v>158</v>
      </c>
      <c r="CM314">
        <v>2421.1481878132399</v>
      </c>
      <c r="CN314">
        <v>7.2932346509642199E-2</v>
      </c>
      <c r="CO314">
        <v>12041</v>
      </c>
      <c r="CP314">
        <v>1923</v>
      </c>
      <c r="CQ314">
        <v>304</v>
      </c>
      <c r="CR314">
        <v>336</v>
      </c>
      <c r="CS314">
        <v>341</v>
      </c>
      <c r="CT314">
        <v>133</v>
      </c>
      <c r="CU314">
        <v>145.372893327604</v>
      </c>
      <c r="CV314">
        <v>93.534497257295698</v>
      </c>
      <c r="CW314">
        <v>26.1696250693103</v>
      </c>
      <c r="CX314">
        <v>432.94989255402902</v>
      </c>
      <c r="CY314">
        <v>278.56465955026698</v>
      </c>
      <c r="CZ314">
        <v>77.938438883541906</v>
      </c>
      <c r="DA314">
        <v>8760</v>
      </c>
      <c r="DE314">
        <v>1655</v>
      </c>
      <c r="DF314" t="s">
        <v>128</v>
      </c>
      <c r="DG314">
        <v>5949</v>
      </c>
      <c r="DH314">
        <v>5819</v>
      </c>
      <c r="DI314">
        <v>5795</v>
      </c>
      <c r="DJ314">
        <v>5684</v>
      </c>
      <c r="DK314">
        <v>5564</v>
      </c>
      <c r="DO314">
        <v>798</v>
      </c>
      <c r="DP314" t="s">
        <v>151</v>
      </c>
      <c r="DQ314">
        <v>6895</v>
      </c>
      <c r="DR314">
        <v>1</v>
      </c>
      <c r="DS314">
        <v>588</v>
      </c>
      <c r="DV314">
        <v>1700</v>
      </c>
      <c r="DW314" t="s">
        <v>298</v>
      </c>
      <c r="DX314">
        <v>4037.6616022099502</v>
      </c>
      <c r="DY314">
        <v>670</v>
      </c>
      <c r="DZ314">
        <v>612</v>
      </c>
      <c r="EA314">
        <v>313</v>
      </c>
      <c r="EB314">
        <v>2259</v>
      </c>
      <c r="EC314">
        <v>1277</v>
      </c>
      <c r="ED314">
        <v>421</v>
      </c>
      <c r="EE314" s="82">
        <v>0.19182289695070401</v>
      </c>
      <c r="EF314" s="82">
        <v>0.55829946497093697</v>
      </c>
    </row>
    <row r="315" spans="1:136" x14ac:dyDescent="0.35">
      <c r="A315" s="72">
        <v>1659</v>
      </c>
      <c r="B315" s="72">
        <v>10</v>
      </c>
      <c r="D315" s="72" t="s">
        <v>171</v>
      </c>
      <c r="E315" s="79">
        <v>1819200000</v>
      </c>
      <c r="F315" s="79">
        <v>320600000</v>
      </c>
      <c r="G315" s="79">
        <v>350700000</v>
      </c>
      <c r="H315" s="79">
        <v>22158</v>
      </c>
      <c r="I315" s="79">
        <v>4</v>
      </c>
      <c r="J315" s="79">
        <v>350.7</v>
      </c>
      <c r="K315" s="79">
        <v>4868</v>
      </c>
      <c r="L315" s="79">
        <v>4770</v>
      </c>
      <c r="M315" s="79">
        <v>1501</v>
      </c>
      <c r="N315" s="79">
        <v>2564</v>
      </c>
      <c r="O315" s="79">
        <v>1630</v>
      </c>
      <c r="P315" s="79">
        <v>219.666666666667</v>
      </c>
      <c r="Q315" s="79">
        <v>1268.6666666666699</v>
      </c>
      <c r="R315" s="79">
        <v>330</v>
      </c>
      <c r="S315" s="79">
        <v>0</v>
      </c>
      <c r="T315" s="79">
        <v>541</v>
      </c>
      <c r="U315" s="79">
        <v>9511</v>
      </c>
      <c r="V315" s="79">
        <v>16300</v>
      </c>
      <c r="W315" s="79">
        <v>3350</v>
      </c>
      <c r="X315" s="79">
        <v>0</v>
      </c>
      <c r="Y315" s="79">
        <v>442.4</v>
      </c>
      <c r="Z315" s="79">
        <v>0</v>
      </c>
      <c r="AA315" s="79">
        <v>0</v>
      </c>
      <c r="AB315" s="79">
        <v>182.3</v>
      </c>
      <c r="AC315" s="79">
        <v>5535</v>
      </c>
      <c r="AD315" s="79">
        <v>5535</v>
      </c>
      <c r="AE315" s="79">
        <v>81</v>
      </c>
      <c r="AF315" s="79">
        <v>0</v>
      </c>
      <c r="AG315" s="79">
        <v>229</v>
      </c>
      <c r="AH315" s="79">
        <v>143</v>
      </c>
      <c r="AI315" s="79">
        <v>86</v>
      </c>
      <c r="AJ315" s="79">
        <v>9340</v>
      </c>
      <c r="AK315" s="79">
        <v>9340</v>
      </c>
      <c r="AL315" s="79">
        <v>0</v>
      </c>
      <c r="AM315" s="79">
        <v>0</v>
      </c>
      <c r="AN315" s="79">
        <v>0</v>
      </c>
      <c r="AO315" s="79">
        <v>0</v>
      </c>
      <c r="AP315" s="79">
        <v>0</v>
      </c>
      <c r="AQ315" s="79">
        <v>0</v>
      </c>
      <c r="AR315" s="80">
        <v>1.6757E-4</v>
      </c>
      <c r="AS315" s="80">
        <v>8.5952999999999995E-5</v>
      </c>
      <c r="AT315" s="79">
        <v>5772.12</v>
      </c>
      <c r="AU315" s="79">
        <v>0</v>
      </c>
      <c r="AV315" s="79">
        <v>1206</v>
      </c>
      <c r="AW315" s="79">
        <v>4758.2884615384601</v>
      </c>
      <c r="AX315" s="79">
        <v>7</v>
      </c>
      <c r="AY315" s="79">
        <v>7</v>
      </c>
      <c r="AZ315" s="79">
        <v>2363</v>
      </c>
      <c r="BA315" s="79">
        <v>1</v>
      </c>
      <c r="BB315" s="79">
        <v>0</v>
      </c>
      <c r="BC315" s="79">
        <v>0</v>
      </c>
      <c r="BD315" s="79">
        <v>0</v>
      </c>
      <c r="BE315" s="79">
        <v>0</v>
      </c>
      <c r="BF315" s="79">
        <v>0</v>
      </c>
      <c r="BG315" s="79">
        <v>0</v>
      </c>
      <c r="BH315" s="79">
        <v>0</v>
      </c>
      <c r="BI315" s="79">
        <v>0</v>
      </c>
      <c r="BJ315" s="79">
        <v>0</v>
      </c>
      <c r="BK315" s="79">
        <v>5</v>
      </c>
      <c r="BL315" s="79">
        <v>2576</v>
      </c>
      <c r="BM315" s="79">
        <v>143</v>
      </c>
      <c r="BN315" s="79">
        <v>86</v>
      </c>
      <c r="BO315">
        <v>5414</v>
      </c>
      <c r="BP315">
        <v>337</v>
      </c>
      <c r="BQ315">
        <v>4855</v>
      </c>
      <c r="BR315">
        <v>372</v>
      </c>
      <c r="BS315">
        <v>4748</v>
      </c>
      <c r="BT315">
        <v>386</v>
      </c>
      <c r="BU315">
        <v>4669</v>
      </c>
      <c r="BV315">
        <v>363</v>
      </c>
      <c r="BW315">
        <v>4635</v>
      </c>
      <c r="BX315">
        <v>344</v>
      </c>
      <c r="BY315">
        <v>4581</v>
      </c>
      <c r="BZ315">
        <v>382</v>
      </c>
      <c r="CA315">
        <v>4304</v>
      </c>
      <c r="CB315">
        <v>352.819813285073</v>
      </c>
      <c r="CC315">
        <v>64.3816789938585</v>
      </c>
      <c r="CD315">
        <v>31.642105006327899</v>
      </c>
      <c r="CE315">
        <v>6285.9950814572303</v>
      </c>
      <c r="CF315">
        <v>1559.7725470865</v>
      </c>
      <c r="CG315">
        <v>98.376964275341294</v>
      </c>
      <c r="CH315">
        <v>221</v>
      </c>
      <c r="CI315">
        <v>69.694496426725806</v>
      </c>
      <c r="CJ315">
        <v>59.953683713036703</v>
      </c>
      <c r="CK315" s="81">
        <v>1049</v>
      </c>
      <c r="CL315">
        <v>247</v>
      </c>
      <c r="CM315">
        <v>3423.0150512178502</v>
      </c>
      <c r="CN315">
        <v>0.104251642458227</v>
      </c>
      <c r="CO315">
        <v>17388</v>
      </c>
      <c r="CP315">
        <v>2840</v>
      </c>
      <c r="CQ315">
        <v>429</v>
      </c>
      <c r="CR315">
        <v>474</v>
      </c>
      <c r="CS315">
        <v>496</v>
      </c>
      <c r="CT315">
        <v>228</v>
      </c>
      <c r="CU315">
        <v>298.78123786906002</v>
      </c>
      <c r="CV315">
        <v>179.75740362449301</v>
      </c>
      <c r="CW315">
        <v>54.799829842806602</v>
      </c>
      <c r="CX315">
        <v>755.69136188642904</v>
      </c>
      <c r="CY315">
        <v>454.65076094802703</v>
      </c>
      <c r="CZ315">
        <v>138.60227081328199</v>
      </c>
      <c r="DA315">
        <v>0</v>
      </c>
      <c r="DE315">
        <v>1658</v>
      </c>
      <c r="DF315" t="s">
        <v>140</v>
      </c>
      <c r="DG315">
        <v>3287</v>
      </c>
      <c r="DH315">
        <v>3233</v>
      </c>
      <c r="DI315">
        <v>3193</v>
      </c>
      <c r="DJ315">
        <v>3135</v>
      </c>
      <c r="DK315">
        <v>3081</v>
      </c>
      <c r="DO315">
        <v>1659</v>
      </c>
      <c r="DP315" t="s">
        <v>171</v>
      </c>
      <c r="DQ315">
        <v>9340</v>
      </c>
      <c r="DR315">
        <v>1</v>
      </c>
      <c r="DS315">
        <v>618</v>
      </c>
      <c r="DV315">
        <v>1730</v>
      </c>
      <c r="DW315" t="s">
        <v>299</v>
      </c>
      <c r="DX315">
        <v>3704.0393554826801</v>
      </c>
      <c r="DY315">
        <v>784</v>
      </c>
      <c r="DZ315">
        <v>796</v>
      </c>
      <c r="EA315">
        <v>525</v>
      </c>
      <c r="EB315">
        <v>2612</v>
      </c>
      <c r="EC315">
        <v>1693</v>
      </c>
      <c r="ED315">
        <v>738</v>
      </c>
      <c r="EE315" s="82">
        <v>0.13841653935908099</v>
      </c>
      <c r="EF315" s="82">
        <v>0.36624757212398801</v>
      </c>
    </row>
    <row r="316" spans="1:136" x14ac:dyDescent="0.35">
      <c r="A316" s="72">
        <v>1685</v>
      </c>
      <c r="B316" s="72">
        <v>10</v>
      </c>
      <c r="D316" s="72" t="s">
        <v>172</v>
      </c>
      <c r="E316" s="79">
        <v>1361600000</v>
      </c>
      <c r="F316" s="79">
        <v>189350000</v>
      </c>
      <c r="G316" s="79">
        <v>217700000</v>
      </c>
      <c r="H316" s="79">
        <v>15332</v>
      </c>
      <c r="I316" s="79">
        <v>3</v>
      </c>
      <c r="J316" s="79">
        <v>217.7</v>
      </c>
      <c r="K316" s="79">
        <v>3495</v>
      </c>
      <c r="L316" s="79">
        <v>3215</v>
      </c>
      <c r="M316" s="79">
        <v>961</v>
      </c>
      <c r="N316" s="79">
        <v>1527</v>
      </c>
      <c r="O316" s="79">
        <v>888.8</v>
      </c>
      <c r="P316" s="79">
        <v>132.666666666667</v>
      </c>
      <c r="Q316" s="79">
        <v>885.66666666666697</v>
      </c>
      <c r="R316" s="79">
        <v>215</v>
      </c>
      <c r="S316" s="79">
        <v>0</v>
      </c>
      <c r="T316" s="79">
        <v>328</v>
      </c>
      <c r="U316" s="79">
        <v>6375</v>
      </c>
      <c r="V316" s="79">
        <v>11870</v>
      </c>
      <c r="W316" s="79">
        <v>1830</v>
      </c>
      <c r="X316" s="79">
        <v>484.4</v>
      </c>
      <c r="Y316" s="79">
        <v>0</v>
      </c>
      <c r="Z316" s="79">
        <v>0</v>
      </c>
      <c r="AA316" s="79">
        <v>0</v>
      </c>
      <c r="AB316" s="79">
        <v>0</v>
      </c>
      <c r="AC316" s="79">
        <v>7036</v>
      </c>
      <c r="AD316" s="79">
        <v>7036</v>
      </c>
      <c r="AE316" s="79">
        <v>35</v>
      </c>
      <c r="AF316" s="79">
        <v>0</v>
      </c>
      <c r="AG316" s="79">
        <v>181</v>
      </c>
      <c r="AH316" s="79">
        <v>97</v>
      </c>
      <c r="AI316" s="79">
        <v>84</v>
      </c>
      <c r="AJ316" s="79">
        <v>6382</v>
      </c>
      <c r="AK316" s="79">
        <v>6382</v>
      </c>
      <c r="AL316" s="79">
        <v>0</v>
      </c>
      <c r="AM316" s="79">
        <v>0</v>
      </c>
      <c r="AN316" s="79">
        <v>0</v>
      </c>
      <c r="AO316" s="79">
        <v>0</v>
      </c>
      <c r="AP316" s="79">
        <v>0</v>
      </c>
      <c r="AQ316" s="79">
        <v>0</v>
      </c>
      <c r="AR316" s="80">
        <v>1.0674400000000001E-4</v>
      </c>
      <c r="AS316" s="80">
        <v>4.6297000000000001E-5</v>
      </c>
      <c r="AT316" s="79">
        <v>2922.9560000000001</v>
      </c>
      <c r="AU316" s="79">
        <v>0</v>
      </c>
      <c r="AV316" s="79">
        <v>468</v>
      </c>
      <c r="AW316" s="79">
        <v>1014.7611370386099</v>
      </c>
      <c r="AX316" s="79">
        <v>6</v>
      </c>
      <c r="AY316" s="79">
        <v>6</v>
      </c>
      <c r="AZ316" s="79">
        <v>1756</v>
      </c>
      <c r="BA316" s="79">
        <v>1</v>
      </c>
      <c r="BB316" s="79">
        <v>0</v>
      </c>
      <c r="BC316" s="79">
        <v>0</v>
      </c>
      <c r="BD316" s="79">
        <v>0</v>
      </c>
      <c r="BE316" s="79">
        <v>0</v>
      </c>
      <c r="BF316" s="79">
        <v>0</v>
      </c>
      <c r="BG316" s="79">
        <v>0</v>
      </c>
      <c r="BH316" s="79">
        <v>0</v>
      </c>
      <c r="BI316" s="79">
        <v>0</v>
      </c>
      <c r="BJ316" s="79">
        <v>0</v>
      </c>
      <c r="BK316" s="79">
        <v>12</v>
      </c>
      <c r="BL316" s="79">
        <v>1661</v>
      </c>
      <c r="BM316" s="79">
        <v>97</v>
      </c>
      <c r="BN316" s="79">
        <v>84</v>
      </c>
      <c r="BO316">
        <v>3813</v>
      </c>
      <c r="BP316">
        <v>0</v>
      </c>
      <c r="BQ316">
        <v>3451</v>
      </c>
      <c r="BR316">
        <v>0</v>
      </c>
      <c r="BS316">
        <v>3388</v>
      </c>
      <c r="BT316">
        <v>0</v>
      </c>
      <c r="BU316">
        <v>3374</v>
      </c>
      <c r="BV316">
        <v>0</v>
      </c>
      <c r="BW316">
        <v>3360</v>
      </c>
      <c r="BX316">
        <v>0</v>
      </c>
      <c r="BY316">
        <v>3354</v>
      </c>
      <c r="BZ316">
        <v>0</v>
      </c>
      <c r="CA316">
        <v>3078</v>
      </c>
      <c r="CB316">
        <v>207.17089876677801</v>
      </c>
      <c r="CC316">
        <v>39.404424241152803</v>
      </c>
      <c r="CD316">
        <v>18.685513755398201</v>
      </c>
      <c r="CE316">
        <v>4174.4382212883702</v>
      </c>
      <c r="CF316">
        <v>1161.5388324155299</v>
      </c>
      <c r="CG316">
        <v>71.545531339614897</v>
      </c>
      <c r="CH316">
        <v>142</v>
      </c>
      <c r="CI316">
        <v>35.495442845147103</v>
      </c>
      <c r="CJ316">
        <v>28.380441994336898</v>
      </c>
      <c r="CK316" s="81">
        <v>753</v>
      </c>
      <c r="CL316">
        <v>186</v>
      </c>
      <c r="CM316">
        <v>2218.8368607462598</v>
      </c>
      <c r="CN316">
        <v>7.3453453676377706E-2</v>
      </c>
      <c r="CO316">
        <v>12117</v>
      </c>
      <c r="CP316">
        <v>1935</v>
      </c>
      <c r="CQ316">
        <v>319</v>
      </c>
      <c r="CR316">
        <v>321</v>
      </c>
      <c r="CS316">
        <v>293</v>
      </c>
      <c r="CT316">
        <v>157</v>
      </c>
      <c r="CU316">
        <v>161.36025328153599</v>
      </c>
      <c r="CV316">
        <v>87.710922836383006</v>
      </c>
      <c r="CW316">
        <v>30.768434836255</v>
      </c>
      <c r="CX316">
        <v>502.68515231550901</v>
      </c>
      <c r="CY316">
        <v>273.24559616805101</v>
      </c>
      <c r="CZ316">
        <v>95.852820243078099</v>
      </c>
      <c r="DA316">
        <v>17463.599999999999</v>
      </c>
      <c r="DE316">
        <v>1659</v>
      </c>
      <c r="DF316" t="s">
        <v>171</v>
      </c>
      <c r="DG316">
        <v>4855</v>
      </c>
      <c r="DH316">
        <v>4748</v>
      </c>
      <c r="DI316">
        <v>4669</v>
      </c>
      <c r="DJ316">
        <v>4635</v>
      </c>
      <c r="DK316">
        <v>4581</v>
      </c>
      <c r="DO316">
        <v>1685</v>
      </c>
      <c r="DP316" t="s">
        <v>172</v>
      </c>
      <c r="DQ316">
        <v>6382</v>
      </c>
      <c r="DR316">
        <v>1</v>
      </c>
      <c r="DS316">
        <v>458</v>
      </c>
      <c r="DV316">
        <v>737</v>
      </c>
      <c r="DW316" t="s">
        <v>300</v>
      </c>
      <c r="DX316">
        <v>4156.3973907175496</v>
      </c>
      <c r="DY316">
        <v>740</v>
      </c>
      <c r="DZ316">
        <v>710</v>
      </c>
      <c r="EA316">
        <v>438</v>
      </c>
      <c r="EB316">
        <v>2489</v>
      </c>
      <c r="EC316">
        <v>1580</v>
      </c>
      <c r="ED316">
        <v>602</v>
      </c>
      <c r="EE316" s="82">
        <v>0.186292698079457</v>
      </c>
      <c r="EF316" s="82">
        <v>0.51192710241985195</v>
      </c>
    </row>
    <row r="317" spans="1:136" x14ac:dyDescent="0.35">
      <c r="A317" s="72">
        <v>809</v>
      </c>
      <c r="B317" s="72">
        <v>10</v>
      </c>
      <c r="D317" s="72" t="s">
        <v>188</v>
      </c>
      <c r="E317" s="79">
        <v>1910400000</v>
      </c>
      <c r="F317" s="79">
        <v>333200000</v>
      </c>
      <c r="G317" s="79">
        <v>356650000</v>
      </c>
      <c r="H317" s="79">
        <v>23120</v>
      </c>
      <c r="I317" s="79">
        <v>2</v>
      </c>
      <c r="J317" s="79">
        <v>356.65</v>
      </c>
      <c r="K317" s="79">
        <v>4848</v>
      </c>
      <c r="L317" s="79">
        <v>5044</v>
      </c>
      <c r="M317" s="79">
        <v>1627</v>
      </c>
      <c r="N317" s="79">
        <v>2864</v>
      </c>
      <c r="O317" s="79">
        <v>1813.9</v>
      </c>
      <c r="P317" s="79">
        <v>267</v>
      </c>
      <c r="Q317" s="79">
        <v>1394</v>
      </c>
      <c r="R317" s="79">
        <v>555</v>
      </c>
      <c r="S317" s="79">
        <v>0</v>
      </c>
      <c r="T317" s="79">
        <v>648</v>
      </c>
      <c r="U317" s="79">
        <v>10228</v>
      </c>
      <c r="V317" s="79">
        <v>18380</v>
      </c>
      <c r="W317" s="79">
        <v>5180</v>
      </c>
      <c r="X317" s="79">
        <v>0</v>
      </c>
      <c r="Y317" s="79">
        <v>245.6</v>
      </c>
      <c r="Z317" s="79">
        <v>0</v>
      </c>
      <c r="AA317" s="79">
        <v>0</v>
      </c>
      <c r="AB317" s="79">
        <v>3.3999999999999799</v>
      </c>
      <c r="AC317" s="79">
        <v>4991</v>
      </c>
      <c r="AD317" s="79">
        <v>4991</v>
      </c>
      <c r="AE317" s="79">
        <v>80</v>
      </c>
      <c r="AF317" s="79">
        <v>0</v>
      </c>
      <c r="AG317" s="79">
        <v>171</v>
      </c>
      <c r="AH317" s="79">
        <v>134</v>
      </c>
      <c r="AI317" s="79">
        <v>37</v>
      </c>
      <c r="AJ317" s="79">
        <v>10501</v>
      </c>
      <c r="AK317" s="79">
        <v>10501</v>
      </c>
      <c r="AL317" s="79">
        <v>0</v>
      </c>
      <c r="AM317" s="79">
        <v>0</v>
      </c>
      <c r="AN317" s="79">
        <v>0</v>
      </c>
      <c r="AO317" s="79">
        <v>0</v>
      </c>
      <c r="AP317" s="79">
        <v>1032</v>
      </c>
      <c r="AQ317" s="79">
        <v>0</v>
      </c>
      <c r="AR317" s="80">
        <v>1.93668E-4</v>
      </c>
      <c r="AS317" s="80">
        <v>1.16977E-4</v>
      </c>
      <c r="AT317" s="79">
        <v>10984.046</v>
      </c>
      <c r="AU317" s="79">
        <v>0</v>
      </c>
      <c r="AV317" s="79">
        <v>487</v>
      </c>
      <c r="AW317" s="79">
        <v>2220.3589035693199</v>
      </c>
      <c r="AX317" s="79">
        <v>5</v>
      </c>
      <c r="AY317" s="79">
        <v>5</v>
      </c>
      <c r="AZ317" s="79">
        <v>2407</v>
      </c>
      <c r="BA317" s="79">
        <v>1</v>
      </c>
      <c r="BB317" s="79">
        <v>0</v>
      </c>
      <c r="BC317" s="79">
        <v>0</v>
      </c>
      <c r="BD317" s="79">
        <v>0</v>
      </c>
      <c r="BE317" s="79">
        <v>0</v>
      </c>
      <c r="BF317" s="79">
        <v>0</v>
      </c>
      <c r="BG317" s="79">
        <v>0</v>
      </c>
      <c r="BH317" s="79">
        <v>0</v>
      </c>
      <c r="BI317" s="79">
        <v>0</v>
      </c>
      <c r="BJ317" s="79">
        <v>0</v>
      </c>
      <c r="BK317" s="79">
        <v>9</v>
      </c>
      <c r="BL317" s="79">
        <v>2902</v>
      </c>
      <c r="BM317" s="79">
        <v>134</v>
      </c>
      <c r="BN317" s="79">
        <v>37</v>
      </c>
      <c r="BO317">
        <v>5541</v>
      </c>
      <c r="BP317">
        <v>276</v>
      </c>
      <c r="BQ317">
        <v>4913</v>
      </c>
      <c r="BR317">
        <v>289</v>
      </c>
      <c r="BS317">
        <v>4857</v>
      </c>
      <c r="BT317">
        <v>313</v>
      </c>
      <c r="BU317">
        <v>4747</v>
      </c>
      <c r="BV317">
        <v>305</v>
      </c>
      <c r="BW317">
        <v>4672</v>
      </c>
      <c r="BX317">
        <v>313</v>
      </c>
      <c r="BY317">
        <v>4594</v>
      </c>
      <c r="BZ317">
        <v>297</v>
      </c>
      <c r="CA317">
        <v>4349</v>
      </c>
      <c r="CB317">
        <v>347.03689251299897</v>
      </c>
      <c r="CC317">
        <v>94.880217849198402</v>
      </c>
      <c r="CD317">
        <v>46.373379376946303</v>
      </c>
      <c r="CE317">
        <v>6868.8854479949996</v>
      </c>
      <c r="CF317">
        <v>1639.86325565265</v>
      </c>
      <c r="CG317">
        <v>193.519177582899</v>
      </c>
      <c r="CH317">
        <v>241</v>
      </c>
      <c r="CI317">
        <v>85.223132619558996</v>
      </c>
      <c r="CJ317">
        <v>79.819993109072499</v>
      </c>
      <c r="CK317" s="81">
        <v>1127</v>
      </c>
      <c r="CL317">
        <v>219</v>
      </c>
      <c r="CM317">
        <v>4502.7180600985703</v>
      </c>
      <c r="CN317">
        <v>0.205388889348533</v>
      </c>
      <c r="CO317">
        <v>18076</v>
      </c>
      <c r="CP317">
        <v>2894</v>
      </c>
      <c r="CQ317">
        <v>523</v>
      </c>
      <c r="CR317">
        <v>503</v>
      </c>
      <c r="CS317">
        <v>537</v>
      </c>
      <c r="CT317">
        <v>270</v>
      </c>
      <c r="CU317">
        <v>302.57952727141998</v>
      </c>
      <c r="CV317">
        <v>194.29336083353201</v>
      </c>
      <c r="CW317">
        <v>63.728222353398401</v>
      </c>
      <c r="CX317">
        <v>759.88299124829302</v>
      </c>
      <c r="CY317">
        <v>487.93856458580501</v>
      </c>
      <c r="CZ317">
        <v>160.04384918414399</v>
      </c>
      <c r="DA317">
        <v>14600</v>
      </c>
      <c r="DE317">
        <v>1663</v>
      </c>
      <c r="DF317" t="s">
        <v>795</v>
      </c>
      <c r="DG317">
        <v>2161</v>
      </c>
      <c r="DH317">
        <v>2136</v>
      </c>
      <c r="DI317">
        <v>2123</v>
      </c>
      <c r="DJ317">
        <v>2104</v>
      </c>
      <c r="DK317">
        <v>2034</v>
      </c>
      <c r="DO317">
        <v>809</v>
      </c>
      <c r="DP317" t="s">
        <v>188</v>
      </c>
      <c r="DQ317">
        <v>10501</v>
      </c>
      <c r="DR317">
        <v>1</v>
      </c>
      <c r="DS317">
        <v>1046</v>
      </c>
      <c r="DV317">
        <v>856</v>
      </c>
      <c r="DW317" t="s">
        <v>301</v>
      </c>
      <c r="DX317">
        <v>5474.2189926780602</v>
      </c>
      <c r="DY317">
        <v>1044</v>
      </c>
      <c r="DZ317">
        <v>957</v>
      </c>
      <c r="EA317">
        <v>386</v>
      </c>
      <c r="EB317">
        <v>3103</v>
      </c>
      <c r="EC317">
        <v>1944</v>
      </c>
      <c r="ED317">
        <v>569</v>
      </c>
      <c r="EE317" s="82">
        <v>0.19281727695523199</v>
      </c>
      <c r="EF317" s="82">
        <v>0.44529638226801799</v>
      </c>
    </row>
    <row r="318" spans="1:136" x14ac:dyDescent="0.35">
      <c r="A318" s="72">
        <v>1948</v>
      </c>
      <c r="B318" s="72">
        <v>10</v>
      </c>
      <c r="D318" s="72" t="s">
        <v>198</v>
      </c>
      <c r="E318" s="79">
        <v>6835200000</v>
      </c>
      <c r="F318" s="79">
        <v>1437450000</v>
      </c>
      <c r="G318" s="79">
        <v>1550500000</v>
      </c>
      <c r="H318" s="79">
        <v>80148</v>
      </c>
      <c r="I318" s="79">
        <v>5</v>
      </c>
      <c r="J318" s="79">
        <v>1550.5</v>
      </c>
      <c r="K318" s="79">
        <v>18004</v>
      </c>
      <c r="L318" s="79">
        <v>15875</v>
      </c>
      <c r="M318" s="79">
        <v>5064</v>
      </c>
      <c r="N318" s="79">
        <v>9010</v>
      </c>
      <c r="O318" s="79">
        <v>5617.8</v>
      </c>
      <c r="P318" s="79">
        <v>830.33333333333303</v>
      </c>
      <c r="Q318" s="79">
        <v>5253.3333333333303</v>
      </c>
      <c r="R318" s="79">
        <v>3445</v>
      </c>
      <c r="S318" s="79">
        <v>0</v>
      </c>
      <c r="T318" s="79">
        <v>2136</v>
      </c>
      <c r="U318" s="79">
        <v>34622</v>
      </c>
      <c r="V318" s="79">
        <v>76090</v>
      </c>
      <c r="W318" s="79">
        <v>47050</v>
      </c>
      <c r="X318" s="79">
        <v>1663.52</v>
      </c>
      <c r="Y318" s="79">
        <v>3796.8</v>
      </c>
      <c r="Z318" s="79">
        <v>0</v>
      </c>
      <c r="AA318" s="79">
        <v>0</v>
      </c>
      <c r="AB318" s="79">
        <v>0</v>
      </c>
      <c r="AC318" s="79">
        <v>18401</v>
      </c>
      <c r="AD318" s="79">
        <v>18401</v>
      </c>
      <c r="AE318" s="79">
        <v>150</v>
      </c>
      <c r="AF318" s="79">
        <v>0</v>
      </c>
      <c r="AG318" s="79">
        <v>858</v>
      </c>
      <c r="AH318" s="79">
        <v>515</v>
      </c>
      <c r="AI318" s="79">
        <v>343</v>
      </c>
      <c r="AJ318" s="79">
        <v>33922</v>
      </c>
      <c r="AK318" s="79">
        <v>33922</v>
      </c>
      <c r="AL318" s="79">
        <v>0</v>
      </c>
      <c r="AM318" s="79">
        <v>0</v>
      </c>
      <c r="AN318" s="79">
        <v>0</v>
      </c>
      <c r="AO318" s="79">
        <v>0</v>
      </c>
      <c r="AP318" s="79">
        <v>1732</v>
      </c>
      <c r="AQ318" s="79">
        <v>0</v>
      </c>
      <c r="AR318" s="80">
        <v>4.7864099999999997E-4</v>
      </c>
      <c r="AS318" s="80">
        <v>3.5838999999999999E-4</v>
      </c>
      <c r="AT318" s="79">
        <v>32904.339999999997</v>
      </c>
      <c r="AU318" s="79">
        <v>0</v>
      </c>
      <c r="AV318" s="79">
        <v>2856</v>
      </c>
      <c r="AW318" s="79">
        <v>12339.1023664492</v>
      </c>
      <c r="AX318" s="79">
        <v>18</v>
      </c>
      <c r="AY318" s="79">
        <v>18</v>
      </c>
      <c r="AZ318" s="79">
        <v>9219</v>
      </c>
      <c r="BA318" s="79">
        <v>1</v>
      </c>
      <c r="BB318" s="79">
        <v>0</v>
      </c>
      <c r="BC318" s="79">
        <v>0</v>
      </c>
      <c r="BD318" s="79">
        <v>0</v>
      </c>
      <c r="BE318" s="79">
        <v>0</v>
      </c>
      <c r="BF318" s="79">
        <v>0</v>
      </c>
      <c r="BG318" s="79">
        <v>0</v>
      </c>
      <c r="BH318" s="79">
        <v>0</v>
      </c>
      <c r="BI318" s="79">
        <v>0</v>
      </c>
      <c r="BJ318" s="79">
        <v>0</v>
      </c>
      <c r="BK318" s="79">
        <v>123</v>
      </c>
      <c r="BL318" s="79">
        <v>9906</v>
      </c>
      <c r="BM318" s="79">
        <v>515</v>
      </c>
      <c r="BN318" s="79">
        <v>343</v>
      </c>
      <c r="BO318">
        <v>19456</v>
      </c>
      <c r="BP318">
        <v>5085</v>
      </c>
      <c r="BQ318">
        <v>17426</v>
      </c>
      <c r="BR318">
        <v>4920</v>
      </c>
      <c r="BS318">
        <v>17317</v>
      </c>
      <c r="BT318">
        <v>4773</v>
      </c>
      <c r="BU318">
        <v>17173</v>
      </c>
      <c r="BV318">
        <v>4821</v>
      </c>
      <c r="BW318">
        <v>17024</v>
      </c>
      <c r="BX318">
        <v>4847</v>
      </c>
      <c r="BY318">
        <v>16797</v>
      </c>
      <c r="BZ318">
        <v>4893</v>
      </c>
      <c r="CA318">
        <v>16035</v>
      </c>
      <c r="CB318">
        <v>1413.85432042307</v>
      </c>
      <c r="CC318">
        <v>191.91127915241699</v>
      </c>
      <c r="CD318">
        <v>169.86099531649799</v>
      </c>
      <c r="CE318">
        <v>23317.857670190901</v>
      </c>
      <c r="CF318">
        <v>6020.91875362267</v>
      </c>
      <c r="CG318">
        <v>468.73351662605103</v>
      </c>
      <c r="CH318">
        <v>820</v>
      </c>
      <c r="CI318">
        <v>276.83569244687902</v>
      </c>
      <c r="CJ318">
        <v>226.33402490483701</v>
      </c>
      <c r="CK318" s="81">
        <v>4423</v>
      </c>
      <c r="CL318">
        <v>895</v>
      </c>
      <c r="CM318">
        <v>11800.9545064636</v>
      </c>
      <c r="CN318">
        <v>0.38870063271805599</v>
      </c>
      <c r="CO318">
        <v>64273</v>
      </c>
      <c r="CP318">
        <v>9172</v>
      </c>
      <c r="CQ318">
        <v>1639</v>
      </c>
      <c r="CR318">
        <v>1655</v>
      </c>
      <c r="CS318">
        <v>1613</v>
      </c>
      <c r="CT318">
        <v>770</v>
      </c>
      <c r="CU318">
        <v>936.17338172102802</v>
      </c>
      <c r="CV318">
        <v>569.189441531076</v>
      </c>
      <c r="CW318">
        <v>182.16711832533699</v>
      </c>
      <c r="CX318">
        <v>2430.3660790929798</v>
      </c>
      <c r="CY318">
        <v>1477.6522578883</v>
      </c>
      <c r="CZ318">
        <v>472.91751052578797</v>
      </c>
      <c r="DA318">
        <v>33952.800000000003</v>
      </c>
      <c r="DE318">
        <v>1667</v>
      </c>
      <c r="DF318" t="s">
        <v>253</v>
      </c>
      <c r="DG318">
        <v>2626</v>
      </c>
      <c r="DH318">
        <v>2595</v>
      </c>
      <c r="DI318">
        <v>2576</v>
      </c>
      <c r="DJ318">
        <v>2573</v>
      </c>
      <c r="DK318">
        <v>2558</v>
      </c>
      <c r="DO318">
        <v>1948</v>
      </c>
      <c r="DP318" t="s">
        <v>198</v>
      </c>
      <c r="DQ318">
        <v>33922</v>
      </c>
      <c r="DR318">
        <v>1</v>
      </c>
      <c r="DS318">
        <v>970</v>
      </c>
      <c r="DV318">
        <v>450</v>
      </c>
      <c r="DW318" t="s">
        <v>302</v>
      </c>
      <c r="DX318">
        <v>1233.2457749011101</v>
      </c>
      <c r="DY318">
        <v>246</v>
      </c>
      <c r="DZ318">
        <v>233</v>
      </c>
      <c r="EA318">
        <v>131</v>
      </c>
      <c r="EB318">
        <v>855</v>
      </c>
      <c r="EC318">
        <v>512</v>
      </c>
      <c r="ED318">
        <v>177</v>
      </c>
      <c r="EE318" s="82">
        <v>0.114105169253666</v>
      </c>
      <c r="EF318" s="82">
        <v>0.36295171754800198</v>
      </c>
    </row>
    <row r="319" spans="1:136" x14ac:dyDescent="0.35">
      <c r="A319" s="72">
        <v>815</v>
      </c>
      <c r="B319" s="72">
        <v>10</v>
      </c>
      <c r="D319" s="72" t="s">
        <v>204</v>
      </c>
      <c r="E319" s="79">
        <v>872800000</v>
      </c>
      <c r="F319" s="79">
        <v>137900000</v>
      </c>
      <c r="G319" s="79">
        <v>159600000</v>
      </c>
      <c r="H319" s="79">
        <v>10831</v>
      </c>
      <c r="I319" s="79">
        <v>2</v>
      </c>
      <c r="J319" s="79">
        <v>159.6</v>
      </c>
      <c r="K319" s="79">
        <v>2285</v>
      </c>
      <c r="L319" s="79">
        <v>2276</v>
      </c>
      <c r="M319" s="79">
        <v>689</v>
      </c>
      <c r="N319" s="79">
        <v>1329</v>
      </c>
      <c r="O319" s="79">
        <v>872.4</v>
      </c>
      <c r="P319" s="79">
        <v>103</v>
      </c>
      <c r="Q319" s="79">
        <v>715</v>
      </c>
      <c r="R319" s="79">
        <v>120</v>
      </c>
      <c r="S319" s="79">
        <v>0</v>
      </c>
      <c r="T319" s="79">
        <v>219</v>
      </c>
      <c r="U319" s="79">
        <v>4610</v>
      </c>
      <c r="V319" s="79">
        <v>8320</v>
      </c>
      <c r="W319" s="79">
        <v>1180</v>
      </c>
      <c r="X319" s="79">
        <v>0</v>
      </c>
      <c r="Y319" s="79">
        <v>364.8</v>
      </c>
      <c r="Z319" s="79">
        <v>0</v>
      </c>
      <c r="AA319" s="79">
        <v>0</v>
      </c>
      <c r="AB319" s="79">
        <v>0</v>
      </c>
      <c r="AC319" s="79">
        <v>5222</v>
      </c>
      <c r="AD319" s="79">
        <v>5222</v>
      </c>
      <c r="AE319" s="79">
        <v>96</v>
      </c>
      <c r="AF319" s="79">
        <v>0</v>
      </c>
      <c r="AG319" s="79">
        <v>142</v>
      </c>
      <c r="AH319" s="79">
        <v>75</v>
      </c>
      <c r="AI319" s="79">
        <v>67</v>
      </c>
      <c r="AJ319" s="79">
        <v>4566</v>
      </c>
      <c r="AK319" s="79">
        <v>4566</v>
      </c>
      <c r="AL319" s="79">
        <v>0</v>
      </c>
      <c r="AM319" s="79">
        <v>0</v>
      </c>
      <c r="AN319" s="79">
        <v>0</v>
      </c>
      <c r="AO319" s="79">
        <v>0</v>
      </c>
      <c r="AP319" s="79">
        <v>0</v>
      </c>
      <c r="AQ319" s="79">
        <v>0</v>
      </c>
      <c r="AR319" s="80">
        <v>1.1184900000000001E-4</v>
      </c>
      <c r="AS319" s="80">
        <v>4.4675000000000002E-5</v>
      </c>
      <c r="AT319" s="79">
        <v>1438.29</v>
      </c>
      <c r="AU319" s="79">
        <v>0</v>
      </c>
      <c r="AV319" s="79">
        <v>746</v>
      </c>
      <c r="AW319" s="79">
        <v>1519.354268522</v>
      </c>
      <c r="AX319" s="79">
        <v>6</v>
      </c>
      <c r="AY319" s="79">
        <v>6</v>
      </c>
      <c r="AZ319" s="79">
        <v>1186</v>
      </c>
      <c r="BA319" s="79">
        <v>1</v>
      </c>
      <c r="BB319" s="79">
        <v>0</v>
      </c>
      <c r="BC319" s="79">
        <v>0</v>
      </c>
      <c r="BD319" s="79">
        <v>0</v>
      </c>
      <c r="BE319" s="79">
        <v>0</v>
      </c>
      <c r="BF319" s="79">
        <v>0</v>
      </c>
      <c r="BG319" s="79">
        <v>0</v>
      </c>
      <c r="BH319" s="79">
        <v>0</v>
      </c>
      <c r="BI319" s="79">
        <v>0</v>
      </c>
      <c r="BJ319" s="79">
        <v>0</v>
      </c>
      <c r="BK319" s="79">
        <v>11</v>
      </c>
      <c r="BL319" s="79">
        <v>1215</v>
      </c>
      <c r="BM319" s="79">
        <v>75</v>
      </c>
      <c r="BN319" s="79">
        <v>67</v>
      </c>
      <c r="BO319">
        <v>2752</v>
      </c>
      <c r="BP319">
        <v>478</v>
      </c>
      <c r="BQ319">
        <v>2486</v>
      </c>
      <c r="BR319">
        <v>456</v>
      </c>
      <c r="BS319">
        <v>2458</v>
      </c>
      <c r="BT319">
        <v>459</v>
      </c>
      <c r="BU319">
        <v>2404</v>
      </c>
      <c r="BV319">
        <v>418</v>
      </c>
      <c r="BW319">
        <v>2352</v>
      </c>
      <c r="BX319">
        <v>387</v>
      </c>
      <c r="BY319">
        <v>2253</v>
      </c>
      <c r="BZ319">
        <v>425</v>
      </c>
      <c r="CA319">
        <v>1993</v>
      </c>
      <c r="CB319">
        <v>145.341587268685</v>
      </c>
      <c r="CC319">
        <v>36.241904384034797</v>
      </c>
      <c r="CD319">
        <v>9.7785786590619193</v>
      </c>
      <c r="CE319">
        <v>3015.0365480949499</v>
      </c>
      <c r="CF319">
        <v>689.52310026589805</v>
      </c>
      <c r="CG319">
        <v>52.7097627627628</v>
      </c>
      <c r="CH319">
        <v>108</v>
      </c>
      <c r="CI319">
        <v>28.013839215372201</v>
      </c>
      <c r="CJ319">
        <v>25.187642269973999</v>
      </c>
      <c r="CK319" s="81">
        <v>612</v>
      </c>
      <c r="CL319">
        <v>130</v>
      </c>
      <c r="CM319">
        <v>1918.19306360522</v>
      </c>
      <c r="CN319">
        <v>5.28583921736549E-2</v>
      </c>
      <c r="CO319">
        <v>8555</v>
      </c>
      <c r="CP319">
        <v>1325</v>
      </c>
      <c r="CQ319">
        <v>262</v>
      </c>
      <c r="CR319">
        <v>209</v>
      </c>
      <c r="CS319">
        <v>207</v>
      </c>
      <c r="CT319">
        <v>106</v>
      </c>
      <c r="CU319">
        <v>151.62507343061901</v>
      </c>
      <c r="CV319">
        <v>87.270350828454397</v>
      </c>
      <c r="CW319">
        <v>32.845733791015697</v>
      </c>
      <c r="CX319">
        <v>359.81248426010097</v>
      </c>
      <c r="CY319">
        <v>207.096102401595</v>
      </c>
      <c r="CZ319">
        <v>77.944266111759902</v>
      </c>
      <c r="DA319">
        <v>3969</v>
      </c>
      <c r="DE319">
        <v>1669</v>
      </c>
      <c r="DF319" t="s">
        <v>259</v>
      </c>
      <c r="DG319">
        <v>3946</v>
      </c>
      <c r="DH319">
        <v>3923</v>
      </c>
      <c r="DI319">
        <v>3802</v>
      </c>
      <c r="DJ319">
        <v>3706</v>
      </c>
      <c r="DK319">
        <v>3656</v>
      </c>
      <c r="DO319">
        <v>815</v>
      </c>
      <c r="DP319" t="s">
        <v>204</v>
      </c>
      <c r="DQ319">
        <v>4566</v>
      </c>
      <c r="DR319">
        <v>1</v>
      </c>
      <c r="DS319">
        <v>315</v>
      </c>
      <c r="DV319">
        <v>451</v>
      </c>
      <c r="DW319" t="s">
        <v>303</v>
      </c>
      <c r="DX319">
        <v>3377.8846637335</v>
      </c>
      <c r="DY319">
        <v>675</v>
      </c>
      <c r="DZ319">
        <v>655</v>
      </c>
      <c r="EA319">
        <v>368</v>
      </c>
      <c r="EB319">
        <v>1853</v>
      </c>
      <c r="EC319">
        <v>1308</v>
      </c>
      <c r="ED319">
        <v>509</v>
      </c>
      <c r="EE319" s="82">
        <v>0.16013744041074299</v>
      </c>
      <c r="EF319" s="82">
        <v>0.37291119083034402</v>
      </c>
    </row>
    <row r="320" spans="1:136" x14ac:dyDescent="0.35">
      <c r="A320" s="72">
        <v>1709</v>
      </c>
      <c r="B320" s="72">
        <v>10</v>
      </c>
      <c r="D320" s="72" t="s">
        <v>205</v>
      </c>
      <c r="E320" s="79">
        <v>2827600000</v>
      </c>
      <c r="F320" s="79">
        <v>1832600000</v>
      </c>
      <c r="G320" s="79">
        <v>1871450000</v>
      </c>
      <c r="H320" s="79">
        <v>36967</v>
      </c>
      <c r="I320" s="79">
        <v>7</v>
      </c>
      <c r="J320" s="79">
        <v>1871.45</v>
      </c>
      <c r="K320" s="79">
        <v>8004</v>
      </c>
      <c r="L320" s="79">
        <v>7850</v>
      </c>
      <c r="M320" s="79">
        <v>2322</v>
      </c>
      <c r="N320" s="79">
        <v>4478</v>
      </c>
      <c r="O320" s="79">
        <v>2839.5</v>
      </c>
      <c r="P320" s="79">
        <v>497.33333333333297</v>
      </c>
      <c r="Q320" s="79">
        <v>1976.3333333333301</v>
      </c>
      <c r="R320" s="79">
        <v>1105</v>
      </c>
      <c r="S320" s="79">
        <v>0</v>
      </c>
      <c r="T320" s="79">
        <v>1044</v>
      </c>
      <c r="U320" s="79">
        <v>16370</v>
      </c>
      <c r="V320" s="79">
        <v>29960</v>
      </c>
      <c r="W320" s="79">
        <v>4840</v>
      </c>
      <c r="X320" s="79">
        <v>201.96</v>
      </c>
      <c r="Y320" s="79">
        <v>953.6</v>
      </c>
      <c r="Z320" s="79">
        <v>0</v>
      </c>
      <c r="AA320" s="79">
        <v>0</v>
      </c>
      <c r="AB320" s="79">
        <v>533.1</v>
      </c>
      <c r="AC320" s="79">
        <v>15920</v>
      </c>
      <c r="AD320" s="79">
        <v>16875.2</v>
      </c>
      <c r="AE320" s="79">
        <v>2482</v>
      </c>
      <c r="AF320" s="79">
        <v>0</v>
      </c>
      <c r="AG320" s="79">
        <v>489</v>
      </c>
      <c r="AH320" s="79">
        <v>218</v>
      </c>
      <c r="AI320" s="79">
        <v>303.45</v>
      </c>
      <c r="AJ320" s="79">
        <v>16385</v>
      </c>
      <c r="AK320" s="79">
        <v>17859.650000000001</v>
      </c>
      <c r="AL320" s="79">
        <v>27</v>
      </c>
      <c r="AM320" s="79">
        <v>0</v>
      </c>
      <c r="AN320" s="79">
        <v>0</v>
      </c>
      <c r="AO320" s="79">
        <v>12350</v>
      </c>
      <c r="AP320" s="79">
        <v>1513</v>
      </c>
      <c r="AQ320" s="79">
        <v>1513</v>
      </c>
      <c r="AR320" s="80">
        <v>4.8159199999999998E-4</v>
      </c>
      <c r="AS320" s="80">
        <v>1.94336E-4</v>
      </c>
      <c r="AT320" s="79">
        <v>12239.594999999999</v>
      </c>
      <c r="AU320" s="79">
        <v>0</v>
      </c>
      <c r="AV320" s="79">
        <v>3763</v>
      </c>
      <c r="AW320" s="79">
        <v>9948.5063275730899</v>
      </c>
      <c r="AX320" s="79">
        <v>21</v>
      </c>
      <c r="AY320" s="79">
        <v>22.05</v>
      </c>
      <c r="AZ320" s="79">
        <v>4131</v>
      </c>
      <c r="BA320" s="79">
        <v>1</v>
      </c>
      <c r="BB320" s="79">
        <v>0</v>
      </c>
      <c r="BC320" s="79">
        <v>0</v>
      </c>
      <c r="BD320" s="79">
        <v>0</v>
      </c>
      <c r="BE320" s="79">
        <v>0</v>
      </c>
      <c r="BF320" s="79">
        <v>0</v>
      </c>
      <c r="BG320" s="79">
        <v>0</v>
      </c>
      <c r="BH320" s="79">
        <v>0</v>
      </c>
      <c r="BI320" s="79">
        <v>0</v>
      </c>
      <c r="BJ320" s="79">
        <v>0</v>
      </c>
      <c r="BK320" s="79">
        <v>14</v>
      </c>
      <c r="BL320" s="79">
        <v>4690</v>
      </c>
      <c r="BM320" s="79">
        <v>200</v>
      </c>
      <c r="BN320" s="79">
        <v>289</v>
      </c>
      <c r="BO320">
        <v>8640</v>
      </c>
      <c r="BP320">
        <v>599</v>
      </c>
      <c r="BQ320">
        <v>7861</v>
      </c>
      <c r="BR320">
        <v>608</v>
      </c>
      <c r="BS320">
        <v>7786</v>
      </c>
      <c r="BT320">
        <v>596</v>
      </c>
      <c r="BU320">
        <v>7667</v>
      </c>
      <c r="BV320">
        <v>610</v>
      </c>
      <c r="BW320">
        <v>7586</v>
      </c>
      <c r="BX320">
        <v>718</v>
      </c>
      <c r="BY320">
        <v>7550</v>
      </c>
      <c r="BZ320">
        <v>800</v>
      </c>
      <c r="CA320">
        <v>7124</v>
      </c>
      <c r="CB320">
        <v>591.61692253011495</v>
      </c>
      <c r="CC320">
        <v>144.26833707477701</v>
      </c>
      <c r="CD320">
        <v>67.603507510891205</v>
      </c>
      <c r="CE320">
        <v>11303.8396488161</v>
      </c>
      <c r="CF320">
        <v>2752.1996792129598</v>
      </c>
      <c r="CG320">
        <v>244.04187315377899</v>
      </c>
      <c r="CH320">
        <v>407</v>
      </c>
      <c r="CI320">
        <v>147.839868353946</v>
      </c>
      <c r="CJ320">
        <v>143.321232071401</v>
      </c>
      <c r="CK320" s="81">
        <v>1479</v>
      </c>
      <c r="CL320">
        <v>296</v>
      </c>
      <c r="CM320">
        <v>6603.1778336325597</v>
      </c>
      <c r="CN320">
        <v>0.61698405945245804</v>
      </c>
      <c r="CO320">
        <v>29117</v>
      </c>
      <c r="CP320">
        <v>4719</v>
      </c>
      <c r="CQ320">
        <v>809</v>
      </c>
      <c r="CR320">
        <v>877</v>
      </c>
      <c r="CS320">
        <v>824</v>
      </c>
      <c r="CT320">
        <v>405</v>
      </c>
      <c r="CU320">
        <v>505.28068999334101</v>
      </c>
      <c r="CV320">
        <v>287.122806350811</v>
      </c>
      <c r="CW320">
        <v>97.036072152356297</v>
      </c>
      <c r="CX320">
        <v>1231.76507251668</v>
      </c>
      <c r="CY320">
        <v>699.94332138550499</v>
      </c>
      <c r="CZ320">
        <v>236.55296317192699</v>
      </c>
      <c r="DA320">
        <v>26592.3</v>
      </c>
      <c r="DE320">
        <v>1674</v>
      </c>
      <c r="DF320" t="s">
        <v>261</v>
      </c>
      <c r="DG320">
        <v>16148</v>
      </c>
      <c r="DH320">
        <v>16073</v>
      </c>
      <c r="DI320">
        <v>15904</v>
      </c>
      <c r="DJ320">
        <v>15711</v>
      </c>
      <c r="DK320">
        <v>15451</v>
      </c>
      <c r="DO320">
        <v>1709</v>
      </c>
      <c r="DP320" t="s">
        <v>205</v>
      </c>
      <c r="DQ320">
        <v>16385</v>
      </c>
      <c r="DR320">
        <v>1.0900000000000001</v>
      </c>
      <c r="DS320">
        <v>747</v>
      </c>
      <c r="DV320">
        <v>184</v>
      </c>
      <c r="DW320" t="s">
        <v>304</v>
      </c>
      <c r="DX320">
        <v>1364.1513594164501</v>
      </c>
      <c r="DY320">
        <v>209</v>
      </c>
      <c r="DZ320">
        <v>212</v>
      </c>
      <c r="EA320">
        <v>78</v>
      </c>
      <c r="EB320">
        <v>739</v>
      </c>
      <c r="EC320">
        <v>410</v>
      </c>
      <c r="ED320">
        <v>101</v>
      </c>
      <c r="EE320" s="82">
        <v>0.11271656937727199</v>
      </c>
      <c r="EF320" s="82">
        <v>0.50750240615976905</v>
      </c>
    </row>
    <row r="321" spans="1:136" x14ac:dyDescent="0.35">
      <c r="A321" s="72">
        <v>820</v>
      </c>
      <c r="B321" s="72">
        <v>10</v>
      </c>
      <c r="D321" s="72" t="s">
        <v>222</v>
      </c>
      <c r="E321" s="79">
        <v>2414000000</v>
      </c>
      <c r="F321" s="79">
        <v>219450000</v>
      </c>
      <c r="G321" s="79">
        <v>236600000</v>
      </c>
      <c r="H321" s="79">
        <v>23019</v>
      </c>
      <c r="I321" s="79">
        <v>2</v>
      </c>
      <c r="J321" s="79">
        <v>236.6</v>
      </c>
      <c r="K321" s="79">
        <v>4900</v>
      </c>
      <c r="L321" s="79">
        <v>5795</v>
      </c>
      <c r="M321" s="79">
        <v>1858</v>
      </c>
      <c r="N321" s="79">
        <v>2037</v>
      </c>
      <c r="O321" s="79">
        <v>1019.9</v>
      </c>
      <c r="P321" s="79">
        <v>361.66666666666703</v>
      </c>
      <c r="Q321" s="79">
        <v>1116.6666666666699</v>
      </c>
      <c r="R321" s="79">
        <v>400</v>
      </c>
      <c r="S321" s="79">
        <v>0</v>
      </c>
      <c r="T321" s="79">
        <v>652</v>
      </c>
      <c r="U321" s="79">
        <v>10082</v>
      </c>
      <c r="V321" s="79">
        <v>19510</v>
      </c>
      <c r="W321" s="79">
        <v>7800</v>
      </c>
      <c r="X321" s="79">
        <v>0</v>
      </c>
      <c r="Y321" s="79">
        <v>546.4</v>
      </c>
      <c r="Z321" s="79">
        <v>0</v>
      </c>
      <c r="AA321" s="79">
        <v>0</v>
      </c>
      <c r="AB321" s="79">
        <v>30.6999999999999</v>
      </c>
      <c r="AC321" s="79">
        <v>3361</v>
      </c>
      <c r="AD321" s="79">
        <v>3361</v>
      </c>
      <c r="AE321" s="79">
        <v>33</v>
      </c>
      <c r="AF321" s="79">
        <v>0</v>
      </c>
      <c r="AG321" s="79">
        <v>171</v>
      </c>
      <c r="AH321" s="79">
        <v>144</v>
      </c>
      <c r="AI321" s="79">
        <v>27</v>
      </c>
      <c r="AJ321" s="79">
        <v>10171</v>
      </c>
      <c r="AK321" s="79">
        <v>10171</v>
      </c>
      <c r="AL321" s="79">
        <v>0</v>
      </c>
      <c r="AM321" s="79">
        <v>0</v>
      </c>
      <c r="AN321" s="79">
        <v>0</v>
      </c>
      <c r="AO321" s="79">
        <v>0</v>
      </c>
      <c r="AP321" s="79">
        <v>0</v>
      </c>
      <c r="AQ321" s="79">
        <v>0</v>
      </c>
      <c r="AR321" s="80">
        <v>8.1248999999999994E-5</v>
      </c>
      <c r="AS321" s="80">
        <v>6.7951E-5</v>
      </c>
      <c r="AT321" s="79">
        <v>11340.665000000001</v>
      </c>
      <c r="AU321" s="79">
        <v>0</v>
      </c>
      <c r="AV321" s="79">
        <v>511</v>
      </c>
      <c r="AW321" s="79">
        <v>3465.7362993518</v>
      </c>
      <c r="AX321" s="79">
        <v>3</v>
      </c>
      <c r="AY321" s="79">
        <v>3</v>
      </c>
      <c r="AZ321" s="79">
        <v>2801</v>
      </c>
      <c r="BA321" s="79">
        <v>1</v>
      </c>
      <c r="BB321" s="79">
        <v>0</v>
      </c>
      <c r="BC321" s="79">
        <v>0</v>
      </c>
      <c r="BD321" s="79">
        <v>0</v>
      </c>
      <c r="BE321" s="79">
        <v>0</v>
      </c>
      <c r="BF321" s="79">
        <v>0</v>
      </c>
      <c r="BG321" s="79">
        <v>0</v>
      </c>
      <c r="BH321" s="79">
        <v>0</v>
      </c>
      <c r="BI321" s="79">
        <v>0</v>
      </c>
      <c r="BJ321" s="79">
        <v>0</v>
      </c>
      <c r="BK321" s="79">
        <v>21</v>
      </c>
      <c r="BL321" s="79">
        <v>2782</v>
      </c>
      <c r="BM321" s="79">
        <v>144</v>
      </c>
      <c r="BN321" s="79">
        <v>27</v>
      </c>
      <c r="BO321">
        <v>5622</v>
      </c>
      <c r="BP321">
        <v>593</v>
      </c>
      <c r="BQ321">
        <v>4938</v>
      </c>
      <c r="BR321">
        <v>548</v>
      </c>
      <c r="BS321">
        <v>4750</v>
      </c>
      <c r="BT321">
        <v>528</v>
      </c>
      <c r="BU321">
        <v>4647</v>
      </c>
      <c r="BV321">
        <v>539</v>
      </c>
      <c r="BW321">
        <v>4559</v>
      </c>
      <c r="BX321">
        <v>588</v>
      </c>
      <c r="BY321">
        <v>4481</v>
      </c>
      <c r="BZ321">
        <v>689</v>
      </c>
      <c r="CA321">
        <v>4353</v>
      </c>
      <c r="CB321">
        <v>340.33204242018797</v>
      </c>
      <c r="CC321">
        <v>24.923663834709799</v>
      </c>
      <c r="CD321">
        <v>41.801090726295897</v>
      </c>
      <c r="CE321">
        <v>8625.5320013764504</v>
      </c>
      <c r="CF321">
        <v>1999.2345086887401</v>
      </c>
      <c r="CG321">
        <v>102.883995708155</v>
      </c>
      <c r="CH321">
        <v>261</v>
      </c>
      <c r="CI321">
        <v>109.036278863684</v>
      </c>
      <c r="CJ321">
        <v>94.010214106240895</v>
      </c>
      <c r="CK321" s="81">
        <v>755</v>
      </c>
      <c r="CL321">
        <v>174</v>
      </c>
      <c r="CM321">
        <v>3581.2681702763298</v>
      </c>
      <c r="CN321">
        <v>0.541739890437542</v>
      </c>
      <c r="CO321">
        <v>17224</v>
      </c>
      <c r="CP321">
        <v>3427</v>
      </c>
      <c r="CQ321">
        <v>510</v>
      </c>
      <c r="CR321">
        <v>584</v>
      </c>
      <c r="CS321">
        <v>547</v>
      </c>
      <c r="CT321">
        <v>264</v>
      </c>
      <c r="CU321">
        <v>207.41004815645201</v>
      </c>
      <c r="CV321">
        <v>127.71406541871499</v>
      </c>
      <c r="CW321">
        <v>39.898114628452397</v>
      </c>
      <c r="CX321">
        <v>612.42798267565001</v>
      </c>
      <c r="CY321">
        <v>377.10645235803702</v>
      </c>
      <c r="CZ321">
        <v>117.80876612127</v>
      </c>
      <c r="DA321">
        <v>10585</v>
      </c>
      <c r="DE321">
        <v>1676</v>
      </c>
      <c r="DF321" t="s">
        <v>269</v>
      </c>
      <c r="DG321">
        <v>6750</v>
      </c>
      <c r="DH321">
        <v>6718</v>
      </c>
      <c r="DI321">
        <v>6703</v>
      </c>
      <c r="DJ321">
        <v>6537</v>
      </c>
      <c r="DK321">
        <v>6419</v>
      </c>
      <c r="DO321">
        <v>820</v>
      </c>
      <c r="DP321" t="s">
        <v>222</v>
      </c>
      <c r="DQ321">
        <v>10171</v>
      </c>
      <c r="DR321">
        <v>1</v>
      </c>
      <c r="DS321">
        <v>1115</v>
      </c>
      <c r="DV321">
        <v>344</v>
      </c>
      <c r="DW321" t="s">
        <v>305</v>
      </c>
      <c r="DX321">
        <v>47451.487168161599</v>
      </c>
      <c r="DY321">
        <v>6917</v>
      </c>
      <c r="DZ321">
        <v>4487</v>
      </c>
      <c r="EA321">
        <v>2273</v>
      </c>
      <c r="EB321">
        <v>14143</v>
      </c>
      <c r="EC321">
        <v>8160</v>
      </c>
      <c r="ED321">
        <v>3024</v>
      </c>
      <c r="EE321" s="82">
        <v>0.20047800891692999</v>
      </c>
      <c r="EF321" s="82">
        <v>0.41502120714199497</v>
      </c>
    </row>
    <row r="322" spans="1:136" x14ac:dyDescent="0.35">
      <c r="A322" s="72">
        <v>823</v>
      </c>
      <c r="B322" s="72">
        <v>10</v>
      </c>
      <c r="D322" s="72" t="s">
        <v>225</v>
      </c>
      <c r="E322" s="79">
        <v>1845600000</v>
      </c>
      <c r="F322" s="79">
        <v>395500000</v>
      </c>
      <c r="G322" s="79">
        <v>433300000</v>
      </c>
      <c r="H322" s="79">
        <v>18558</v>
      </c>
      <c r="I322" s="79">
        <v>2</v>
      </c>
      <c r="J322" s="79">
        <v>433.3</v>
      </c>
      <c r="K322" s="79">
        <v>4042</v>
      </c>
      <c r="L322" s="79">
        <v>3832</v>
      </c>
      <c r="M322" s="79">
        <v>1158</v>
      </c>
      <c r="N322" s="79">
        <v>1868</v>
      </c>
      <c r="O322" s="79">
        <v>1066.0999999999999</v>
      </c>
      <c r="P322" s="79">
        <v>138.333333333333</v>
      </c>
      <c r="Q322" s="79">
        <v>839.33333333333303</v>
      </c>
      <c r="R322" s="79">
        <v>230</v>
      </c>
      <c r="S322" s="79">
        <v>0</v>
      </c>
      <c r="T322" s="79">
        <v>382</v>
      </c>
      <c r="U322" s="79">
        <v>7778</v>
      </c>
      <c r="V322" s="79">
        <v>14580</v>
      </c>
      <c r="W322" s="79">
        <v>3250</v>
      </c>
      <c r="X322" s="79">
        <v>0</v>
      </c>
      <c r="Y322" s="79">
        <v>887.2</v>
      </c>
      <c r="Z322" s="79">
        <v>0</v>
      </c>
      <c r="AA322" s="79">
        <v>0</v>
      </c>
      <c r="AB322" s="79">
        <v>42</v>
      </c>
      <c r="AC322" s="79">
        <v>10176</v>
      </c>
      <c r="AD322" s="79">
        <v>10176</v>
      </c>
      <c r="AE322" s="79">
        <v>108</v>
      </c>
      <c r="AF322" s="79">
        <v>0</v>
      </c>
      <c r="AG322" s="79">
        <v>225</v>
      </c>
      <c r="AH322" s="79">
        <v>133</v>
      </c>
      <c r="AI322" s="79">
        <v>93</v>
      </c>
      <c r="AJ322" s="79">
        <v>8019</v>
      </c>
      <c r="AK322" s="79">
        <v>8019</v>
      </c>
      <c r="AL322" s="79">
        <v>10</v>
      </c>
      <c r="AM322" s="79">
        <v>0</v>
      </c>
      <c r="AN322" s="79">
        <v>0</v>
      </c>
      <c r="AO322" s="79">
        <v>0</v>
      </c>
      <c r="AP322" s="79">
        <v>0</v>
      </c>
      <c r="AQ322" s="79">
        <v>0</v>
      </c>
      <c r="AR322" s="80">
        <v>1.8325500000000001E-4</v>
      </c>
      <c r="AS322" s="80">
        <v>5.5822000000000002E-5</v>
      </c>
      <c r="AT322" s="79">
        <v>4899.6090000000004</v>
      </c>
      <c r="AU322" s="79">
        <v>0</v>
      </c>
      <c r="AV322" s="79">
        <v>1291</v>
      </c>
      <c r="AW322" s="79">
        <v>2329.6750291715298</v>
      </c>
      <c r="AX322" s="79">
        <v>9</v>
      </c>
      <c r="AY322" s="79">
        <v>9</v>
      </c>
      <c r="AZ322" s="79">
        <v>2425</v>
      </c>
      <c r="BA322" s="79">
        <v>1</v>
      </c>
      <c r="BB322" s="79">
        <v>0</v>
      </c>
      <c r="BC322" s="79">
        <v>0</v>
      </c>
      <c r="BD322" s="79">
        <v>0</v>
      </c>
      <c r="BE322" s="79">
        <v>0</v>
      </c>
      <c r="BF322" s="79">
        <v>0</v>
      </c>
      <c r="BG322" s="79">
        <v>0</v>
      </c>
      <c r="BH322" s="79">
        <v>0</v>
      </c>
      <c r="BI322" s="79">
        <v>0</v>
      </c>
      <c r="BJ322" s="79">
        <v>0</v>
      </c>
      <c r="BK322" s="79">
        <v>23</v>
      </c>
      <c r="BL322" s="79">
        <v>1981</v>
      </c>
      <c r="BM322" s="79">
        <v>133</v>
      </c>
      <c r="BN322" s="79">
        <v>93</v>
      </c>
      <c r="BO322">
        <v>4581</v>
      </c>
      <c r="BP322">
        <v>970</v>
      </c>
      <c r="BQ322">
        <v>4106</v>
      </c>
      <c r="BR322">
        <v>991</v>
      </c>
      <c r="BS322">
        <v>4008</v>
      </c>
      <c r="BT322">
        <v>1036</v>
      </c>
      <c r="BU322">
        <v>3929</v>
      </c>
      <c r="BV322">
        <v>1066</v>
      </c>
      <c r="BW322">
        <v>3876</v>
      </c>
      <c r="BX322">
        <v>1109</v>
      </c>
      <c r="BY322">
        <v>3805</v>
      </c>
      <c r="BZ322">
        <v>1148</v>
      </c>
      <c r="CA322">
        <v>3532</v>
      </c>
      <c r="CB322">
        <v>196.65070254651201</v>
      </c>
      <c r="CC322">
        <v>21.6720249266377</v>
      </c>
      <c r="CD322">
        <v>35.403464153148398</v>
      </c>
      <c r="CE322">
        <v>5701.39033583944</v>
      </c>
      <c r="CF322">
        <v>1441.3414823928399</v>
      </c>
      <c r="CG322">
        <v>73.809994459833803</v>
      </c>
      <c r="CH322">
        <v>153</v>
      </c>
      <c r="CI322">
        <v>38.166527173610397</v>
      </c>
      <c r="CJ322">
        <v>25.897153319832402</v>
      </c>
      <c r="CK322" s="81">
        <v>701</v>
      </c>
      <c r="CL322">
        <v>114</v>
      </c>
      <c r="CM322">
        <v>2667.72652123743</v>
      </c>
      <c r="CN322">
        <v>9.0204405789703498E-2</v>
      </c>
      <c r="CO322">
        <v>14726</v>
      </c>
      <c r="CP322">
        <v>2234</v>
      </c>
      <c r="CQ322">
        <v>440</v>
      </c>
      <c r="CR322">
        <v>389</v>
      </c>
      <c r="CS322">
        <v>365</v>
      </c>
      <c r="CT322">
        <v>186</v>
      </c>
      <c r="CU322">
        <v>181.27635421403701</v>
      </c>
      <c r="CV322">
        <v>100.413534432574</v>
      </c>
      <c r="CW322">
        <v>35.111487536688003</v>
      </c>
      <c r="CX322">
        <v>503.720243126752</v>
      </c>
      <c r="CY322">
        <v>279.023318826631</v>
      </c>
      <c r="CZ322">
        <v>97.565769761894799</v>
      </c>
      <c r="DA322">
        <v>4593</v>
      </c>
      <c r="DE322">
        <v>1680</v>
      </c>
      <c r="DF322" t="s">
        <v>0</v>
      </c>
      <c r="DG322">
        <v>5449</v>
      </c>
      <c r="DH322">
        <v>5357</v>
      </c>
      <c r="DI322">
        <v>5252</v>
      </c>
      <c r="DJ322">
        <v>5152</v>
      </c>
      <c r="DK322">
        <v>5058</v>
      </c>
      <c r="DO322">
        <v>823</v>
      </c>
      <c r="DP322" t="s">
        <v>225</v>
      </c>
      <c r="DQ322">
        <v>8019</v>
      </c>
      <c r="DR322">
        <v>1</v>
      </c>
      <c r="DS322">
        <v>611</v>
      </c>
      <c r="DV322">
        <v>1581</v>
      </c>
      <c r="DW322" t="s">
        <v>306</v>
      </c>
      <c r="DX322">
        <v>5385.0293911171402</v>
      </c>
      <c r="DY322">
        <v>1354</v>
      </c>
      <c r="DZ322">
        <v>1330</v>
      </c>
      <c r="EA322">
        <v>811</v>
      </c>
      <c r="EB322">
        <v>3820</v>
      </c>
      <c r="EC322">
        <v>2665</v>
      </c>
      <c r="ED322">
        <v>1135</v>
      </c>
      <c r="EE322" s="82">
        <v>0.11898374979127101</v>
      </c>
      <c r="EF322" s="82">
        <v>0.29039926317332598</v>
      </c>
    </row>
    <row r="323" spans="1:136" x14ac:dyDescent="0.35">
      <c r="A323" s="72">
        <v>824</v>
      </c>
      <c r="B323" s="72">
        <v>10</v>
      </c>
      <c r="D323" s="72" t="s">
        <v>226</v>
      </c>
      <c r="E323" s="79">
        <v>2832800000</v>
      </c>
      <c r="F323" s="79">
        <v>378350000</v>
      </c>
      <c r="G323" s="79">
        <v>421400000</v>
      </c>
      <c r="H323" s="79">
        <v>26132</v>
      </c>
      <c r="I323" s="79">
        <v>3</v>
      </c>
      <c r="J323" s="79">
        <v>421.4</v>
      </c>
      <c r="K323" s="79">
        <v>5602</v>
      </c>
      <c r="L323" s="79">
        <v>6123</v>
      </c>
      <c r="M323" s="79">
        <v>2038</v>
      </c>
      <c r="N323" s="79">
        <v>3068</v>
      </c>
      <c r="O323" s="79">
        <v>1878.4</v>
      </c>
      <c r="P323" s="79">
        <v>258.33333333333297</v>
      </c>
      <c r="Q323" s="79">
        <v>1358.3333333333301</v>
      </c>
      <c r="R323" s="79">
        <v>680</v>
      </c>
      <c r="S323" s="79">
        <v>0</v>
      </c>
      <c r="T323" s="79">
        <v>728</v>
      </c>
      <c r="U323" s="79">
        <v>11958</v>
      </c>
      <c r="V323" s="79">
        <v>24180</v>
      </c>
      <c r="W323" s="79">
        <v>9680</v>
      </c>
      <c r="X323" s="79">
        <v>544.84</v>
      </c>
      <c r="Y323" s="79">
        <v>1443.2</v>
      </c>
      <c r="Z323" s="79">
        <v>0</v>
      </c>
      <c r="AA323" s="79">
        <v>0</v>
      </c>
      <c r="AB323" s="79">
        <v>429</v>
      </c>
      <c r="AC323" s="79">
        <v>6384</v>
      </c>
      <c r="AD323" s="79">
        <v>6384</v>
      </c>
      <c r="AE323" s="79">
        <v>128</v>
      </c>
      <c r="AF323" s="79">
        <v>0</v>
      </c>
      <c r="AG323" s="79">
        <v>224</v>
      </c>
      <c r="AH323" s="79">
        <v>162</v>
      </c>
      <c r="AI323" s="79">
        <v>62</v>
      </c>
      <c r="AJ323" s="79">
        <v>11896</v>
      </c>
      <c r="AK323" s="79">
        <v>11896</v>
      </c>
      <c r="AL323" s="79">
        <v>10</v>
      </c>
      <c r="AM323" s="79">
        <v>0</v>
      </c>
      <c r="AN323" s="79">
        <v>0</v>
      </c>
      <c r="AO323" s="79">
        <v>0</v>
      </c>
      <c r="AP323" s="79">
        <v>1176</v>
      </c>
      <c r="AQ323" s="79">
        <v>1176</v>
      </c>
      <c r="AR323" s="80">
        <v>2.37082E-4</v>
      </c>
      <c r="AS323" s="80">
        <v>1.3608700000000001E-4</v>
      </c>
      <c r="AT323" s="79">
        <v>11693.768</v>
      </c>
      <c r="AU323" s="79">
        <v>0</v>
      </c>
      <c r="AV323" s="79">
        <v>1179</v>
      </c>
      <c r="AW323" s="79">
        <v>4731.2082309582302</v>
      </c>
      <c r="AX323" s="79">
        <v>3</v>
      </c>
      <c r="AY323" s="79">
        <v>3</v>
      </c>
      <c r="AZ323" s="79">
        <v>3585</v>
      </c>
      <c r="BA323" s="79">
        <v>1</v>
      </c>
      <c r="BB323" s="79">
        <v>0</v>
      </c>
      <c r="BC323" s="79">
        <v>0</v>
      </c>
      <c r="BD323" s="79">
        <v>0</v>
      </c>
      <c r="BE323" s="79">
        <v>0</v>
      </c>
      <c r="BF323" s="79">
        <v>0</v>
      </c>
      <c r="BG323" s="79">
        <v>0</v>
      </c>
      <c r="BH323" s="79">
        <v>0</v>
      </c>
      <c r="BI323" s="79">
        <v>0</v>
      </c>
      <c r="BJ323" s="79">
        <v>0</v>
      </c>
      <c r="BK323" s="79">
        <v>17</v>
      </c>
      <c r="BL323" s="79">
        <v>3447</v>
      </c>
      <c r="BM323" s="79">
        <v>162</v>
      </c>
      <c r="BN323" s="79">
        <v>62</v>
      </c>
      <c r="BO323">
        <v>6360</v>
      </c>
      <c r="BP323">
        <v>1250</v>
      </c>
      <c r="BQ323">
        <v>5588</v>
      </c>
      <c r="BR323">
        <v>1375</v>
      </c>
      <c r="BS323">
        <v>5576</v>
      </c>
      <c r="BT323">
        <v>1437</v>
      </c>
      <c r="BU323">
        <v>5371</v>
      </c>
      <c r="BV323">
        <v>1548</v>
      </c>
      <c r="BW323">
        <v>5354</v>
      </c>
      <c r="BX323">
        <v>1655</v>
      </c>
      <c r="BY323">
        <v>5165</v>
      </c>
      <c r="BZ323">
        <v>1717</v>
      </c>
      <c r="CA323">
        <v>5018</v>
      </c>
      <c r="CB323">
        <v>463.63923338874201</v>
      </c>
      <c r="CC323">
        <v>81.418015172765294</v>
      </c>
      <c r="CD323">
        <v>72.249431771876701</v>
      </c>
      <c r="CE323">
        <v>8646.1677066023094</v>
      </c>
      <c r="CF323">
        <v>2077.91528350104</v>
      </c>
      <c r="CG323">
        <v>142.25022807466101</v>
      </c>
      <c r="CH323">
        <v>280</v>
      </c>
      <c r="CI323">
        <v>87.755469263868704</v>
      </c>
      <c r="CJ323">
        <v>71.660616035700599</v>
      </c>
      <c r="CK323" s="81">
        <v>1100</v>
      </c>
      <c r="CL323">
        <v>286</v>
      </c>
      <c r="CM323">
        <v>4616.2655931875397</v>
      </c>
      <c r="CN323">
        <v>0.120760921682632</v>
      </c>
      <c r="CO323">
        <v>20009</v>
      </c>
      <c r="CP323">
        <v>3333</v>
      </c>
      <c r="CQ323">
        <v>752</v>
      </c>
      <c r="CR323">
        <v>632</v>
      </c>
      <c r="CS323">
        <v>693</v>
      </c>
      <c r="CT323">
        <v>316</v>
      </c>
      <c r="CU323">
        <v>316.07580218540397</v>
      </c>
      <c r="CV323">
        <v>222.61082971099901</v>
      </c>
      <c r="CW323">
        <v>71.677529566520306</v>
      </c>
      <c r="CX323">
        <v>688.01533842128799</v>
      </c>
      <c r="CY323">
        <v>484.566247339668</v>
      </c>
      <c r="CZ323">
        <v>156.02345836326899</v>
      </c>
      <c r="DA323">
        <v>51738</v>
      </c>
      <c r="DE323">
        <v>1681</v>
      </c>
      <c r="DF323" t="s">
        <v>55</v>
      </c>
      <c r="DG323">
        <v>5506</v>
      </c>
      <c r="DH323">
        <v>5443</v>
      </c>
      <c r="DI323">
        <v>5311</v>
      </c>
      <c r="DJ323">
        <v>5259</v>
      </c>
      <c r="DK323">
        <v>5092</v>
      </c>
      <c r="DO323">
        <v>824</v>
      </c>
      <c r="DP323" t="s">
        <v>226</v>
      </c>
      <c r="DQ323">
        <v>11896</v>
      </c>
      <c r="DR323">
        <v>1</v>
      </c>
      <c r="DS323">
        <v>983</v>
      </c>
      <c r="DV323">
        <v>981</v>
      </c>
      <c r="DW323" t="s">
        <v>307</v>
      </c>
      <c r="DX323">
        <v>2015.97793972819</v>
      </c>
      <c r="DY323">
        <v>396</v>
      </c>
      <c r="DZ323">
        <v>325</v>
      </c>
      <c r="EA323">
        <v>131</v>
      </c>
      <c r="EB323">
        <v>984</v>
      </c>
      <c r="EC323">
        <v>632</v>
      </c>
      <c r="ED323">
        <v>186</v>
      </c>
      <c r="EE323" s="82">
        <v>0.235548924721735</v>
      </c>
      <c r="EF323" s="82">
        <v>0.59324584449704798</v>
      </c>
    </row>
    <row r="324" spans="1:136" x14ac:dyDescent="0.35">
      <c r="A324" s="72">
        <v>826</v>
      </c>
      <c r="B324" s="72">
        <v>10</v>
      </c>
      <c r="D324" s="72" t="s">
        <v>233</v>
      </c>
      <c r="E324" s="79">
        <v>4540000000</v>
      </c>
      <c r="F324" s="79">
        <v>1094800000</v>
      </c>
      <c r="G324" s="79">
        <v>1115450000</v>
      </c>
      <c r="H324" s="79">
        <v>55147</v>
      </c>
      <c r="I324" s="79">
        <v>2</v>
      </c>
      <c r="J324" s="79">
        <v>1115.45</v>
      </c>
      <c r="K324" s="79">
        <v>11789</v>
      </c>
      <c r="L324" s="79">
        <v>12035</v>
      </c>
      <c r="M324" s="79">
        <v>3688</v>
      </c>
      <c r="N324" s="79">
        <v>7224</v>
      </c>
      <c r="O324" s="79">
        <v>4676.8999999999996</v>
      </c>
      <c r="P324" s="79">
        <v>1019</v>
      </c>
      <c r="Q324" s="79">
        <v>3542</v>
      </c>
      <c r="R324" s="79">
        <v>4345</v>
      </c>
      <c r="S324" s="79">
        <v>0</v>
      </c>
      <c r="T324" s="79">
        <v>1802</v>
      </c>
      <c r="U324" s="79">
        <v>25042</v>
      </c>
      <c r="V324" s="79">
        <v>56060</v>
      </c>
      <c r="W324" s="79">
        <v>45730</v>
      </c>
      <c r="X324" s="79">
        <v>1539.44</v>
      </c>
      <c r="Y324" s="79">
        <v>2068</v>
      </c>
      <c r="Z324" s="79">
        <v>0</v>
      </c>
      <c r="AA324" s="79">
        <v>0</v>
      </c>
      <c r="AB324" s="79">
        <v>0</v>
      </c>
      <c r="AC324" s="79">
        <v>7142</v>
      </c>
      <c r="AD324" s="79">
        <v>7142</v>
      </c>
      <c r="AE324" s="79">
        <v>167</v>
      </c>
      <c r="AF324" s="79">
        <v>0</v>
      </c>
      <c r="AG324" s="79">
        <v>445</v>
      </c>
      <c r="AH324" s="79">
        <v>310</v>
      </c>
      <c r="AI324" s="79">
        <v>135</v>
      </c>
      <c r="AJ324" s="79">
        <v>25471</v>
      </c>
      <c r="AK324" s="79">
        <v>25471</v>
      </c>
      <c r="AL324" s="79">
        <v>10</v>
      </c>
      <c r="AM324" s="79">
        <v>0</v>
      </c>
      <c r="AN324" s="79">
        <v>0</v>
      </c>
      <c r="AO324" s="79">
        <v>0</v>
      </c>
      <c r="AP324" s="79">
        <v>1991</v>
      </c>
      <c r="AQ324" s="79">
        <v>1991</v>
      </c>
      <c r="AR324" s="80">
        <v>4.02929E-4</v>
      </c>
      <c r="AS324" s="80">
        <v>8.4261600000000002E-4</v>
      </c>
      <c r="AT324" s="79">
        <v>39174.398000000001</v>
      </c>
      <c r="AU324" s="79">
        <v>0</v>
      </c>
      <c r="AV324" s="79">
        <v>1323</v>
      </c>
      <c r="AW324" s="79">
        <v>9982.1427007798593</v>
      </c>
      <c r="AX324" s="79">
        <v>7</v>
      </c>
      <c r="AY324" s="79">
        <v>7</v>
      </c>
      <c r="AZ324" s="79">
        <v>5742</v>
      </c>
      <c r="BA324" s="79">
        <v>1</v>
      </c>
      <c r="BB324" s="79">
        <v>0</v>
      </c>
      <c r="BC324" s="79">
        <v>0</v>
      </c>
      <c r="BD324" s="79">
        <v>0</v>
      </c>
      <c r="BE324" s="79">
        <v>0</v>
      </c>
      <c r="BF324" s="79">
        <v>0</v>
      </c>
      <c r="BG324" s="79">
        <v>0</v>
      </c>
      <c r="BH324" s="79">
        <v>0</v>
      </c>
      <c r="BI324" s="79">
        <v>0</v>
      </c>
      <c r="BJ324" s="79">
        <v>0</v>
      </c>
      <c r="BK324" s="79">
        <v>41</v>
      </c>
      <c r="BL324" s="79">
        <v>7807</v>
      </c>
      <c r="BM324" s="79">
        <v>310</v>
      </c>
      <c r="BN324" s="79">
        <v>135</v>
      </c>
      <c r="BO324">
        <v>12738</v>
      </c>
      <c r="BP324">
        <v>2895</v>
      </c>
      <c r="BQ324">
        <v>11578</v>
      </c>
      <c r="BR324">
        <v>2789</v>
      </c>
      <c r="BS324">
        <v>11400</v>
      </c>
      <c r="BT324">
        <v>2683</v>
      </c>
      <c r="BU324">
        <v>11246</v>
      </c>
      <c r="BV324">
        <v>2573</v>
      </c>
      <c r="BW324">
        <v>11091</v>
      </c>
      <c r="BX324">
        <v>2491</v>
      </c>
      <c r="BY324">
        <v>10792</v>
      </c>
      <c r="BZ324">
        <v>2449</v>
      </c>
      <c r="CA324">
        <v>10553</v>
      </c>
      <c r="CB324">
        <v>1276.3204662202099</v>
      </c>
      <c r="CC324">
        <v>224.480575675919</v>
      </c>
      <c r="CD324">
        <v>173.854707600056</v>
      </c>
      <c r="CE324">
        <v>16962.6375232686</v>
      </c>
      <c r="CF324">
        <v>3967.7984926098402</v>
      </c>
      <c r="CG324">
        <v>484.36198803255201</v>
      </c>
      <c r="CH324">
        <v>631</v>
      </c>
      <c r="CI324">
        <v>366.54296278215003</v>
      </c>
      <c r="CJ324">
        <v>296.22086331589099</v>
      </c>
      <c r="CK324" s="81">
        <v>2523</v>
      </c>
      <c r="CL324">
        <v>546</v>
      </c>
      <c r="CM324">
        <v>10056.7268962198</v>
      </c>
      <c r="CN324">
        <v>1.9072483773896101</v>
      </c>
      <c r="CO324">
        <v>43112</v>
      </c>
      <c r="CP324">
        <v>7191</v>
      </c>
      <c r="CQ324">
        <v>1156</v>
      </c>
      <c r="CR324">
        <v>1439</v>
      </c>
      <c r="CS324">
        <v>1265</v>
      </c>
      <c r="CT324">
        <v>631</v>
      </c>
      <c r="CU324">
        <v>815.14422565241</v>
      </c>
      <c r="CV324">
        <v>479.09693280629398</v>
      </c>
      <c r="CW324">
        <v>164.350998413811</v>
      </c>
      <c r="CX324">
        <v>1908.4371174763401</v>
      </c>
      <c r="CY324">
        <v>1121.67434996525</v>
      </c>
      <c r="CZ324">
        <v>384.78288356416402</v>
      </c>
      <c r="DA324">
        <v>9030</v>
      </c>
      <c r="DE324">
        <v>1684</v>
      </c>
      <c r="DF324" t="s">
        <v>72</v>
      </c>
      <c r="DG324">
        <v>5475</v>
      </c>
      <c r="DH324">
        <v>5421</v>
      </c>
      <c r="DI324">
        <v>5404</v>
      </c>
      <c r="DJ324">
        <v>5360</v>
      </c>
      <c r="DK324">
        <v>5268</v>
      </c>
      <c r="DO324">
        <v>826</v>
      </c>
      <c r="DP324" t="s">
        <v>233</v>
      </c>
      <c r="DQ324">
        <v>25471</v>
      </c>
      <c r="DR324">
        <v>1</v>
      </c>
      <c r="DS324">
        <v>1538</v>
      </c>
      <c r="DV324">
        <v>994</v>
      </c>
      <c r="DW324" t="s">
        <v>308</v>
      </c>
      <c r="DX324">
        <v>2685.10772357724</v>
      </c>
      <c r="DY324">
        <v>570</v>
      </c>
      <c r="DZ324">
        <v>545</v>
      </c>
      <c r="EA324">
        <v>243</v>
      </c>
      <c r="EB324">
        <v>1578</v>
      </c>
      <c r="EC324">
        <v>1065</v>
      </c>
      <c r="ED324">
        <v>334</v>
      </c>
      <c r="EE324" s="82">
        <v>0.199844525245922</v>
      </c>
      <c r="EF324" s="82">
        <v>0.45316433785906901</v>
      </c>
    </row>
    <row r="325" spans="1:136" x14ac:dyDescent="0.35">
      <c r="A325" s="72">
        <v>828</v>
      </c>
      <c r="B325" s="72">
        <v>10</v>
      </c>
      <c r="D325" s="72" t="s">
        <v>238</v>
      </c>
      <c r="E325" s="79">
        <v>6822400000</v>
      </c>
      <c r="F325" s="79">
        <v>1112300000</v>
      </c>
      <c r="G325" s="79">
        <v>1199100000</v>
      </c>
      <c r="H325" s="79">
        <v>90951</v>
      </c>
      <c r="I325" s="79">
        <v>6</v>
      </c>
      <c r="J325" s="79">
        <v>1199.0999999999999</v>
      </c>
      <c r="K325" s="79">
        <v>19977</v>
      </c>
      <c r="L325" s="79">
        <v>17676</v>
      </c>
      <c r="M325" s="79">
        <v>5500</v>
      </c>
      <c r="N325" s="79">
        <v>12107</v>
      </c>
      <c r="O325" s="79">
        <v>8121.3</v>
      </c>
      <c r="P325" s="79">
        <v>1608</v>
      </c>
      <c r="Q325" s="79">
        <v>7864</v>
      </c>
      <c r="R325" s="79">
        <v>6365</v>
      </c>
      <c r="S325" s="79">
        <v>0</v>
      </c>
      <c r="T325" s="79">
        <v>2836</v>
      </c>
      <c r="U325" s="79">
        <v>40547</v>
      </c>
      <c r="V325" s="79">
        <v>95110</v>
      </c>
      <c r="W325" s="79">
        <v>98320</v>
      </c>
      <c r="X325" s="79">
        <v>2303.58</v>
      </c>
      <c r="Y325" s="79">
        <v>5158.3999999999996</v>
      </c>
      <c r="Z325" s="79">
        <v>0</v>
      </c>
      <c r="AA325" s="79">
        <v>0</v>
      </c>
      <c r="AB325" s="79">
        <v>0</v>
      </c>
      <c r="AC325" s="79">
        <v>16245</v>
      </c>
      <c r="AD325" s="79">
        <v>16245</v>
      </c>
      <c r="AE325" s="79">
        <v>848</v>
      </c>
      <c r="AF325" s="79">
        <v>0</v>
      </c>
      <c r="AG325" s="79">
        <v>750</v>
      </c>
      <c r="AH325" s="79">
        <v>559</v>
      </c>
      <c r="AI325" s="79">
        <v>191</v>
      </c>
      <c r="AJ325" s="79">
        <v>39857</v>
      </c>
      <c r="AK325" s="79">
        <v>39857</v>
      </c>
      <c r="AL325" s="79">
        <v>10</v>
      </c>
      <c r="AM325" s="79">
        <v>0</v>
      </c>
      <c r="AN325" s="79">
        <v>0</v>
      </c>
      <c r="AO325" s="79">
        <v>1400</v>
      </c>
      <c r="AP325" s="79">
        <v>2590</v>
      </c>
      <c r="AQ325" s="79">
        <v>0</v>
      </c>
      <c r="AR325" s="80">
        <v>7.3687700000000004E-4</v>
      </c>
      <c r="AS325" s="80">
        <v>1.0370729999999999E-3</v>
      </c>
      <c r="AT325" s="79">
        <v>54484.519</v>
      </c>
      <c r="AU325" s="79">
        <v>0</v>
      </c>
      <c r="AV325" s="79">
        <v>3316</v>
      </c>
      <c r="AW325" s="79">
        <v>17676.196220675101</v>
      </c>
      <c r="AX325" s="79">
        <v>22</v>
      </c>
      <c r="AY325" s="79">
        <v>22</v>
      </c>
      <c r="AZ325" s="79">
        <v>9091</v>
      </c>
      <c r="BA325" s="79">
        <v>1</v>
      </c>
      <c r="BB325" s="79">
        <v>0</v>
      </c>
      <c r="BC325" s="79">
        <v>0</v>
      </c>
      <c r="BD325" s="79">
        <v>0</v>
      </c>
      <c r="BE325" s="79">
        <v>0</v>
      </c>
      <c r="BF325" s="79">
        <v>0</v>
      </c>
      <c r="BG325" s="79">
        <v>0</v>
      </c>
      <c r="BH325" s="79">
        <v>0</v>
      </c>
      <c r="BI325" s="79">
        <v>0</v>
      </c>
      <c r="BJ325" s="79">
        <v>0</v>
      </c>
      <c r="BK325" s="79">
        <v>298</v>
      </c>
      <c r="BL325" s="79">
        <v>12965</v>
      </c>
      <c r="BM325" s="79">
        <v>559</v>
      </c>
      <c r="BN325" s="79">
        <v>191</v>
      </c>
      <c r="BO325">
        <v>21560</v>
      </c>
      <c r="BP325">
        <v>6873</v>
      </c>
      <c r="BQ325">
        <v>19258.32</v>
      </c>
      <c r="BR325">
        <v>6754</v>
      </c>
      <c r="BS325">
        <v>19075.3</v>
      </c>
      <c r="BT325">
        <v>6783</v>
      </c>
      <c r="BU325">
        <v>18823.48</v>
      </c>
      <c r="BV325">
        <v>6842</v>
      </c>
      <c r="BW325">
        <v>18759.599999999999</v>
      </c>
      <c r="BX325">
        <v>6910</v>
      </c>
      <c r="BY325">
        <v>18542.939999999999</v>
      </c>
      <c r="BZ325">
        <v>6904</v>
      </c>
      <c r="CA325">
        <v>17616</v>
      </c>
      <c r="CB325">
        <v>2075.3276074054302</v>
      </c>
      <c r="CC325">
        <v>407.60999722472701</v>
      </c>
      <c r="CD325">
        <v>271.94306037190302</v>
      </c>
      <c r="CE325">
        <v>26184.502634542601</v>
      </c>
      <c r="CF325">
        <v>6445.6638488755498</v>
      </c>
      <c r="CG325">
        <v>675.93000083229299</v>
      </c>
      <c r="CH325">
        <v>1067</v>
      </c>
      <c r="CI325">
        <v>506.91004805520402</v>
      </c>
      <c r="CJ325">
        <v>450.539516660098</v>
      </c>
      <c r="CK325" s="81">
        <v>6256</v>
      </c>
      <c r="CL325">
        <v>1367</v>
      </c>
      <c r="CM325">
        <v>15136.4097490084</v>
      </c>
      <c r="CN325">
        <v>3.0257199059882001</v>
      </c>
      <c r="CO325">
        <v>73275</v>
      </c>
      <c r="CP325">
        <v>10328</v>
      </c>
      <c r="CQ325">
        <v>1848</v>
      </c>
      <c r="CR325">
        <v>2121</v>
      </c>
      <c r="CS325">
        <v>1887</v>
      </c>
      <c r="CT325">
        <v>992</v>
      </c>
      <c r="CU325">
        <v>1312.90585327286</v>
      </c>
      <c r="CV325">
        <v>780.04091360057305</v>
      </c>
      <c r="CW325">
        <v>276.111660900934</v>
      </c>
      <c r="CX325">
        <v>2997.2984827719001</v>
      </c>
      <c r="CY325">
        <v>1780.79444234841</v>
      </c>
      <c r="CZ325">
        <v>630.34912993262697</v>
      </c>
      <c r="DA325">
        <v>21223</v>
      </c>
      <c r="DE325">
        <v>1685</v>
      </c>
      <c r="DF325" t="s">
        <v>172</v>
      </c>
      <c r="DG325">
        <v>3451</v>
      </c>
      <c r="DH325">
        <v>3388</v>
      </c>
      <c r="DI325">
        <v>3374</v>
      </c>
      <c r="DJ325">
        <v>3360</v>
      </c>
      <c r="DK325">
        <v>3354</v>
      </c>
      <c r="DO325">
        <v>828</v>
      </c>
      <c r="DP325" t="s">
        <v>238</v>
      </c>
      <c r="DQ325">
        <v>39857</v>
      </c>
      <c r="DR325">
        <v>1</v>
      </c>
      <c r="DS325">
        <v>1367</v>
      </c>
      <c r="DV325">
        <v>858</v>
      </c>
      <c r="DW325" t="s">
        <v>309</v>
      </c>
      <c r="DX325">
        <v>4505.0124634997501</v>
      </c>
      <c r="DY325">
        <v>852</v>
      </c>
      <c r="DZ325">
        <v>824</v>
      </c>
      <c r="EA325">
        <v>425</v>
      </c>
      <c r="EB325">
        <v>2590</v>
      </c>
      <c r="EC325">
        <v>1763</v>
      </c>
      <c r="ED325">
        <v>617</v>
      </c>
      <c r="EE325" s="82">
        <v>0.208477982984097</v>
      </c>
      <c r="EF325" s="82">
        <v>0.45316433785906901</v>
      </c>
    </row>
    <row r="326" spans="1:136" x14ac:dyDescent="0.35">
      <c r="A326" s="72">
        <v>1667</v>
      </c>
      <c r="B326" s="72">
        <v>10</v>
      </c>
      <c r="D326" s="72" t="s">
        <v>253</v>
      </c>
      <c r="E326" s="79">
        <v>1114800000</v>
      </c>
      <c r="F326" s="79">
        <v>158550000</v>
      </c>
      <c r="G326" s="79">
        <v>194250000</v>
      </c>
      <c r="H326" s="79">
        <v>13040</v>
      </c>
      <c r="I326" s="79">
        <v>3</v>
      </c>
      <c r="J326" s="79">
        <v>194.25</v>
      </c>
      <c r="K326" s="79">
        <v>2862</v>
      </c>
      <c r="L326" s="79">
        <v>2453</v>
      </c>
      <c r="M326" s="79">
        <v>708</v>
      </c>
      <c r="N326" s="79">
        <v>1347</v>
      </c>
      <c r="O326" s="79">
        <v>783.8</v>
      </c>
      <c r="P326" s="79">
        <v>97.6666666666667</v>
      </c>
      <c r="Q326" s="79">
        <v>686.66666666666697</v>
      </c>
      <c r="R326" s="79">
        <v>135</v>
      </c>
      <c r="S326" s="79">
        <v>0</v>
      </c>
      <c r="T326" s="79">
        <v>278</v>
      </c>
      <c r="U326" s="79">
        <v>5471</v>
      </c>
      <c r="V326" s="79">
        <v>11650</v>
      </c>
      <c r="W326" s="79">
        <v>2620</v>
      </c>
      <c r="X326" s="79">
        <v>0</v>
      </c>
      <c r="Y326" s="79">
        <v>0</v>
      </c>
      <c r="Z326" s="79">
        <v>0</v>
      </c>
      <c r="AA326" s="79">
        <v>0</v>
      </c>
      <c r="AB326" s="79">
        <v>0</v>
      </c>
      <c r="AC326" s="79">
        <v>7781</v>
      </c>
      <c r="AD326" s="79">
        <v>7781</v>
      </c>
      <c r="AE326" s="79">
        <v>85</v>
      </c>
      <c r="AF326" s="79">
        <v>0</v>
      </c>
      <c r="AG326" s="79">
        <v>181</v>
      </c>
      <c r="AH326" s="79">
        <v>82</v>
      </c>
      <c r="AI326" s="79">
        <v>98</v>
      </c>
      <c r="AJ326" s="79">
        <v>5632</v>
      </c>
      <c r="AK326" s="79">
        <v>5632</v>
      </c>
      <c r="AL326" s="79">
        <v>0</v>
      </c>
      <c r="AM326" s="79">
        <v>0</v>
      </c>
      <c r="AN326" s="79">
        <v>0</v>
      </c>
      <c r="AO326" s="79">
        <v>0</v>
      </c>
      <c r="AP326" s="79">
        <v>0</v>
      </c>
      <c r="AQ326" s="79">
        <v>0</v>
      </c>
      <c r="AR326" s="80">
        <v>8.0006999999999995E-5</v>
      </c>
      <c r="AS326" s="80">
        <v>4.1189999999999997E-5</v>
      </c>
      <c r="AT326" s="79">
        <v>3131.3919999999998</v>
      </c>
      <c r="AU326" s="79">
        <v>0</v>
      </c>
      <c r="AV326" s="79">
        <v>377</v>
      </c>
      <c r="AW326" s="79">
        <v>624.97838799898295</v>
      </c>
      <c r="AX326" s="79">
        <v>8</v>
      </c>
      <c r="AY326" s="79">
        <v>8</v>
      </c>
      <c r="AZ326" s="79">
        <v>1502</v>
      </c>
      <c r="BA326" s="79">
        <v>1</v>
      </c>
      <c r="BB326" s="79">
        <v>0</v>
      </c>
      <c r="BC326" s="79">
        <v>0</v>
      </c>
      <c r="BD326" s="79">
        <v>0</v>
      </c>
      <c r="BE326" s="79">
        <v>0</v>
      </c>
      <c r="BF326" s="79">
        <v>0</v>
      </c>
      <c r="BG326" s="79">
        <v>0</v>
      </c>
      <c r="BH326" s="79">
        <v>0</v>
      </c>
      <c r="BI326" s="79">
        <v>0</v>
      </c>
      <c r="BJ326" s="79">
        <v>0</v>
      </c>
      <c r="BK326" s="79">
        <v>8</v>
      </c>
      <c r="BL326" s="79">
        <v>1474</v>
      </c>
      <c r="BM326" s="79">
        <v>82</v>
      </c>
      <c r="BN326" s="79">
        <v>98</v>
      </c>
      <c r="BO326">
        <v>2999</v>
      </c>
      <c r="BP326">
        <v>0</v>
      </c>
      <c r="BQ326">
        <v>2626</v>
      </c>
      <c r="BR326">
        <v>0</v>
      </c>
      <c r="BS326">
        <v>2595</v>
      </c>
      <c r="BT326">
        <v>0</v>
      </c>
      <c r="BU326">
        <v>2576</v>
      </c>
      <c r="BV326">
        <v>0</v>
      </c>
      <c r="BW326">
        <v>2573</v>
      </c>
      <c r="BX326">
        <v>0</v>
      </c>
      <c r="BY326">
        <v>2558</v>
      </c>
      <c r="BZ326">
        <v>0</v>
      </c>
      <c r="CA326">
        <v>2574</v>
      </c>
      <c r="CB326">
        <v>226.00954301438199</v>
      </c>
      <c r="CC326">
        <v>39.142826352714899</v>
      </c>
      <c r="CD326">
        <v>28.055114977878301</v>
      </c>
      <c r="CE326">
        <v>3724.5098967126701</v>
      </c>
      <c r="CF326">
        <v>944.27214468472505</v>
      </c>
      <c r="CG326">
        <v>66.382037829766105</v>
      </c>
      <c r="CH326">
        <v>123</v>
      </c>
      <c r="CI326">
        <v>30.9977801616009</v>
      </c>
      <c r="CJ326">
        <v>30.1542196189829</v>
      </c>
      <c r="CK326" s="81">
        <v>589</v>
      </c>
      <c r="CL326">
        <v>115</v>
      </c>
      <c r="CM326">
        <v>2056.8001873390099</v>
      </c>
      <c r="CN326">
        <v>6.3914926841783404E-2</v>
      </c>
      <c r="CO326">
        <v>10587</v>
      </c>
      <c r="CP326">
        <v>1528</v>
      </c>
      <c r="CQ326">
        <v>217</v>
      </c>
      <c r="CR326">
        <v>236</v>
      </c>
      <c r="CS326">
        <v>245</v>
      </c>
      <c r="CT326">
        <v>115</v>
      </c>
      <c r="CU326">
        <v>129.840587587915</v>
      </c>
      <c r="CV326">
        <v>69.999802311598401</v>
      </c>
      <c r="CW326">
        <v>22.822997175153301</v>
      </c>
      <c r="CX326">
        <v>401.120033927782</v>
      </c>
      <c r="CY326">
        <v>216.25227981315601</v>
      </c>
      <c r="CZ326">
        <v>70.5077015692993</v>
      </c>
      <c r="DA326">
        <v>0</v>
      </c>
      <c r="DE326">
        <v>1690</v>
      </c>
      <c r="DF326" t="s">
        <v>79</v>
      </c>
      <c r="DG326">
        <v>5300</v>
      </c>
      <c r="DH326">
        <v>5262</v>
      </c>
      <c r="DI326">
        <v>5165</v>
      </c>
      <c r="DJ326">
        <v>5087</v>
      </c>
      <c r="DK326">
        <v>5062</v>
      </c>
      <c r="DO326">
        <v>1667</v>
      </c>
      <c r="DP326" t="s">
        <v>253</v>
      </c>
      <c r="DQ326">
        <v>5632</v>
      </c>
      <c r="DR326">
        <v>1</v>
      </c>
      <c r="DS326">
        <v>556</v>
      </c>
      <c r="DV326">
        <v>47</v>
      </c>
      <c r="DW326" t="s">
        <v>310</v>
      </c>
      <c r="DX326">
        <v>4750.2112449799197</v>
      </c>
      <c r="DY326">
        <v>769</v>
      </c>
      <c r="DZ326">
        <v>653</v>
      </c>
      <c r="EA326">
        <v>339</v>
      </c>
      <c r="EB326">
        <v>2285</v>
      </c>
      <c r="EC326">
        <v>1275</v>
      </c>
      <c r="ED326">
        <v>461</v>
      </c>
      <c r="EE326" s="82">
        <v>0.27035796389988498</v>
      </c>
      <c r="EF326" s="82">
        <v>0.59324584449704798</v>
      </c>
    </row>
    <row r="327" spans="1:136" x14ac:dyDescent="0.35">
      <c r="A327" s="72">
        <v>1674</v>
      </c>
      <c r="B327" s="72">
        <v>10</v>
      </c>
      <c r="D327" s="72" t="s">
        <v>261</v>
      </c>
      <c r="E327" s="79">
        <v>5680000000</v>
      </c>
      <c r="F327" s="79">
        <v>1282050000</v>
      </c>
      <c r="G327" s="79">
        <v>1380400000</v>
      </c>
      <c r="H327" s="79">
        <v>77000</v>
      </c>
      <c r="I327" s="79">
        <v>4</v>
      </c>
      <c r="J327" s="79">
        <v>1380.4</v>
      </c>
      <c r="K327" s="79">
        <v>16340</v>
      </c>
      <c r="L327" s="79">
        <v>16096</v>
      </c>
      <c r="M327" s="79">
        <v>5073</v>
      </c>
      <c r="N327" s="79">
        <v>11166</v>
      </c>
      <c r="O327" s="79">
        <v>7627.6</v>
      </c>
      <c r="P327" s="79">
        <v>1860.6666666666699</v>
      </c>
      <c r="Q327" s="79">
        <v>6035.6666666666697</v>
      </c>
      <c r="R327" s="79">
        <v>7675</v>
      </c>
      <c r="S327" s="79">
        <v>0</v>
      </c>
      <c r="T327" s="79">
        <v>2558</v>
      </c>
      <c r="U327" s="79">
        <v>35948</v>
      </c>
      <c r="V327" s="79">
        <v>83140</v>
      </c>
      <c r="W327" s="79">
        <v>85830</v>
      </c>
      <c r="X327" s="79">
        <v>2345.16</v>
      </c>
      <c r="Y327" s="79">
        <v>3747.2</v>
      </c>
      <c r="Z327" s="79">
        <v>0</v>
      </c>
      <c r="AA327" s="79">
        <v>0</v>
      </c>
      <c r="AB327" s="79">
        <v>0</v>
      </c>
      <c r="AC327" s="79">
        <v>10647</v>
      </c>
      <c r="AD327" s="79">
        <v>10647</v>
      </c>
      <c r="AE327" s="79">
        <v>69</v>
      </c>
      <c r="AF327" s="79">
        <v>0</v>
      </c>
      <c r="AG327" s="79">
        <v>569</v>
      </c>
      <c r="AH327" s="79">
        <v>450</v>
      </c>
      <c r="AI327" s="79">
        <v>119</v>
      </c>
      <c r="AJ327" s="79">
        <v>35384</v>
      </c>
      <c r="AK327" s="79">
        <v>35384</v>
      </c>
      <c r="AL327" s="79">
        <v>10</v>
      </c>
      <c r="AM327" s="79">
        <v>0</v>
      </c>
      <c r="AN327" s="79">
        <v>0</v>
      </c>
      <c r="AO327" s="79">
        <v>0</v>
      </c>
      <c r="AP327" s="79">
        <v>3464</v>
      </c>
      <c r="AQ327" s="79">
        <v>3464</v>
      </c>
      <c r="AR327" s="80">
        <v>1.117552E-3</v>
      </c>
      <c r="AS327" s="80">
        <v>1.6063830000000001E-3</v>
      </c>
      <c r="AT327" s="79">
        <v>60789.712</v>
      </c>
      <c r="AU327" s="79">
        <v>0</v>
      </c>
      <c r="AV327" s="79">
        <v>1309</v>
      </c>
      <c r="AW327" s="79">
        <v>9405.8417319895507</v>
      </c>
      <c r="AX327" s="79">
        <v>9</v>
      </c>
      <c r="AY327" s="79">
        <v>9</v>
      </c>
      <c r="AZ327" s="79">
        <v>7254</v>
      </c>
      <c r="BA327" s="79">
        <v>1</v>
      </c>
      <c r="BB327" s="79">
        <v>0</v>
      </c>
      <c r="BC327" s="79">
        <v>0</v>
      </c>
      <c r="BD327" s="79">
        <v>0</v>
      </c>
      <c r="BE327" s="79">
        <v>0</v>
      </c>
      <c r="BF327" s="79">
        <v>0</v>
      </c>
      <c r="BG327" s="79">
        <v>0</v>
      </c>
      <c r="BH327" s="79">
        <v>0</v>
      </c>
      <c r="BI327" s="79">
        <v>0</v>
      </c>
      <c r="BJ327" s="79">
        <v>0</v>
      </c>
      <c r="BK327" s="79">
        <v>35</v>
      </c>
      <c r="BL327" s="79">
        <v>12122</v>
      </c>
      <c r="BM327" s="79">
        <v>450</v>
      </c>
      <c r="BN327" s="79">
        <v>119</v>
      </c>
      <c r="BO327">
        <v>18100</v>
      </c>
      <c r="BP327">
        <v>4749</v>
      </c>
      <c r="BQ327">
        <v>16148</v>
      </c>
      <c r="BR327">
        <v>4704</v>
      </c>
      <c r="BS327">
        <v>16073</v>
      </c>
      <c r="BT327">
        <v>4841</v>
      </c>
      <c r="BU327">
        <v>15904</v>
      </c>
      <c r="BV327">
        <v>4950</v>
      </c>
      <c r="BW327">
        <v>15711</v>
      </c>
      <c r="BX327">
        <v>4880</v>
      </c>
      <c r="BY327">
        <v>15451</v>
      </c>
      <c r="BZ327">
        <v>4875</v>
      </c>
      <c r="CA327">
        <v>14506</v>
      </c>
      <c r="CB327">
        <v>2061.9207853498901</v>
      </c>
      <c r="CC327">
        <v>219.06912699618701</v>
      </c>
      <c r="CD327">
        <v>317.84315245112401</v>
      </c>
      <c r="CE327">
        <v>22096.901864983</v>
      </c>
      <c r="CF327">
        <v>5254.6130317843899</v>
      </c>
      <c r="CG327">
        <v>525.34377928692697</v>
      </c>
      <c r="CH327">
        <v>957</v>
      </c>
      <c r="CI327">
        <v>604.80424430384903</v>
      </c>
      <c r="CJ327">
        <v>511.91222247285202</v>
      </c>
      <c r="CK327" s="81">
        <v>4175</v>
      </c>
      <c r="CL327">
        <v>1045</v>
      </c>
      <c r="CM327">
        <v>13384.7531185031</v>
      </c>
      <c r="CN327">
        <v>4.5606962037522703</v>
      </c>
      <c r="CO327">
        <v>60904</v>
      </c>
      <c r="CP327">
        <v>9264</v>
      </c>
      <c r="CQ327">
        <v>1759</v>
      </c>
      <c r="CR327">
        <v>1972</v>
      </c>
      <c r="CS327">
        <v>1845</v>
      </c>
      <c r="CT327">
        <v>844</v>
      </c>
      <c r="CU327">
        <v>1248.7193298272</v>
      </c>
      <c r="CV327">
        <v>771.47703805481899</v>
      </c>
      <c r="CW327">
        <v>248.32119246693199</v>
      </c>
      <c r="CX327">
        <v>2766.3469446641702</v>
      </c>
      <c r="CY327">
        <v>1709.08954168014</v>
      </c>
      <c r="CZ327">
        <v>550.11767309738002</v>
      </c>
      <c r="DA327">
        <v>87295.8</v>
      </c>
      <c r="DE327">
        <v>1695</v>
      </c>
      <c r="DF327" t="s">
        <v>218</v>
      </c>
      <c r="DG327">
        <v>1347</v>
      </c>
      <c r="DH327">
        <v>1334</v>
      </c>
      <c r="DI327">
        <v>1348</v>
      </c>
      <c r="DJ327">
        <v>1370</v>
      </c>
      <c r="DK327">
        <v>1340</v>
      </c>
      <c r="DO327">
        <v>1674</v>
      </c>
      <c r="DP327" t="s">
        <v>261</v>
      </c>
      <c r="DQ327">
        <v>35384</v>
      </c>
      <c r="DR327">
        <v>1</v>
      </c>
      <c r="DS327">
        <v>1718</v>
      </c>
      <c r="DV327">
        <v>345</v>
      </c>
      <c r="DW327" t="s">
        <v>311</v>
      </c>
      <c r="DX327">
        <v>8222.5082542765394</v>
      </c>
      <c r="DY327">
        <v>1315</v>
      </c>
      <c r="DZ327">
        <v>1247</v>
      </c>
      <c r="EA327">
        <v>684</v>
      </c>
      <c r="EB327">
        <v>4165</v>
      </c>
      <c r="EC327">
        <v>2453</v>
      </c>
      <c r="ED327">
        <v>905</v>
      </c>
      <c r="EE327" s="82">
        <v>0.19751811898095101</v>
      </c>
      <c r="EF327" s="82">
        <v>0.473389425315906</v>
      </c>
    </row>
    <row r="328" spans="1:136" x14ac:dyDescent="0.35">
      <c r="A328" s="72">
        <v>840</v>
      </c>
      <c r="B328" s="72">
        <v>10</v>
      </c>
      <c r="D328" s="72" t="s">
        <v>264</v>
      </c>
      <c r="E328" s="79">
        <v>1853200000</v>
      </c>
      <c r="F328" s="79">
        <v>243600000</v>
      </c>
      <c r="G328" s="79">
        <v>275100000</v>
      </c>
      <c r="H328" s="79">
        <v>22401</v>
      </c>
      <c r="I328" s="79">
        <v>2</v>
      </c>
      <c r="J328" s="79">
        <v>275.10000000000002</v>
      </c>
      <c r="K328" s="79">
        <v>4031</v>
      </c>
      <c r="L328" s="79">
        <v>4908</v>
      </c>
      <c r="M328" s="79">
        <v>1485</v>
      </c>
      <c r="N328" s="79">
        <v>2852</v>
      </c>
      <c r="O328" s="79">
        <v>1874.4</v>
      </c>
      <c r="P328" s="79">
        <v>333</v>
      </c>
      <c r="Q328" s="79">
        <v>2063</v>
      </c>
      <c r="R328" s="79">
        <v>355</v>
      </c>
      <c r="S328" s="79">
        <v>0</v>
      </c>
      <c r="T328" s="79">
        <v>540</v>
      </c>
      <c r="U328" s="79">
        <v>9851</v>
      </c>
      <c r="V328" s="79">
        <v>20650</v>
      </c>
      <c r="W328" s="79">
        <v>8990</v>
      </c>
      <c r="X328" s="79">
        <v>0</v>
      </c>
      <c r="Y328" s="79">
        <v>297.60000000000002</v>
      </c>
      <c r="Z328" s="79">
        <v>0</v>
      </c>
      <c r="AA328" s="79">
        <v>0</v>
      </c>
      <c r="AB328" s="79">
        <v>61.8</v>
      </c>
      <c r="AC328" s="79">
        <v>6439</v>
      </c>
      <c r="AD328" s="79">
        <v>6439</v>
      </c>
      <c r="AE328" s="79">
        <v>9</v>
      </c>
      <c r="AF328" s="79">
        <v>0</v>
      </c>
      <c r="AG328" s="79">
        <v>207</v>
      </c>
      <c r="AH328" s="79">
        <v>142</v>
      </c>
      <c r="AI328" s="79">
        <v>65</v>
      </c>
      <c r="AJ328" s="79">
        <v>9776</v>
      </c>
      <c r="AK328" s="79">
        <v>9776</v>
      </c>
      <c r="AL328" s="79">
        <v>0</v>
      </c>
      <c r="AM328" s="79">
        <v>0</v>
      </c>
      <c r="AN328" s="79">
        <v>0</v>
      </c>
      <c r="AO328" s="79">
        <v>0</v>
      </c>
      <c r="AP328" s="79">
        <v>637</v>
      </c>
      <c r="AQ328" s="79">
        <v>0</v>
      </c>
      <c r="AR328" s="80">
        <v>1.4663499999999999E-4</v>
      </c>
      <c r="AS328" s="80">
        <v>1.07153E-4</v>
      </c>
      <c r="AT328" s="79">
        <v>6422.8320000000003</v>
      </c>
      <c r="AU328" s="79">
        <v>0</v>
      </c>
      <c r="AV328" s="79">
        <v>217</v>
      </c>
      <c r="AW328" s="79">
        <v>753.87980769230796</v>
      </c>
      <c r="AX328" s="79">
        <v>6</v>
      </c>
      <c r="AY328" s="79">
        <v>6</v>
      </c>
      <c r="AZ328" s="79">
        <v>2520</v>
      </c>
      <c r="BA328" s="79">
        <v>1</v>
      </c>
      <c r="BB328" s="79">
        <v>0</v>
      </c>
      <c r="BC328" s="79">
        <v>0</v>
      </c>
      <c r="BD328" s="79">
        <v>0</v>
      </c>
      <c r="BE328" s="79">
        <v>0</v>
      </c>
      <c r="BF328" s="79">
        <v>0</v>
      </c>
      <c r="BG328" s="79">
        <v>0</v>
      </c>
      <c r="BH328" s="79">
        <v>0</v>
      </c>
      <c r="BI328" s="79">
        <v>0</v>
      </c>
      <c r="BJ328" s="79">
        <v>0</v>
      </c>
      <c r="BK328" s="79">
        <v>6</v>
      </c>
      <c r="BL328" s="79">
        <v>2608</v>
      </c>
      <c r="BM328" s="79">
        <v>142</v>
      </c>
      <c r="BN328" s="79">
        <v>65</v>
      </c>
      <c r="BO328">
        <v>4672</v>
      </c>
      <c r="BP328">
        <v>282</v>
      </c>
      <c r="BQ328">
        <v>4147</v>
      </c>
      <c r="BR328">
        <v>304</v>
      </c>
      <c r="BS328">
        <v>4007</v>
      </c>
      <c r="BT328">
        <v>321</v>
      </c>
      <c r="BU328">
        <v>3882</v>
      </c>
      <c r="BV328">
        <v>357</v>
      </c>
      <c r="BW328">
        <v>3774</v>
      </c>
      <c r="BX328">
        <v>382</v>
      </c>
      <c r="BY328">
        <v>3701</v>
      </c>
      <c r="BZ328">
        <v>373</v>
      </c>
      <c r="CA328">
        <v>3551</v>
      </c>
      <c r="CB328">
        <v>330.44329147723499</v>
      </c>
      <c r="CC328">
        <v>126.482310344716</v>
      </c>
      <c r="CD328">
        <v>59.125891735158099</v>
      </c>
      <c r="CE328">
        <v>6274.3020338474798</v>
      </c>
      <c r="CF328">
        <v>1411.78670978748</v>
      </c>
      <c r="CG328">
        <v>102.47315954416</v>
      </c>
      <c r="CH328">
        <v>158</v>
      </c>
      <c r="CI328">
        <v>83.2939254850087</v>
      </c>
      <c r="CJ328">
        <v>80.174748634001702</v>
      </c>
      <c r="CK328" s="81">
        <v>1730</v>
      </c>
      <c r="CL328">
        <v>211</v>
      </c>
      <c r="CM328">
        <v>5590.0732124259303</v>
      </c>
      <c r="CN328">
        <v>0.58302834522387503</v>
      </c>
      <c r="CO328">
        <v>17493</v>
      </c>
      <c r="CP328">
        <v>3023</v>
      </c>
      <c r="CQ328">
        <v>400</v>
      </c>
      <c r="CR328">
        <v>563</v>
      </c>
      <c r="CS328">
        <v>492</v>
      </c>
      <c r="CT328">
        <v>203</v>
      </c>
      <c r="CU328">
        <v>346.91303571237</v>
      </c>
      <c r="CV328">
        <v>191.962381839736</v>
      </c>
      <c r="CW328">
        <v>52.161606254154002</v>
      </c>
      <c r="CX328">
        <v>863.85665853573005</v>
      </c>
      <c r="CY328">
        <v>478.01023504381698</v>
      </c>
      <c r="CZ328">
        <v>129.888895036881</v>
      </c>
      <c r="DA328">
        <v>7938</v>
      </c>
      <c r="DE328">
        <v>1696</v>
      </c>
      <c r="DF328" t="s">
        <v>345</v>
      </c>
      <c r="DG328">
        <v>5009</v>
      </c>
      <c r="DH328">
        <v>4979</v>
      </c>
      <c r="DI328">
        <v>4934</v>
      </c>
      <c r="DJ328">
        <v>4828</v>
      </c>
      <c r="DK328">
        <v>4757</v>
      </c>
      <c r="DO328">
        <v>840</v>
      </c>
      <c r="DP328" t="s">
        <v>264</v>
      </c>
      <c r="DQ328">
        <v>9776</v>
      </c>
      <c r="DR328">
        <v>1</v>
      </c>
      <c r="DS328">
        <v>657</v>
      </c>
      <c r="DV328">
        <v>717</v>
      </c>
      <c r="DW328" t="s">
        <v>312</v>
      </c>
      <c r="DX328">
        <v>2404.9726729291201</v>
      </c>
      <c r="DY328">
        <v>631</v>
      </c>
      <c r="DZ328">
        <v>496</v>
      </c>
      <c r="EA328">
        <v>304</v>
      </c>
      <c r="EB328">
        <v>2026</v>
      </c>
      <c r="EC328">
        <v>1159</v>
      </c>
      <c r="ED328">
        <v>441</v>
      </c>
      <c r="EE328" s="82">
        <v>6.4296534562721705E-2</v>
      </c>
      <c r="EF328" s="82">
        <v>0.40056396059305099</v>
      </c>
    </row>
    <row r="329" spans="1:136" x14ac:dyDescent="0.35">
      <c r="A329" s="72">
        <v>796</v>
      </c>
      <c r="B329" s="72">
        <v>10</v>
      </c>
      <c r="D329" s="72" t="s">
        <v>271</v>
      </c>
      <c r="E329" s="79">
        <v>14341600000</v>
      </c>
      <c r="F329" s="79">
        <v>3011400000</v>
      </c>
      <c r="G329" s="79">
        <v>3123750000</v>
      </c>
      <c r="H329" s="79">
        <v>153434</v>
      </c>
      <c r="I329" s="79">
        <v>5</v>
      </c>
      <c r="J329" s="79">
        <v>3123.75</v>
      </c>
      <c r="K329" s="79">
        <v>32847</v>
      </c>
      <c r="L329" s="79">
        <v>26894</v>
      </c>
      <c r="M329" s="79">
        <v>8033</v>
      </c>
      <c r="N329" s="79">
        <v>21419</v>
      </c>
      <c r="O329" s="79">
        <v>14195.8</v>
      </c>
      <c r="P329" s="79">
        <v>3969</v>
      </c>
      <c r="Q329" s="79">
        <v>13047</v>
      </c>
      <c r="R329" s="79">
        <v>11950</v>
      </c>
      <c r="S329" s="79">
        <v>0</v>
      </c>
      <c r="T329" s="79">
        <v>5114</v>
      </c>
      <c r="U329" s="79">
        <v>73995</v>
      </c>
      <c r="V329" s="79">
        <v>176210</v>
      </c>
      <c r="W329" s="79">
        <v>261670</v>
      </c>
      <c r="X329" s="79">
        <v>4839.6400000000003</v>
      </c>
      <c r="Y329" s="79">
        <v>7270.4</v>
      </c>
      <c r="Z329" s="79">
        <v>0</v>
      </c>
      <c r="AA329" s="79">
        <v>0</v>
      </c>
      <c r="AB329" s="79">
        <v>0</v>
      </c>
      <c r="AC329" s="79">
        <v>10975</v>
      </c>
      <c r="AD329" s="79">
        <v>10975</v>
      </c>
      <c r="AE329" s="79">
        <v>833</v>
      </c>
      <c r="AF329" s="79">
        <v>0</v>
      </c>
      <c r="AG329" s="79">
        <v>857</v>
      </c>
      <c r="AH329" s="79">
        <v>767</v>
      </c>
      <c r="AI329" s="79">
        <v>90</v>
      </c>
      <c r="AJ329" s="79">
        <v>72232</v>
      </c>
      <c r="AK329" s="79">
        <v>72232</v>
      </c>
      <c r="AL329" s="79">
        <v>0</v>
      </c>
      <c r="AM329" s="79">
        <v>54</v>
      </c>
      <c r="AN329" s="79">
        <v>0</v>
      </c>
      <c r="AO329" s="79">
        <v>7350</v>
      </c>
      <c r="AP329" s="79">
        <v>8390</v>
      </c>
      <c r="AQ329" s="79">
        <v>8390</v>
      </c>
      <c r="AR329" s="80">
        <v>3.4843320000000001E-3</v>
      </c>
      <c r="AS329" s="80">
        <v>5.3910310000000001E-3</v>
      </c>
      <c r="AT329" s="79">
        <v>141791.416</v>
      </c>
      <c r="AU329" s="79">
        <v>0</v>
      </c>
      <c r="AV329" s="79">
        <v>5034</v>
      </c>
      <c r="AW329" s="79">
        <v>65412.1575203252</v>
      </c>
      <c r="AX329" s="79">
        <v>9</v>
      </c>
      <c r="AY329" s="79">
        <v>9</v>
      </c>
      <c r="AZ329" s="79">
        <v>19352</v>
      </c>
      <c r="BA329" s="79">
        <v>1</v>
      </c>
      <c r="BB329" s="79">
        <v>0</v>
      </c>
      <c r="BC329" s="79">
        <v>0</v>
      </c>
      <c r="BD329" s="79">
        <v>0</v>
      </c>
      <c r="BE329" s="79">
        <v>0</v>
      </c>
      <c r="BF329" s="79">
        <v>0</v>
      </c>
      <c r="BG329" s="79">
        <v>0</v>
      </c>
      <c r="BH329" s="79">
        <v>0</v>
      </c>
      <c r="BI329" s="79">
        <v>0</v>
      </c>
      <c r="BJ329" s="79">
        <v>0</v>
      </c>
      <c r="BK329" s="79">
        <v>350</v>
      </c>
      <c r="BL329" s="79">
        <v>28595</v>
      </c>
      <c r="BM329" s="79">
        <v>767</v>
      </c>
      <c r="BN329" s="79">
        <v>90</v>
      </c>
      <c r="BO329">
        <v>32833</v>
      </c>
      <c r="BP329">
        <v>8746</v>
      </c>
      <c r="BQ329">
        <v>29521.68</v>
      </c>
      <c r="BR329">
        <v>8639</v>
      </c>
      <c r="BS329">
        <v>29729.7</v>
      </c>
      <c r="BT329">
        <v>8755</v>
      </c>
      <c r="BU329">
        <v>29782.52</v>
      </c>
      <c r="BV329">
        <v>8888</v>
      </c>
      <c r="BW329">
        <v>29952.400000000001</v>
      </c>
      <c r="BX329">
        <v>8974</v>
      </c>
      <c r="BY329">
        <v>29924.06</v>
      </c>
      <c r="BZ329">
        <v>9051</v>
      </c>
      <c r="CA329">
        <v>29395</v>
      </c>
      <c r="CB329">
        <v>3637.1719211762802</v>
      </c>
      <c r="CC329">
        <v>544.985576851357</v>
      </c>
      <c r="CD329">
        <v>736.96190583218197</v>
      </c>
      <c r="CE329">
        <v>48977.835599780301</v>
      </c>
      <c r="CF329">
        <v>11653.2341821479</v>
      </c>
      <c r="CG329">
        <v>1293.8748220453799</v>
      </c>
      <c r="CH329">
        <v>1864</v>
      </c>
      <c r="CI329">
        <v>1116.24350127968</v>
      </c>
      <c r="CJ329">
        <v>1055.7524421893299</v>
      </c>
      <c r="CK329" s="81">
        <v>9078</v>
      </c>
      <c r="CL329">
        <v>2316</v>
      </c>
      <c r="CM329">
        <v>21724.5816933143</v>
      </c>
      <c r="CN329">
        <v>8.4329906678232405</v>
      </c>
      <c r="CO329">
        <v>126540</v>
      </c>
      <c r="CP329">
        <v>15966</v>
      </c>
      <c r="CQ329">
        <v>2895</v>
      </c>
      <c r="CR329">
        <v>4139</v>
      </c>
      <c r="CS329">
        <v>3067</v>
      </c>
      <c r="CT329">
        <v>1555</v>
      </c>
      <c r="CU329">
        <v>2062.7852843978799</v>
      </c>
      <c r="CV329">
        <v>1134.57121254087</v>
      </c>
      <c r="CW329">
        <v>411.33856709649098</v>
      </c>
      <c r="CX329">
        <v>4394.7223710408598</v>
      </c>
      <c r="CY329">
        <v>2417.1810449713098</v>
      </c>
      <c r="CZ329">
        <v>876.34850634418001</v>
      </c>
      <c r="DA329">
        <v>218252.9</v>
      </c>
      <c r="DE329">
        <v>1699</v>
      </c>
      <c r="DF329" t="s">
        <v>219</v>
      </c>
      <c r="DG329">
        <v>6649</v>
      </c>
      <c r="DH329">
        <v>6465</v>
      </c>
      <c r="DI329">
        <v>6405</v>
      </c>
      <c r="DJ329">
        <v>6338</v>
      </c>
      <c r="DK329">
        <v>6229</v>
      </c>
      <c r="DO329">
        <v>796</v>
      </c>
      <c r="DP329" t="s">
        <v>271</v>
      </c>
      <c r="DQ329">
        <v>72232</v>
      </c>
      <c r="DR329">
        <v>1</v>
      </c>
      <c r="DS329">
        <v>1963</v>
      </c>
      <c r="DV329">
        <v>861</v>
      </c>
      <c r="DW329" t="s">
        <v>313</v>
      </c>
      <c r="DX329">
        <v>5099.4576999846504</v>
      </c>
      <c r="DY329">
        <v>1029</v>
      </c>
      <c r="DZ329">
        <v>984</v>
      </c>
      <c r="EA329">
        <v>539</v>
      </c>
      <c r="EB329">
        <v>3220</v>
      </c>
      <c r="EC329">
        <v>2153</v>
      </c>
      <c r="ED329">
        <v>788</v>
      </c>
      <c r="EE329" s="82">
        <v>0.15748334763871</v>
      </c>
      <c r="EF329" s="82">
        <v>0.39000213880868401</v>
      </c>
    </row>
    <row r="330" spans="1:136" x14ac:dyDescent="0.35">
      <c r="A330" s="72">
        <v>1702</v>
      </c>
      <c r="B330" s="72">
        <v>10</v>
      </c>
      <c r="D330" s="72" t="s">
        <v>273</v>
      </c>
      <c r="E330" s="79">
        <v>906400000</v>
      </c>
      <c r="F330" s="79">
        <v>204750000</v>
      </c>
      <c r="G330" s="79">
        <v>236950000</v>
      </c>
      <c r="H330" s="79">
        <v>11577</v>
      </c>
      <c r="I330" s="79">
        <v>2</v>
      </c>
      <c r="J330" s="79">
        <v>236.95</v>
      </c>
      <c r="K330" s="79">
        <v>2532</v>
      </c>
      <c r="L330" s="79">
        <v>2378</v>
      </c>
      <c r="M330" s="79">
        <v>790</v>
      </c>
      <c r="N330" s="79">
        <v>1206</v>
      </c>
      <c r="O330" s="79">
        <v>708.8</v>
      </c>
      <c r="P330" s="79">
        <v>82.6666666666667</v>
      </c>
      <c r="Q330" s="79">
        <v>737.66666666666697</v>
      </c>
      <c r="R330" s="79">
        <v>125</v>
      </c>
      <c r="S330" s="79">
        <v>0</v>
      </c>
      <c r="T330" s="79">
        <v>195</v>
      </c>
      <c r="U330" s="79">
        <v>4919</v>
      </c>
      <c r="V330" s="79">
        <v>9250</v>
      </c>
      <c r="W330" s="79">
        <v>1140</v>
      </c>
      <c r="X330" s="79">
        <v>290.64</v>
      </c>
      <c r="Y330" s="79">
        <v>1041.5999999999999</v>
      </c>
      <c r="Z330" s="79">
        <v>0</v>
      </c>
      <c r="AA330" s="79">
        <v>0</v>
      </c>
      <c r="AB330" s="79">
        <v>0</v>
      </c>
      <c r="AC330" s="79">
        <v>9925</v>
      </c>
      <c r="AD330" s="79">
        <v>9925</v>
      </c>
      <c r="AE330" s="79">
        <v>50</v>
      </c>
      <c r="AF330" s="79">
        <v>0</v>
      </c>
      <c r="AG330" s="79">
        <v>224</v>
      </c>
      <c r="AH330" s="79">
        <v>69</v>
      </c>
      <c r="AI330" s="79">
        <v>155</v>
      </c>
      <c r="AJ330" s="79">
        <v>4972</v>
      </c>
      <c r="AK330" s="79">
        <v>4972</v>
      </c>
      <c r="AL330" s="79">
        <v>0</v>
      </c>
      <c r="AM330" s="79">
        <v>0</v>
      </c>
      <c r="AN330" s="79">
        <v>0</v>
      </c>
      <c r="AO330" s="79">
        <v>0</v>
      </c>
      <c r="AP330" s="79">
        <v>0</v>
      </c>
      <c r="AQ330" s="79">
        <v>0</v>
      </c>
      <c r="AR330" s="80">
        <v>1.09211E-4</v>
      </c>
      <c r="AS330" s="80">
        <v>4.1091999999999999E-5</v>
      </c>
      <c r="AT330" s="79">
        <v>1332.4960000000001</v>
      </c>
      <c r="AU330" s="79">
        <v>0</v>
      </c>
      <c r="AV330" s="79">
        <v>720</v>
      </c>
      <c r="AW330" s="79">
        <v>835.63308270676703</v>
      </c>
      <c r="AX330" s="79">
        <v>7</v>
      </c>
      <c r="AY330" s="79">
        <v>7</v>
      </c>
      <c r="AZ330" s="79">
        <v>1453</v>
      </c>
      <c r="BA330" s="79">
        <v>1</v>
      </c>
      <c r="BB330" s="79">
        <v>0</v>
      </c>
      <c r="BC330" s="79">
        <v>0</v>
      </c>
      <c r="BD330" s="79">
        <v>0</v>
      </c>
      <c r="BE330" s="79">
        <v>0</v>
      </c>
      <c r="BF330" s="79">
        <v>0</v>
      </c>
      <c r="BG330" s="79">
        <v>0</v>
      </c>
      <c r="BH330" s="79">
        <v>0</v>
      </c>
      <c r="BI330" s="79">
        <v>0</v>
      </c>
      <c r="BJ330" s="79">
        <v>0</v>
      </c>
      <c r="BK330" s="79">
        <v>14</v>
      </c>
      <c r="BL330" s="79">
        <v>1195</v>
      </c>
      <c r="BM330" s="79">
        <v>69</v>
      </c>
      <c r="BN330" s="79">
        <v>155</v>
      </c>
      <c r="BO330">
        <v>3155</v>
      </c>
      <c r="BP330">
        <v>1483</v>
      </c>
      <c r="BQ330">
        <v>2817</v>
      </c>
      <c r="BR330">
        <v>1375</v>
      </c>
      <c r="BS330">
        <v>2787</v>
      </c>
      <c r="BT330">
        <v>1314</v>
      </c>
      <c r="BU330">
        <v>2705</v>
      </c>
      <c r="BV330">
        <v>1318</v>
      </c>
      <c r="BW330">
        <v>2647</v>
      </c>
      <c r="BX330">
        <v>1301</v>
      </c>
      <c r="BY330">
        <v>2535</v>
      </c>
      <c r="BZ330">
        <v>1300</v>
      </c>
      <c r="CA330">
        <v>2195</v>
      </c>
      <c r="CB330">
        <v>135.000510365721</v>
      </c>
      <c r="CC330">
        <v>6.84819491825181</v>
      </c>
      <c r="CD330">
        <v>20.509912858866301</v>
      </c>
      <c r="CE330">
        <v>3171.0731078182898</v>
      </c>
      <c r="CF330">
        <v>781.78313237366797</v>
      </c>
      <c r="CG330">
        <v>43.773199663488498</v>
      </c>
      <c r="CH330">
        <v>76</v>
      </c>
      <c r="CI330">
        <v>20.2526579968447</v>
      </c>
      <c r="CJ330">
        <v>13.125954422380801</v>
      </c>
      <c r="CK330" s="81">
        <v>655</v>
      </c>
      <c r="CL330">
        <v>259</v>
      </c>
      <c r="CM330">
        <v>1673.2629325513201</v>
      </c>
      <c r="CN330">
        <v>5.6755367507503499E-2</v>
      </c>
      <c r="CO330">
        <v>9199</v>
      </c>
      <c r="CP330">
        <v>1273</v>
      </c>
      <c r="CQ330">
        <v>315</v>
      </c>
      <c r="CR330">
        <v>180</v>
      </c>
      <c r="CS330">
        <v>233</v>
      </c>
      <c r="CT330">
        <v>153</v>
      </c>
      <c r="CU330">
        <v>106.989426757655</v>
      </c>
      <c r="CV330">
        <v>74.223024421755298</v>
      </c>
      <c r="CW330">
        <v>30.7719256719753</v>
      </c>
      <c r="CX330">
        <v>311.68092656363802</v>
      </c>
      <c r="CY330">
        <v>216.226048920979</v>
      </c>
      <c r="CZ330">
        <v>89.644580742670797</v>
      </c>
      <c r="DA330">
        <v>46720</v>
      </c>
      <c r="DE330">
        <v>1700</v>
      </c>
      <c r="DF330" t="s">
        <v>298</v>
      </c>
      <c r="DG330">
        <v>8179</v>
      </c>
      <c r="DH330">
        <v>8152</v>
      </c>
      <c r="DI330">
        <v>8162</v>
      </c>
      <c r="DJ330">
        <v>8193</v>
      </c>
      <c r="DK330">
        <v>8159</v>
      </c>
      <c r="DO330">
        <v>1702</v>
      </c>
      <c r="DP330" t="s">
        <v>273</v>
      </c>
      <c r="DQ330">
        <v>4972</v>
      </c>
      <c r="DR330">
        <v>1</v>
      </c>
      <c r="DS330">
        <v>268</v>
      </c>
      <c r="DV330">
        <v>453</v>
      </c>
      <c r="DW330" t="s">
        <v>314</v>
      </c>
      <c r="DX330">
        <v>9244.8149378412199</v>
      </c>
      <c r="DY330">
        <v>1815</v>
      </c>
      <c r="DZ330">
        <v>1536</v>
      </c>
      <c r="EA330">
        <v>1032</v>
      </c>
      <c r="EB330">
        <v>4821</v>
      </c>
      <c r="EC330">
        <v>2947</v>
      </c>
      <c r="ED330">
        <v>1370</v>
      </c>
      <c r="EE330" s="82">
        <v>0.198885097081931</v>
      </c>
      <c r="EF330" s="82">
        <v>0.43372316852071502</v>
      </c>
    </row>
    <row r="331" spans="1:136" x14ac:dyDescent="0.35">
      <c r="A331" s="72">
        <v>845</v>
      </c>
      <c r="B331" s="72">
        <v>10</v>
      </c>
      <c r="D331" s="72" t="s">
        <v>274</v>
      </c>
      <c r="E331" s="79">
        <v>2784400000</v>
      </c>
      <c r="F331" s="79">
        <v>213850000</v>
      </c>
      <c r="G331" s="79">
        <v>243600000</v>
      </c>
      <c r="H331" s="79">
        <v>28673</v>
      </c>
      <c r="I331" s="79">
        <v>4</v>
      </c>
      <c r="J331" s="79">
        <v>243.6</v>
      </c>
      <c r="K331" s="79">
        <v>6685</v>
      </c>
      <c r="L331" s="79">
        <v>6080</v>
      </c>
      <c r="M331" s="79">
        <v>2015</v>
      </c>
      <c r="N331" s="79">
        <v>2841</v>
      </c>
      <c r="O331" s="79">
        <v>1634.1</v>
      </c>
      <c r="P331" s="79">
        <v>252</v>
      </c>
      <c r="Q331" s="79">
        <v>1627</v>
      </c>
      <c r="R331" s="79">
        <v>445</v>
      </c>
      <c r="S331" s="79">
        <v>0</v>
      </c>
      <c r="T331" s="79">
        <v>661</v>
      </c>
      <c r="U331" s="79">
        <v>12089</v>
      </c>
      <c r="V331" s="79">
        <v>22800</v>
      </c>
      <c r="W331" s="79">
        <v>4480</v>
      </c>
      <c r="X331" s="79">
        <v>1618.6572000000001</v>
      </c>
      <c r="Y331" s="79">
        <v>1018.4</v>
      </c>
      <c r="Z331" s="79">
        <v>0</v>
      </c>
      <c r="AA331" s="79">
        <v>0</v>
      </c>
      <c r="AB331" s="79">
        <v>41</v>
      </c>
      <c r="AC331" s="79">
        <v>5834</v>
      </c>
      <c r="AD331" s="79">
        <v>5834</v>
      </c>
      <c r="AE331" s="79">
        <v>99</v>
      </c>
      <c r="AF331" s="79">
        <v>0</v>
      </c>
      <c r="AG331" s="79">
        <v>222</v>
      </c>
      <c r="AH331" s="79">
        <v>163</v>
      </c>
      <c r="AI331" s="79">
        <v>59</v>
      </c>
      <c r="AJ331" s="79">
        <v>12069</v>
      </c>
      <c r="AK331" s="79">
        <v>12069</v>
      </c>
      <c r="AL331" s="79">
        <v>0</v>
      </c>
      <c r="AM331" s="79">
        <v>0</v>
      </c>
      <c r="AN331" s="79">
        <v>0</v>
      </c>
      <c r="AO331" s="79">
        <v>0</v>
      </c>
      <c r="AP331" s="79">
        <v>0</v>
      </c>
      <c r="AQ331" s="79">
        <v>0</v>
      </c>
      <c r="AR331" s="80">
        <v>1.9521E-4</v>
      </c>
      <c r="AS331" s="80">
        <v>1.06859E-4</v>
      </c>
      <c r="AT331" s="79">
        <v>7446.5730000000003</v>
      </c>
      <c r="AU331" s="79">
        <v>0</v>
      </c>
      <c r="AV331" s="79">
        <v>1237</v>
      </c>
      <c r="AW331" s="79">
        <v>5978.1730996123397</v>
      </c>
      <c r="AX331" s="79">
        <v>6</v>
      </c>
      <c r="AY331" s="79">
        <v>6</v>
      </c>
      <c r="AZ331" s="79">
        <v>3503</v>
      </c>
      <c r="BA331" s="79">
        <v>1</v>
      </c>
      <c r="BB331" s="79">
        <v>0</v>
      </c>
      <c r="BC331" s="79">
        <v>0</v>
      </c>
      <c r="BD331" s="79">
        <v>0</v>
      </c>
      <c r="BE331" s="79">
        <v>0</v>
      </c>
      <c r="BF331" s="79">
        <v>0</v>
      </c>
      <c r="BG331" s="79">
        <v>0</v>
      </c>
      <c r="BH331" s="79">
        <v>0</v>
      </c>
      <c r="BI331" s="79">
        <v>0</v>
      </c>
      <c r="BJ331" s="79">
        <v>0</v>
      </c>
      <c r="BK331" s="79">
        <v>33</v>
      </c>
      <c r="BL331" s="79">
        <v>3202</v>
      </c>
      <c r="BM331" s="79">
        <v>163</v>
      </c>
      <c r="BN331" s="79">
        <v>59</v>
      </c>
      <c r="BO331">
        <v>7157</v>
      </c>
      <c r="BP331">
        <v>1120</v>
      </c>
      <c r="BQ331">
        <v>6523</v>
      </c>
      <c r="BR331">
        <v>1136</v>
      </c>
      <c r="BS331">
        <v>6420</v>
      </c>
      <c r="BT331">
        <v>1131</v>
      </c>
      <c r="BU331">
        <v>6292</v>
      </c>
      <c r="BV331">
        <v>1151</v>
      </c>
      <c r="BW331">
        <v>6251</v>
      </c>
      <c r="BX331">
        <v>1146</v>
      </c>
      <c r="BY331">
        <v>6125</v>
      </c>
      <c r="BZ331">
        <v>1110</v>
      </c>
      <c r="CA331">
        <v>5941</v>
      </c>
      <c r="CB331">
        <v>400.48732948823999</v>
      </c>
      <c r="CC331">
        <v>81.477673889921903</v>
      </c>
      <c r="CD331">
        <v>63.485009777939602</v>
      </c>
      <c r="CE331">
        <v>9139.1818927552304</v>
      </c>
      <c r="CF331">
        <v>2498.9572494128602</v>
      </c>
      <c r="CG331">
        <v>192.109719929763</v>
      </c>
      <c r="CH331">
        <v>233</v>
      </c>
      <c r="CI331">
        <v>75.982966898829304</v>
      </c>
      <c r="CJ331">
        <v>55.696617413886102</v>
      </c>
      <c r="CK331" s="81">
        <v>1375</v>
      </c>
      <c r="CL331">
        <v>333</v>
      </c>
      <c r="CM331">
        <v>4406.1304341090699</v>
      </c>
      <c r="CN331">
        <v>0.13454382862889899</v>
      </c>
      <c r="CO331">
        <v>22593</v>
      </c>
      <c r="CP331">
        <v>3412</v>
      </c>
      <c r="CQ331">
        <v>653</v>
      </c>
      <c r="CR331">
        <v>588</v>
      </c>
      <c r="CS331">
        <v>650</v>
      </c>
      <c r="CT331">
        <v>316</v>
      </c>
      <c r="CU331">
        <v>281.11676641472798</v>
      </c>
      <c r="CV331">
        <v>184.16127279577501</v>
      </c>
      <c r="CW331">
        <v>62.289842269159301</v>
      </c>
      <c r="CX331">
        <v>733.25337667275198</v>
      </c>
      <c r="CY331">
        <v>480.35866679910498</v>
      </c>
      <c r="CZ331">
        <v>162.47425494675599</v>
      </c>
      <c r="DA331">
        <v>124569</v>
      </c>
      <c r="DE331">
        <v>1701</v>
      </c>
      <c r="DF331" t="s">
        <v>337</v>
      </c>
      <c r="DG331">
        <v>3856</v>
      </c>
      <c r="DH331">
        <v>3831</v>
      </c>
      <c r="DI331">
        <v>3793</v>
      </c>
      <c r="DJ331">
        <v>3705</v>
      </c>
      <c r="DK331">
        <v>3616</v>
      </c>
      <c r="DO331">
        <v>845</v>
      </c>
      <c r="DP331" t="s">
        <v>274</v>
      </c>
      <c r="DQ331">
        <v>12069</v>
      </c>
      <c r="DR331">
        <v>1</v>
      </c>
      <c r="DS331">
        <v>617</v>
      </c>
      <c r="DV331">
        <v>983</v>
      </c>
      <c r="DW331" t="s">
        <v>315</v>
      </c>
      <c r="DX331">
        <v>16694.711555574399</v>
      </c>
      <c r="DY331">
        <v>2728</v>
      </c>
      <c r="DZ331">
        <v>2394</v>
      </c>
      <c r="EA331">
        <v>1313</v>
      </c>
      <c r="EB331">
        <v>7726</v>
      </c>
      <c r="EC331">
        <v>4713</v>
      </c>
      <c r="ED331">
        <v>1799</v>
      </c>
      <c r="EE331" s="82">
        <v>0.25004532228155901</v>
      </c>
      <c r="EF331" s="82">
        <v>0.53927286471392499</v>
      </c>
    </row>
    <row r="332" spans="1:136" x14ac:dyDescent="0.35">
      <c r="A332" s="72">
        <v>847</v>
      </c>
      <c r="B332" s="72">
        <v>10</v>
      </c>
      <c r="D332" s="72" t="s">
        <v>280</v>
      </c>
      <c r="E332" s="79">
        <v>1598800000</v>
      </c>
      <c r="F332" s="79">
        <v>322350000</v>
      </c>
      <c r="G332" s="79">
        <v>358400000</v>
      </c>
      <c r="H332" s="79">
        <v>19120</v>
      </c>
      <c r="I332" s="79">
        <v>3</v>
      </c>
      <c r="J332" s="79">
        <v>358.4</v>
      </c>
      <c r="K332" s="79">
        <v>3990</v>
      </c>
      <c r="L332" s="79">
        <v>3732</v>
      </c>
      <c r="M332" s="79">
        <v>1232</v>
      </c>
      <c r="N332" s="79">
        <v>2291</v>
      </c>
      <c r="O332" s="79">
        <v>1488.6</v>
      </c>
      <c r="P332" s="79">
        <v>210</v>
      </c>
      <c r="Q332" s="79">
        <v>1080</v>
      </c>
      <c r="R332" s="79">
        <v>230</v>
      </c>
      <c r="S332" s="79">
        <v>0</v>
      </c>
      <c r="T332" s="79">
        <v>396</v>
      </c>
      <c r="U332" s="79">
        <v>8228</v>
      </c>
      <c r="V332" s="79">
        <v>16400</v>
      </c>
      <c r="W332" s="79">
        <v>6160</v>
      </c>
      <c r="X332" s="79">
        <v>384.12</v>
      </c>
      <c r="Y332" s="79">
        <v>661.6</v>
      </c>
      <c r="Z332" s="79">
        <v>0</v>
      </c>
      <c r="AA332" s="79">
        <v>0</v>
      </c>
      <c r="AB332" s="79">
        <v>0</v>
      </c>
      <c r="AC332" s="79">
        <v>8019</v>
      </c>
      <c r="AD332" s="79">
        <v>8019</v>
      </c>
      <c r="AE332" s="79">
        <v>131</v>
      </c>
      <c r="AF332" s="79">
        <v>0</v>
      </c>
      <c r="AG332" s="79">
        <v>256</v>
      </c>
      <c r="AH332" s="79">
        <v>126</v>
      </c>
      <c r="AI332" s="79">
        <v>130</v>
      </c>
      <c r="AJ332" s="79">
        <v>8024</v>
      </c>
      <c r="AK332" s="79">
        <v>8024</v>
      </c>
      <c r="AL332" s="79">
        <v>0</v>
      </c>
      <c r="AM332" s="79">
        <v>0</v>
      </c>
      <c r="AN332" s="79">
        <v>0</v>
      </c>
      <c r="AO332" s="79">
        <v>0</v>
      </c>
      <c r="AP332" s="79">
        <v>0</v>
      </c>
      <c r="AQ332" s="79">
        <v>0</v>
      </c>
      <c r="AR332" s="80">
        <v>1.2492100000000001E-4</v>
      </c>
      <c r="AS332" s="80">
        <v>7.0666000000000004E-5</v>
      </c>
      <c r="AT332" s="79">
        <v>5777.28</v>
      </c>
      <c r="AU332" s="79">
        <v>0</v>
      </c>
      <c r="AV332" s="79">
        <v>877</v>
      </c>
      <c r="AW332" s="79">
        <v>2057.4527607362002</v>
      </c>
      <c r="AX332" s="79">
        <v>5</v>
      </c>
      <c r="AY332" s="79">
        <v>5</v>
      </c>
      <c r="AZ332" s="79">
        <v>2418</v>
      </c>
      <c r="BA332" s="79">
        <v>1</v>
      </c>
      <c r="BB332" s="79">
        <v>0</v>
      </c>
      <c r="BC332" s="79">
        <v>0</v>
      </c>
      <c r="BD332" s="79">
        <v>0</v>
      </c>
      <c r="BE332" s="79">
        <v>0</v>
      </c>
      <c r="BF332" s="79">
        <v>0</v>
      </c>
      <c r="BG332" s="79">
        <v>0</v>
      </c>
      <c r="BH332" s="79">
        <v>0</v>
      </c>
      <c r="BI332" s="79">
        <v>0</v>
      </c>
      <c r="BJ332" s="79">
        <v>0</v>
      </c>
      <c r="BK332" s="79">
        <v>2</v>
      </c>
      <c r="BL332" s="79">
        <v>2310</v>
      </c>
      <c r="BM332" s="79">
        <v>126</v>
      </c>
      <c r="BN332" s="79">
        <v>130</v>
      </c>
      <c r="BO332">
        <v>4727</v>
      </c>
      <c r="BP332">
        <v>1049</v>
      </c>
      <c r="BQ332">
        <v>4173</v>
      </c>
      <c r="BR332">
        <v>950</v>
      </c>
      <c r="BS332">
        <v>4048</v>
      </c>
      <c r="BT332">
        <v>892</v>
      </c>
      <c r="BU332">
        <v>3925</v>
      </c>
      <c r="BV332">
        <v>855</v>
      </c>
      <c r="BW332">
        <v>3821</v>
      </c>
      <c r="BX332">
        <v>853</v>
      </c>
      <c r="BY332">
        <v>3720</v>
      </c>
      <c r="BZ332">
        <v>873</v>
      </c>
      <c r="CA332">
        <v>3511</v>
      </c>
      <c r="CB332">
        <v>340.14784155555299</v>
      </c>
      <c r="CC332">
        <v>38.642758811750099</v>
      </c>
      <c r="CD332">
        <v>48.469221552240498</v>
      </c>
      <c r="CE332">
        <v>5275.2858983741398</v>
      </c>
      <c r="CF332">
        <v>1306.7711490864001</v>
      </c>
      <c r="CG332">
        <v>30.368730458220998</v>
      </c>
      <c r="CH332">
        <v>148</v>
      </c>
      <c r="CI332">
        <v>67.097890868920103</v>
      </c>
      <c r="CJ332">
        <v>48.246751390372701</v>
      </c>
      <c r="CK332" s="81">
        <v>870</v>
      </c>
      <c r="CL332">
        <v>217</v>
      </c>
      <c r="CM332">
        <v>2696.3708575658202</v>
      </c>
      <c r="CN332">
        <v>0.137116339698347</v>
      </c>
      <c r="CO332">
        <v>15388</v>
      </c>
      <c r="CP332">
        <v>2094</v>
      </c>
      <c r="CQ332">
        <v>406</v>
      </c>
      <c r="CR332">
        <v>395</v>
      </c>
      <c r="CS332">
        <v>397</v>
      </c>
      <c r="CT332">
        <v>185</v>
      </c>
      <c r="CU332">
        <v>240.728922998858</v>
      </c>
      <c r="CV332">
        <v>154.118439916835</v>
      </c>
      <c r="CW332">
        <v>47.2926620683427</v>
      </c>
      <c r="CX332">
        <v>593.37440304321899</v>
      </c>
      <c r="CY332">
        <v>379.88761858930297</v>
      </c>
      <c r="CZ332">
        <v>116.57201292451499</v>
      </c>
      <c r="DA332">
        <v>0</v>
      </c>
      <c r="DE332">
        <v>1702</v>
      </c>
      <c r="DF332" t="s">
        <v>273</v>
      </c>
      <c r="DG332">
        <v>2817</v>
      </c>
      <c r="DH332">
        <v>2787</v>
      </c>
      <c r="DI332">
        <v>2705</v>
      </c>
      <c r="DJ332">
        <v>2647</v>
      </c>
      <c r="DK332">
        <v>2535</v>
      </c>
      <c r="DO332">
        <v>847</v>
      </c>
      <c r="DP332" t="s">
        <v>280</v>
      </c>
      <c r="DQ332">
        <v>8024</v>
      </c>
      <c r="DR332">
        <v>1</v>
      </c>
      <c r="DS332">
        <v>720</v>
      </c>
      <c r="DV332">
        <v>984</v>
      </c>
      <c r="DW332" t="s">
        <v>316</v>
      </c>
      <c r="DX332">
        <v>5728.7687348912204</v>
      </c>
      <c r="DY332">
        <v>987</v>
      </c>
      <c r="DZ332">
        <v>922</v>
      </c>
      <c r="EA332">
        <v>432</v>
      </c>
      <c r="EB332">
        <v>3159</v>
      </c>
      <c r="EC332">
        <v>1985</v>
      </c>
      <c r="ED332">
        <v>606</v>
      </c>
      <c r="EE332" s="82">
        <v>0.19845109324778401</v>
      </c>
      <c r="EF332" s="82">
        <v>0.47753270234147599</v>
      </c>
    </row>
    <row r="333" spans="1:136" x14ac:dyDescent="0.35">
      <c r="A333" s="72">
        <v>848</v>
      </c>
      <c r="B333" s="72">
        <v>10</v>
      </c>
      <c r="D333" s="72" t="s">
        <v>281</v>
      </c>
      <c r="E333" s="79">
        <v>1713200000</v>
      </c>
      <c r="F333" s="79">
        <v>461650000</v>
      </c>
      <c r="G333" s="79">
        <v>467950000</v>
      </c>
      <c r="H333" s="79">
        <v>16753</v>
      </c>
      <c r="I333" s="79">
        <v>1</v>
      </c>
      <c r="J333" s="79">
        <v>467.95</v>
      </c>
      <c r="K333" s="79">
        <v>3957</v>
      </c>
      <c r="L333" s="79">
        <v>3822</v>
      </c>
      <c r="M333" s="79">
        <v>1483</v>
      </c>
      <c r="N333" s="79">
        <v>1537</v>
      </c>
      <c r="O333" s="79">
        <v>824.6</v>
      </c>
      <c r="P333" s="79">
        <v>202.666666666667</v>
      </c>
      <c r="Q333" s="79">
        <v>781.66666666666697</v>
      </c>
      <c r="R333" s="79">
        <v>310</v>
      </c>
      <c r="S333" s="79">
        <v>0</v>
      </c>
      <c r="T333" s="79">
        <v>421</v>
      </c>
      <c r="U333" s="79">
        <v>7228</v>
      </c>
      <c r="V333" s="79">
        <v>14660</v>
      </c>
      <c r="W333" s="79">
        <v>5100</v>
      </c>
      <c r="X333" s="79">
        <v>449.8</v>
      </c>
      <c r="Y333" s="79">
        <v>0</v>
      </c>
      <c r="Z333" s="79">
        <v>0</v>
      </c>
      <c r="AA333" s="79">
        <v>0</v>
      </c>
      <c r="AB333" s="79">
        <v>0</v>
      </c>
      <c r="AC333" s="79">
        <v>2594</v>
      </c>
      <c r="AD333" s="79">
        <v>2594</v>
      </c>
      <c r="AE333" s="79">
        <v>57</v>
      </c>
      <c r="AF333" s="79">
        <v>0</v>
      </c>
      <c r="AG333" s="79">
        <v>174</v>
      </c>
      <c r="AH333" s="79">
        <v>131</v>
      </c>
      <c r="AI333" s="79">
        <v>43</v>
      </c>
      <c r="AJ333" s="79">
        <v>7124</v>
      </c>
      <c r="AK333" s="79">
        <v>7124</v>
      </c>
      <c r="AL333" s="79">
        <v>0</v>
      </c>
      <c r="AM333" s="79">
        <v>0</v>
      </c>
      <c r="AN333" s="79">
        <v>0</v>
      </c>
      <c r="AO333" s="79">
        <v>0</v>
      </c>
      <c r="AP333" s="79">
        <v>0</v>
      </c>
      <c r="AQ333" s="79">
        <v>0</v>
      </c>
      <c r="AR333" s="80">
        <v>3.9898000000000003E-5</v>
      </c>
      <c r="AS333" s="80">
        <v>5.3606999999999997E-5</v>
      </c>
      <c r="AT333" s="79">
        <v>4858.5680000000002</v>
      </c>
      <c r="AU333" s="79">
        <v>0</v>
      </c>
      <c r="AV333" s="79">
        <v>553</v>
      </c>
      <c r="AW333" s="79">
        <v>3494.6846473029</v>
      </c>
      <c r="AX333" s="79">
        <v>2</v>
      </c>
      <c r="AY333" s="79">
        <v>2</v>
      </c>
      <c r="AZ333" s="79">
        <v>2039</v>
      </c>
      <c r="BA333" s="79">
        <v>1</v>
      </c>
      <c r="BB333" s="79">
        <v>0</v>
      </c>
      <c r="BC333" s="79">
        <v>0</v>
      </c>
      <c r="BD333" s="79">
        <v>0</v>
      </c>
      <c r="BE333" s="79">
        <v>0</v>
      </c>
      <c r="BF333" s="79">
        <v>0</v>
      </c>
      <c r="BG333" s="79">
        <v>0</v>
      </c>
      <c r="BH333" s="79">
        <v>0</v>
      </c>
      <c r="BI333" s="79">
        <v>0</v>
      </c>
      <c r="BJ333" s="79">
        <v>0</v>
      </c>
      <c r="BK333" s="79">
        <v>10</v>
      </c>
      <c r="BL333" s="79">
        <v>1966</v>
      </c>
      <c r="BM333" s="79">
        <v>131</v>
      </c>
      <c r="BN333" s="79">
        <v>43</v>
      </c>
      <c r="BO333">
        <v>3949</v>
      </c>
      <c r="BP333">
        <v>0</v>
      </c>
      <c r="BQ333">
        <v>3681</v>
      </c>
      <c r="BR333">
        <v>0</v>
      </c>
      <c r="BS333">
        <v>3670</v>
      </c>
      <c r="BT333">
        <v>0</v>
      </c>
      <c r="BU333">
        <v>3664</v>
      </c>
      <c r="BV333">
        <v>0</v>
      </c>
      <c r="BW333">
        <v>3619</v>
      </c>
      <c r="BX333">
        <v>0</v>
      </c>
      <c r="BY333">
        <v>3613</v>
      </c>
      <c r="BZ333">
        <v>0</v>
      </c>
      <c r="CA333">
        <v>3543</v>
      </c>
      <c r="CB333">
        <v>272.13502307374898</v>
      </c>
      <c r="CC333">
        <v>36.963925730246601</v>
      </c>
      <c r="CD333">
        <v>32.912187777266702</v>
      </c>
      <c r="CE333">
        <v>5889.0250932246599</v>
      </c>
      <c r="CF333">
        <v>1552.58204821092</v>
      </c>
      <c r="CG333">
        <v>78.127966767371603</v>
      </c>
      <c r="CH333">
        <v>163</v>
      </c>
      <c r="CI333">
        <v>78.530356399198098</v>
      </c>
      <c r="CJ333">
        <v>60.663194762895102</v>
      </c>
      <c r="CK333" s="81">
        <v>579</v>
      </c>
      <c r="CL333">
        <v>194</v>
      </c>
      <c r="CM333">
        <v>2392.8485844748898</v>
      </c>
      <c r="CN333">
        <v>0.18972980714287399</v>
      </c>
      <c r="CO333">
        <v>12931</v>
      </c>
      <c r="CP333">
        <v>1803</v>
      </c>
      <c r="CQ333">
        <v>536</v>
      </c>
      <c r="CR333">
        <v>364</v>
      </c>
      <c r="CS333">
        <v>452</v>
      </c>
      <c r="CT333">
        <v>276</v>
      </c>
      <c r="CU333">
        <v>125.873242448613</v>
      </c>
      <c r="CV333">
        <v>115.103958596064</v>
      </c>
      <c r="CW333">
        <v>47.245890449893601</v>
      </c>
      <c r="CX333">
        <v>331.04302262276298</v>
      </c>
      <c r="CY333">
        <v>302.72011452348301</v>
      </c>
      <c r="CZ333">
        <v>124.25533875812999</v>
      </c>
      <c r="DA333">
        <v>64240</v>
      </c>
      <c r="DE333">
        <v>1705</v>
      </c>
      <c r="DF333" t="s">
        <v>185</v>
      </c>
      <c r="DG333">
        <v>10309</v>
      </c>
      <c r="DH333">
        <v>10315</v>
      </c>
      <c r="DI333">
        <v>10323</v>
      </c>
      <c r="DJ333">
        <v>10303</v>
      </c>
      <c r="DK333">
        <v>10186</v>
      </c>
      <c r="DO333">
        <v>848</v>
      </c>
      <c r="DP333" t="s">
        <v>281</v>
      </c>
      <c r="DQ333">
        <v>7124</v>
      </c>
      <c r="DR333">
        <v>1</v>
      </c>
      <c r="DS333">
        <v>682</v>
      </c>
      <c r="DV333">
        <v>620</v>
      </c>
      <c r="DW333" t="s">
        <v>810</v>
      </c>
      <c r="DX333">
        <v>2258.2116415002401</v>
      </c>
      <c r="DY333">
        <v>505</v>
      </c>
      <c r="DZ333">
        <v>348</v>
      </c>
      <c r="EA333">
        <v>178</v>
      </c>
      <c r="EB333">
        <v>1541</v>
      </c>
      <c r="EC333">
        <v>796</v>
      </c>
      <c r="ED333">
        <v>257</v>
      </c>
      <c r="EE333" s="82">
        <v>0.165422148742389</v>
      </c>
      <c r="EF333" s="82">
        <v>0.40773802822016803</v>
      </c>
    </row>
    <row r="334" spans="1:136" x14ac:dyDescent="0.35">
      <c r="A334" s="72">
        <v>851</v>
      </c>
      <c r="B334" s="72">
        <v>10</v>
      </c>
      <c r="D334" s="72" t="s">
        <v>285</v>
      </c>
      <c r="E334" s="79">
        <v>1692800000</v>
      </c>
      <c r="F334" s="79">
        <v>341600000</v>
      </c>
      <c r="G334" s="79">
        <v>377650000</v>
      </c>
      <c r="H334" s="79">
        <v>24781</v>
      </c>
      <c r="I334" s="79">
        <v>4</v>
      </c>
      <c r="J334" s="79">
        <v>377.65</v>
      </c>
      <c r="K334" s="79">
        <v>4773</v>
      </c>
      <c r="L334" s="79">
        <v>5074</v>
      </c>
      <c r="M334" s="79">
        <v>1485</v>
      </c>
      <c r="N334" s="79">
        <v>3634</v>
      </c>
      <c r="O334" s="79">
        <v>2596.4</v>
      </c>
      <c r="P334" s="79">
        <v>356.33333333333297</v>
      </c>
      <c r="Q334" s="79">
        <v>1383.3333333333301</v>
      </c>
      <c r="R334" s="79">
        <v>450</v>
      </c>
      <c r="S334" s="79">
        <v>0</v>
      </c>
      <c r="T334" s="79">
        <v>637</v>
      </c>
      <c r="U334" s="79">
        <v>12036</v>
      </c>
      <c r="V334" s="79">
        <v>22970</v>
      </c>
      <c r="W334" s="79">
        <v>5540</v>
      </c>
      <c r="X334" s="79">
        <v>0</v>
      </c>
      <c r="Y334" s="79">
        <v>494.4</v>
      </c>
      <c r="Z334" s="79">
        <v>0</v>
      </c>
      <c r="AA334" s="79">
        <v>0</v>
      </c>
      <c r="AB334" s="79">
        <v>97.699999999999903</v>
      </c>
      <c r="AC334" s="79">
        <v>14636</v>
      </c>
      <c r="AD334" s="79">
        <v>15367.8</v>
      </c>
      <c r="AE334" s="79">
        <v>1278</v>
      </c>
      <c r="AF334" s="79">
        <v>0</v>
      </c>
      <c r="AG334" s="79">
        <v>215</v>
      </c>
      <c r="AH334" s="79">
        <v>144.97</v>
      </c>
      <c r="AI334" s="79">
        <v>86.1</v>
      </c>
      <c r="AJ334" s="79">
        <v>10376</v>
      </c>
      <c r="AK334" s="79">
        <v>11309.84</v>
      </c>
      <c r="AL334" s="79">
        <v>8</v>
      </c>
      <c r="AM334" s="79">
        <v>0</v>
      </c>
      <c r="AN334" s="79">
        <v>0</v>
      </c>
      <c r="AO334" s="79">
        <v>6200</v>
      </c>
      <c r="AP334" s="79">
        <v>1329</v>
      </c>
      <c r="AQ334" s="79">
        <v>747</v>
      </c>
      <c r="AR334" s="80">
        <v>3.2956100000000002E-4</v>
      </c>
      <c r="AS334" s="80">
        <v>1.27284E-4</v>
      </c>
      <c r="AT334" s="79">
        <v>7398.0879999999997</v>
      </c>
      <c r="AU334" s="79">
        <v>0</v>
      </c>
      <c r="AV334" s="79">
        <v>3566.85</v>
      </c>
      <c r="AW334" s="79">
        <v>6659.5239191906503</v>
      </c>
      <c r="AX334" s="79">
        <v>8</v>
      </c>
      <c r="AY334" s="79">
        <v>8.4</v>
      </c>
      <c r="AZ334" s="79">
        <v>2348</v>
      </c>
      <c r="BA334" s="79">
        <v>1</v>
      </c>
      <c r="BB334" s="79">
        <v>0</v>
      </c>
      <c r="BC334" s="79">
        <v>0</v>
      </c>
      <c r="BD334" s="79">
        <v>0</v>
      </c>
      <c r="BE334" s="79">
        <v>0</v>
      </c>
      <c r="BF334" s="79">
        <v>0</v>
      </c>
      <c r="BG334" s="79">
        <v>0</v>
      </c>
      <c r="BH334" s="79">
        <v>0</v>
      </c>
      <c r="BI334" s="79">
        <v>0</v>
      </c>
      <c r="BJ334" s="79">
        <v>0</v>
      </c>
      <c r="BK334" s="79">
        <v>6</v>
      </c>
      <c r="BL334" s="79">
        <v>4562</v>
      </c>
      <c r="BM334" s="79">
        <v>133</v>
      </c>
      <c r="BN334" s="79">
        <v>82</v>
      </c>
      <c r="BO334">
        <v>5314</v>
      </c>
      <c r="BP334">
        <v>473</v>
      </c>
      <c r="BQ334">
        <v>4796</v>
      </c>
      <c r="BR334">
        <v>421</v>
      </c>
      <c r="BS334">
        <v>4707</v>
      </c>
      <c r="BT334">
        <v>377</v>
      </c>
      <c r="BU334">
        <v>4630</v>
      </c>
      <c r="BV334">
        <v>353</v>
      </c>
      <c r="BW334">
        <v>4565</v>
      </c>
      <c r="BX334">
        <v>373</v>
      </c>
      <c r="BY334">
        <v>4498</v>
      </c>
      <c r="BZ334">
        <v>438</v>
      </c>
      <c r="CA334">
        <v>4203</v>
      </c>
      <c r="CB334">
        <v>420.87288577427603</v>
      </c>
      <c r="CC334">
        <v>70.691290634275106</v>
      </c>
      <c r="CD334">
        <v>62.6202156549355</v>
      </c>
      <c r="CE334">
        <v>6608.5484849274799</v>
      </c>
      <c r="CF334">
        <v>1591.81948779818</v>
      </c>
      <c r="CG334">
        <v>139.02369527897</v>
      </c>
      <c r="CH334">
        <v>228</v>
      </c>
      <c r="CI334">
        <v>118.799584132181</v>
      </c>
      <c r="CJ334">
        <v>106.426657478763</v>
      </c>
      <c r="CK334" s="81">
        <v>1027</v>
      </c>
      <c r="CL334">
        <v>211</v>
      </c>
      <c r="CM334">
        <v>4707.4716769604302</v>
      </c>
      <c r="CN334">
        <v>0.58988538671837998</v>
      </c>
      <c r="CO334">
        <v>19707</v>
      </c>
      <c r="CP334">
        <v>3033</v>
      </c>
      <c r="CQ334">
        <v>556</v>
      </c>
      <c r="CR334">
        <v>564</v>
      </c>
      <c r="CS334">
        <v>518</v>
      </c>
      <c r="CT334">
        <v>268</v>
      </c>
      <c r="CU334">
        <v>460.215074921564</v>
      </c>
      <c r="CV334">
        <v>263.26604612152602</v>
      </c>
      <c r="CW334">
        <v>94.095088727845706</v>
      </c>
      <c r="CX334">
        <v>870.56315315594998</v>
      </c>
      <c r="CY334">
        <v>498.00567543233302</v>
      </c>
      <c r="CZ334">
        <v>177.99442391878</v>
      </c>
      <c r="DA334">
        <v>11907</v>
      </c>
      <c r="DE334">
        <v>1706</v>
      </c>
      <c r="DF334" t="s">
        <v>71</v>
      </c>
      <c r="DG334">
        <v>4101</v>
      </c>
      <c r="DH334">
        <v>4100</v>
      </c>
      <c r="DI334">
        <v>4063</v>
      </c>
      <c r="DJ334">
        <v>4058</v>
      </c>
      <c r="DK334">
        <v>3985</v>
      </c>
      <c r="DO334">
        <v>851</v>
      </c>
      <c r="DP334" t="s">
        <v>285</v>
      </c>
      <c r="DQ334">
        <v>10376</v>
      </c>
      <c r="DR334">
        <v>1.0900000000000001</v>
      </c>
      <c r="DS334">
        <v>713</v>
      </c>
      <c r="DV334">
        <v>622</v>
      </c>
      <c r="DW334" t="s">
        <v>318</v>
      </c>
      <c r="DX334">
        <v>12292.5548041454</v>
      </c>
      <c r="DY334">
        <v>2174</v>
      </c>
      <c r="DZ334">
        <v>1859</v>
      </c>
      <c r="EA334">
        <v>1185</v>
      </c>
      <c r="EB334">
        <v>5413</v>
      </c>
      <c r="EC334">
        <v>3459</v>
      </c>
      <c r="ED334">
        <v>1577</v>
      </c>
      <c r="EE334" s="82">
        <v>0.248408673095217</v>
      </c>
      <c r="EF334" s="82">
        <v>0.52542617575569694</v>
      </c>
    </row>
    <row r="335" spans="1:136" x14ac:dyDescent="0.35">
      <c r="A335" s="72">
        <v>855</v>
      </c>
      <c r="B335" s="72">
        <v>10</v>
      </c>
      <c r="D335" s="72" t="s">
        <v>296</v>
      </c>
      <c r="E335" s="79">
        <v>15111600000</v>
      </c>
      <c r="F335" s="79">
        <v>4019050000</v>
      </c>
      <c r="G335" s="79">
        <v>4100250000</v>
      </c>
      <c r="H335" s="79">
        <v>215521</v>
      </c>
      <c r="I335" s="79">
        <v>3</v>
      </c>
      <c r="J335" s="79">
        <v>4100.25</v>
      </c>
      <c r="K335" s="79">
        <v>45802</v>
      </c>
      <c r="L335" s="79">
        <v>35544</v>
      </c>
      <c r="M335" s="79">
        <v>10977</v>
      </c>
      <c r="N335" s="79">
        <v>34260</v>
      </c>
      <c r="O335" s="79">
        <v>24130.2</v>
      </c>
      <c r="P335" s="79">
        <v>7506.6666666666697</v>
      </c>
      <c r="Q335" s="79">
        <v>18920.666666666701</v>
      </c>
      <c r="R335" s="79">
        <v>24465</v>
      </c>
      <c r="S335" s="79">
        <v>0</v>
      </c>
      <c r="T335" s="79">
        <v>7855</v>
      </c>
      <c r="U335" s="79">
        <v>109934</v>
      </c>
      <c r="V335" s="79">
        <v>240730</v>
      </c>
      <c r="W335" s="79">
        <v>357130</v>
      </c>
      <c r="X335" s="79">
        <v>4690.74</v>
      </c>
      <c r="Y335" s="79">
        <v>9584.7999999999993</v>
      </c>
      <c r="Z335" s="79">
        <v>0</v>
      </c>
      <c r="AA335" s="79">
        <v>0</v>
      </c>
      <c r="AB335" s="79">
        <v>0</v>
      </c>
      <c r="AC335" s="79">
        <v>11698</v>
      </c>
      <c r="AD335" s="79">
        <v>11698</v>
      </c>
      <c r="AE335" s="79">
        <v>218</v>
      </c>
      <c r="AF335" s="79">
        <v>0</v>
      </c>
      <c r="AG335" s="79">
        <v>1238</v>
      </c>
      <c r="AH335" s="79">
        <v>1029</v>
      </c>
      <c r="AI335" s="79">
        <v>209</v>
      </c>
      <c r="AJ335" s="79">
        <v>101298</v>
      </c>
      <c r="AK335" s="79">
        <v>101298</v>
      </c>
      <c r="AL335" s="79">
        <v>10</v>
      </c>
      <c r="AM335" s="79">
        <v>0</v>
      </c>
      <c r="AN335" s="79">
        <v>0</v>
      </c>
      <c r="AO335" s="79">
        <v>0</v>
      </c>
      <c r="AP335" s="79">
        <v>16436</v>
      </c>
      <c r="AQ335" s="79">
        <v>16436</v>
      </c>
      <c r="AR335" s="80">
        <v>8.6006940000000007E-3</v>
      </c>
      <c r="AS335" s="80">
        <v>1.1799999E-2</v>
      </c>
      <c r="AT335" s="79">
        <v>276746.136</v>
      </c>
      <c r="AU335" s="79">
        <v>0</v>
      </c>
      <c r="AV335" s="79">
        <v>2614</v>
      </c>
      <c r="AW335" s="79">
        <v>47278.608089963098</v>
      </c>
      <c r="AX335" s="79">
        <v>4</v>
      </c>
      <c r="AY335" s="79">
        <v>4</v>
      </c>
      <c r="AZ335" s="79">
        <v>19450</v>
      </c>
      <c r="BA335" s="79">
        <v>1</v>
      </c>
      <c r="BB335" s="79">
        <v>0</v>
      </c>
      <c r="BC335" s="79">
        <v>0</v>
      </c>
      <c r="BD335" s="79">
        <v>0</v>
      </c>
      <c r="BE335" s="79">
        <v>0</v>
      </c>
      <c r="BF335" s="79">
        <v>0</v>
      </c>
      <c r="BG335" s="79">
        <v>0</v>
      </c>
      <c r="BH335" s="79">
        <v>0</v>
      </c>
      <c r="BI335" s="79">
        <v>0</v>
      </c>
      <c r="BJ335" s="79">
        <v>0</v>
      </c>
      <c r="BK335" s="79">
        <v>184</v>
      </c>
      <c r="BL335" s="79">
        <v>48286</v>
      </c>
      <c r="BM335" s="79">
        <v>1029</v>
      </c>
      <c r="BN335" s="79">
        <v>209</v>
      </c>
      <c r="BO335">
        <v>46084</v>
      </c>
      <c r="BP335">
        <v>11175</v>
      </c>
      <c r="BQ335">
        <v>40121</v>
      </c>
      <c r="BR335">
        <v>10902</v>
      </c>
      <c r="BS335">
        <v>40083</v>
      </c>
      <c r="BT335">
        <v>10883</v>
      </c>
      <c r="BU335">
        <v>40242</v>
      </c>
      <c r="BV335">
        <v>11083</v>
      </c>
      <c r="BW335">
        <v>40301</v>
      </c>
      <c r="BX335">
        <v>11293</v>
      </c>
      <c r="BY335">
        <v>40177</v>
      </c>
      <c r="BZ335">
        <v>11215</v>
      </c>
      <c r="CA335">
        <v>39687</v>
      </c>
      <c r="CB335">
        <v>6606.7950538614105</v>
      </c>
      <c r="CC335">
        <v>883.96848069102202</v>
      </c>
      <c r="CD335">
        <v>907.29321266679096</v>
      </c>
      <c r="CE335">
        <v>55273.351738824298</v>
      </c>
      <c r="CF335">
        <v>13169.224301271201</v>
      </c>
      <c r="CG335">
        <v>1546.2577195357801</v>
      </c>
      <c r="CH335">
        <v>3031</v>
      </c>
      <c r="CI335">
        <v>2321.1351486331801</v>
      </c>
      <c r="CJ335">
        <v>2135.9830155987802</v>
      </c>
      <c r="CK335" s="81">
        <v>11414</v>
      </c>
      <c r="CL335">
        <v>3169</v>
      </c>
      <c r="CM335">
        <v>31768.3789861041</v>
      </c>
      <c r="CN335">
        <v>18.590429286967399</v>
      </c>
      <c r="CO335">
        <v>179977</v>
      </c>
      <c r="CP335">
        <v>20745</v>
      </c>
      <c r="CQ335">
        <v>3822</v>
      </c>
      <c r="CR335">
        <v>5344</v>
      </c>
      <c r="CS335">
        <v>4212</v>
      </c>
      <c r="CT335">
        <v>1868</v>
      </c>
      <c r="CU335">
        <v>3194.5727121492</v>
      </c>
      <c r="CV335">
        <v>1863.0044874892901</v>
      </c>
      <c r="CW335">
        <v>591.70223077910805</v>
      </c>
      <c r="CX335">
        <v>7169.7600194960596</v>
      </c>
      <c r="CY335">
        <v>4181.2462241800504</v>
      </c>
      <c r="CZ335">
        <v>1327.99074553935</v>
      </c>
      <c r="DA335">
        <v>591689.80000000005</v>
      </c>
      <c r="DE335">
        <v>1708</v>
      </c>
      <c r="DF335" t="s">
        <v>286</v>
      </c>
      <c r="DG335">
        <v>9644</v>
      </c>
      <c r="DH335">
        <v>9504</v>
      </c>
      <c r="DI335">
        <v>9420</v>
      </c>
      <c r="DJ335">
        <v>9336</v>
      </c>
      <c r="DK335">
        <v>9252</v>
      </c>
      <c r="DO335">
        <v>855</v>
      </c>
      <c r="DP335" t="s">
        <v>296</v>
      </c>
      <c r="DQ335">
        <v>101298</v>
      </c>
      <c r="DR335">
        <v>1</v>
      </c>
      <c r="DS335">
        <v>2732</v>
      </c>
      <c r="DV335">
        <v>96</v>
      </c>
      <c r="DW335" t="s">
        <v>319</v>
      </c>
      <c r="DX335">
        <v>210.80172413793099</v>
      </c>
      <c r="DY335">
        <v>27</v>
      </c>
      <c r="DZ335">
        <v>28</v>
      </c>
      <c r="EA335">
        <v>11</v>
      </c>
      <c r="EB335">
        <v>77</v>
      </c>
      <c r="EC335">
        <v>54</v>
      </c>
      <c r="ED335">
        <v>13</v>
      </c>
      <c r="EE335" s="82">
        <v>9.4287303352931798E-2</v>
      </c>
      <c r="EF335" s="82">
        <v>0.473389425315906</v>
      </c>
    </row>
    <row r="336" spans="1:136" x14ac:dyDescent="0.35">
      <c r="A336" s="72">
        <v>856</v>
      </c>
      <c r="B336" s="72">
        <v>10</v>
      </c>
      <c r="D336" s="72" t="s">
        <v>301</v>
      </c>
      <c r="E336" s="79">
        <v>3458400000</v>
      </c>
      <c r="F336" s="79">
        <v>771400000</v>
      </c>
      <c r="G336" s="79">
        <v>821450000</v>
      </c>
      <c r="H336" s="79">
        <v>41725</v>
      </c>
      <c r="I336" s="79">
        <v>2</v>
      </c>
      <c r="J336" s="79">
        <v>821.45</v>
      </c>
      <c r="K336" s="79">
        <v>9249</v>
      </c>
      <c r="L336" s="79">
        <v>8629</v>
      </c>
      <c r="M336" s="79">
        <v>2798</v>
      </c>
      <c r="N336" s="79">
        <v>5474</v>
      </c>
      <c r="O336" s="79">
        <v>3604.5</v>
      </c>
      <c r="P336" s="79">
        <v>677</v>
      </c>
      <c r="Q336" s="79">
        <v>3171</v>
      </c>
      <c r="R336" s="79">
        <v>2250</v>
      </c>
      <c r="S336" s="79">
        <v>0</v>
      </c>
      <c r="T336" s="79">
        <v>1312</v>
      </c>
      <c r="U336" s="79">
        <v>18766</v>
      </c>
      <c r="V336" s="79">
        <v>46160</v>
      </c>
      <c r="W336" s="79">
        <v>43990</v>
      </c>
      <c r="X336" s="79">
        <v>440.16</v>
      </c>
      <c r="Y336" s="79">
        <v>2339.1999999999998</v>
      </c>
      <c r="Z336" s="79">
        <v>0</v>
      </c>
      <c r="AA336" s="79">
        <v>0</v>
      </c>
      <c r="AB336" s="79">
        <v>166.3</v>
      </c>
      <c r="AC336" s="79">
        <v>6700</v>
      </c>
      <c r="AD336" s="79">
        <v>6700</v>
      </c>
      <c r="AE336" s="79">
        <v>53</v>
      </c>
      <c r="AF336" s="79">
        <v>0</v>
      </c>
      <c r="AG336" s="79">
        <v>389</v>
      </c>
      <c r="AH336" s="79">
        <v>282</v>
      </c>
      <c r="AI336" s="79">
        <v>107</v>
      </c>
      <c r="AJ336" s="79">
        <v>18695</v>
      </c>
      <c r="AK336" s="79">
        <v>18695</v>
      </c>
      <c r="AL336" s="79">
        <v>0</v>
      </c>
      <c r="AM336" s="79">
        <v>0</v>
      </c>
      <c r="AN336" s="79">
        <v>0</v>
      </c>
      <c r="AO336" s="79">
        <v>0</v>
      </c>
      <c r="AP336" s="79">
        <v>550</v>
      </c>
      <c r="AQ336" s="79">
        <v>0</v>
      </c>
      <c r="AR336" s="80">
        <v>1.9106799999999999E-4</v>
      </c>
      <c r="AS336" s="80">
        <v>3.5193300000000002E-4</v>
      </c>
      <c r="AT336" s="79">
        <v>25313.03</v>
      </c>
      <c r="AU336" s="79">
        <v>0</v>
      </c>
      <c r="AV336" s="79">
        <v>573</v>
      </c>
      <c r="AW336" s="79">
        <v>3540.4153709462498</v>
      </c>
      <c r="AX336" s="79">
        <v>7</v>
      </c>
      <c r="AY336" s="79">
        <v>7</v>
      </c>
      <c r="AZ336" s="79">
        <v>4741</v>
      </c>
      <c r="BA336" s="79">
        <v>1</v>
      </c>
      <c r="BB336" s="79">
        <v>0</v>
      </c>
      <c r="BC336" s="79">
        <v>0</v>
      </c>
      <c r="BD336" s="79">
        <v>0</v>
      </c>
      <c r="BE336" s="79">
        <v>0</v>
      </c>
      <c r="BF336" s="79">
        <v>0</v>
      </c>
      <c r="BG336" s="79">
        <v>0</v>
      </c>
      <c r="BH336" s="79">
        <v>0</v>
      </c>
      <c r="BI336" s="79">
        <v>0</v>
      </c>
      <c r="BJ336" s="79">
        <v>0</v>
      </c>
      <c r="BK336" s="79">
        <v>53</v>
      </c>
      <c r="BL336" s="79">
        <v>6014</v>
      </c>
      <c r="BM336" s="79">
        <v>282</v>
      </c>
      <c r="BN336" s="79">
        <v>107</v>
      </c>
      <c r="BO336">
        <v>9957</v>
      </c>
      <c r="BP336">
        <v>2507</v>
      </c>
      <c r="BQ336">
        <v>8975</v>
      </c>
      <c r="BR336">
        <v>2635</v>
      </c>
      <c r="BS336">
        <v>8909</v>
      </c>
      <c r="BT336">
        <v>2782</v>
      </c>
      <c r="BU336">
        <v>8881</v>
      </c>
      <c r="BV336">
        <v>2971</v>
      </c>
      <c r="BW336">
        <v>8792</v>
      </c>
      <c r="BX336">
        <v>3045</v>
      </c>
      <c r="BY336">
        <v>8663</v>
      </c>
      <c r="BZ336">
        <v>3066</v>
      </c>
      <c r="CA336">
        <v>8258</v>
      </c>
      <c r="CB336">
        <v>883.24287117701704</v>
      </c>
      <c r="CC336">
        <v>161.107833434718</v>
      </c>
      <c r="CD336">
        <v>137.008394315441</v>
      </c>
      <c r="CE336">
        <v>12285.6717813912</v>
      </c>
      <c r="CF336">
        <v>3024.5450493666299</v>
      </c>
      <c r="CG336">
        <v>274.69052713178303</v>
      </c>
      <c r="CH336">
        <v>477</v>
      </c>
      <c r="CI336">
        <v>219.06644398931999</v>
      </c>
      <c r="CJ336">
        <v>213.20807048245601</v>
      </c>
      <c r="CK336" s="81">
        <v>2494</v>
      </c>
      <c r="CL336">
        <v>607</v>
      </c>
      <c r="CM336">
        <v>6246.9245278444496</v>
      </c>
      <c r="CN336">
        <v>1.0908746646715699</v>
      </c>
      <c r="CO336">
        <v>33096</v>
      </c>
      <c r="CP336">
        <v>4967</v>
      </c>
      <c r="CQ336">
        <v>864</v>
      </c>
      <c r="CR336">
        <v>1044</v>
      </c>
      <c r="CS336">
        <v>957</v>
      </c>
      <c r="CT336">
        <v>386</v>
      </c>
      <c r="CU336">
        <v>598.31201039208395</v>
      </c>
      <c r="CV336">
        <v>374.83678640097003</v>
      </c>
      <c r="CW336">
        <v>109.713030587527</v>
      </c>
      <c r="CX336">
        <v>1381.75467417766</v>
      </c>
      <c r="CY336">
        <v>865.65616712902704</v>
      </c>
      <c r="CZ336">
        <v>253.37364151050201</v>
      </c>
      <c r="DA336">
        <v>29838</v>
      </c>
      <c r="DE336">
        <v>1709</v>
      </c>
      <c r="DF336" t="s">
        <v>205</v>
      </c>
      <c r="DG336">
        <v>7861</v>
      </c>
      <c r="DH336">
        <v>7786</v>
      </c>
      <c r="DI336">
        <v>7667</v>
      </c>
      <c r="DJ336">
        <v>7586</v>
      </c>
      <c r="DK336">
        <v>7550</v>
      </c>
      <c r="DO336">
        <v>856</v>
      </c>
      <c r="DP336" t="s">
        <v>301</v>
      </c>
      <c r="DQ336">
        <v>18695</v>
      </c>
      <c r="DR336">
        <v>1</v>
      </c>
      <c r="DS336">
        <v>1354</v>
      </c>
      <c r="DV336">
        <v>718</v>
      </c>
      <c r="DW336" t="s">
        <v>320</v>
      </c>
      <c r="DX336">
        <v>7674.1611883691503</v>
      </c>
      <c r="DY336">
        <v>1468</v>
      </c>
      <c r="DZ336">
        <v>1214</v>
      </c>
      <c r="EA336">
        <v>741</v>
      </c>
      <c r="EB336">
        <v>3734</v>
      </c>
      <c r="EC336">
        <v>2223</v>
      </c>
      <c r="ED336">
        <v>983</v>
      </c>
      <c r="EE336" s="82">
        <v>0.23024189639251</v>
      </c>
      <c r="EF336" s="82">
        <v>0.54870379860755203</v>
      </c>
    </row>
    <row r="337" spans="1:136" x14ac:dyDescent="0.35">
      <c r="A337" s="72">
        <v>858</v>
      </c>
      <c r="B337" s="72">
        <v>10</v>
      </c>
      <c r="D337" s="72" t="s">
        <v>309</v>
      </c>
      <c r="E337" s="79">
        <v>2900800000</v>
      </c>
      <c r="F337" s="79">
        <v>424200000</v>
      </c>
      <c r="G337" s="79">
        <v>459550000</v>
      </c>
      <c r="H337" s="79">
        <v>30654</v>
      </c>
      <c r="I337" s="79">
        <v>1</v>
      </c>
      <c r="J337" s="79">
        <v>459.55</v>
      </c>
      <c r="K337" s="79">
        <v>5887</v>
      </c>
      <c r="L337" s="79">
        <v>7633</v>
      </c>
      <c r="M337" s="79">
        <v>2540</v>
      </c>
      <c r="N337" s="79">
        <v>4505</v>
      </c>
      <c r="O337" s="79">
        <v>3044.6</v>
      </c>
      <c r="P337" s="79">
        <v>548.66666666666697</v>
      </c>
      <c r="Q337" s="79">
        <v>1994.6666666666699</v>
      </c>
      <c r="R337" s="79">
        <v>580</v>
      </c>
      <c r="S337" s="79">
        <v>0</v>
      </c>
      <c r="T337" s="79">
        <v>944</v>
      </c>
      <c r="U337" s="79">
        <v>14492</v>
      </c>
      <c r="V337" s="79">
        <v>31260</v>
      </c>
      <c r="W337" s="79">
        <v>22410</v>
      </c>
      <c r="X337" s="79">
        <v>192.06</v>
      </c>
      <c r="Y337" s="79">
        <v>2011.2</v>
      </c>
      <c r="Z337" s="79">
        <v>0</v>
      </c>
      <c r="AA337" s="79">
        <v>0</v>
      </c>
      <c r="AB337" s="79">
        <v>0</v>
      </c>
      <c r="AC337" s="79">
        <v>5494</v>
      </c>
      <c r="AD337" s="79">
        <v>5494</v>
      </c>
      <c r="AE337" s="79">
        <v>156</v>
      </c>
      <c r="AF337" s="79">
        <v>0</v>
      </c>
      <c r="AG337" s="79">
        <v>235</v>
      </c>
      <c r="AH337" s="79">
        <v>190</v>
      </c>
      <c r="AI337" s="79">
        <v>45</v>
      </c>
      <c r="AJ337" s="79">
        <v>14604</v>
      </c>
      <c r="AK337" s="79">
        <v>14604</v>
      </c>
      <c r="AL337" s="79">
        <v>0</v>
      </c>
      <c r="AM337" s="79">
        <v>0</v>
      </c>
      <c r="AN337" s="79">
        <v>0</v>
      </c>
      <c r="AO337" s="79">
        <v>0</v>
      </c>
      <c r="AP337" s="79">
        <v>1372</v>
      </c>
      <c r="AQ337" s="79">
        <v>0</v>
      </c>
      <c r="AR337" s="80">
        <v>3.6847799999999999E-4</v>
      </c>
      <c r="AS337" s="80">
        <v>5.0010799999999998E-4</v>
      </c>
      <c r="AT337" s="79">
        <v>21292.632000000001</v>
      </c>
      <c r="AU337" s="79">
        <v>0</v>
      </c>
      <c r="AV337" s="79">
        <v>1320</v>
      </c>
      <c r="AW337" s="79">
        <v>7161.6424778761102</v>
      </c>
      <c r="AX337" s="79">
        <v>3</v>
      </c>
      <c r="AY337" s="79">
        <v>3</v>
      </c>
      <c r="AZ337" s="79">
        <v>3305</v>
      </c>
      <c r="BA337" s="79">
        <v>1</v>
      </c>
      <c r="BB337" s="79">
        <v>0</v>
      </c>
      <c r="BC337" s="79">
        <v>0</v>
      </c>
      <c r="BD337" s="79">
        <v>0</v>
      </c>
      <c r="BE337" s="79">
        <v>0</v>
      </c>
      <c r="BF337" s="79">
        <v>0</v>
      </c>
      <c r="BG337" s="79">
        <v>0</v>
      </c>
      <c r="BH337" s="79">
        <v>0</v>
      </c>
      <c r="BI337" s="79">
        <v>0</v>
      </c>
      <c r="BJ337" s="79">
        <v>0</v>
      </c>
      <c r="BK337" s="79">
        <v>19</v>
      </c>
      <c r="BL337" s="79">
        <v>4821</v>
      </c>
      <c r="BM337" s="79">
        <v>190</v>
      </c>
      <c r="BN337" s="79">
        <v>45</v>
      </c>
      <c r="BO337">
        <v>6761</v>
      </c>
      <c r="BP337">
        <v>2404</v>
      </c>
      <c r="BQ337">
        <v>5981</v>
      </c>
      <c r="BR337">
        <v>2393</v>
      </c>
      <c r="BS337">
        <v>5884</v>
      </c>
      <c r="BT337">
        <v>2286</v>
      </c>
      <c r="BU337">
        <v>5730</v>
      </c>
      <c r="BV337">
        <v>2319</v>
      </c>
      <c r="BW337">
        <v>5667</v>
      </c>
      <c r="BX337">
        <v>2309</v>
      </c>
      <c r="BY337">
        <v>5552</v>
      </c>
      <c r="BZ337">
        <v>2319</v>
      </c>
      <c r="CA337">
        <v>5187</v>
      </c>
      <c r="CB337">
        <v>557.61805747756102</v>
      </c>
      <c r="CC337">
        <v>79.979300130218704</v>
      </c>
      <c r="CD337">
        <v>41.400760455792501</v>
      </c>
      <c r="CE337">
        <v>9453.6777814379802</v>
      </c>
      <c r="CF337">
        <v>2036.93921170863</v>
      </c>
      <c r="CG337">
        <v>154.43843715847001</v>
      </c>
      <c r="CH337">
        <v>345</v>
      </c>
      <c r="CI337">
        <v>136.56906914719201</v>
      </c>
      <c r="CJ337">
        <v>148.28780942041001</v>
      </c>
      <c r="CK337" s="81">
        <v>1446</v>
      </c>
      <c r="CL337">
        <v>330</v>
      </c>
      <c r="CM337">
        <v>5620.4334888639196</v>
      </c>
      <c r="CN337">
        <v>0.93639024817382299</v>
      </c>
      <c r="CO337">
        <v>23021</v>
      </c>
      <c r="CP337">
        <v>4214</v>
      </c>
      <c r="CQ337">
        <v>879</v>
      </c>
      <c r="CR337">
        <v>852</v>
      </c>
      <c r="CS337">
        <v>824</v>
      </c>
      <c r="CT337">
        <v>425</v>
      </c>
      <c r="CU337">
        <v>539.95797592881104</v>
      </c>
      <c r="CV337">
        <v>367.54668400096301</v>
      </c>
      <c r="CW337">
        <v>128.63091550118801</v>
      </c>
      <c r="CX337">
        <v>1173.6956350549899</v>
      </c>
      <c r="CY337">
        <v>798.92872764553897</v>
      </c>
      <c r="CZ337">
        <v>279.60239645904602</v>
      </c>
      <c r="DA337">
        <v>15346.8</v>
      </c>
      <c r="DE337">
        <v>1711</v>
      </c>
      <c r="DF337" t="s">
        <v>96</v>
      </c>
      <c r="DG337">
        <v>5789</v>
      </c>
      <c r="DH337">
        <v>5708</v>
      </c>
      <c r="DI337">
        <v>5662</v>
      </c>
      <c r="DJ337">
        <v>5539</v>
      </c>
      <c r="DK337">
        <v>5424</v>
      </c>
      <c r="DO337">
        <v>858</v>
      </c>
      <c r="DP337" t="s">
        <v>309</v>
      </c>
      <c r="DQ337">
        <v>14604</v>
      </c>
      <c r="DR337">
        <v>1</v>
      </c>
      <c r="DS337">
        <v>1458</v>
      </c>
      <c r="DV337">
        <v>986</v>
      </c>
      <c r="DW337" t="s">
        <v>321</v>
      </c>
      <c r="DX337">
        <v>1420.8813987022299</v>
      </c>
      <c r="DY337">
        <v>317</v>
      </c>
      <c r="DZ337">
        <v>341</v>
      </c>
      <c r="EA337">
        <v>140</v>
      </c>
      <c r="EB337">
        <v>1133</v>
      </c>
      <c r="EC337">
        <v>765</v>
      </c>
      <c r="ED337">
        <v>214</v>
      </c>
      <c r="EE337" s="82">
        <v>0.14280269970988299</v>
      </c>
      <c r="EF337" s="82">
        <v>0.39701708014307702</v>
      </c>
    </row>
    <row r="338" spans="1:136" x14ac:dyDescent="0.35">
      <c r="A338" s="72">
        <v>861</v>
      </c>
      <c r="B338" s="72">
        <v>10</v>
      </c>
      <c r="D338" s="72" t="s">
        <v>313</v>
      </c>
      <c r="E338" s="79">
        <v>4374800000</v>
      </c>
      <c r="F338" s="79">
        <v>864850000</v>
      </c>
      <c r="G338" s="79">
        <v>888300000</v>
      </c>
      <c r="H338" s="79">
        <v>44925</v>
      </c>
      <c r="I338" s="79">
        <v>1</v>
      </c>
      <c r="J338" s="79">
        <v>888.3</v>
      </c>
      <c r="K338" s="79">
        <v>9664</v>
      </c>
      <c r="L338" s="79">
        <v>9340</v>
      </c>
      <c r="M338" s="79">
        <v>3117</v>
      </c>
      <c r="N338" s="79">
        <v>5099</v>
      </c>
      <c r="O338" s="79">
        <v>3118.5</v>
      </c>
      <c r="P338" s="79">
        <v>554</v>
      </c>
      <c r="Q338" s="79">
        <v>2857</v>
      </c>
      <c r="R338" s="79">
        <v>1140</v>
      </c>
      <c r="S338" s="79">
        <v>0</v>
      </c>
      <c r="T338" s="79">
        <v>1302</v>
      </c>
      <c r="U338" s="79">
        <v>20281</v>
      </c>
      <c r="V338" s="79">
        <v>45550</v>
      </c>
      <c r="W338" s="79">
        <v>34840</v>
      </c>
      <c r="X338" s="79">
        <v>999.64</v>
      </c>
      <c r="Y338" s="79">
        <v>1759.2</v>
      </c>
      <c r="Z338" s="79">
        <v>0</v>
      </c>
      <c r="AA338" s="79">
        <v>0</v>
      </c>
      <c r="AB338" s="79">
        <v>0</v>
      </c>
      <c r="AC338" s="79">
        <v>3167</v>
      </c>
      <c r="AD338" s="79">
        <v>3167</v>
      </c>
      <c r="AE338" s="79">
        <v>22</v>
      </c>
      <c r="AF338" s="79">
        <v>0</v>
      </c>
      <c r="AG338" s="79">
        <v>295</v>
      </c>
      <c r="AH338" s="79">
        <v>262</v>
      </c>
      <c r="AI338" s="79">
        <v>34</v>
      </c>
      <c r="AJ338" s="79">
        <v>19805</v>
      </c>
      <c r="AK338" s="79">
        <v>19805</v>
      </c>
      <c r="AL338" s="79">
        <v>0</v>
      </c>
      <c r="AM338" s="79">
        <v>0</v>
      </c>
      <c r="AN338" s="79">
        <v>0</v>
      </c>
      <c r="AO338" s="79">
        <v>0</v>
      </c>
      <c r="AP338" s="79">
        <v>0</v>
      </c>
      <c r="AQ338" s="79">
        <v>0</v>
      </c>
      <c r="AR338" s="80">
        <v>1.8201799999999999E-4</v>
      </c>
      <c r="AS338" s="80">
        <v>3.8190400000000002E-4</v>
      </c>
      <c r="AT338" s="79">
        <v>33193.18</v>
      </c>
      <c r="AU338" s="79">
        <v>0</v>
      </c>
      <c r="AV338" s="79">
        <v>263</v>
      </c>
      <c r="AW338" s="79">
        <v>3705.0094073377199</v>
      </c>
      <c r="AX338" s="79">
        <v>5</v>
      </c>
      <c r="AY338" s="79">
        <v>5</v>
      </c>
      <c r="AZ338" s="79">
        <v>4182</v>
      </c>
      <c r="BA338" s="79">
        <v>1</v>
      </c>
      <c r="BB338" s="79">
        <v>0</v>
      </c>
      <c r="BC338" s="79">
        <v>0</v>
      </c>
      <c r="BD338" s="79">
        <v>0</v>
      </c>
      <c r="BE338" s="79">
        <v>0</v>
      </c>
      <c r="BF338" s="79">
        <v>0</v>
      </c>
      <c r="BG338" s="79">
        <v>0</v>
      </c>
      <c r="BH338" s="79">
        <v>0</v>
      </c>
      <c r="BI338" s="79">
        <v>0</v>
      </c>
      <c r="BJ338" s="79">
        <v>0</v>
      </c>
      <c r="BK338" s="79">
        <v>22</v>
      </c>
      <c r="BL338" s="79">
        <v>6097</v>
      </c>
      <c r="BM338" s="79">
        <v>262</v>
      </c>
      <c r="BN338" s="79">
        <v>34</v>
      </c>
      <c r="BO338">
        <v>10161</v>
      </c>
      <c r="BP338">
        <v>2350</v>
      </c>
      <c r="BQ338">
        <v>9074</v>
      </c>
      <c r="BR338">
        <v>2325</v>
      </c>
      <c r="BS338">
        <v>8972</v>
      </c>
      <c r="BT338">
        <v>2311</v>
      </c>
      <c r="BU338">
        <v>8885</v>
      </c>
      <c r="BV338">
        <v>2239</v>
      </c>
      <c r="BW338">
        <v>8785</v>
      </c>
      <c r="BX338">
        <v>2165</v>
      </c>
      <c r="BY338">
        <v>8767</v>
      </c>
      <c r="BZ338">
        <v>2246</v>
      </c>
      <c r="CA338">
        <v>8603</v>
      </c>
      <c r="CB338">
        <v>792.333036220807</v>
      </c>
      <c r="CC338">
        <v>75.168742993627802</v>
      </c>
      <c r="CD338">
        <v>86.048028243325902</v>
      </c>
      <c r="CE338">
        <v>14355.076124265201</v>
      </c>
      <c r="CF338">
        <v>3581.1123153376798</v>
      </c>
      <c r="CG338">
        <v>216.89239609644099</v>
      </c>
      <c r="CH338">
        <v>473</v>
      </c>
      <c r="CI338">
        <v>192.18070415807099</v>
      </c>
      <c r="CJ338">
        <v>141.54745444675501</v>
      </c>
      <c r="CK338" s="81">
        <v>2303</v>
      </c>
      <c r="CL338">
        <v>811</v>
      </c>
      <c r="CM338">
        <v>6957.1152830742203</v>
      </c>
      <c r="CN338">
        <v>0.42454144803733401</v>
      </c>
      <c r="CO338">
        <v>35585</v>
      </c>
      <c r="CP338">
        <v>5216</v>
      </c>
      <c r="CQ338">
        <v>1007</v>
      </c>
      <c r="CR338">
        <v>1029</v>
      </c>
      <c r="CS338">
        <v>984</v>
      </c>
      <c r="CT338">
        <v>539</v>
      </c>
      <c r="CU338">
        <v>507.09637939664498</v>
      </c>
      <c r="CV338">
        <v>339.06164746614201</v>
      </c>
      <c r="CW338">
        <v>124.096877939303</v>
      </c>
      <c r="CX338">
        <v>1255.8068869639601</v>
      </c>
      <c r="CY338">
        <v>839.67460485509605</v>
      </c>
      <c r="CZ338">
        <v>307.32168538124301</v>
      </c>
      <c r="DA338">
        <v>152737</v>
      </c>
      <c r="DE338">
        <v>1714</v>
      </c>
      <c r="DF338" t="s">
        <v>277</v>
      </c>
      <c r="DG338">
        <v>4333</v>
      </c>
      <c r="DH338">
        <v>4222</v>
      </c>
      <c r="DI338">
        <v>4110</v>
      </c>
      <c r="DJ338">
        <v>4066</v>
      </c>
      <c r="DK338">
        <v>4021</v>
      </c>
      <c r="DO338">
        <v>861</v>
      </c>
      <c r="DP338" t="s">
        <v>313</v>
      </c>
      <c r="DQ338">
        <v>19805</v>
      </c>
      <c r="DR338">
        <v>1</v>
      </c>
      <c r="DS338">
        <v>1676</v>
      </c>
      <c r="DV338">
        <v>626</v>
      </c>
      <c r="DW338" t="s">
        <v>322</v>
      </c>
      <c r="DX338">
        <v>2666.4848127663399</v>
      </c>
      <c r="DY338">
        <v>700</v>
      </c>
      <c r="DZ338">
        <v>634</v>
      </c>
      <c r="EA338">
        <v>408</v>
      </c>
      <c r="EB338">
        <v>1950</v>
      </c>
      <c r="EC338">
        <v>1274</v>
      </c>
      <c r="ED338">
        <v>603</v>
      </c>
      <c r="EE338" s="82">
        <v>0.13184808388543101</v>
      </c>
      <c r="EF338" s="82">
        <v>0.27136109216292698</v>
      </c>
    </row>
    <row r="339" spans="1:136" x14ac:dyDescent="0.35">
      <c r="A339" s="72">
        <v>865</v>
      </c>
      <c r="B339" s="72">
        <v>10</v>
      </c>
      <c r="D339" s="72" t="s">
        <v>324</v>
      </c>
      <c r="E339" s="79">
        <v>3040800000</v>
      </c>
      <c r="F339" s="79">
        <v>442400000</v>
      </c>
      <c r="G339" s="79">
        <v>488250000</v>
      </c>
      <c r="H339" s="79">
        <v>26418</v>
      </c>
      <c r="I339" s="79">
        <v>1</v>
      </c>
      <c r="J339" s="79">
        <v>488.25</v>
      </c>
      <c r="K339" s="79">
        <v>6110</v>
      </c>
      <c r="L339" s="79">
        <v>5370</v>
      </c>
      <c r="M339" s="79">
        <v>1681</v>
      </c>
      <c r="N339" s="79">
        <v>3146</v>
      </c>
      <c r="O339" s="79">
        <v>1956.6</v>
      </c>
      <c r="P339" s="79">
        <v>293.66666666666703</v>
      </c>
      <c r="Q339" s="79">
        <v>1762.6666666666699</v>
      </c>
      <c r="R339" s="79">
        <v>610</v>
      </c>
      <c r="S339" s="79">
        <v>0</v>
      </c>
      <c r="T339" s="79">
        <v>758</v>
      </c>
      <c r="U339" s="79">
        <v>12269</v>
      </c>
      <c r="V339" s="79">
        <v>25530</v>
      </c>
      <c r="W339" s="79">
        <v>13530</v>
      </c>
      <c r="X339" s="79">
        <v>1806.9988000000001</v>
      </c>
      <c r="Y339" s="79">
        <v>1422.4</v>
      </c>
      <c r="Z339" s="79">
        <v>0</v>
      </c>
      <c r="AA339" s="79">
        <v>0</v>
      </c>
      <c r="AB339" s="79">
        <v>0</v>
      </c>
      <c r="AC339" s="79">
        <v>3344</v>
      </c>
      <c r="AD339" s="79">
        <v>3344</v>
      </c>
      <c r="AE339" s="79">
        <v>100</v>
      </c>
      <c r="AF339" s="79">
        <v>0</v>
      </c>
      <c r="AG339" s="79">
        <v>157</v>
      </c>
      <c r="AH339" s="79">
        <v>138</v>
      </c>
      <c r="AI339" s="79">
        <v>20</v>
      </c>
      <c r="AJ339" s="79">
        <v>11894</v>
      </c>
      <c r="AK339" s="79">
        <v>11894</v>
      </c>
      <c r="AL339" s="79">
        <v>0</v>
      </c>
      <c r="AM339" s="79">
        <v>0</v>
      </c>
      <c r="AN339" s="79">
        <v>0</v>
      </c>
      <c r="AO339" s="79">
        <v>0</v>
      </c>
      <c r="AP339" s="79">
        <v>1311</v>
      </c>
      <c r="AQ339" s="79">
        <v>0</v>
      </c>
      <c r="AR339" s="80">
        <v>3.47614E-4</v>
      </c>
      <c r="AS339" s="80">
        <v>2.0203699999999999E-4</v>
      </c>
      <c r="AT339" s="79">
        <v>15331.366</v>
      </c>
      <c r="AU339" s="79">
        <v>0</v>
      </c>
      <c r="AV339" s="79">
        <v>980</v>
      </c>
      <c r="AW339" s="79">
        <v>7517.3170731707296</v>
      </c>
      <c r="AX339" s="79">
        <v>3</v>
      </c>
      <c r="AY339" s="79">
        <v>3</v>
      </c>
      <c r="AZ339" s="79">
        <v>3445</v>
      </c>
      <c r="BA339" s="79">
        <v>1</v>
      </c>
      <c r="BB339" s="79">
        <v>0</v>
      </c>
      <c r="BC339" s="79">
        <v>0</v>
      </c>
      <c r="BD339" s="79">
        <v>0</v>
      </c>
      <c r="BE339" s="79">
        <v>0</v>
      </c>
      <c r="BF339" s="79">
        <v>0</v>
      </c>
      <c r="BG339" s="79">
        <v>0</v>
      </c>
      <c r="BH339" s="79">
        <v>0</v>
      </c>
      <c r="BI339" s="79">
        <v>0</v>
      </c>
      <c r="BJ339" s="79">
        <v>0</v>
      </c>
      <c r="BK339" s="79">
        <v>56</v>
      </c>
      <c r="BL339" s="79">
        <v>3775</v>
      </c>
      <c r="BM339" s="79">
        <v>138</v>
      </c>
      <c r="BN339" s="79">
        <v>20</v>
      </c>
      <c r="BO339">
        <v>6354</v>
      </c>
      <c r="BP339">
        <v>2125</v>
      </c>
      <c r="BQ339">
        <v>5660</v>
      </c>
      <c r="BR339">
        <v>2071</v>
      </c>
      <c r="BS339">
        <v>5613</v>
      </c>
      <c r="BT339">
        <v>2028</v>
      </c>
      <c r="BU339">
        <v>5638</v>
      </c>
      <c r="BV339">
        <v>1938</v>
      </c>
      <c r="BW339">
        <v>5624</v>
      </c>
      <c r="BX339">
        <v>1921</v>
      </c>
      <c r="BY339">
        <v>5459</v>
      </c>
      <c r="BZ339">
        <v>1907</v>
      </c>
      <c r="CA339">
        <v>5507</v>
      </c>
      <c r="CB339">
        <v>437.168637901642</v>
      </c>
      <c r="CC339">
        <v>46.530897040512798</v>
      </c>
      <c r="CD339">
        <v>40.393364837371202</v>
      </c>
      <c r="CE339">
        <v>9008.42311851452</v>
      </c>
      <c r="CF339">
        <v>2569.00072897987</v>
      </c>
      <c r="CG339">
        <v>161.664471382953</v>
      </c>
      <c r="CH339">
        <v>298</v>
      </c>
      <c r="CI339">
        <v>77.822484074368106</v>
      </c>
      <c r="CJ339">
        <v>76.981948909638803</v>
      </c>
      <c r="CK339" s="81">
        <v>1469</v>
      </c>
      <c r="CL339">
        <v>519</v>
      </c>
      <c r="CM339">
        <v>3535.7990343818601</v>
      </c>
      <c r="CN339">
        <v>0.23177243220313801</v>
      </c>
      <c r="CO339">
        <v>21048</v>
      </c>
      <c r="CP339">
        <v>2978</v>
      </c>
      <c r="CQ339">
        <v>711</v>
      </c>
      <c r="CR339">
        <v>690</v>
      </c>
      <c r="CS339">
        <v>628</v>
      </c>
      <c r="CT339">
        <v>322</v>
      </c>
      <c r="CU339">
        <v>309.53966394766599</v>
      </c>
      <c r="CV339">
        <v>185.855377396845</v>
      </c>
      <c r="CW339">
        <v>74.177677173431107</v>
      </c>
      <c r="CX339">
        <v>562.40062479680398</v>
      </c>
      <c r="CY339">
        <v>337.67943996832599</v>
      </c>
      <c r="CZ339">
        <v>134.77294462452599</v>
      </c>
      <c r="DA339">
        <v>167518.20000000001</v>
      </c>
      <c r="DE339">
        <v>1719</v>
      </c>
      <c r="DF339" t="s">
        <v>92</v>
      </c>
      <c r="DG339">
        <v>5586</v>
      </c>
      <c r="DH339">
        <v>5506</v>
      </c>
      <c r="DI339">
        <v>5398</v>
      </c>
      <c r="DJ339">
        <v>5378</v>
      </c>
      <c r="DK339">
        <v>5304</v>
      </c>
      <c r="DO339">
        <v>865</v>
      </c>
      <c r="DP339" t="s">
        <v>324</v>
      </c>
      <c r="DQ339">
        <v>11894</v>
      </c>
      <c r="DR339">
        <v>1</v>
      </c>
      <c r="DS339">
        <v>1289</v>
      </c>
      <c r="DV339">
        <v>285</v>
      </c>
      <c r="DW339" t="s">
        <v>323</v>
      </c>
      <c r="DX339">
        <v>2754.81970353938</v>
      </c>
      <c r="DY339">
        <v>501</v>
      </c>
      <c r="DZ339">
        <v>541</v>
      </c>
      <c r="EA339">
        <v>320</v>
      </c>
      <c r="EB339">
        <v>1893</v>
      </c>
      <c r="EC339">
        <v>1184</v>
      </c>
      <c r="ED339">
        <v>457</v>
      </c>
      <c r="EE339" s="82">
        <v>0.15167364366338201</v>
      </c>
      <c r="EF339" s="82">
        <v>0.41502120714199497</v>
      </c>
    </row>
    <row r="340" spans="1:136" x14ac:dyDescent="0.35">
      <c r="A340" s="72">
        <v>866</v>
      </c>
      <c r="B340" s="72">
        <v>10</v>
      </c>
      <c r="D340" s="72" t="s">
        <v>326</v>
      </c>
      <c r="E340" s="79">
        <v>1902800000</v>
      </c>
      <c r="F340" s="79">
        <v>151200000</v>
      </c>
      <c r="G340" s="79">
        <v>157150000</v>
      </c>
      <c r="H340" s="79">
        <v>17075</v>
      </c>
      <c r="I340" s="79">
        <v>1</v>
      </c>
      <c r="J340" s="79">
        <v>157.15</v>
      </c>
      <c r="K340" s="79">
        <v>3926</v>
      </c>
      <c r="L340" s="79">
        <v>4084</v>
      </c>
      <c r="M340" s="79">
        <v>1390</v>
      </c>
      <c r="N340" s="79">
        <v>1718</v>
      </c>
      <c r="O340" s="79">
        <v>959.4</v>
      </c>
      <c r="P340" s="79">
        <v>188.333333333333</v>
      </c>
      <c r="Q340" s="79">
        <v>690.33333333333303</v>
      </c>
      <c r="R340" s="79">
        <v>390</v>
      </c>
      <c r="S340" s="79">
        <v>0</v>
      </c>
      <c r="T340" s="79">
        <v>491</v>
      </c>
      <c r="U340" s="79">
        <v>7447</v>
      </c>
      <c r="V340" s="79">
        <v>13890</v>
      </c>
      <c r="W340" s="79">
        <v>4230</v>
      </c>
      <c r="X340" s="79">
        <v>0</v>
      </c>
      <c r="Y340" s="79">
        <v>0</v>
      </c>
      <c r="Z340" s="79">
        <v>0</v>
      </c>
      <c r="AA340" s="79">
        <v>0</v>
      </c>
      <c r="AB340" s="79">
        <v>0</v>
      </c>
      <c r="AC340" s="79">
        <v>2240</v>
      </c>
      <c r="AD340" s="79">
        <v>2240</v>
      </c>
      <c r="AE340" s="79">
        <v>26</v>
      </c>
      <c r="AF340" s="79">
        <v>0</v>
      </c>
      <c r="AG340" s="79">
        <v>103</v>
      </c>
      <c r="AH340" s="79">
        <v>93</v>
      </c>
      <c r="AI340" s="79">
        <v>10</v>
      </c>
      <c r="AJ340" s="79">
        <v>7586</v>
      </c>
      <c r="AK340" s="79">
        <v>7586</v>
      </c>
      <c r="AL340" s="79">
        <v>0</v>
      </c>
      <c r="AM340" s="79">
        <v>0</v>
      </c>
      <c r="AN340" s="79">
        <v>0</v>
      </c>
      <c r="AO340" s="79">
        <v>0</v>
      </c>
      <c r="AP340" s="79">
        <v>559</v>
      </c>
      <c r="AQ340" s="79">
        <v>0</v>
      </c>
      <c r="AR340" s="80">
        <v>1.1101E-4</v>
      </c>
      <c r="AS340" s="80">
        <v>9.2660999999999999E-5</v>
      </c>
      <c r="AT340" s="79">
        <v>6303.9660000000003</v>
      </c>
      <c r="AU340" s="79">
        <v>0</v>
      </c>
      <c r="AV340" s="79">
        <v>343</v>
      </c>
      <c r="AW340" s="79">
        <v>2584.6094439540998</v>
      </c>
      <c r="AX340" s="79">
        <v>1</v>
      </c>
      <c r="AY340" s="79">
        <v>1</v>
      </c>
      <c r="AZ340" s="79">
        <v>1974</v>
      </c>
      <c r="BA340" s="79">
        <v>1</v>
      </c>
      <c r="BB340" s="79">
        <v>0</v>
      </c>
      <c r="BC340" s="79">
        <v>0</v>
      </c>
      <c r="BD340" s="79">
        <v>0</v>
      </c>
      <c r="BE340" s="79">
        <v>0</v>
      </c>
      <c r="BF340" s="79">
        <v>0</v>
      </c>
      <c r="BG340" s="79">
        <v>0</v>
      </c>
      <c r="BH340" s="79">
        <v>0</v>
      </c>
      <c r="BI340" s="79">
        <v>0</v>
      </c>
      <c r="BJ340" s="79">
        <v>0</v>
      </c>
      <c r="BK340" s="79">
        <v>9</v>
      </c>
      <c r="BL340" s="79">
        <v>2208</v>
      </c>
      <c r="BM340" s="79">
        <v>93</v>
      </c>
      <c r="BN340" s="79">
        <v>10</v>
      </c>
      <c r="BO340">
        <v>4217</v>
      </c>
      <c r="BP340">
        <v>0</v>
      </c>
      <c r="BQ340">
        <v>3806</v>
      </c>
      <c r="BR340">
        <v>0</v>
      </c>
      <c r="BS340">
        <v>3763</v>
      </c>
      <c r="BT340">
        <v>0</v>
      </c>
      <c r="BU340">
        <v>3668</v>
      </c>
      <c r="BV340">
        <v>0</v>
      </c>
      <c r="BW340">
        <v>3599</v>
      </c>
      <c r="BX340">
        <v>0</v>
      </c>
      <c r="BY340">
        <v>3638</v>
      </c>
      <c r="BZ340">
        <v>0</v>
      </c>
      <c r="CA340">
        <v>3518</v>
      </c>
      <c r="CB340">
        <v>271.21705387672102</v>
      </c>
      <c r="CC340">
        <v>20.902205479376502</v>
      </c>
      <c r="CD340">
        <v>13.9112866985836</v>
      </c>
      <c r="CE340">
        <v>6721.6126019736002</v>
      </c>
      <c r="CF340">
        <v>1684.6076942867501</v>
      </c>
      <c r="CG340">
        <v>94.086661654135298</v>
      </c>
      <c r="CH340">
        <v>179</v>
      </c>
      <c r="CI340">
        <v>57.133867465218501</v>
      </c>
      <c r="CJ340">
        <v>54.987106364027703</v>
      </c>
      <c r="CK340" s="81">
        <v>502</v>
      </c>
      <c r="CL340">
        <v>95</v>
      </c>
      <c r="CM340">
        <v>2171.8541385184699</v>
      </c>
      <c r="CN340">
        <v>8.1984581671398299E-2</v>
      </c>
      <c r="CO340">
        <v>12991</v>
      </c>
      <c r="CP340">
        <v>2138</v>
      </c>
      <c r="CQ340">
        <v>556</v>
      </c>
      <c r="CR340">
        <v>410</v>
      </c>
      <c r="CS340">
        <v>471</v>
      </c>
      <c r="CT340">
        <v>283</v>
      </c>
      <c r="CU340">
        <v>164.899411099952</v>
      </c>
      <c r="CV340">
        <v>122.915818703339</v>
      </c>
      <c r="CW340">
        <v>53.870513135413901</v>
      </c>
      <c r="CX340">
        <v>340.16726208230398</v>
      </c>
      <c r="CY340">
        <v>253.56025977300601</v>
      </c>
      <c r="CZ340">
        <v>111.12826199928</v>
      </c>
      <c r="DA340">
        <v>0</v>
      </c>
      <c r="DE340">
        <v>1721</v>
      </c>
      <c r="DF340" t="s">
        <v>46</v>
      </c>
      <c r="DG340">
        <v>7068</v>
      </c>
      <c r="DH340">
        <v>7061</v>
      </c>
      <c r="DI340">
        <v>6935</v>
      </c>
      <c r="DJ340">
        <v>6915</v>
      </c>
      <c r="DK340">
        <v>6810</v>
      </c>
      <c r="DO340">
        <v>866</v>
      </c>
      <c r="DP340" t="s">
        <v>326</v>
      </c>
      <c r="DQ340">
        <v>7586</v>
      </c>
      <c r="DR340">
        <v>1</v>
      </c>
      <c r="DS340">
        <v>831</v>
      </c>
      <c r="DV340">
        <v>865</v>
      </c>
      <c r="DW340" t="s">
        <v>324</v>
      </c>
      <c r="DX340">
        <v>3145.6512024407798</v>
      </c>
      <c r="DY340">
        <v>690</v>
      </c>
      <c r="DZ340">
        <v>628</v>
      </c>
      <c r="EA340">
        <v>322</v>
      </c>
      <c r="EB340">
        <v>1882</v>
      </c>
      <c r="EC340">
        <v>1130</v>
      </c>
      <c r="ED340">
        <v>451</v>
      </c>
      <c r="EE340" s="82">
        <v>0.16447378530694301</v>
      </c>
      <c r="EF340" s="82">
        <v>0.29883136280382799</v>
      </c>
    </row>
    <row r="341" spans="1:136" x14ac:dyDescent="0.35">
      <c r="A341" s="72">
        <v>867</v>
      </c>
      <c r="B341" s="72">
        <v>10</v>
      </c>
      <c r="D341" s="72" t="s">
        <v>327</v>
      </c>
      <c r="E341" s="79">
        <v>3733600000</v>
      </c>
      <c r="F341" s="79">
        <v>1065750000</v>
      </c>
      <c r="G341" s="79">
        <v>1103550000</v>
      </c>
      <c r="H341" s="79">
        <v>47725</v>
      </c>
      <c r="I341" s="79">
        <v>2</v>
      </c>
      <c r="J341" s="79">
        <v>1103.55</v>
      </c>
      <c r="K341" s="79">
        <v>10149</v>
      </c>
      <c r="L341" s="79">
        <v>9933</v>
      </c>
      <c r="M341" s="79">
        <v>3137</v>
      </c>
      <c r="N341" s="79">
        <v>6834</v>
      </c>
      <c r="O341" s="79">
        <v>4674.6000000000004</v>
      </c>
      <c r="P341" s="79">
        <v>790.33333333333303</v>
      </c>
      <c r="Q341" s="79">
        <v>3092.3333333333298</v>
      </c>
      <c r="R341" s="79">
        <v>2865</v>
      </c>
      <c r="S341" s="79">
        <v>0</v>
      </c>
      <c r="T341" s="79">
        <v>1432</v>
      </c>
      <c r="U341" s="79">
        <v>21787</v>
      </c>
      <c r="V341" s="79">
        <v>50610</v>
      </c>
      <c r="W341" s="79">
        <v>39730</v>
      </c>
      <c r="X341" s="79">
        <v>738.54</v>
      </c>
      <c r="Y341" s="79">
        <v>3497.6</v>
      </c>
      <c r="Z341" s="79">
        <v>0</v>
      </c>
      <c r="AA341" s="79">
        <v>0</v>
      </c>
      <c r="AB341" s="79">
        <v>324</v>
      </c>
      <c r="AC341" s="79">
        <v>6452</v>
      </c>
      <c r="AD341" s="79">
        <v>6452</v>
      </c>
      <c r="AE341" s="79">
        <v>313</v>
      </c>
      <c r="AF341" s="79">
        <v>0</v>
      </c>
      <c r="AG341" s="79">
        <v>416</v>
      </c>
      <c r="AH341" s="79">
        <v>334</v>
      </c>
      <c r="AI341" s="79">
        <v>82</v>
      </c>
      <c r="AJ341" s="79">
        <v>21594</v>
      </c>
      <c r="AK341" s="79">
        <v>21594</v>
      </c>
      <c r="AL341" s="79">
        <v>0</v>
      </c>
      <c r="AM341" s="79">
        <v>0</v>
      </c>
      <c r="AN341" s="79">
        <v>0</v>
      </c>
      <c r="AO341" s="79">
        <v>0</v>
      </c>
      <c r="AP341" s="79">
        <v>1316</v>
      </c>
      <c r="AQ341" s="79">
        <v>0</v>
      </c>
      <c r="AR341" s="80">
        <v>6.2302500000000003E-4</v>
      </c>
      <c r="AS341" s="80">
        <v>6.6022499999999996E-4</v>
      </c>
      <c r="AT341" s="79">
        <v>27640.32</v>
      </c>
      <c r="AU341" s="79">
        <v>0</v>
      </c>
      <c r="AV341" s="79">
        <v>2157</v>
      </c>
      <c r="AW341" s="79">
        <v>15216.973392461199</v>
      </c>
      <c r="AX341" s="79">
        <v>3</v>
      </c>
      <c r="AY341" s="79">
        <v>3</v>
      </c>
      <c r="AZ341" s="79">
        <v>5291</v>
      </c>
      <c r="BA341" s="79">
        <v>1</v>
      </c>
      <c r="BB341" s="79">
        <v>0</v>
      </c>
      <c r="BC341" s="79">
        <v>0</v>
      </c>
      <c r="BD341" s="79">
        <v>0</v>
      </c>
      <c r="BE341" s="79">
        <v>0</v>
      </c>
      <c r="BF341" s="79">
        <v>0</v>
      </c>
      <c r="BG341" s="79">
        <v>0</v>
      </c>
      <c r="BH341" s="79">
        <v>0</v>
      </c>
      <c r="BI341" s="79">
        <v>0</v>
      </c>
      <c r="BJ341" s="79">
        <v>0</v>
      </c>
      <c r="BK341" s="79">
        <v>26</v>
      </c>
      <c r="BL341" s="79">
        <v>7082</v>
      </c>
      <c r="BM341" s="79">
        <v>334</v>
      </c>
      <c r="BN341" s="79">
        <v>82</v>
      </c>
      <c r="BO341">
        <v>10542</v>
      </c>
      <c r="BP341">
        <v>3680</v>
      </c>
      <c r="BQ341">
        <v>9444</v>
      </c>
      <c r="BR341">
        <v>3730</v>
      </c>
      <c r="BS341">
        <v>9340</v>
      </c>
      <c r="BT341">
        <v>3821</v>
      </c>
      <c r="BU341">
        <v>9326</v>
      </c>
      <c r="BV341">
        <v>4009</v>
      </c>
      <c r="BW341">
        <v>9258</v>
      </c>
      <c r="BX341">
        <v>4161</v>
      </c>
      <c r="BY341">
        <v>9169</v>
      </c>
      <c r="BZ341">
        <v>4256</v>
      </c>
      <c r="CA341">
        <v>9072</v>
      </c>
      <c r="CB341">
        <v>958.73026081217301</v>
      </c>
      <c r="CC341">
        <v>179.58163442964701</v>
      </c>
      <c r="CD341">
        <v>131.203866000294</v>
      </c>
      <c r="CE341">
        <v>13868.2014594427</v>
      </c>
      <c r="CF341">
        <v>3348.9042370340699</v>
      </c>
      <c r="CG341">
        <v>325.64922840691003</v>
      </c>
      <c r="CH341">
        <v>494</v>
      </c>
      <c r="CI341">
        <v>240.71641592245999</v>
      </c>
      <c r="CJ341">
        <v>224.91500280512</v>
      </c>
      <c r="CK341" s="81">
        <v>2302</v>
      </c>
      <c r="CL341">
        <v>494</v>
      </c>
      <c r="CM341">
        <v>8475.5036685736195</v>
      </c>
      <c r="CN341">
        <v>1.43961852659627</v>
      </c>
      <c r="CO341">
        <v>37792</v>
      </c>
      <c r="CP341">
        <v>5775</v>
      </c>
      <c r="CQ341">
        <v>1021</v>
      </c>
      <c r="CR341">
        <v>1154</v>
      </c>
      <c r="CS341">
        <v>1094</v>
      </c>
      <c r="CT341">
        <v>491</v>
      </c>
      <c r="CU341">
        <v>767.35057733906797</v>
      </c>
      <c r="CV341">
        <v>480.10820325473998</v>
      </c>
      <c r="CW341">
        <v>149.140916159836</v>
      </c>
      <c r="CX341">
        <v>1663.59557092663</v>
      </c>
      <c r="CY341">
        <v>1040.8617704697499</v>
      </c>
      <c r="CZ341">
        <v>323.33352563284899</v>
      </c>
      <c r="DA341">
        <v>24872.400000000001</v>
      </c>
      <c r="DE341">
        <v>1722</v>
      </c>
      <c r="DF341" t="s">
        <v>805</v>
      </c>
      <c r="DG341">
        <v>2073</v>
      </c>
      <c r="DH341">
        <v>2078</v>
      </c>
      <c r="DI341">
        <v>2075</v>
      </c>
      <c r="DJ341">
        <v>2044</v>
      </c>
      <c r="DK341">
        <v>2081</v>
      </c>
      <c r="DO341">
        <v>867</v>
      </c>
      <c r="DP341" t="s">
        <v>327</v>
      </c>
      <c r="DQ341">
        <v>21594</v>
      </c>
      <c r="DR341">
        <v>1</v>
      </c>
      <c r="DS341">
        <v>1280</v>
      </c>
      <c r="DV341">
        <v>1949</v>
      </c>
      <c r="DW341" t="s">
        <v>325</v>
      </c>
      <c r="DX341">
        <v>6752.65428514217</v>
      </c>
      <c r="DY341">
        <v>1165</v>
      </c>
      <c r="DZ341">
        <v>971</v>
      </c>
      <c r="EA341">
        <v>475</v>
      </c>
      <c r="EB341">
        <v>3654</v>
      </c>
      <c r="EC341">
        <v>2037</v>
      </c>
      <c r="ED341">
        <v>634</v>
      </c>
      <c r="EE341" s="82">
        <v>0.21939524572614599</v>
      </c>
      <c r="EF341" s="82">
        <v>0.56076690288488495</v>
      </c>
    </row>
    <row r="342" spans="1:136" x14ac:dyDescent="0.35">
      <c r="A342" s="72">
        <v>870</v>
      </c>
      <c r="B342" s="72">
        <v>10</v>
      </c>
      <c r="D342" s="72" t="s">
        <v>823</v>
      </c>
      <c r="E342" s="79">
        <v>2033600000</v>
      </c>
      <c r="F342" s="79">
        <v>313250000</v>
      </c>
      <c r="G342" s="79">
        <v>330750000</v>
      </c>
      <c r="H342" s="79">
        <v>26979</v>
      </c>
      <c r="I342" s="79">
        <v>5</v>
      </c>
      <c r="J342" s="79">
        <v>330.75</v>
      </c>
      <c r="K342" s="79">
        <v>6578</v>
      </c>
      <c r="L342" s="79">
        <v>5267</v>
      </c>
      <c r="M342" s="79">
        <v>1608</v>
      </c>
      <c r="N342" s="79">
        <v>2701</v>
      </c>
      <c r="O342" s="79">
        <v>1598.7</v>
      </c>
      <c r="P342" s="79">
        <v>276</v>
      </c>
      <c r="Q342" s="79">
        <v>1255</v>
      </c>
      <c r="R342" s="79">
        <v>340</v>
      </c>
      <c r="S342" s="79">
        <v>0</v>
      </c>
      <c r="T342" s="79">
        <v>578</v>
      </c>
      <c r="U342" s="79">
        <v>11067</v>
      </c>
      <c r="V342" s="79">
        <v>21940</v>
      </c>
      <c r="W342" s="79">
        <v>2630</v>
      </c>
      <c r="X342" s="79">
        <v>87.12</v>
      </c>
      <c r="Y342" s="79">
        <v>1323.2</v>
      </c>
      <c r="Z342" s="79">
        <v>0</v>
      </c>
      <c r="AA342" s="79">
        <v>0</v>
      </c>
      <c r="AB342" s="79">
        <v>7.2999999999999501</v>
      </c>
      <c r="AC342" s="79">
        <v>10069</v>
      </c>
      <c r="AD342" s="79">
        <v>10874.52</v>
      </c>
      <c r="AE342" s="79">
        <v>2107</v>
      </c>
      <c r="AF342" s="79">
        <v>0</v>
      </c>
      <c r="AG342" s="79">
        <v>191</v>
      </c>
      <c r="AH342" s="79">
        <v>175.82</v>
      </c>
      <c r="AI342" s="79">
        <v>44.52</v>
      </c>
      <c r="AJ342" s="79">
        <v>11023</v>
      </c>
      <c r="AK342" s="79">
        <v>13007.14</v>
      </c>
      <c r="AL342" s="79">
        <v>0</v>
      </c>
      <c r="AM342" s="79">
        <v>0</v>
      </c>
      <c r="AN342" s="79">
        <v>0</v>
      </c>
      <c r="AO342" s="79">
        <v>0</v>
      </c>
      <c r="AP342" s="79">
        <v>669</v>
      </c>
      <c r="AQ342" s="79">
        <v>0</v>
      </c>
      <c r="AR342" s="80">
        <v>2.69607E-4</v>
      </c>
      <c r="AS342" s="80">
        <v>1.06383E-4</v>
      </c>
      <c r="AT342" s="79">
        <v>6933.4669999999996</v>
      </c>
      <c r="AU342" s="79">
        <v>0</v>
      </c>
      <c r="AV342" s="79">
        <v>5754.24</v>
      </c>
      <c r="AW342" s="79">
        <v>15377.4982194481</v>
      </c>
      <c r="AX342" s="79">
        <v>10</v>
      </c>
      <c r="AY342" s="79">
        <v>10.6</v>
      </c>
      <c r="AZ342" s="79">
        <v>3079</v>
      </c>
      <c r="BA342" s="79">
        <v>1</v>
      </c>
      <c r="BB342" s="79">
        <v>0</v>
      </c>
      <c r="BC342" s="79">
        <v>0</v>
      </c>
      <c r="BD342" s="79">
        <v>0</v>
      </c>
      <c r="BE342" s="79">
        <v>0</v>
      </c>
      <c r="BF342" s="79">
        <v>0</v>
      </c>
      <c r="BG342" s="79">
        <v>0</v>
      </c>
      <c r="BH342" s="79">
        <v>0</v>
      </c>
      <c r="BI342" s="79">
        <v>0</v>
      </c>
      <c r="BJ342" s="79">
        <v>0</v>
      </c>
      <c r="BK342" s="79">
        <v>11</v>
      </c>
      <c r="BL342" s="79">
        <v>2773</v>
      </c>
      <c r="BM342" s="79">
        <v>149</v>
      </c>
      <c r="BN342" s="79">
        <v>42</v>
      </c>
      <c r="BO342">
        <v>6934</v>
      </c>
      <c r="BP342">
        <v>1497</v>
      </c>
      <c r="BQ342">
        <v>6217</v>
      </c>
      <c r="BR342">
        <v>1465</v>
      </c>
      <c r="BS342">
        <v>6170</v>
      </c>
      <c r="BT342">
        <v>1515</v>
      </c>
      <c r="BU342">
        <v>6085</v>
      </c>
      <c r="BV342">
        <v>1569</v>
      </c>
      <c r="BW342">
        <v>6089</v>
      </c>
      <c r="BX342">
        <v>1637</v>
      </c>
      <c r="BY342">
        <v>6000</v>
      </c>
      <c r="BZ342">
        <v>1682</v>
      </c>
      <c r="CA342">
        <v>5889</v>
      </c>
      <c r="CB342">
        <v>364.96543304057701</v>
      </c>
      <c r="CC342">
        <v>198.088590824428</v>
      </c>
      <c r="CD342">
        <v>56.6431880997417</v>
      </c>
      <c r="CE342">
        <v>7650.3100624805102</v>
      </c>
      <c r="CF342">
        <v>2049.7888602232501</v>
      </c>
      <c r="CG342">
        <v>251.961140186916</v>
      </c>
      <c r="CH342">
        <v>230</v>
      </c>
      <c r="CI342">
        <v>92.931483561009102</v>
      </c>
      <c r="CJ342">
        <v>84.431814933152197</v>
      </c>
      <c r="CK342" s="81">
        <v>979</v>
      </c>
      <c r="CL342">
        <v>260</v>
      </c>
      <c r="CM342">
        <v>4020.1120383006</v>
      </c>
      <c r="CN342">
        <v>0.14976311585445401</v>
      </c>
      <c r="CO342">
        <v>21712</v>
      </c>
      <c r="CP342">
        <v>3153</v>
      </c>
      <c r="CQ342">
        <v>506</v>
      </c>
      <c r="CR342">
        <v>550</v>
      </c>
      <c r="CS342">
        <v>508</v>
      </c>
      <c r="CT342">
        <v>224</v>
      </c>
      <c r="CU342">
        <v>273.100157743826</v>
      </c>
      <c r="CV342">
        <v>160.55330569432601</v>
      </c>
      <c r="CW342">
        <v>49.456799676391299</v>
      </c>
      <c r="CX342">
        <v>767.770707138577</v>
      </c>
      <c r="CY342">
        <v>451.36599723972603</v>
      </c>
      <c r="CZ342">
        <v>139.038667623077</v>
      </c>
      <c r="DA342">
        <v>22995</v>
      </c>
      <c r="DE342">
        <v>1723</v>
      </c>
      <c r="DF342" t="s">
        <v>21</v>
      </c>
      <c r="DG342">
        <v>2050</v>
      </c>
      <c r="DH342">
        <v>2027</v>
      </c>
      <c r="DI342">
        <v>2006</v>
      </c>
      <c r="DJ342">
        <v>1973</v>
      </c>
      <c r="DK342">
        <v>1941</v>
      </c>
      <c r="DO342">
        <v>870</v>
      </c>
      <c r="DP342" t="s">
        <v>823</v>
      </c>
      <c r="DQ342">
        <v>11023</v>
      </c>
      <c r="DR342">
        <v>1.18</v>
      </c>
      <c r="DS342">
        <v>629</v>
      </c>
      <c r="DV342">
        <v>866</v>
      </c>
      <c r="DW342" t="s">
        <v>326</v>
      </c>
      <c r="DX342">
        <v>1717.8997949418999</v>
      </c>
      <c r="DY342">
        <v>410</v>
      </c>
      <c r="DZ342">
        <v>471</v>
      </c>
      <c r="EA342">
        <v>283</v>
      </c>
      <c r="EB342">
        <v>1304</v>
      </c>
      <c r="EC342">
        <v>972</v>
      </c>
      <c r="ED342">
        <v>426</v>
      </c>
      <c r="EE342" s="82">
        <v>0.12645660360425801</v>
      </c>
      <c r="EF342" s="82">
        <v>0.260864464787043</v>
      </c>
    </row>
    <row r="343" spans="1:136" x14ac:dyDescent="0.35">
      <c r="A343" s="72">
        <v>873</v>
      </c>
      <c r="B343" s="72">
        <v>10</v>
      </c>
      <c r="D343" s="72" t="s">
        <v>348</v>
      </c>
      <c r="E343" s="79">
        <v>1802800000</v>
      </c>
      <c r="F343" s="79">
        <v>390950000</v>
      </c>
      <c r="G343" s="79">
        <v>420350000</v>
      </c>
      <c r="H343" s="79">
        <v>21800</v>
      </c>
      <c r="I343" s="79">
        <v>4</v>
      </c>
      <c r="J343" s="79">
        <v>420.35</v>
      </c>
      <c r="K343" s="79">
        <v>4381</v>
      </c>
      <c r="L343" s="79">
        <v>5175</v>
      </c>
      <c r="M343" s="79">
        <v>1662</v>
      </c>
      <c r="N343" s="79">
        <v>2653</v>
      </c>
      <c r="O343" s="79">
        <v>1608.2</v>
      </c>
      <c r="P343" s="79">
        <v>278.33333333333297</v>
      </c>
      <c r="Q343" s="79">
        <v>1124.3333333333301</v>
      </c>
      <c r="R343" s="79">
        <v>420</v>
      </c>
      <c r="S343" s="79">
        <v>0</v>
      </c>
      <c r="T343" s="79">
        <v>619</v>
      </c>
      <c r="U343" s="79">
        <v>9836</v>
      </c>
      <c r="V343" s="79">
        <v>19880</v>
      </c>
      <c r="W343" s="79">
        <v>5630</v>
      </c>
      <c r="X343" s="79">
        <v>235.28</v>
      </c>
      <c r="Y343" s="79">
        <v>481.6</v>
      </c>
      <c r="Z343" s="79">
        <v>0</v>
      </c>
      <c r="AA343" s="79">
        <v>0</v>
      </c>
      <c r="AB343" s="79">
        <v>67.400000000000006</v>
      </c>
      <c r="AC343" s="79">
        <v>9148</v>
      </c>
      <c r="AD343" s="79">
        <v>9696.8799999999992</v>
      </c>
      <c r="AE343" s="79">
        <v>49</v>
      </c>
      <c r="AF343" s="79">
        <v>0</v>
      </c>
      <c r="AG343" s="79">
        <v>207</v>
      </c>
      <c r="AH343" s="79">
        <v>154</v>
      </c>
      <c r="AI343" s="79">
        <v>56.71</v>
      </c>
      <c r="AJ343" s="79">
        <v>10448</v>
      </c>
      <c r="AK343" s="79">
        <v>10448</v>
      </c>
      <c r="AL343" s="79">
        <v>0</v>
      </c>
      <c r="AM343" s="79">
        <v>0</v>
      </c>
      <c r="AN343" s="79">
        <v>0</v>
      </c>
      <c r="AO343" s="79">
        <v>0</v>
      </c>
      <c r="AP343" s="79">
        <v>0</v>
      </c>
      <c r="AQ343" s="79">
        <v>0</v>
      </c>
      <c r="AR343" s="80">
        <v>1.8531600000000001E-4</v>
      </c>
      <c r="AS343" s="80">
        <v>1.19698E-4</v>
      </c>
      <c r="AT343" s="79">
        <v>6895.68</v>
      </c>
      <c r="AU343" s="79">
        <v>0</v>
      </c>
      <c r="AV343" s="79">
        <v>597.84</v>
      </c>
      <c r="AW343" s="79">
        <v>1743.7155594215501</v>
      </c>
      <c r="AX343" s="79">
        <v>6</v>
      </c>
      <c r="AY343" s="79">
        <v>6.42</v>
      </c>
      <c r="AZ343" s="79">
        <v>1939</v>
      </c>
      <c r="BA343" s="79">
        <v>1</v>
      </c>
      <c r="BB343" s="79">
        <v>0</v>
      </c>
      <c r="BC343" s="79">
        <v>0</v>
      </c>
      <c r="BD343" s="79">
        <v>0</v>
      </c>
      <c r="BE343" s="79">
        <v>0</v>
      </c>
      <c r="BF343" s="79">
        <v>0</v>
      </c>
      <c r="BG343" s="79">
        <v>0</v>
      </c>
      <c r="BH343" s="79">
        <v>0</v>
      </c>
      <c r="BI343" s="79">
        <v>0</v>
      </c>
      <c r="BJ343" s="79">
        <v>0</v>
      </c>
      <c r="BK343" s="79">
        <v>7</v>
      </c>
      <c r="BL343" s="79">
        <v>2688</v>
      </c>
      <c r="BM343" s="79">
        <v>154</v>
      </c>
      <c r="BN343" s="79">
        <v>53</v>
      </c>
      <c r="BO343">
        <v>4746</v>
      </c>
      <c r="BP343">
        <v>486</v>
      </c>
      <c r="BQ343">
        <v>4289</v>
      </c>
      <c r="BR343">
        <v>454</v>
      </c>
      <c r="BS343">
        <v>4230</v>
      </c>
      <c r="BT343">
        <v>437</v>
      </c>
      <c r="BU343">
        <v>4215</v>
      </c>
      <c r="BV343">
        <v>431</v>
      </c>
      <c r="BW343">
        <v>4176</v>
      </c>
      <c r="BX343">
        <v>410</v>
      </c>
      <c r="BY343">
        <v>4094</v>
      </c>
      <c r="BZ343">
        <v>395</v>
      </c>
      <c r="CA343">
        <v>3870</v>
      </c>
      <c r="CB343">
        <v>383.669053767359</v>
      </c>
      <c r="CC343">
        <v>89.179674569614505</v>
      </c>
      <c r="CD343">
        <v>60.965628132373602</v>
      </c>
      <c r="CE343">
        <v>6497.8363378832601</v>
      </c>
      <c r="CF343">
        <v>1482.66906009847</v>
      </c>
      <c r="CG343">
        <v>67.3528622862286</v>
      </c>
      <c r="CH343">
        <v>209</v>
      </c>
      <c r="CI343">
        <v>91.817954204243804</v>
      </c>
      <c r="CJ343">
        <v>80.884259683860094</v>
      </c>
      <c r="CK343" s="81">
        <v>846</v>
      </c>
      <c r="CL343">
        <v>192</v>
      </c>
      <c r="CM343">
        <v>3796.7110045198801</v>
      </c>
      <c r="CN343">
        <v>0.36702624738841699</v>
      </c>
      <c r="CO343">
        <v>16625</v>
      </c>
      <c r="CP343">
        <v>3064</v>
      </c>
      <c r="CQ343">
        <v>449</v>
      </c>
      <c r="CR343">
        <v>531</v>
      </c>
      <c r="CS343">
        <v>517</v>
      </c>
      <c r="CT343">
        <v>202</v>
      </c>
      <c r="CU343">
        <v>278.55973182193202</v>
      </c>
      <c r="CV343">
        <v>179.14007063023701</v>
      </c>
      <c r="CW343">
        <v>46.4779221050958</v>
      </c>
      <c r="CX343">
        <v>805.98645190511195</v>
      </c>
      <c r="CY343">
        <v>518.32498895997298</v>
      </c>
      <c r="CZ343">
        <v>134.47950744494099</v>
      </c>
      <c r="DA343">
        <v>7938</v>
      </c>
      <c r="DE343">
        <v>1724</v>
      </c>
      <c r="DF343" t="s">
        <v>41</v>
      </c>
      <c r="DG343">
        <v>4105</v>
      </c>
      <c r="DH343">
        <v>4016</v>
      </c>
      <c r="DI343">
        <v>3959</v>
      </c>
      <c r="DJ343">
        <v>3896</v>
      </c>
      <c r="DK343">
        <v>3829</v>
      </c>
      <c r="DO343">
        <v>873</v>
      </c>
      <c r="DP343" t="s">
        <v>348</v>
      </c>
      <c r="DQ343">
        <v>10448</v>
      </c>
      <c r="DR343">
        <v>1</v>
      </c>
      <c r="DS343">
        <v>660</v>
      </c>
      <c r="DV343">
        <v>867</v>
      </c>
      <c r="DW343" t="s">
        <v>327</v>
      </c>
      <c r="DX343">
        <v>6833.6364928236499</v>
      </c>
      <c r="DY343">
        <v>1154</v>
      </c>
      <c r="DZ343">
        <v>1094</v>
      </c>
      <c r="EA343">
        <v>491</v>
      </c>
      <c r="EB343">
        <v>3545</v>
      </c>
      <c r="EC343">
        <v>2218</v>
      </c>
      <c r="ED343">
        <v>689</v>
      </c>
      <c r="EE343" s="82">
        <v>0.21645996539889101</v>
      </c>
      <c r="EF343" s="82">
        <v>0.46927942762387398</v>
      </c>
    </row>
    <row r="344" spans="1:136" x14ac:dyDescent="0.35">
      <c r="A344" s="72">
        <v>874</v>
      </c>
      <c r="B344" s="72">
        <v>10</v>
      </c>
      <c r="D344" s="72" t="s">
        <v>824</v>
      </c>
      <c r="E344" s="79">
        <v>1182800000</v>
      </c>
      <c r="F344" s="79">
        <v>176750000</v>
      </c>
      <c r="G344" s="79">
        <v>192850000</v>
      </c>
      <c r="H344" s="79">
        <v>14634</v>
      </c>
      <c r="I344" s="79">
        <v>4</v>
      </c>
      <c r="J344" s="79">
        <v>192.85</v>
      </c>
      <c r="K344" s="79">
        <v>3424</v>
      </c>
      <c r="L344" s="79">
        <v>2919</v>
      </c>
      <c r="M344" s="79">
        <v>845</v>
      </c>
      <c r="N344" s="79">
        <v>1562</v>
      </c>
      <c r="O344" s="79">
        <v>952.2</v>
      </c>
      <c r="P344" s="79">
        <v>153</v>
      </c>
      <c r="Q344" s="79">
        <v>686</v>
      </c>
      <c r="R344" s="79">
        <v>170</v>
      </c>
      <c r="S344" s="79">
        <v>0</v>
      </c>
      <c r="T344" s="79">
        <v>369</v>
      </c>
      <c r="U344" s="79">
        <v>6150</v>
      </c>
      <c r="V344" s="79">
        <v>11080</v>
      </c>
      <c r="W344" s="79">
        <v>540</v>
      </c>
      <c r="X344" s="79">
        <v>0</v>
      </c>
      <c r="Y344" s="79">
        <v>0</v>
      </c>
      <c r="Z344" s="79">
        <v>0</v>
      </c>
      <c r="AA344" s="79">
        <v>0</v>
      </c>
      <c r="AB344" s="79">
        <v>0</v>
      </c>
      <c r="AC344" s="79">
        <v>4922</v>
      </c>
      <c r="AD344" s="79">
        <v>6004.84</v>
      </c>
      <c r="AE344" s="79">
        <v>249</v>
      </c>
      <c r="AF344" s="79">
        <v>0</v>
      </c>
      <c r="AG344" s="79">
        <v>125</v>
      </c>
      <c r="AH344" s="79">
        <v>108</v>
      </c>
      <c r="AI344" s="79">
        <v>43.05</v>
      </c>
      <c r="AJ344" s="79">
        <v>6098</v>
      </c>
      <c r="AK344" s="79">
        <v>7317.6</v>
      </c>
      <c r="AL344" s="79">
        <v>6</v>
      </c>
      <c r="AM344" s="79">
        <v>0</v>
      </c>
      <c r="AN344" s="79">
        <v>0</v>
      </c>
      <c r="AO344" s="79">
        <v>1700</v>
      </c>
      <c r="AP344" s="79">
        <v>0</v>
      </c>
      <c r="AQ344" s="79">
        <v>0</v>
      </c>
      <c r="AR344" s="80">
        <v>1.5592500000000001E-4</v>
      </c>
      <c r="AS344" s="80">
        <v>5.6755999999999997E-5</v>
      </c>
      <c r="AT344" s="79">
        <v>2164.79</v>
      </c>
      <c r="AU344" s="79">
        <v>0</v>
      </c>
      <c r="AV344" s="79">
        <v>1777.54</v>
      </c>
      <c r="AW344" s="79">
        <v>8987.1607890156592</v>
      </c>
      <c r="AX344" s="79">
        <v>8</v>
      </c>
      <c r="AY344" s="79">
        <v>9.84</v>
      </c>
      <c r="AZ344" s="79">
        <v>1666</v>
      </c>
      <c r="BA344" s="79">
        <v>1</v>
      </c>
      <c r="BB344" s="79">
        <v>0</v>
      </c>
      <c r="BC344" s="79">
        <v>0</v>
      </c>
      <c r="BD344" s="79">
        <v>0</v>
      </c>
      <c r="BE344" s="79">
        <v>0</v>
      </c>
      <c r="BF344" s="79">
        <v>0</v>
      </c>
      <c r="BG344" s="79">
        <v>0</v>
      </c>
      <c r="BH344" s="79">
        <v>0</v>
      </c>
      <c r="BI344" s="79">
        <v>0</v>
      </c>
      <c r="BJ344" s="79">
        <v>0</v>
      </c>
      <c r="BK344" s="79">
        <v>7</v>
      </c>
      <c r="BL344" s="79">
        <v>1574</v>
      </c>
      <c r="BM344" s="79">
        <v>90</v>
      </c>
      <c r="BN344" s="79">
        <v>35</v>
      </c>
      <c r="BO344">
        <v>3738</v>
      </c>
      <c r="BP344">
        <v>0</v>
      </c>
      <c r="BQ344">
        <v>3393</v>
      </c>
      <c r="BR344">
        <v>0</v>
      </c>
      <c r="BS344">
        <v>3320</v>
      </c>
      <c r="BT344">
        <v>0</v>
      </c>
      <c r="BU344">
        <v>3253</v>
      </c>
      <c r="BV344">
        <v>0</v>
      </c>
      <c r="BW344">
        <v>3209</v>
      </c>
      <c r="BX344">
        <v>0</v>
      </c>
      <c r="BY344">
        <v>3159</v>
      </c>
      <c r="BZ344">
        <v>0</v>
      </c>
      <c r="CA344">
        <v>3068</v>
      </c>
      <c r="CB344">
        <v>188.722776156104</v>
      </c>
      <c r="CC344">
        <v>85.068452301544099</v>
      </c>
      <c r="CD344">
        <v>33.969954897033197</v>
      </c>
      <c r="CE344">
        <v>4314.8248158969</v>
      </c>
      <c r="CF344">
        <v>1182.27549473419</v>
      </c>
      <c r="CG344">
        <v>159.198598465473</v>
      </c>
      <c r="CH344">
        <v>137</v>
      </c>
      <c r="CI344">
        <v>38.831588010149098</v>
      </c>
      <c r="CJ344">
        <v>44.344440616151402</v>
      </c>
      <c r="CK344" s="81">
        <v>533</v>
      </c>
      <c r="CL344">
        <v>121</v>
      </c>
      <c r="CM344">
        <v>2270.8403747072598</v>
      </c>
      <c r="CN344">
        <v>6.9556478342529204E-2</v>
      </c>
      <c r="CO344">
        <v>11715</v>
      </c>
      <c r="CP344">
        <v>1757</v>
      </c>
      <c r="CQ344">
        <v>317</v>
      </c>
      <c r="CR344">
        <v>281</v>
      </c>
      <c r="CS344">
        <v>264</v>
      </c>
      <c r="CT344">
        <v>130</v>
      </c>
      <c r="CU344">
        <v>166.05934283427999</v>
      </c>
      <c r="CV344">
        <v>93.261926314266404</v>
      </c>
      <c r="CW344">
        <v>29.6813500832674</v>
      </c>
      <c r="CX344">
        <v>422.02915619209102</v>
      </c>
      <c r="CY344">
        <v>237.01919684541701</v>
      </c>
      <c r="CZ344">
        <v>75.433245227184599</v>
      </c>
      <c r="DA344">
        <v>12303.9</v>
      </c>
      <c r="DE344">
        <v>1728</v>
      </c>
      <c r="DF344" t="s">
        <v>50</v>
      </c>
      <c r="DG344">
        <v>4334</v>
      </c>
      <c r="DH344">
        <v>4268</v>
      </c>
      <c r="DI344">
        <v>4251</v>
      </c>
      <c r="DJ344">
        <v>4228</v>
      </c>
      <c r="DK344">
        <v>4156</v>
      </c>
      <c r="DO344">
        <v>874</v>
      </c>
      <c r="DP344" t="s">
        <v>824</v>
      </c>
      <c r="DQ344">
        <v>6098</v>
      </c>
      <c r="DR344">
        <v>1.2</v>
      </c>
      <c r="DS344">
        <v>355</v>
      </c>
      <c r="DV344">
        <v>627</v>
      </c>
      <c r="DW344" t="s">
        <v>328</v>
      </c>
      <c r="DX344">
        <v>3022.4543080939902</v>
      </c>
      <c r="DY344">
        <v>554</v>
      </c>
      <c r="DZ344">
        <v>559</v>
      </c>
      <c r="EA344">
        <v>319</v>
      </c>
      <c r="EB344">
        <v>1942</v>
      </c>
      <c r="EC344">
        <v>1211</v>
      </c>
      <c r="ED344">
        <v>470</v>
      </c>
      <c r="EE344" s="82">
        <v>0.15644445173035801</v>
      </c>
      <c r="EF344" s="82">
        <v>0.40056396059305099</v>
      </c>
    </row>
    <row r="345" spans="1:136" x14ac:dyDescent="0.35">
      <c r="A345" s="72">
        <v>879</v>
      </c>
      <c r="B345" s="72">
        <v>10</v>
      </c>
      <c r="D345" s="72" t="s">
        <v>361</v>
      </c>
      <c r="E345" s="79">
        <v>2003600000</v>
      </c>
      <c r="F345" s="79">
        <v>268450000</v>
      </c>
      <c r="G345" s="79">
        <v>322700000</v>
      </c>
      <c r="H345" s="79">
        <v>21525</v>
      </c>
      <c r="I345" s="79">
        <v>2</v>
      </c>
      <c r="J345" s="79">
        <v>322.7</v>
      </c>
      <c r="K345" s="79">
        <v>4116</v>
      </c>
      <c r="L345" s="79">
        <v>4628</v>
      </c>
      <c r="M345" s="79">
        <v>1419</v>
      </c>
      <c r="N345" s="79">
        <v>2653</v>
      </c>
      <c r="O345" s="79">
        <v>1697.5</v>
      </c>
      <c r="P345" s="79">
        <v>212</v>
      </c>
      <c r="Q345" s="79">
        <v>1166</v>
      </c>
      <c r="R345" s="79">
        <v>450</v>
      </c>
      <c r="S345" s="79">
        <v>0</v>
      </c>
      <c r="T345" s="79">
        <v>472</v>
      </c>
      <c r="U345" s="79">
        <v>9830</v>
      </c>
      <c r="V345" s="79">
        <v>18020</v>
      </c>
      <c r="W345" s="79">
        <v>4830</v>
      </c>
      <c r="X345" s="79">
        <v>453.26</v>
      </c>
      <c r="Y345" s="79">
        <v>223.2</v>
      </c>
      <c r="Z345" s="79">
        <v>0</v>
      </c>
      <c r="AA345" s="79">
        <v>0</v>
      </c>
      <c r="AB345" s="79">
        <v>0</v>
      </c>
      <c r="AC345" s="79">
        <v>12065</v>
      </c>
      <c r="AD345" s="79">
        <v>12065</v>
      </c>
      <c r="AE345" s="79">
        <v>56</v>
      </c>
      <c r="AF345" s="79">
        <v>0</v>
      </c>
      <c r="AG345" s="79">
        <v>246</v>
      </c>
      <c r="AH345" s="79">
        <v>107</v>
      </c>
      <c r="AI345" s="79">
        <v>139</v>
      </c>
      <c r="AJ345" s="79">
        <v>9555</v>
      </c>
      <c r="AK345" s="79">
        <v>9555</v>
      </c>
      <c r="AL345" s="79">
        <v>0</v>
      </c>
      <c r="AM345" s="79">
        <v>0</v>
      </c>
      <c r="AN345" s="79">
        <v>0</v>
      </c>
      <c r="AO345" s="79">
        <v>0</v>
      </c>
      <c r="AP345" s="79">
        <v>0</v>
      </c>
      <c r="AQ345" s="79">
        <v>0</v>
      </c>
      <c r="AR345" s="80">
        <v>2.1311799999999999E-4</v>
      </c>
      <c r="AS345" s="80">
        <v>9.6386999999999997E-5</v>
      </c>
      <c r="AT345" s="79">
        <v>5150.1450000000004</v>
      </c>
      <c r="AU345" s="79">
        <v>0</v>
      </c>
      <c r="AV345" s="79">
        <v>1430</v>
      </c>
      <c r="AW345" s="79">
        <v>2539.45631548552</v>
      </c>
      <c r="AX345" s="79">
        <v>6</v>
      </c>
      <c r="AY345" s="79">
        <v>6</v>
      </c>
      <c r="AZ345" s="79">
        <v>2483</v>
      </c>
      <c r="BA345" s="79">
        <v>1</v>
      </c>
      <c r="BB345" s="79">
        <v>0</v>
      </c>
      <c r="BC345" s="79">
        <v>0</v>
      </c>
      <c r="BD345" s="79">
        <v>0</v>
      </c>
      <c r="BE345" s="79">
        <v>0</v>
      </c>
      <c r="BF345" s="79">
        <v>0</v>
      </c>
      <c r="BG345" s="79">
        <v>0</v>
      </c>
      <c r="BH345" s="79">
        <v>0</v>
      </c>
      <c r="BI345" s="79">
        <v>0</v>
      </c>
      <c r="BJ345" s="79">
        <v>0</v>
      </c>
      <c r="BK345" s="79">
        <v>4</v>
      </c>
      <c r="BL345" s="79">
        <v>2975</v>
      </c>
      <c r="BM345" s="79">
        <v>107</v>
      </c>
      <c r="BN345" s="79">
        <v>139</v>
      </c>
      <c r="BO345">
        <v>4761</v>
      </c>
      <c r="BP345">
        <v>402</v>
      </c>
      <c r="BQ345">
        <v>4277</v>
      </c>
      <c r="BR345">
        <v>347</v>
      </c>
      <c r="BS345">
        <v>4187</v>
      </c>
      <c r="BT345">
        <v>314</v>
      </c>
      <c r="BU345">
        <v>4173</v>
      </c>
      <c r="BV345">
        <v>321</v>
      </c>
      <c r="BW345">
        <v>4073</v>
      </c>
      <c r="BX345">
        <v>317</v>
      </c>
      <c r="BY345">
        <v>3998</v>
      </c>
      <c r="BZ345">
        <v>295</v>
      </c>
      <c r="CA345">
        <v>3593</v>
      </c>
      <c r="CB345">
        <v>305.65411554325101</v>
      </c>
      <c r="CC345">
        <v>45.115521821345702</v>
      </c>
      <c r="CD345">
        <v>46.018500011429097</v>
      </c>
      <c r="CE345">
        <v>6419.5689432253102</v>
      </c>
      <c r="CF345">
        <v>1506.6328607447001</v>
      </c>
      <c r="CG345">
        <v>112.821552871039</v>
      </c>
      <c r="CH345">
        <v>163</v>
      </c>
      <c r="CI345">
        <v>61.238416471052403</v>
      </c>
      <c r="CJ345">
        <v>45.053951666009802</v>
      </c>
      <c r="CK345" s="81">
        <v>954</v>
      </c>
      <c r="CL345">
        <v>280</v>
      </c>
      <c r="CM345">
        <v>4143.5625</v>
      </c>
      <c r="CN345">
        <v>0.107597301514225</v>
      </c>
      <c r="CO345">
        <v>16897</v>
      </c>
      <c r="CP345">
        <v>2638</v>
      </c>
      <c r="CQ345">
        <v>571</v>
      </c>
      <c r="CR345">
        <v>472</v>
      </c>
      <c r="CS345">
        <v>445</v>
      </c>
      <c r="CT345">
        <v>277</v>
      </c>
      <c r="CU345">
        <v>284.47127661577503</v>
      </c>
      <c r="CV345">
        <v>167.200169453744</v>
      </c>
      <c r="CW345">
        <v>71.428765271418897</v>
      </c>
      <c r="CX345">
        <v>706.695017745428</v>
      </c>
      <c r="CY345">
        <v>415.36540393407103</v>
      </c>
      <c r="CZ345">
        <v>177.44621932146299</v>
      </c>
      <c r="DA345">
        <v>60225</v>
      </c>
      <c r="DE345">
        <v>1729</v>
      </c>
      <c r="DF345" t="s">
        <v>123</v>
      </c>
      <c r="DG345">
        <v>2589</v>
      </c>
      <c r="DH345">
        <v>2519</v>
      </c>
      <c r="DI345">
        <v>2444</v>
      </c>
      <c r="DJ345">
        <v>2367</v>
      </c>
      <c r="DK345">
        <v>2289</v>
      </c>
      <c r="DO345">
        <v>879</v>
      </c>
      <c r="DP345" t="s">
        <v>361</v>
      </c>
      <c r="DQ345">
        <v>9555</v>
      </c>
      <c r="DR345">
        <v>1</v>
      </c>
      <c r="DS345">
        <v>539</v>
      </c>
      <c r="DV345">
        <v>289</v>
      </c>
      <c r="DW345" t="s">
        <v>329</v>
      </c>
      <c r="DX345">
        <v>4914.9162543851799</v>
      </c>
      <c r="DY345">
        <v>843</v>
      </c>
      <c r="DZ345">
        <v>695</v>
      </c>
      <c r="EA345">
        <v>394</v>
      </c>
      <c r="EB345">
        <v>2130</v>
      </c>
      <c r="EC345">
        <v>1283</v>
      </c>
      <c r="ED345">
        <v>531</v>
      </c>
      <c r="EE345" s="82">
        <v>0.156613389776284</v>
      </c>
      <c r="EF345" s="82">
        <v>0.45316433785906901</v>
      </c>
    </row>
    <row r="346" spans="1:136" x14ac:dyDescent="0.35">
      <c r="A346" s="72">
        <v>888</v>
      </c>
      <c r="B346" s="72">
        <v>11</v>
      </c>
      <c r="D346" s="72" t="s">
        <v>36</v>
      </c>
      <c r="E346" s="79">
        <v>1135200000</v>
      </c>
      <c r="F346" s="79">
        <v>299600000</v>
      </c>
      <c r="G346" s="79">
        <v>309400000</v>
      </c>
      <c r="H346" s="79">
        <v>15895</v>
      </c>
      <c r="I346" s="79">
        <v>2</v>
      </c>
      <c r="J346" s="79">
        <v>309.39999999999998</v>
      </c>
      <c r="K346" s="79">
        <v>2849</v>
      </c>
      <c r="L346" s="79">
        <v>3980</v>
      </c>
      <c r="M346" s="79">
        <v>1293</v>
      </c>
      <c r="N346" s="79">
        <v>2190</v>
      </c>
      <c r="O346" s="79">
        <v>1445.2</v>
      </c>
      <c r="P346" s="79">
        <v>278.66666666666703</v>
      </c>
      <c r="Q346" s="79">
        <v>1229.6666666666699</v>
      </c>
      <c r="R346" s="79">
        <v>435</v>
      </c>
      <c r="S346" s="79">
        <v>0</v>
      </c>
      <c r="T346" s="79">
        <v>497</v>
      </c>
      <c r="U346" s="79">
        <v>7398</v>
      </c>
      <c r="V346" s="79">
        <v>13480</v>
      </c>
      <c r="W346" s="79">
        <v>4760</v>
      </c>
      <c r="X346" s="79">
        <v>0</v>
      </c>
      <c r="Y346" s="79">
        <v>0</v>
      </c>
      <c r="Z346" s="79">
        <v>0</v>
      </c>
      <c r="AA346" s="79">
        <v>0</v>
      </c>
      <c r="AB346" s="79">
        <v>0</v>
      </c>
      <c r="AC346" s="79">
        <v>2103</v>
      </c>
      <c r="AD346" s="79">
        <v>2103</v>
      </c>
      <c r="AE346" s="79">
        <v>0</v>
      </c>
      <c r="AF346" s="79">
        <v>0</v>
      </c>
      <c r="AG346" s="79">
        <v>127</v>
      </c>
      <c r="AH346" s="79">
        <v>98</v>
      </c>
      <c r="AI346" s="79">
        <v>29</v>
      </c>
      <c r="AJ346" s="79">
        <v>7448</v>
      </c>
      <c r="AK346" s="79">
        <v>7448</v>
      </c>
      <c r="AL346" s="79">
        <v>0</v>
      </c>
      <c r="AM346" s="79">
        <v>0</v>
      </c>
      <c r="AN346" s="79">
        <v>0</v>
      </c>
      <c r="AO346" s="79">
        <v>0</v>
      </c>
      <c r="AP346" s="79">
        <v>644</v>
      </c>
      <c r="AQ346" s="79">
        <v>0</v>
      </c>
      <c r="AR346" s="80">
        <v>3.9243999999999998E-4</v>
      </c>
      <c r="AS346" s="80">
        <v>5.1533299999999998E-4</v>
      </c>
      <c r="AT346" s="79">
        <v>6584.0320000000002</v>
      </c>
      <c r="AU346" s="79">
        <v>0</v>
      </c>
      <c r="AV346" s="79">
        <v>71</v>
      </c>
      <c r="AW346" s="79">
        <v>536.635758440323</v>
      </c>
      <c r="AX346" s="79">
        <v>3</v>
      </c>
      <c r="AY346" s="79">
        <v>3</v>
      </c>
      <c r="AZ346" s="79">
        <v>1755</v>
      </c>
      <c r="BA346" s="79">
        <v>1</v>
      </c>
      <c r="BB346" s="79">
        <v>0</v>
      </c>
      <c r="BC346" s="79">
        <v>0</v>
      </c>
      <c r="BD346" s="79">
        <v>0</v>
      </c>
      <c r="BE346" s="79">
        <v>0</v>
      </c>
      <c r="BF346" s="79">
        <v>0</v>
      </c>
      <c r="BG346" s="79">
        <v>0</v>
      </c>
      <c r="BH346" s="79">
        <v>0</v>
      </c>
      <c r="BI346" s="79">
        <v>0</v>
      </c>
      <c r="BJ346" s="79">
        <v>0</v>
      </c>
      <c r="BK346" s="79">
        <v>8</v>
      </c>
      <c r="BL346" s="79">
        <v>2292</v>
      </c>
      <c r="BM346" s="79">
        <v>98</v>
      </c>
      <c r="BN346" s="79">
        <v>29</v>
      </c>
      <c r="BO346">
        <v>3719</v>
      </c>
      <c r="BP346">
        <v>0</v>
      </c>
      <c r="BQ346">
        <v>3222</v>
      </c>
      <c r="BR346">
        <v>0</v>
      </c>
      <c r="BS346">
        <v>3132</v>
      </c>
      <c r="BT346">
        <v>0</v>
      </c>
      <c r="BU346">
        <v>3064</v>
      </c>
      <c r="BV346">
        <v>0</v>
      </c>
      <c r="BW346">
        <v>2981</v>
      </c>
      <c r="BX346">
        <v>0</v>
      </c>
      <c r="BY346">
        <v>2911</v>
      </c>
      <c r="BZ346">
        <v>0</v>
      </c>
      <c r="CA346">
        <v>2504</v>
      </c>
      <c r="CB346">
        <v>254.81545883188201</v>
      </c>
      <c r="CC346">
        <v>28.084726760465401</v>
      </c>
      <c r="CD346">
        <v>23.203307426695201</v>
      </c>
      <c r="CE346">
        <v>5006.0351275821404</v>
      </c>
      <c r="CF346">
        <v>1055.12856582276</v>
      </c>
      <c r="CG346">
        <v>54.236577164366402</v>
      </c>
      <c r="CH346">
        <v>178</v>
      </c>
      <c r="CI346">
        <v>82.647204272141195</v>
      </c>
      <c r="CJ346">
        <v>76.272437859780396</v>
      </c>
      <c r="CK346" s="81">
        <v>951</v>
      </c>
      <c r="CL346">
        <v>178</v>
      </c>
      <c r="CM346">
        <v>2875.5428055763</v>
      </c>
      <c r="CN346">
        <v>0.53073247521349998</v>
      </c>
      <c r="CO346">
        <v>11915</v>
      </c>
      <c r="CP346">
        <v>2256</v>
      </c>
      <c r="CQ346">
        <v>431</v>
      </c>
      <c r="CR346">
        <v>455</v>
      </c>
      <c r="CS346">
        <v>453</v>
      </c>
      <c r="CT346">
        <v>240</v>
      </c>
      <c r="CU346">
        <v>272.160819703914</v>
      </c>
      <c r="CV346">
        <v>177.69017166698899</v>
      </c>
      <c r="CW346">
        <v>65.760882309071206</v>
      </c>
      <c r="CX346">
        <v>624.75082432202896</v>
      </c>
      <c r="CY346">
        <v>407.891486157504</v>
      </c>
      <c r="CZ346">
        <v>150.95547358885801</v>
      </c>
      <c r="DA346">
        <v>0</v>
      </c>
      <c r="DE346">
        <v>1730</v>
      </c>
      <c r="DF346" t="s">
        <v>299</v>
      </c>
      <c r="DG346">
        <v>7052</v>
      </c>
      <c r="DH346">
        <v>7038</v>
      </c>
      <c r="DI346">
        <v>7028</v>
      </c>
      <c r="DJ346">
        <v>6974</v>
      </c>
      <c r="DK346">
        <v>6941</v>
      </c>
      <c r="DO346">
        <v>888</v>
      </c>
      <c r="DP346" t="s">
        <v>36</v>
      </c>
      <c r="DQ346">
        <v>7448</v>
      </c>
      <c r="DR346">
        <v>1</v>
      </c>
      <c r="DS346">
        <v>884</v>
      </c>
      <c r="DV346">
        <v>629</v>
      </c>
      <c r="DW346" t="s">
        <v>330</v>
      </c>
      <c r="DX346">
        <v>2719.5395539292599</v>
      </c>
      <c r="DY346">
        <v>771</v>
      </c>
      <c r="DZ346">
        <v>771</v>
      </c>
      <c r="EA346">
        <v>586</v>
      </c>
      <c r="EB346">
        <v>2087</v>
      </c>
      <c r="EC346">
        <v>1551</v>
      </c>
      <c r="ED346">
        <v>798</v>
      </c>
      <c r="EE346" s="82">
        <v>0.121822149586399</v>
      </c>
      <c r="EF346" s="82">
        <v>9.5802996128103196E-2</v>
      </c>
    </row>
    <row r="347" spans="1:136" x14ac:dyDescent="0.35">
      <c r="A347" s="72">
        <v>889</v>
      </c>
      <c r="B347" s="72">
        <v>11</v>
      </c>
      <c r="D347" s="72" t="s">
        <v>39</v>
      </c>
      <c r="E347" s="79">
        <v>929200000</v>
      </c>
      <c r="F347" s="79">
        <v>123550000</v>
      </c>
      <c r="G347" s="79">
        <v>135800000</v>
      </c>
      <c r="H347" s="79">
        <v>13444</v>
      </c>
      <c r="I347" s="79">
        <v>1</v>
      </c>
      <c r="J347" s="79">
        <v>135.80000000000001</v>
      </c>
      <c r="K347" s="79">
        <v>2754</v>
      </c>
      <c r="L347" s="79">
        <v>3018</v>
      </c>
      <c r="M347" s="79">
        <v>953</v>
      </c>
      <c r="N347" s="79">
        <v>1819</v>
      </c>
      <c r="O347" s="79">
        <v>1172.3</v>
      </c>
      <c r="P347" s="79">
        <v>227</v>
      </c>
      <c r="Q347" s="79">
        <v>897</v>
      </c>
      <c r="R347" s="79">
        <v>570</v>
      </c>
      <c r="S347" s="79">
        <v>0</v>
      </c>
      <c r="T347" s="79">
        <v>353</v>
      </c>
      <c r="U347" s="79">
        <v>5924</v>
      </c>
      <c r="V347" s="79">
        <v>14280</v>
      </c>
      <c r="W347" s="79">
        <v>9490</v>
      </c>
      <c r="X347" s="79">
        <v>0</v>
      </c>
      <c r="Y347" s="79">
        <v>227.2</v>
      </c>
      <c r="Z347" s="79">
        <v>0</v>
      </c>
      <c r="AA347" s="79">
        <v>0</v>
      </c>
      <c r="AB347" s="79">
        <v>0</v>
      </c>
      <c r="AC347" s="79">
        <v>2783</v>
      </c>
      <c r="AD347" s="79">
        <v>2783</v>
      </c>
      <c r="AE347" s="79">
        <v>133</v>
      </c>
      <c r="AF347" s="79">
        <v>0</v>
      </c>
      <c r="AG347" s="79">
        <v>108</v>
      </c>
      <c r="AH347" s="79">
        <v>92</v>
      </c>
      <c r="AI347" s="79">
        <v>16</v>
      </c>
      <c r="AJ347" s="79">
        <v>6467</v>
      </c>
      <c r="AK347" s="79">
        <v>6467</v>
      </c>
      <c r="AL347" s="79">
        <v>0</v>
      </c>
      <c r="AM347" s="79">
        <v>0</v>
      </c>
      <c r="AN347" s="79">
        <v>0</v>
      </c>
      <c r="AO347" s="79">
        <v>0</v>
      </c>
      <c r="AP347" s="79">
        <v>0</v>
      </c>
      <c r="AQ347" s="79">
        <v>0</v>
      </c>
      <c r="AR347" s="80">
        <v>2.4515099999999998E-4</v>
      </c>
      <c r="AS347" s="80">
        <v>1.3544699999999999E-4</v>
      </c>
      <c r="AT347" s="79">
        <v>4785.58</v>
      </c>
      <c r="AU347" s="79">
        <v>0</v>
      </c>
      <c r="AV347" s="79">
        <v>347</v>
      </c>
      <c r="AW347" s="79">
        <v>1599.81755829904</v>
      </c>
      <c r="AX347" s="79">
        <v>1</v>
      </c>
      <c r="AY347" s="79">
        <v>1</v>
      </c>
      <c r="AZ347" s="79">
        <v>1026</v>
      </c>
      <c r="BA347" s="79">
        <v>1</v>
      </c>
      <c r="BB347" s="79">
        <v>0</v>
      </c>
      <c r="BC347" s="79">
        <v>0</v>
      </c>
      <c r="BD347" s="79">
        <v>0</v>
      </c>
      <c r="BE347" s="79">
        <v>0</v>
      </c>
      <c r="BF347" s="79">
        <v>0</v>
      </c>
      <c r="BG347" s="79">
        <v>0</v>
      </c>
      <c r="BH347" s="79">
        <v>0</v>
      </c>
      <c r="BI347" s="79">
        <v>0</v>
      </c>
      <c r="BJ347" s="79">
        <v>0</v>
      </c>
      <c r="BK347" s="79">
        <v>22</v>
      </c>
      <c r="BL347" s="79">
        <v>1669</v>
      </c>
      <c r="BM347" s="79">
        <v>92</v>
      </c>
      <c r="BN347" s="79">
        <v>16</v>
      </c>
      <c r="BO347">
        <v>3251</v>
      </c>
      <c r="BP347">
        <v>319</v>
      </c>
      <c r="BQ347">
        <v>2899</v>
      </c>
      <c r="BR347">
        <v>284</v>
      </c>
      <c r="BS347">
        <v>2900</v>
      </c>
      <c r="BT347">
        <v>272</v>
      </c>
      <c r="BU347">
        <v>2848</v>
      </c>
      <c r="BV347">
        <v>302</v>
      </c>
      <c r="BW347">
        <v>2760</v>
      </c>
      <c r="BX347">
        <v>311</v>
      </c>
      <c r="BY347">
        <v>2741</v>
      </c>
      <c r="BZ347">
        <v>303</v>
      </c>
      <c r="CA347">
        <v>2452</v>
      </c>
      <c r="CB347">
        <v>207.51923047671201</v>
      </c>
      <c r="CC347">
        <v>42.972718715056899</v>
      </c>
      <c r="CD347">
        <v>17.5500802502523</v>
      </c>
      <c r="CE347">
        <v>3621.45147944476</v>
      </c>
      <c r="CF347">
        <v>868.70782420968999</v>
      </c>
      <c r="CG347">
        <v>72.206255539839702</v>
      </c>
      <c r="CH347">
        <v>131</v>
      </c>
      <c r="CI347">
        <v>81.182232289957796</v>
      </c>
      <c r="CJ347">
        <v>74.498660235134295</v>
      </c>
      <c r="CK347" s="81">
        <v>670</v>
      </c>
      <c r="CL347">
        <v>179</v>
      </c>
      <c r="CM347">
        <v>2348.2213444876002</v>
      </c>
      <c r="CN347">
        <v>0.41386618314768397</v>
      </c>
      <c r="CO347">
        <v>10426</v>
      </c>
      <c r="CP347">
        <v>1747</v>
      </c>
      <c r="CQ347">
        <v>318</v>
      </c>
      <c r="CR347">
        <v>323</v>
      </c>
      <c r="CS347">
        <v>321</v>
      </c>
      <c r="CT347">
        <v>174</v>
      </c>
      <c r="CU347">
        <v>196.19060620496001</v>
      </c>
      <c r="CV347">
        <v>120.397932088811</v>
      </c>
      <c r="CW347">
        <v>45.149224533304</v>
      </c>
      <c r="CX347">
        <v>549.11760346486994</v>
      </c>
      <c r="CY347">
        <v>336.98159769008703</v>
      </c>
      <c r="CZ347">
        <v>126.368099133782</v>
      </c>
      <c r="DA347">
        <v>0</v>
      </c>
      <c r="DE347">
        <v>1731</v>
      </c>
      <c r="DF347" t="s">
        <v>201</v>
      </c>
      <c r="DG347">
        <v>7434</v>
      </c>
      <c r="DH347">
        <v>7274</v>
      </c>
      <c r="DI347">
        <v>7217</v>
      </c>
      <c r="DJ347">
        <v>7111</v>
      </c>
      <c r="DK347">
        <v>6934</v>
      </c>
      <c r="DO347">
        <v>889</v>
      </c>
      <c r="DP347" t="s">
        <v>39</v>
      </c>
      <c r="DQ347">
        <v>6467</v>
      </c>
      <c r="DR347">
        <v>1</v>
      </c>
      <c r="DS347">
        <v>740</v>
      </c>
      <c r="DV347">
        <v>852</v>
      </c>
      <c r="DW347" t="s">
        <v>331</v>
      </c>
      <c r="DX347">
        <v>1713.23745639925</v>
      </c>
      <c r="DY347">
        <v>472</v>
      </c>
      <c r="DZ347">
        <v>438</v>
      </c>
      <c r="EA347">
        <v>199</v>
      </c>
      <c r="EB347">
        <v>1489</v>
      </c>
      <c r="EC347">
        <v>933</v>
      </c>
      <c r="ED347">
        <v>298</v>
      </c>
      <c r="EE347" s="82">
        <v>0.13523787675398199</v>
      </c>
      <c r="EF347" s="82">
        <v>0.307434383372786</v>
      </c>
    </row>
    <row r="348" spans="1:136" x14ac:dyDescent="0.35">
      <c r="A348" s="72">
        <v>893</v>
      </c>
      <c r="B348" s="72">
        <v>11</v>
      </c>
      <c r="D348" s="72" t="s">
        <v>42</v>
      </c>
      <c r="E348" s="79">
        <v>922400000</v>
      </c>
      <c r="F348" s="79">
        <v>146300000</v>
      </c>
      <c r="G348" s="79">
        <v>165900000</v>
      </c>
      <c r="H348" s="79">
        <v>13106</v>
      </c>
      <c r="I348" s="79">
        <v>4</v>
      </c>
      <c r="J348" s="79">
        <v>165.9</v>
      </c>
      <c r="K348" s="79">
        <v>2615</v>
      </c>
      <c r="L348" s="79">
        <v>2971</v>
      </c>
      <c r="M348" s="79">
        <v>914</v>
      </c>
      <c r="N348" s="79">
        <v>1719</v>
      </c>
      <c r="O348" s="79">
        <v>1147.7</v>
      </c>
      <c r="P348" s="79">
        <v>187.333333333333</v>
      </c>
      <c r="Q348" s="79">
        <v>976.33333333333303</v>
      </c>
      <c r="R348" s="79">
        <v>160</v>
      </c>
      <c r="S348" s="79">
        <v>0</v>
      </c>
      <c r="T348" s="79">
        <v>320</v>
      </c>
      <c r="U348" s="79">
        <v>5717</v>
      </c>
      <c r="V348" s="79">
        <v>11120</v>
      </c>
      <c r="W348" s="79">
        <v>1430</v>
      </c>
      <c r="X348" s="79">
        <v>0</v>
      </c>
      <c r="Y348" s="79">
        <v>0</v>
      </c>
      <c r="Z348" s="79">
        <v>0</v>
      </c>
      <c r="AA348" s="79">
        <v>0</v>
      </c>
      <c r="AB348" s="79">
        <v>0</v>
      </c>
      <c r="AC348" s="79">
        <v>10324</v>
      </c>
      <c r="AD348" s="79">
        <v>10324</v>
      </c>
      <c r="AE348" s="79">
        <v>525</v>
      </c>
      <c r="AF348" s="79">
        <v>0</v>
      </c>
      <c r="AG348" s="79">
        <v>132</v>
      </c>
      <c r="AH348" s="79">
        <v>72</v>
      </c>
      <c r="AI348" s="79">
        <v>60</v>
      </c>
      <c r="AJ348" s="79">
        <v>5713</v>
      </c>
      <c r="AK348" s="79">
        <v>5713</v>
      </c>
      <c r="AL348" s="79">
        <v>0</v>
      </c>
      <c r="AM348" s="79">
        <v>0</v>
      </c>
      <c r="AN348" s="79">
        <v>0</v>
      </c>
      <c r="AO348" s="79">
        <v>0</v>
      </c>
      <c r="AP348" s="79">
        <v>0</v>
      </c>
      <c r="AQ348" s="79">
        <v>0</v>
      </c>
      <c r="AR348" s="80">
        <v>1.9296600000000001E-4</v>
      </c>
      <c r="AS348" s="80">
        <v>1.29309E-4</v>
      </c>
      <c r="AT348" s="79">
        <v>1788.1690000000001</v>
      </c>
      <c r="AU348" s="79">
        <v>0</v>
      </c>
      <c r="AV348" s="79">
        <v>1356</v>
      </c>
      <c r="AW348" s="79">
        <v>1638.0989952991099</v>
      </c>
      <c r="AX348" s="79">
        <v>11</v>
      </c>
      <c r="AY348" s="79">
        <v>11</v>
      </c>
      <c r="AZ348" s="79">
        <v>1164</v>
      </c>
      <c r="BA348" s="79">
        <v>1</v>
      </c>
      <c r="BB348" s="79">
        <v>0</v>
      </c>
      <c r="BC348" s="79">
        <v>0</v>
      </c>
      <c r="BD348" s="79">
        <v>0</v>
      </c>
      <c r="BE348" s="79">
        <v>0</v>
      </c>
      <c r="BF348" s="79">
        <v>0</v>
      </c>
      <c r="BG348" s="79">
        <v>0</v>
      </c>
      <c r="BH348" s="79">
        <v>0</v>
      </c>
      <c r="BI348" s="79">
        <v>0</v>
      </c>
      <c r="BJ348" s="79">
        <v>0</v>
      </c>
      <c r="BK348" s="79">
        <v>10</v>
      </c>
      <c r="BL348" s="79">
        <v>1550</v>
      </c>
      <c r="BM348" s="79">
        <v>72</v>
      </c>
      <c r="BN348" s="79">
        <v>60</v>
      </c>
      <c r="BO348">
        <v>3218</v>
      </c>
      <c r="BP348">
        <v>0</v>
      </c>
      <c r="BQ348">
        <v>2819</v>
      </c>
      <c r="BR348">
        <v>0</v>
      </c>
      <c r="BS348">
        <v>2784</v>
      </c>
      <c r="BT348">
        <v>0</v>
      </c>
      <c r="BU348">
        <v>2691</v>
      </c>
      <c r="BV348">
        <v>0</v>
      </c>
      <c r="BW348">
        <v>2631</v>
      </c>
      <c r="BX348">
        <v>0</v>
      </c>
      <c r="BY348">
        <v>2570</v>
      </c>
      <c r="BZ348">
        <v>0</v>
      </c>
      <c r="CA348">
        <v>2292</v>
      </c>
      <c r="CB348">
        <v>175.223642371208</v>
      </c>
      <c r="CC348">
        <v>45.925179717377603</v>
      </c>
      <c r="CD348">
        <v>16.5832014053425</v>
      </c>
      <c r="CE348">
        <v>3469.1532786545899</v>
      </c>
      <c r="CF348">
        <v>807.04039389967397</v>
      </c>
      <c r="CG348">
        <v>53.102739454094298</v>
      </c>
      <c r="CH348">
        <v>114</v>
      </c>
      <c r="CI348">
        <v>56.645028384207301</v>
      </c>
      <c r="CJ348">
        <v>58.534661613319798</v>
      </c>
      <c r="CK348" s="81">
        <v>789</v>
      </c>
      <c r="CL348">
        <v>180</v>
      </c>
      <c r="CM348">
        <v>2590.3623529411798</v>
      </c>
      <c r="CN348">
        <v>0.28150076653508899</v>
      </c>
      <c r="CO348">
        <v>10135</v>
      </c>
      <c r="CP348">
        <v>1770</v>
      </c>
      <c r="CQ348">
        <v>287</v>
      </c>
      <c r="CR348">
        <v>310</v>
      </c>
      <c r="CS348">
        <v>305</v>
      </c>
      <c r="CT348">
        <v>155</v>
      </c>
      <c r="CU348">
        <v>214.425834169111</v>
      </c>
      <c r="CV348">
        <v>130.22299957036901</v>
      </c>
      <c r="CW348">
        <v>44.010550780726703</v>
      </c>
      <c r="CX348">
        <v>536.82309613856296</v>
      </c>
      <c r="CY348">
        <v>326.018150232229</v>
      </c>
      <c r="CZ348">
        <v>110.182060032189</v>
      </c>
      <c r="DA348">
        <v>8760</v>
      </c>
      <c r="DE348">
        <v>1734</v>
      </c>
      <c r="DF348" t="s">
        <v>242</v>
      </c>
      <c r="DG348">
        <v>11193</v>
      </c>
      <c r="DH348">
        <v>11244</v>
      </c>
      <c r="DI348">
        <v>11227</v>
      </c>
      <c r="DJ348">
        <v>11168</v>
      </c>
      <c r="DK348">
        <v>11074</v>
      </c>
      <c r="DO348">
        <v>893</v>
      </c>
      <c r="DP348" t="s">
        <v>42</v>
      </c>
      <c r="DQ348">
        <v>5713</v>
      </c>
      <c r="DR348">
        <v>1</v>
      </c>
      <c r="DS348">
        <v>313</v>
      </c>
      <c r="DV348">
        <v>988</v>
      </c>
      <c r="DW348" t="s">
        <v>332</v>
      </c>
      <c r="DX348">
        <v>7141.7191650853902</v>
      </c>
      <c r="DY348">
        <v>1338</v>
      </c>
      <c r="DZ348">
        <v>1259</v>
      </c>
      <c r="EA348">
        <v>582</v>
      </c>
      <c r="EB348">
        <v>3922</v>
      </c>
      <c r="EC348">
        <v>2622</v>
      </c>
      <c r="ED348">
        <v>833</v>
      </c>
      <c r="EE348" s="82">
        <v>0.20589451171822501</v>
      </c>
      <c r="EF348" s="82">
        <v>0.473389425315906</v>
      </c>
    </row>
    <row r="349" spans="1:136" x14ac:dyDescent="0.35">
      <c r="A349" s="72">
        <v>899</v>
      </c>
      <c r="B349" s="72">
        <v>11</v>
      </c>
      <c r="D349" s="72" t="s">
        <v>64</v>
      </c>
      <c r="E349" s="79">
        <v>1615200000</v>
      </c>
      <c r="F349" s="79">
        <v>267400000</v>
      </c>
      <c r="G349" s="79">
        <v>274750000</v>
      </c>
      <c r="H349" s="79">
        <v>28241</v>
      </c>
      <c r="I349" s="79">
        <v>1</v>
      </c>
      <c r="J349" s="79">
        <v>274.75</v>
      </c>
      <c r="K349" s="79">
        <v>5155</v>
      </c>
      <c r="L349" s="79">
        <v>6719</v>
      </c>
      <c r="M349" s="79">
        <v>2224</v>
      </c>
      <c r="N349" s="79">
        <v>5421</v>
      </c>
      <c r="O349" s="79">
        <v>3958.8</v>
      </c>
      <c r="P349" s="79">
        <v>924</v>
      </c>
      <c r="Q349" s="79">
        <v>3786</v>
      </c>
      <c r="R349" s="79">
        <v>905</v>
      </c>
      <c r="S349" s="79">
        <v>0</v>
      </c>
      <c r="T349" s="79">
        <v>1140</v>
      </c>
      <c r="U349" s="79">
        <v>14107</v>
      </c>
      <c r="V349" s="79">
        <v>29450</v>
      </c>
      <c r="W349" s="79">
        <v>24730</v>
      </c>
      <c r="X349" s="79">
        <v>207.9</v>
      </c>
      <c r="Y349" s="79">
        <v>473.6</v>
      </c>
      <c r="Z349" s="79">
        <v>0</v>
      </c>
      <c r="AA349" s="79">
        <v>0</v>
      </c>
      <c r="AB349" s="79">
        <v>0</v>
      </c>
      <c r="AC349" s="79">
        <v>1725</v>
      </c>
      <c r="AD349" s="79">
        <v>1725</v>
      </c>
      <c r="AE349" s="79">
        <v>9</v>
      </c>
      <c r="AF349" s="79">
        <v>0</v>
      </c>
      <c r="AG349" s="79">
        <v>170</v>
      </c>
      <c r="AH349" s="79">
        <v>154</v>
      </c>
      <c r="AI349" s="79">
        <v>16</v>
      </c>
      <c r="AJ349" s="79">
        <v>14622</v>
      </c>
      <c r="AK349" s="79">
        <v>14622</v>
      </c>
      <c r="AL349" s="79">
        <v>0</v>
      </c>
      <c r="AM349" s="79">
        <v>0</v>
      </c>
      <c r="AN349" s="79">
        <v>0</v>
      </c>
      <c r="AO349" s="79">
        <v>0</v>
      </c>
      <c r="AP349" s="79">
        <v>3867</v>
      </c>
      <c r="AQ349" s="79">
        <v>0</v>
      </c>
      <c r="AR349" s="80">
        <v>1.477587E-3</v>
      </c>
      <c r="AS349" s="80">
        <v>2.2267609999999998E-3</v>
      </c>
      <c r="AT349" s="79">
        <v>24447.984</v>
      </c>
      <c r="AU349" s="79">
        <v>0</v>
      </c>
      <c r="AV349" s="79">
        <v>152</v>
      </c>
      <c r="AW349" s="79">
        <v>2475.5663206458999</v>
      </c>
      <c r="AX349" s="79">
        <v>1</v>
      </c>
      <c r="AY349" s="79">
        <v>1</v>
      </c>
      <c r="AZ349" s="79">
        <v>1799</v>
      </c>
      <c r="BA349" s="79">
        <v>1</v>
      </c>
      <c r="BB349" s="79">
        <v>0</v>
      </c>
      <c r="BC349" s="79">
        <v>0</v>
      </c>
      <c r="BD349" s="79">
        <v>0</v>
      </c>
      <c r="BE349" s="79">
        <v>0</v>
      </c>
      <c r="BF349" s="79">
        <v>0</v>
      </c>
      <c r="BG349" s="79">
        <v>0</v>
      </c>
      <c r="BH349" s="79">
        <v>0</v>
      </c>
      <c r="BI349" s="79">
        <v>0</v>
      </c>
      <c r="BJ349" s="79">
        <v>0</v>
      </c>
      <c r="BK349" s="79">
        <v>1</v>
      </c>
      <c r="BL349" s="79">
        <v>5176</v>
      </c>
      <c r="BM349" s="79">
        <v>154</v>
      </c>
      <c r="BN349" s="79">
        <v>16</v>
      </c>
      <c r="BO349">
        <v>6085</v>
      </c>
      <c r="BP349">
        <v>781</v>
      </c>
      <c r="BQ349">
        <v>5289</v>
      </c>
      <c r="BR349">
        <v>750</v>
      </c>
      <c r="BS349">
        <v>5211</v>
      </c>
      <c r="BT349">
        <v>697</v>
      </c>
      <c r="BU349">
        <v>5098</v>
      </c>
      <c r="BV349">
        <v>699</v>
      </c>
      <c r="BW349">
        <v>5055</v>
      </c>
      <c r="BX349">
        <v>701</v>
      </c>
      <c r="BY349">
        <v>4984</v>
      </c>
      <c r="BZ349">
        <v>712</v>
      </c>
      <c r="CA349">
        <v>4570</v>
      </c>
      <c r="CB349">
        <v>845.10441598410102</v>
      </c>
      <c r="CC349">
        <v>130.25307401838899</v>
      </c>
      <c r="CD349">
        <v>80.778233242385895</v>
      </c>
      <c r="CE349">
        <v>7374.8693465852803</v>
      </c>
      <c r="CF349">
        <v>1469.1950960942499</v>
      </c>
      <c r="CG349">
        <v>192.85661578821799</v>
      </c>
      <c r="CH349">
        <v>366</v>
      </c>
      <c r="CI349">
        <v>285.74597943877598</v>
      </c>
      <c r="CJ349">
        <v>304.73499591419198</v>
      </c>
      <c r="CK349" s="81">
        <v>2862</v>
      </c>
      <c r="CL349">
        <v>627</v>
      </c>
      <c r="CM349">
        <v>6436.0651307648995</v>
      </c>
      <c r="CN349">
        <v>2.5163399686424901</v>
      </c>
      <c r="CO349">
        <v>21522</v>
      </c>
      <c r="CP349">
        <v>3697</v>
      </c>
      <c r="CQ349">
        <v>798</v>
      </c>
      <c r="CR349">
        <v>905</v>
      </c>
      <c r="CS349">
        <v>869</v>
      </c>
      <c r="CT349">
        <v>425</v>
      </c>
      <c r="CU349">
        <v>636.571648622976</v>
      </c>
      <c r="CV349">
        <v>433.22613262303798</v>
      </c>
      <c r="CW349">
        <v>148.65071675627999</v>
      </c>
      <c r="CX349">
        <v>1406.8828400524401</v>
      </c>
      <c r="CY349">
        <v>957.47024418710998</v>
      </c>
      <c r="CZ349">
        <v>328.53197753670202</v>
      </c>
      <c r="DA349">
        <v>26592.3</v>
      </c>
      <c r="DE349">
        <v>1735</v>
      </c>
      <c r="DF349" t="s">
        <v>154</v>
      </c>
      <c r="DG349">
        <v>7721</v>
      </c>
      <c r="DH349">
        <v>7718</v>
      </c>
      <c r="DI349">
        <v>7663</v>
      </c>
      <c r="DJ349">
        <v>7563</v>
      </c>
      <c r="DK349">
        <v>7345</v>
      </c>
      <c r="DO349">
        <v>899</v>
      </c>
      <c r="DP349" t="s">
        <v>64</v>
      </c>
      <c r="DQ349">
        <v>14622</v>
      </c>
      <c r="DR349">
        <v>1</v>
      </c>
      <c r="DS349">
        <v>1672</v>
      </c>
      <c r="DV349">
        <v>457</v>
      </c>
      <c r="DW349" t="s">
        <v>333</v>
      </c>
      <c r="DX349">
        <v>2894.4698767686</v>
      </c>
      <c r="DY349">
        <v>572</v>
      </c>
      <c r="DZ349">
        <v>399</v>
      </c>
      <c r="EA349">
        <v>233</v>
      </c>
      <c r="EB349">
        <v>1366</v>
      </c>
      <c r="EC349">
        <v>826</v>
      </c>
      <c r="ED349">
        <v>332</v>
      </c>
      <c r="EE349" s="82">
        <v>0.221215167769237</v>
      </c>
      <c r="EF349" s="82">
        <v>0.39349657055146697</v>
      </c>
    </row>
    <row r="350" spans="1:136" x14ac:dyDescent="0.35">
      <c r="A350" s="72">
        <v>1711</v>
      </c>
      <c r="B350" s="72">
        <v>11</v>
      </c>
      <c r="D350" s="72" t="s">
        <v>96</v>
      </c>
      <c r="E350" s="79">
        <v>2331600000</v>
      </c>
      <c r="F350" s="79">
        <v>434000000</v>
      </c>
      <c r="G350" s="79">
        <v>477050000</v>
      </c>
      <c r="H350" s="79">
        <v>31751</v>
      </c>
      <c r="I350" s="79">
        <v>5</v>
      </c>
      <c r="J350" s="79">
        <v>477.05</v>
      </c>
      <c r="K350" s="79">
        <v>5620</v>
      </c>
      <c r="L350" s="79">
        <v>7713</v>
      </c>
      <c r="M350" s="79">
        <v>2382</v>
      </c>
      <c r="N350" s="79">
        <v>4529</v>
      </c>
      <c r="O350" s="79">
        <v>2985.5</v>
      </c>
      <c r="P350" s="79">
        <v>459.66666666666703</v>
      </c>
      <c r="Q350" s="79">
        <v>2837.6666666666702</v>
      </c>
      <c r="R350" s="79">
        <v>565</v>
      </c>
      <c r="S350" s="79">
        <v>0</v>
      </c>
      <c r="T350" s="79">
        <v>925</v>
      </c>
      <c r="U350" s="79">
        <v>15123</v>
      </c>
      <c r="V350" s="79">
        <v>29440</v>
      </c>
      <c r="W350" s="79">
        <v>16430</v>
      </c>
      <c r="X350" s="79">
        <v>186.12</v>
      </c>
      <c r="Y350" s="79">
        <v>1180</v>
      </c>
      <c r="Z350" s="79">
        <v>0</v>
      </c>
      <c r="AA350" s="79">
        <v>0</v>
      </c>
      <c r="AB350" s="79">
        <v>0</v>
      </c>
      <c r="AC350" s="79">
        <v>10308</v>
      </c>
      <c r="AD350" s="79">
        <v>10308</v>
      </c>
      <c r="AE350" s="79">
        <v>153</v>
      </c>
      <c r="AF350" s="79">
        <v>0</v>
      </c>
      <c r="AG350" s="79">
        <v>300</v>
      </c>
      <c r="AH350" s="79">
        <v>227</v>
      </c>
      <c r="AI350" s="79">
        <v>74</v>
      </c>
      <c r="AJ350" s="79">
        <v>15435</v>
      </c>
      <c r="AK350" s="79">
        <v>15435</v>
      </c>
      <c r="AL350" s="79">
        <v>29</v>
      </c>
      <c r="AM350" s="79">
        <v>0</v>
      </c>
      <c r="AN350" s="79">
        <v>0</v>
      </c>
      <c r="AO350" s="79">
        <v>0</v>
      </c>
      <c r="AP350" s="79">
        <v>572</v>
      </c>
      <c r="AQ350" s="79">
        <v>572</v>
      </c>
      <c r="AR350" s="80">
        <v>7.6928999999999995E-4</v>
      </c>
      <c r="AS350" s="80">
        <v>4.4813299999999997E-4</v>
      </c>
      <c r="AT350" s="79">
        <v>10989.72</v>
      </c>
      <c r="AU350" s="79">
        <v>0</v>
      </c>
      <c r="AV350" s="79">
        <v>973</v>
      </c>
      <c r="AW350" s="79">
        <v>2953.2284676417198</v>
      </c>
      <c r="AX350" s="79">
        <v>12</v>
      </c>
      <c r="AY350" s="79">
        <v>12</v>
      </c>
      <c r="AZ350" s="79">
        <v>3186</v>
      </c>
      <c r="BA350" s="79">
        <v>1</v>
      </c>
      <c r="BB350" s="79">
        <v>0</v>
      </c>
      <c r="BC350" s="79">
        <v>0</v>
      </c>
      <c r="BD350" s="79">
        <v>0</v>
      </c>
      <c r="BE350" s="79">
        <v>0</v>
      </c>
      <c r="BF350" s="79">
        <v>0</v>
      </c>
      <c r="BG350" s="79">
        <v>0</v>
      </c>
      <c r="BH350" s="79">
        <v>0</v>
      </c>
      <c r="BI350" s="79">
        <v>0</v>
      </c>
      <c r="BJ350" s="79">
        <v>0</v>
      </c>
      <c r="BK350" s="79">
        <v>0</v>
      </c>
      <c r="BL350" s="79">
        <v>4429</v>
      </c>
      <c r="BM350" s="79">
        <v>227</v>
      </c>
      <c r="BN350" s="79">
        <v>74</v>
      </c>
      <c r="BO350">
        <v>6641</v>
      </c>
      <c r="BP350">
        <v>1616</v>
      </c>
      <c r="BQ350">
        <v>5789</v>
      </c>
      <c r="BR350">
        <v>1610</v>
      </c>
      <c r="BS350">
        <v>5708</v>
      </c>
      <c r="BT350">
        <v>1667</v>
      </c>
      <c r="BU350">
        <v>5662</v>
      </c>
      <c r="BV350">
        <v>1775</v>
      </c>
      <c r="BW350">
        <v>5539</v>
      </c>
      <c r="BX350">
        <v>1748</v>
      </c>
      <c r="BY350">
        <v>5424</v>
      </c>
      <c r="BZ350">
        <v>1753</v>
      </c>
      <c r="CA350">
        <v>4991</v>
      </c>
      <c r="CB350">
        <v>516.96148352254897</v>
      </c>
      <c r="CC350">
        <v>54.333460001522397</v>
      </c>
      <c r="CD350">
        <v>80.869539940362898</v>
      </c>
      <c r="CE350">
        <v>9141.6224316966109</v>
      </c>
      <c r="CF350">
        <v>1930.6330526834399</v>
      </c>
      <c r="CG350">
        <v>146.062170731707</v>
      </c>
      <c r="CH350">
        <v>293</v>
      </c>
      <c r="CI350">
        <v>115.528957659567</v>
      </c>
      <c r="CJ350">
        <v>105.717146428905</v>
      </c>
      <c r="CK350" s="81">
        <v>2378</v>
      </c>
      <c r="CL350">
        <v>619</v>
      </c>
      <c r="CM350">
        <v>6006.5182619040197</v>
      </c>
      <c r="CN350">
        <v>0.78456480696590003</v>
      </c>
      <c r="CO350">
        <v>24038</v>
      </c>
      <c r="CP350">
        <v>4480</v>
      </c>
      <c r="CQ350">
        <v>851</v>
      </c>
      <c r="CR350">
        <v>864</v>
      </c>
      <c r="CS350">
        <v>733</v>
      </c>
      <c r="CT350">
        <v>409</v>
      </c>
      <c r="CU350">
        <v>537.89853579801195</v>
      </c>
      <c r="CV350">
        <v>312.952114678599</v>
      </c>
      <c r="CW350">
        <v>111.02256725928</v>
      </c>
      <c r="CX350">
        <v>1305.06608822199</v>
      </c>
      <c r="CY350">
        <v>759.29411389542804</v>
      </c>
      <c r="CZ350">
        <v>269.36639145610297</v>
      </c>
      <c r="DA350">
        <v>145312.9</v>
      </c>
      <c r="DE350">
        <v>1740</v>
      </c>
      <c r="DF350" t="s">
        <v>210</v>
      </c>
      <c r="DG350">
        <v>6312</v>
      </c>
      <c r="DH350">
        <v>6210</v>
      </c>
      <c r="DI350">
        <v>6186</v>
      </c>
      <c r="DJ350">
        <v>6075</v>
      </c>
      <c r="DK350">
        <v>5962</v>
      </c>
      <c r="DO350">
        <v>1711</v>
      </c>
      <c r="DP350" t="s">
        <v>96</v>
      </c>
      <c r="DQ350">
        <v>15435</v>
      </c>
      <c r="DR350">
        <v>1</v>
      </c>
      <c r="DS350">
        <v>712</v>
      </c>
      <c r="DV350">
        <v>870</v>
      </c>
      <c r="DW350" t="s">
        <v>823</v>
      </c>
      <c r="DX350">
        <v>2701.0164305949002</v>
      </c>
      <c r="DY350">
        <v>550</v>
      </c>
      <c r="DZ350">
        <v>508</v>
      </c>
      <c r="EA350">
        <v>224</v>
      </c>
      <c r="EB350">
        <v>1883</v>
      </c>
      <c r="EC350">
        <v>1107</v>
      </c>
      <c r="ED350">
        <v>341</v>
      </c>
      <c r="EE350" s="82">
        <v>0.14503460315657299</v>
      </c>
      <c r="EF350" s="82">
        <v>0.40773802822016803</v>
      </c>
    </row>
    <row r="351" spans="1:136" x14ac:dyDescent="0.35">
      <c r="A351" s="72">
        <v>1903</v>
      </c>
      <c r="B351" s="72">
        <v>11</v>
      </c>
      <c r="D351" s="72" t="s">
        <v>101</v>
      </c>
      <c r="E351" s="79">
        <v>2145600000</v>
      </c>
      <c r="F351" s="79">
        <v>260400000</v>
      </c>
      <c r="G351" s="79">
        <v>290500000</v>
      </c>
      <c r="H351" s="79">
        <v>25566</v>
      </c>
      <c r="I351" s="79">
        <v>5</v>
      </c>
      <c r="J351" s="79">
        <v>290.5</v>
      </c>
      <c r="K351" s="79">
        <v>5112</v>
      </c>
      <c r="L351" s="79">
        <v>6173</v>
      </c>
      <c r="M351" s="79">
        <v>2001</v>
      </c>
      <c r="N351" s="79">
        <v>2606</v>
      </c>
      <c r="O351" s="79">
        <v>1453.9</v>
      </c>
      <c r="P351" s="79">
        <v>216</v>
      </c>
      <c r="Q351" s="79">
        <v>1382</v>
      </c>
      <c r="R351" s="79">
        <v>305</v>
      </c>
      <c r="S351" s="79">
        <v>0</v>
      </c>
      <c r="T351" s="79">
        <v>583</v>
      </c>
      <c r="U351" s="79">
        <v>11297</v>
      </c>
      <c r="V351" s="79">
        <v>17590</v>
      </c>
      <c r="W351" s="79">
        <v>2790</v>
      </c>
      <c r="X351" s="79">
        <v>463.64</v>
      </c>
      <c r="Y351" s="79">
        <v>0</v>
      </c>
      <c r="Z351" s="79">
        <v>0</v>
      </c>
      <c r="AA351" s="79">
        <v>0</v>
      </c>
      <c r="AB351" s="79">
        <v>0</v>
      </c>
      <c r="AC351" s="79">
        <v>7754</v>
      </c>
      <c r="AD351" s="79">
        <v>7754</v>
      </c>
      <c r="AE351" s="79">
        <v>108</v>
      </c>
      <c r="AF351" s="79">
        <v>0</v>
      </c>
      <c r="AG351" s="79">
        <v>217</v>
      </c>
      <c r="AH351" s="79">
        <v>176</v>
      </c>
      <c r="AI351" s="79">
        <v>42</v>
      </c>
      <c r="AJ351" s="79">
        <v>11521</v>
      </c>
      <c r="AK351" s="79">
        <v>11521</v>
      </c>
      <c r="AL351" s="79">
        <v>0</v>
      </c>
      <c r="AM351" s="79">
        <v>0</v>
      </c>
      <c r="AN351" s="79">
        <v>0</v>
      </c>
      <c r="AO351" s="79">
        <v>0</v>
      </c>
      <c r="AP351" s="79">
        <v>0</v>
      </c>
      <c r="AQ351" s="79">
        <v>0</v>
      </c>
      <c r="AR351" s="80">
        <v>6.6093399999999996E-4</v>
      </c>
      <c r="AS351" s="80">
        <v>2.08381E-4</v>
      </c>
      <c r="AT351" s="79">
        <v>5311.1809999999996</v>
      </c>
      <c r="AU351" s="79">
        <v>0</v>
      </c>
      <c r="AV351" s="79">
        <v>269</v>
      </c>
      <c r="AW351" s="79">
        <v>874.74612058000503</v>
      </c>
      <c r="AX351" s="79">
        <v>21</v>
      </c>
      <c r="AY351" s="79">
        <v>21</v>
      </c>
      <c r="AZ351" s="79">
        <v>2601</v>
      </c>
      <c r="BA351" s="79">
        <v>1</v>
      </c>
      <c r="BB351" s="79">
        <v>0</v>
      </c>
      <c r="BC351" s="79">
        <v>0</v>
      </c>
      <c r="BD351" s="79">
        <v>0</v>
      </c>
      <c r="BE351" s="79">
        <v>0</v>
      </c>
      <c r="BF351" s="79">
        <v>0</v>
      </c>
      <c r="BG351" s="79">
        <v>0</v>
      </c>
      <c r="BH351" s="79">
        <v>0</v>
      </c>
      <c r="BI351" s="79">
        <v>0</v>
      </c>
      <c r="BJ351" s="79">
        <v>0</v>
      </c>
      <c r="BK351" s="79">
        <v>8</v>
      </c>
      <c r="BL351" s="79">
        <v>2898</v>
      </c>
      <c r="BM351" s="79">
        <v>176</v>
      </c>
      <c r="BN351" s="79">
        <v>42</v>
      </c>
      <c r="BO351">
        <v>6047</v>
      </c>
      <c r="BP351">
        <v>835</v>
      </c>
      <c r="BQ351">
        <v>5245</v>
      </c>
      <c r="BR351">
        <v>746</v>
      </c>
      <c r="BS351">
        <v>5122</v>
      </c>
      <c r="BT351">
        <v>602</v>
      </c>
      <c r="BU351">
        <v>5027</v>
      </c>
      <c r="BV351">
        <v>0</v>
      </c>
      <c r="BW351">
        <v>4871</v>
      </c>
      <c r="BX351">
        <v>0</v>
      </c>
      <c r="BY351">
        <v>4756</v>
      </c>
      <c r="BZ351">
        <v>0</v>
      </c>
      <c r="CA351">
        <v>4490</v>
      </c>
      <c r="CB351">
        <v>328.90488513601503</v>
      </c>
      <c r="CC351">
        <v>28.0730572244928</v>
      </c>
      <c r="CD351">
        <v>30.027514248512698</v>
      </c>
      <c r="CE351">
        <v>8097.1889418539104</v>
      </c>
      <c r="CF351">
        <v>1924.2107973823499</v>
      </c>
      <c r="CG351">
        <v>106.11505675954599</v>
      </c>
      <c r="CH351">
        <v>197</v>
      </c>
      <c r="CI351">
        <v>52.406931861412097</v>
      </c>
      <c r="CJ351">
        <v>31.927997243629001</v>
      </c>
      <c r="CK351" s="81">
        <v>1166</v>
      </c>
      <c r="CL351">
        <v>229</v>
      </c>
      <c r="CM351">
        <v>4189.8402993273103</v>
      </c>
      <c r="CN351">
        <v>0.120171844015888</v>
      </c>
      <c r="CO351">
        <v>19393</v>
      </c>
      <c r="CP351">
        <v>3540</v>
      </c>
      <c r="CQ351">
        <v>632</v>
      </c>
      <c r="CR351">
        <v>555</v>
      </c>
      <c r="CS351">
        <v>556</v>
      </c>
      <c r="CT351">
        <v>259</v>
      </c>
      <c r="CU351">
        <v>267.81660715609399</v>
      </c>
      <c r="CV351">
        <v>169.49938897767899</v>
      </c>
      <c r="CW351">
        <v>51.872113827122803</v>
      </c>
      <c r="CX351">
        <v>805.66492823826798</v>
      </c>
      <c r="CY351">
        <v>509.90009360225901</v>
      </c>
      <c r="CZ351">
        <v>156.04537488497999</v>
      </c>
      <c r="DA351">
        <v>0</v>
      </c>
      <c r="DE351">
        <v>1742</v>
      </c>
      <c r="DF351" t="s">
        <v>257</v>
      </c>
      <c r="DG351">
        <v>9685</v>
      </c>
      <c r="DH351">
        <v>9752</v>
      </c>
      <c r="DI351">
        <v>9810</v>
      </c>
      <c r="DJ351">
        <v>9734</v>
      </c>
      <c r="DK351">
        <v>9685</v>
      </c>
      <c r="DO351">
        <v>1903</v>
      </c>
      <c r="DP351" t="s">
        <v>101</v>
      </c>
      <c r="DQ351">
        <v>11521</v>
      </c>
      <c r="DR351">
        <v>1</v>
      </c>
      <c r="DS351">
        <v>461</v>
      </c>
      <c r="DV351">
        <v>668</v>
      </c>
      <c r="DW351" t="s">
        <v>335</v>
      </c>
      <c r="DX351">
        <v>2375.98353498815</v>
      </c>
      <c r="DY351">
        <v>415</v>
      </c>
      <c r="DZ351">
        <v>370</v>
      </c>
      <c r="EA351">
        <v>197</v>
      </c>
      <c r="EB351">
        <v>1427</v>
      </c>
      <c r="EC351">
        <v>782</v>
      </c>
      <c r="ED351">
        <v>272</v>
      </c>
      <c r="EE351" s="82">
        <v>0.19257277859723601</v>
      </c>
      <c r="EF351" s="82">
        <v>0.44140850577478302</v>
      </c>
    </row>
    <row r="352" spans="1:136" x14ac:dyDescent="0.35">
      <c r="A352" s="72">
        <v>907</v>
      </c>
      <c r="B352" s="72">
        <v>11</v>
      </c>
      <c r="D352" s="72" t="s">
        <v>113</v>
      </c>
      <c r="E352" s="79">
        <v>1262400000</v>
      </c>
      <c r="F352" s="79">
        <v>298550000</v>
      </c>
      <c r="G352" s="79">
        <v>326550000</v>
      </c>
      <c r="H352" s="79">
        <v>17052</v>
      </c>
      <c r="I352" s="79">
        <v>3</v>
      </c>
      <c r="J352" s="79">
        <v>326.55</v>
      </c>
      <c r="K352" s="79">
        <v>3588</v>
      </c>
      <c r="L352" s="79">
        <v>3840</v>
      </c>
      <c r="M352" s="79">
        <v>1168</v>
      </c>
      <c r="N352" s="79">
        <v>2194</v>
      </c>
      <c r="O352" s="79">
        <v>1326.6</v>
      </c>
      <c r="P352" s="79">
        <v>298.66666666666703</v>
      </c>
      <c r="Q352" s="79">
        <v>1656.6666666666699</v>
      </c>
      <c r="R352" s="79">
        <v>460</v>
      </c>
      <c r="S352" s="79">
        <v>0</v>
      </c>
      <c r="T352" s="79">
        <v>429</v>
      </c>
      <c r="U352" s="79">
        <v>7877</v>
      </c>
      <c r="V352" s="79">
        <v>15770</v>
      </c>
      <c r="W352" s="79">
        <v>5870</v>
      </c>
      <c r="X352" s="79">
        <v>717.08</v>
      </c>
      <c r="Y352" s="79">
        <v>398.4</v>
      </c>
      <c r="Z352" s="79">
        <v>0</v>
      </c>
      <c r="AA352" s="79">
        <v>0</v>
      </c>
      <c r="AB352" s="79">
        <v>0</v>
      </c>
      <c r="AC352" s="79">
        <v>4760</v>
      </c>
      <c r="AD352" s="79">
        <v>4760</v>
      </c>
      <c r="AE352" s="79">
        <v>283</v>
      </c>
      <c r="AF352" s="79">
        <v>0</v>
      </c>
      <c r="AG352" s="79">
        <v>178</v>
      </c>
      <c r="AH352" s="79">
        <v>113</v>
      </c>
      <c r="AI352" s="79">
        <v>65</v>
      </c>
      <c r="AJ352" s="79">
        <v>8674</v>
      </c>
      <c r="AK352" s="79">
        <v>8674</v>
      </c>
      <c r="AL352" s="79">
        <v>5</v>
      </c>
      <c r="AM352" s="79">
        <v>0</v>
      </c>
      <c r="AN352" s="79">
        <v>0</v>
      </c>
      <c r="AO352" s="79">
        <v>0</v>
      </c>
      <c r="AP352" s="79">
        <v>569</v>
      </c>
      <c r="AQ352" s="79">
        <v>569</v>
      </c>
      <c r="AR352" s="80">
        <v>3.0259999999999998E-4</v>
      </c>
      <c r="AS352" s="80">
        <v>2.4564900000000002E-4</v>
      </c>
      <c r="AT352" s="79">
        <v>5481.9679999999998</v>
      </c>
      <c r="AU352" s="79">
        <v>0</v>
      </c>
      <c r="AV352" s="79">
        <v>852</v>
      </c>
      <c r="AW352" s="79">
        <v>2880.8851873884601</v>
      </c>
      <c r="AX352" s="79">
        <v>5</v>
      </c>
      <c r="AY352" s="79">
        <v>5</v>
      </c>
      <c r="AZ352" s="79">
        <v>1578</v>
      </c>
      <c r="BA352" s="79">
        <v>1</v>
      </c>
      <c r="BB352" s="79">
        <v>0</v>
      </c>
      <c r="BC352" s="79">
        <v>0</v>
      </c>
      <c r="BD352" s="79">
        <v>0</v>
      </c>
      <c r="BE352" s="79">
        <v>0</v>
      </c>
      <c r="BF352" s="79">
        <v>0</v>
      </c>
      <c r="BG352" s="79">
        <v>0</v>
      </c>
      <c r="BH352" s="79">
        <v>0</v>
      </c>
      <c r="BI352" s="79">
        <v>0</v>
      </c>
      <c r="BJ352" s="79">
        <v>0</v>
      </c>
      <c r="BK352" s="79">
        <v>6</v>
      </c>
      <c r="BL352" s="79">
        <v>2206</v>
      </c>
      <c r="BM352" s="79">
        <v>113</v>
      </c>
      <c r="BN352" s="79">
        <v>65</v>
      </c>
      <c r="BO352">
        <v>3813</v>
      </c>
      <c r="BP352">
        <v>601</v>
      </c>
      <c r="BQ352">
        <v>3495</v>
      </c>
      <c r="BR352">
        <v>602</v>
      </c>
      <c r="BS352">
        <v>3499</v>
      </c>
      <c r="BT352">
        <v>581</v>
      </c>
      <c r="BU352">
        <v>3545</v>
      </c>
      <c r="BV352">
        <v>587</v>
      </c>
      <c r="BW352">
        <v>3497</v>
      </c>
      <c r="BX352">
        <v>560</v>
      </c>
      <c r="BY352">
        <v>3478</v>
      </c>
      <c r="BZ352">
        <v>580</v>
      </c>
      <c r="CA352">
        <v>3206</v>
      </c>
      <c r="CB352">
        <v>286.97709344985299</v>
      </c>
      <c r="CC352">
        <v>33.380486018464097</v>
      </c>
      <c r="CD352">
        <v>27.443419064869602</v>
      </c>
      <c r="CE352">
        <v>4371.2997530545899</v>
      </c>
      <c r="CF352">
        <v>1063.5218711597699</v>
      </c>
      <c r="CG352">
        <v>94.605871574001597</v>
      </c>
      <c r="CH352">
        <v>167</v>
      </c>
      <c r="CI352">
        <v>76.745820751139505</v>
      </c>
      <c r="CJ352">
        <v>68.822571836266903</v>
      </c>
      <c r="CK352" s="81">
        <v>1358</v>
      </c>
      <c r="CL352">
        <v>601</v>
      </c>
      <c r="CM352">
        <v>2799.3824758560099</v>
      </c>
      <c r="CN352">
        <v>0.548328849009043</v>
      </c>
      <c r="CO352">
        <v>13212</v>
      </c>
      <c r="CP352">
        <v>2283</v>
      </c>
      <c r="CQ352">
        <v>389</v>
      </c>
      <c r="CR352">
        <v>394</v>
      </c>
      <c r="CS352">
        <v>367</v>
      </c>
      <c r="CT352">
        <v>173</v>
      </c>
      <c r="CU352">
        <v>202.343496328383</v>
      </c>
      <c r="CV352">
        <v>123.272001542461</v>
      </c>
      <c r="CW352">
        <v>39.153390068077101</v>
      </c>
      <c r="CX352">
        <v>637.30188619451201</v>
      </c>
      <c r="CY352">
        <v>388.25798962417002</v>
      </c>
      <c r="CZ352">
        <v>123.317674123806</v>
      </c>
      <c r="DA352">
        <v>387903</v>
      </c>
      <c r="DE352">
        <v>1771</v>
      </c>
      <c r="DF352" t="s">
        <v>111</v>
      </c>
      <c r="DG352">
        <v>8083</v>
      </c>
      <c r="DH352">
        <v>8050</v>
      </c>
      <c r="DI352">
        <v>7982</v>
      </c>
      <c r="DJ352">
        <v>7970</v>
      </c>
      <c r="DK352">
        <v>7930</v>
      </c>
      <c r="DO352">
        <v>907</v>
      </c>
      <c r="DP352" t="s">
        <v>113</v>
      </c>
      <c r="DQ352">
        <v>8674</v>
      </c>
      <c r="DR352">
        <v>1</v>
      </c>
      <c r="DS352">
        <v>632</v>
      </c>
      <c r="DV352">
        <v>1701</v>
      </c>
      <c r="DW352" t="s">
        <v>337</v>
      </c>
      <c r="DX352">
        <v>2560.6955120553798</v>
      </c>
      <c r="DY352">
        <v>590</v>
      </c>
      <c r="DZ352">
        <v>494</v>
      </c>
      <c r="EA352">
        <v>305</v>
      </c>
      <c r="EB352">
        <v>1850</v>
      </c>
      <c r="EC352">
        <v>1125</v>
      </c>
      <c r="ED352">
        <v>434</v>
      </c>
      <c r="EE352" s="82">
        <v>0.158238756762342</v>
      </c>
      <c r="EF352" s="82">
        <v>0.44140850577478302</v>
      </c>
    </row>
    <row r="353" spans="1:136" x14ac:dyDescent="0.35">
      <c r="A353" s="72">
        <v>1729</v>
      </c>
      <c r="B353" s="72">
        <v>11</v>
      </c>
      <c r="D353" s="72" t="s">
        <v>123</v>
      </c>
      <c r="E353" s="79">
        <v>1131600000</v>
      </c>
      <c r="F353" s="79">
        <v>159950000</v>
      </c>
      <c r="G353" s="79">
        <v>185500000</v>
      </c>
      <c r="H353" s="79">
        <v>14196</v>
      </c>
      <c r="I353" s="79">
        <v>4</v>
      </c>
      <c r="J353" s="79">
        <v>185.5</v>
      </c>
      <c r="K353" s="79">
        <v>2306</v>
      </c>
      <c r="L353" s="79">
        <v>3832</v>
      </c>
      <c r="M353" s="79">
        <v>1215</v>
      </c>
      <c r="N353" s="79">
        <v>1993</v>
      </c>
      <c r="O353" s="79">
        <v>1270.9000000000001</v>
      </c>
      <c r="P353" s="79">
        <v>150.666666666667</v>
      </c>
      <c r="Q353" s="79">
        <v>1058.6666666666699</v>
      </c>
      <c r="R353" s="79">
        <v>140</v>
      </c>
      <c r="S353" s="79">
        <v>0</v>
      </c>
      <c r="T353" s="79">
        <v>331</v>
      </c>
      <c r="U353" s="79">
        <v>6756</v>
      </c>
      <c r="V353" s="79">
        <v>9200</v>
      </c>
      <c r="W353" s="79">
        <v>810</v>
      </c>
      <c r="X353" s="79">
        <v>227.7</v>
      </c>
      <c r="Y353" s="79">
        <v>1236.8</v>
      </c>
      <c r="Z353" s="79">
        <v>0</v>
      </c>
      <c r="AA353" s="79">
        <v>0</v>
      </c>
      <c r="AB353" s="79">
        <v>0</v>
      </c>
      <c r="AC353" s="79">
        <v>7317</v>
      </c>
      <c r="AD353" s="79">
        <v>7317</v>
      </c>
      <c r="AE353" s="79">
        <v>19</v>
      </c>
      <c r="AF353" s="79">
        <v>0</v>
      </c>
      <c r="AG353" s="79">
        <v>119</v>
      </c>
      <c r="AH353" s="79">
        <v>87</v>
      </c>
      <c r="AI353" s="79">
        <v>32</v>
      </c>
      <c r="AJ353" s="79">
        <v>7221</v>
      </c>
      <c r="AK353" s="79">
        <v>7221</v>
      </c>
      <c r="AL353" s="79">
        <v>0</v>
      </c>
      <c r="AM353" s="79">
        <v>0</v>
      </c>
      <c r="AN353" s="79">
        <v>0</v>
      </c>
      <c r="AO353" s="79">
        <v>0</v>
      </c>
      <c r="AP353" s="79">
        <v>0</v>
      </c>
      <c r="AQ353" s="79">
        <v>0</v>
      </c>
      <c r="AR353" s="80">
        <v>5.7190500000000005E-4</v>
      </c>
      <c r="AS353" s="80">
        <v>1.8492500000000001E-4</v>
      </c>
      <c r="AT353" s="79">
        <v>2057.9850000000001</v>
      </c>
      <c r="AU353" s="79">
        <v>0</v>
      </c>
      <c r="AV353" s="79">
        <v>544</v>
      </c>
      <c r="AW353" s="79">
        <v>1052.70229007634</v>
      </c>
      <c r="AX353" s="79">
        <v>20</v>
      </c>
      <c r="AY353" s="79">
        <v>20</v>
      </c>
      <c r="AZ353" s="79">
        <v>1524</v>
      </c>
      <c r="BA353" s="79">
        <v>1</v>
      </c>
      <c r="BB353" s="79">
        <v>0</v>
      </c>
      <c r="BC353" s="79">
        <v>0</v>
      </c>
      <c r="BD353" s="79">
        <v>0</v>
      </c>
      <c r="BE353" s="79">
        <v>0</v>
      </c>
      <c r="BF353" s="79">
        <v>0</v>
      </c>
      <c r="BG353" s="79">
        <v>0</v>
      </c>
      <c r="BH353" s="79">
        <v>0</v>
      </c>
      <c r="BI353" s="79">
        <v>0</v>
      </c>
      <c r="BJ353" s="79">
        <v>0</v>
      </c>
      <c r="BK353" s="79">
        <v>10</v>
      </c>
      <c r="BL353" s="79">
        <v>2022</v>
      </c>
      <c r="BM353" s="79">
        <v>87</v>
      </c>
      <c r="BN353" s="79">
        <v>32</v>
      </c>
      <c r="BO353">
        <v>3014</v>
      </c>
      <c r="BP353">
        <v>1780</v>
      </c>
      <c r="BQ353">
        <v>2589</v>
      </c>
      <c r="BR353">
        <v>1760</v>
      </c>
      <c r="BS353">
        <v>2519</v>
      </c>
      <c r="BT353">
        <v>1707</v>
      </c>
      <c r="BU353">
        <v>2444</v>
      </c>
      <c r="BV353">
        <v>1709</v>
      </c>
      <c r="BW353">
        <v>2367</v>
      </c>
      <c r="BX353">
        <v>1652</v>
      </c>
      <c r="BY353">
        <v>2289</v>
      </c>
      <c r="BZ353">
        <v>1620</v>
      </c>
      <c r="CA353">
        <v>2027</v>
      </c>
      <c r="CB353">
        <v>160.71758985434701</v>
      </c>
      <c r="CC353">
        <v>11.6400570712925</v>
      </c>
      <c r="CD353">
        <v>12.5887805623139</v>
      </c>
      <c r="CE353">
        <v>4403.6739157864004</v>
      </c>
      <c r="CF353">
        <v>862.00981680197106</v>
      </c>
      <c r="CG353">
        <v>33.999600397614302</v>
      </c>
      <c r="CH353">
        <v>103</v>
      </c>
      <c r="CI353">
        <v>36.791937945050201</v>
      </c>
      <c r="CJ353">
        <v>29.444708569124501</v>
      </c>
      <c r="CK353" s="81">
        <v>908</v>
      </c>
      <c r="CL353">
        <v>191</v>
      </c>
      <c r="CM353">
        <v>2593.0498924731201</v>
      </c>
      <c r="CN353">
        <v>0.25821285499434199</v>
      </c>
      <c r="CO353">
        <v>10364</v>
      </c>
      <c r="CP353">
        <v>2211</v>
      </c>
      <c r="CQ353">
        <v>406</v>
      </c>
      <c r="CR353">
        <v>366</v>
      </c>
      <c r="CS353">
        <v>400</v>
      </c>
      <c r="CT353">
        <v>175</v>
      </c>
      <c r="CU353">
        <v>236.28411933301999</v>
      </c>
      <c r="CV353">
        <v>147.43566046244999</v>
      </c>
      <c r="CW353">
        <v>44.512198206443799</v>
      </c>
      <c r="CX353">
        <v>592.81162325553396</v>
      </c>
      <c r="CY353">
        <v>369.90032783926802</v>
      </c>
      <c r="CZ353">
        <v>111.67635196102</v>
      </c>
      <c r="DA353">
        <v>0</v>
      </c>
      <c r="DE353">
        <v>1773</v>
      </c>
      <c r="DF353" t="s">
        <v>230</v>
      </c>
      <c r="DG353">
        <v>4100</v>
      </c>
      <c r="DH353">
        <v>4047</v>
      </c>
      <c r="DI353">
        <v>3990</v>
      </c>
      <c r="DJ353">
        <v>3959</v>
      </c>
      <c r="DK353">
        <v>3874</v>
      </c>
      <c r="DO353">
        <v>1729</v>
      </c>
      <c r="DP353" t="s">
        <v>123</v>
      </c>
      <c r="DQ353">
        <v>7221</v>
      </c>
      <c r="DR353">
        <v>1</v>
      </c>
      <c r="DS353">
        <v>285</v>
      </c>
      <c r="DV353">
        <v>293</v>
      </c>
      <c r="DW353" t="s">
        <v>338</v>
      </c>
      <c r="DX353">
        <v>2048.9372637944098</v>
      </c>
      <c r="DY353">
        <v>389</v>
      </c>
      <c r="DZ353">
        <v>285</v>
      </c>
      <c r="EA353">
        <v>139</v>
      </c>
      <c r="EB353">
        <v>1137</v>
      </c>
      <c r="EC353">
        <v>535</v>
      </c>
      <c r="ED353">
        <v>189</v>
      </c>
      <c r="EE353" s="82">
        <v>0.206177116526361</v>
      </c>
      <c r="EF353" s="82">
        <v>0.49444682089853698</v>
      </c>
    </row>
    <row r="354" spans="1:136" x14ac:dyDescent="0.35">
      <c r="A354" s="72">
        <v>917</v>
      </c>
      <c r="B354" s="72">
        <v>11</v>
      </c>
      <c r="D354" s="72" t="s">
        <v>139</v>
      </c>
      <c r="E354" s="79">
        <v>4687200000</v>
      </c>
      <c r="F354" s="79">
        <v>1588650000</v>
      </c>
      <c r="G354" s="79">
        <v>1624700000</v>
      </c>
      <c r="H354" s="79">
        <v>86762</v>
      </c>
      <c r="I354" s="79">
        <v>1</v>
      </c>
      <c r="J354" s="79">
        <v>1624.7</v>
      </c>
      <c r="K354" s="79">
        <v>15564</v>
      </c>
      <c r="L354" s="79">
        <v>19432</v>
      </c>
      <c r="M354" s="79">
        <v>6310</v>
      </c>
      <c r="N354" s="79">
        <v>19194</v>
      </c>
      <c r="O354" s="79">
        <v>14580.7</v>
      </c>
      <c r="P354" s="79">
        <v>4483</v>
      </c>
      <c r="Q354" s="79">
        <v>13550</v>
      </c>
      <c r="R354" s="79">
        <v>5180</v>
      </c>
      <c r="S354" s="79">
        <v>0</v>
      </c>
      <c r="T354" s="79">
        <v>4073</v>
      </c>
      <c r="U354" s="79">
        <v>46629</v>
      </c>
      <c r="V354" s="79">
        <v>103910</v>
      </c>
      <c r="W354" s="79">
        <v>149750</v>
      </c>
      <c r="X354" s="79">
        <v>5316.0969999999998</v>
      </c>
      <c r="Y354" s="79">
        <v>5925.6</v>
      </c>
      <c r="Z354" s="79">
        <v>0</v>
      </c>
      <c r="AA354" s="79">
        <v>0</v>
      </c>
      <c r="AB354" s="79">
        <v>0</v>
      </c>
      <c r="AC354" s="79">
        <v>4493</v>
      </c>
      <c r="AD354" s="79">
        <v>4493</v>
      </c>
      <c r="AE354" s="79">
        <v>60</v>
      </c>
      <c r="AF354" s="79">
        <v>0</v>
      </c>
      <c r="AG354" s="79">
        <v>514</v>
      </c>
      <c r="AH354" s="79">
        <v>464</v>
      </c>
      <c r="AI354" s="79">
        <v>50</v>
      </c>
      <c r="AJ354" s="79">
        <v>46133</v>
      </c>
      <c r="AK354" s="79">
        <v>46133</v>
      </c>
      <c r="AL354" s="79">
        <v>0</v>
      </c>
      <c r="AM354" s="79">
        <v>0</v>
      </c>
      <c r="AN354" s="79">
        <v>0</v>
      </c>
      <c r="AO354" s="79">
        <v>0</v>
      </c>
      <c r="AP354" s="79">
        <v>7754</v>
      </c>
      <c r="AQ354" s="79">
        <v>0</v>
      </c>
      <c r="AR354" s="80">
        <v>9.2766640000000004E-3</v>
      </c>
      <c r="AS354" s="80">
        <v>1.8246696999999999E-2</v>
      </c>
      <c r="AT354" s="79">
        <v>83454.596999999994</v>
      </c>
      <c r="AU354" s="79">
        <v>0</v>
      </c>
      <c r="AV354" s="79">
        <v>493</v>
      </c>
      <c r="AW354" s="79">
        <v>9394.6114649681494</v>
      </c>
      <c r="AX354" s="79">
        <v>5</v>
      </c>
      <c r="AY354" s="79">
        <v>5</v>
      </c>
      <c r="AZ354" s="79">
        <v>6630</v>
      </c>
      <c r="BA354" s="79">
        <v>1</v>
      </c>
      <c r="BB354" s="79">
        <v>0</v>
      </c>
      <c r="BC354" s="79">
        <v>0</v>
      </c>
      <c r="BD354" s="79">
        <v>0</v>
      </c>
      <c r="BE354" s="79">
        <v>0</v>
      </c>
      <c r="BF354" s="79">
        <v>0</v>
      </c>
      <c r="BG354" s="79">
        <v>0</v>
      </c>
      <c r="BH354" s="79">
        <v>0</v>
      </c>
      <c r="BI354" s="79">
        <v>0</v>
      </c>
      <c r="BJ354" s="79">
        <v>0</v>
      </c>
      <c r="BK354" s="79">
        <v>58</v>
      </c>
      <c r="BL354" s="79">
        <v>20591</v>
      </c>
      <c r="BM354" s="79">
        <v>464</v>
      </c>
      <c r="BN354" s="79">
        <v>50</v>
      </c>
      <c r="BO354">
        <v>17720</v>
      </c>
      <c r="BP354">
        <v>8100</v>
      </c>
      <c r="BQ354">
        <v>15361</v>
      </c>
      <c r="BR354">
        <v>7949</v>
      </c>
      <c r="BS354">
        <v>15072</v>
      </c>
      <c r="BT354">
        <v>7795</v>
      </c>
      <c r="BU354">
        <v>14902</v>
      </c>
      <c r="BV354">
        <v>7738</v>
      </c>
      <c r="BW354">
        <v>14674</v>
      </c>
      <c r="BX354">
        <v>7662</v>
      </c>
      <c r="BY354">
        <v>14399</v>
      </c>
      <c r="BZ354">
        <v>7551</v>
      </c>
      <c r="CA354">
        <v>13726</v>
      </c>
      <c r="CB354">
        <v>3505.1205659563898</v>
      </c>
      <c r="CC354">
        <v>430.20564003822801</v>
      </c>
      <c r="CD354">
        <v>380.22735858245397</v>
      </c>
      <c r="CE354">
        <v>23518.981027529899</v>
      </c>
      <c r="CF354">
        <v>4108.2446562408704</v>
      </c>
      <c r="CG354">
        <v>662.06756767411298</v>
      </c>
      <c r="CH354">
        <v>1334</v>
      </c>
      <c r="CI354">
        <v>1222.10949401998</v>
      </c>
      <c r="CJ354">
        <v>1191.26905271229</v>
      </c>
      <c r="CK354" s="81">
        <v>9067</v>
      </c>
      <c r="CL354">
        <v>2181</v>
      </c>
      <c r="CM354">
        <v>20168.5766350136</v>
      </c>
      <c r="CN354">
        <v>13.852092044684101</v>
      </c>
      <c r="CO354">
        <v>67330</v>
      </c>
      <c r="CP354">
        <v>10619</v>
      </c>
      <c r="CQ354">
        <v>2503</v>
      </c>
      <c r="CR354">
        <v>3136</v>
      </c>
      <c r="CS354">
        <v>2623</v>
      </c>
      <c r="CT354">
        <v>1381</v>
      </c>
      <c r="CU354">
        <v>2267.1419122667198</v>
      </c>
      <c r="CV354">
        <v>1462.1216347617301</v>
      </c>
      <c r="CW354">
        <v>576.82057575446402</v>
      </c>
      <c r="CX354">
        <v>4405.8203773035102</v>
      </c>
      <c r="CY354">
        <v>2841.3948230037699</v>
      </c>
      <c r="CZ354">
        <v>1120.9566692567801</v>
      </c>
      <c r="DA354">
        <v>92687.8</v>
      </c>
      <c r="DE354">
        <v>1774</v>
      </c>
      <c r="DF354" t="s">
        <v>86</v>
      </c>
      <c r="DG354">
        <v>6516</v>
      </c>
      <c r="DH354">
        <v>6369</v>
      </c>
      <c r="DI354">
        <v>6278</v>
      </c>
      <c r="DJ354">
        <v>6157</v>
      </c>
      <c r="DK354">
        <v>6007</v>
      </c>
      <c r="DO354">
        <v>917</v>
      </c>
      <c r="DP354" t="s">
        <v>139</v>
      </c>
      <c r="DQ354">
        <v>46133</v>
      </c>
      <c r="DR354">
        <v>1</v>
      </c>
      <c r="DS354">
        <v>1809</v>
      </c>
      <c r="DV354">
        <v>1950</v>
      </c>
      <c r="DW354" t="s">
        <v>339</v>
      </c>
      <c r="DX354">
        <v>4130.0076763298102</v>
      </c>
      <c r="DY354">
        <v>729</v>
      </c>
      <c r="DZ354">
        <v>701</v>
      </c>
      <c r="EA354">
        <v>402</v>
      </c>
      <c r="EB354">
        <v>2353</v>
      </c>
      <c r="EC354">
        <v>1410</v>
      </c>
      <c r="ED354">
        <v>548</v>
      </c>
      <c r="EE354" s="82">
        <v>0.23306513518788799</v>
      </c>
      <c r="EF354" s="82">
        <v>0.592310291432811</v>
      </c>
    </row>
    <row r="355" spans="1:136" x14ac:dyDescent="0.35">
      <c r="A355" s="72">
        <v>1507</v>
      </c>
      <c r="B355" s="72">
        <v>11</v>
      </c>
      <c r="D355" s="72" t="s">
        <v>158</v>
      </c>
      <c r="E355" s="79">
        <v>3346000000</v>
      </c>
      <c r="F355" s="79">
        <v>686000000</v>
      </c>
      <c r="G355" s="79">
        <v>755650000</v>
      </c>
      <c r="H355" s="79">
        <v>42271</v>
      </c>
      <c r="I355" s="79">
        <v>9</v>
      </c>
      <c r="J355" s="79">
        <v>755.65</v>
      </c>
      <c r="K355" s="79">
        <v>9059</v>
      </c>
      <c r="L355" s="79">
        <v>8702</v>
      </c>
      <c r="M355" s="79">
        <v>2881</v>
      </c>
      <c r="N355" s="79">
        <v>4801</v>
      </c>
      <c r="O355" s="79">
        <v>2890.8</v>
      </c>
      <c r="P355" s="79">
        <v>391.33333333333297</v>
      </c>
      <c r="Q355" s="79">
        <v>2137.3333333333298</v>
      </c>
      <c r="R355" s="79">
        <v>550</v>
      </c>
      <c r="S355" s="79">
        <v>0</v>
      </c>
      <c r="T355" s="79">
        <v>910</v>
      </c>
      <c r="U355" s="79">
        <v>18364</v>
      </c>
      <c r="V355" s="79">
        <v>38510</v>
      </c>
      <c r="W355" s="79">
        <v>17350</v>
      </c>
      <c r="X355" s="79">
        <v>178.2</v>
      </c>
      <c r="Y355" s="79">
        <v>1784</v>
      </c>
      <c r="Z355" s="79">
        <v>0</v>
      </c>
      <c r="AA355" s="79">
        <v>0</v>
      </c>
      <c r="AB355" s="79">
        <v>0</v>
      </c>
      <c r="AC355" s="79">
        <v>18863</v>
      </c>
      <c r="AD355" s="79">
        <v>18863</v>
      </c>
      <c r="AE355" s="79">
        <v>329</v>
      </c>
      <c r="AF355" s="79">
        <v>0</v>
      </c>
      <c r="AG355" s="79">
        <v>515</v>
      </c>
      <c r="AH355" s="79">
        <v>276</v>
      </c>
      <c r="AI355" s="79">
        <v>240</v>
      </c>
      <c r="AJ355" s="79">
        <v>19102</v>
      </c>
      <c r="AK355" s="79">
        <v>19102</v>
      </c>
      <c r="AL355" s="79">
        <v>0</v>
      </c>
      <c r="AM355" s="79">
        <v>0</v>
      </c>
      <c r="AN355" s="79">
        <v>0</v>
      </c>
      <c r="AO355" s="79">
        <v>0</v>
      </c>
      <c r="AP355" s="79">
        <v>0</v>
      </c>
      <c r="AQ355" s="79">
        <v>0</v>
      </c>
      <c r="AR355" s="80">
        <v>5.0099699999999999E-4</v>
      </c>
      <c r="AS355" s="80">
        <v>2.9053999999999999E-4</v>
      </c>
      <c r="AT355" s="79">
        <v>10697.12</v>
      </c>
      <c r="AU355" s="79">
        <v>0</v>
      </c>
      <c r="AV355" s="79">
        <v>3025</v>
      </c>
      <c r="AW355" s="79">
        <v>6662.6602230095896</v>
      </c>
      <c r="AX355" s="79">
        <v>16</v>
      </c>
      <c r="AY355" s="79">
        <v>16</v>
      </c>
      <c r="AZ355" s="79">
        <v>4163</v>
      </c>
      <c r="BA355" s="79">
        <v>1</v>
      </c>
      <c r="BB355" s="79">
        <v>0</v>
      </c>
      <c r="BC355" s="79">
        <v>0</v>
      </c>
      <c r="BD355" s="79">
        <v>0</v>
      </c>
      <c r="BE355" s="79">
        <v>0</v>
      </c>
      <c r="BF355" s="79">
        <v>0</v>
      </c>
      <c r="BG355" s="79">
        <v>0</v>
      </c>
      <c r="BH355" s="79">
        <v>0</v>
      </c>
      <c r="BI355" s="79">
        <v>0</v>
      </c>
      <c r="BJ355" s="79">
        <v>0</v>
      </c>
      <c r="BK355" s="79">
        <v>21</v>
      </c>
      <c r="BL355" s="79">
        <v>5215</v>
      </c>
      <c r="BM355" s="79">
        <v>276</v>
      </c>
      <c r="BN355" s="79">
        <v>240</v>
      </c>
      <c r="BO355">
        <v>9383</v>
      </c>
      <c r="BP355">
        <v>2266</v>
      </c>
      <c r="BQ355">
        <v>8434</v>
      </c>
      <c r="BR355">
        <v>2298</v>
      </c>
      <c r="BS355">
        <v>9287</v>
      </c>
      <c r="BT355">
        <v>2196</v>
      </c>
      <c r="BU355">
        <v>9212</v>
      </c>
      <c r="BV355">
        <v>2203</v>
      </c>
      <c r="BW355">
        <v>9045</v>
      </c>
      <c r="BX355">
        <v>2172</v>
      </c>
      <c r="BY355">
        <v>8833</v>
      </c>
      <c r="BZ355">
        <v>2154</v>
      </c>
      <c r="CA355">
        <v>8003</v>
      </c>
      <c r="CB355">
        <v>560.79543375048104</v>
      </c>
      <c r="CC355">
        <v>55.530763286297898</v>
      </c>
      <c r="CD355">
        <v>51.546728154118803</v>
      </c>
      <c r="CE355">
        <v>12116.0858408325</v>
      </c>
      <c r="CF355">
        <v>2970.73350015804</v>
      </c>
      <c r="CG355">
        <v>135.95745524454</v>
      </c>
      <c r="CH355">
        <v>325</v>
      </c>
      <c r="CI355">
        <v>122.582639595747</v>
      </c>
      <c r="CJ355">
        <v>99.331546980179098</v>
      </c>
      <c r="CK355" s="81">
        <v>1746</v>
      </c>
      <c r="CL355">
        <v>426</v>
      </c>
      <c r="CM355">
        <v>6690.3303179364102</v>
      </c>
      <c r="CN355">
        <v>0.20561831480496201</v>
      </c>
      <c r="CO355">
        <v>33569</v>
      </c>
      <c r="CP355">
        <v>4893</v>
      </c>
      <c r="CQ355">
        <v>928</v>
      </c>
      <c r="CR355">
        <v>835</v>
      </c>
      <c r="CS355">
        <v>856</v>
      </c>
      <c r="CT355">
        <v>453</v>
      </c>
      <c r="CU355">
        <v>452.600681984186</v>
      </c>
      <c r="CV355">
        <v>291.59529059964098</v>
      </c>
      <c r="CW355">
        <v>95.786102205279093</v>
      </c>
      <c r="CX355">
        <v>1308.71469742307</v>
      </c>
      <c r="CY355">
        <v>843.16055564501903</v>
      </c>
      <c r="CZ355">
        <v>276.96971028712898</v>
      </c>
      <c r="DA355">
        <v>65858</v>
      </c>
      <c r="DE355">
        <v>1783</v>
      </c>
      <c r="DF355" t="s">
        <v>340</v>
      </c>
      <c r="DG355">
        <v>23188</v>
      </c>
      <c r="DH355">
        <v>22955</v>
      </c>
      <c r="DI355">
        <v>22601</v>
      </c>
      <c r="DJ355">
        <v>22237</v>
      </c>
      <c r="DK355">
        <v>22014</v>
      </c>
      <c r="DO355">
        <v>1507</v>
      </c>
      <c r="DP355" t="s">
        <v>158</v>
      </c>
      <c r="DQ355">
        <v>19102</v>
      </c>
      <c r="DR355">
        <v>1</v>
      </c>
      <c r="DS355">
        <v>560</v>
      </c>
      <c r="DV355">
        <v>1783</v>
      </c>
      <c r="DW355" t="s">
        <v>340</v>
      </c>
      <c r="DX355">
        <v>11922.312707556801</v>
      </c>
      <c r="DY355">
        <v>2039</v>
      </c>
      <c r="DZ355">
        <v>1990</v>
      </c>
      <c r="EA355">
        <v>1063</v>
      </c>
      <c r="EB355">
        <v>7095</v>
      </c>
      <c r="EC355">
        <v>4438</v>
      </c>
      <c r="ED355">
        <v>1568</v>
      </c>
      <c r="EE355" s="82">
        <v>0.17002882559242499</v>
      </c>
      <c r="EF355" s="82">
        <v>0.41502120714199497</v>
      </c>
    </row>
    <row r="356" spans="1:136" x14ac:dyDescent="0.35">
      <c r="A356" s="72">
        <v>928</v>
      </c>
      <c r="B356" s="72">
        <v>11</v>
      </c>
      <c r="D356" s="72" t="s">
        <v>167</v>
      </c>
      <c r="E356" s="79">
        <v>2531200000</v>
      </c>
      <c r="F356" s="79">
        <v>569100000</v>
      </c>
      <c r="G356" s="79">
        <v>580650000</v>
      </c>
      <c r="H356" s="79">
        <v>45823</v>
      </c>
      <c r="I356" s="79">
        <v>1</v>
      </c>
      <c r="J356" s="79">
        <v>580.65</v>
      </c>
      <c r="K356" s="79">
        <v>7696</v>
      </c>
      <c r="L356" s="79">
        <v>11337</v>
      </c>
      <c r="M356" s="79">
        <v>3704</v>
      </c>
      <c r="N356" s="79">
        <v>9580</v>
      </c>
      <c r="O356" s="79">
        <v>7150.2</v>
      </c>
      <c r="P356" s="79">
        <v>1846.6666666666699</v>
      </c>
      <c r="Q356" s="79">
        <v>6856.6666666666697</v>
      </c>
      <c r="R356" s="79">
        <v>1725</v>
      </c>
      <c r="S356" s="79">
        <v>0</v>
      </c>
      <c r="T356" s="79">
        <v>1870</v>
      </c>
      <c r="U356" s="79">
        <v>23748</v>
      </c>
      <c r="V356" s="79">
        <v>48410</v>
      </c>
      <c r="W356" s="79">
        <v>52010</v>
      </c>
      <c r="X356" s="79">
        <v>775.84</v>
      </c>
      <c r="Y356" s="79">
        <v>345.6</v>
      </c>
      <c r="Z356" s="79">
        <v>0</v>
      </c>
      <c r="AA356" s="79">
        <v>0</v>
      </c>
      <c r="AB356" s="79">
        <v>0</v>
      </c>
      <c r="AC356" s="79">
        <v>2191</v>
      </c>
      <c r="AD356" s="79">
        <v>2191</v>
      </c>
      <c r="AE356" s="79">
        <v>24</v>
      </c>
      <c r="AF356" s="79">
        <v>0</v>
      </c>
      <c r="AG356" s="79">
        <v>293</v>
      </c>
      <c r="AH356" s="79">
        <v>245</v>
      </c>
      <c r="AI356" s="79">
        <v>47</v>
      </c>
      <c r="AJ356" s="79">
        <v>24298</v>
      </c>
      <c r="AK356" s="79">
        <v>24298</v>
      </c>
      <c r="AL356" s="79">
        <v>0</v>
      </c>
      <c r="AM356" s="79">
        <v>0</v>
      </c>
      <c r="AN356" s="79">
        <v>0</v>
      </c>
      <c r="AO356" s="79">
        <v>0</v>
      </c>
      <c r="AP356" s="79">
        <v>7506</v>
      </c>
      <c r="AQ356" s="79">
        <v>0</v>
      </c>
      <c r="AR356" s="80">
        <v>3.0165669999999999E-3</v>
      </c>
      <c r="AS356" s="80">
        <v>4.7433509999999998E-3</v>
      </c>
      <c r="AT356" s="79">
        <v>42667.288</v>
      </c>
      <c r="AU356" s="79">
        <v>0</v>
      </c>
      <c r="AV356" s="79">
        <v>229</v>
      </c>
      <c r="AW356" s="79">
        <v>4737.4568848758499</v>
      </c>
      <c r="AX356" s="79">
        <v>2</v>
      </c>
      <c r="AY356" s="79">
        <v>2</v>
      </c>
      <c r="AZ356" s="79">
        <v>3025</v>
      </c>
      <c r="BA356" s="79">
        <v>1</v>
      </c>
      <c r="BB356" s="79">
        <v>0</v>
      </c>
      <c r="BC356" s="79">
        <v>0</v>
      </c>
      <c r="BD356" s="79">
        <v>0</v>
      </c>
      <c r="BE356" s="79">
        <v>0</v>
      </c>
      <c r="BF356" s="79">
        <v>0</v>
      </c>
      <c r="BG356" s="79">
        <v>0</v>
      </c>
      <c r="BH356" s="79">
        <v>0</v>
      </c>
      <c r="BI356" s="79">
        <v>0</v>
      </c>
      <c r="BJ356" s="79">
        <v>0</v>
      </c>
      <c r="BK356" s="79">
        <v>27</v>
      </c>
      <c r="BL356" s="79">
        <v>9068</v>
      </c>
      <c r="BM356" s="79">
        <v>245</v>
      </c>
      <c r="BN356" s="79">
        <v>47</v>
      </c>
      <c r="BO356">
        <v>8799</v>
      </c>
      <c r="BP356">
        <v>1853</v>
      </c>
      <c r="BQ356">
        <v>7545</v>
      </c>
      <c r="BR356">
        <v>1654</v>
      </c>
      <c r="BS356">
        <v>7339</v>
      </c>
      <c r="BT356">
        <v>1347</v>
      </c>
      <c r="BU356">
        <v>7250</v>
      </c>
      <c r="BV356">
        <v>1154</v>
      </c>
      <c r="BW356">
        <v>7277</v>
      </c>
      <c r="BX356">
        <v>847</v>
      </c>
      <c r="BY356">
        <v>7278</v>
      </c>
      <c r="BZ356">
        <v>792</v>
      </c>
      <c r="CA356">
        <v>6910</v>
      </c>
      <c r="CB356">
        <v>1626.23502620112</v>
      </c>
      <c r="CC356">
        <v>341.15245666296403</v>
      </c>
      <c r="CD356">
        <v>141.166579833832</v>
      </c>
      <c r="CE356">
        <v>11670.8128504674</v>
      </c>
      <c r="CF356">
        <v>2112.9551423611001</v>
      </c>
      <c r="CG356">
        <v>175.69245964642599</v>
      </c>
      <c r="CH356">
        <v>571</v>
      </c>
      <c r="CI356">
        <v>530.91121205037803</v>
      </c>
      <c r="CJ356">
        <v>517.58831087171905</v>
      </c>
      <c r="CK356" s="81">
        <v>5010</v>
      </c>
      <c r="CL356">
        <v>1156</v>
      </c>
      <c r="CM356">
        <v>9999.5955613497608</v>
      </c>
      <c r="CN356">
        <v>5.6149856655926298</v>
      </c>
      <c r="CO356">
        <v>34486</v>
      </c>
      <c r="CP356">
        <v>6387</v>
      </c>
      <c r="CQ356">
        <v>1246</v>
      </c>
      <c r="CR356">
        <v>1586</v>
      </c>
      <c r="CS356">
        <v>1382</v>
      </c>
      <c r="CT356">
        <v>611</v>
      </c>
      <c r="CU356">
        <v>1210.3999908298699</v>
      </c>
      <c r="CV356">
        <v>768.08752153317596</v>
      </c>
      <c r="CW356">
        <v>246.90629523614399</v>
      </c>
      <c r="CX356">
        <v>2615.8022204132299</v>
      </c>
      <c r="CY356">
        <v>1659.91825803028</v>
      </c>
      <c r="CZ356">
        <v>533.59058179594001</v>
      </c>
      <c r="DA356">
        <v>58381.9</v>
      </c>
      <c r="DE356">
        <v>1842</v>
      </c>
      <c r="DF356" t="s">
        <v>202</v>
      </c>
      <c r="DG356">
        <v>4421</v>
      </c>
      <c r="DH356">
        <v>4396</v>
      </c>
      <c r="DI356">
        <v>4377</v>
      </c>
      <c r="DJ356">
        <v>4292</v>
      </c>
      <c r="DK356">
        <v>4243</v>
      </c>
      <c r="DO356">
        <v>928</v>
      </c>
      <c r="DP356" t="s">
        <v>167</v>
      </c>
      <c r="DQ356">
        <v>24298</v>
      </c>
      <c r="DR356">
        <v>1</v>
      </c>
      <c r="DS356">
        <v>1756</v>
      </c>
      <c r="DV356">
        <v>98</v>
      </c>
      <c r="DW356" t="s">
        <v>341</v>
      </c>
      <c r="DX356">
        <v>3966.0437812723399</v>
      </c>
      <c r="DY356">
        <v>667</v>
      </c>
      <c r="DZ356">
        <v>606</v>
      </c>
      <c r="EA356">
        <v>323</v>
      </c>
      <c r="EB356">
        <v>2040</v>
      </c>
      <c r="EC356">
        <v>1311</v>
      </c>
      <c r="ED356">
        <v>456</v>
      </c>
      <c r="EE356" s="82">
        <v>0.233533242054692</v>
      </c>
      <c r="EF356" s="82">
        <v>0.553480771644976</v>
      </c>
    </row>
    <row r="357" spans="1:136" x14ac:dyDescent="0.35">
      <c r="A357" s="72">
        <v>882</v>
      </c>
      <c r="B357" s="72">
        <v>11</v>
      </c>
      <c r="D357" s="72" t="s">
        <v>173</v>
      </c>
      <c r="E357" s="79">
        <v>2290400000</v>
      </c>
      <c r="F357" s="79">
        <v>312550000</v>
      </c>
      <c r="G357" s="79">
        <v>335650000</v>
      </c>
      <c r="H357" s="79">
        <v>37612</v>
      </c>
      <c r="I357" s="79">
        <v>1</v>
      </c>
      <c r="J357" s="79">
        <v>335.65</v>
      </c>
      <c r="K357" s="79">
        <v>6770</v>
      </c>
      <c r="L357" s="79">
        <v>9039</v>
      </c>
      <c r="M357" s="79">
        <v>2719</v>
      </c>
      <c r="N357" s="79">
        <v>6281</v>
      </c>
      <c r="O357" s="79">
        <v>4424.7</v>
      </c>
      <c r="P357" s="79">
        <v>1079</v>
      </c>
      <c r="Q357" s="79">
        <v>4769</v>
      </c>
      <c r="R357" s="79">
        <v>835</v>
      </c>
      <c r="S357" s="79">
        <v>0</v>
      </c>
      <c r="T357" s="79">
        <v>1363</v>
      </c>
      <c r="U357" s="79">
        <v>18477</v>
      </c>
      <c r="V357" s="79">
        <v>37520</v>
      </c>
      <c r="W357" s="79">
        <v>34590</v>
      </c>
      <c r="X357" s="79">
        <v>199.98</v>
      </c>
      <c r="Y357" s="79">
        <v>1651.2</v>
      </c>
      <c r="Z357" s="79">
        <v>0</v>
      </c>
      <c r="AA357" s="79">
        <v>0</v>
      </c>
      <c r="AB357" s="79">
        <v>153.30000000000001</v>
      </c>
      <c r="AC357" s="79">
        <v>2459</v>
      </c>
      <c r="AD357" s="79">
        <v>2459</v>
      </c>
      <c r="AE357" s="79">
        <v>7</v>
      </c>
      <c r="AF357" s="79">
        <v>0</v>
      </c>
      <c r="AG357" s="79">
        <v>216</v>
      </c>
      <c r="AH357" s="79">
        <v>204</v>
      </c>
      <c r="AI357" s="79">
        <v>12</v>
      </c>
      <c r="AJ357" s="79">
        <v>18563</v>
      </c>
      <c r="AK357" s="79">
        <v>18563</v>
      </c>
      <c r="AL357" s="79">
        <v>0</v>
      </c>
      <c r="AM357" s="79">
        <v>0</v>
      </c>
      <c r="AN357" s="79">
        <v>0</v>
      </c>
      <c r="AO357" s="79">
        <v>0</v>
      </c>
      <c r="AP357" s="79">
        <v>2575</v>
      </c>
      <c r="AQ357" s="79">
        <v>0</v>
      </c>
      <c r="AR357" s="80">
        <v>1.2622429999999999E-3</v>
      </c>
      <c r="AS357" s="80">
        <v>1.655636E-3</v>
      </c>
      <c r="AT357" s="79">
        <v>27009.165000000001</v>
      </c>
      <c r="AU357" s="79">
        <v>0</v>
      </c>
      <c r="AV357" s="79">
        <v>171</v>
      </c>
      <c r="AW357" s="79">
        <v>2608.1313868613101</v>
      </c>
      <c r="AX357" s="79">
        <v>3</v>
      </c>
      <c r="AY357" s="79">
        <v>3</v>
      </c>
      <c r="AZ357" s="79">
        <v>2460</v>
      </c>
      <c r="BA357" s="79">
        <v>1</v>
      </c>
      <c r="BB357" s="79">
        <v>0</v>
      </c>
      <c r="BC357" s="79">
        <v>0</v>
      </c>
      <c r="BD357" s="79">
        <v>0</v>
      </c>
      <c r="BE357" s="79">
        <v>0</v>
      </c>
      <c r="BF357" s="79">
        <v>0</v>
      </c>
      <c r="BG357" s="79">
        <v>0</v>
      </c>
      <c r="BH357" s="79">
        <v>0</v>
      </c>
      <c r="BI357" s="79">
        <v>0</v>
      </c>
      <c r="BJ357" s="79">
        <v>0</v>
      </c>
      <c r="BK357" s="79">
        <v>1</v>
      </c>
      <c r="BL357" s="79">
        <v>5990</v>
      </c>
      <c r="BM357" s="79">
        <v>204</v>
      </c>
      <c r="BN357" s="79">
        <v>12</v>
      </c>
      <c r="BO357">
        <v>7906</v>
      </c>
      <c r="BP357">
        <v>1737</v>
      </c>
      <c r="BQ357">
        <v>6903</v>
      </c>
      <c r="BR357">
        <v>1640</v>
      </c>
      <c r="BS357">
        <v>6710</v>
      </c>
      <c r="BT357">
        <v>1758</v>
      </c>
      <c r="BU357">
        <v>6532</v>
      </c>
      <c r="BV357">
        <v>1787</v>
      </c>
      <c r="BW357">
        <v>6486</v>
      </c>
      <c r="BX357">
        <v>1953</v>
      </c>
      <c r="BY357">
        <v>6352</v>
      </c>
      <c r="BZ357">
        <v>1913</v>
      </c>
      <c r="CA357">
        <v>5998</v>
      </c>
      <c r="CB357">
        <v>1036.0079560123099</v>
      </c>
      <c r="CC357">
        <v>132.32905430679301</v>
      </c>
      <c r="CD357">
        <v>80.064078963540595</v>
      </c>
      <c r="CE357">
        <v>10226.5532581153</v>
      </c>
      <c r="CF357">
        <v>2056.95849133305</v>
      </c>
      <c r="CG357">
        <v>227.124339996332</v>
      </c>
      <c r="CH357">
        <v>435</v>
      </c>
      <c r="CI357">
        <v>311.76693610248998</v>
      </c>
      <c r="CJ357">
        <v>313.958639562352</v>
      </c>
      <c r="CK357" s="81">
        <v>3690</v>
      </c>
      <c r="CL357">
        <v>900</v>
      </c>
      <c r="CM357">
        <v>8186.1943253703403</v>
      </c>
      <c r="CN357">
        <v>3.0070135203106898</v>
      </c>
      <c r="CO357">
        <v>28573</v>
      </c>
      <c r="CP357">
        <v>5349</v>
      </c>
      <c r="CQ357">
        <v>971</v>
      </c>
      <c r="CR357">
        <v>1134</v>
      </c>
      <c r="CS357">
        <v>1029</v>
      </c>
      <c r="CT357">
        <v>471</v>
      </c>
      <c r="CU357">
        <v>795.93603964343004</v>
      </c>
      <c r="CV357">
        <v>468.16962619338</v>
      </c>
      <c r="CW357">
        <v>154.705747148424</v>
      </c>
      <c r="CX357">
        <v>1800.6320952798001</v>
      </c>
      <c r="CY357">
        <v>1059.1319062981499</v>
      </c>
      <c r="CZ357">
        <v>349.98808919933703</v>
      </c>
      <c r="DA357">
        <v>108663.9</v>
      </c>
      <c r="DE357">
        <v>1859</v>
      </c>
      <c r="DF357" t="s">
        <v>45</v>
      </c>
      <c r="DG357">
        <v>9975</v>
      </c>
      <c r="DH357">
        <v>9830</v>
      </c>
      <c r="DI357">
        <v>9674</v>
      </c>
      <c r="DJ357">
        <v>9591</v>
      </c>
      <c r="DK357">
        <v>9366</v>
      </c>
      <c r="DO357">
        <v>882</v>
      </c>
      <c r="DP357" t="s">
        <v>173</v>
      </c>
      <c r="DQ357">
        <v>18563</v>
      </c>
      <c r="DR357">
        <v>1</v>
      </c>
      <c r="DS357">
        <v>1455</v>
      </c>
      <c r="DV357">
        <v>614</v>
      </c>
      <c r="DW357" t="s">
        <v>342</v>
      </c>
      <c r="DX357">
        <v>1540.6879079888099</v>
      </c>
      <c r="DY357">
        <v>373</v>
      </c>
      <c r="DZ357">
        <v>399</v>
      </c>
      <c r="EA357">
        <v>292</v>
      </c>
      <c r="EB357">
        <v>1300</v>
      </c>
      <c r="EC357">
        <v>814</v>
      </c>
      <c r="ED357">
        <v>421</v>
      </c>
      <c r="EE357" s="82">
        <v>0.11828958741694701</v>
      </c>
      <c r="EF357" s="82">
        <v>0.248115023516807</v>
      </c>
    </row>
    <row r="358" spans="1:136" x14ac:dyDescent="0.35">
      <c r="A358" s="72">
        <v>1640</v>
      </c>
      <c r="B358" s="72">
        <v>11</v>
      </c>
      <c r="D358" s="72" t="s">
        <v>183</v>
      </c>
      <c r="E358" s="79">
        <v>2690000000</v>
      </c>
      <c r="F358" s="79">
        <v>513450000</v>
      </c>
      <c r="G358" s="79">
        <v>604450000</v>
      </c>
      <c r="H358" s="79">
        <v>35857</v>
      </c>
      <c r="I358" s="79">
        <v>8</v>
      </c>
      <c r="J358" s="79">
        <v>604.45000000000005</v>
      </c>
      <c r="K358" s="79">
        <v>7061</v>
      </c>
      <c r="L358" s="79">
        <v>8399</v>
      </c>
      <c r="M358" s="79">
        <v>2612</v>
      </c>
      <c r="N358" s="79">
        <v>4235</v>
      </c>
      <c r="O358" s="79">
        <v>2611.6999999999998</v>
      </c>
      <c r="P358" s="79">
        <v>404</v>
      </c>
      <c r="Q358" s="79">
        <v>2201</v>
      </c>
      <c r="R358" s="79">
        <v>620</v>
      </c>
      <c r="S358" s="79">
        <v>0</v>
      </c>
      <c r="T358" s="79">
        <v>826</v>
      </c>
      <c r="U358" s="79">
        <v>16376</v>
      </c>
      <c r="V358" s="79">
        <v>29820</v>
      </c>
      <c r="W358" s="79">
        <v>6490</v>
      </c>
      <c r="X358" s="79">
        <v>975.72</v>
      </c>
      <c r="Y358" s="79">
        <v>1706.4</v>
      </c>
      <c r="Z358" s="79">
        <v>0</v>
      </c>
      <c r="AA358" s="79">
        <v>0</v>
      </c>
      <c r="AB358" s="79">
        <v>0</v>
      </c>
      <c r="AC358" s="79">
        <v>16263</v>
      </c>
      <c r="AD358" s="79">
        <v>16263</v>
      </c>
      <c r="AE358" s="79">
        <v>228</v>
      </c>
      <c r="AF358" s="79">
        <v>0</v>
      </c>
      <c r="AG358" s="79">
        <v>431</v>
      </c>
      <c r="AH358" s="79">
        <v>244</v>
      </c>
      <c r="AI358" s="79">
        <v>186</v>
      </c>
      <c r="AJ358" s="79">
        <v>16233</v>
      </c>
      <c r="AK358" s="79">
        <v>16233</v>
      </c>
      <c r="AL358" s="79">
        <v>0</v>
      </c>
      <c r="AM358" s="79">
        <v>0</v>
      </c>
      <c r="AN358" s="79">
        <v>0</v>
      </c>
      <c r="AO358" s="79">
        <v>0</v>
      </c>
      <c r="AP358" s="79">
        <v>0</v>
      </c>
      <c r="AQ358" s="79">
        <v>0</v>
      </c>
      <c r="AR358" s="80">
        <v>5.8512400000000002E-4</v>
      </c>
      <c r="AS358" s="80">
        <v>2.6229600000000002E-4</v>
      </c>
      <c r="AT358" s="79">
        <v>6184.7730000000001</v>
      </c>
      <c r="AU358" s="79">
        <v>0</v>
      </c>
      <c r="AV358" s="79">
        <v>1998</v>
      </c>
      <c r="AW358" s="79">
        <v>4344.3263598326403</v>
      </c>
      <c r="AX358" s="79">
        <v>19</v>
      </c>
      <c r="AY358" s="79">
        <v>19</v>
      </c>
      <c r="AZ358" s="79">
        <v>3583</v>
      </c>
      <c r="BA358" s="79">
        <v>1</v>
      </c>
      <c r="BB358" s="79">
        <v>0</v>
      </c>
      <c r="BC358" s="79">
        <v>0</v>
      </c>
      <c r="BD358" s="79">
        <v>0</v>
      </c>
      <c r="BE358" s="79">
        <v>0</v>
      </c>
      <c r="BF358" s="79">
        <v>0</v>
      </c>
      <c r="BG358" s="79">
        <v>0</v>
      </c>
      <c r="BH358" s="79">
        <v>0</v>
      </c>
      <c r="BI358" s="79">
        <v>0</v>
      </c>
      <c r="BJ358" s="79">
        <v>0</v>
      </c>
      <c r="BK358" s="79">
        <v>16</v>
      </c>
      <c r="BL358" s="79">
        <v>4553</v>
      </c>
      <c r="BM358" s="79">
        <v>244</v>
      </c>
      <c r="BN358" s="79">
        <v>186</v>
      </c>
      <c r="BO358">
        <v>8864</v>
      </c>
      <c r="BP358">
        <v>2241</v>
      </c>
      <c r="BQ358">
        <v>7802</v>
      </c>
      <c r="BR358">
        <v>2149</v>
      </c>
      <c r="BS358">
        <v>7667</v>
      </c>
      <c r="BT358">
        <v>2116</v>
      </c>
      <c r="BU358">
        <v>7474</v>
      </c>
      <c r="BV358">
        <v>2098</v>
      </c>
      <c r="BW358">
        <v>7174</v>
      </c>
      <c r="BX358">
        <v>2064</v>
      </c>
      <c r="BY358">
        <v>7013</v>
      </c>
      <c r="BZ358">
        <v>2286</v>
      </c>
      <c r="CA358">
        <v>6187</v>
      </c>
      <c r="CB358">
        <v>443.164509807179</v>
      </c>
      <c r="CC358">
        <v>85.8623857525522</v>
      </c>
      <c r="CD358">
        <v>36.040304435039097</v>
      </c>
      <c r="CE358">
        <v>10663.7347965995</v>
      </c>
      <c r="CF358">
        <v>2460.7016373075498</v>
      </c>
      <c r="CG358">
        <v>89.061450074515705</v>
      </c>
      <c r="CH358">
        <v>301</v>
      </c>
      <c r="CI358">
        <v>103.69095817460099</v>
      </c>
      <c r="CJ358">
        <v>82.303281783577006</v>
      </c>
      <c r="CK358" s="81">
        <v>1797</v>
      </c>
      <c r="CL358">
        <v>416</v>
      </c>
      <c r="CM358">
        <v>5252.7429275041504</v>
      </c>
      <c r="CN358">
        <v>0.34741584017124799</v>
      </c>
      <c r="CO358">
        <v>27458</v>
      </c>
      <c r="CP358">
        <v>4797</v>
      </c>
      <c r="CQ358">
        <v>990</v>
      </c>
      <c r="CR358">
        <v>792</v>
      </c>
      <c r="CS358">
        <v>868</v>
      </c>
      <c r="CT358">
        <v>456</v>
      </c>
      <c r="CU358">
        <v>470.98931739173003</v>
      </c>
      <c r="CV358">
        <v>287.38876694965199</v>
      </c>
      <c r="CW358">
        <v>101.05271312675301</v>
      </c>
      <c r="CX358">
        <v>1258.3905030081601</v>
      </c>
      <c r="CY358">
        <v>767.84606709005197</v>
      </c>
      <c r="CZ358">
        <v>269.99290600926798</v>
      </c>
      <c r="DA358">
        <v>25050.7</v>
      </c>
      <c r="DE358">
        <v>1876</v>
      </c>
      <c r="DF358" t="s">
        <v>62</v>
      </c>
      <c r="DG358">
        <v>8330</v>
      </c>
      <c r="DH358">
        <v>8175</v>
      </c>
      <c r="DI358">
        <v>8016</v>
      </c>
      <c r="DJ358">
        <v>7793</v>
      </c>
      <c r="DK358">
        <v>7613</v>
      </c>
      <c r="DO358">
        <v>1640</v>
      </c>
      <c r="DP358" t="s">
        <v>183</v>
      </c>
      <c r="DQ358">
        <v>16233</v>
      </c>
      <c r="DR358">
        <v>1</v>
      </c>
      <c r="DS358">
        <v>381</v>
      </c>
      <c r="DV358">
        <v>189</v>
      </c>
      <c r="DW358" t="s">
        <v>343</v>
      </c>
      <c r="DX358">
        <v>2372.2635774258702</v>
      </c>
      <c r="DY358">
        <v>421</v>
      </c>
      <c r="DZ358">
        <v>457</v>
      </c>
      <c r="EA358">
        <v>260</v>
      </c>
      <c r="EB358">
        <v>1665</v>
      </c>
      <c r="EC358">
        <v>1042</v>
      </c>
      <c r="ED358">
        <v>375</v>
      </c>
      <c r="EE358" s="82">
        <v>0.13381269243306401</v>
      </c>
      <c r="EF358" s="82">
        <v>0.41136582378160802</v>
      </c>
    </row>
    <row r="359" spans="1:136" x14ac:dyDescent="0.35">
      <c r="A359" s="72">
        <v>1641</v>
      </c>
      <c r="B359" s="72">
        <v>11</v>
      </c>
      <c r="D359" s="72" t="s">
        <v>193</v>
      </c>
      <c r="E359" s="79">
        <v>1756800000</v>
      </c>
      <c r="F359" s="79">
        <v>298550000</v>
      </c>
      <c r="G359" s="79">
        <v>320950000</v>
      </c>
      <c r="H359" s="79">
        <v>23697</v>
      </c>
      <c r="I359" s="79">
        <v>6</v>
      </c>
      <c r="J359" s="79">
        <v>320.95</v>
      </c>
      <c r="K359" s="79">
        <v>4175</v>
      </c>
      <c r="L359" s="79">
        <v>6013</v>
      </c>
      <c r="M359" s="79">
        <v>1878</v>
      </c>
      <c r="N359" s="79">
        <v>3128</v>
      </c>
      <c r="O359" s="79">
        <v>1944.7</v>
      </c>
      <c r="P359" s="79">
        <v>299.66666666666703</v>
      </c>
      <c r="Q359" s="79">
        <v>1969.6666666666699</v>
      </c>
      <c r="R359" s="79">
        <v>315</v>
      </c>
      <c r="S359" s="79">
        <v>0</v>
      </c>
      <c r="T359" s="79">
        <v>567</v>
      </c>
      <c r="U359" s="79">
        <v>11317</v>
      </c>
      <c r="V359" s="79">
        <v>20720</v>
      </c>
      <c r="W359" s="79">
        <v>5180</v>
      </c>
      <c r="X359" s="79">
        <v>541.52</v>
      </c>
      <c r="Y359" s="79">
        <v>0</v>
      </c>
      <c r="Z359" s="79">
        <v>0</v>
      </c>
      <c r="AA359" s="79">
        <v>0</v>
      </c>
      <c r="AB359" s="79">
        <v>0</v>
      </c>
      <c r="AC359" s="79">
        <v>4567</v>
      </c>
      <c r="AD359" s="79">
        <v>4567</v>
      </c>
      <c r="AE359" s="79">
        <v>1245</v>
      </c>
      <c r="AF359" s="79">
        <v>0</v>
      </c>
      <c r="AG359" s="79">
        <v>204</v>
      </c>
      <c r="AH359" s="79">
        <v>168</v>
      </c>
      <c r="AI359" s="79">
        <v>36</v>
      </c>
      <c r="AJ359" s="79">
        <v>11833</v>
      </c>
      <c r="AK359" s="79">
        <v>11833</v>
      </c>
      <c r="AL359" s="79">
        <v>24</v>
      </c>
      <c r="AM359" s="79">
        <v>0</v>
      </c>
      <c r="AN359" s="79">
        <v>0</v>
      </c>
      <c r="AO359" s="79">
        <v>0</v>
      </c>
      <c r="AP359" s="79">
        <v>0</v>
      </c>
      <c r="AQ359" s="79">
        <v>0</v>
      </c>
      <c r="AR359" s="80">
        <v>5.77624E-4</v>
      </c>
      <c r="AS359" s="80">
        <v>2.26973E-4</v>
      </c>
      <c r="AT359" s="79">
        <v>5135.5219999999999</v>
      </c>
      <c r="AU359" s="79">
        <v>0</v>
      </c>
      <c r="AV359" s="79">
        <v>2022</v>
      </c>
      <c r="AW359" s="79">
        <v>8244.2075017205807</v>
      </c>
      <c r="AX359" s="79">
        <v>9</v>
      </c>
      <c r="AY359" s="79">
        <v>9</v>
      </c>
      <c r="AZ359" s="79">
        <v>2490</v>
      </c>
      <c r="BA359" s="79">
        <v>1</v>
      </c>
      <c r="BB359" s="79">
        <v>0</v>
      </c>
      <c r="BC359" s="79">
        <v>0</v>
      </c>
      <c r="BD359" s="79">
        <v>0</v>
      </c>
      <c r="BE359" s="79">
        <v>0</v>
      </c>
      <c r="BF359" s="79">
        <v>0</v>
      </c>
      <c r="BG359" s="79">
        <v>0</v>
      </c>
      <c r="BH359" s="79">
        <v>0</v>
      </c>
      <c r="BI359" s="79">
        <v>0</v>
      </c>
      <c r="BJ359" s="79">
        <v>0</v>
      </c>
      <c r="BK359" s="79">
        <v>0</v>
      </c>
      <c r="BL359" s="79">
        <v>3189</v>
      </c>
      <c r="BM359" s="79">
        <v>168</v>
      </c>
      <c r="BN359" s="79">
        <v>36</v>
      </c>
      <c r="BO359">
        <v>5189</v>
      </c>
      <c r="BP359">
        <v>0</v>
      </c>
      <c r="BQ359">
        <v>4564</v>
      </c>
      <c r="BR359">
        <v>0</v>
      </c>
      <c r="BS359">
        <v>4432</v>
      </c>
      <c r="BT359">
        <v>0</v>
      </c>
      <c r="BU359">
        <v>4317</v>
      </c>
      <c r="BV359">
        <v>0</v>
      </c>
      <c r="BW359">
        <v>4203</v>
      </c>
      <c r="BX359">
        <v>0</v>
      </c>
      <c r="BY359">
        <v>4067</v>
      </c>
      <c r="BZ359">
        <v>0</v>
      </c>
      <c r="CA359">
        <v>3632</v>
      </c>
      <c r="CB359">
        <v>288.73133108954801</v>
      </c>
      <c r="CC359">
        <v>36.043053924311302</v>
      </c>
      <c r="CD359">
        <v>20.422344581334801</v>
      </c>
      <c r="CE359">
        <v>6978.3941834638499</v>
      </c>
      <c r="CF359">
        <v>1537.83169410814</v>
      </c>
      <c r="CG359">
        <v>44.9364309133489</v>
      </c>
      <c r="CH359">
        <v>168</v>
      </c>
      <c r="CI359">
        <v>71.006557668758404</v>
      </c>
      <c r="CJ359">
        <v>58.889417138249001</v>
      </c>
      <c r="CK359" s="81">
        <v>1670</v>
      </c>
      <c r="CL359">
        <v>645</v>
      </c>
      <c r="CM359">
        <v>4259.3754059856001</v>
      </c>
      <c r="CN359">
        <v>0.40044485144648501</v>
      </c>
      <c r="CO359">
        <v>17684</v>
      </c>
      <c r="CP359">
        <v>3494</v>
      </c>
      <c r="CQ359">
        <v>641</v>
      </c>
      <c r="CR359">
        <v>618</v>
      </c>
      <c r="CS359">
        <v>580</v>
      </c>
      <c r="CT359">
        <v>311</v>
      </c>
      <c r="CU359">
        <v>344.57466255309703</v>
      </c>
      <c r="CV359">
        <v>208.190795162028</v>
      </c>
      <c r="CW359">
        <v>75.257603933866605</v>
      </c>
      <c r="CX359">
        <v>901.55274506597902</v>
      </c>
      <c r="CY359">
        <v>544.714987123794</v>
      </c>
      <c r="CZ359">
        <v>196.90565438255501</v>
      </c>
      <c r="DA359">
        <v>227030</v>
      </c>
      <c r="DE359">
        <v>1883</v>
      </c>
      <c r="DF359" t="s">
        <v>275</v>
      </c>
      <c r="DG359">
        <v>17755</v>
      </c>
      <c r="DH359">
        <v>17420</v>
      </c>
      <c r="DI359">
        <v>17042</v>
      </c>
      <c r="DJ359">
        <v>16765</v>
      </c>
      <c r="DK359">
        <v>16418</v>
      </c>
      <c r="DO359">
        <v>1641</v>
      </c>
      <c r="DP359" t="s">
        <v>193</v>
      </c>
      <c r="DQ359">
        <v>11833</v>
      </c>
      <c r="DR359">
        <v>1</v>
      </c>
      <c r="DS359">
        <v>434</v>
      </c>
      <c r="DV359">
        <v>296</v>
      </c>
      <c r="DW359" t="s">
        <v>344</v>
      </c>
      <c r="DX359">
        <v>5083.5386396526801</v>
      </c>
      <c r="DY359">
        <v>979</v>
      </c>
      <c r="DZ359">
        <v>898</v>
      </c>
      <c r="EA359">
        <v>374</v>
      </c>
      <c r="EB359">
        <v>3115</v>
      </c>
      <c r="EC359">
        <v>1761</v>
      </c>
      <c r="ED359">
        <v>512</v>
      </c>
      <c r="EE359" s="82">
        <v>0.182874555653702</v>
      </c>
      <c r="EF359" s="82">
        <v>0.43372316852071502</v>
      </c>
    </row>
    <row r="360" spans="1:136" x14ac:dyDescent="0.35">
      <c r="A360" s="72">
        <v>935</v>
      </c>
      <c r="B360" s="72">
        <v>11</v>
      </c>
      <c r="D360" s="72" t="s">
        <v>195</v>
      </c>
      <c r="E360" s="79">
        <v>9296000000</v>
      </c>
      <c r="F360" s="79">
        <v>2594550000</v>
      </c>
      <c r="G360" s="79">
        <v>2638300000</v>
      </c>
      <c r="H360" s="79">
        <v>122723</v>
      </c>
      <c r="I360" s="79">
        <v>1</v>
      </c>
      <c r="J360" s="79">
        <v>2638.3</v>
      </c>
      <c r="K360" s="79">
        <v>20920</v>
      </c>
      <c r="L360" s="79">
        <v>25431</v>
      </c>
      <c r="M360" s="79">
        <v>8261</v>
      </c>
      <c r="N360" s="79">
        <v>21013</v>
      </c>
      <c r="O360" s="79">
        <v>14555.3</v>
      </c>
      <c r="P360" s="79">
        <v>3842.6666666666702</v>
      </c>
      <c r="Q360" s="79">
        <v>12517.666666666701</v>
      </c>
      <c r="R360" s="79">
        <v>5635</v>
      </c>
      <c r="S360" s="79">
        <v>0</v>
      </c>
      <c r="T360" s="79">
        <v>3957</v>
      </c>
      <c r="U360" s="79">
        <v>71616</v>
      </c>
      <c r="V360" s="79">
        <v>137170</v>
      </c>
      <c r="W360" s="79">
        <v>193290</v>
      </c>
      <c r="X360" s="79">
        <v>2850.32</v>
      </c>
      <c r="Y360" s="79">
        <v>5120.8</v>
      </c>
      <c r="Z360" s="79">
        <v>0</v>
      </c>
      <c r="AA360" s="79">
        <v>0</v>
      </c>
      <c r="AB360" s="79">
        <v>0</v>
      </c>
      <c r="AC360" s="79">
        <v>5573</v>
      </c>
      <c r="AD360" s="79">
        <v>5573</v>
      </c>
      <c r="AE360" s="79">
        <v>440</v>
      </c>
      <c r="AF360" s="79">
        <v>0</v>
      </c>
      <c r="AG360" s="79">
        <v>614</v>
      </c>
      <c r="AH360" s="79">
        <v>559</v>
      </c>
      <c r="AI360" s="79">
        <v>55</v>
      </c>
      <c r="AJ360" s="79">
        <v>64577</v>
      </c>
      <c r="AK360" s="79">
        <v>64577</v>
      </c>
      <c r="AL360" s="79">
        <v>0</v>
      </c>
      <c r="AM360" s="79">
        <v>0</v>
      </c>
      <c r="AN360" s="79">
        <v>101</v>
      </c>
      <c r="AO360" s="79">
        <v>2600</v>
      </c>
      <c r="AP360" s="79">
        <v>12746</v>
      </c>
      <c r="AQ360" s="79">
        <v>10137</v>
      </c>
      <c r="AR360" s="80">
        <v>8.721052E-3</v>
      </c>
      <c r="AS360" s="80">
        <v>1.0494013E-2</v>
      </c>
      <c r="AT360" s="79">
        <v>157115.84099999999</v>
      </c>
      <c r="AU360" s="79">
        <v>0</v>
      </c>
      <c r="AV360" s="79">
        <v>1157</v>
      </c>
      <c r="AW360" s="79">
        <v>23613.921669715601</v>
      </c>
      <c r="AX360" s="79">
        <v>2</v>
      </c>
      <c r="AY360" s="79">
        <v>2</v>
      </c>
      <c r="AZ360" s="79">
        <v>11365</v>
      </c>
      <c r="BA360" s="79">
        <v>1</v>
      </c>
      <c r="BB360" s="79">
        <v>0</v>
      </c>
      <c r="BC360" s="79">
        <v>0</v>
      </c>
      <c r="BD360" s="79">
        <v>0</v>
      </c>
      <c r="BE360" s="79">
        <v>0</v>
      </c>
      <c r="BF360" s="79">
        <v>0</v>
      </c>
      <c r="BG360" s="79">
        <v>0</v>
      </c>
      <c r="BH360" s="79">
        <v>0</v>
      </c>
      <c r="BI360" s="79">
        <v>0</v>
      </c>
      <c r="BJ360" s="79">
        <v>0</v>
      </c>
      <c r="BK360" s="79">
        <v>84</v>
      </c>
      <c r="BL360" s="79">
        <v>37774</v>
      </c>
      <c r="BM360" s="79">
        <v>559</v>
      </c>
      <c r="BN360" s="79">
        <v>55</v>
      </c>
      <c r="BO360">
        <v>22786</v>
      </c>
      <c r="BP360">
        <v>6215</v>
      </c>
      <c r="BQ360">
        <v>18600</v>
      </c>
      <c r="BR360">
        <v>6067</v>
      </c>
      <c r="BS360">
        <v>18101</v>
      </c>
      <c r="BT360">
        <v>6037</v>
      </c>
      <c r="BU360">
        <v>17804</v>
      </c>
      <c r="BV360">
        <v>6813</v>
      </c>
      <c r="BW360">
        <v>17533</v>
      </c>
      <c r="BX360">
        <v>6848</v>
      </c>
      <c r="BY360">
        <v>17214</v>
      </c>
      <c r="BZ360">
        <v>6812</v>
      </c>
      <c r="CA360">
        <v>16308</v>
      </c>
      <c r="CB360">
        <v>3074.8686230705598</v>
      </c>
      <c r="CC360">
        <v>264.89222667059101</v>
      </c>
      <c r="CD360">
        <v>416.256307407257</v>
      </c>
      <c r="CE360">
        <v>35311.900894248902</v>
      </c>
      <c r="CF360">
        <v>5897.4952552693203</v>
      </c>
      <c r="CG360">
        <v>699.42558992500301</v>
      </c>
      <c r="CH360">
        <v>1271</v>
      </c>
      <c r="CI360">
        <v>957.28132348527095</v>
      </c>
      <c r="CJ360">
        <v>951.09956233521496</v>
      </c>
      <c r="CK360" s="81">
        <v>8675</v>
      </c>
      <c r="CL360">
        <v>2306</v>
      </c>
      <c r="CM360">
        <v>19559.3217820506</v>
      </c>
      <c r="CN360">
        <v>9.9707208700914602</v>
      </c>
      <c r="CO360">
        <v>97292</v>
      </c>
      <c r="CP360">
        <v>14050</v>
      </c>
      <c r="CQ360">
        <v>3120</v>
      </c>
      <c r="CR360">
        <v>3796</v>
      </c>
      <c r="CS360">
        <v>3106</v>
      </c>
      <c r="CT360">
        <v>1596</v>
      </c>
      <c r="CU360">
        <v>2084.64839431357</v>
      </c>
      <c r="CV360">
        <v>1329.1352125924</v>
      </c>
      <c r="CW360">
        <v>492.70638879548801</v>
      </c>
      <c r="CX360">
        <v>4901.99272807323</v>
      </c>
      <c r="CY360">
        <v>3125.4244910204202</v>
      </c>
      <c r="CZ360">
        <v>1158.58537177728</v>
      </c>
      <c r="DA360">
        <v>215032.9</v>
      </c>
      <c r="DE360">
        <v>1884</v>
      </c>
      <c r="DF360" t="s">
        <v>163</v>
      </c>
      <c r="DG360">
        <v>5754</v>
      </c>
      <c r="DH360">
        <v>5723</v>
      </c>
      <c r="DI360">
        <v>5637</v>
      </c>
      <c r="DJ360">
        <v>5512</v>
      </c>
      <c r="DK360">
        <v>5461</v>
      </c>
      <c r="DO360">
        <v>935</v>
      </c>
      <c r="DP360" t="s">
        <v>195</v>
      </c>
      <c r="DQ360">
        <v>64577</v>
      </c>
      <c r="DR360">
        <v>1</v>
      </c>
      <c r="DS360">
        <v>2433</v>
      </c>
      <c r="DV360">
        <v>1696</v>
      </c>
      <c r="DW360" t="s">
        <v>345</v>
      </c>
      <c r="DX360">
        <v>2543.6503726648002</v>
      </c>
      <c r="DY360">
        <v>690</v>
      </c>
      <c r="DZ360">
        <v>556</v>
      </c>
      <c r="EA360">
        <v>345</v>
      </c>
      <c r="EB360">
        <v>2007</v>
      </c>
      <c r="EC360">
        <v>1226</v>
      </c>
      <c r="ED360">
        <v>489</v>
      </c>
      <c r="EE360" s="82">
        <v>0.116979473911524</v>
      </c>
      <c r="EF360" s="82">
        <v>0.29319128730346999</v>
      </c>
    </row>
    <row r="361" spans="1:136" x14ac:dyDescent="0.35">
      <c r="A361" s="72">
        <v>938</v>
      </c>
      <c r="B361" s="72">
        <v>11</v>
      </c>
      <c r="D361" s="72" t="s">
        <v>197</v>
      </c>
      <c r="E361" s="79">
        <v>1605600000</v>
      </c>
      <c r="F361" s="79">
        <v>129150000</v>
      </c>
      <c r="G361" s="79">
        <v>146650000</v>
      </c>
      <c r="H361" s="79">
        <v>19039</v>
      </c>
      <c r="I361" s="79">
        <v>3</v>
      </c>
      <c r="J361" s="79">
        <v>146.65</v>
      </c>
      <c r="K361" s="79">
        <v>3611</v>
      </c>
      <c r="L361" s="79">
        <v>4929</v>
      </c>
      <c r="M361" s="79">
        <v>1626</v>
      </c>
      <c r="N361" s="79">
        <v>2326</v>
      </c>
      <c r="O361" s="79">
        <v>1458.3</v>
      </c>
      <c r="P361" s="79">
        <v>224</v>
      </c>
      <c r="Q361" s="79">
        <v>1302</v>
      </c>
      <c r="R361" s="79">
        <v>240</v>
      </c>
      <c r="S361" s="79">
        <v>0</v>
      </c>
      <c r="T361" s="79">
        <v>518</v>
      </c>
      <c r="U361" s="79">
        <v>8764</v>
      </c>
      <c r="V361" s="79">
        <v>15320</v>
      </c>
      <c r="W361" s="79">
        <v>4740</v>
      </c>
      <c r="X361" s="79">
        <v>0</v>
      </c>
      <c r="Y361" s="79">
        <v>1146.4000000000001</v>
      </c>
      <c r="Z361" s="79">
        <v>0</v>
      </c>
      <c r="AA361" s="79">
        <v>0</v>
      </c>
      <c r="AB361" s="79">
        <v>231.8</v>
      </c>
      <c r="AC361" s="79">
        <v>2679</v>
      </c>
      <c r="AD361" s="79">
        <v>2679</v>
      </c>
      <c r="AE361" s="79">
        <v>90</v>
      </c>
      <c r="AF361" s="79">
        <v>0</v>
      </c>
      <c r="AG361" s="79">
        <v>131</v>
      </c>
      <c r="AH361" s="79">
        <v>117</v>
      </c>
      <c r="AI361" s="79">
        <v>15</v>
      </c>
      <c r="AJ361" s="79">
        <v>8677</v>
      </c>
      <c r="AK361" s="79">
        <v>8677</v>
      </c>
      <c r="AL361" s="79">
        <v>0</v>
      </c>
      <c r="AM361" s="79">
        <v>0</v>
      </c>
      <c r="AN361" s="79">
        <v>0</v>
      </c>
      <c r="AO361" s="79">
        <v>0</v>
      </c>
      <c r="AP361" s="79">
        <v>589</v>
      </c>
      <c r="AQ361" s="79">
        <v>0</v>
      </c>
      <c r="AR361" s="80">
        <v>4.99462E-4</v>
      </c>
      <c r="AS361" s="80">
        <v>2.9914200000000002E-4</v>
      </c>
      <c r="AT361" s="79">
        <v>5310.3239999999996</v>
      </c>
      <c r="AU361" s="79">
        <v>0</v>
      </c>
      <c r="AV361" s="79">
        <v>446</v>
      </c>
      <c r="AW361" s="79">
        <v>3066.5922715781899</v>
      </c>
      <c r="AX361" s="79">
        <v>7</v>
      </c>
      <c r="AY361" s="79">
        <v>7</v>
      </c>
      <c r="AZ361" s="79">
        <v>1813</v>
      </c>
      <c r="BA361" s="79">
        <v>1</v>
      </c>
      <c r="BB361" s="79">
        <v>0</v>
      </c>
      <c r="BC361" s="79">
        <v>0</v>
      </c>
      <c r="BD361" s="79">
        <v>0</v>
      </c>
      <c r="BE361" s="79">
        <v>0</v>
      </c>
      <c r="BF361" s="79">
        <v>0</v>
      </c>
      <c r="BG361" s="79">
        <v>0</v>
      </c>
      <c r="BH361" s="79">
        <v>0</v>
      </c>
      <c r="BI361" s="79">
        <v>0</v>
      </c>
      <c r="BJ361" s="79">
        <v>0</v>
      </c>
      <c r="BK361" s="79">
        <v>10</v>
      </c>
      <c r="BL361" s="79">
        <v>2507</v>
      </c>
      <c r="BM361" s="79">
        <v>117</v>
      </c>
      <c r="BN361" s="79">
        <v>15</v>
      </c>
      <c r="BO361">
        <v>4369</v>
      </c>
      <c r="BP361">
        <v>1092</v>
      </c>
      <c r="BQ361">
        <v>3838</v>
      </c>
      <c r="BR361">
        <v>1050</v>
      </c>
      <c r="BS361">
        <v>3776</v>
      </c>
      <c r="BT361">
        <v>1134</v>
      </c>
      <c r="BU361">
        <v>3695</v>
      </c>
      <c r="BV361">
        <v>1173</v>
      </c>
      <c r="BW361">
        <v>3606</v>
      </c>
      <c r="BX361">
        <v>1195</v>
      </c>
      <c r="BY361">
        <v>3518</v>
      </c>
      <c r="BZ361">
        <v>1204</v>
      </c>
      <c r="CA361">
        <v>3177</v>
      </c>
      <c r="CB361">
        <v>275.72822046434698</v>
      </c>
      <c r="CC361">
        <v>16.8382974705818</v>
      </c>
      <c r="CD361">
        <v>16.8098804592954</v>
      </c>
      <c r="CE361">
        <v>6287.6914655475603</v>
      </c>
      <c r="CF361">
        <v>1410.7680298059499</v>
      </c>
      <c r="CG361">
        <v>97.726309859154895</v>
      </c>
      <c r="CH361">
        <v>173</v>
      </c>
      <c r="CI361">
        <v>57.088853962955298</v>
      </c>
      <c r="CJ361">
        <v>42.925418516434497</v>
      </c>
      <c r="CK361" s="81">
        <v>1078</v>
      </c>
      <c r="CL361">
        <v>232</v>
      </c>
      <c r="CM361">
        <v>3787.0010924369699</v>
      </c>
      <c r="CN361">
        <v>0.28927530880555502</v>
      </c>
      <c r="CO361">
        <v>14110</v>
      </c>
      <c r="CP361">
        <v>2748</v>
      </c>
      <c r="CQ361">
        <v>555</v>
      </c>
      <c r="CR361">
        <v>507</v>
      </c>
      <c r="CS361">
        <v>497</v>
      </c>
      <c r="CT361">
        <v>233</v>
      </c>
      <c r="CU361">
        <v>277.728841457317</v>
      </c>
      <c r="CV361">
        <v>185.99263611206899</v>
      </c>
      <c r="CW361">
        <v>59.981365033431501</v>
      </c>
      <c r="CX361">
        <v>638.93986926827904</v>
      </c>
      <c r="CY361">
        <v>427.89258032666999</v>
      </c>
      <c r="CZ361">
        <v>137.992458154129</v>
      </c>
      <c r="DA361">
        <v>0</v>
      </c>
      <c r="DE361">
        <v>1891</v>
      </c>
      <c r="DF361" t="s">
        <v>75</v>
      </c>
      <c r="DG361">
        <v>4457</v>
      </c>
      <c r="DH361">
        <v>4381</v>
      </c>
      <c r="DI361">
        <v>4280</v>
      </c>
      <c r="DJ361">
        <v>4254</v>
      </c>
      <c r="DK361">
        <v>4150</v>
      </c>
      <c r="DO361">
        <v>938</v>
      </c>
      <c r="DP361" t="s">
        <v>197</v>
      </c>
      <c r="DQ361">
        <v>8677</v>
      </c>
      <c r="DR361">
        <v>1</v>
      </c>
      <c r="DS361">
        <v>612</v>
      </c>
      <c r="DV361">
        <v>352</v>
      </c>
      <c r="DW361" t="s">
        <v>346</v>
      </c>
      <c r="DX361">
        <v>2261.02614445575</v>
      </c>
      <c r="DY361">
        <v>570</v>
      </c>
      <c r="DZ361">
        <v>365</v>
      </c>
      <c r="EA361">
        <v>168</v>
      </c>
      <c r="EB361">
        <v>1817</v>
      </c>
      <c r="EC361">
        <v>822</v>
      </c>
      <c r="ED361">
        <v>243</v>
      </c>
      <c r="EE361" s="82">
        <v>0.124776433487996</v>
      </c>
      <c r="EF361" s="82">
        <v>0.359679489169694</v>
      </c>
    </row>
    <row r="362" spans="1:136" x14ac:dyDescent="0.35">
      <c r="A362" s="72">
        <v>944</v>
      </c>
      <c r="B362" s="72">
        <v>11</v>
      </c>
      <c r="D362" s="72" t="s">
        <v>209</v>
      </c>
      <c r="E362" s="79">
        <v>768800000</v>
      </c>
      <c r="F362" s="79">
        <v>54600000</v>
      </c>
      <c r="G362" s="79">
        <v>57050000</v>
      </c>
      <c r="H362" s="79">
        <v>7768</v>
      </c>
      <c r="I362" s="79">
        <v>1</v>
      </c>
      <c r="J362" s="79">
        <v>57.05</v>
      </c>
      <c r="K362" s="79">
        <v>1546</v>
      </c>
      <c r="L362" s="79">
        <v>2045</v>
      </c>
      <c r="M362" s="79">
        <v>660</v>
      </c>
      <c r="N362" s="79">
        <v>819</v>
      </c>
      <c r="O362" s="79">
        <v>455.7</v>
      </c>
      <c r="P362" s="79">
        <v>106.666666666667</v>
      </c>
      <c r="Q362" s="79">
        <v>397.66666666666703</v>
      </c>
      <c r="R362" s="79">
        <v>115</v>
      </c>
      <c r="S362" s="79">
        <v>0</v>
      </c>
      <c r="T362" s="79">
        <v>194</v>
      </c>
      <c r="U362" s="79">
        <v>3564</v>
      </c>
      <c r="V362" s="79">
        <v>5800</v>
      </c>
      <c r="W362" s="79">
        <v>890</v>
      </c>
      <c r="X362" s="79">
        <v>0</v>
      </c>
      <c r="Y362" s="79">
        <v>218.4</v>
      </c>
      <c r="Z362" s="79">
        <v>0</v>
      </c>
      <c r="AA362" s="79">
        <v>0</v>
      </c>
      <c r="AB362" s="79">
        <v>13.4</v>
      </c>
      <c r="AC362" s="79">
        <v>1738</v>
      </c>
      <c r="AD362" s="79">
        <v>1738</v>
      </c>
      <c r="AE362" s="79">
        <v>143</v>
      </c>
      <c r="AF362" s="79">
        <v>0</v>
      </c>
      <c r="AG362" s="79">
        <v>54</v>
      </c>
      <c r="AH362" s="79">
        <v>45</v>
      </c>
      <c r="AI362" s="79">
        <v>9</v>
      </c>
      <c r="AJ362" s="79">
        <v>3633</v>
      </c>
      <c r="AK362" s="79">
        <v>3633</v>
      </c>
      <c r="AL362" s="79">
        <v>0</v>
      </c>
      <c r="AM362" s="79">
        <v>0</v>
      </c>
      <c r="AN362" s="79">
        <v>0</v>
      </c>
      <c r="AO362" s="79">
        <v>0</v>
      </c>
      <c r="AP362" s="79">
        <v>0</v>
      </c>
      <c r="AQ362" s="79">
        <v>0</v>
      </c>
      <c r="AR362" s="80">
        <v>4.2024999999999998E-5</v>
      </c>
      <c r="AS362" s="80">
        <v>5.9988000000000002E-5</v>
      </c>
      <c r="AT362" s="79">
        <v>1536.759</v>
      </c>
      <c r="AU362" s="79">
        <v>0</v>
      </c>
      <c r="AV362" s="79">
        <v>258</v>
      </c>
      <c r="AW362" s="79">
        <v>1065.4673046252001</v>
      </c>
      <c r="AX362" s="79">
        <v>4</v>
      </c>
      <c r="AY362" s="79">
        <v>4</v>
      </c>
      <c r="AZ362" s="79">
        <v>869</v>
      </c>
      <c r="BA362" s="79">
        <v>1</v>
      </c>
      <c r="BB362" s="79">
        <v>0</v>
      </c>
      <c r="BC362" s="79">
        <v>0</v>
      </c>
      <c r="BD362" s="79">
        <v>0</v>
      </c>
      <c r="BE362" s="79">
        <v>0</v>
      </c>
      <c r="BF362" s="79">
        <v>0</v>
      </c>
      <c r="BG362" s="79">
        <v>0</v>
      </c>
      <c r="BH362" s="79">
        <v>0</v>
      </c>
      <c r="BI362" s="79">
        <v>0</v>
      </c>
      <c r="BJ362" s="79">
        <v>0</v>
      </c>
      <c r="BK362" s="79">
        <v>1</v>
      </c>
      <c r="BL362" s="79">
        <v>1077</v>
      </c>
      <c r="BM362" s="79">
        <v>45</v>
      </c>
      <c r="BN362" s="79">
        <v>9</v>
      </c>
      <c r="BO362">
        <v>1993</v>
      </c>
      <c r="BP362">
        <v>236</v>
      </c>
      <c r="BQ362">
        <v>1786</v>
      </c>
      <c r="BR362">
        <v>242</v>
      </c>
      <c r="BS362">
        <v>1763</v>
      </c>
      <c r="BT362">
        <v>243</v>
      </c>
      <c r="BU362">
        <v>1679</v>
      </c>
      <c r="BV362">
        <v>240</v>
      </c>
      <c r="BW362">
        <v>1637</v>
      </c>
      <c r="BX362">
        <v>243</v>
      </c>
      <c r="BY362">
        <v>1577</v>
      </c>
      <c r="BZ362">
        <v>249</v>
      </c>
      <c r="CA362">
        <v>1354</v>
      </c>
      <c r="CB362">
        <v>92.0636369500847</v>
      </c>
      <c r="CC362">
        <v>3.8858164544039999</v>
      </c>
      <c r="CD362">
        <v>6.7887025305840298</v>
      </c>
      <c r="CE362">
        <v>2939.4167648760499</v>
      </c>
      <c r="CF362">
        <v>535.86927768301405</v>
      </c>
      <c r="CG362">
        <v>37.585503546099297</v>
      </c>
      <c r="CH362">
        <v>80</v>
      </c>
      <c r="CI362">
        <v>27.530753460417699</v>
      </c>
      <c r="CJ362">
        <v>24.4781312201156</v>
      </c>
      <c r="CK362" s="81">
        <v>291</v>
      </c>
      <c r="CL362">
        <v>78</v>
      </c>
      <c r="CM362">
        <v>1043.1457382333999</v>
      </c>
      <c r="CN362">
        <v>0.11777402226849</v>
      </c>
      <c r="CO362">
        <v>5723</v>
      </c>
      <c r="CP362">
        <v>1186</v>
      </c>
      <c r="CQ362">
        <v>199</v>
      </c>
      <c r="CR362">
        <v>218</v>
      </c>
      <c r="CS362">
        <v>227</v>
      </c>
      <c r="CT362">
        <v>102</v>
      </c>
      <c r="CU362">
        <v>89.8355168157821</v>
      </c>
      <c r="CV362">
        <v>59.346647281934302</v>
      </c>
      <c r="CW362">
        <v>20.827787418184101</v>
      </c>
      <c r="CX362">
        <v>222.20411347286301</v>
      </c>
      <c r="CY362">
        <v>146.79126490595601</v>
      </c>
      <c r="CZ362">
        <v>51.516596140356597</v>
      </c>
      <c r="DA362">
        <v>9855</v>
      </c>
      <c r="DE362">
        <v>1892</v>
      </c>
      <c r="DF362" t="s">
        <v>360</v>
      </c>
      <c r="DG362">
        <v>9717</v>
      </c>
      <c r="DH362">
        <v>9544</v>
      </c>
      <c r="DI362">
        <v>9463</v>
      </c>
      <c r="DJ362">
        <v>9285</v>
      </c>
      <c r="DK362">
        <v>9180</v>
      </c>
      <c r="DO362">
        <v>944</v>
      </c>
      <c r="DP362" t="s">
        <v>209</v>
      </c>
      <c r="DQ362">
        <v>3633</v>
      </c>
      <c r="DR362">
        <v>1</v>
      </c>
      <c r="DS362">
        <v>423</v>
      </c>
      <c r="DV362">
        <v>53</v>
      </c>
      <c r="DW362" t="s">
        <v>802</v>
      </c>
      <c r="DX362">
        <v>1800</v>
      </c>
      <c r="DY362">
        <v>398</v>
      </c>
      <c r="DZ362">
        <v>276</v>
      </c>
      <c r="EA362">
        <v>123</v>
      </c>
      <c r="EB362">
        <v>1173</v>
      </c>
      <c r="EC362">
        <v>559</v>
      </c>
      <c r="ED362">
        <v>178</v>
      </c>
      <c r="EE362" s="82">
        <v>0.19561504352110401</v>
      </c>
      <c r="EF362" s="82">
        <v>0.49876271685266299</v>
      </c>
    </row>
    <row r="363" spans="1:136" x14ac:dyDescent="0.35">
      <c r="A363" s="72">
        <v>946</v>
      </c>
      <c r="B363" s="72">
        <v>11</v>
      </c>
      <c r="D363" s="72" t="s">
        <v>211</v>
      </c>
      <c r="E363" s="79">
        <v>1398800000</v>
      </c>
      <c r="F363" s="79">
        <v>282100000</v>
      </c>
      <c r="G363" s="79">
        <v>310450000</v>
      </c>
      <c r="H363" s="79">
        <v>17038</v>
      </c>
      <c r="I363" s="79">
        <v>2</v>
      </c>
      <c r="J363" s="79">
        <v>310.45</v>
      </c>
      <c r="K363" s="79">
        <v>3416</v>
      </c>
      <c r="L363" s="79">
        <v>3797</v>
      </c>
      <c r="M363" s="79">
        <v>1238</v>
      </c>
      <c r="N363" s="79">
        <v>2074</v>
      </c>
      <c r="O363" s="79">
        <v>1338.4</v>
      </c>
      <c r="P363" s="79">
        <v>147</v>
      </c>
      <c r="Q363" s="79">
        <v>1021</v>
      </c>
      <c r="R363" s="79">
        <v>205</v>
      </c>
      <c r="S363" s="79">
        <v>0</v>
      </c>
      <c r="T363" s="79">
        <v>368</v>
      </c>
      <c r="U363" s="79">
        <v>7450</v>
      </c>
      <c r="V363" s="79">
        <v>15510</v>
      </c>
      <c r="W363" s="79">
        <v>6250</v>
      </c>
      <c r="X363" s="79">
        <v>0</v>
      </c>
      <c r="Y363" s="79">
        <v>0</v>
      </c>
      <c r="Z363" s="79">
        <v>0</v>
      </c>
      <c r="AA363" s="79">
        <v>0</v>
      </c>
      <c r="AB363" s="79">
        <v>0</v>
      </c>
      <c r="AC363" s="79">
        <v>9993</v>
      </c>
      <c r="AD363" s="79">
        <v>9993</v>
      </c>
      <c r="AE363" s="79">
        <v>185</v>
      </c>
      <c r="AF363" s="79">
        <v>0</v>
      </c>
      <c r="AG363" s="79">
        <v>257</v>
      </c>
      <c r="AH363" s="79">
        <v>124</v>
      </c>
      <c r="AI363" s="79">
        <v>133</v>
      </c>
      <c r="AJ363" s="79">
        <v>7356</v>
      </c>
      <c r="AK363" s="79">
        <v>7356</v>
      </c>
      <c r="AL363" s="79">
        <v>0</v>
      </c>
      <c r="AM363" s="79">
        <v>0</v>
      </c>
      <c r="AN363" s="79">
        <v>0</v>
      </c>
      <c r="AO363" s="79">
        <v>0</v>
      </c>
      <c r="AP363" s="79">
        <v>0</v>
      </c>
      <c r="AQ363" s="79">
        <v>0</v>
      </c>
      <c r="AR363" s="80">
        <v>1.95902E-4</v>
      </c>
      <c r="AS363" s="80">
        <v>1.0128600000000001E-4</v>
      </c>
      <c r="AT363" s="79">
        <v>4648.9920000000002</v>
      </c>
      <c r="AU363" s="79">
        <v>0</v>
      </c>
      <c r="AV363" s="79">
        <v>1339</v>
      </c>
      <c r="AW363" s="79">
        <v>2241.4896836313601</v>
      </c>
      <c r="AX363" s="79">
        <v>8</v>
      </c>
      <c r="AY363" s="79">
        <v>8</v>
      </c>
      <c r="AZ363" s="79">
        <v>2064</v>
      </c>
      <c r="BA363" s="79">
        <v>1</v>
      </c>
      <c r="BB363" s="79">
        <v>0</v>
      </c>
      <c r="BC363" s="79">
        <v>0</v>
      </c>
      <c r="BD363" s="79">
        <v>0</v>
      </c>
      <c r="BE363" s="79">
        <v>0</v>
      </c>
      <c r="BF363" s="79">
        <v>0</v>
      </c>
      <c r="BG363" s="79">
        <v>0</v>
      </c>
      <c r="BH363" s="79">
        <v>0</v>
      </c>
      <c r="BI363" s="79">
        <v>0</v>
      </c>
      <c r="BJ363" s="79">
        <v>0</v>
      </c>
      <c r="BK363" s="79">
        <v>9</v>
      </c>
      <c r="BL363" s="79">
        <v>2003</v>
      </c>
      <c r="BM363" s="79">
        <v>124</v>
      </c>
      <c r="BN363" s="79">
        <v>133</v>
      </c>
      <c r="BO363">
        <v>4007</v>
      </c>
      <c r="BP363">
        <v>0</v>
      </c>
      <c r="BQ363">
        <v>3537</v>
      </c>
      <c r="BR363">
        <v>0</v>
      </c>
      <c r="BS363">
        <v>3436</v>
      </c>
      <c r="BT363">
        <v>0</v>
      </c>
      <c r="BU363">
        <v>3407</v>
      </c>
      <c r="BV363">
        <v>0</v>
      </c>
      <c r="BW363">
        <v>3348</v>
      </c>
      <c r="BX363">
        <v>0</v>
      </c>
      <c r="BY363">
        <v>3278</v>
      </c>
      <c r="BZ363">
        <v>0</v>
      </c>
      <c r="CA363">
        <v>3015</v>
      </c>
      <c r="CB363">
        <v>271.97963553559498</v>
      </c>
      <c r="CC363">
        <v>29.905398454006701</v>
      </c>
      <c r="CD363">
        <v>24.879107382923198</v>
      </c>
      <c r="CE363">
        <v>4738.8702093300799</v>
      </c>
      <c r="CF363">
        <v>1116.00557360928</v>
      </c>
      <c r="CG363">
        <v>59.9618691588785</v>
      </c>
      <c r="CH363">
        <v>155</v>
      </c>
      <c r="CI363">
        <v>52.225381774294199</v>
      </c>
      <c r="CJ363">
        <v>41.861151941646902</v>
      </c>
      <c r="CK363" s="81">
        <v>874</v>
      </c>
      <c r="CL363">
        <v>201</v>
      </c>
      <c r="CM363">
        <v>2610.37622342643</v>
      </c>
      <c r="CN363">
        <v>8.1753406955252794E-2</v>
      </c>
      <c r="CO363">
        <v>13241</v>
      </c>
      <c r="CP363">
        <v>2176</v>
      </c>
      <c r="CQ363">
        <v>383</v>
      </c>
      <c r="CR363">
        <v>332</v>
      </c>
      <c r="CS363">
        <v>385</v>
      </c>
      <c r="CT363">
        <v>200</v>
      </c>
      <c r="CU363">
        <v>239.47162473884501</v>
      </c>
      <c r="CV363">
        <v>151.944381958158</v>
      </c>
      <c r="CW363">
        <v>51.861256117455099</v>
      </c>
      <c r="CX363">
        <v>606.88350582271505</v>
      </c>
      <c r="CY363">
        <v>385.066662129154</v>
      </c>
      <c r="CZ363">
        <v>131.429938571029</v>
      </c>
      <c r="DA363">
        <v>0</v>
      </c>
      <c r="DE363">
        <v>1894</v>
      </c>
      <c r="DF363" t="s">
        <v>244</v>
      </c>
      <c r="DG363">
        <v>9457</v>
      </c>
      <c r="DH363">
        <v>9298</v>
      </c>
      <c r="DI363">
        <v>9213</v>
      </c>
      <c r="DJ363">
        <v>8949</v>
      </c>
      <c r="DK363">
        <v>8764</v>
      </c>
      <c r="DO363">
        <v>946</v>
      </c>
      <c r="DP363" t="s">
        <v>211</v>
      </c>
      <c r="DQ363">
        <v>7356</v>
      </c>
      <c r="DR363">
        <v>1</v>
      </c>
      <c r="DS363">
        <v>632</v>
      </c>
      <c r="DV363">
        <v>294</v>
      </c>
      <c r="DW363" t="s">
        <v>347</v>
      </c>
      <c r="DX363">
        <v>4424.4415522953204</v>
      </c>
      <c r="DY363">
        <v>717</v>
      </c>
      <c r="DZ363">
        <v>628</v>
      </c>
      <c r="EA363">
        <v>379</v>
      </c>
      <c r="EB363">
        <v>2236</v>
      </c>
      <c r="EC363">
        <v>1364</v>
      </c>
      <c r="ED363">
        <v>528</v>
      </c>
      <c r="EE363" s="82">
        <v>0.222951938123746</v>
      </c>
      <c r="EF363" s="82">
        <v>0.53000245735465801</v>
      </c>
    </row>
    <row r="364" spans="1:136" x14ac:dyDescent="0.35">
      <c r="A364" s="72">
        <v>951</v>
      </c>
      <c r="B364" s="72">
        <v>11</v>
      </c>
      <c r="D364" s="72" t="s">
        <v>825</v>
      </c>
      <c r="E364" s="79">
        <v>1135600000</v>
      </c>
      <c r="F364" s="79">
        <v>149800000</v>
      </c>
      <c r="G364" s="79">
        <v>165550000</v>
      </c>
      <c r="H364" s="79">
        <v>15201</v>
      </c>
      <c r="I364" s="79">
        <v>3</v>
      </c>
      <c r="J364" s="79">
        <v>165.55</v>
      </c>
      <c r="K364" s="79">
        <v>2686</v>
      </c>
      <c r="L364" s="79">
        <v>4062</v>
      </c>
      <c r="M364" s="79">
        <v>1321</v>
      </c>
      <c r="N364" s="79">
        <v>2107</v>
      </c>
      <c r="O364" s="79">
        <v>1404.6</v>
      </c>
      <c r="P364" s="79">
        <v>199.666666666667</v>
      </c>
      <c r="Q364" s="79">
        <v>1158.6666666666699</v>
      </c>
      <c r="R364" s="79">
        <v>245</v>
      </c>
      <c r="S364" s="79">
        <v>0</v>
      </c>
      <c r="T364" s="79">
        <v>418</v>
      </c>
      <c r="U364" s="79">
        <v>7119</v>
      </c>
      <c r="V364" s="79">
        <v>11070</v>
      </c>
      <c r="W364" s="79">
        <v>1870</v>
      </c>
      <c r="X364" s="79">
        <v>0</v>
      </c>
      <c r="Y364" s="79">
        <v>0</v>
      </c>
      <c r="Z364" s="79">
        <v>0</v>
      </c>
      <c r="AA364" s="79">
        <v>0</v>
      </c>
      <c r="AB364" s="79">
        <v>0</v>
      </c>
      <c r="AC364" s="79">
        <v>3310</v>
      </c>
      <c r="AD364" s="79">
        <v>3310</v>
      </c>
      <c r="AE364" s="79">
        <v>3</v>
      </c>
      <c r="AF364" s="79">
        <v>0</v>
      </c>
      <c r="AG364" s="79">
        <v>127</v>
      </c>
      <c r="AH364" s="79">
        <v>106</v>
      </c>
      <c r="AI364" s="79">
        <v>21</v>
      </c>
      <c r="AJ364" s="79">
        <v>7024</v>
      </c>
      <c r="AK364" s="79">
        <v>7024</v>
      </c>
      <c r="AL364" s="79">
        <v>0</v>
      </c>
      <c r="AM364" s="79">
        <v>0</v>
      </c>
      <c r="AN364" s="79">
        <v>0</v>
      </c>
      <c r="AO364" s="79">
        <v>0</v>
      </c>
      <c r="AP364" s="79">
        <v>0</v>
      </c>
      <c r="AQ364" s="79">
        <v>0</v>
      </c>
      <c r="AR364" s="80">
        <v>4.64241E-4</v>
      </c>
      <c r="AS364" s="80">
        <v>2.7724800000000001E-4</v>
      </c>
      <c r="AT364" s="79">
        <v>3666.5279999999998</v>
      </c>
      <c r="AU364" s="79">
        <v>0</v>
      </c>
      <c r="AV364" s="79">
        <v>149</v>
      </c>
      <c r="AW364" s="79">
        <v>683.65499547238198</v>
      </c>
      <c r="AX364" s="79">
        <v>5</v>
      </c>
      <c r="AY364" s="79">
        <v>5</v>
      </c>
      <c r="AZ364" s="79">
        <v>1546</v>
      </c>
      <c r="BA364" s="79">
        <v>1</v>
      </c>
      <c r="BB364" s="79">
        <v>0</v>
      </c>
      <c r="BC364" s="79">
        <v>0</v>
      </c>
      <c r="BD364" s="79">
        <v>0</v>
      </c>
      <c r="BE364" s="79">
        <v>0</v>
      </c>
      <c r="BF364" s="79">
        <v>0</v>
      </c>
      <c r="BG364" s="79">
        <v>0</v>
      </c>
      <c r="BH364" s="79">
        <v>0</v>
      </c>
      <c r="BI364" s="79">
        <v>0</v>
      </c>
      <c r="BJ364" s="79">
        <v>0</v>
      </c>
      <c r="BK364" s="79">
        <v>8</v>
      </c>
      <c r="BL364" s="79">
        <v>2122</v>
      </c>
      <c r="BM364" s="79">
        <v>106</v>
      </c>
      <c r="BN364" s="79">
        <v>21</v>
      </c>
      <c r="BO364">
        <v>3278</v>
      </c>
      <c r="BP364">
        <v>0</v>
      </c>
      <c r="BQ364">
        <v>2856</v>
      </c>
      <c r="BR364">
        <v>0</v>
      </c>
      <c r="BS364">
        <v>2805</v>
      </c>
      <c r="BT364">
        <v>0</v>
      </c>
      <c r="BU364">
        <v>2742</v>
      </c>
      <c r="BV364">
        <v>0</v>
      </c>
      <c r="BW364">
        <v>2698</v>
      </c>
      <c r="BX364">
        <v>0</v>
      </c>
      <c r="BY364">
        <v>2659</v>
      </c>
      <c r="BZ364">
        <v>0</v>
      </c>
      <c r="CA364">
        <v>2397</v>
      </c>
      <c r="CB364">
        <v>203.562995290028</v>
      </c>
      <c r="CC364">
        <v>16.709811707926701</v>
      </c>
      <c r="CD364">
        <v>12.7565264676035</v>
      </c>
      <c r="CE364">
        <v>4730.4024459603497</v>
      </c>
      <c r="CF364">
        <v>1014.39923290528</v>
      </c>
      <c r="CG364">
        <v>51.185514489523001</v>
      </c>
      <c r="CH364">
        <v>131</v>
      </c>
      <c r="CI364">
        <v>50.972525094953298</v>
      </c>
      <c r="CJ364">
        <v>52.858573214452399</v>
      </c>
      <c r="CK364" s="81">
        <v>959</v>
      </c>
      <c r="CL364">
        <v>205</v>
      </c>
      <c r="CM364">
        <v>3057.9386061588302</v>
      </c>
      <c r="CN364">
        <v>0.34050569935907099</v>
      </c>
      <c r="CO364">
        <v>11139</v>
      </c>
      <c r="CP364">
        <v>2270</v>
      </c>
      <c r="CQ364">
        <v>471</v>
      </c>
      <c r="CR364">
        <v>381</v>
      </c>
      <c r="CS364">
        <v>448</v>
      </c>
      <c r="CT364">
        <v>199</v>
      </c>
      <c r="CU364">
        <v>270.51538978599501</v>
      </c>
      <c r="CV364">
        <v>181.34328051433701</v>
      </c>
      <c r="CW364">
        <v>57.5819898435821</v>
      </c>
      <c r="CX364">
        <v>581.68853794671895</v>
      </c>
      <c r="CY364">
        <v>389.94198367899003</v>
      </c>
      <c r="CZ364">
        <v>123.818402755843</v>
      </c>
      <c r="DA364">
        <v>4233.6000000000004</v>
      </c>
      <c r="DE364">
        <v>1895</v>
      </c>
      <c r="DF364" t="s">
        <v>227</v>
      </c>
      <c r="DG364">
        <v>7614</v>
      </c>
      <c r="DH364">
        <v>7499</v>
      </c>
      <c r="DI364">
        <v>7466</v>
      </c>
      <c r="DJ364">
        <v>7357</v>
      </c>
      <c r="DK364">
        <v>7155</v>
      </c>
      <c r="DO364">
        <v>951</v>
      </c>
      <c r="DP364" t="s">
        <v>825</v>
      </c>
      <c r="DQ364">
        <v>7024</v>
      </c>
      <c r="DR364">
        <v>1</v>
      </c>
      <c r="DS364">
        <v>522</v>
      </c>
      <c r="DV364">
        <v>873</v>
      </c>
      <c r="DW364" t="s">
        <v>348</v>
      </c>
      <c r="DX364">
        <v>2652.75142435113</v>
      </c>
      <c r="DY364">
        <v>531</v>
      </c>
      <c r="DZ364">
        <v>517</v>
      </c>
      <c r="EA364">
        <v>202</v>
      </c>
      <c r="EB364">
        <v>1810</v>
      </c>
      <c r="EC364">
        <v>1164</v>
      </c>
      <c r="ED364">
        <v>302</v>
      </c>
      <c r="EE364" s="82">
        <v>0.153900404321509</v>
      </c>
      <c r="EF364" s="82">
        <v>0.44529638226801799</v>
      </c>
    </row>
    <row r="365" spans="1:136" x14ac:dyDescent="0.35">
      <c r="A365" s="72">
        <v>881</v>
      </c>
      <c r="B365" s="72">
        <v>11</v>
      </c>
      <c r="D365" s="72" t="s">
        <v>826</v>
      </c>
      <c r="E365" s="79">
        <v>505600000</v>
      </c>
      <c r="F365" s="79">
        <v>37100000</v>
      </c>
      <c r="G365" s="79">
        <v>43750000</v>
      </c>
      <c r="H365" s="79">
        <v>7857</v>
      </c>
      <c r="I365" s="79">
        <v>2</v>
      </c>
      <c r="J365" s="79">
        <v>43.75</v>
      </c>
      <c r="K365" s="79">
        <v>1505</v>
      </c>
      <c r="L365" s="79">
        <v>1774</v>
      </c>
      <c r="M365" s="79">
        <v>560</v>
      </c>
      <c r="N365" s="79">
        <v>1113</v>
      </c>
      <c r="O365" s="79">
        <v>741.9</v>
      </c>
      <c r="P365" s="79">
        <v>150.666666666667</v>
      </c>
      <c r="Q365" s="79">
        <v>805.66666666666697</v>
      </c>
      <c r="R365" s="79">
        <v>160</v>
      </c>
      <c r="S365" s="79">
        <v>0</v>
      </c>
      <c r="T365" s="79">
        <v>276</v>
      </c>
      <c r="U365" s="79">
        <v>3547</v>
      </c>
      <c r="V365" s="79">
        <v>4700</v>
      </c>
      <c r="W365" s="79">
        <v>550</v>
      </c>
      <c r="X365" s="79">
        <v>0</v>
      </c>
      <c r="Y365" s="79">
        <v>0</v>
      </c>
      <c r="Z365" s="79">
        <v>0</v>
      </c>
      <c r="AA365" s="79">
        <v>0</v>
      </c>
      <c r="AB365" s="79">
        <v>0</v>
      </c>
      <c r="AC365" s="79">
        <v>2116</v>
      </c>
      <c r="AD365" s="79">
        <v>2116</v>
      </c>
      <c r="AE365" s="79">
        <v>8</v>
      </c>
      <c r="AF365" s="79">
        <v>0</v>
      </c>
      <c r="AG365" s="79">
        <v>55</v>
      </c>
      <c r="AH365" s="79">
        <v>48</v>
      </c>
      <c r="AI365" s="79">
        <v>7</v>
      </c>
      <c r="AJ365" s="79">
        <v>3711</v>
      </c>
      <c r="AK365" s="79">
        <v>3711</v>
      </c>
      <c r="AL365" s="79">
        <v>0</v>
      </c>
      <c r="AM365" s="79">
        <v>0</v>
      </c>
      <c r="AN365" s="79">
        <v>0</v>
      </c>
      <c r="AO365" s="79">
        <v>0</v>
      </c>
      <c r="AP365" s="79">
        <v>519</v>
      </c>
      <c r="AQ365" s="79">
        <v>0</v>
      </c>
      <c r="AR365" s="80">
        <v>2.1832000000000001E-4</v>
      </c>
      <c r="AS365" s="80">
        <v>1.14094E-4</v>
      </c>
      <c r="AT365" s="79">
        <v>1766.4359999999999</v>
      </c>
      <c r="AU365" s="79">
        <v>0</v>
      </c>
      <c r="AV365" s="79">
        <v>120</v>
      </c>
      <c r="AW365" s="79">
        <v>443.89830508474603</v>
      </c>
      <c r="AX365" s="79">
        <v>4</v>
      </c>
      <c r="AY365" s="79">
        <v>4</v>
      </c>
      <c r="AZ365" s="79">
        <v>620</v>
      </c>
      <c r="BA365" s="79">
        <v>1</v>
      </c>
      <c r="BB365" s="79">
        <v>0</v>
      </c>
      <c r="BC365" s="79">
        <v>0</v>
      </c>
      <c r="BD365" s="79">
        <v>0</v>
      </c>
      <c r="BE365" s="79">
        <v>0</v>
      </c>
      <c r="BF365" s="79">
        <v>0</v>
      </c>
      <c r="BG365" s="79">
        <v>0</v>
      </c>
      <c r="BH365" s="79">
        <v>0</v>
      </c>
      <c r="BI365" s="79">
        <v>0</v>
      </c>
      <c r="BJ365" s="79">
        <v>0</v>
      </c>
      <c r="BK365" s="79">
        <v>0</v>
      </c>
      <c r="BL365" s="79">
        <v>991</v>
      </c>
      <c r="BM365" s="79">
        <v>48</v>
      </c>
      <c r="BN365" s="79">
        <v>7</v>
      </c>
      <c r="BO365">
        <v>1832</v>
      </c>
      <c r="BP365">
        <v>0</v>
      </c>
      <c r="BQ365">
        <v>1546</v>
      </c>
      <c r="BR365">
        <v>0</v>
      </c>
      <c r="BS365">
        <v>1530</v>
      </c>
      <c r="BT365">
        <v>0</v>
      </c>
      <c r="BU365">
        <v>1486</v>
      </c>
      <c r="BV365">
        <v>0</v>
      </c>
      <c r="BW365">
        <v>1441</v>
      </c>
      <c r="BX365">
        <v>0</v>
      </c>
      <c r="BY365">
        <v>1389</v>
      </c>
      <c r="BZ365">
        <v>0</v>
      </c>
      <c r="CA365">
        <v>1317</v>
      </c>
      <c r="CB365">
        <v>174.90846311359499</v>
      </c>
      <c r="CC365">
        <v>29.577875228617099</v>
      </c>
      <c r="CD365">
        <v>14.7639791879692</v>
      </c>
      <c r="CE365">
        <v>2143.6334609613</v>
      </c>
      <c r="CF365">
        <v>480.204227496854</v>
      </c>
      <c r="CG365">
        <v>48.044574803149601</v>
      </c>
      <c r="CH365">
        <v>78</v>
      </c>
      <c r="CI365">
        <v>37.387492843159997</v>
      </c>
      <c r="CJ365">
        <v>36.185063542779503</v>
      </c>
      <c r="CK365" s="81">
        <v>655</v>
      </c>
      <c r="CL365">
        <v>101</v>
      </c>
      <c r="CM365">
        <v>1458.49244376668</v>
      </c>
      <c r="CN365">
        <v>0.36292217713466102</v>
      </c>
      <c r="CO365">
        <v>6083</v>
      </c>
      <c r="CP365">
        <v>1024</v>
      </c>
      <c r="CQ365">
        <v>190</v>
      </c>
      <c r="CR365">
        <v>183</v>
      </c>
      <c r="CS365">
        <v>161</v>
      </c>
      <c r="CT365">
        <v>93</v>
      </c>
      <c r="CU365">
        <v>126.581178044769</v>
      </c>
      <c r="CV365">
        <v>75.988700879956099</v>
      </c>
      <c r="CW365">
        <v>26.5960453079846</v>
      </c>
      <c r="CX365">
        <v>326.874224973916</v>
      </c>
      <c r="CY365">
        <v>196.22781278055001</v>
      </c>
      <c r="CZ365">
        <v>68.679734473192497</v>
      </c>
      <c r="DA365">
        <v>0</v>
      </c>
      <c r="DE365">
        <v>1896</v>
      </c>
      <c r="DF365" t="s">
        <v>363</v>
      </c>
      <c r="DG365">
        <v>6199</v>
      </c>
      <c r="DH365">
        <v>6165</v>
      </c>
      <c r="DI365">
        <v>6120</v>
      </c>
      <c r="DJ365">
        <v>6050</v>
      </c>
      <c r="DK365">
        <v>6056</v>
      </c>
      <c r="DO365">
        <v>881</v>
      </c>
      <c r="DP365" t="s">
        <v>826</v>
      </c>
      <c r="DQ365">
        <v>3711</v>
      </c>
      <c r="DR365">
        <v>1</v>
      </c>
      <c r="DS365">
        <v>476</v>
      </c>
      <c r="DV365">
        <v>632</v>
      </c>
      <c r="DW365" t="s">
        <v>349</v>
      </c>
      <c r="DX365">
        <v>5265.6413368185204</v>
      </c>
      <c r="DY365">
        <v>1067</v>
      </c>
      <c r="DZ365">
        <v>970</v>
      </c>
      <c r="EA365">
        <v>498</v>
      </c>
      <c r="EB365">
        <v>3438</v>
      </c>
      <c r="EC365">
        <v>1983</v>
      </c>
      <c r="ED365">
        <v>693</v>
      </c>
      <c r="EE365" s="82">
        <v>0.141023542674899</v>
      </c>
      <c r="EF365" s="82">
        <v>0.34366400520543899</v>
      </c>
    </row>
    <row r="366" spans="1:136" x14ac:dyDescent="0.35">
      <c r="A366" s="72">
        <v>1894</v>
      </c>
      <c r="B366" s="72">
        <v>11</v>
      </c>
      <c r="D366" s="72" t="s">
        <v>244</v>
      </c>
      <c r="E366" s="79">
        <v>3294000000</v>
      </c>
      <c r="F366" s="79">
        <v>708400000</v>
      </c>
      <c r="G366" s="79">
        <v>778750000</v>
      </c>
      <c r="H366" s="79">
        <v>43312</v>
      </c>
      <c r="I366" s="79">
        <v>6</v>
      </c>
      <c r="J366" s="79">
        <v>778.75</v>
      </c>
      <c r="K366" s="79">
        <v>8948</v>
      </c>
      <c r="L366" s="79">
        <v>9239</v>
      </c>
      <c r="M366" s="79">
        <v>2914</v>
      </c>
      <c r="N366" s="79">
        <v>5060</v>
      </c>
      <c r="O366" s="79">
        <v>3186.9</v>
      </c>
      <c r="P366" s="79">
        <v>417.33333333333297</v>
      </c>
      <c r="Q366" s="79">
        <v>2571.3333333333298</v>
      </c>
      <c r="R366" s="79">
        <v>1075</v>
      </c>
      <c r="S366" s="79">
        <v>0</v>
      </c>
      <c r="T366" s="79">
        <v>905</v>
      </c>
      <c r="U366" s="79">
        <v>18660</v>
      </c>
      <c r="V366" s="79">
        <v>39290</v>
      </c>
      <c r="W366" s="79">
        <v>16780</v>
      </c>
      <c r="X366" s="79">
        <v>57.42</v>
      </c>
      <c r="Y366" s="79">
        <v>1297.5999999999999</v>
      </c>
      <c r="Z366" s="79">
        <v>0</v>
      </c>
      <c r="AA366" s="79">
        <v>0</v>
      </c>
      <c r="AB366" s="79">
        <v>0</v>
      </c>
      <c r="AC366" s="79">
        <v>15933</v>
      </c>
      <c r="AD366" s="79">
        <v>15933</v>
      </c>
      <c r="AE366" s="79">
        <v>203</v>
      </c>
      <c r="AF366" s="79">
        <v>0</v>
      </c>
      <c r="AG366" s="79">
        <v>512</v>
      </c>
      <c r="AH366" s="79">
        <v>283</v>
      </c>
      <c r="AI366" s="79">
        <v>230</v>
      </c>
      <c r="AJ366" s="79">
        <v>18731</v>
      </c>
      <c r="AK366" s="79">
        <v>18731</v>
      </c>
      <c r="AL366" s="79">
        <v>5</v>
      </c>
      <c r="AM366" s="79">
        <v>0</v>
      </c>
      <c r="AN366" s="79">
        <v>0</v>
      </c>
      <c r="AO366" s="79">
        <v>0</v>
      </c>
      <c r="AP366" s="79">
        <v>0</v>
      </c>
      <c r="AQ366" s="79">
        <v>0</v>
      </c>
      <c r="AR366" s="80">
        <v>4.1444399999999998E-4</v>
      </c>
      <c r="AS366" s="80">
        <v>2.5300499999999999E-4</v>
      </c>
      <c r="AT366" s="79">
        <v>10714.132</v>
      </c>
      <c r="AU366" s="79">
        <v>0</v>
      </c>
      <c r="AV366" s="79">
        <v>1793</v>
      </c>
      <c r="AW366" s="79">
        <v>4812.7426871591497</v>
      </c>
      <c r="AX366" s="79">
        <v>18</v>
      </c>
      <c r="AY366" s="79">
        <v>18</v>
      </c>
      <c r="AZ366" s="79">
        <v>4163</v>
      </c>
      <c r="BA366" s="79">
        <v>1</v>
      </c>
      <c r="BB366" s="79">
        <v>0</v>
      </c>
      <c r="BC366" s="79">
        <v>0</v>
      </c>
      <c r="BD366" s="79">
        <v>0</v>
      </c>
      <c r="BE366" s="79">
        <v>0</v>
      </c>
      <c r="BF366" s="79">
        <v>0</v>
      </c>
      <c r="BG366" s="79">
        <v>0</v>
      </c>
      <c r="BH366" s="79">
        <v>0</v>
      </c>
      <c r="BI366" s="79">
        <v>0</v>
      </c>
      <c r="BJ366" s="79">
        <v>0</v>
      </c>
      <c r="BK366" s="79">
        <v>50</v>
      </c>
      <c r="BL366" s="79">
        <v>4885</v>
      </c>
      <c r="BM366" s="79">
        <v>283</v>
      </c>
      <c r="BN366" s="79">
        <v>230</v>
      </c>
      <c r="BO366">
        <v>10669</v>
      </c>
      <c r="BP366">
        <v>2141</v>
      </c>
      <c r="BQ366">
        <v>9457</v>
      </c>
      <c r="BR366">
        <v>2161</v>
      </c>
      <c r="BS366">
        <v>9298</v>
      </c>
      <c r="BT366">
        <v>2114</v>
      </c>
      <c r="BU366">
        <v>9213</v>
      </c>
      <c r="BV366">
        <v>2144</v>
      </c>
      <c r="BW366">
        <v>8949</v>
      </c>
      <c r="BX366">
        <v>2143</v>
      </c>
      <c r="BY366">
        <v>8764</v>
      </c>
      <c r="BZ366">
        <v>2055</v>
      </c>
      <c r="CA366">
        <v>7885</v>
      </c>
      <c r="CB366">
        <v>555.34095579105497</v>
      </c>
      <c r="CC366">
        <v>70.959326180611498</v>
      </c>
      <c r="CD366">
        <v>55.313090676445199</v>
      </c>
      <c r="CE366">
        <v>11688.8334113036</v>
      </c>
      <c r="CF366">
        <v>2873.5268076535499</v>
      </c>
      <c r="CG366">
        <v>115.813637642529</v>
      </c>
      <c r="CH366">
        <v>348</v>
      </c>
      <c r="CI366">
        <v>107.980010144733</v>
      </c>
      <c r="CJ366">
        <v>95.429236205957807</v>
      </c>
      <c r="CK366" s="81">
        <v>2154</v>
      </c>
      <c r="CL366">
        <v>604</v>
      </c>
      <c r="CM366">
        <v>6907.44207590729</v>
      </c>
      <c r="CN366">
        <v>0.21022520425001601</v>
      </c>
      <c r="CO366">
        <v>34073</v>
      </c>
      <c r="CP366">
        <v>5434</v>
      </c>
      <c r="CQ366">
        <v>891</v>
      </c>
      <c r="CR366">
        <v>850</v>
      </c>
      <c r="CS366">
        <v>872</v>
      </c>
      <c r="CT366">
        <v>420</v>
      </c>
      <c r="CU366">
        <v>547.99918823819803</v>
      </c>
      <c r="CV366">
        <v>331.41956494505098</v>
      </c>
      <c r="CW366">
        <v>103.100747616376</v>
      </c>
      <c r="CX366">
        <v>1511.5490363765</v>
      </c>
      <c r="CY366">
        <v>914.15632501130597</v>
      </c>
      <c r="CZ366">
        <v>284.38333314006701</v>
      </c>
      <c r="DA366">
        <v>76193</v>
      </c>
      <c r="DE366">
        <v>1900</v>
      </c>
      <c r="DF366" t="s">
        <v>289</v>
      </c>
      <c r="DG366">
        <v>20876.29</v>
      </c>
      <c r="DH366">
        <v>20778.349999999999</v>
      </c>
      <c r="DI366">
        <v>20629.599999999999</v>
      </c>
      <c r="DJ366">
        <v>20473.080000000002</v>
      </c>
      <c r="DK366">
        <v>20240.66</v>
      </c>
      <c r="DO366">
        <v>1894</v>
      </c>
      <c r="DP366" t="s">
        <v>244</v>
      </c>
      <c r="DQ366">
        <v>18731</v>
      </c>
      <c r="DR366">
        <v>1</v>
      </c>
      <c r="DS366">
        <v>572</v>
      </c>
      <c r="DV366">
        <v>880</v>
      </c>
      <c r="DW366" t="s">
        <v>350</v>
      </c>
      <c r="DX366">
        <v>1944.3614040156001</v>
      </c>
      <c r="DY366">
        <v>410</v>
      </c>
      <c r="DZ366">
        <v>415</v>
      </c>
      <c r="EA366">
        <v>185</v>
      </c>
      <c r="EB366">
        <v>1230</v>
      </c>
      <c r="EC366">
        <v>895</v>
      </c>
      <c r="ED366">
        <v>267</v>
      </c>
      <c r="EE366" s="82">
        <v>0.18036934448674799</v>
      </c>
      <c r="EF366" s="82">
        <v>0.40056396059305099</v>
      </c>
    </row>
    <row r="367" spans="1:136" x14ac:dyDescent="0.35">
      <c r="A367" s="72">
        <v>1669</v>
      </c>
      <c r="B367" s="72">
        <v>11</v>
      </c>
      <c r="D367" s="72" t="s">
        <v>259</v>
      </c>
      <c r="E367" s="79">
        <v>1546800000</v>
      </c>
      <c r="F367" s="79">
        <v>189350000</v>
      </c>
      <c r="G367" s="79">
        <v>218050000</v>
      </c>
      <c r="H367" s="79">
        <v>20728</v>
      </c>
      <c r="I367" s="79">
        <v>5</v>
      </c>
      <c r="J367" s="79">
        <v>218.05</v>
      </c>
      <c r="K367" s="79">
        <v>3752</v>
      </c>
      <c r="L367" s="79">
        <v>5284</v>
      </c>
      <c r="M367" s="79">
        <v>1591</v>
      </c>
      <c r="N367" s="79">
        <v>2750</v>
      </c>
      <c r="O367" s="79">
        <v>1769.3</v>
      </c>
      <c r="P367" s="79">
        <v>290.66666666666703</v>
      </c>
      <c r="Q367" s="79">
        <v>1632.6666666666699</v>
      </c>
      <c r="R367" s="79">
        <v>320</v>
      </c>
      <c r="S367" s="79">
        <v>0</v>
      </c>
      <c r="T367" s="79">
        <v>595</v>
      </c>
      <c r="U367" s="79">
        <v>9672</v>
      </c>
      <c r="V367" s="79">
        <v>16850</v>
      </c>
      <c r="W367" s="79">
        <v>3460</v>
      </c>
      <c r="X367" s="79">
        <v>0</v>
      </c>
      <c r="Y367" s="79">
        <v>0</v>
      </c>
      <c r="Z367" s="79">
        <v>0</v>
      </c>
      <c r="AA367" s="79">
        <v>0</v>
      </c>
      <c r="AB367" s="79">
        <v>0</v>
      </c>
      <c r="AC367" s="79">
        <v>8825</v>
      </c>
      <c r="AD367" s="79">
        <v>8825</v>
      </c>
      <c r="AE367" s="79">
        <v>53</v>
      </c>
      <c r="AF367" s="79">
        <v>0</v>
      </c>
      <c r="AG367" s="79">
        <v>179</v>
      </c>
      <c r="AH367" s="79">
        <v>140</v>
      </c>
      <c r="AI367" s="79">
        <v>39</v>
      </c>
      <c r="AJ367" s="79">
        <v>9807</v>
      </c>
      <c r="AK367" s="79">
        <v>9807</v>
      </c>
      <c r="AL367" s="79">
        <v>7</v>
      </c>
      <c r="AM367" s="79">
        <v>0</v>
      </c>
      <c r="AN367" s="79">
        <v>0</v>
      </c>
      <c r="AO367" s="79">
        <v>0</v>
      </c>
      <c r="AP367" s="79">
        <v>0</v>
      </c>
      <c r="AQ367" s="79">
        <v>0</v>
      </c>
      <c r="AR367" s="80">
        <v>2.61706E-4</v>
      </c>
      <c r="AS367" s="80">
        <v>1.9823799999999999E-4</v>
      </c>
      <c r="AT367" s="79">
        <v>3756.0810000000001</v>
      </c>
      <c r="AU367" s="79">
        <v>0</v>
      </c>
      <c r="AV367" s="79">
        <v>805</v>
      </c>
      <c r="AW367" s="79">
        <v>1879.4818652849699</v>
      </c>
      <c r="AX367" s="79">
        <v>11</v>
      </c>
      <c r="AY367" s="79">
        <v>11</v>
      </c>
      <c r="AZ367" s="79">
        <v>1733</v>
      </c>
      <c r="BA367" s="79">
        <v>1</v>
      </c>
      <c r="BB367" s="79">
        <v>0</v>
      </c>
      <c r="BC367" s="79">
        <v>0</v>
      </c>
      <c r="BD367" s="79">
        <v>0</v>
      </c>
      <c r="BE367" s="79">
        <v>0</v>
      </c>
      <c r="BF367" s="79">
        <v>0</v>
      </c>
      <c r="BG367" s="79">
        <v>0</v>
      </c>
      <c r="BH367" s="79">
        <v>0</v>
      </c>
      <c r="BI367" s="79">
        <v>0</v>
      </c>
      <c r="BJ367" s="79">
        <v>0</v>
      </c>
      <c r="BK367" s="79">
        <v>8</v>
      </c>
      <c r="BL367" s="79">
        <v>2871</v>
      </c>
      <c r="BM367" s="79">
        <v>140</v>
      </c>
      <c r="BN367" s="79">
        <v>39</v>
      </c>
      <c r="BO367">
        <v>4399</v>
      </c>
      <c r="BP367">
        <v>0</v>
      </c>
      <c r="BQ367">
        <v>3946</v>
      </c>
      <c r="BR367">
        <v>0</v>
      </c>
      <c r="BS367">
        <v>3923</v>
      </c>
      <c r="BT367">
        <v>0</v>
      </c>
      <c r="BU367">
        <v>3802</v>
      </c>
      <c r="BV367">
        <v>0</v>
      </c>
      <c r="BW367">
        <v>3706</v>
      </c>
      <c r="BX367">
        <v>0</v>
      </c>
      <c r="BY367">
        <v>3656</v>
      </c>
      <c r="BZ367">
        <v>0</v>
      </c>
      <c r="CA367">
        <v>3347</v>
      </c>
      <c r="CB367">
        <v>343.54973383403802</v>
      </c>
      <c r="CC367">
        <v>58.209017021344202</v>
      </c>
      <c r="CD367">
        <v>23.6382838221224</v>
      </c>
      <c r="CE367">
        <v>6250.1595929840296</v>
      </c>
      <c r="CF367">
        <v>1327.13217106768</v>
      </c>
      <c r="CG367">
        <v>79.578671641791004</v>
      </c>
      <c r="CH367">
        <v>191</v>
      </c>
      <c r="CI367">
        <v>82.682160663588107</v>
      </c>
      <c r="CJ367">
        <v>78.046215484426398</v>
      </c>
      <c r="CK367" s="81">
        <v>1342</v>
      </c>
      <c r="CL367">
        <v>271</v>
      </c>
      <c r="CM367">
        <v>3676.1287363434199</v>
      </c>
      <c r="CN367">
        <v>0.47236827632022899</v>
      </c>
      <c r="CO367">
        <v>15444</v>
      </c>
      <c r="CP367">
        <v>3140</v>
      </c>
      <c r="CQ367">
        <v>553</v>
      </c>
      <c r="CR367">
        <v>578</v>
      </c>
      <c r="CS367">
        <v>525</v>
      </c>
      <c r="CT367">
        <v>265</v>
      </c>
      <c r="CU367">
        <v>345.47012219494599</v>
      </c>
      <c r="CV367">
        <v>201.14840012917199</v>
      </c>
      <c r="CW367">
        <v>67.470405065749105</v>
      </c>
      <c r="CX367">
        <v>875.43295980567405</v>
      </c>
      <c r="CY367">
        <v>509.71684082680201</v>
      </c>
      <c r="CZ367">
        <v>170.97228562262299</v>
      </c>
      <c r="DA367">
        <v>0</v>
      </c>
      <c r="DE367">
        <v>1901</v>
      </c>
      <c r="DF367" t="s">
        <v>53</v>
      </c>
      <c r="DG367">
        <v>7913</v>
      </c>
      <c r="DH367">
        <v>7805</v>
      </c>
      <c r="DI367">
        <v>7780</v>
      </c>
      <c r="DJ367">
        <v>7716</v>
      </c>
      <c r="DK367">
        <v>7575</v>
      </c>
      <c r="DO367">
        <v>1669</v>
      </c>
      <c r="DP367" t="s">
        <v>259</v>
      </c>
      <c r="DQ367">
        <v>9807</v>
      </c>
      <c r="DR367">
        <v>1</v>
      </c>
      <c r="DS367">
        <v>383</v>
      </c>
      <c r="DV367">
        <v>351</v>
      </c>
      <c r="DW367" t="s">
        <v>351</v>
      </c>
      <c r="DX367">
        <v>1147.8380094204399</v>
      </c>
      <c r="DY367">
        <v>234</v>
      </c>
      <c r="DZ367">
        <v>250</v>
      </c>
      <c r="EA367">
        <v>133</v>
      </c>
      <c r="EB367">
        <v>806</v>
      </c>
      <c r="EC367">
        <v>539</v>
      </c>
      <c r="ED367">
        <v>198</v>
      </c>
      <c r="EE367" s="82">
        <v>0.12141936910116501</v>
      </c>
      <c r="EF367" s="82">
        <v>0.38309035837626698</v>
      </c>
    </row>
    <row r="368" spans="1:136" x14ac:dyDescent="0.35">
      <c r="A368" s="72">
        <v>957</v>
      </c>
      <c r="B368" s="72">
        <v>11</v>
      </c>
      <c r="D368" s="72" t="s">
        <v>260</v>
      </c>
      <c r="E368" s="79">
        <v>4088000000</v>
      </c>
      <c r="F368" s="79">
        <v>1352750000</v>
      </c>
      <c r="G368" s="79">
        <v>1388100000</v>
      </c>
      <c r="H368" s="79">
        <v>57761</v>
      </c>
      <c r="I368" s="79">
        <v>2</v>
      </c>
      <c r="J368" s="79">
        <v>1388.1</v>
      </c>
      <c r="K368" s="79">
        <v>11687</v>
      </c>
      <c r="L368" s="79">
        <v>11746</v>
      </c>
      <c r="M368" s="79">
        <v>3624</v>
      </c>
      <c r="N368" s="79">
        <v>10227</v>
      </c>
      <c r="O368" s="79">
        <v>7477.1</v>
      </c>
      <c r="P368" s="79">
        <v>1838.3333333333301</v>
      </c>
      <c r="Q368" s="79">
        <v>6192.3333333333303</v>
      </c>
      <c r="R368" s="79">
        <v>5580</v>
      </c>
      <c r="S368" s="79">
        <v>0</v>
      </c>
      <c r="T368" s="79">
        <v>2164</v>
      </c>
      <c r="U368" s="79">
        <v>28446</v>
      </c>
      <c r="V368" s="79">
        <v>66660</v>
      </c>
      <c r="W368" s="79">
        <v>79100</v>
      </c>
      <c r="X368" s="79">
        <v>2082.84</v>
      </c>
      <c r="Y368" s="79">
        <v>3506.4</v>
      </c>
      <c r="Z368" s="79">
        <v>74.900000000000006</v>
      </c>
      <c r="AA368" s="79">
        <v>0</v>
      </c>
      <c r="AB368" s="79">
        <v>0</v>
      </c>
      <c r="AC368" s="79">
        <v>6077</v>
      </c>
      <c r="AD368" s="79">
        <v>6077</v>
      </c>
      <c r="AE368" s="79">
        <v>1028</v>
      </c>
      <c r="AF368" s="79">
        <v>0</v>
      </c>
      <c r="AG368" s="79">
        <v>431</v>
      </c>
      <c r="AH368" s="79">
        <v>349</v>
      </c>
      <c r="AI368" s="79">
        <v>81</v>
      </c>
      <c r="AJ368" s="79">
        <v>27499</v>
      </c>
      <c r="AK368" s="79">
        <v>27499</v>
      </c>
      <c r="AL368" s="79">
        <v>34</v>
      </c>
      <c r="AM368" s="79">
        <v>0</v>
      </c>
      <c r="AN368" s="79">
        <v>0</v>
      </c>
      <c r="AO368" s="79">
        <v>0</v>
      </c>
      <c r="AP368" s="79">
        <v>3316</v>
      </c>
      <c r="AQ368" s="79">
        <v>2811</v>
      </c>
      <c r="AR368" s="80">
        <v>2.9356959999999998E-3</v>
      </c>
      <c r="AS368" s="80">
        <v>3.1542530000000001E-3</v>
      </c>
      <c r="AT368" s="79">
        <v>41221.000999999997</v>
      </c>
      <c r="AU368" s="79">
        <v>0</v>
      </c>
      <c r="AV368" s="79">
        <v>2239</v>
      </c>
      <c r="AW368" s="79">
        <v>18202.234904996501</v>
      </c>
      <c r="AX368" s="79">
        <v>9</v>
      </c>
      <c r="AY368" s="79">
        <v>9</v>
      </c>
      <c r="AZ368" s="79">
        <v>5535</v>
      </c>
      <c r="BA368" s="79">
        <v>1</v>
      </c>
      <c r="BB368" s="79">
        <v>0</v>
      </c>
      <c r="BC368" s="79">
        <v>0</v>
      </c>
      <c r="BD368" s="79">
        <v>0</v>
      </c>
      <c r="BE368" s="79">
        <v>0</v>
      </c>
      <c r="BF368" s="79">
        <v>0</v>
      </c>
      <c r="BG368" s="79">
        <v>0</v>
      </c>
      <c r="BH368" s="79">
        <v>0</v>
      </c>
      <c r="BI368" s="79">
        <v>0</v>
      </c>
      <c r="BJ368" s="79">
        <v>0</v>
      </c>
      <c r="BK368" s="79">
        <v>67</v>
      </c>
      <c r="BL368" s="79">
        <v>11130</v>
      </c>
      <c r="BM368" s="79">
        <v>349</v>
      </c>
      <c r="BN368" s="79">
        <v>81</v>
      </c>
      <c r="BO368">
        <v>11993</v>
      </c>
      <c r="BP368">
        <v>4305</v>
      </c>
      <c r="BQ368">
        <v>10667</v>
      </c>
      <c r="BR368">
        <v>4275</v>
      </c>
      <c r="BS368">
        <v>10623</v>
      </c>
      <c r="BT368">
        <v>4173</v>
      </c>
      <c r="BU368">
        <v>10592</v>
      </c>
      <c r="BV368">
        <v>4202</v>
      </c>
      <c r="BW368">
        <v>10587</v>
      </c>
      <c r="BX368">
        <v>4117</v>
      </c>
      <c r="BY368">
        <v>10584</v>
      </c>
      <c r="BZ368">
        <v>3978</v>
      </c>
      <c r="CA368">
        <v>10443</v>
      </c>
      <c r="CB368">
        <v>1896.3633171109</v>
      </c>
      <c r="CC368">
        <v>211.54624251881</v>
      </c>
      <c r="CD368">
        <v>349.65763738743198</v>
      </c>
      <c r="CE368">
        <v>16431.8212893173</v>
      </c>
      <c r="CF368">
        <v>3503.7790452567301</v>
      </c>
      <c r="CG368">
        <v>418.70173596968999</v>
      </c>
      <c r="CH368">
        <v>761</v>
      </c>
      <c r="CI368">
        <v>536.33774193929901</v>
      </c>
      <c r="CJ368">
        <v>478.91995865443499</v>
      </c>
      <c r="CK368" s="81">
        <v>4354</v>
      </c>
      <c r="CL368">
        <v>982</v>
      </c>
      <c r="CM368">
        <v>9682.6929450973494</v>
      </c>
      <c r="CN368">
        <v>4.8738425472350704</v>
      </c>
      <c r="CO368">
        <v>46015</v>
      </c>
      <c r="CP368">
        <v>6805</v>
      </c>
      <c r="CQ368">
        <v>1317</v>
      </c>
      <c r="CR368">
        <v>1848</v>
      </c>
      <c r="CS368">
        <v>1437</v>
      </c>
      <c r="CT368">
        <v>690</v>
      </c>
      <c r="CU368">
        <v>1221.9982996603101</v>
      </c>
      <c r="CV368">
        <v>712.69638260117097</v>
      </c>
      <c r="CW368">
        <v>254.51499966222701</v>
      </c>
      <c r="CX368">
        <v>2361.2652338460998</v>
      </c>
      <c r="CY368">
        <v>1377.14200665568</v>
      </c>
      <c r="CZ368">
        <v>491.79890050733297</v>
      </c>
      <c r="DA368">
        <v>46650.3</v>
      </c>
      <c r="DE368">
        <v>1903</v>
      </c>
      <c r="DF368" t="s">
        <v>101</v>
      </c>
      <c r="DG368">
        <v>5245</v>
      </c>
      <c r="DH368">
        <v>5122</v>
      </c>
      <c r="DI368">
        <v>5027</v>
      </c>
      <c r="DJ368">
        <v>4871</v>
      </c>
      <c r="DK368">
        <v>4756</v>
      </c>
      <c r="DO368">
        <v>957</v>
      </c>
      <c r="DP368" t="s">
        <v>260</v>
      </c>
      <c r="DQ368">
        <v>27499</v>
      </c>
      <c r="DR368">
        <v>1</v>
      </c>
      <c r="DS368">
        <v>1499</v>
      </c>
      <c r="DV368">
        <v>874</v>
      </c>
      <c r="DW368" t="s">
        <v>824</v>
      </c>
      <c r="DX368">
        <v>1562.4151200408701</v>
      </c>
      <c r="DY368">
        <v>281</v>
      </c>
      <c r="DZ368">
        <v>264</v>
      </c>
      <c r="EA368">
        <v>130</v>
      </c>
      <c r="EB368">
        <v>1063</v>
      </c>
      <c r="EC368">
        <v>597</v>
      </c>
      <c r="ED368">
        <v>190</v>
      </c>
      <c r="EE368" s="82">
        <v>0.15621763201719699</v>
      </c>
      <c r="EF368" s="82">
        <v>0.39701708014307702</v>
      </c>
    </row>
    <row r="369" spans="1:136" x14ac:dyDescent="0.35">
      <c r="A369" s="72">
        <v>962</v>
      </c>
      <c r="B369" s="72">
        <v>11</v>
      </c>
      <c r="D369" s="72" t="s">
        <v>827</v>
      </c>
      <c r="E369" s="79">
        <v>933200000</v>
      </c>
      <c r="F369" s="79">
        <v>77350000</v>
      </c>
      <c r="G369" s="79">
        <v>86450000</v>
      </c>
      <c r="H369" s="79">
        <v>12911</v>
      </c>
      <c r="I369" s="79">
        <v>2</v>
      </c>
      <c r="J369" s="79">
        <v>86.45</v>
      </c>
      <c r="K369" s="79">
        <v>2471</v>
      </c>
      <c r="L369" s="79">
        <v>3301</v>
      </c>
      <c r="M369" s="79">
        <v>1067</v>
      </c>
      <c r="N369" s="79">
        <v>1600</v>
      </c>
      <c r="O369" s="79">
        <v>1002.1</v>
      </c>
      <c r="P369" s="79">
        <v>178</v>
      </c>
      <c r="Q369" s="79">
        <v>940</v>
      </c>
      <c r="R369" s="79">
        <v>255</v>
      </c>
      <c r="S369" s="79">
        <v>0</v>
      </c>
      <c r="T369" s="79">
        <v>360</v>
      </c>
      <c r="U369" s="79">
        <v>5922</v>
      </c>
      <c r="V369" s="79">
        <v>9690</v>
      </c>
      <c r="W369" s="79">
        <v>2050</v>
      </c>
      <c r="X369" s="79">
        <v>0</v>
      </c>
      <c r="Y369" s="79">
        <v>0</v>
      </c>
      <c r="Z369" s="79">
        <v>0</v>
      </c>
      <c r="AA369" s="79">
        <v>0</v>
      </c>
      <c r="AB369" s="79">
        <v>0</v>
      </c>
      <c r="AC369" s="79">
        <v>2405</v>
      </c>
      <c r="AD369" s="79">
        <v>2405</v>
      </c>
      <c r="AE369" s="79">
        <v>7</v>
      </c>
      <c r="AF369" s="79">
        <v>0</v>
      </c>
      <c r="AG369" s="79">
        <v>90</v>
      </c>
      <c r="AH369" s="79">
        <v>81</v>
      </c>
      <c r="AI369" s="79">
        <v>9</v>
      </c>
      <c r="AJ369" s="79">
        <v>5979</v>
      </c>
      <c r="AK369" s="79">
        <v>5979</v>
      </c>
      <c r="AL369" s="79">
        <v>0</v>
      </c>
      <c r="AM369" s="79">
        <v>0</v>
      </c>
      <c r="AN369" s="79">
        <v>0</v>
      </c>
      <c r="AO369" s="79">
        <v>0</v>
      </c>
      <c r="AP369" s="79">
        <v>0</v>
      </c>
      <c r="AQ369" s="79">
        <v>0</v>
      </c>
      <c r="AR369" s="80">
        <v>2.9092499999999998E-4</v>
      </c>
      <c r="AS369" s="80">
        <v>1.28403E-4</v>
      </c>
      <c r="AT369" s="79">
        <v>2828.067</v>
      </c>
      <c r="AU369" s="79">
        <v>0</v>
      </c>
      <c r="AV369" s="79">
        <v>183</v>
      </c>
      <c r="AW369" s="79">
        <v>979.56592039801001</v>
      </c>
      <c r="AX369" s="79">
        <v>3</v>
      </c>
      <c r="AY369" s="79">
        <v>3</v>
      </c>
      <c r="AZ369" s="79">
        <v>1164</v>
      </c>
      <c r="BA369" s="79">
        <v>1</v>
      </c>
      <c r="BB369" s="79">
        <v>0</v>
      </c>
      <c r="BC369" s="79">
        <v>0</v>
      </c>
      <c r="BD369" s="79">
        <v>0</v>
      </c>
      <c r="BE369" s="79">
        <v>0</v>
      </c>
      <c r="BF369" s="79">
        <v>0</v>
      </c>
      <c r="BG369" s="79">
        <v>0</v>
      </c>
      <c r="BH369" s="79">
        <v>0</v>
      </c>
      <c r="BI369" s="79">
        <v>0</v>
      </c>
      <c r="BJ369" s="79">
        <v>0</v>
      </c>
      <c r="BK369" s="79">
        <v>1</v>
      </c>
      <c r="BL369" s="79">
        <v>1606</v>
      </c>
      <c r="BM369" s="79">
        <v>81</v>
      </c>
      <c r="BN369" s="79">
        <v>9</v>
      </c>
      <c r="BO369">
        <v>2944</v>
      </c>
      <c r="BP369">
        <v>0</v>
      </c>
      <c r="BQ369">
        <v>2642</v>
      </c>
      <c r="BR369">
        <v>0</v>
      </c>
      <c r="BS369">
        <v>2562</v>
      </c>
      <c r="BT369">
        <v>0</v>
      </c>
      <c r="BU369">
        <v>2504</v>
      </c>
      <c r="BV369">
        <v>0</v>
      </c>
      <c r="BW369">
        <v>2390</v>
      </c>
      <c r="BX369">
        <v>0</v>
      </c>
      <c r="BY369">
        <v>2323</v>
      </c>
      <c r="BZ369">
        <v>0</v>
      </c>
      <c r="CA369">
        <v>2208</v>
      </c>
      <c r="CB369">
        <v>201.89796293731999</v>
      </c>
      <c r="CC369">
        <v>29.269557065707701</v>
      </c>
      <c r="CD369">
        <v>29.2201605435868</v>
      </c>
      <c r="CE369">
        <v>4022.9944243422801</v>
      </c>
      <c r="CF369">
        <v>846.24757287970999</v>
      </c>
      <c r="CG369">
        <v>55.663152647975103</v>
      </c>
      <c r="CH369">
        <v>128</v>
      </c>
      <c r="CI369">
        <v>57.928379550538402</v>
      </c>
      <c r="CJ369">
        <v>55.341861888956899</v>
      </c>
      <c r="CK369" s="81">
        <v>762</v>
      </c>
      <c r="CL369">
        <v>128</v>
      </c>
      <c r="CM369">
        <v>2174.54712962963</v>
      </c>
      <c r="CN369">
        <v>0.27032790434361997</v>
      </c>
      <c r="CO369">
        <v>9610</v>
      </c>
      <c r="CP369">
        <v>1895</v>
      </c>
      <c r="CQ369">
        <v>339</v>
      </c>
      <c r="CR369">
        <v>317</v>
      </c>
      <c r="CS369">
        <v>340</v>
      </c>
      <c r="CT369">
        <v>173</v>
      </c>
      <c r="CU369">
        <v>191.64896287585699</v>
      </c>
      <c r="CV369">
        <v>121.623380286602</v>
      </c>
      <c r="CW369">
        <v>40.541126762200498</v>
      </c>
      <c r="CX369">
        <v>487.52254090471598</v>
      </c>
      <c r="CY369">
        <v>309.38930480491598</v>
      </c>
      <c r="CZ369">
        <v>103.129768268305</v>
      </c>
      <c r="DA369">
        <v>9393.2999999999993</v>
      </c>
      <c r="DE369">
        <v>1904</v>
      </c>
      <c r="DF369" t="s">
        <v>288</v>
      </c>
      <c r="DG369">
        <v>13854</v>
      </c>
      <c r="DH369">
        <v>13785</v>
      </c>
      <c r="DI369">
        <v>13753</v>
      </c>
      <c r="DJ369">
        <v>13676</v>
      </c>
      <c r="DK369">
        <v>13636</v>
      </c>
      <c r="DO369">
        <v>962</v>
      </c>
      <c r="DP369" t="s">
        <v>827</v>
      </c>
      <c r="DQ369">
        <v>5979</v>
      </c>
      <c r="DR369">
        <v>1</v>
      </c>
      <c r="DS369">
        <v>473</v>
      </c>
      <c r="DV369">
        <v>479</v>
      </c>
      <c r="DW369" t="s">
        <v>352</v>
      </c>
      <c r="DX369">
        <v>22225.7184889159</v>
      </c>
      <c r="DY369">
        <v>3928</v>
      </c>
      <c r="DZ369">
        <v>3122</v>
      </c>
      <c r="EA369">
        <v>1601</v>
      </c>
      <c r="EB369">
        <v>10400</v>
      </c>
      <c r="EC369">
        <v>6237</v>
      </c>
      <c r="ED369">
        <v>2160</v>
      </c>
      <c r="EE369" s="82">
        <v>0.225227446830008</v>
      </c>
      <c r="EF369" s="82">
        <v>0.49444682089853698</v>
      </c>
    </row>
    <row r="370" spans="1:136" x14ac:dyDescent="0.35">
      <c r="A370" s="72">
        <v>965</v>
      </c>
      <c r="B370" s="72">
        <v>11</v>
      </c>
      <c r="D370" s="72" t="s">
        <v>272</v>
      </c>
      <c r="E370" s="79">
        <v>686000000</v>
      </c>
      <c r="F370" s="79">
        <v>68250000</v>
      </c>
      <c r="G370" s="79">
        <v>78050000</v>
      </c>
      <c r="H370" s="79">
        <v>10561</v>
      </c>
      <c r="I370" s="79">
        <v>2</v>
      </c>
      <c r="J370" s="79">
        <v>78.05</v>
      </c>
      <c r="K370" s="79">
        <v>1941</v>
      </c>
      <c r="L370" s="79">
        <v>2669</v>
      </c>
      <c r="M370" s="79">
        <v>903</v>
      </c>
      <c r="N370" s="79">
        <v>1568</v>
      </c>
      <c r="O370" s="79">
        <v>1038.8</v>
      </c>
      <c r="P370" s="79">
        <v>148.333333333333</v>
      </c>
      <c r="Q370" s="79">
        <v>888.33333333333303</v>
      </c>
      <c r="R370" s="79">
        <v>105</v>
      </c>
      <c r="S370" s="79">
        <v>0</v>
      </c>
      <c r="T370" s="79">
        <v>322</v>
      </c>
      <c r="U370" s="79">
        <v>4962</v>
      </c>
      <c r="V370" s="79">
        <v>8030</v>
      </c>
      <c r="W370" s="79">
        <v>1590</v>
      </c>
      <c r="X370" s="79">
        <v>0</v>
      </c>
      <c r="Y370" s="79">
        <v>0</v>
      </c>
      <c r="Z370" s="79">
        <v>0</v>
      </c>
      <c r="AA370" s="79">
        <v>0</v>
      </c>
      <c r="AB370" s="79">
        <v>0</v>
      </c>
      <c r="AC370" s="79">
        <v>1603</v>
      </c>
      <c r="AD370" s="79">
        <v>1603</v>
      </c>
      <c r="AE370" s="79">
        <v>0</v>
      </c>
      <c r="AF370" s="79">
        <v>0</v>
      </c>
      <c r="AG370" s="79">
        <v>66</v>
      </c>
      <c r="AH370" s="79">
        <v>60</v>
      </c>
      <c r="AI370" s="79">
        <v>5</v>
      </c>
      <c r="AJ370" s="79">
        <v>5292</v>
      </c>
      <c r="AK370" s="79">
        <v>5292</v>
      </c>
      <c r="AL370" s="79">
        <v>0</v>
      </c>
      <c r="AM370" s="79">
        <v>0</v>
      </c>
      <c r="AN370" s="79">
        <v>0</v>
      </c>
      <c r="AO370" s="79">
        <v>0</v>
      </c>
      <c r="AP370" s="79">
        <v>0</v>
      </c>
      <c r="AQ370" s="79">
        <v>0</v>
      </c>
      <c r="AR370" s="80">
        <v>3.1818200000000002E-4</v>
      </c>
      <c r="AS370" s="80">
        <v>3.2073399999999998E-4</v>
      </c>
      <c r="AT370" s="79">
        <v>3529.7640000000001</v>
      </c>
      <c r="AU370" s="79">
        <v>0</v>
      </c>
      <c r="AV370" s="79">
        <v>41</v>
      </c>
      <c r="AW370" s="79">
        <v>270.11915159076699</v>
      </c>
      <c r="AX370" s="79">
        <v>3</v>
      </c>
      <c r="AY370" s="79">
        <v>3</v>
      </c>
      <c r="AZ370" s="79">
        <v>796</v>
      </c>
      <c r="BA370" s="79">
        <v>1</v>
      </c>
      <c r="BB370" s="79">
        <v>0</v>
      </c>
      <c r="BC370" s="79">
        <v>0</v>
      </c>
      <c r="BD370" s="79">
        <v>0</v>
      </c>
      <c r="BE370" s="79">
        <v>0</v>
      </c>
      <c r="BF370" s="79">
        <v>0</v>
      </c>
      <c r="BG370" s="79">
        <v>0</v>
      </c>
      <c r="BH370" s="79">
        <v>0</v>
      </c>
      <c r="BI370" s="79">
        <v>0</v>
      </c>
      <c r="BJ370" s="79">
        <v>0</v>
      </c>
      <c r="BK370" s="79">
        <v>8</v>
      </c>
      <c r="BL370" s="79">
        <v>1534</v>
      </c>
      <c r="BM370" s="79">
        <v>60</v>
      </c>
      <c r="BN370" s="79">
        <v>5</v>
      </c>
      <c r="BO370">
        <v>2314</v>
      </c>
      <c r="BP370">
        <v>0</v>
      </c>
      <c r="BQ370">
        <v>2010</v>
      </c>
      <c r="BR370">
        <v>0</v>
      </c>
      <c r="BS370">
        <v>1974</v>
      </c>
      <c r="BT370">
        <v>0</v>
      </c>
      <c r="BU370">
        <v>1934</v>
      </c>
      <c r="BV370">
        <v>0</v>
      </c>
      <c r="BW370">
        <v>1906</v>
      </c>
      <c r="BX370">
        <v>0</v>
      </c>
      <c r="BY370">
        <v>1863</v>
      </c>
      <c r="BZ370">
        <v>0</v>
      </c>
      <c r="CA370">
        <v>1737</v>
      </c>
      <c r="CB370">
        <v>154.79701629394799</v>
      </c>
      <c r="CC370">
        <v>27.0664576606341</v>
      </c>
      <c r="CD370">
        <v>10.0076959928587</v>
      </c>
      <c r="CE370">
        <v>3059.02772723007</v>
      </c>
      <c r="CF370">
        <v>635.46263451001698</v>
      </c>
      <c r="CG370">
        <v>57.6843520408163</v>
      </c>
      <c r="CH370">
        <v>102</v>
      </c>
      <c r="CI370">
        <v>46.393461060556398</v>
      </c>
      <c r="CJ370">
        <v>36.539819067708699</v>
      </c>
      <c r="CK370" s="81">
        <v>740</v>
      </c>
      <c r="CL370">
        <v>120</v>
      </c>
      <c r="CM370">
        <v>2056.0372293082601</v>
      </c>
      <c r="CN370">
        <v>0.24197687566172699</v>
      </c>
      <c r="CO370">
        <v>7892</v>
      </c>
      <c r="CP370">
        <v>1513</v>
      </c>
      <c r="CQ370">
        <v>253</v>
      </c>
      <c r="CR370">
        <v>323</v>
      </c>
      <c r="CS370">
        <v>297</v>
      </c>
      <c r="CT370">
        <v>132</v>
      </c>
      <c r="CU370">
        <v>187.78469073396499</v>
      </c>
      <c r="CV370">
        <v>122.24646011207901</v>
      </c>
      <c r="CW370">
        <v>38.459560484699097</v>
      </c>
      <c r="CX370">
        <v>481.48050890778302</v>
      </c>
      <c r="CY370">
        <v>313.44028949796098</v>
      </c>
      <c r="CZ370">
        <v>98.610428156661996</v>
      </c>
      <c r="DA370">
        <v>34310</v>
      </c>
      <c r="DE370">
        <v>1911</v>
      </c>
      <c r="DF370" t="s">
        <v>155</v>
      </c>
      <c r="DG370">
        <v>10978</v>
      </c>
      <c r="DH370">
        <v>10908</v>
      </c>
      <c r="DI370">
        <v>10775</v>
      </c>
      <c r="DJ370">
        <v>10632</v>
      </c>
      <c r="DK370">
        <v>10449</v>
      </c>
      <c r="DO370">
        <v>965</v>
      </c>
      <c r="DP370" t="s">
        <v>272</v>
      </c>
      <c r="DQ370">
        <v>5292</v>
      </c>
      <c r="DR370">
        <v>1</v>
      </c>
      <c r="DS370">
        <v>667</v>
      </c>
      <c r="DV370">
        <v>297</v>
      </c>
      <c r="DW370" t="s">
        <v>353</v>
      </c>
      <c r="DX370">
        <v>2935.2450801749301</v>
      </c>
      <c r="DY370">
        <v>552</v>
      </c>
      <c r="DZ370">
        <v>485</v>
      </c>
      <c r="EA370">
        <v>233</v>
      </c>
      <c r="EB370">
        <v>1785</v>
      </c>
      <c r="EC370">
        <v>1079</v>
      </c>
      <c r="ED370">
        <v>338</v>
      </c>
      <c r="EE370" s="82">
        <v>0.160887483794767</v>
      </c>
      <c r="EF370" s="82">
        <v>0.40773802822016803</v>
      </c>
    </row>
    <row r="371" spans="1:136" x14ac:dyDescent="0.35">
      <c r="A371" s="72">
        <v>1883</v>
      </c>
      <c r="B371" s="72">
        <v>11</v>
      </c>
      <c r="D371" s="72" t="s">
        <v>275</v>
      </c>
      <c r="E371" s="79">
        <v>6029600000</v>
      </c>
      <c r="F371" s="79">
        <v>2366700000</v>
      </c>
      <c r="G371" s="79">
        <v>2406950000</v>
      </c>
      <c r="H371" s="79">
        <v>92956</v>
      </c>
      <c r="I371" s="79">
        <v>3</v>
      </c>
      <c r="J371" s="79">
        <v>2406.9499999999998</v>
      </c>
      <c r="K371" s="79">
        <v>16912</v>
      </c>
      <c r="L371" s="79">
        <v>21373</v>
      </c>
      <c r="M371" s="79">
        <v>6947</v>
      </c>
      <c r="N371" s="79">
        <v>16147</v>
      </c>
      <c r="O371" s="79">
        <v>11459.4</v>
      </c>
      <c r="P371" s="79">
        <v>2788.3333333333298</v>
      </c>
      <c r="Q371" s="79">
        <v>10728.333333333299</v>
      </c>
      <c r="R371" s="79">
        <v>3775</v>
      </c>
      <c r="S371" s="79">
        <v>0</v>
      </c>
      <c r="T371" s="79">
        <v>3377</v>
      </c>
      <c r="U371" s="79">
        <v>46654</v>
      </c>
      <c r="V371" s="79">
        <v>104510</v>
      </c>
      <c r="W371" s="79">
        <v>135320</v>
      </c>
      <c r="X371" s="79">
        <v>2474.6799999999998</v>
      </c>
      <c r="Y371" s="79">
        <v>5064.8</v>
      </c>
      <c r="Z371" s="79">
        <v>0</v>
      </c>
      <c r="AA371" s="79">
        <v>0</v>
      </c>
      <c r="AB371" s="79">
        <v>0</v>
      </c>
      <c r="AC371" s="79">
        <v>7895</v>
      </c>
      <c r="AD371" s="79">
        <v>7895</v>
      </c>
      <c r="AE371" s="79">
        <v>164</v>
      </c>
      <c r="AF371" s="79">
        <v>0</v>
      </c>
      <c r="AG371" s="79">
        <v>754</v>
      </c>
      <c r="AH371" s="79">
        <v>611</v>
      </c>
      <c r="AI371" s="79">
        <v>143</v>
      </c>
      <c r="AJ371" s="79">
        <v>46876</v>
      </c>
      <c r="AK371" s="79">
        <v>46876</v>
      </c>
      <c r="AL371" s="79">
        <v>14</v>
      </c>
      <c r="AM371" s="79">
        <v>0</v>
      </c>
      <c r="AN371" s="79">
        <v>0</v>
      </c>
      <c r="AO371" s="79">
        <v>0</v>
      </c>
      <c r="AP371" s="79">
        <v>4826</v>
      </c>
      <c r="AQ371" s="79">
        <v>2297</v>
      </c>
      <c r="AR371" s="80">
        <v>4.4524200000000003E-3</v>
      </c>
      <c r="AS371" s="80">
        <v>7.4121569999999999E-3</v>
      </c>
      <c r="AT371" s="79">
        <v>69845.240000000005</v>
      </c>
      <c r="AU371" s="79">
        <v>0</v>
      </c>
      <c r="AV371" s="79">
        <v>847</v>
      </c>
      <c r="AW371" s="79">
        <v>9769.6652190097993</v>
      </c>
      <c r="AX371" s="79">
        <v>7</v>
      </c>
      <c r="AY371" s="79">
        <v>7</v>
      </c>
      <c r="AZ371" s="79">
        <v>8268</v>
      </c>
      <c r="BA371" s="79">
        <v>1</v>
      </c>
      <c r="BB371" s="79">
        <v>0</v>
      </c>
      <c r="BC371" s="79">
        <v>0</v>
      </c>
      <c r="BD371" s="79">
        <v>0</v>
      </c>
      <c r="BE371" s="79">
        <v>0</v>
      </c>
      <c r="BF371" s="79">
        <v>0</v>
      </c>
      <c r="BG371" s="79">
        <v>0</v>
      </c>
      <c r="BH371" s="79">
        <v>0</v>
      </c>
      <c r="BI371" s="79">
        <v>0</v>
      </c>
      <c r="BJ371" s="79">
        <v>0</v>
      </c>
      <c r="BK371" s="79">
        <v>42</v>
      </c>
      <c r="BL371" s="79">
        <v>17532</v>
      </c>
      <c r="BM371" s="79">
        <v>611</v>
      </c>
      <c r="BN371" s="79">
        <v>143</v>
      </c>
      <c r="BO371">
        <v>20388</v>
      </c>
      <c r="BP371">
        <v>7221</v>
      </c>
      <c r="BQ371">
        <v>17755</v>
      </c>
      <c r="BR371">
        <v>7132</v>
      </c>
      <c r="BS371">
        <v>17420</v>
      </c>
      <c r="BT371">
        <v>7069</v>
      </c>
      <c r="BU371">
        <v>17042</v>
      </c>
      <c r="BV371">
        <v>7085</v>
      </c>
      <c r="BW371">
        <v>16765</v>
      </c>
      <c r="BX371">
        <v>7013</v>
      </c>
      <c r="BY371">
        <v>16418</v>
      </c>
      <c r="BZ371">
        <v>6859</v>
      </c>
      <c r="CA371">
        <v>14819</v>
      </c>
      <c r="CB371">
        <v>2228.85155059299</v>
      </c>
      <c r="CC371">
        <v>358.03467250149902</v>
      </c>
      <c r="CD371">
        <v>258.79526269913799</v>
      </c>
      <c r="CE371">
        <v>27213.306555744999</v>
      </c>
      <c r="CF371">
        <v>5463.8475196295103</v>
      </c>
      <c r="CG371">
        <v>663.706155714499</v>
      </c>
      <c r="CH371">
        <v>1075</v>
      </c>
      <c r="CI371">
        <v>678.660230249194</v>
      </c>
      <c r="CJ371">
        <v>640.68847802215498</v>
      </c>
      <c r="CK371" s="81">
        <v>7940</v>
      </c>
      <c r="CL371">
        <v>1943</v>
      </c>
      <c r="CM371">
        <v>18339.223712254799</v>
      </c>
      <c r="CN371">
        <v>7.5632243779084796</v>
      </c>
      <c r="CO371">
        <v>71583</v>
      </c>
      <c r="CP371">
        <v>11878</v>
      </c>
      <c r="CQ371">
        <v>2548</v>
      </c>
      <c r="CR371">
        <v>2848</v>
      </c>
      <c r="CS371">
        <v>2593</v>
      </c>
      <c r="CT371">
        <v>1216</v>
      </c>
      <c r="CU371">
        <v>1876.5064408391399</v>
      </c>
      <c r="CV371">
        <v>1192.4958856713599</v>
      </c>
      <c r="CW371">
        <v>417.30022075461397</v>
      </c>
      <c r="CX371">
        <v>3963.80181816711</v>
      </c>
      <c r="CY371">
        <v>2518.9454493250601</v>
      </c>
      <c r="CZ371">
        <v>881.47599056947104</v>
      </c>
      <c r="DA371">
        <v>223624.2</v>
      </c>
      <c r="DE371">
        <v>1916</v>
      </c>
      <c r="DF371" t="s">
        <v>181</v>
      </c>
      <c r="DG371">
        <v>13904</v>
      </c>
      <c r="DH371">
        <v>13701</v>
      </c>
      <c r="DI371">
        <v>13589</v>
      </c>
      <c r="DJ371">
        <v>13640</v>
      </c>
      <c r="DK371">
        <v>13616</v>
      </c>
      <c r="DO371">
        <v>1883</v>
      </c>
      <c r="DP371" t="s">
        <v>275</v>
      </c>
      <c r="DQ371">
        <v>46876</v>
      </c>
      <c r="DR371">
        <v>1</v>
      </c>
      <c r="DS371">
        <v>1490</v>
      </c>
      <c r="DV371">
        <v>473</v>
      </c>
      <c r="DW371" t="s">
        <v>354</v>
      </c>
      <c r="DX371">
        <v>2937.7006891635001</v>
      </c>
      <c r="DY371">
        <v>756</v>
      </c>
      <c r="DZ371">
        <v>546</v>
      </c>
      <c r="EA371">
        <v>295</v>
      </c>
      <c r="EB371">
        <v>1689</v>
      </c>
      <c r="EC371">
        <v>973</v>
      </c>
      <c r="ED371">
        <v>403</v>
      </c>
      <c r="EE371" s="82">
        <v>0.19794124636546601</v>
      </c>
      <c r="EF371" s="82">
        <v>0.41502120714199497</v>
      </c>
    </row>
    <row r="372" spans="1:136" x14ac:dyDescent="0.35">
      <c r="A372" s="72">
        <v>971</v>
      </c>
      <c r="B372" s="72">
        <v>11</v>
      </c>
      <c r="D372" s="72" t="s">
        <v>287</v>
      </c>
      <c r="E372" s="79">
        <v>1777200000</v>
      </c>
      <c r="F372" s="79">
        <v>237650000</v>
      </c>
      <c r="G372" s="79">
        <v>256900000</v>
      </c>
      <c r="H372" s="79">
        <v>24987</v>
      </c>
      <c r="I372" s="79">
        <v>2</v>
      </c>
      <c r="J372" s="79">
        <v>256.89999999999998</v>
      </c>
      <c r="K372" s="79">
        <v>4468</v>
      </c>
      <c r="L372" s="79">
        <v>6508</v>
      </c>
      <c r="M372" s="79">
        <v>2070</v>
      </c>
      <c r="N372" s="79">
        <v>3456</v>
      </c>
      <c r="O372" s="79">
        <v>2284.5</v>
      </c>
      <c r="P372" s="79">
        <v>330.33333333333297</v>
      </c>
      <c r="Q372" s="79">
        <v>1996.3333333333301</v>
      </c>
      <c r="R372" s="79">
        <v>445</v>
      </c>
      <c r="S372" s="79">
        <v>0</v>
      </c>
      <c r="T372" s="79">
        <v>786</v>
      </c>
      <c r="U372" s="79">
        <v>11697</v>
      </c>
      <c r="V372" s="79">
        <v>23360</v>
      </c>
      <c r="W372" s="79">
        <v>14540</v>
      </c>
      <c r="X372" s="79">
        <v>0</v>
      </c>
      <c r="Y372" s="79">
        <v>1160</v>
      </c>
      <c r="Z372" s="79">
        <v>0</v>
      </c>
      <c r="AA372" s="79">
        <v>0</v>
      </c>
      <c r="AB372" s="79">
        <v>144.30000000000001</v>
      </c>
      <c r="AC372" s="79">
        <v>2097</v>
      </c>
      <c r="AD372" s="79">
        <v>2097</v>
      </c>
      <c r="AE372" s="79">
        <v>183</v>
      </c>
      <c r="AF372" s="79">
        <v>0</v>
      </c>
      <c r="AG372" s="79">
        <v>159</v>
      </c>
      <c r="AH372" s="79">
        <v>149</v>
      </c>
      <c r="AI372" s="79">
        <v>11</v>
      </c>
      <c r="AJ372" s="79">
        <v>11715</v>
      </c>
      <c r="AK372" s="79">
        <v>11715</v>
      </c>
      <c r="AL372" s="79">
        <v>0</v>
      </c>
      <c r="AM372" s="79">
        <v>0</v>
      </c>
      <c r="AN372" s="79">
        <v>0</v>
      </c>
      <c r="AO372" s="79">
        <v>0</v>
      </c>
      <c r="AP372" s="79">
        <v>669</v>
      </c>
      <c r="AQ372" s="79">
        <v>0</v>
      </c>
      <c r="AR372" s="80">
        <v>5.6672899999999997E-4</v>
      </c>
      <c r="AS372" s="80">
        <v>6.2973E-4</v>
      </c>
      <c r="AT372" s="79">
        <v>10484.924999999999</v>
      </c>
      <c r="AU372" s="79">
        <v>0</v>
      </c>
      <c r="AV372" s="79">
        <v>534</v>
      </c>
      <c r="AW372" s="79">
        <v>5852.2184210526302</v>
      </c>
      <c r="AX372" s="79">
        <v>3</v>
      </c>
      <c r="AY372" s="79">
        <v>3</v>
      </c>
      <c r="AZ372" s="79">
        <v>1965</v>
      </c>
      <c r="BA372" s="79">
        <v>1</v>
      </c>
      <c r="BB372" s="79">
        <v>0</v>
      </c>
      <c r="BC372" s="79">
        <v>0</v>
      </c>
      <c r="BD372" s="79">
        <v>0</v>
      </c>
      <c r="BE372" s="79">
        <v>0</v>
      </c>
      <c r="BF372" s="79">
        <v>0</v>
      </c>
      <c r="BG372" s="79">
        <v>0</v>
      </c>
      <c r="BH372" s="79">
        <v>0</v>
      </c>
      <c r="BI372" s="79">
        <v>0</v>
      </c>
      <c r="BJ372" s="79">
        <v>0</v>
      </c>
      <c r="BK372" s="79">
        <v>1</v>
      </c>
      <c r="BL372" s="79">
        <v>3437</v>
      </c>
      <c r="BM372" s="79">
        <v>149</v>
      </c>
      <c r="BN372" s="79">
        <v>11</v>
      </c>
      <c r="BO372">
        <v>5431</v>
      </c>
      <c r="BP372">
        <v>1187</v>
      </c>
      <c r="BQ372">
        <v>4788</v>
      </c>
      <c r="BR372">
        <v>1188</v>
      </c>
      <c r="BS372">
        <v>4701</v>
      </c>
      <c r="BT372">
        <v>1188</v>
      </c>
      <c r="BU372">
        <v>4627</v>
      </c>
      <c r="BV372">
        <v>1222</v>
      </c>
      <c r="BW372">
        <v>4545</v>
      </c>
      <c r="BX372">
        <v>1257</v>
      </c>
      <c r="BY372">
        <v>4416</v>
      </c>
      <c r="BZ372">
        <v>1338</v>
      </c>
      <c r="CA372">
        <v>3953</v>
      </c>
      <c r="CB372">
        <v>375.92258706323099</v>
      </c>
      <c r="CC372">
        <v>41.935123523249203</v>
      </c>
      <c r="CD372">
        <v>45.758710395847103</v>
      </c>
      <c r="CE372">
        <v>7447.4287381263202</v>
      </c>
      <c r="CF372">
        <v>1608.81751873544</v>
      </c>
      <c r="CG372">
        <v>132.47008270676699</v>
      </c>
      <c r="CH372">
        <v>241</v>
      </c>
      <c r="CI372">
        <v>84.899109251658402</v>
      </c>
      <c r="CJ372">
        <v>87.979370182444299</v>
      </c>
      <c r="CK372" s="81">
        <v>1666</v>
      </c>
      <c r="CL372">
        <v>284</v>
      </c>
      <c r="CM372">
        <v>5065.70949728695</v>
      </c>
      <c r="CN372">
        <v>0.53116165615867805</v>
      </c>
      <c r="CO372">
        <v>18479</v>
      </c>
      <c r="CP372">
        <v>3786</v>
      </c>
      <c r="CQ372">
        <v>652</v>
      </c>
      <c r="CR372">
        <v>695</v>
      </c>
      <c r="CS372">
        <v>661</v>
      </c>
      <c r="CT372">
        <v>336</v>
      </c>
      <c r="CU372">
        <v>457.46128619222702</v>
      </c>
      <c r="CV372">
        <v>277.284718229048</v>
      </c>
      <c r="CW372">
        <v>89.6982914102405</v>
      </c>
      <c r="CX372">
        <v>1120.2917196931</v>
      </c>
      <c r="CY372">
        <v>679.05150272957906</v>
      </c>
      <c r="CZ372">
        <v>219.66504307707899</v>
      </c>
      <c r="DA372">
        <v>17520</v>
      </c>
      <c r="DE372">
        <v>1924</v>
      </c>
      <c r="DF372" t="s">
        <v>115</v>
      </c>
      <c r="DG372">
        <v>10737</v>
      </c>
      <c r="DH372">
        <v>10656</v>
      </c>
      <c r="DI372">
        <v>10574</v>
      </c>
      <c r="DJ372">
        <v>10564</v>
      </c>
      <c r="DK372">
        <v>10409</v>
      </c>
      <c r="DO372">
        <v>971</v>
      </c>
      <c r="DP372" t="s">
        <v>287</v>
      </c>
      <c r="DQ372">
        <v>11715</v>
      </c>
      <c r="DR372">
        <v>1</v>
      </c>
      <c r="DS372">
        <v>895</v>
      </c>
      <c r="DV372">
        <v>707</v>
      </c>
      <c r="DW372" t="s">
        <v>821</v>
      </c>
      <c r="DX372">
        <v>1337.7644866778501</v>
      </c>
      <c r="DY372">
        <v>250</v>
      </c>
      <c r="DZ372">
        <v>278</v>
      </c>
      <c r="EA372">
        <v>132</v>
      </c>
      <c r="EB372">
        <v>936</v>
      </c>
      <c r="EC372">
        <v>546</v>
      </c>
      <c r="ED372">
        <v>190</v>
      </c>
      <c r="EE372" s="82">
        <v>0.13589569505869301</v>
      </c>
      <c r="EF372" s="82">
        <v>0.38653349623005401</v>
      </c>
    </row>
    <row r="373" spans="1:136" x14ac:dyDescent="0.35">
      <c r="A373" s="72">
        <v>981</v>
      </c>
      <c r="B373" s="72">
        <v>11</v>
      </c>
      <c r="D373" s="72" t="s">
        <v>307</v>
      </c>
      <c r="E373" s="79">
        <v>703200000</v>
      </c>
      <c r="F373" s="79">
        <v>84000000</v>
      </c>
      <c r="G373" s="79">
        <v>91000000</v>
      </c>
      <c r="H373" s="79">
        <v>9874</v>
      </c>
      <c r="I373" s="79">
        <v>2</v>
      </c>
      <c r="J373" s="79">
        <v>91</v>
      </c>
      <c r="K373" s="79">
        <v>1569</v>
      </c>
      <c r="L373" s="79">
        <v>2684</v>
      </c>
      <c r="M373" s="79">
        <v>885</v>
      </c>
      <c r="N373" s="79">
        <v>2016</v>
      </c>
      <c r="O373" s="79">
        <v>1415.2</v>
      </c>
      <c r="P373" s="79">
        <v>289.66666666666703</v>
      </c>
      <c r="Q373" s="79">
        <v>811.66666666666697</v>
      </c>
      <c r="R373" s="79">
        <v>215</v>
      </c>
      <c r="S373" s="79">
        <v>0</v>
      </c>
      <c r="T373" s="79">
        <v>314</v>
      </c>
      <c r="U373" s="79">
        <v>5395</v>
      </c>
      <c r="V373" s="79">
        <v>8480</v>
      </c>
      <c r="W373" s="79">
        <v>3290</v>
      </c>
      <c r="X373" s="79">
        <v>0</v>
      </c>
      <c r="Y373" s="79">
        <v>0</v>
      </c>
      <c r="Z373" s="79">
        <v>0</v>
      </c>
      <c r="AA373" s="79">
        <v>0</v>
      </c>
      <c r="AB373" s="79">
        <v>0</v>
      </c>
      <c r="AC373" s="79">
        <v>2389</v>
      </c>
      <c r="AD373" s="79">
        <v>2389</v>
      </c>
      <c r="AE373" s="79">
        <v>1</v>
      </c>
      <c r="AF373" s="79">
        <v>0</v>
      </c>
      <c r="AG373" s="79">
        <v>60</v>
      </c>
      <c r="AH373" s="79">
        <v>47</v>
      </c>
      <c r="AI373" s="79">
        <v>13</v>
      </c>
      <c r="AJ373" s="79">
        <v>6008</v>
      </c>
      <c r="AK373" s="79">
        <v>6008</v>
      </c>
      <c r="AL373" s="79">
        <v>0</v>
      </c>
      <c r="AM373" s="79">
        <v>0</v>
      </c>
      <c r="AN373" s="79">
        <v>0</v>
      </c>
      <c r="AO373" s="79">
        <v>0</v>
      </c>
      <c r="AP373" s="79">
        <v>1410</v>
      </c>
      <c r="AQ373" s="79">
        <v>0</v>
      </c>
      <c r="AR373" s="80">
        <v>8.6127100000000004E-4</v>
      </c>
      <c r="AS373" s="80">
        <v>7.6205800000000003E-4</v>
      </c>
      <c r="AT373" s="79">
        <v>6008</v>
      </c>
      <c r="AU373" s="79">
        <v>0</v>
      </c>
      <c r="AV373" s="79">
        <v>89</v>
      </c>
      <c r="AW373" s="79">
        <v>367.69288702928901</v>
      </c>
      <c r="AX373" s="79">
        <v>6</v>
      </c>
      <c r="AY373" s="79">
        <v>6</v>
      </c>
      <c r="AZ373" s="79">
        <v>743</v>
      </c>
      <c r="BA373" s="79">
        <v>1</v>
      </c>
      <c r="BB373" s="79">
        <v>0</v>
      </c>
      <c r="BC373" s="79">
        <v>0</v>
      </c>
      <c r="BD373" s="79">
        <v>0</v>
      </c>
      <c r="BE373" s="79">
        <v>0</v>
      </c>
      <c r="BF373" s="79">
        <v>0</v>
      </c>
      <c r="BG373" s="79">
        <v>0</v>
      </c>
      <c r="BH373" s="79">
        <v>0</v>
      </c>
      <c r="BI373" s="79">
        <v>0</v>
      </c>
      <c r="BJ373" s="79">
        <v>0</v>
      </c>
      <c r="BK373" s="79">
        <v>7</v>
      </c>
      <c r="BL373" s="79">
        <v>2351</v>
      </c>
      <c r="BM373" s="79">
        <v>47</v>
      </c>
      <c r="BN373" s="79">
        <v>13</v>
      </c>
      <c r="BO373">
        <v>1822</v>
      </c>
      <c r="BP373">
        <v>0</v>
      </c>
      <c r="BQ373">
        <v>1603</v>
      </c>
      <c r="BR373">
        <v>0</v>
      </c>
      <c r="BS373">
        <v>1576</v>
      </c>
      <c r="BT373">
        <v>0</v>
      </c>
      <c r="BU373">
        <v>1531</v>
      </c>
      <c r="BV373">
        <v>0</v>
      </c>
      <c r="BW373">
        <v>1489</v>
      </c>
      <c r="BX373">
        <v>0</v>
      </c>
      <c r="BY373">
        <v>1453</v>
      </c>
      <c r="BZ373">
        <v>0</v>
      </c>
      <c r="CA373">
        <v>1281</v>
      </c>
      <c r="CB373">
        <v>266.11021885646301</v>
      </c>
      <c r="CC373">
        <v>21.385667063210501</v>
      </c>
      <c r="CD373">
        <v>23.2904462419948</v>
      </c>
      <c r="CE373">
        <v>2774.0872404110801</v>
      </c>
      <c r="CF373">
        <v>405.08839953786202</v>
      </c>
      <c r="CG373">
        <v>27.496169025811799</v>
      </c>
      <c r="CH373">
        <v>93</v>
      </c>
      <c r="CI373">
        <v>80.513680245214104</v>
      </c>
      <c r="CJ373">
        <v>79.110482059214107</v>
      </c>
      <c r="CK373" s="81">
        <v>522</v>
      </c>
      <c r="CL373">
        <v>119</v>
      </c>
      <c r="CM373">
        <v>1652.66485049834</v>
      </c>
      <c r="CN373">
        <v>0.84772011636088596</v>
      </c>
      <c r="CO373">
        <v>7190</v>
      </c>
      <c r="CP373">
        <v>1505</v>
      </c>
      <c r="CQ373">
        <v>294</v>
      </c>
      <c r="CR373">
        <v>396</v>
      </c>
      <c r="CS373">
        <v>325</v>
      </c>
      <c r="CT373">
        <v>131</v>
      </c>
      <c r="CU373">
        <v>231.78014192618801</v>
      </c>
      <c r="CV373">
        <v>148.86692042413699</v>
      </c>
      <c r="CW373">
        <v>43.8120999982428</v>
      </c>
      <c r="CX373">
        <v>583.75391098509499</v>
      </c>
      <c r="CY373">
        <v>374.93137372213403</v>
      </c>
      <c r="CZ373">
        <v>110.343727076451</v>
      </c>
      <c r="DA373">
        <v>7938</v>
      </c>
      <c r="DE373">
        <v>1926</v>
      </c>
      <c r="DF373" t="s">
        <v>246</v>
      </c>
      <c r="DG373">
        <v>12811</v>
      </c>
      <c r="DH373">
        <v>13387</v>
      </c>
      <c r="DI373">
        <v>13515</v>
      </c>
      <c r="DJ373">
        <v>13496</v>
      </c>
      <c r="DK373">
        <v>13507</v>
      </c>
      <c r="DO373">
        <v>981</v>
      </c>
      <c r="DP373" t="s">
        <v>307</v>
      </c>
      <c r="DQ373">
        <v>6008</v>
      </c>
      <c r="DR373">
        <v>1</v>
      </c>
      <c r="DS373">
        <v>1000</v>
      </c>
      <c r="DV373">
        <v>50</v>
      </c>
      <c r="DW373" t="s">
        <v>355</v>
      </c>
      <c r="DX373">
        <v>2132.0060383868899</v>
      </c>
      <c r="DY373">
        <v>302</v>
      </c>
      <c r="DZ373">
        <v>276</v>
      </c>
      <c r="EA373">
        <v>137</v>
      </c>
      <c r="EB373">
        <v>1049</v>
      </c>
      <c r="EC373">
        <v>593</v>
      </c>
      <c r="ED373">
        <v>200</v>
      </c>
      <c r="EE373" s="82">
        <v>0.119364753409496</v>
      </c>
      <c r="EF373" s="82">
        <v>0.44140850577478302</v>
      </c>
    </row>
    <row r="374" spans="1:136" x14ac:dyDescent="0.35">
      <c r="A374" s="72">
        <v>994</v>
      </c>
      <c r="B374" s="72">
        <v>11</v>
      </c>
      <c r="D374" s="72" t="s">
        <v>308</v>
      </c>
      <c r="E374" s="79">
        <v>1333600000</v>
      </c>
      <c r="F374" s="79">
        <v>222250000</v>
      </c>
      <c r="G374" s="79">
        <v>234500000</v>
      </c>
      <c r="H374" s="79">
        <v>16431</v>
      </c>
      <c r="I374" s="79">
        <v>4</v>
      </c>
      <c r="J374" s="79">
        <v>234.5</v>
      </c>
      <c r="K374" s="79">
        <v>2734</v>
      </c>
      <c r="L374" s="79">
        <v>4627</v>
      </c>
      <c r="M374" s="79">
        <v>1536</v>
      </c>
      <c r="N374" s="79">
        <v>2685</v>
      </c>
      <c r="O374" s="79">
        <v>1789.5</v>
      </c>
      <c r="P374" s="79">
        <v>306.66666666666703</v>
      </c>
      <c r="Q374" s="79">
        <v>1288.6666666666699</v>
      </c>
      <c r="R374" s="79">
        <v>260</v>
      </c>
      <c r="S374" s="79">
        <v>0</v>
      </c>
      <c r="T374" s="79">
        <v>460</v>
      </c>
      <c r="U374" s="79">
        <v>8220</v>
      </c>
      <c r="V374" s="79">
        <v>13300</v>
      </c>
      <c r="W374" s="79">
        <v>3350</v>
      </c>
      <c r="X374" s="79">
        <v>1103.74</v>
      </c>
      <c r="Y374" s="79">
        <v>469.6</v>
      </c>
      <c r="Z374" s="79">
        <v>0</v>
      </c>
      <c r="AA374" s="79">
        <v>0</v>
      </c>
      <c r="AB374" s="79">
        <v>9.5</v>
      </c>
      <c r="AC374" s="79">
        <v>3672</v>
      </c>
      <c r="AD374" s="79">
        <v>3672</v>
      </c>
      <c r="AE374" s="79">
        <v>20</v>
      </c>
      <c r="AF374" s="79">
        <v>0</v>
      </c>
      <c r="AG374" s="79">
        <v>117</v>
      </c>
      <c r="AH374" s="79">
        <v>103</v>
      </c>
      <c r="AI374" s="79">
        <v>15</v>
      </c>
      <c r="AJ374" s="79">
        <v>8955</v>
      </c>
      <c r="AK374" s="79">
        <v>8955</v>
      </c>
      <c r="AL374" s="79">
        <v>7</v>
      </c>
      <c r="AM374" s="79">
        <v>0</v>
      </c>
      <c r="AN374" s="79">
        <v>0</v>
      </c>
      <c r="AO374" s="79">
        <v>0</v>
      </c>
      <c r="AP374" s="79">
        <v>588</v>
      </c>
      <c r="AQ374" s="79">
        <v>588</v>
      </c>
      <c r="AR374" s="80">
        <v>9.1397799999999997E-4</v>
      </c>
      <c r="AS374" s="80">
        <v>5.7661799999999999E-4</v>
      </c>
      <c r="AT374" s="79">
        <v>5883.4350000000004</v>
      </c>
      <c r="AU374" s="79">
        <v>0</v>
      </c>
      <c r="AV374" s="79">
        <v>392</v>
      </c>
      <c r="AW374" s="79">
        <v>1744.5698808233999</v>
      </c>
      <c r="AX374" s="79">
        <v>6</v>
      </c>
      <c r="AY374" s="79">
        <v>6</v>
      </c>
      <c r="AZ374" s="79">
        <v>1850</v>
      </c>
      <c r="BA374" s="79">
        <v>1</v>
      </c>
      <c r="BB374" s="79">
        <v>0</v>
      </c>
      <c r="BC374" s="79">
        <v>0</v>
      </c>
      <c r="BD374" s="79">
        <v>0</v>
      </c>
      <c r="BE374" s="79">
        <v>0</v>
      </c>
      <c r="BF374" s="79">
        <v>0</v>
      </c>
      <c r="BG374" s="79">
        <v>0</v>
      </c>
      <c r="BH374" s="79">
        <v>0</v>
      </c>
      <c r="BI374" s="79">
        <v>0</v>
      </c>
      <c r="BJ374" s="79">
        <v>0</v>
      </c>
      <c r="BK374" s="79">
        <v>3</v>
      </c>
      <c r="BL374" s="79">
        <v>2906</v>
      </c>
      <c r="BM374" s="79">
        <v>103</v>
      </c>
      <c r="BN374" s="79">
        <v>15</v>
      </c>
      <c r="BO374">
        <v>3300</v>
      </c>
      <c r="BP374">
        <v>525</v>
      </c>
      <c r="BQ374">
        <v>2868</v>
      </c>
      <c r="BR374">
        <v>514</v>
      </c>
      <c r="BS374">
        <v>2849</v>
      </c>
      <c r="BT374">
        <v>507</v>
      </c>
      <c r="BU374">
        <v>2809</v>
      </c>
      <c r="BV374">
        <v>486</v>
      </c>
      <c r="BW374">
        <v>2751</v>
      </c>
      <c r="BX374">
        <v>466</v>
      </c>
      <c r="BY374">
        <v>2628</v>
      </c>
      <c r="BZ374">
        <v>494</v>
      </c>
      <c r="CA374">
        <v>2398</v>
      </c>
      <c r="CB374">
        <v>275.54600522948698</v>
      </c>
      <c r="CC374">
        <v>16.778696853922099</v>
      </c>
      <c r="CD374">
        <v>25.618228888529899</v>
      </c>
      <c r="CE374">
        <v>5171.2605697850704</v>
      </c>
      <c r="CF374">
        <v>1049.95813145634</v>
      </c>
      <c r="CG374">
        <v>63.0325429071804</v>
      </c>
      <c r="CH374">
        <v>154</v>
      </c>
      <c r="CI374">
        <v>68.453479434163299</v>
      </c>
      <c r="CJ374">
        <v>67.048794211620901</v>
      </c>
      <c r="CK374" s="81">
        <v>982</v>
      </c>
      <c r="CL374">
        <v>212</v>
      </c>
      <c r="CM374">
        <v>3399.8383000363201</v>
      </c>
      <c r="CN374">
        <v>0.627716758889724</v>
      </c>
      <c r="CO374">
        <v>11804</v>
      </c>
      <c r="CP374">
        <v>2542</v>
      </c>
      <c r="CQ374">
        <v>549</v>
      </c>
      <c r="CR374">
        <v>570</v>
      </c>
      <c r="CS374">
        <v>545</v>
      </c>
      <c r="CT374">
        <v>243</v>
      </c>
      <c r="CU374">
        <v>315.35466083806602</v>
      </c>
      <c r="CV374">
        <v>212.834419386907</v>
      </c>
      <c r="CW374">
        <v>66.748071432138104</v>
      </c>
      <c r="CX374">
        <v>715.09332514161099</v>
      </c>
      <c r="CY374">
        <v>482.62001981990898</v>
      </c>
      <c r="CZ374">
        <v>151.35688884492899</v>
      </c>
      <c r="DA374">
        <v>15922</v>
      </c>
      <c r="DE374">
        <v>1927</v>
      </c>
      <c r="DF374" t="s">
        <v>817</v>
      </c>
      <c r="DG374">
        <v>8112</v>
      </c>
      <c r="DH374">
        <v>8082</v>
      </c>
      <c r="DI374">
        <v>8000</v>
      </c>
      <c r="DJ374">
        <v>7940</v>
      </c>
      <c r="DK374">
        <v>7833</v>
      </c>
      <c r="DO374">
        <v>994</v>
      </c>
      <c r="DP374" t="s">
        <v>308</v>
      </c>
      <c r="DQ374">
        <v>8955</v>
      </c>
      <c r="DR374">
        <v>1</v>
      </c>
      <c r="DS374">
        <v>657</v>
      </c>
      <c r="DV374">
        <v>355</v>
      </c>
      <c r="DW374" t="s">
        <v>356</v>
      </c>
      <c r="DX374">
        <v>8653.4629890233591</v>
      </c>
      <c r="DY374">
        <v>1932</v>
      </c>
      <c r="DZ374">
        <v>1502</v>
      </c>
      <c r="EA374">
        <v>924</v>
      </c>
      <c r="EB374">
        <v>4538</v>
      </c>
      <c r="EC374">
        <v>2848</v>
      </c>
      <c r="ED374">
        <v>1224</v>
      </c>
      <c r="EE374" s="82">
        <v>0.18666190707998001</v>
      </c>
      <c r="EF374" s="82">
        <v>0.31034094060455802</v>
      </c>
    </row>
    <row r="375" spans="1:136" x14ac:dyDescent="0.35">
      <c r="A375" s="72">
        <v>983</v>
      </c>
      <c r="B375" s="72">
        <v>11</v>
      </c>
      <c r="D375" s="72" t="s">
        <v>315</v>
      </c>
      <c r="E375" s="79">
        <v>7005200000</v>
      </c>
      <c r="F375" s="79">
        <v>2336950000</v>
      </c>
      <c r="G375" s="79">
        <v>2378600000</v>
      </c>
      <c r="H375" s="79">
        <v>101192</v>
      </c>
      <c r="I375" s="79">
        <v>4</v>
      </c>
      <c r="J375" s="79">
        <v>2378.6</v>
      </c>
      <c r="K375" s="79">
        <v>20488</v>
      </c>
      <c r="L375" s="79">
        <v>21313</v>
      </c>
      <c r="M375" s="79">
        <v>6715</v>
      </c>
      <c r="N375" s="79">
        <v>16695</v>
      </c>
      <c r="O375" s="79">
        <v>11925.7</v>
      </c>
      <c r="P375" s="79">
        <v>3285.6666666666702</v>
      </c>
      <c r="Q375" s="79">
        <v>8963.6666666666697</v>
      </c>
      <c r="R375" s="79">
        <v>8875</v>
      </c>
      <c r="S375" s="79">
        <v>0</v>
      </c>
      <c r="T375" s="79">
        <v>3457</v>
      </c>
      <c r="U375" s="79">
        <v>48792</v>
      </c>
      <c r="V375" s="79">
        <v>108290</v>
      </c>
      <c r="W375" s="79">
        <v>138320</v>
      </c>
      <c r="X375" s="79">
        <v>4403.08</v>
      </c>
      <c r="Y375" s="79">
        <v>4884</v>
      </c>
      <c r="Z375" s="79">
        <v>0</v>
      </c>
      <c r="AA375" s="79">
        <v>0</v>
      </c>
      <c r="AB375" s="79">
        <v>0</v>
      </c>
      <c r="AC375" s="79">
        <v>12405</v>
      </c>
      <c r="AD375" s="79">
        <v>12405</v>
      </c>
      <c r="AE375" s="79">
        <v>495</v>
      </c>
      <c r="AF375" s="79">
        <v>0</v>
      </c>
      <c r="AG375" s="79">
        <v>885</v>
      </c>
      <c r="AH375" s="79">
        <v>628</v>
      </c>
      <c r="AI375" s="79">
        <v>257</v>
      </c>
      <c r="AJ375" s="79">
        <v>47693</v>
      </c>
      <c r="AK375" s="79">
        <v>47693</v>
      </c>
      <c r="AL375" s="79">
        <v>10</v>
      </c>
      <c r="AM375" s="79">
        <v>0</v>
      </c>
      <c r="AN375" s="79">
        <v>0</v>
      </c>
      <c r="AO375" s="79">
        <v>0</v>
      </c>
      <c r="AP375" s="79">
        <v>7161</v>
      </c>
      <c r="AQ375" s="79">
        <v>4755</v>
      </c>
      <c r="AR375" s="80">
        <v>3.7905550000000001E-3</v>
      </c>
      <c r="AS375" s="80">
        <v>5.9178110000000003E-3</v>
      </c>
      <c r="AT375" s="79">
        <v>77501.125</v>
      </c>
      <c r="AU375" s="79">
        <v>0</v>
      </c>
      <c r="AV375" s="79">
        <v>2153</v>
      </c>
      <c r="AW375" s="79">
        <v>16888.8663565891</v>
      </c>
      <c r="AX375" s="79">
        <v>15</v>
      </c>
      <c r="AY375" s="79">
        <v>15</v>
      </c>
      <c r="AZ375" s="79">
        <v>8824</v>
      </c>
      <c r="BA375" s="79">
        <v>1</v>
      </c>
      <c r="BB375" s="79">
        <v>0</v>
      </c>
      <c r="BC375" s="79">
        <v>0</v>
      </c>
      <c r="BD375" s="79">
        <v>0</v>
      </c>
      <c r="BE375" s="79">
        <v>0</v>
      </c>
      <c r="BF375" s="79">
        <v>0</v>
      </c>
      <c r="BG375" s="79">
        <v>0</v>
      </c>
      <c r="BH375" s="79">
        <v>0</v>
      </c>
      <c r="BI375" s="79">
        <v>0</v>
      </c>
      <c r="BJ375" s="79">
        <v>0</v>
      </c>
      <c r="BK375" s="79">
        <v>52</v>
      </c>
      <c r="BL375" s="79">
        <v>18015</v>
      </c>
      <c r="BM375" s="79">
        <v>628</v>
      </c>
      <c r="BN375" s="79">
        <v>257</v>
      </c>
      <c r="BO375">
        <v>22642</v>
      </c>
      <c r="BP375">
        <v>5774</v>
      </c>
      <c r="BQ375">
        <v>19950</v>
      </c>
      <c r="BR375">
        <v>5856</v>
      </c>
      <c r="BS375">
        <v>19847</v>
      </c>
      <c r="BT375">
        <v>5978</v>
      </c>
      <c r="BU375">
        <v>19441</v>
      </c>
      <c r="BV375">
        <v>6082</v>
      </c>
      <c r="BW375">
        <v>19267</v>
      </c>
      <c r="BX375">
        <v>6058</v>
      </c>
      <c r="BY375">
        <v>18989</v>
      </c>
      <c r="BZ375">
        <v>6092</v>
      </c>
      <c r="CA375">
        <v>18242</v>
      </c>
      <c r="CB375">
        <v>3049.4482236776398</v>
      </c>
      <c r="CC375">
        <v>484.25199507758401</v>
      </c>
      <c r="CD375">
        <v>374.463803234539</v>
      </c>
      <c r="CE375">
        <v>27721.0128344941</v>
      </c>
      <c r="CF375">
        <v>5837.07482374553</v>
      </c>
      <c r="CG375">
        <v>578.62911259784596</v>
      </c>
      <c r="CH375">
        <v>1281</v>
      </c>
      <c r="CI375">
        <v>923.52922682703695</v>
      </c>
      <c r="CJ375">
        <v>845.38241590631003</v>
      </c>
      <c r="CK375" s="81">
        <v>5678</v>
      </c>
      <c r="CL375">
        <v>1352</v>
      </c>
      <c r="CM375">
        <v>18522.7605200705</v>
      </c>
      <c r="CN375">
        <v>8.7681067260516397</v>
      </c>
      <c r="CO375">
        <v>79879</v>
      </c>
      <c r="CP375">
        <v>12110</v>
      </c>
      <c r="CQ375">
        <v>2488</v>
      </c>
      <c r="CR375">
        <v>2728</v>
      </c>
      <c r="CS375">
        <v>2394</v>
      </c>
      <c r="CT375">
        <v>1313</v>
      </c>
      <c r="CU375">
        <v>1931.85015994732</v>
      </c>
      <c r="CV375">
        <v>1178.46360391299</v>
      </c>
      <c r="CW375">
        <v>449.83153478452499</v>
      </c>
      <c r="CX375">
        <v>4166.4221527797899</v>
      </c>
      <c r="CY375">
        <v>2541.5930113967302</v>
      </c>
      <c r="CZ375">
        <v>970.15188362035099</v>
      </c>
      <c r="DA375">
        <v>104841.4</v>
      </c>
      <c r="DE375">
        <v>1930</v>
      </c>
      <c r="DF375" t="s">
        <v>216</v>
      </c>
      <c r="DG375">
        <v>17402</v>
      </c>
      <c r="DH375">
        <v>17084</v>
      </c>
      <c r="DI375">
        <v>16807</v>
      </c>
      <c r="DJ375">
        <v>16586</v>
      </c>
      <c r="DK375">
        <v>16424</v>
      </c>
      <c r="DO375">
        <v>983</v>
      </c>
      <c r="DP375" t="s">
        <v>315</v>
      </c>
      <c r="DQ375">
        <v>47693</v>
      </c>
      <c r="DR375">
        <v>1</v>
      </c>
      <c r="DS375">
        <v>1625</v>
      </c>
      <c r="DV375">
        <v>299</v>
      </c>
      <c r="DW375" t="s">
        <v>357</v>
      </c>
      <c r="DX375">
        <v>6200.4978363898599</v>
      </c>
      <c r="DY375">
        <v>1246</v>
      </c>
      <c r="DZ375">
        <v>1093</v>
      </c>
      <c r="EA375">
        <v>475</v>
      </c>
      <c r="EB375">
        <v>3794</v>
      </c>
      <c r="EC375">
        <v>2203</v>
      </c>
      <c r="ED375">
        <v>681</v>
      </c>
      <c r="EE375" s="82">
        <v>0.212383386386713</v>
      </c>
      <c r="EF375" s="82">
        <v>0.51150633355827801</v>
      </c>
    </row>
    <row r="376" spans="1:136" x14ac:dyDescent="0.35">
      <c r="A376" s="72">
        <v>984</v>
      </c>
      <c r="B376" s="72">
        <v>11</v>
      </c>
      <c r="D376" s="72" t="s">
        <v>316</v>
      </c>
      <c r="E376" s="79">
        <v>3109200000</v>
      </c>
      <c r="F376" s="79">
        <v>1020950000</v>
      </c>
      <c r="G376" s="79">
        <v>1086050000</v>
      </c>
      <c r="H376" s="79">
        <v>43341</v>
      </c>
      <c r="I376" s="79">
        <v>4</v>
      </c>
      <c r="J376" s="79">
        <v>1086.05</v>
      </c>
      <c r="K376" s="79">
        <v>9397</v>
      </c>
      <c r="L376" s="79">
        <v>8862</v>
      </c>
      <c r="M376" s="79">
        <v>2870</v>
      </c>
      <c r="N376" s="79">
        <v>5729</v>
      </c>
      <c r="O376" s="79">
        <v>3809.5</v>
      </c>
      <c r="P376" s="79">
        <v>836.33333333333303</v>
      </c>
      <c r="Q376" s="79">
        <v>3538.3333333333298</v>
      </c>
      <c r="R376" s="79">
        <v>2725</v>
      </c>
      <c r="S376" s="79">
        <v>0</v>
      </c>
      <c r="T376" s="79">
        <v>1217</v>
      </c>
      <c r="U376" s="79">
        <v>19442</v>
      </c>
      <c r="V376" s="79">
        <v>46170</v>
      </c>
      <c r="W376" s="79">
        <v>41920</v>
      </c>
      <c r="X376" s="79">
        <v>699.12</v>
      </c>
      <c r="Y376" s="79">
        <v>1640.8</v>
      </c>
      <c r="Z376" s="79">
        <v>0</v>
      </c>
      <c r="AA376" s="79">
        <v>0</v>
      </c>
      <c r="AB376" s="79">
        <v>0</v>
      </c>
      <c r="AC376" s="79">
        <v>16320</v>
      </c>
      <c r="AD376" s="79">
        <v>16320</v>
      </c>
      <c r="AE376" s="79">
        <v>180</v>
      </c>
      <c r="AF376" s="79">
        <v>0</v>
      </c>
      <c r="AG376" s="79">
        <v>560</v>
      </c>
      <c r="AH376" s="79">
        <v>263</v>
      </c>
      <c r="AI376" s="79">
        <v>297</v>
      </c>
      <c r="AJ376" s="79">
        <v>19195</v>
      </c>
      <c r="AK376" s="79">
        <v>19195</v>
      </c>
      <c r="AL376" s="79">
        <v>0</v>
      </c>
      <c r="AM376" s="79">
        <v>0</v>
      </c>
      <c r="AN376" s="79">
        <v>0</v>
      </c>
      <c r="AO376" s="79">
        <v>0</v>
      </c>
      <c r="AP376" s="79">
        <v>626</v>
      </c>
      <c r="AQ376" s="79">
        <v>0</v>
      </c>
      <c r="AR376" s="80">
        <v>4.4822599999999997E-4</v>
      </c>
      <c r="AS376" s="80">
        <v>7.3056800000000002E-4</v>
      </c>
      <c r="AT376" s="79">
        <v>19099.025000000001</v>
      </c>
      <c r="AU376" s="79">
        <v>0</v>
      </c>
      <c r="AV376" s="79">
        <v>1366</v>
      </c>
      <c r="AW376" s="79">
        <v>3588.1094545454498</v>
      </c>
      <c r="AX376" s="79">
        <v>14</v>
      </c>
      <c r="AY376" s="79">
        <v>14</v>
      </c>
      <c r="AZ376" s="79">
        <v>4021</v>
      </c>
      <c r="BA376" s="79">
        <v>1</v>
      </c>
      <c r="BB376" s="79">
        <v>0</v>
      </c>
      <c r="BC376" s="79">
        <v>0</v>
      </c>
      <c r="BD376" s="79">
        <v>0</v>
      </c>
      <c r="BE376" s="79">
        <v>0</v>
      </c>
      <c r="BF376" s="79">
        <v>0</v>
      </c>
      <c r="BG376" s="79">
        <v>0</v>
      </c>
      <c r="BH376" s="79">
        <v>0</v>
      </c>
      <c r="BI376" s="79">
        <v>0</v>
      </c>
      <c r="BJ376" s="79">
        <v>0</v>
      </c>
      <c r="BK376" s="79">
        <v>24</v>
      </c>
      <c r="BL376" s="79">
        <v>5871</v>
      </c>
      <c r="BM376" s="79">
        <v>263</v>
      </c>
      <c r="BN376" s="79">
        <v>297</v>
      </c>
      <c r="BO376">
        <v>11686</v>
      </c>
      <c r="BP376">
        <v>2281</v>
      </c>
      <c r="BQ376">
        <v>10548</v>
      </c>
      <c r="BR376">
        <v>2316</v>
      </c>
      <c r="BS376">
        <v>9391</v>
      </c>
      <c r="BT376">
        <v>2273</v>
      </c>
      <c r="BU376">
        <v>9266</v>
      </c>
      <c r="BV376">
        <v>2346</v>
      </c>
      <c r="BW376">
        <v>9146</v>
      </c>
      <c r="BX376">
        <v>2361</v>
      </c>
      <c r="BY376">
        <v>9045</v>
      </c>
      <c r="BZ376">
        <v>2416</v>
      </c>
      <c r="CA376">
        <v>8233</v>
      </c>
      <c r="CB376">
        <v>1024.30898921311</v>
      </c>
      <c r="CC376">
        <v>131.77914882468201</v>
      </c>
      <c r="CD376">
        <v>118.01414593995599</v>
      </c>
      <c r="CE376">
        <v>11847.5622650819</v>
      </c>
      <c r="CF376">
        <v>2873.1430296806898</v>
      </c>
      <c r="CG376">
        <v>209.863830188679</v>
      </c>
      <c r="CH376">
        <v>466</v>
      </c>
      <c r="CI376">
        <v>289.26746518288797</v>
      </c>
      <c r="CJ376">
        <v>250.45740060002299</v>
      </c>
      <c r="CK376" s="81">
        <v>2702</v>
      </c>
      <c r="CL376">
        <v>692</v>
      </c>
      <c r="CM376">
        <v>6861.9962874500497</v>
      </c>
      <c r="CN376">
        <v>1.8367350339567099</v>
      </c>
      <c r="CO376">
        <v>34479</v>
      </c>
      <c r="CP376">
        <v>5175</v>
      </c>
      <c r="CQ376">
        <v>817</v>
      </c>
      <c r="CR376">
        <v>987</v>
      </c>
      <c r="CS376">
        <v>922</v>
      </c>
      <c r="CT376">
        <v>432</v>
      </c>
      <c r="CU376">
        <v>626.90700356975003</v>
      </c>
      <c r="CV376">
        <v>393.92542009685201</v>
      </c>
      <c r="CW376">
        <v>120.26136250815701</v>
      </c>
      <c r="CX376">
        <v>1508.5258066967201</v>
      </c>
      <c r="CY376">
        <v>947.90241414782997</v>
      </c>
      <c r="CZ376">
        <v>289.38481761893399</v>
      </c>
      <c r="DA376">
        <v>100577</v>
      </c>
      <c r="DE376">
        <v>1931</v>
      </c>
      <c r="DF376" t="s">
        <v>170</v>
      </c>
      <c r="DG376">
        <v>12321</v>
      </c>
      <c r="DH376">
        <v>12173</v>
      </c>
      <c r="DI376">
        <v>12046</v>
      </c>
      <c r="DJ376">
        <v>11901</v>
      </c>
      <c r="DK376">
        <v>11839</v>
      </c>
      <c r="DO376">
        <v>984</v>
      </c>
      <c r="DP376" t="s">
        <v>316</v>
      </c>
      <c r="DQ376">
        <v>19195</v>
      </c>
      <c r="DR376">
        <v>1</v>
      </c>
      <c r="DS376">
        <v>995</v>
      </c>
      <c r="DV376">
        <v>637</v>
      </c>
      <c r="DW376" t="s">
        <v>358</v>
      </c>
      <c r="DX376">
        <v>15522.2362207556</v>
      </c>
      <c r="DY376">
        <v>3287</v>
      </c>
      <c r="DZ376">
        <v>2330</v>
      </c>
      <c r="EA376">
        <v>1201</v>
      </c>
      <c r="EB376">
        <v>9210</v>
      </c>
      <c r="EC376">
        <v>4504</v>
      </c>
      <c r="ED376">
        <v>1635</v>
      </c>
      <c r="EE376" s="82">
        <v>0.17602447267281299</v>
      </c>
      <c r="EF376" s="82">
        <v>0.42615606722440202</v>
      </c>
    </row>
    <row r="377" spans="1:136" x14ac:dyDescent="0.35">
      <c r="A377" s="72">
        <v>986</v>
      </c>
      <c r="B377" s="72">
        <v>11</v>
      </c>
      <c r="D377" s="72" t="s">
        <v>321</v>
      </c>
      <c r="E377" s="79">
        <v>986400000</v>
      </c>
      <c r="F377" s="79">
        <v>88550000</v>
      </c>
      <c r="G377" s="79">
        <v>100100000</v>
      </c>
      <c r="H377" s="79">
        <v>12390</v>
      </c>
      <c r="I377" s="79">
        <v>3</v>
      </c>
      <c r="J377" s="79">
        <v>100.1</v>
      </c>
      <c r="K377" s="79">
        <v>2363</v>
      </c>
      <c r="L377" s="79">
        <v>3262</v>
      </c>
      <c r="M377" s="79">
        <v>1097</v>
      </c>
      <c r="N377" s="79">
        <v>1421</v>
      </c>
      <c r="O377" s="79">
        <v>835.8</v>
      </c>
      <c r="P377" s="79">
        <v>123.666666666667</v>
      </c>
      <c r="Q377" s="79">
        <v>798.66666666666697</v>
      </c>
      <c r="R377" s="79">
        <v>180</v>
      </c>
      <c r="S377" s="79">
        <v>0</v>
      </c>
      <c r="T377" s="79">
        <v>389</v>
      </c>
      <c r="U377" s="79">
        <v>5655</v>
      </c>
      <c r="V377" s="79">
        <v>8200</v>
      </c>
      <c r="W377" s="79">
        <v>1110</v>
      </c>
      <c r="X377" s="79">
        <v>0</v>
      </c>
      <c r="Y377" s="79">
        <v>0</v>
      </c>
      <c r="Z377" s="79">
        <v>0</v>
      </c>
      <c r="AA377" s="79">
        <v>0</v>
      </c>
      <c r="AB377" s="79">
        <v>0</v>
      </c>
      <c r="AC377" s="79">
        <v>3150</v>
      </c>
      <c r="AD377" s="79">
        <v>3150</v>
      </c>
      <c r="AE377" s="79">
        <v>2</v>
      </c>
      <c r="AF377" s="79">
        <v>0</v>
      </c>
      <c r="AG377" s="79">
        <v>87</v>
      </c>
      <c r="AH377" s="79">
        <v>77</v>
      </c>
      <c r="AI377" s="79">
        <v>11</v>
      </c>
      <c r="AJ377" s="79">
        <v>5852</v>
      </c>
      <c r="AK377" s="79">
        <v>5852</v>
      </c>
      <c r="AL377" s="79">
        <v>0</v>
      </c>
      <c r="AM377" s="79">
        <v>0</v>
      </c>
      <c r="AN377" s="79">
        <v>0</v>
      </c>
      <c r="AO377" s="79">
        <v>0</v>
      </c>
      <c r="AP377" s="79">
        <v>0</v>
      </c>
      <c r="AQ377" s="79">
        <v>0</v>
      </c>
      <c r="AR377" s="80">
        <v>3.0101100000000001E-4</v>
      </c>
      <c r="AS377" s="80">
        <v>1.2288699999999999E-4</v>
      </c>
      <c r="AT377" s="79">
        <v>3171.7840000000001</v>
      </c>
      <c r="AU377" s="79">
        <v>0</v>
      </c>
      <c r="AV377" s="79">
        <v>103</v>
      </c>
      <c r="AW377" s="79">
        <v>404.87626903553303</v>
      </c>
      <c r="AX377" s="79">
        <v>6</v>
      </c>
      <c r="AY377" s="79">
        <v>6</v>
      </c>
      <c r="AZ377" s="79">
        <v>1165</v>
      </c>
      <c r="BA377" s="79">
        <v>1</v>
      </c>
      <c r="BB377" s="79">
        <v>0</v>
      </c>
      <c r="BC377" s="79">
        <v>0</v>
      </c>
      <c r="BD377" s="79">
        <v>0</v>
      </c>
      <c r="BE377" s="79">
        <v>0</v>
      </c>
      <c r="BF377" s="79">
        <v>0</v>
      </c>
      <c r="BG377" s="79">
        <v>0</v>
      </c>
      <c r="BH377" s="79">
        <v>0</v>
      </c>
      <c r="BI377" s="79">
        <v>0</v>
      </c>
      <c r="BJ377" s="79">
        <v>0</v>
      </c>
      <c r="BK377" s="79">
        <v>6</v>
      </c>
      <c r="BL377" s="79">
        <v>1572</v>
      </c>
      <c r="BM377" s="79">
        <v>77</v>
      </c>
      <c r="BN377" s="79">
        <v>11</v>
      </c>
      <c r="BO377">
        <v>2686</v>
      </c>
      <c r="BP377">
        <v>0</v>
      </c>
      <c r="BQ377">
        <v>2391</v>
      </c>
      <c r="BR377">
        <v>0</v>
      </c>
      <c r="BS377">
        <v>2366</v>
      </c>
      <c r="BT377">
        <v>0</v>
      </c>
      <c r="BU377">
        <v>2343</v>
      </c>
      <c r="BV377">
        <v>0</v>
      </c>
      <c r="BW377">
        <v>2301</v>
      </c>
      <c r="BX377">
        <v>0</v>
      </c>
      <c r="BY377">
        <v>2228</v>
      </c>
      <c r="BZ377">
        <v>0</v>
      </c>
      <c r="CA377">
        <v>2093</v>
      </c>
      <c r="CB377">
        <v>237.377549118541</v>
      </c>
      <c r="CC377">
        <v>5.8994458385016904</v>
      </c>
      <c r="CD377">
        <v>4.9079080735725302</v>
      </c>
      <c r="CE377">
        <v>4098.7599666568403</v>
      </c>
      <c r="CF377">
        <v>847.61003110928698</v>
      </c>
      <c r="CG377">
        <v>47.337425531914903</v>
      </c>
      <c r="CH377">
        <v>127</v>
      </c>
      <c r="CI377">
        <v>39.802293877753499</v>
      </c>
      <c r="CJ377">
        <v>30.863730668841399</v>
      </c>
      <c r="CK377" s="81">
        <v>675</v>
      </c>
      <c r="CL377">
        <v>110</v>
      </c>
      <c r="CM377">
        <v>2373.5356833840701</v>
      </c>
      <c r="CN377">
        <v>6.8339872089057396E-2</v>
      </c>
      <c r="CO377">
        <v>9128</v>
      </c>
      <c r="CP377">
        <v>1856</v>
      </c>
      <c r="CQ377">
        <v>309</v>
      </c>
      <c r="CR377">
        <v>317</v>
      </c>
      <c r="CS377">
        <v>341</v>
      </c>
      <c r="CT377">
        <v>140</v>
      </c>
      <c r="CU377">
        <v>161.79545877129701</v>
      </c>
      <c r="CV377">
        <v>109.24406527806001</v>
      </c>
      <c r="CW377">
        <v>30.559777737914899</v>
      </c>
      <c r="CX377">
        <v>449.82035180210602</v>
      </c>
      <c r="CY377">
        <v>303.718066309454</v>
      </c>
      <c r="CZ377">
        <v>84.961655150618398</v>
      </c>
      <c r="DA377">
        <v>0</v>
      </c>
      <c r="DE377">
        <v>1940</v>
      </c>
      <c r="DF377" t="s">
        <v>77</v>
      </c>
      <c r="DG377">
        <v>12077.6</v>
      </c>
      <c r="DH377">
        <v>12011.35</v>
      </c>
      <c r="DI377">
        <v>11869.1</v>
      </c>
      <c r="DJ377">
        <v>11797.7</v>
      </c>
      <c r="DK377">
        <v>11642.25</v>
      </c>
      <c r="DO377">
        <v>986</v>
      </c>
      <c r="DP377" t="s">
        <v>321</v>
      </c>
      <c r="DQ377">
        <v>5852</v>
      </c>
      <c r="DR377">
        <v>1</v>
      </c>
      <c r="DS377">
        <v>542</v>
      </c>
      <c r="DV377">
        <v>638</v>
      </c>
      <c r="DW377" t="s">
        <v>359</v>
      </c>
      <c r="DX377">
        <v>839.85163204747801</v>
      </c>
      <c r="DY377">
        <v>187</v>
      </c>
      <c r="DZ377">
        <v>170</v>
      </c>
      <c r="EA377">
        <v>84</v>
      </c>
      <c r="EB377">
        <v>598</v>
      </c>
      <c r="EC377">
        <v>358</v>
      </c>
      <c r="ED377">
        <v>120</v>
      </c>
      <c r="EE377" s="82">
        <v>0.120955441212175</v>
      </c>
      <c r="EF377" s="82">
        <v>0.33125200513314101</v>
      </c>
    </row>
    <row r="378" spans="1:136" x14ac:dyDescent="0.35">
      <c r="A378" s="72">
        <v>988</v>
      </c>
      <c r="B378" s="72">
        <v>11</v>
      </c>
      <c r="D378" s="72" t="s">
        <v>332</v>
      </c>
      <c r="E378" s="79">
        <v>3890000000</v>
      </c>
      <c r="F378" s="79">
        <v>879550000</v>
      </c>
      <c r="G378" s="79">
        <v>922950000</v>
      </c>
      <c r="H378" s="79">
        <v>49855</v>
      </c>
      <c r="I378" s="79">
        <v>3</v>
      </c>
      <c r="J378" s="79">
        <v>922.95</v>
      </c>
      <c r="K378" s="79">
        <v>10103</v>
      </c>
      <c r="L378" s="79">
        <v>11232</v>
      </c>
      <c r="M378" s="79">
        <v>3790</v>
      </c>
      <c r="N378" s="79">
        <v>7142</v>
      </c>
      <c r="O378" s="79">
        <v>4807.3</v>
      </c>
      <c r="P378" s="79">
        <v>996.66666666666697</v>
      </c>
      <c r="Q378" s="79">
        <v>3875.6666666666702</v>
      </c>
      <c r="R378" s="79">
        <v>3905</v>
      </c>
      <c r="S378" s="79">
        <v>0</v>
      </c>
      <c r="T378" s="79">
        <v>1407</v>
      </c>
      <c r="U378" s="79">
        <v>23298</v>
      </c>
      <c r="V378" s="79">
        <v>54070</v>
      </c>
      <c r="W378" s="79">
        <v>55030</v>
      </c>
      <c r="X378" s="79">
        <v>987.78</v>
      </c>
      <c r="Y378" s="79">
        <v>2857.6</v>
      </c>
      <c r="Z378" s="79">
        <v>0</v>
      </c>
      <c r="AA378" s="79">
        <v>0</v>
      </c>
      <c r="AB378" s="79">
        <v>0</v>
      </c>
      <c r="AC378" s="79">
        <v>10419</v>
      </c>
      <c r="AD378" s="79">
        <v>10419</v>
      </c>
      <c r="AE378" s="79">
        <v>134</v>
      </c>
      <c r="AF378" s="79">
        <v>0</v>
      </c>
      <c r="AG378" s="79">
        <v>460</v>
      </c>
      <c r="AH378" s="79">
        <v>325</v>
      </c>
      <c r="AI378" s="79">
        <v>136</v>
      </c>
      <c r="AJ378" s="79">
        <v>23347</v>
      </c>
      <c r="AK378" s="79">
        <v>23347</v>
      </c>
      <c r="AL378" s="79">
        <v>13</v>
      </c>
      <c r="AM378" s="79">
        <v>0</v>
      </c>
      <c r="AN378" s="79">
        <v>0</v>
      </c>
      <c r="AO378" s="79">
        <v>0</v>
      </c>
      <c r="AP378" s="79">
        <v>1312</v>
      </c>
      <c r="AQ378" s="79">
        <v>1312</v>
      </c>
      <c r="AR378" s="80">
        <v>8.3736300000000004E-4</v>
      </c>
      <c r="AS378" s="80">
        <v>1.3613239999999999E-3</v>
      </c>
      <c r="AT378" s="79">
        <v>30654.611000000001</v>
      </c>
      <c r="AU378" s="79">
        <v>0</v>
      </c>
      <c r="AV378" s="79">
        <v>1424</v>
      </c>
      <c r="AW378" s="79">
        <v>6727.33061688619</v>
      </c>
      <c r="AX378" s="79">
        <v>8</v>
      </c>
      <c r="AY378" s="79">
        <v>8</v>
      </c>
      <c r="AZ378" s="79">
        <v>4895</v>
      </c>
      <c r="BA378" s="79">
        <v>1</v>
      </c>
      <c r="BB378" s="79">
        <v>0</v>
      </c>
      <c r="BC378" s="79">
        <v>0</v>
      </c>
      <c r="BD378" s="79">
        <v>0</v>
      </c>
      <c r="BE378" s="79">
        <v>0</v>
      </c>
      <c r="BF378" s="79">
        <v>0</v>
      </c>
      <c r="BG378" s="79">
        <v>0</v>
      </c>
      <c r="BH378" s="79">
        <v>0</v>
      </c>
      <c r="BI378" s="79">
        <v>0</v>
      </c>
      <c r="BJ378" s="79">
        <v>0</v>
      </c>
      <c r="BK378" s="79">
        <v>56</v>
      </c>
      <c r="BL378" s="79">
        <v>7620</v>
      </c>
      <c r="BM378" s="79">
        <v>325</v>
      </c>
      <c r="BN378" s="79">
        <v>136</v>
      </c>
      <c r="BO378">
        <v>10905</v>
      </c>
      <c r="BP378">
        <v>3833</v>
      </c>
      <c r="BQ378">
        <v>9709</v>
      </c>
      <c r="BR378">
        <v>3791</v>
      </c>
      <c r="BS378">
        <v>9587</v>
      </c>
      <c r="BT378">
        <v>3750</v>
      </c>
      <c r="BU378">
        <v>9487</v>
      </c>
      <c r="BV378">
        <v>3801</v>
      </c>
      <c r="BW378">
        <v>9351</v>
      </c>
      <c r="BX378">
        <v>3725</v>
      </c>
      <c r="BY378">
        <v>9201</v>
      </c>
      <c r="BZ378">
        <v>3673</v>
      </c>
      <c r="CA378">
        <v>8914</v>
      </c>
      <c r="CB378">
        <v>1063.93162185398</v>
      </c>
      <c r="CC378">
        <v>112.915940281389</v>
      </c>
      <c r="CD378">
        <v>160.60872532357499</v>
      </c>
      <c r="CE378">
        <v>14449.630758212499</v>
      </c>
      <c r="CF378">
        <v>3311.2138885529698</v>
      </c>
      <c r="CG378">
        <v>278.74052781894102</v>
      </c>
      <c r="CH378">
        <v>494</v>
      </c>
      <c r="CI378">
        <v>286.05025511592999</v>
      </c>
      <c r="CJ378">
        <v>241.588512476793</v>
      </c>
      <c r="CK378" s="81">
        <v>2879</v>
      </c>
      <c r="CL378">
        <v>663</v>
      </c>
      <c r="CM378">
        <v>8757.6247454175209</v>
      </c>
      <c r="CN378">
        <v>2.0772276623136801</v>
      </c>
      <c r="CO378">
        <v>38623</v>
      </c>
      <c r="CP378">
        <v>6246</v>
      </c>
      <c r="CQ378">
        <v>1196</v>
      </c>
      <c r="CR378">
        <v>1338</v>
      </c>
      <c r="CS378">
        <v>1259</v>
      </c>
      <c r="CT378">
        <v>582</v>
      </c>
      <c r="CU378">
        <v>807.51827495887699</v>
      </c>
      <c r="CV378">
        <v>539.85540972518504</v>
      </c>
      <c r="CW378">
        <v>171.51012826128101</v>
      </c>
      <c r="CX378">
        <v>1856.6333260889801</v>
      </c>
      <c r="CY378">
        <v>1241.2270731783001</v>
      </c>
      <c r="CZ378">
        <v>394.33339128814902</v>
      </c>
      <c r="DA378">
        <v>33834.800000000003</v>
      </c>
      <c r="DE378">
        <v>1942</v>
      </c>
      <c r="DF378" t="s">
        <v>118</v>
      </c>
      <c r="DG378">
        <v>13142</v>
      </c>
      <c r="DH378">
        <v>13204</v>
      </c>
      <c r="DI378">
        <v>13304</v>
      </c>
      <c r="DJ378">
        <v>13346</v>
      </c>
      <c r="DK378">
        <v>13271</v>
      </c>
      <c r="DO378">
        <v>988</v>
      </c>
      <c r="DP378" t="s">
        <v>332</v>
      </c>
      <c r="DQ378">
        <v>23347</v>
      </c>
      <c r="DR378">
        <v>1</v>
      </c>
      <c r="DS378">
        <v>1313</v>
      </c>
      <c r="DV378">
        <v>56</v>
      </c>
      <c r="DW378" t="s">
        <v>803</v>
      </c>
      <c r="DX378">
        <v>2058.69300552196</v>
      </c>
      <c r="DY378">
        <v>440</v>
      </c>
      <c r="DZ378">
        <v>338</v>
      </c>
      <c r="EA378">
        <v>169</v>
      </c>
      <c r="EB378">
        <v>1363</v>
      </c>
      <c r="EC378">
        <v>766</v>
      </c>
      <c r="ED378">
        <v>232</v>
      </c>
      <c r="EE378" s="82">
        <v>0.15762645545262899</v>
      </c>
      <c r="EF378" s="82">
        <v>0.45316433785906901</v>
      </c>
    </row>
    <row r="379" spans="1:136" x14ac:dyDescent="0.35">
      <c r="A379" s="72">
        <v>34</v>
      </c>
      <c r="B379" s="72">
        <v>12</v>
      </c>
      <c r="D379" s="72" t="s">
        <v>19</v>
      </c>
      <c r="E379" s="79">
        <v>12845600000</v>
      </c>
      <c r="F379" s="79">
        <v>2333800000</v>
      </c>
      <c r="G379" s="79">
        <v>2363900000</v>
      </c>
      <c r="H379" s="79">
        <v>203990</v>
      </c>
      <c r="I379" s="79">
        <v>1</v>
      </c>
      <c r="J379" s="79">
        <v>2363.9</v>
      </c>
      <c r="K379" s="79">
        <v>52857</v>
      </c>
      <c r="L379" s="79">
        <v>22066</v>
      </c>
      <c r="M379" s="79">
        <v>5485</v>
      </c>
      <c r="N379" s="79">
        <v>23501</v>
      </c>
      <c r="O379" s="79">
        <v>15216.4</v>
      </c>
      <c r="P379" s="79">
        <v>6082.3333333333303</v>
      </c>
      <c r="Q379" s="79">
        <v>16600.333333333299</v>
      </c>
      <c r="R379" s="79">
        <v>42690</v>
      </c>
      <c r="S379" s="79">
        <v>1892</v>
      </c>
      <c r="T379" s="79">
        <v>10499</v>
      </c>
      <c r="U379" s="79">
        <v>87514</v>
      </c>
      <c r="V379" s="79">
        <v>212630</v>
      </c>
      <c r="W379" s="79">
        <v>273110</v>
      </c>
      <c r="X379" s="79">
        <v>4979.42</v>
      </c>
      <c r="Y379" s="79">
        <v>10455.200000000001</v>
      </c>
      <c r="Z379" s="79">
        <v>0</v>
      </c>
      <c r="AA379" s="79">
        <v>0</v>
      </c>
      <c r="AB379" s="79">
        <v>179.19999999999899</v>
      </c>
      <c r="AC379" s="79">
        <v>12906</v>
      </c>
      <c r="AD379" s="79">
        <v>15874.38</v>
      </c>
      <c r="AE379" s="79">
        <v>2089</v>
      </c>
      <c r="AF379" s="79">
        <v>9882</v>
      </c>
      <c r="AG379" s="79">
        <v>793</v>
      </c>
      <c r="AH379" s="79">
        <v>938.24</v>
      </c>
      <c r="AI379" s="79">
        <v>72</v>
      </c>
      <c r="AJ379" s="79">
        <v>82846</v>
      </c>
      <c r="AK379" s="79">
        <v>106042.88</v>
      </c>
      <c r="AL379" s="79">
        <v>0</v>
      </c>
      <c r="AM379" s="79">
        <v>0</v>
      </c>
      <c r="AN379" s="79">
        <v>0</v>
      </c>
      <c r="AO379" s="79">
        <v>0</v>
      </c>
      <c r="AP379" s="79">
        <v>0</v>
      </c>
      <c r="AQ379" s="79">
        <v>0</v>
      </c>
      <c r="AR379" s="80">
        <v>0</v>
      </c>
      <c r="AS379" s="80">
        <v>2.6008800000000001E-4</v>
      </c>
      <c r="AT379" s="79">
        <v>131228.06400000001</v>
      </c>
      <c r="AU379" s="79">
        <v>0</v>
      </c>
      <c r="AV379" s="79">
        <v>7183.2</v>
      </c>
      <c r="AW379" s="79">
        <v>180680.31641213701</v>
      </c>
      <c r="AX379" s="79">
        <v>6</v>
      </c>
      <c r="AY379" s="79">
        <v>7.2</v>
      </c>
      <c r="AZ379" s="79">
        <v>19661</v>
      </c>
      <c r="BA379" s="79">
        <v>1</v>
      </c>
      <c r="BB379" s="79">
        <v>0</v>
      </c>
      <c r="BC379" s="79">
        <v>0</v>
      </c>
      <c r="BD379" s="79">
        <v>0</v>
      </c>
      <c r="BE379" s="79">
        <v>0</v>
      </c>
      <c r="BF379" s="79">
        <v>0</v>
      </c>
      <c r="BG379" s="79">
        <v>0</v>
      </c>
      <c r="BH379" s="79">
        <v>0</v>
      </c>
      <c r="BI379" s="79">
        <v>0</v>
      </c>
      <c r="BJ379" s="79">
        <v>0</v>
      </c>
      <c r="BK379" s="79">
        <v>149</v>
      </c>
      <c r="BL379" s="79">
        <v>26935</v>
      </c>
      <c r="BM379" s="79">
        <v>733</v>
      </c>
      <c r="BN379" s="79">
        <v>60</v>
      </c>
      <c r="BO379">
        <v>54111</v>
      </c>
      <c r="BP379">
        <v>11718</v>
      </c>
      <c r="BQ379">
        <v>48858</v>
      </c>
      <c r="BR379">
        <v>11797</v>
      </c>
      <c r="BS379">
        <v>48704</v>
      </c>
      <c r="BT379">
        <v>11827</v>
      </c>
      <c r="BU379">
        <v>48600</v>
      </c>
      <c r="BV379">
        <v>12110</v>
      </c>
      <c r="BW379">
        <v>48544</v>
      </c>
      <c r="BX379">
        <v>12210</v>
      </c>
      <c r="BY379">
        <v>48247</v>
      </c>
      <c r="BZ379">
        <v>12471</v>
      </c>
      <c r="CA379">
        <v>47390</v>
      </c>
      <c r="CB379">
        <v>7694.5697193944197</v>
      </c>
      <c r="CC379">
        <v>750.03248131796704</v>
      </c>
      <c r="CD379">
        <v>750.76607232456195</v>
      </c>
      <c r="CE379">
        <v>54499.321219246798</v>
      </c>
      <c r="CF379">
        <v>15698.432797937699</v>
      </c>
      <c r="CG379">
        <v>1300.4486561413901</v>
      </c>
      <c r="CH379">
        <v>4390</v>
      </c>
      <c r="CI379">
        <v>2393.3565351625102</v>
      </c>
      <c r="CJ379">
        <v>2304.1371344152299</v>
      </c>
      <c r="CK379" s="81">
        <v>10518</v>
      </c>
      <c r="CL379">
        <v>2387</v>
      </c>
      <c r="CM379">
        <v>19547.7076080648</v>
      </c>
      <c r="CN379">
        <v>13.8315640373274</v>
      </c>
      <c r="CO379">
        <v>181924</v>
      </c>
      <c r="CP379">
        <v>14619</v>
      </c>
      <c r="CQ379">
        <v>1962</v>
      </c>
      <c r="CR379">
        <v>3516</v>
      </c>
      <c r="CS379">
        <v>2041</v>
      </c>
      <c r="CT379">
        <v>1033</v>
      </c>
      <c r="CU379">
        <v>1797.2021949925399</v>
      </c>
      <c r="CV379">
        <v>726.59498041803795</v>
      </c>
      <c r="CW379">
        <v>263.7488351568</v>
      </c>
      <c r="CX379">
        <v>4632.1155267161303</v>
      </c>
      <c r="CY379">
        <v>1872.72856654972</v>
      </c>
      <c r="CZ379">
        <v>679.78721475364</v>
      </c>
      <c r="DA379">
        <v>58427</v>
      </c>
      <c r="DE379">
        <v>1945</v>
      </c>
      <c r="DF379" t="s">
        <v>40</v>
      </c>
      <c r="DG379">
        <v>6952</v>
      </c>
      <c r="DH379">
        <v>6878</v>
      </c>
      <c r="DI379">
        <v>6746</v>
      </c>
      <c r="DJ379">
        <v>6569</v>
      </c>
      <c r="DK379">
        <v>6472</v>
      </c>
      <c r="DO379">
        <v>34</v>
      </c>
      <c r="DP379" t="s">
        <v>19</v>
      </c>
      <c r="DQ379">
        <v>82846</v>
      </c>
      <c r="DR379">
        <v>1.28</v>
      </c>
      <c r="DS379">
        <v>1584</v>
      </c>
      <c r="DV379">
        <v>1892</v>
      </c>
      <c r="DW379" t="s">
        <v>360</v>
      </c>
      <c r="DX379">
        <v>4113.7265347238699</v>
      </c>
      <c r="DY379">
        <v>841</v>
      </c>
      <c r="DZ379">
        <v>769</v>
      </c>
      <c r="EA379">
        <v>361</v>
      </c>
      <c r="EB379">
        <v>2792</v>
      </c>
      <c r="EC379">
        <v>1653</v>
      </c>
      <c r="ED379">
        <v>512</v>
      </c>
      <c r="EE379" s="82">
        <v>0.13174618526977999</v>
      </c>
      <c r="EF379" s="82">
        <v>0.34052834202927901</v>
      </c>
    </row>
    <row r="380" spans="1:136" x14ac:dyDescent="0.35">
      <c r="A380" s="72">
        <v>303</v>
      </c>
      <c r="B380" s="72">
        <v>12</v>
      </c>
      <c r="D380" s="72" t="s">
        <v>93</v>
      </c>
      <c r="E380" s="79">
        <v>2676800000</v>
      </c>
      <c r="F380" s="79">
        <v>680750000</v>
      </c>
      <c r="G380" s="79">
        <v>774900000</v>
      </c>
      <c r="H380" s="79">
        <v>40735</v>
      </c>
      <c r="I380" s="79">
        <v>3</v>
      </c>
      <c r="J380" s="79">
        <v>774.9</v>
      </c>
      <c r="K380" s="79">
        <v>9950</v>
      </c>
      <c r="L380" s="79">
        <v>7074</v>
      </c>
      <c r="M380" s="79">
        <v>2194</v>
      </c>
      <c r="N380" s="79">
        <v>4414</v>
      </c>
      <c r="O380" s="79">
        <v>2602.6</v>
      </c>
      <c r="P380" s="79">
        <v>664.33333333333303</v>
      </c>
      <c r="Q380" s="79">
        <v>2522.3333333333298</v>
      </c>
      <c r="R380" s="79">
        <v>1995</v>
      </c>
      <c r="S380" s="79">
        <v>0</v>
      </c>
      <c r="T380" s="79">
        <v>1121</v>
      </c>
      <c r="U380" s="79">
        <v>18012</v>
      </c>
      <c r="V380" s="79">
        <v>38960</v>
      </c>
      <c r="W380" s="79">
        <v>23650</v>
      </c>
      <c r="X380" s="79">
        <v>344.52</v>
      </c>
      <c r="Y380" s="79">
        <v>1851.2</v>
      </c>
      <c r="Z380" s="79">
        <v>0</v>
      </c>
      <c r="AA380" s="79">
        <v>0</v>
      </c>
      <c r="AB380" s="79">
        <v>85.399999999999594</v>
      </c>
      <c r="AC380" s="79">
        <v>33358</v>
      </c>
      <c r="AD380" s="79">
        <v>34025.160000000003</v>
      </c>
      <c r="AE380" s="79">
        <v>5770</v>
      </c>
      <c r="AF380" s="79">
        <v>3261</v>
      </c>
      <c r="AG380" s="79">
        <v>388</v>
      </c>
      <c r="AH380" s="79">
        <v>235</v>
      </c>
      <c r="AI380" s="79">
        <v>155.04</v>
      </c>
      <c r="AJ380" s="79">
        <v>18114</v>
      </c>
      <c r="AK380" s="79">
        <v>18114</v>
      </c>
      <c r="AL380" s="79">
        <v>0</v>
      </c>
      <c r="AM380" s="79">
        <v>0</v>
      </c>
      <c r="AN380" s="79">
        <v>0</v>
      </c>
      <c r="AO380" s="79">
        <v>0</v>
      </c>
      <c r="AP380" s="79">
        <v>0</v>
      </c>
      <c r="AQ380" s="79">
        <v>0</v>
      </c>
      <c r="AR380" s="80">
        <v>0</v>
      </c>
      <c r="AS380" s="80">
        <v>1.8053899999999999E-4</v>
      </c>
      <c r="AT380" s="79">
        <v>13694.183999999999</v>
      </c>
      <c r="AU380" s="79">
        <v>0</v>
      </c>
      <c r="AV380" s="79">
        <v>7409.28</v>
      </c>
      <c r="AW380" s="79">
        <v>8168.0712635452901</v>
      </c>
      <c r="AX380" s="79">
        <v>12</v>
      </c>
      <c r="AY380" s="79">
        <v>12.24</v>
      </c>
      <c r="AZ380" s="79">
        <v>4334</v>
      </c>
      <c r="BA380" s="79">
        <v>1</v>
      </c>
      <c r="BB380" s="79">
        <v>0</v>
      </c>
      <c r="BC380" s="79">
        <v>0</v>
      </c>
      <c r="BD380" s="79">
        <v>0</v>
      </c>
      <c r="BE380" s="79">
        <v>0</v>
      </c>
      <c r="BF380" s="79">
        <v>0</v>
      </c>
      <c r="BG380" s="79">
        <v>0</v>
      </c>
      <c r="BH380" s="79">
        <v>0</v>
      </c>
      <c r="BI380" s="79">
        <v>0</v>
      </c>
      <c r="BJ380" s="79">
        <v>0</v>
      </c>
      <c r="BK380" s="79">
        <v>29</v>
      </c>
      <c r="BL380" s="79">
        <v>5294</v>
      </c>
      <c r="BM380" s="79">
        <v>235</v>
      </c>
      <c r="BN380" s="79">
        <v>152</v>
      </c>
      <c r="BO380">
        <v>10688</v>
      </c>
      <c r="BP380">
        <v>2026</v>
      </c>
      <c r="BQ380">
        <v>9601</v>
      </c>
      <c r="BR380">
        <v>2118</v>
      </c>
      <c r="BS380">
        <v>9642</v>
      </c>
      <c r="BT380">
        <v>2228</v>
      </c>
      <c r="BU380">
        <v>9613</v>
      </c>
      <c r="BV380">
        <v>2254</v>
      </c>
      <c r="BW380">
        <v>9580</v>
      </c>
      <c r="BX380">
        <v>2288</v>
      </c>
      <c r="BY380">
        <v>9451</v>
      </c>
      <c r="BZ380">
        <v>2344</v>
      </c>
      <c r="CA380">
        <v>8745</v>
      </c>
      <c r="CB380">
        <v>946.03400045513195</v>
      </c>
      <c r="CC380">
        <v>195.41579302666599</v>
      </c>
      <c r="CD380">
        <v>120.204505793002</v>
      </c>
      <c r="CE380">
        <v>10961.0164568974</v>
      </c>
      <c r="CF380">
        <v>2882.8822853541901</v>
      </c>
      <c r="CG380">
        <v>306.20859643539097</v>
      </c>
      <c r="CH380">
        <v>468</v>
      </c>
      <c r="CI380">
        <v>238.59371800875999</v>
      </c>
      <c r="CJ380">
        <v>207.17722655865899</v>
      </c>
      <c r="CK380" s="81">
        <v>1858</v>
      </c>
      <c r="CL380">
        <v>577</v>
      </c>
      <c r="CM380">
        <v>5079.79258474576</v>
      </c>
      <c r="CN380">
        <v>1.12695475042134</v>
      </c>
      <c r="CO380">
        <v>33661</v>
      </c>
      <c r="CP380">
        <v>4091</v>
      </c>
      <c r="CQ380">
        <v>789</v>
      </c>
      <c r="CR380">
        <v>710</v>
      </c>
      <c r="CS380">
        <v>661</v>
      </c>
      <c r="CT380">
        <v>396</v>
      </c>
      <c r="CU380">
        <v>353.11698821081302</v>
      </c>
      <c r="CV380">
        <v>216.35239391598199</v>
      </c>
      <c r="CW380">
        <v>86.0525125867686</v>
      </c>
      <c r="CX380">
        <v>1113.8779424575901</v>
      </c>
      <c r="CY380">
        <v>682.46549281575801</v>
      </c>
      <c r="CZ380">
        <v>271.44543837758198</v>
      </c>
      <c r="DA380">
        <v>17428</v>
      </c>
      <c r="DE380">
        <v>1948</v>
      </c>
      <c r="DF380" t="s">
        <v>198</v>
      </c>
      <c r="DG380">
        <v>17426</v>
      </c>
      <c r="DH380">
        <v>17317</v>
      </c>
      <c r="DI380">
        <v>17173</v>
      </c>
      <c r="DJ380">
        <v>17024</v>
      </c>
      <c r="DK380">
        <v>16797</v>
      </c>
      <c r="DO380">
        <v>303</v>
      </c>
      <c r="DP380" t="s">
        <v>93</v>
      </c>
      <c r="DQ380">
        <v>18114</v>
      </c>
      <c r="DR380">
        <v>1</v>
      </c>
      <c r="DS380">
        <v>756</v>
      </c>
      <c r="DV380">
        <v>879</v>
      </c>
      <c r="DW380" t="s">
        <v>361</v>
      </c>
      <c r="DX380">
        <v>2653.2658014139502</v>
      </c>
      <c r="DY380">
        <v>472</v>
      </c>
      <c r="DZ380">
        <v>445</v>
      </c>
      <c r="EA380">
        <v>277</v>
      </c>
      <c r="EB380">
        <v>1601</v>
      </c>
      <c r="EC380">
        <v>941</v>
      </c>
      <c r="ED380">
        <v>402</v>
      </c>
      <c r="EE380" s="82">
        <v>0.17768349570004699</v>
      </c>
      <c r="EF380" s="82">
        <v>0.44140850577478302</v>
      </c>
    </row>
    <row r="381" spans="1:136" x14ac:dyDescent="0.35">
      <c r="A381" s="72">
        <v>995</v>
      </c>
      <c r="B381" s="72">
        <v>12</v>
      </c>
      <c r="D381" s="72" t="s">
        <v>182</v>
      </c>
      <c r="E381" s="79">
        <v>4356400000</v>
      </c>
      <c r="F381" s="79">
        <v>1145550000</v>
      </c>
      <c r="G381" s="79">
        <v>1194550000</v>
      </c>
      <c r="H381" s="79">
        <v>77389</v>
      </c>
      <c r="I381" s="79">
        <v>1</v>
      </c>
      <c r="J381" s="79">
        <v>1194.55</v>
      </c>
      <c r="K381" s="79">
        <v>19183</v>
      </c>
      <c r="L381" s="79">
        <v>13005</v>
      </c>
      <c r="M381" s="79">
        <v>3130</v>
      </c>
      <c r="N381" s="79">
        <v>10891</v>
      </c>
      <c r="O381" s="79">
        <v>7565.3</v>
      </c>
      <c r="P381" s="79">
        <v>2326</v>
      </c>
      <c r="Q381" s="79">
        <v>7353</v>
      </c>
      <c r="R381" s="79">
        <v>11645</v>
      </c>
      <c r="S381" s="79">
        <v>0</v>
      </c>
      <c r="T381" s="79">
        <v>3417</v>
      </c>
      <c r="U381" s="79">
        <v>34593</v>
      </c>
      <c r="V381" s="79">
        <v>78420</v>
      </c>
      <c r="W381" s="79">
        <v>85310</v>
      </c>
      <c r="X381" s="79">
        <v>4072.2</v>
      </c>
      <c r="Y381" s="79">
        <v>3095.2</v>
      </c>
      <c r="Z381" s="79">
        <v>0</v>
      </c>
      <c r="AA381" s="79">
        <v>0</v>
      </c>
      <c r="AB381" s="79">
        <v>0</v>
      </c>
      <c r="AC381" s="79">
        <v>22954</v>
      </c>
      <c r="AD381" s="79">
        <v>25938.02</v>
      </c>
      <c r="AE381" s="79">
        <v>3058</v>
      </c>
      <c r="AF381" s="79">
        <v>10000</v>
      </c>
      <c r="AG381" s="79">
        <v>456</v>
      </c>
      <c r="AH381" s="79">
        <v>409.36</v>
      </c>
      <c r="AI381" s="79">
        <v>125.44</v>
      </c>
      <c r="AJ381" s="79">
        <v>33257</v>
      </c>
      <c r="AK381" s="79">
        <v>39575.83</v>
      </c>
      <c r="AL381" s="79">
        <v>0</v>
      </c>
      <c r="AM381" s="79">
        <v>0</v>
      </c>
      <c r="AN381" s="79">
        <v>0</v>
      </c>
      <c r="AO381" s="79">
        <v>0</v>
      </c>
      <c r="AP381" s="79">
        <v>0</v>
      </c>
      <c r="AQ381" s="79">
        <v>0</v>
      </c>
      <c r="AR381" s="80">
        <v>1.6395000000000001E-5</v>
      </c>
      <c r="AS381" s="80">
        <v>8.1816699999999996E-4</v>
      </c>
      <c r="AT381" s="79">
        <v>45362.548000000003</v>
      </c>
      <c r="AU381" s="79">
        <v>0</v>
      </c>
      <c r="AV381" s="79">
        <v>10321.42</v>
      </c>
      <c r="AW381" s="79">
        <v>47106.849717053701</v>
      </c>
      <c r="AX381" s="79">
        <v>6</v>
      </c>
      <c r="AY381" s="79">
        <v>6.72</v>
      </c>
      <c r="AZ381" s="79">
        <v>7539</v>
      </c>
      <c r="BA381" s="79">
        <v>1</v>
      </c>
      <c r="BB381" s="79">
        <v>0</v>
      </c>
      <c r="BC381" s="79">
        <v>0</v>
      </c>
      <c r="BD381" s="79">
        <v>0</v>
      </c>
      <c r="BE381" s="79">
        <v>0</v>
      </c>
      <c r="BF381" s="79">
        <v>0</v>
      </c>
      <c r="BG381" s="79">
        <v>0</v>
      </c>
      <c r="BH381" s="79">
        <v>0</v>
      </c>
      <c r="BI381" s="79">
        <v>0</v>
      </c>
      <c r="BJ381" s="79">
        <v>0</v>
      </c>
      <c r="BK381" s="79">
        <v>52</v>
      </c>
      <c r="BL381" s="79">
        <v>11394</v>
      </c>
      <c r="BM381" s="79">
        <v>344</v>
      </c>
      <c r="BN381" s="79">
        <v>112</v>
      </c>
      <c r="BO381">
        <v>19048</v>
      </c>
      <c r="BP381">
        <v>3567</v>
      </c>
      <c r="BQ381">
        <v>17374</v>
      </c>
      <c r="BR381">
        <v>3536</v>
      </c>
      <c r="BS381">
        <v>17416</v>
      </c>
      <c r="BT381">
        <v>3488</v>
      </c>
      <c r="BU381">
        <v>17565</v>
      </c>
      <c r="BV381">
        <v>3563</v>
      </c>
      <c r="BW381">
        <v>17520</v>
      </c>
      <c r="BX381">
        <v>3596</v>
      </c>
      <c r="BY381">
        <v>17476</v>
      </c>
      <c r="BZ381">
        <v>3664</v>
      </c>
      <c r="CA381">
        <v>17316</v>
      </c>
      <c r="CB381">
        <v>3127.65986520039</v>
      </c>
      <c r="CC381">
        <v>430.574114477195</v>
      </c>
      <c r="CD381">
        <v>401.98697619126801</v>
      </c>
      <c r="CE381">
        <v>19870.147291421199</v>
      </c>
      <c r="CF381">
        <v>5105.7991883749301</v>
      </c>
      <c r="CG381">
        <v>630.03850611476901</v>
      </c>
      <c r="CH381">
        <v>1412</v>
      </c>
      <c r="CI381">
        <v>835.11781798501795</v>
      </c>
      <c r="CJ381">
        <v>770.883755671176</v>
      </c>
      <c r="CK381" s="81">
        <v>5027</v>
      </c>
      <c r="CL381">
        <v>1450</v>
      </c>
      <c r="CM381">
        <v>9882.1939582248197</v>
      </c>
      <c r="CN381">
        <v>6.2523220466843403</v>
      </c>
      <c r="CO381">
        <v>64384</v>
      </c>
      <c r="CP381">
        <v>8935</v>
      </c>
      <c r="CQ381">
        <v>940</v>
      </c>
      <c r="CR381">
        <v>2077</v>
      </c>
      <c r="CS381">
        <v>1038</v>
      </c>
      <c r="CT381">
        <v>446</v>
      </c>
      <c r="CU381">
        <v>1309.5811367793101</v>
      </c>
      <c r="CV381">
        <v>513.64151586723597</v>
      </c>
      <c r="CW381">
        <v>140.352885425192</v>
      </c>
      <c r="CX381">
        <v>3051.2241469907599</v>
      </c>
      <c r="CY381">
        <v>1196.74554870682</v>
      </c>
      <c r="CZ381">
        <v>327.01151618782399</v>
      </c>
      <c r="DA381">
        <v>32114</v>
      </c>
      <c r="DE381">
        <v>1949</v>
      </c>
      <c r="DF381" t="s">
        <v>325</v>
      </c>
      <c r="DG381">
        <v>10881.79</v>
      </c>
      <c r="DH381">
        <v>10788.86</v>
      </c>
      <c r="DI381">
        <v>10698.86</v>
      </c>
      <c r="DJ381">
        <v>10507.58</v>
      </c>
      <c r="DK381">
        <v>10370.57</v>
      </c>
      <c r="DO381">
        <v>995</v>
      </c>
      <c r="DP381" t="s">
        <v>182</v>
      </c>
      <c r="DQ381">
        <v>33257</v>
      </c>
      <c r="DR381">
        <v>1.19</v>
      </c>
      <c r="DS381">
        <v>1364</v>
      </c>
      <c r="DV381">
        <v>301</v>
      </c>
      <c r="DW381" t="s">
        <v>362</v>
      </c>
      <c r="DX381">
        <v>7574.9666835629696</v>
      </c>
      <c r="DY381">
        <v>1556</v>
      </c>
      <c r="DZ381">
        <v>1002</v>
      </c>
      <c r="EA381">
        <v>605</v>
      </c>
      <c r="EB381">
        <v>3952</v>
      </c>
      <c r="EC381">
        <v>1921</v>
      </c>
      <c r="ED381">
        <v>825</v>
      </c>
      <c r="EE381" s="82">
        <v>0.237821285446326</v>
      </c>
      <c r="EF381" s="82">
        <v>0.52542617575569694</v>
      </c>
    </row>
    <row r="382" spans="1:136" x14ac:dyDescent="0.35">
      <c r="A382" s="72">
        <v>171</v>
      </c>
      <c r="B382" s="72">
        <v>12</v>
      </c>
      <c r="D382" s="72" t="s">
        <v>220</v>
      </c>
      <c r="E382" s="79">
        <v>2736000000</v>
      </c>
      <c r="F382" s="79">
        <v>1164450000</v>
      </c>
      <c r="G382" s="79">
        <v>1300250000</v>
      </c>
      <c r="H382" s="79">
        <v>46625</v>
      </c>
      <c r="I382" s="79">
        <v>5</v>
      </c>
      <c r="J382" s="79">
        <v>1300.25</v>
      </c>
      <c r="K382" s="79">
        <v>12009</v>
      </c>
      <c r="L382" s="79">
        <v>7946</v>
      </c>
      <c r="M382" s="79">
        <v>2332</v>
      </c>
      <c r="N382" s="79">
        <v>5768</v>
      </c>
      <c r="O382" s="79">
        <v>3772.1</v>
      </c>
      <c r="P382" s="79">
        <v>934</v>
      </c>
      <c r="Q382" s="79">
        <v>3157</v>
      </c>
      <c r="R382" s="79">
        <v>1940</v>
      </c>
      <c r="S382" s="79">
        <v>0</v>
      </c>
      <c r="T382" s="79">
        <v>1231</v>
      </c>
      <c r="U382" s="79">
        <v>20252</v>
      </c>
      <c r="V382" s="79">
        <v>44840</v>
      </c>
      <c r="W382" s="79">
        <v>35260</v>
      </c>
      <c r="X382" s="79">
        <v>1786.62</v>
      </c>
      <c r="Y382" s="79">
        <v>2749.6</v>
      </c>
      <c r="Z382" s="79">
        <v>0</v>
      </c>
      <c r="AA382" s="79">
        <v>0</v>
      </c>
      <c r="AB382" s="79">
        <v>0</v>
      </c>
      <c r="AC382" s="79">
        <v>45978</v>
      </c>
      <c r="AD382" s="79">
        <v>46897.56</v>
      </c>
      <c r="AE382" s="79">
        <v>2894</v>
      </c>
      <c r="AF382" s="79">
        <v>10000</v>
      </c>
      <c r="AG382" s="79">
        <v>573</v>
      </c>
      <c r="AH382" s="79">
        <v>244.42</v>
      </c>
      <c r="AI382" s="79">
        <v>337.62</v>
      </c>
      <c r="AJ382" s="79">
        <v>19959</v>
      </c>
      <c r="AK382" s="79">
        <v>20158.59</v>
      </c>
      <c r="AL382" s="79">
        <v>0</v>
      </c>
      <c r="AM382" s="79">
        <v>0</v>
      </c>
      <c r="AN382" s="79">
        <v>0</v>
      </c>
      <c r="AO382" s="79">
        <v>0</v>
      </c>
      <c r="AP382" s="79">
        <v>0</v>
      </c>
      <c r="AQ382" s="79">
        <v>0</v>
      </c>
      <c r="AR382" s="80">
        <v>3.4313999999999997E-5</v>
      </c>
      <c r="AS382" s="80">
        <v>8.75901E-4</v>
      </c>
      <c r="AT382" s="79">
        <v>14809.578</v>
      </c>
      <c r="AU382" s="79">
        <v>0</v>
      </c>
      <c r="AV382" s="79">
        <v>9188.16</v>
      </c>
      <c r="AW382" s="79">
        <v>9388.4997544606304</v>
      </c>
      <c r="AX382" s="79">
        <v>15</v>
      </c>
      <c r="AY382" s="79">
        <v>15.3</v>
      </c>
      <c r="AZ382" s="79">
        <v>5509</v>
      </c>
      <c r="BA382" s="79">
        <v>1</v>
      </c>
      <c r="BB382" s="79">
        <v>0</v>
      </c>
      <c r="BC382" s="79">
        <v>0</v>
      </c>
      <c r="BD382" s="79">
        <v>0</v>
      </c>
      <c r="BE382" s="79">
        <v>0</v>
      </c>
      <c r="BF382" s="79">
        <v>0</v>
      </c>
      <c r="BG382" s="79">
        <v>0</v>
      </c>
      <c r="BH382" s="79">
        <v>0</v>
      </c>
      <c r="BI382" s="79">
        <v>0</v>
      </c>
      <c r="BJ382" s="79">
        <v>0</v>
      </c>
      <c r="BK382" s="79">
        <v>48</v>
      </c>
      <c r="BL382" s="79">
        <v>5682</v>
      </c>
      <c r="BM382" s="79">
        <v>242</v>
      </c>
      <c r="BN382" s="79">
        <v>331</v>
      </c>
      <c r="BO382">
        <v>12827</v>
      </c>
      <c r="BP382">
        <v>3307</v>
      </c>
      <c r="BQ382">
        <v>11562</v>
      </c>
      <c r="BR382">
        <v>3259</v>
      </c>
      <c r="BS382">
        <v>11492</v>
      </c>
      <c r="BT382">
        <v>3151</v>
      </c>
      <c r="BU382">
        <v>11494</v>
      </c>
      <c r="BV382">
        <v>3240</v>
      </c>
      <c r="BW382">
        <v>11437</v>
      </c>
      <c r="BX382">
        <v>3269</v>
      </c>
      <c r="BY382">
        <v>11266</v>
      </c>
      <c r="BZ382">
        <v>3310</v>
      </c>
      <c r="CA382">
        <v>10824</v>
      </c>
      <c r="CB382">
        <v>1191.5970530715001</v>
      </c>
      <c r="CC382">
        <v>218.26313881231701</v>
      </c>
      <c r="CD382">
        <v>268.93320787161798</v>
      </c>
      <c r="CE382">
        <v>11790.627102156401</v>
      </c>
      <c r="CF382">
        <v>3191.0517649325302</v>
      </c>
      <c r="CG382">
        <v>380.41678907435499</v>
      </c>
      <c r="CH382">
        <v>523</v>
      </c>
      <c r="CI382">
        <v>328.586319320504</v>
      </c>
      <c r="CJ382">
        <v>263.22859949747499</v>
      </c>
      <c r="CK382" s="81">
        <v>2223</v>
      </c>
      <c r="CL382">
        <v>694</v>
      </c>
      <c r="CM382">
        <v>5168.9403303257996</v>
      </c>
      <c r="CN382">
        <v>2.0458903653917901</v>
      </c>
      <c r="CO382">
        <v>38679</v>
      </c>
      <c r="CP382">
        <v>4763</v>
      </c>
      <c r="CQ382">
        <v>851</v>
      </c>
      <c r="CR382">
        <v>871</v>
      </c>
      <c r="CS382">
        <v>746</v>
      </c>
      <c r="CT382">
        <v>434</v>
      </c>
      <c r="CU382">
        <v>557.92716699726805</v>
      </c>
      <c r="CV382">
        <v>303.15554737927403</v>
      </c>
      <c r="CW382">
        <v>111.50983351232701</v>
      </c>
      <c r="CX382">
        <v>1472.34754014906</v>
      </c>
      <c r="CY382">
        <v>800.01539783167198</v>
      </c>
      <c r="CZ382">
        <v>294.27000294307101</v>
      </c>
      <c r="DA382">
        <v>34491</v>
      </c>
      <c r="DE382">
        <v>1950</v>
      </c>
      <c r="DF382" t="s">
        <v>339</v>
      </c>
      <c r="DG382">
        <v>4846</v>
      </c>
      <c r="DH382">
        <v>4801</v>
      </c>
      <c r="DI382">
        <v>4795</v>
      </c>
      <c r="DJ382">
        <v>4753</v>
      </c>
      <c r="DK382">
        <v>4534</v>
      </c>
      <c r="DO382">
        <v>171</v>
      </c>
      <c r="DP382" t="s">
        <v>220</v>
      </c>
      <c r="DQ382">
        <v>19959</v>
      </c>
      <c r="DR382">
        <v>1.01</v>
      </c>
      <c r="DS382">
        <v>742</v>
      </c>
      <c r="DV382">
        <v>1896</v>
      </c>
      <c r="DW382" t="s">
        <v>363</v>
      </c>
      <c r="DX382">
        <v>2261.1326079158198</v>
      </c>
      <c r="DY382">
        <v>369</v>
      </c>
      <c r="DZ382">
        <v>329</v>
      </c>
      <c r="EA382">
        <v>205</v>
      </c>
      <c r="EB382">
        <v>1383</v>
      </c>
      <c r="EC382">
        <v>739</v>
      </c>
      <c r="ED382">
        <v>276</v>
      </c>
      <c r="EE382" s="82">
        <v>0.155697456509761</v>
      </c>
      <c r="EF382" s="82">
        <v>0.46927942762387398</v>
      </c>
    </row>
    <row r="383" spans="1:136" x14ac:dyDescent="0.35">
      <c r="A383" s="72">
        <v>184</v>
      </c>
      <c r="B383" s="72">
        <v>12</v>
      </c>
      <c r="D383" s="72" t="s">
        <v>304</v>
      </c>
      <c r="E383" s="79">
        <v>1047200000</v>
      </c>
      <c r="F383" s="79">
        <v>231700000</v>
      </c>
      <c r="G383" s="79">
        <v>232750000</v>
      </c>
      <c r="H383" s="79">
        <v>20524</v>
      </c>
      <c r="I383" s="79">
        <v>1</v>
      </c>
      <c r="J383" s="79">
        <v>232.75</v>
      </c>
      <c r="K383" s="79">
        <v>7648</v>
      </c>
      <c r="L383" s="79">
        <v>1906</v>
      </c>
      <c r="M383" s="79">
        <v>564</v>
      </c>
      <c r="N383" s="79">
        <v>1364</v>
      </c>
      <c r="O383" s="79">
        <v>722.7</v>
      </c>
      <c r="P383" s="79">
        <v>125.666666666667</v>
      </c>
      <c r="Q383" s="79">
        <v>793.66666666666697</v>
      </c>
      <c r="R383" s="79">
        <v>290</v>
      </c>
      <c r="S383" s="79">
        <v>0</v>
      </c>
      <c r="T383" s="79">
        <v>277</v>
      </c>
      <c r="U383" s="79">
        <v>6334</v>
      </c>
      <c r="V383" s="79">
        <v>21390</v>
      </c>
      <c r="W383" s="79">
        <v>14640</v>
      </c>
      <c r="X383" s="79">
        <v>0</v>
      </c>
      <c r="Y383" s="79">
        <v>762.4</v>
      </c>
      <c r="Z383" s="79">
        <v>0</v>
      </c>
      <c r="AA383" s="79">
        <v>0</v>
      </c>
      <c r="AB383" s="79">
        <v>524</v>
      </c>
      <c r="AC383" s="79">
        <v>1150</v>
      </c>
      <c r="AD383" s="79">
        <v>1380</v>
      </c>
      <c r="AE383" s="79">
        <v>38</v>
      </c>
      <c r="AF383" s="79">
        <v>9802</v>
      </c>
      <c r="AG383" s="79">
        <v>97</v>
      </c>
      <c r="AH383" s="79">
        <v>115</v>
      </c>
      <c r="AI383" s="79">
        <v>5.7</v>
      </c>
      <c r="AJ383" s="79">
        <v>6413</v>
      </c>
      <c r="AK383" s="79">
        <v>8016.25</v>
      </c>
      <c r="AL383" s="79">
        <v>0</v>
      </c>
      <c r="AM383" s="79">
        <v>0</v>
      </c>
      <c r="AN383" s="79">
        <v>0</v>
      </c>
      <c r="AO383" s="79">
        <v>0</v>
      </c>
      <c r="AP383" s="79">
        <v>724</v>
      </c>
      <c r="AQ383" s="79">
        <v>0</v>
      </c>
      <c r="AR383" s="80">
        <v>1.1387000000000001E-4</v>
      </c>
      <c r="AS383" s="80">
        <v>4.8016000000000002E-5</v>
      </c>
      <c r="AT383" s="79">
        <v>6791.3670000000002</v>
      </c>
      <c r="AU383" s="79">
        <v>0</v>
      </c>
      <c r="AV383" s="79">
        <v>487.2</v>
      </c>
      <c r="AW383" s="79">
        <v>19031.345454545499</v>
      </c>
      <c r="AX383" s="79">
        <v>1</v>
      </c>
      <c r="AY383" s="79">
        <v>1.1399999999999999</v>
      </c>
      <c r="AZ383" s="79">
        <v>1882</v>
      </c>
      <c r="BA383" s="79">
        <v>1</v>
      </c>
      <c r="BB383" s="79">
        <v>0</v>
      </c>
      <c r="BC383" s="79">
        <v>0</v>
      </c>
      <c r="BD383" s="79">
        <v>0</v>
      </c>
      <c r="BE383" s="79">
        <v>0</v>
      </c>
      <c r="BF383" s="79">
        <v>0</v>
      </c>
      <c r="BG383" s="79">
        <v>0</v>
      </c>
      <c r="BH383" s="79">
        <v>0</v>
      </c>
      <c r="BI383" s="79">
        <v>0</v>
      </c>
      <c r="BJ383" s="79">
        <v>0</v>
      </c>
      <c r="BK383" s="79">
        <v>19</v>
      </c>
      <c r="BL383" s="79">
        <v>1195</v>
      </c>
      <c r="BM383" s="79">
        <v>92</v>
      </c>
      <c r="BN383" s="79">
        <v>5</v>
      </c>
      <c r="BO383">
        <v>7321</v>
      </c>
      <c r="BP383">
        <v>390</v>
      </c>
      <c r="BQ383">
        <v>6626</v>
      </c>
      <c r="BR383">
        <v>439</v>
      </c>
      <c r="BS383">
        <v>6667</v>
      </c>
      <c r="BT383">
        <v>417</v>
      </c>
      <c r="BU383">
        <v>6794</v>
      </c>
      <c r="BV383">
        <v>451</v>
      </c>
      <c r="BW383">
        <v>6806</v>
      </c>
      <c r="BX383">
        <v>472</v>
      </c>
      <c r="BY383">
        <v>6830</v>
      </c>
      <c r="BZ383">
        <v>483</v>
      </c>
      <c r="CA383">
        <v>6961</v>
      </c>
      <c r="CB383">
        <v>365.11598666102498</v>
      </c>
      <c r="CC383">
        <v>302.391676999867</v>
      </c>
      <c r="CD383">
        <v>34.213219465639902</v>
      </c>
      <c r="CE383">
        <v>3740.3212956055099</v>
      </c>
      <c r="CF383">
        <v>1522.0601318133799</v>
      </c>
      <c r="CG383">
        <v>113.543010253489</v>
      </c>
      <c r="CH383">
        <v>121</v>
      </c>
      <c r="CI383">
        <v>60.188193348809001</v>
      </c>
      <c r="CJ383">
        <v>33.701774868275102</v>
      </c>
      <c r="CK383" s="81">
        <v>668</v>
      </c>
      <c r="CL383">
        <v>257</v>
      </c>
      <c r="CM383">
        <v>690.62998148796703</v>
      </c>
      <c r="CN383">
        <v>9.4932131679217394E-2</v>
      </c>
      <c r="CO383">
        <v>18618</v>
      </c>
      <c r="CP383">
        <v>1177</v>
      </c>
      <c r="CQ383">
        <v>165</v>
      </c>
      <c r="CR383">
        <v>209</v>
      </c>
      <c r="CS383">
        <v>212</v>
      </c>
      <c r="CT383">
        <v>78</v>
      </c>
      <c r="CU383">
        <v>83.297544769804105</v>
      </c>
      <c r="CV383">
        <v>46.2137934446815</v>
      </c>
      <c r="CW383">
        <v>11.384373507104501</v>
      </c>
      <c r="CX383">
        <v>375.04427815206901</v>
      </c>
      <c r="CY383">
        <v>208.07598652550499</v>
      </c>
      <c r="CZ383">
        <v>51.257743022136701</v>
      </c>
      <c r="DA383">
        <v>3969</v>
      </c>
      <c r="DE383">
        <v>1952</v>
      </c>
      <c r="DF383" t="s">
        <v>203</v>
      </c>
      <c r="DG383">
        <v>13417</v>
      </c>
      <c r="DH383">
        <v>13278</v>
      </c>
      <c r="DI383">
        <v>13110</v>
      </c>
      <c r="DJ383">
        <v>13021</v>
      </c>
      <c r="DK383">
        <v>12836</v>
      </c>
      <c r="DO383">
        <v>184</v>
      </c>
      <c r="DP383" t="s">
        <v>304</v>
      </c>
      <c r="DQ383">
        <v>6413</v>
      </c>
      <c r="DR383">
        <v>1.25</v>
      </c>
      <c r="DS383">
        <v>1059</v>
      </c>
      <c r="DV383">
        <v>642</v>
      </c>
      <c r="DW383" t="s">
        <v>364</v>
      </c>
      <c r="DX383">
        <v>6437.6523792774196</v>
      </c>
      <c r="DY383">
        <v>1154</v>
      </c>
      <c r="DZ383">
        <v>1195</v>
      </c>
      <c r="EA383">
        <v>686</v>
      </c>
      <c r="EB383">
        <v>3357</v>
      </c>
      <c r="EC383">
        <v>2362</v>
      </c>
      <c r="ED383">
        <v>960</v>
      </c>
      <c r="EE383" s="82">
        <v>0.21459963735901</v>
      </c>
      <c r="EF383" s="82">
        <v>0.45714514872359002</v>
      </c>
    </row>
    <row r="384" spans="1:136" x14ac:dyDescent="0.35">
      <c r="A384" s="72">
        <v>50</v>
      </c>
      <c r="B384" s="72">
        <v>12</v>
      </c>
      <c r="D384" s="72" t="s">
        <v>355</v>
      </c>
      <c r="E384" s="79">
        <v>1664800000</v>
      </c>
      <c r="F384" s="79">
        <v>606550000</v>
      </c>
      <c r="G384" s="79">
        <v>655900000</v>
      </c>
      <c r="H384" s="79">
        <v>22407</v>
      </c>
      <c r="I384" s="79">
        <v>3</v>
      </c>
      <c r="J384" s="79">
        <v>655.9</v>
      </c>
      <c r="K384" s="79">
        <v>5901</v>
      </c>
      <c r="L384" s="79">
        <v>2741</v>
      </c>
      <c r="M384" s="79">
        <v>843</v>
      </c>
      <c r="N384" s="79">
        <v>2132</v>
      </c>
      <c r="O384" s="79">
        <v>1160.0999999999999</v>
      </c>
      <c r="P384" s="79">
        <v>285.66666666666703</v>
      </c>
      <c r="Q384" s="79">
        <v>1147.6666666666699</v>
      </c>
      <c r="R384" s="79">
        <v>730</v>
      </c>
      <c r="S384" s="79">
        <v>0</v>
      </c>
      <c r="T384" s="79">
        <v>631</v>
      </c>
      <c r="U384" s="79">
        <v>9582</v>
      </c>
      <c r="V384" s="79">
        <v>21150</v>
      </c>
      <c r="W384" s="79">
        <v>9430</v>
      </c>
      <c r="X384" s="79">
        <v>0</v>
      </c>
      <c r="Y384" s="79">
        <v>535.20000000000005</v>
      </c>
      <c r="Z384" s="79">
        <v>0</v>
      </c>
      <c r="AA384" s="79">
        <v>0</v>
      </c>
      <c r="AB384" s="79">
        <v>135.5</v>
      </c>
      <c r="AC384" s="79">
        <v>24714</v>
      </c>
      <c r="AD384" s="79">
        <v>25702.560000000001</v>
      </c>
      <c r="AE384" s="79">
        <v>2171</v>
      </c>
      <c r="AF384" s="79">
        <v>0</v>
      </c>
      <c r="AG384" s="79">
        <v>234</v>
      </c>
      <c r="AH384" s="79">
        <v>108</v>
      </c>
      <c r="AI384" s="79">
        <v>132.30000000000001</v>
      </c>
      <c r="AJ384" s="79">
        <v>9719</v>
      </c>
      <c r="AK384" s="79">
        <v>9719</v>
      </c>
      <c r="AL384" s="79">
        <v>0</v>
      </c>
      <c r="AM384" s="79">
        <v>0</v>
      </c>
      <c r="AN384" s="79">
        <v>0</v>
      </c>
      <c r="AO384" s="79">
        <v>0</v>
      </c>
      <c r="AP384" s="79">
        <v>0</v>
      </c>
      <c r="AQ384" s="79">
        <v>0</v>
      </c>
      <c r="AR384" s="80">
        <v>0</v>
      </c>
      <c r="AS384" s="80">
        <v>1.6589999999999999E-6</v>
      </c>
      <c r="AT384" s="79">
        <v>7765.4809999999998</v>
      </c>
      <c r="AU384" s="79">
        <v>0</v>
      </c>
      <c r="AV384" s="79">
        <v>5730.4</v>
      </c>
      <c r="AW384" s="79">
        <v>5273.4668223916697</v>
      </c>
      <c r="AX384" s="79">
        <v>6</v>
      </c>
      <c r="AY384" s="79">
        <v>6.3</v>
      </c>
      <c r="AZ384" s="79">
        <v>2894</v>
      </c>
      <c r="BA384" s="79">
        <v>1</v>
      </c>
      <c r="BB384" s="79">
        <v>0</v>
      </c>
      <c r="BC384" s="79">
        <v>0</v>
      </c>
      <c r="BD384" s="79">
        <v>0</v>
      </c>
      <c r="BE384" s="79">
        <v>0</v>
      </c>
      <c r="BF384" s="79">
        <v>0</v>
      </c>
      <c r="BG384" s="79">
        <v>0</v>
      </c>
      <c r="BH384" s="79">
        <v>0</v>
      </c>
      <c r="BI384" s="79">
        <v>0</v>
      </c>
      <c r="BJ384" s="79">
        <v>0</v>
      </c>
      <c r="BK384" s="79">
        <v>5</v>
      </c>
      <c r="BL384" s="79">
        <v>2870</v>
      </c>
      <c r="BM384" s="79">
        <v>108</v>
      </c>
      <c r="BN384" s="79">
        <v>126</v>
      </c>
      <c r="BO384">
        <v>6640</v>
      </c>
      <c r="BP384">
        <v>485</v>
      </c>
      <c r="BQ384">
        <v>6128</v>
      </c>
      <c r="BR384">
        <v>497</v>
      </c>
      <c r="BS384">
        <v>6064</v>
      </c>
      <c r="BT384">
        <v>525</v>
      </c>
      <c r="BU384">
        <v>6025</v>
      </c>
      <c r="BV384">
        <v>557</v>
      </c>
      <c r="BW384">
        <v>5961</v>
      </c>
      <c r="BX384">
        <v>655</v>
      </c>
      <c r="BY384">
        <v>5839</v>
      </c>
      <c r="BZ384">
        <v>695</v>
      </c>
      <c r="CA384">
        <v>5207</v>
      </c>
      <c r="CB384">
        <v>436.39848491660001</v>
      </c>
      <c r="CC384">
        <v>53.438207072346401</v>
      </c>
      <c r="CD384">
        <v>76.627159635516605</v>
      </c>
      <c r="CE384">
        <v>6395.9399743164104</v>
      </c>
      <c r="CF384">
        <v>1951.03614627664</v>
      </c>
      <c r="CG384">
        <v>142.87136950767601</v>
      </c>
      <c r="CH384">
        <v>264</v>
      </c>
      <c r="CI384">
        <v>105.697965740808</v>
      </c>
      <c r="CJ384">
        <v>99.686302505108301</v>
      </c>
      <c r="CK384" s="81">
        <v>862</v>
      </c>
      <c r="CL384">
        <v>219</v>
      </c>
      <c r="CM384">
        <v>1759.5265716998999</v>
      </c>
      <c r="CN384">
        <v>0.17258369842070201</v>
      </c>
      <c r="CO384">
        <v>19666</v>
      </c>
      <c r="CP384">
        <v>1655</v>
      </c>
      <c r="CQ384">
        <v>243</v>
      </c>
      <c r="CR384">
        <v>302</v>
      </c>
      <c r="CS384">
        <v>276</v>
      </c>
      <c r="CT384">
        <v>137</v>
      </c>
      <c r="CU384">
        <v>125.213626326561</v>
      </c>
      <c r="CV384">
        <v>70.7832987718309</v>
      </c>
      <c r="CW384">
        <v>23.872950681899098</v>
      </c>
      <c r="CX384">
        <v>463.03752255774799</v>
      </c>
      <c r="CY384">
        <v>261.75524392444697</v>
      </c>
      <c r="CZ384">
        <v>88.281701154956707</v>
      </c>
      <c r="DA384">
        <v>10950</v>
      </c>
      <c r="DE384">
        <v>1955</v>
      </c>
      <c r="DF384" t="s">
        <v>207</v>
      </c>
      <c r="DG384">
        <v>7516</v>
      </c>
      <c r="DH384">
        <v>7422</v>
      </c>
      <c r="DI384">
        <v>7201</v>
      </c>
      <c r="DJ384">
        <v>7106</v>
      </c>
      <c r="DK384">
        <v>6888</v>
      </c>
      <c r="DO384">
        <v>50</v>
      </c>
      <c r="DP384" t="s">
        <v>355</v>
      </c>
      <c r="DQ384">
        <v>9719</v>
      </c>
      <c r="DR384">
        <v>1</v>
      </c>
      <c r="DS384">
        <v>799</v>
      </c>
      <c r="DV384">
        <v>193</v>
      </c>
      <c r="DW384" t="s">
        <v>365</v>
      </c>
      <c r="DX384">
        <v>17788.899275862099</v>
      </c>
      <c r="DY384">
        <v>2800</v>
      </c>
      <c r="DZ384">
        <v>2168</v>
      </c>
      <c r="EA384">
        <v>1211</v>
      </c>
      <c r="EB384">
        <v>7120</v>
      </c>
      <c r="EC384">
        <v>4161</v>
      </c>
      <c r="ED384">
        <v>1643</v>
      </c>
      <c r="EE384" s="82">
        <v>0.20829981413972401</v>
      </c>
      <c r="EF384" s="82">
        <v>0.46927942762387398</v>
      </c>
    </row>
    <row r="385" spans="1:105" x14ac:dyDescent="0.35">
      <c r="A385" s="72"/>
      <c r="B385" s="72"/>
      <c r="D385" s="72"/>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79"/>
      <c r="AR385" s="80"/>
      <c r="AS385" s="80"/>
      <c r="AT385" s="79"/>
      <c r="AU385" s="79"/>
      <c r="AV385" s="79"/>
      <c r="AW385" s="79"/>
      <c r="AX385" s="79"/>
      <c r="AY385" s="79"/>
      <c r="AZ385" s="79"/>
      <c r="BA385" s="79"/>
      <c r="BB385" s="79"/>
      <c r="BC385" s="79"/>
      <c r="BD385" s="79"/>
      <c r="BE385" s="79"/>
      <c r="BF385" s="79"/>
      <c r="BG385" s="79"/>
      <c r="BH385" s="79"/>
      <c r="BI385" s="79"/>
      <c r="BJ385" s="79"/>
      <c r="BK385" s="79"/>
      <c r="BL385" s="79"/>
      <c r="BM385" s="79"/>
      <c r="BN385" s="79"/>
    </row>
    <row r="386" spans="1:105" x14ac:dyDescent="0.35">
      <c r="A386" s="72"/>
      <c r="B386" s="72"/>
      <c r="D386" s="72"/>
      <c r="E386" s="79">
        <v>1409044800000</v>
      </c>
      <c r="F386" s="79">
        <v>289384200000</v>
      </c>
      <c r="G386" s="79">
        <v>302246350000</v>
      </c>
      <c r="H386" s="79">
        <v>17181084</v>
      </c>
      <c r="I386" s="79">
        <v>1150</v>
      </c>
      <c r="J386" s="79">
        <v>302246.34999999998</v>
      </c>
      <c r="K386" s="79">
        <v>3810656</v>
      </c>
      <c r="L386" s="79">
        <v>3239116</v>
      </c>
      <c r="M386" s="79">
        <v>996995</v>
      </c>
      <c r="N386" s="79">
        <v>2388521</v>
      </c>
      <c r="O386" s="79">
        <v>1590539.1</v>
      </c>
      <c r="P386" s="79">
        <v>429712.66666666698</v>
      </c>
      <c r="Q386" s="79">
        <v>1299607.66666667</v>
      </c>
      <c r="R386" s="79">
        <v>1465920</v>
      </c>
      <c r="S386" s="79">
        <v>118431.6</v>
      </c>
      <c r="T386" s="79">
        <v>572419</v>
      </c>
      <c r="U386" s="79">
        <v>8106686</v>
      </c>
      <c r="V386" s="79">
        <v>17181080</v>
      </c>
      <c r="W386" s="79">
        <v>17181020</v>
      </c>
      <c r="X386" s="79">
        <v>360992.89679999999</v>
      </c>
      <c r="Y386" s="79">
        <v>744371.19999999995</v>
      </c>
      <c r="Z386" s="79">
        <v>14647.9</v>
      </c>
      <c r="AA386" s="79">
        <v>14071.1</v>
      </c>
      <c r="AB386" s="79">
        <v>38502</v>
      </c>
      <c r="AC386" s="79">
        <v>3365227</v>
      </c>
      <c r="AD386" s="79">
        <v>3568413.36</v>
      </c>
      <c r="AE386" s="79">
        <v>193923</v>
      </c>
      <c r="AF386" s="79">
        <v>316582</v>
      </c>
      <c r="AG386" s="79">
        <v>110919</v>
      </c>
      <c r="AH386" s="79">
        <v>90297.25</v>
      </c>
      <c r="AI386" s="79">
        <v>29196.49</v>
      </c>
      <c r="AJ386" s="79">
        <v>7979819</v>
      </c>
      <c r="AK386" s="79">
        <v>8805310.6300000008</v>
      </c>
      <c r="AL386" s="79">
        <v>1622</v>
      </c>
      <c r="AM386" s="79">
        <v>472</v>
      </c>
      <c r="AN386" s="79">
        <v>1366</v>
      </c>
      <c r="AO386" s="79">
        <v>533050</v>
      </c>
      <c r="AP386" s="79">
        <v>1283074</v>
      </c>
      <c r="AQ386" s="79">
        <v>926137</v>
      </c>
      <c r="AR386" s="79">
        <v>0.99873632500000098</v>
      </c>
      <c r="AS386" s="79">
        <v>0.99794088800000003</v>
      </c>
      <c r="AT386" s="79">
        <v>15912173.571</v>
      </c>
      <c r="AU386" s="79">
        <v>1749074.61</v>
      </c>
      <c r="AV386" s="79">
        <v>1116971.8500000001</v>
      </c>
      <c r="AW386" s="79">
        <v>14582642.593469299</v>
      </c>
      <c r="AX386" s="79">
        <v>3324</v>
      </c>
      <c r="AY386" s="79">
        <v>3583.03</v>
      </c>
      <c r="AZ386" s="79">
        <v>1843980</v>
      </c>
      <c r="BA386" s="79">
        <v>380</v>
      </c>
      <c r="BB386" s="79">
        <v>1</v>
      </c>
      <c r="BC386" s="79">
        <v>1</v>
      </c>
      <c r="BD386" s="79">
        <v>1</v>
      </c>
      <c r="BE386" s="79">
        <v>1</v>
      </c>
      <c r="BF386" s="79">
        <v>1</v>
      </c>
      <c r="BG386" s="79">
        <v>5</v>
      </c>
      <c r="BH386" s="79">
        <v>9564</v>
      </c>
      <c r="BI386" s="79">
        <v>8560</v>
      </c>
      <c r="BJ386" s="79">
        <v>6084</v>
      </c>
      <c r="BK386" s="79">
        <v>10743</v>
      </c>
      <c r="BL386" s="79">
        <v>2997617</v>
      </c>
      <c r="BM386" s="79">
        <v>83237</v>
      </c>
      <c r="BN386" s="79">
        <v>27674</v>
      </c>
      <c r="BO386" s="79">
        <v>3940450</v>
      </c>
      <c r="BP386" s="79">
        <v>870965</v>
      </c>
      <c r="BQ386" s="79">
        <v>3528241</v>
      </c>
      <c r="BR386" s="79">
        <v>866169</v>
      </c>
      <c r="BS386" s="79">
        <v>3514478</v>
      </c>
      <c r="BT386" s="79">
        <v>868208</v>
      </c>
      <c r="BU386" s="79">
        <v>3502083</v>
      </c>
      <c r="BV386" s="79">
        <v>882026</v>
      </c>
      <c r="BW386" s="79">
        <v>3486770</v>
      </c>
      <c r="BX386" s="79">
        <v>891585</v>
      </c>
      <c r="BY386" s="79">
        <v>3463493</v>
      </c>
      <c r="BZ386" s="79">
        <v>901825</v>
      </c>
      <c r="CA386" s="79">
        <v>3386096</v>
      </c>
      <c r="CB386" s="79">
        <v>438546.94813348202</v>
      </c>
      <c r="CC386" s="79">
        <v>60336.225652727997</v>
      </c>
      <c r="CD386" s="79">
        <v>57910.1238942005</v>
      </c>
      <c r="CE386" s="79">
        <v>5050330.5293057701</v>
      </c>
      <c r="CF386" s="79">
        <v>1223816.1073087901</v>
      </c>
      <c r="CG386" s="79">
        <v>119365.96108473399</v>
      </c>
      <c r="CH386" s="79">
        <v>215418</v>
      </c>
      <c r="CI386" s="79">
        <v>130424.47977272799</v>
      </c>
      <c r="CJ386" s="79">
        <v>119874.72991778</v>
      </c>
      <c r="CK386" s="79">
        <v>869895</v>
      </c>
      <c r="CL386" s="79">
        <v>245295</v>
      </c>
      <c r="CM386" s="79">
        <v>2395700.79879347</v>
      </c>
      <c r="CN386" s="79">
        <v>1000</v>
      </c>
      <c r="CO386" s="79">
        <v>13941968</v>
      </c>
      <c r="CP386" s="79">
        <v>1871462</v>
      </c>
      <c r="CQ386" s="79">
        <v>370659</v>
      </c>
      <c r="CR386" s="79">
        <v>439877</v>
      </c>
      <c r="CS386" s="79">
        <v>358233</v>
      </c>
      <c r="CT386" s="79">
        <v>190732</v>
      </c>
      <c r="CU386" s="79">
        <v>234644.138285072</v>
      </c>
      <c r="CV386" s="79">
        <v>138113.91913140399</v>
      </c>
      <c r="CW386" s="79">
        <v>51629.922890988099</v>
      </c>
      <c r="CX386" s="79">
        <v>543025.62422302901</v>
      </c>
      <c r="CY386" s="79">
        <v>319887.91728537303</v>
      </c>
      <c r="CZ386" s="79">
        <v>118709.896538278</v>
      </c>
      <c r="DA386" s="79">
        <v>22707847.600000001</v>
      </c>
    </row>
    <row r="387" spans="1:105" x14ac:dyDescent="0.35">
      <c r="A387" s="72"/>
      <c r="B387" s="72"/>
      <c r="D387" s="72"/>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c r="AQ387" s="79"/>
      <c r="AR387" s="80"/>
      <c r="AS387" s="80"/>
      <c r="AT387" s="79"/>
      <c r="AU387" s="79"/>
      <c r="AV387" s="79"/>
      <c r="AW387" s="79"/>
      <c r="AX387" s="79"/>
      <c r="AY387" s="79"/>
      <c r="AZ387" s="79"/>
      <c r="BA387" s="79"/>
      <c r="BB387" s="79"/>
      <c r="BC387" s="79"/>
      <c r="BD387" s="79"/>
      <c r="BE387" s="79"/>
      <c r="BF387" s="79"/>
      <c r="BG387" s="79"/>
      <c r="BH387" s="79"/>
      <c r="BI387" s="79"/>
      <c r="BJ387" s="79"/>
      <c r="BK387" s="79"/>
      <c r="BL387" s="79"/>
      <c r="BM387" s="79"/>
      <c r="BN387" s="79"/>
    </row>
    <row r="388" spans="1:105" x14ac:dyDescent="0.35">
      <c r="A388" s="72"/>
      <c r="B388" s="72"/>
      <c r="D388" s="72"/>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c r="AQ388" s="79"/>
      <c r="AR388" s="80"/>
      <c r="AS388" s="80"/>
      <c r="AT388" s="79"/>
      <c r="AU388" s="79"/>
      <c r="AV388" s="79"/>
      <c r="AW388" s="79"/>
      <c r="AX388" s="79"/>
      <c r="AY388" s="79"/>
      <c r="AZ388" s="79"/>
      <c r="BA388" s="79"/>
      <c r="BB388" s="79"/>
      <c r="BC388" s="79"/>
      <c r="BD388" s="79"/>
      <c r="BE388" s="79"/>
      <c r="BF388" s="79"/>
      <c r="BG388" s="79"/>
      <c r="BH388" s="79"/>
      <c r="BI388" s="79"/>
      <c r="BJ388" s="79"/>
      <c r="BK388" s="79"/>
      <c r="BL388" s="79"/>
      <c r="BM388" s="79"/>
      <c r="BN388" s="79"/>
    </row>
    <row r="389" spans="1:105" x14ac:dyDescent="0.35">
      <c r="A389" s="72"/>
      <c r="B389" s="72"/>
      <c r="D389" s="72"/>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80"/>
      <c r="AS389" s="80"/>
      <c r="AT389" s="79"/>
      <c r="AU389" s="79"/>
      <c r="AV389" s="79"/>
      <c r="AW389" s="79"/>
      <c r="AX389" s="79"/>
      <c r="AY389" s="79"/>
      <c r="AZ389" s="79"/>
      <c r="BA389" s="79"/>
      <c r="BB389" s="79"/>
      <c r="BC389" s="79"/>
      <c r="BD389" s="79"/>
      <c r="BE389" s="79"/>
      <c r="BF389" s="79"/>
      <c r="BG389" s="79"/>
      <c r="BH389" s="79"/>
      <c r="BI389" s="79"/>
      <c r="BJ389" s="79"/>
      <c r="BK389" s="79"/>
      <c r="BL389" s="79"/>
      <c r="BM389" s="79"/>
      <c r="BN389" s="79"/>
    </row>
    <row r="390" spans="1:105" x14ac:dyDescent="0.35">
      <c r="A390" s="72"/>
      <c r="B390" s="72"/>
      <c r="D390" s="72"/>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80"/>
      <c r="AS390" s="80"/>
      <c r="AT390" s="79"/>
      <c r="AU390" s="79"/>
      <c r="AV390" s="79"/>
      <c r="AW390" s="79"/>
      <c r="AX390" s="79"/>
      <c r="AY390" s="79"/>
      <c r="AZ390" s="79"/>
      <c r="BA390" s="79"/>
      <c r="BB390" s="79"/>
      <c r="BC390" s="79"/>
      <c r="BD390" s="79"/>
      <c r="BE390" s="79"/>
      <c r="BF390" s="79"/>
      <c r="BG390" s="79"/>
      <c r="BH390" s="79"/>
      <c r="BI390" s="79"/>
      <c r="BJ390" s="79"/>
      <c r="BK390" s="79"/>
      <c r="BL390" s="79"/>
      <c r="BM390" s="79"/>
      <c r="BN390" s="79"/>
    </row>
    <row r="391" spans="1:105" x14ac:dyDescent="0.35">
      <c r="A391" s="72"/>
      <c r="B391" s="72"/>
      <c r="D391" s="72"/>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c r="AE391" s="79"/>
      <c r="AF391" s="79"/>
      <c r="AG391" s="79"/>
      <c r="AH391" s="79"/>
      <c r="AI391" s="79"/>
      <c r="AJ391" s="79"/>
      <c r="AK391" s="79"/>
      <c r="AL391" s="79"/>
      <c r="AM391" s="79"/>
      <c r="AN391" s="79"/>
      <c r="AO391" s="79"/>
      <c r="AP391" s="79"/>
      <c r="AQ391" s="79"/>
      <c r="AR391" s="80"/>
      <c r="AS391" s="80"/>
      <c r="AT391" s="79"/>
      <c r="AU391" s="79"/>
      <c r="AV391" s="79"/>
      <c r="AW391" s="79"/>
      <c r="AX391" s="79"/>
      <c r="AY391" s="79"/>
      <c r="AZ391" s="79"/>
      <c r="BA391" s="79"/>
      <c r="BB391" s="79"/>
      <c r="BC391" s="79"/>
      <c r="BD391" s="79"/>
      <c r="BE391" s="79"/>
      <c r="BF391" s="79"/>
      <c r="BG391" s="79"/>
      <c r="BH391" s="79"/>
      <c r="BI391" s="79"/>
      <c r="BJ391" s="79"/>
      <c r="BK391" s="79"/>
      <c r="BL391" s="79"/>
      <c r="BM391" s="79"/>
      <c r="BN391" s="79"/>
    </row>
    <row r="392" spans="1:105" x14ac:dyDescent="0.35">
      <c r="A392" s="72"/>
      <c r="B392" s="72"/>
      <c r="D392" s="72"/>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c r="AE392" s="79"/>
      <c r="AF392" s="79"/>
      <c r="AG392" s="79"/>
      <c r="AH392" s="79"/>
      <c r="AI392" s="79"/>
      <c r="AJ392" s="79"/>
      <c r="AK392" s="79"/>
      <c r="AL392" s="79"/>
      <c r="AM392" s="79"/>
      <c r="AN392" s="79"/>
      <c r="AO392" s="79"/>
      <c r="AP392" s="79"/>
      <c r="AQ392" s="79"/>
      <c r="AR392" s="80"/>
      <c r="AS392" s="80"/>
      <c r="AT392" s="79"/>
      <c r="AU392" s="79"/>
      <c r="AV392" s="79"/>
      <c r="AW392" s="79"/>
      <c r="AX392" s="79"/>
      <c r="AY392" s="79"/>
      <c r="AZ392" s="79"/>
      <c r="BA392" s="79"/>
      <c r="BB392" s="79"/>
      <c r="BC392" s="79"/>
      <c r="BD392" s="79"/>
      <c r="BE392" s="79"/>
      <c r="BF392" s="79"/>
      <c r="BG392" s="79"/>
      <c r="BH392" s="79"/>
      <c r="BI392" s="79"/>
      <c r="BJ392" s="79"/>
      <c r="BK392" s="79"/>
      <c r="BL392" s="79"/>
      <c r="BM392" s="79"/>
      <c r="BN392" s="79"/>
    </row>
    <row r="393" spans="1:105" x14ac:dyDescent="0.35">
      <c r="A393" s="72"/>
      <c r="B393" s="72"/>
      <c r="D393" s="72"/>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c r="BC393" s="83"/>
      <c r="BD393" s="83"/>
      <c r="BE393" s="83"/>
      <c r="BF393" s="83"/>
      <c r="BG393" s="83"/>
      <c r="BH393" s="83"/>
      <c r="BI393" s="83"/>
      <c r="BJ393" s="83"/>
      <c r="BK393" s="83"/>
      <c r="BL393" s="83"/>
      <c r="BM393" s="83"/>
      <c r="BN393" s="83"/>
    </row>
    <row r="394" spans="1:105" x14ac:dyDescent="0.35">
      <c r="A394" s="72"/>
      <c r="B394" s="72"/>
      <c r="D394" s="72"/>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c r="BC394" s="83"/>
      <c r="BD394" s="83"/>
      <c r="BE394" s="83"/>
      <c r="BF394" s="83"/>
      <c r="BG394" s="83"/>
      <c r="BH394" s="83"/>
      <c r="BI394" s="83"/>
      <c r="BJ394" s="83"/>
      <c r="BK394" s="83"/>
      <c r="BL394" s="83"/>
      <c r="BM394" s="83"/>
      <c r="BN394" s="83"/>
    </row>
    <row r="395" spans="1:105" x14ac:dyDescent="0.35">
      <c r="A395" s="72"/>
      <c r="B395" s="72"/>
      <c r="D395" s="72"/>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c r="BC395" s="83"/>
      <c r="BD395" s="83"/>
      <c r="BE395" s="83"/>
      <c r="BF395" s="83"/>
      <c r="BG395" s="83"/>
      <c r="BH395" s="83"/>
      <c r="BI395" s="83"/>
      <c r="BJ395" s="83"/>
      <c r="BK395" s="83"/>
      <c r="BL395" s="83"/>
      <c r="BM395" s="83"/>
      <c r="BN395" s="83"/>
    </row>
    <row r="396" spans="1:105" x14ac:dyDescent="0.35">
      <c r="A396" s="72"/>
      <c r="B396" s="72"/>
      <c r="D396" s="72"/>
      <c r="E396" s="84"/>
      <c r="F396" s="84"/>
      <c r="G396" s="84"/>
      <c r="H396" s="84"/>
      <c r="I396" s="84"/>
      <c r="J396" s="84"/>
      <c r="K396" s="84"/>
      <c r="L396" s="84"/>
      <c r="M396" s="84"/>
      <c r="N396" s="84"/>
      <c r="O396" s="84"/>
      <c r="P396" s="84"/>
      <c r="Q396" s="84"/>
      <c r="R396" s="84"/>
      <c r="S396" s="84"/>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2D274-05C7-465B-9E93-56429ED009BA}">
  <sheetPr codeName="Blad12">
    <tabColor rgb="FF002060"/>
  </sheetPr>
  <dimension ref="A1:AKX391"/>
  <sheetViews>
    <sheetView topLeftCell="A332" workbookViewId="0">
      <selection activeCell="F9" sqref="F9"/>
    </sheetView>
  </sheetViews>
  <sheetFormatPr defaultRowHeight="14.5" x14ac:dyDescent="0.35"/>
  <cols>
    <col min="1" max="1" width="5.90625" style="3" customWidth="1"/>
    <col min="2" max="2" width="9.453125" style="3" customWidth="1"/>
    <col min="3" max="3" width="22.90625" style="3" customWidth="1"/>
    <col min="4" max="5" width="13.08984375" style="3" customWidth="1"/>
    <col min="6" max="986" width="9.453125" style="3" customWidth="1"/>
  </cols>
  <sheetData>
    <row r="1" spans="1:5" x14ac:dyDescent="0.35">
      <c r="A1" s="86" t="s">
        <v>968</v>
      </c>
    </row>
    <row r="3" spans="1:5" x14ac:dyDescent="0.35">
      <c r="B3" s="2"/>
    </row>
    <row r="4" spans="1:5" x14ac:dyDescent="0.35">
      <c r="B4" s="5"/>
      <c r="C4" s="35"/>
      <c r="D4" s="35"/>
      <c r="E4" s="35"/>
    </row>
    <row r="5" spans="1:5" x14ac:dyDescent="0.35">
      <c r="B5" s="88"/>
    </row>
    <row r="6" spans="1:5" x14ac:dyDescent="0.35">
      <c r="B6" s="2"/>
      <c r="C6" s="2"/>
    </row>
    <row r="7" spans="1:5" x14ac:dyDescent="0.35">
      <c r="B7" s="143"/>
    </row>
    <row r="9" spans="1:5" x14ac:dyDescent="0.35">
      <c r="B9" s="17" t="s">
        <v>8</v>
      </c>
      <c r="C9" s="18" t="s">
        <v>9</v>
      </c>
      <c r="D9" s="92" t="s">
        <v>969</v>
      </c>
      <c r="E9" s="92"/>
    </row>
    <row r="10" spans="1:5" x14ac:dyDescent="0.35">
      <c r="B10" s="26"/>
      <c r="C10" s="27" t="s">
        <v>11</v>
      </c>
      <c r="D10" s="33">
        <f>SUM(D11:D390)</f>
        <v>511135974.26038009</v>
      </c>
      <c r="E10" s="146">
        <f>SUM(E11:E390)</f>
        <v>1</v>
      </c>
    </row>
    <row r="11" spans="1:5" x14ac:dyDescent="0.35">
      <c r="B11" s="17">
        <v>3</v>
      </c>
      <c r="C11" s="18" t="s">
        <v>28</v>
      </c>
      <c r="D11" s="43">
        <v>703504.14193357399</v>
      </c>
      <c r="E11" s="145">
        <f>+D11/D$10</f>
        <v>1.3763541941096064E-3</v>
      </c>
    </row>
    <row r="12" spans="1:5" x14ac:dyDescent="0.35">
      <c r="B12" s="46">
        <v>5</v>
      </c>
      <c r="C12" s="47" t="s">
        <v>794</v>
      </c>
      <c r="D12" s="43">
        <v>169500.598110614</v>
      </c>
      <c r="E12" s="145">
        <f t="shared" ref="E12:E75" si="0">+D12/D$10</f>
        <v>3.3161547346747291E-4</v>
      </c>
    </row>
    <row r="13" spans="1:5" x14ac:dyDescent="0.35">
      <c r="B13" s="46">
        <v>9</v>
      </c>
      <c r="C13" s="47" t="s">
        <v>801</v>
      </c>
      <c r="D13" s="43">
        <v>89884.507894964205</v>
      </c>
      <c r="E13" s="145">
        <f t="shared" si="0"/>
        <v>1.7585243931427086E-4</v>
      </c>
    </row>
    <row r="14" spans="1:5" x14ac:dyDescent="0.35">
      <c r="B14" s="46">
        <v>10</v>
      </c>
      <c r="C14" s="47" t="s">
        <v>81</v>
      </c>
      <c r="D14" s="43">
        <v>1520609.2252744299</v>
      </c>
      <c r="E14" s="145">
        <f t="shared" si="0"/>
        <v>2.9749602881596619E-3</v>
      </c>
    </row>
    <row r="15" spans="1:5" x14ac:dyDescent="0.35">
      <c r="B15" s="46">
        <v>14</v>
      </c>
      <c r="C15" s="47" t="s">
        <v>122</v>
      </c>
      <c r="D15" s="43">
        <v>15671231.151837699</v>
      </c>
      <c r="E15" s="145">
        <f t="shared" si="0"/>
        <v>3.0659612981680968E-2</v>
      </c>
    </row>
    <row r="16" spans="1:5" x14ac:dyDescent="0.35">
      <c r="B16" s="46">
        <v>15</v>
      </c>
      <c r="C16" s="47" t="s">
        <v>797</v>
      </c>
      <c r="D16" s="43">
        <v>184999.41623580799</v>
      </c>
      <c r="E16" s="145">
        <f t="shared" si="0"/>
        <v>3.6193777302312631E-4</v>
      </c>
    </row>
    <row r="17" spans="2:5" x14ac:dyDescent="0.35">
      <c r="B17" s="46">
        <v>17</v>
      </c>
      <c r="C17" s="47" t="s">
        <v>798</v>
      </c>
      <c r="D17" s="43">
        <v>235167.207516795</v>
      </c>
      <c r="E17" s="145">
        <f t="shared" si="0"/>
        <v>4.6008737275259244E-4</v>
      </c>
    </row>
    <row r="18" spans="2:5" x14ac:dyDescent="0.35">
      <c r="B18" s="46">
        <v>22</v>
      </c>
      <c r="C18" s="47" t="s">
        <v>799</v>
      </c>
      <c r="D18" s="43">
        <v>540681.67213904206</v>
      </c>
      <c r="E18" s="145">
        <f t="shared" si="0"/>
        <v>1.0578039883054895E-3</v>
      </c>
    </row>
    <row r="19" spans="2:5" x14ac:dyDescent="0.35">
      <c r="B19" s="46">
        <v>24</v>
      </c>
      <c r="C19" s="47" t="s">
        <v>190</v>
      </c>
      <c r="D19" s="43">
        <v>332947.31392498798</v>
      </c>
      <c r="E19" s="145">
        <f t="shared" si="0"/>
        <v>6.5138697076989492E-4</v>
      </c>
    </row>
    <row r="20" spans="2:5" x14ac:dyDescent="0.35">
      <c r="B20" s="46">
        <v>25</v>
      </c>
      <c r="C20" s="47" t="s">
        <v>800</v>
      </c>
      <c r="D20" s="43">
        <v>164896.25760327501</v>
      </c>
      <c r="E20" s="145">
        <f t="shared" si="0"/>
        <v>3.2260741936992771E-4</v>
      </c>
    </row>
    <row r="21" spans="2:5" x14ac:dyDescent="0.35">
      <c r="B21" s="46">
        <v>34</v>
      </c>
      <c r="C21" s="47" t="s">
        <v>19</v>
      </c>
      <c r="D21" s="43">
        <v>7095521.2922973698</v>
      </c>
      <c r="E21" s="145">
        <f t="shared" si="0"/>
        <v>1.3881866371398871E-2</v>
      </c>
    </row>
    <row r="22" spans="2:5" x14ac:dyDescent="0.35">
      <c r="B22" s="46">
        <v>37</v>
      </c>
      <c r="C22" s="47" t="s">
        <v>282</v>
      </c>
      <c r="D22" s="43">
        <v>1597901.8456274001</v>
      </c>
      <c r="E22" s="145">
        <f t="shared" si="0"/>
        <v>3.1261776241431321E-3</v>
      </c>
    </row>
    <row r="23" spans="2:5" x14ac:dyDescent="0.35">
      <c r="B23" s="46">
        <v>47</v>
      </c>
      <c r="C23" s="47" t="s">
        <v>310</v>
      </c>
      <c r="D23" s="43">
        <v>1406234.24124806</v>
      </c>
      <c r="E23" s="145">
        <f t="shared" si="0"/>
        <v>2.7511940306743188E-3</v>
      </c>
    </row>
    <row r="24" spans="2:5" x14ac:dyDescent="0.35">
      <c r="B24" s="46">
        <v>50</v>
      </c>
      <c r="C24" s="47" t="s">
        <v>355</v>
      </c>
      <c r="D24" s="43">
        <v>63084.064362498197</v>
      </c>
      <c r="E24" s="145">
        <f t="shared" si="0"/>
        <v>1.2341933954811455E-4</v>
      </c>
    </row>
    <row r="25" spans="2:5" x14ac:dyDescent="0.35">
      <c r="B25" s="46">
        <v>53</v>
      </c>
      <c r="C25" s="47" t="s">
        <v>802</v>
      </c>
      <c r="D25" s="43">
        <v>343065.17798754701</v>
      </c>
      <c r="E25" s="145">
        <f t="shared" si="0"/>
        <v>6.711818288352066E-4</v>
      </c>
    </row>
    <row r="26" spans="2:5" x14ac:dyDescent="0.35">
      <c r="B26" s="46">
        <v>56</v>
      </c>
      <c r="C26" s="47" t="s">
        <v>803</v>
      </c>
      <c r="D26" s="43">
        <v>162864.01422286499</v>
      </c>
      <c r="E26" s="145">
        <f t="shared" si="0"/>
        <v>3.1863148442746802E-4</v>
      </c>
    </row>
    <row r="27" spans="2:5" x14ac:dyDescent="0.35">
      <c r="B27" s="46">
        <v>58</v>
      </c>
      <c r="C27" s="47" t="s">
        <v>804</v>
      </c>
      <c r="D27" s="43">
        <v>895068.10885513795</v>
      </c>
      <c r="E27" s="145">
        <f t="shared" si="0"/>
        <v>1.7511350285025669E-3</v>
      </c>
    </row>
    <row r="28" spans="2:5" x14ac:dyDescent="0.35">
      <c r="B28" s="46">
        <v>59</v>
      </c>
      <c r="C28" s="47" t="s">
        <v>14</v>
      </c>
      <c r="D28" s="43">
        <v>1117988.9399091699</v>
      </c>
      <c r="E28" s="145">
        <f t="shared" si="0"/>
        <v>2.1872632649793697E-3</v>
      </c>
    </row>
    <row r="29" spans="2:5" x14ac:dyDescent="0.35">
      <c r="B29" s="46">
        <v>60</v>
      </c>
      <c r="C29" s="47" t="s">
        <v>23</v>
      </c>
      <c r="D29" s="43">
        <v>8599.3218255968495</v>
      </c>
      <c r="E29" s="145">
        <f t="shared" si="0"/>
        <v>1.6823941688002243E-5</v>
      </c>
    </row>
    <row r="30" spans="2:5" x14ac:dyDescent="0.35">
      <c r="B30" s="46">
        <v>72</v>
      </c>
      <c r="C30" s="47" t="s">
        <v>132</v>
      </c>
      <c r="D30" s="43">
        <v>815511.327297193</v>
      </c>
      <c r="E30" s="145">
        <f t="shared" si="0"/>
        <v>1.5954880273830222E-3</v>
      </c>
    </row>
    <row r="31" spans="2:5" x14ac:dyDescent="0.35">
      <c r="B31" s="46">
        <v>74</v>
      </c>
      <c r="C31" s="47" t="s">
        <v>137</v>
      </c>
      <c r="D31" s="43">
        <v>1946170.5806208199</v>
      </c>
      <c r="E31" s="145">
        <f t="shared" si="0"/>
        <v>3.8075398301537122E-3</v>
      </c>
    </row>
    <row r="32" spans="2:5" x14ac:dyDescent="0.35">
      <c r="B32" s="46">
        <v>79</v>
      </c>
      <c r="C32" s="47" t="s">
        <v>806</v>
      </c>
      <c r="D32" s="43">
        <v>439297.20123787702</v>
      </c>
      <c r="E32" s="145">
        <f t="shared" si="0"/>
        <v>8.5945271583270065E-4</v>
      </c>
    </row>
    <row r="33" spans="2:5" x14ac:dyDescent="0.35">
      <c r="B33" s="46">
        <v>80</v>
      </c>
      <c r="C33" s="47" t="s">
        <v>178</v>
      </c>
      <c r="D33" s="43">
        <v>8950223.2890047692</v>
      </c>
      <c r="E33" s="145">
        <f t="shared" si="0"/>
        <v>1.7510454633829775E-2</v>
      </c>
    </row>
    <row r="34" spans="2:5" x14ac:dyDescent="0.35">
      <c r="B34" s="46">
        <v>85</v>
      </c>
      <c r="C34" s="47" t="s">
        <v>234</v>
      </c>
      <c r="D34" s="43">
        <v>823651.46124308405</v>
      </c>
      <c r="E34" s="145">
        <f t="shared" si="0"/>
        <v>1.6114136017033778E-3</v>
      </c>
    </row>
    <row r="35" spans="2:5" x14ac:dyDescent="0.35">
      <c r="B35" s="46">
        <v>86</v>
      </c>
      <c r="C35" s="47" t="s">
        <v>237</v>
      </c>
      <c r="D35" s="43">
        <v>829427.93812229706</v>
      </c>
      <c r="E35" s="145">
        <f t="shared" si="0"/>
        <v>1.6227148545403976E-3</v>
      </c>
    </row>
    <row r="36" spans="2:5" x14ac:dyDescent="0.35">
      <c r="B36" s="46">
        <v>88</v>
      </c>
      <c r="C36" s="47" t="s">
        <v>268</v>
      </c>
      <c r="D36" s="43">
        <v>5485.3214131472896</v>
      </c>
      <c r="E36" s="145">
        <f t="shared" si="0"/>
        <v>1.0731628547735494E-5</v>
      </c>
    </row>
    <row r="37" spans="2:5" x14ac:dyDescent="0.35">
      <c r="B37" s="46">
        <v>90</v>
      </c>
      <c r="C37" s="47" t="s">
        <v>278</v>
      </c>
      <c r="D37" s="43">
        <v>2772105.0719566802</v>
      </c>
      <c r="E37" s="145">
        <f t="shared" si="0"/>
        <v>5.4234200125865715E-3</v>
      </c>
    </row>
    <row r="38" spans="2:5" x14ac:dyDescent="0.35">
      <c r="B38" s="46">
        <v>93</v>
      </c>
      <c r="C38" s="47" t="s">
        <v>291</v>
      </c>
      <c r="D38" s="43">
        <v>12478.597519544999</v>
      </c>
      <c r="E38" s="145">
        <f t="shared" si="0"/>
        <v>2.4413459720970884E-5</v>
      </c>
    </row>
    <row r="39" spans="2:5" x14ac:dyDescent="0.35">
      <c r="B39" s="46">
        <v>96</v>
      </c>
      <c r="C39" s="47" t="s">
        <v>319</v>
      </c>
      <c r="D39" s="43">
        <v>2862.5300483569299</v>
      </c>
      <c r="E39" s="145">
        <f t="shared" si="0"/>
        <v>5.6003298388438528E-6</v>
      </c>
    </row>
    <row r="40" spans="2:5" x14ac:dyDescent="0.35">
      <c r="B40" s="46">
        <v>98</v>
      </c>
      <c r="C40" s="47" t="s">
        <v>341</v>
      </c>
      <c r="D40" s="43">
        <v>588690.53293191199</v>
      </c>
      <c r="E40" s="145">
        <f t="shared" si="0"/>
        <v>1.1517297990691307E-3</v>
      </c>
    </row>
    <row r="41" spans="2:5" x14ac:dyDescent="0.35">
      <c r="B41" s="46">
        <v>106</v>
      </c>
      <c r="C41" s="47" t="s">
        <v>30</v>
      </c>
      <c r="D41" s="43">
        <v>2963286.6403890098</v>
      </c>
      <c r="E41" s="145">
        <f t="shared" si="0"/>
        <v>5.7974527124155587E-3</v>
      </c>
    </row>
    <row r="42" spans="2:5" x14ac:dyDescent="0.35">
      <c r="B42" s="46">
        <v>109</v>
      </c>
      <c r="C42" s="47" t="s">
        <v>70</v>
      </c>
      <c r="D42" s="43">
        <v>1289897.32466004</v>
      </c>
      <c r="E42" s="145">
        <f t="shared" si="0"/>
        <v>2.5235893962003691E-3</v>
      </c>
    </row>
    <row r="43" spans="2:5" x14ac:dyDescent="0.35">
      <c r="B43" s="46">
        <v>114</v>
      </c>
      <c r="C43" s="47" t="s">
        <v>104</v>
      </c>
      <c r="D43" s="43">
        <v>5956806.3909523198</v>
      </c>
      <c r="E43" s="145">
        <f t="shared" si="0"/>
        <v>1.1654054284815094E-2</v>
      </c>
    </row>
    <row r="44" spans="2:5" x14ac:dyDescent="0.35">
      <c r="B44" s="46">
        <v>118</v>
      </c>
      <c r="C44" s="47" t="s">
        <v>156</v>
      </c>
      <c r="D44" s="43">
        <v>1816749.0438075501</v>
      </c>
      <c r="E44" s="145">
        <f t="shared" si="0"/>
        <v>3.5543360970364253E-3</v>
      </c>
    </row>
    <row r="45" spans="2:5" x14ac:dyDescent="0.35">
      <c r="B45" s="46">
        <v>119</v>
      </c>
      <c r="C45" s="47" t="s">
        <v>199</v>
      </c>
      <c r="D45" s="43">
        <v>773351.92768251698</v>
      </c>
      <c r="E45" s="145">
        <f t="shared" si="0"/>
        <v>1.5130062578779875E-3</v>
      </c>
    </row>
    <row r="46" spans="2:5" x14ac:dyDescent="0.35">
      <c r="B46" s="46">
        <v>141</v>
      </c>
      <c r="C46" s="47" t="s">
        <v>18</v>
      </c>
      <c r="D46" s="43">
        <v>4445992.6094665499</v>
      </c>
      <c r="E46" s="145">
        <f t="shared" si="0"/>
        <v>8.6982580631307649E-3</v>
      </c>
    </row>
    <row r="47" spans="2:5" x14ac:dyDescent="0.35">
      <c r="B47" s="46">
        <v>147</v>
      </c>
      <c r="C47" s="47" t="s">
        <v>56</v>
      </c>
      <c r="D47" s="43">
        <v>252543.250204985</v>
      </c>
      <c r="E47" s="145">
        <f t="shared" si="0"/>
        <v>4.9408232431774764E-4</v>
      </c>
    </row>
    <row r="48" spans="2:5" x14ac:dyDescent="0.35">
      <c r="B48" s="46">
        <v>148</v>
      </c>
      <c r="C48" s="47" t="s">
        <v>74</v>
      </c>
      <c r="D48" s="43">
        <v>68106.316013913005</v>
      </c>
      <c r="E48" s="145">
        <f t="shared" si="0"/>
        <v>1.3324500611107184E-4</v>
      </c>
    </row>
    <row r="49" spans="2:5" x14ac:dyDescent="0.35">
      <c r="B49" s="46">
        <v>150</v>
      </c>
      <c r="C49" s="47" t="s">
        <v>84</v>
      </c>
      <c r="D49" s="43">
        <v>3615150.6966472301</v>
      </c>
      <c r="E49" s="145">
        <f t="shared" si="0"/>
        <v>7.0727768709263651E-3</v>
      </c>
    </row>
    <row r="50" spans="2:5" x14ac:dyDescent="0.35">
      <c r="B50" s="46">
        <v>153</v>
      </c>
      <c r="C50" s="47" t="s">
        <v>106</v>
      </c>
      <c r="D50" s="43">
        <v>10926829.967852799</v>
      </c>
      <c r="E50" s="145">
        <f t="shared" si="0"/>
        <v>2.1377540455187201E-2</v>
      </c>
    </row>
    <row r="51" spans="2:5" x14ac:dyDescent="0.35">
      <c r="B51" s="46">
        <v>158</v>
      </c>
      <c r="C51" s="47" t="s">
        <v>124</v>
      </c>
      <c r="D51" s="43">
        <v>370779.44251181599</v>
      </c>
      <c r="E51" s="145">
        <f t="shared" si="0"/>
        <v>7.2540275226829474E-4</v>
      </c>
    </row>
    <row r="52" spans="2:5" x14ac:dyDescent="0.35">
      <c r="B52" s="46">
        <v>160</v>
      </c>
      <c r="C52" s="47" t="s">
        <v>129</v>
      </c>
      <c r="D52" s="43">
        <v>929311.10864524904</v>
      </c>
      <c r="E52" s="145">
        <f t="shared" si="0"/>
        <v>1.8181289430664186E-3</v>
      </c>
    </row>
    <row r="53" spans="2:5" x14ac:dyDescent="0.35">
      <c r="B53" s="46">
        <v>163</v>
      </c>
      <c r="C53" s="47" t="s">
        <v>142</v>
      </c>
      <c r="D53" s="43">
        <v>376769.95993561798</v>
      </c>
      <c r="E53" s="145">
        <f t="shared" si="0"/>
        <v>7.3712275971341804E-4</v>
      </c>
    </row>
    <row r="54" spans="2:5" x14ac:dyDescent="0.35">
      <c r="B54" s="46">
        <v>164</v>
      </c>
      <c r="C54" s="47" t="s">
        <v>146</v>
      </c>
      <c r="D54" s="43">
        <v>3091647.9919635202</v>
      </c>
      <c r="E54" s="145">
        <f t="shared" si="0"/>
        <v>6.0485822709645358E-3</v>
      </c>
    </row>
    <row r="55" spans="2:5" x14ac:dyDescent="0.35">
      <c r="B55" s="46">
        <v>166</v>
      </c>
      <c r="C55" s="47" t="s">
        <v>164</v>
      </c>
      <c r="D55" s="43">
        <v>688124.716512379</v>
      </c>
      <c r="E55" s="145">
        <f t="shared" si="0"/>
        <v>1.3462654776121045E-3</v>
      </c>
    </row>
    <row r="56" spans="2:5" x14ac:dyDescent="0.35">
      <c r="B56" s="46">
        <v>168</v>
      </c>
      <c r="C56" s="47" t="s">
        <v>191</v>
      </c>
      <c r="D56" s="43">
        <v>467328.95785166102</v>
      </c>
      <c r="E56" s="145">
        <f t="shared" si="0"/>
        <v>9.1429478922490565E-4</v>
      </c>
    </row>
    <row r="57" spans="2:5" x14ac:dyDescent="0.35">
      <c r="B57" s="46">
        <v>171</v>
      </c>
      <c r="C57" s="47" t="s">
        <v>220</v>
      </c>
      <c r="D57" s="43">
        <v>989539.59433278395</v>
      </c>
      <c r="E57" s="145">
        <f t="shared" si="0"/>
        <v>1.9359615526272822E-3</v>
      </c>
    </row>
    <row r="58" spans="2:5" x14ac:dyDescent="0.35">
      <c r="B58" s="46">
        <v>173</v>
      </c>
      <c r="C58" s="47" t="s">
        <v>229</v>
      </c>
      <c r="D58" s="43">
        <v>641484.29776987003</v>
      </c>
      <c r="E58" s="145">
        <f t="shared" si="0"/>
        <v>1.255016923232816E-3</v>
      </c>
    </row>
    <row r="59" spans="2:5" x14ac:dyDescent="0.35">
      <c r="B59" s="46">
        <v>175</v>
      </c>
      <c r="C59" s="47" t="s">
        <v>231</v>
      </c>
      <c r="D59" s="43">
        <v>144453.92417628699</v>
      </c>
      <c r="E59" s="145">
        <f t="shared" si="0"/>
        <v>2.8261349513759729E-4</v>
      </c>
    </row>
    <row r="60" spans="2:5" x14ac:dyDescent="0.35">
      <c r="B60" s="46">
        <v>177</v>
      </c>
      <c r="C60" s="47" t="s">
        <v>249</v>
      </c>
      <c r="D60" s="43">
        <v>132424.72446688401</v>
      </c>
      <c r="E60" s="145">
        <f t="shared" si="0"/>
        <v>2.5907924923207406E-4</v>
      </c>
    </row>
    <row r="61" spans="2:5" x14ac:dyDescent="0.35">
      <c r="B61" s="46">
        <v>180</v>
      </c>
      <c r="C61" s="47" t="s">
        <v>283</v>
      </c>
      <c r="D61" s="43">
        <v>57838.069256777897</v>
      </c>
      <c r="E61" s="145">
        <f t="shared" si="0"/>
        <v>1.1315593534669572E-4</v>
      </c>
    </row>
    <row r="62" spans="2:5" x14ac:dyDescent="0.35">
      <c r="B62" s="46">
        <v>183</v>
      </c>
      <c r="C62" s="47" t="s">
        <v>297</v>
      </c>
      <c r="D62" s="43">
        <v>53429.983675820702</v>
      </c>
      <c r="E62" s="145">
        <f t="shared" si="0"/>
        <v>1.0453183960126174E-4</v>
      </c>
    </row>
    <row r="63" spans="2:5" x14ac:dyDescent="0.35">
      <c r="B63" s="46">
        <v>184</v>
      </c>
      <c r="C63" s="47" t="s">
        <v>304</v>
      </c>
      <c r="D63" s="43">
        <v>48561.336257508701</v>
      </c>
      <c r="E63" s="145">
        <f t="shared" si="0"/>
        <v>9.5006688440933036E-5</v>
      </c>
    </row>
    <row r="64" spans="2:5" x14ac:dyDescent="0.35">
      <c r="B64" s="46">
        <v>189</v>
      </c>
      <c r="C64" s="47" t="s">
        <v>343</v>
      </c>
      <c r="D64" s="43">
        <v>58298.631094132703</v>
      </c>
      <c r="E64" s="145">
        <f t="shared" si="0"/>
        <v>1.1405699076159044E-4</v>
      </c>
    </row>
    <row r="65" spans="2:5" x14ac:dyDescent="0.35">
      <c r="B65" s="46">
        <v>193</v>
      </c>
      <c r="C65" s="47" t="s">
        <v>365</v>
      </c>
      <c r="D65" s="43">
        <v>4101264.5992046702</v>
      </c>
      <c r="E65" s="145">
        <f t="shared" si="0"/>
        <v>8.0238230250556115E-3</v>
      </c>
    </row>
    <row r="66" spans="2:5" x14ac:dyDescent="0.35">
      <c r="B66" s="46">
        <v>197</v>
      </c>
      <c r="C66" s="47" t="s">
        <v>13</v>
      </c>
      <c r="D66" s="43">
        <v>219765.37596434201</v>
      </c>
      <c r="E66" s="145">
        <f t="shared" si="0"/>
        <v>4.2995482030460709E-4</v>
      </c>
    </row>
    <row r="67" spans="2:5" x14ac:dyDescent="0.35">
      <c r="B67" s="46">
        <v>200</v>
      </c>
      <c r="C67" s="47" t="s">
        <v>27</v>
      </c>
      <c r="D67" s="43">
        <v>3977805.0552170798</v>
      </c>
      <c r="E67" s="145">
        <f t="shared" si="0"/>
        <v>7.7822834931018338E-3</v>
      </c>
    </row>
    <row r="68" spans="2:5" x14ac:dyDescent="0.35">
      <c r="B68" s="46">
        <v>202</v>
      </c>
      <c r="C68" s="47" t="s">
        <v>29</v>
      </c>
      <c r="D68" s="43">
        <v>10999739.628174201</v>
      </c>
      <c r="E68" s="145">
        <f t="shared" si="0"/>
        <v>2.1520182851717602E-2</v>
      </c>
    </row>
    <row r="69" spans="2:5" x14ac:dyDescent="0.35">
      <c r="B69" s="46">
        <v>203</v>
      </c>
      <c r="C69" s="47" t="s">
        <v>35</v>
      </c>
      <c r="D69" s="43">
        <v>135547.83679801601</v>
      </c>
      <c r="E69" s="145">
        <f t="shared" si="0"/>
        <v>2.6518938917213835E-4</v>
      </c>
    </row>
    <row r="70" spans="2:5" x14ac:dyDescent="0.35">
      <c r="B70" s="46">
        <v>209</v>
      </c>
      <c r="C70" s="47" t="s">
        <v>48</v>
      </c>
      <c r="D70" s="43">
        <v>310689.478668319</v>
      </c>
      <c r="E70" s="145">
        <f t="shared" si="0"/>
        <v>6.0784115052338165E-4</v>
      </c>
    </row>
    <row r="71" spans="2:5" x14ac:dyDescent="0.35">
      <c r="B71" s="46">
        <v>213</v>
      </c>
      <c r="C71" s="47" t="s">
        <v>63</v>
      </c>
      <c r="D71" s="43">
        <v>286539.39277040702</v>
      </c>
      <c r="E71" s="145">
        <f t="shared" si="0"/>
        <v>5.605932808486684E-4</v>
      </c>
    </row>
    <row r="72" spans="2:5" x14ac:dyDescent="0.35">
      <c r="B72" s="46">
        <v>214</v>
      </c>
      <c r="C72" s="47" t="s">
        <v>67</v>
      </c>
      <c r="D72" s="43">
        <v>66526.449703071194</v>
      </c>
      <c r="E72" s="145">
        <f t="shared" si="0"/>
        <v>1.3015411368635474E-4</v>
      </c>
    </row>
    <row r="73" spans="2:5" x14ac:dyDescent="0.35">
      <c r="B73" s="46">
        <v>216</v>
      </c>
      <c r="C73" s="47" t="s">
        <v>73</v>
      </c>
      <c r="D73" s="43">
        <v>656206.77232871996</v>
      </c>
      <c r="E73" s="145">
        <f t="shared" si="0"/>
        <v>1.2838203636092315E-3</v>
      </c>
    </row>
    <row r="74" spans="2:5" x14ac:dyDescent="0.35">
      <c r="B74" s="46">
        <v>221</v>
      </c>
      <c r="C74" s="47" t="s">
        <v>87</v>
      </c>
      <c r="D74" s="43">
        <v>455322.10972905997</v>
      </c>
      <c r="E74" s="145">
        <f t="shared" si="0"/>
        <v>8.9080427255764294E-4</v>
      </c>
    </row>
    <row r="75" spans="2:5" x14ac:dyDescent="0.35">
      <c r="B75" s="46">
        <v>222</v>
      </c>
      <c r="C75" s="47" t="s">
        <v>88</v>
      </c>
      <c r="D75" s="43">
        <v>1371794.76306037</v>
      </c>
      <c r="E75" s="145">
        <f t="shared" si="0"/>
        <v>2.6838157205533687E-3</v>
      </c>
    </row>
    <row r="76" spans="2:5" x14ac:dyDescent="0.35">
      <c r="B76" s="46">
        <v>225</v>
      </c>
      <c r="C76" s="47" t="s">
        <v>94</v>
      </c>
      <c r="D76" s="43">
        <v>228419.25187336601</v>
      </c>
      <c r="E76" s="145">
        <f t="shared" ref="E76:E139" si="1">+D76/D$10</f>
        <v>4.4688549305082944E-4</v>
      </c>
    </row>
    <row r="77" spans="2:5" x14ac:dyDescent="0.35">
      <c r="B77" s="46">
        <v>226</v>
      </c>
      <c r="C77" s="47" t="s">
        <v>95</v>
      </c>
      <c r="D77" s="43">
        <v>374816.115520144</v>
      </c>
      <c r="E77" s="145">
        <f t="shared" si="1"/>
        <v>7.3330020658887772E-4</v>
      </c>
    </row>
    <row r="78" spans="2:5" x14ac:dyDescent="0.35">
      <c r="B78" s="46">
        <v>228</v>
      </c>
      <c r="C78" s="47" t="s">
        <v>98</v>
      </c>
      <c r="D78" s="43">
        <v>1456676.24358039</v>
      </c>
      <c r="E78" s="145">
        <f t="shared" si="1"/>
        <v>2.8498801041899236E-3</v>
      </c>
    </row>
    <row r="79" spans="2:5" x14ac:dyDescent="0.35">
      <c r="B79" s="46">
        <v>230</v>
      </c>
      <c r="C79" s="47" t="s">
        <v>103</v>
      </c>
      <c r="D79" s="43">
        <v>91225.931894912705</v>
      </c>
      <c r="E79" s="145">
        <f t="shared" si="1"/>
        <v>1.78476836866976E-4</v>
      </c>
    </row>
    <row r="80" spans="2:5" x14ac:dyDescent="0.35">
      <c r="B80" s="46">
        <v>232</v>
      </c>
      <c r="C80" s="47" t="s">
        <v>107</v>
      </c>
      <c r="D80" s="43">
        <v>381363.22811191197</v>
      </c>
      <c r="E80" s="145">
        <f t="shared" si="1"/>
        <v>7.4610915160833505E-4</v>
      </c>
    </row>
    <row r="81" spans="2:5" x14ac:dyDescent="0.35">
      <c r="B81" s="46">
        <v>233</v>
      </c>
      <c r="C81" s="47" t="s">
        <v>108</v>
      </c>
      <c r="D81" s="43">
        <v>203167.89589237099</v>
      </c>
      <c r="E81" s="145">
        <f t="shared" si="1"/>
        <v>3.9748306932682126E-4</v>
      </c>
    </row>
    <row r="82" spans="2:5" x14ac:dyDescent="0.35">
      <c r="B82" s="46">
        <v>236</v>
      </c>
      <c r="C82" s="47" t="s">
        <v>807</v>
      </c>
      <c r="D82" s="43">
        <v>65576.1835804609</v>
      </c>
      <c r="E82" s="145">
        <f t="shared" si="1"/>
        <v>1.2829498779723034E-4</v>
      </c>
    </row>
    <row r="83" spans="2:5" x14ac:dyDescent="0.35">
      <c r="B83" s="46">
        <v>243</v>
      </c>
      <c r="C83" s="47" t="s">
        <v>130</v>
      </c>
      <c r="D83" s="43">
        <v>791471.37966252596</v>
      </c>
      <c r="E83" s="145">
        <f t="shared" si="1"/>
        <v>1.5484556351326956E-3</v>
      </c>
    </row>
    <row r="84" spans="2:5" x14ac:dyDescent="0.35">
      <c r="B84" s="46">
        <v>244</v>
      </c>
      <c r="C84" s="47" t="s">
        <v>133</v>
      </c>
      <c r="D84" s="43">
        <v>47612.335785232899</v>
      </c>
      <c r="E84" s="145">
        <f t="shared" si="1"/>
        <v>9.3150038703749082E-5</v>
      </c>
    </row>
    <row r="85" spans="2:5" x14ac:dyDescent="0.35">
      <c r="B85" s="46">
        <v>246</v>
      </c>
      <c r="C85" s="47" t="s">
        <v>136</v>
      </c>
      <c r="D85" s="43">
        <v>44517.817036195796</v>
      </c>
      <c r="E85" s="145">
        <f t="shared" si="1"/>
        <v>8.709584000737497E-5</v>
      </c>
    </row>
    <row r="86" spans="2:5" x14ac:dyDescent="0.35">
      <c r="B86" s="46">
        <v>252</v>
      </c>
      <c r="C86" s="47" t="s">
        <v>148</v>
      </c>
      <c r="D86" s="43">
        <v>129060.738983239</v>
      </c>
      <c r="E86" s="145">
        <f t="shared" si="1"/>
        <v>2.5249785865687002E-4</v>
      </c>
    </row>
    <row r="87" spans="2:5" x14ac:dyDescent="0.35">
      <c r="B87" s="46">
        <v>262</v>
      </c>
      <c r="C87" s="47" t="s">
        <v>187</v>
      </c>
      <c r="D87" s="43">
        <v>378233.56502928399</v>
      </c>
      <c r="E87" s="145">
        <f t="shared" si="1"/>
        <v>7.3998619560400249E-4</v>
      </c>
    </row>
    <row r="88" spans="2:5" x14ac:dyDescent="0.35">
      <c r="B88" s="46">
        <v>263</v>
      </c>
      <c r="C88" s="47" t="s">
        <v>192</v>
      </c>
      <c r="D88" s="43">
        <v>61485.7376370438</v>
      </c>
      <c r="E88" s="145">
        <f t="shared" si="1"/>
        <v>1.2029233067778961E-4</v>
      </c>
    </row>
    <row r="89" spans="2:5" x14ac:dyDescent="0.35">
      <c r="B89" s="46">
        <v>267</v>
      </c>
      <c r="C89" s="47" t="s">
        <v>214</v>
      </c>
      <c r="D89" s="43">
        <v>101361.719745098</v>
      </c>
      <c r="E89" s="145">
        <f t="shared" si="1"/>
        <v>1.983067615066023E-4</v>
      </c>
    </row>
    <row r="90" spans="2:5" x14ac:dyDescent="0.35">
      <c r="B90" s="46">
        <v>268</v>
      </c>
      <c r="C90" s="47" t="s">
        <v>215</v>
      </c>
      <c r="D90" s="43">
        <v>10163128.276881199</v>
      </c>
      <c r="E90" s="145">
        <f t="shared" si="1"/>
        <v>1.9883414176799761E-2</v>
      </c>
    </row>
    <row r="91" spans="2:5" x14ac:dyDescent="0.35">
      <c r="B91" s="46">
        <v>269</v>
      </c>
      <c r="C91" s="47" t="s">
        <v>228</v>
      </c>
      <c r="D91" s="43">
        <v>125511.080030388</v>
      </c>
      <c r="E91" s="145">
        <f t="shared" si="1"/>
        <v>2.4555321157350359E-4</v>
      </c>
    </row>
    <row r="92" spans="2:5" x14ac:dyDescent="0.35">
      <c r="B92" s="46">
        <v>273</v>
      </c>
      <c r="C92" s="47" t="s">
        <v>248</v>
      </c>
      <c r="D92" s="43">
        <v>60281.285103035603</v>
      </c>
      <c r="E92" s="145">
        <f t="shared" si="1"/>
        <v>1.1793590774013382E-4</v>
      </c>
    </row>
    <row r="93" spans="2:5" x14ac:dyDescent="0.35">
      <c r="B93" s="46">
        <v>274</v>
      </c>
      <c r="C93" s="47" t="s">
        <v>251</v>
      </c>
      <c r="D93" s="43">
        <v>786601.39341222495</v>
      </c>
      <c r="E93" s="145">
        <f t="shared" si="1"/>
        <v>1.5389278646458931E-3</v>
      </c>
    </row>
    <row r="94" spans="2:5" x14ac:dyDescent="0.35">
      <c r="B94" s="46">
        <v>275</v>
      </c>
      <c r="C94" s="47" t="s">
        <v>254</v>
      </c>
      <c r="D94" s="43">
        <v>1152377.9646091</v>
      </c>
      <c r="E94" s="145">
        <f t="shared" si="1"/>
        <v>2.2545428665564087E-3</v>
      </c>
    </row>
    <row r="95" spans="2:5" x14ac:dyDescent="0.35">
      <c r="B95" s="46">
        <v>277</v>
      </c>
      <c r="C95" s="47" t="s">
        <v>263</v>
      </c>
      <c r="D95" s="43">
        <v>3245.7649455413298</v>
      </c>
      <c r="E95" s="145">
        <f t="shared" si="1"/>
        <v>6.35010077355246E-6</v>
      </c>
    </row>
    <row r="96" spans="2:5" x14ac:dyDescent="0.35">
      <c r="B96" s="46">
        <v>279</v>
      </c>
      <c r="C96" s="47" t="s">
        <v>266</v>
      </c>
      <c r="D96" s="43">
        <v>23091.857835447601</v>
      </c>
      <c r="E96" s="145">
        <f t="shared" si="1"/>
        <v>4.5177524178105047E-5</v>
      </c>
    </row>
    <row r="97" spans="2:5" x14ac:dyDescent="0.35">
      <c r="B97" s="46">
        <v>281</v>
      </c>
      <c r="C97" s="47" t="s">
        <v>295</v>
      </c>
      <c r="D97" s="43">
        <v>1872696.97203217</v>
      </c>
      <c r="E97" s="145">
        <f t="shared" si="1"/>
        <v>3.6637941102501837E-3</v>
      </c>
    </row>
    <row r="98" spans="2:5" x14ac:dyDescent="0.35">
      <c r="B98" s="46">
        <v>285</v>
      </c>
      <c r="C98" s="47" t="s">
        <v>323</v>
      </c>
      <c r="D98" s="43">
        <v>130651.50706806401</v>
      </c>
      <c r="E98" s="145">
        <f t="shared" si="1"/>
        <v>2.5561007960184825E-4</v>
      </c>
    </row>
    <row r="99" spans="2:5" x14ac:dyDescent="0.35">
      <c r="B99" s="46">
        <v>289</v>
      </c>
      <c r="C99" s="47" t="s">
        <v>329</v>
      </c>
      <c r="D99" s="43">
        <v>414742.700505079</v>
      </c>
      <c r="E99" s="145">
        <f t="shared" si="1"/>
        <v>8.1141363823044677E-4</v>
      </c>
    </row>
    <row r="100" spans="2:5" x14ac:dyDescent="0.35">
      <c r="B100" s="46">
        <v>293</v>
      </c>
      <c r="C100" s="47" t="s">
        <v>338</v>
      </c>
      <c r="D100" s="43">
        <v>546193.33440240298</v>
      </c>
      <c r="E100" s="145">
        <f t="shared" si="1"/>
        <v>1.0685871507924115E-3</v>
      </c>
    </row>
    <row r="101" spans="2:5" x14ac:dyDescent="0.35">
      <c r="B101" s="46">
        <v>294</v>
      </c>
      <c r="C101" s="47" t="s">
        <v>347</v>
      </c>
      <c r="D101" s="43">
        <v>791083.80899214302</v>
      </c>
      <c r="E101" s="145">
        <f t="shared" si="1"/>
        <v>1.5476973815761077E-3</v>
      </c>
    </row>
    <row r="102" spans="2:5" x14ac:dyDescent="0.35">
      <c r="B102" s="46">
        <v>296</v>
      </c>
      <c r="C102" s="47" t="s">
        <v>344</v>
      </c>
      <c r="D102" s="43">
        <v>650063.80615127599</v>
      </c>
      <c r="E102" s="145">
        <f t="shared" si="1"/>
        <v>1.2718021013721958E-3</v>
      </c>
    </row>
    <row r="103" spans="2:5" x14ac:dyDescent="0.35">
      <c r="B103" s="46">
        <v>297</v>
      </c>
      <c r="C103" s="47" t="s">
        <v>353</v>
      </c>
      <c r="D103" s="43">
        <v>135753.59804688301</v>
      </c>
      <c r="E103" s="145">
        <f t="shared" si="1"/>
        <v>2.6559194594612538E-4</v>
      </c>
    </row>
    <row r="104" spans="2:5" x14ac:dyDescent="0.35">
      <c r="B104" s="46">
        <v>299</v>
      </c>
      <c r="C104" s="47" t="s">
        <v>357</v>
      </c>
      <c r="D104" s="43">
        <v>1008482.65717996</v>
      </c>
      <c r="E104" s="145">
        <f t="shared" si="1"/>
        <v>1.973022264064365E-3</v>
      </c>
    </row>
    <row r="105" spans="2:5" x14ac:dyDescent="0.35">
      <c r="B105" s="46">
        <v>301</v>
      </c>
      <c r="C105" s="47" t="s">
        <v>362</v>
      </c>
      <c r="D105" s="43">
        <v>2169687.95699966</v>
      </c>
      <c r="E105" s="145">
        <f t="shared" si="1"/>
        <v>4.2448351637530985E-3</v>
      </c>
    </row>
    <row r="106" spans="2:5" x14ac:dyDescent="0.35">
      <c r="B106" s="46">
        <v>302</v>
      </c>
      <c r="C106" s="47" t="s">
        <v>223</v>
      </c>
      <c r="D106" s="43">
        <v>142002.544879708</v>
      </c>
      <c r="E106" s="145">
        <f t="shared" si="1"/>
        <v>2.7781755155306258E-4</v>
      </c>
    </row>
    <row r="107" spans="2:5" x14ac:dyDescent="0.35">
      <c r="B107" s="46">
        <v>303</v>
      </c>
      <c r="C107" s="47" t="s">
        <v>93</v>
      </c>
      <c r="D107" s="43">
        <v>592290.94459753495</v>
      </c>
      <c r="E107" s="145">
        <f t="shared" si="1"/>
        <v>1.1587737401081719E-3</v>
      </c>
    </row>
    <row r="108" spans="2:5" x14ac:dyDescent="0.35">
      <c r="B108" s="46">
        <v>304</v>
      </c>
      <c r="C108" s="47" t="s">
        <v>809</v>
      </c>
      <c r="D108" s="43">
        <v>44173.039789648399</v>
      </c>
      <c r="E108" s="145">
        <f t="shared" si="1"/>
        <v>8.6421308642122715E-5</v>
      </c>
    </row>
    <row r="109" spans="2:5" x14ac:dyDescent="0.35">
      <c r="B109" s="46">
        <v>307</v>
      </c>
      <c r="C109" s="47" t="s">
        <v>24</v>
      </c>
      <c r="D109" s="43">
        <v>3262959.8572678501</v>
      </c>
      <c r="E109" s="145">
        <f t="shared" si="1"/>
        <v>6.3837413556918831E-3</v>
      </c>
    </row>
    <row r="110" spans="2:5" x14ac:dyDescent="0.35">
      <c r="B110" s="46">
        <v>308</v>
      </c>
      <c r="C110" s="47" t="s">
        <v>33</v>
      </c>
      <c r="D110" s="43">
        <v>231967.658808123</v>
      </c>
      <c r="E110" s="145">
        <f t="shared" si="1"/>
        <v>4.5382769065273288E-4</v>
      </c>
    </row>
    <row r="111" spans="2:5" x14ac:dyDescent="0.35">
      <c r="B111" s="46">
        <v>310</v>
      </c>
      <c r="C111" s="47" t="s">
        <v>76</v>
      </c>
      <c r="D111" s="43">
        <v>361795.95845220599</v>
      </c>
      <c r="E111" s="145">
        <f t="shared" si="1"/>
        <v>7.0782722537917448E-4</v>
      </c>
    </row>
    <row r="112" spans="2:5" x14ac:dyDescent="0.35">
      <c r="B112" s="46">
        <v>312</v>
      </c>
      <c r="C112" s="47" t="s">
        <v>65</v>
      </c>
      <c r="D112" s="43">
        <v>34909.570685358398</v>
      </c>
      <c r="E112" s="145">
        <f t="shared" si="1"/>
        <v>6.8298011572895002E-5</v>
      </c>
    </row>
    <row r="113" spans="2:5" x14ac:dyDescent="0.35">
      <c r="B113" s="46">
        <v>313</v>
      </c>
      <c r="C113" s="47" t="s">
        <v>66</v>
      </c>
      <c r="D113" s="43">
        <v>52643.961080575202</v>
      </c>
      <c r="E113" s="145">
        <f t="shared" si="1"/>
        <v>1.0299404411272684E-4</v>
      </c>
    </row>
    <row r="114" spans="2:5" x14ac:dyDescent="0.35">
      <c r="B114" s="46">
        <v>317</v>
      </c>
      <c r="C114" s="47" t="s">
        <v>99</v>
      </c>
      <c r="D114" s="43">
        <v>21953.8848244205</v>
      </c>
      <c r="E114" s="145">
        <f t="shared" si="1"/>
        <v>4.2951163545449985E-5</v>
      </c>
    </row>
    <row r="115" spans="2:5" x14ac:dyDescent="0.35">
      <c r="B115" s="46">
        <v>321</v>
      </c>
      <c r="C115" s="47" t="s">
        <v>159</v>
      </c>
      <c r="D115" s="43">
        <v>127253.538666097</v>
      </c>
      <c r="E115" s="145">
        <f t="shared" si="1"/>
        <v>2.4896220394237441E-4</v>
      </c>
    </row>
    <row r="116" spans="2:5" x14ac:dyDescent="0.35">
      <c r="B116" s="46">
        <v>327</v>
      </c>
      <c r="C116" s="47" t="s">
        <v>184</v>
      </c>
      <c r="D116" s="43">
        <v>72067.713471543597</v>
      </c>
      <c r="E116" s="145">
        <f t="shared" si="1"/>
        <v>1.4099518934433531E-4</v>
      </c>
    </row>
    <row r="117" spans="2:5" x14ac:dyDescent="0.35">
      <c r="B117" s="46">
        <v>331</v>
      </c>
      <c r="C117" s="47" t="s">
        <v>189</v>
      </c>
      <c r="D117" s="43">
        <v>36489.436996200202</v>
      </c>
      <c r="E117" s="145">
        <f t="shared" si="1"/>
        <v>7.1388903997612093E-5</v>
      </c>
    </row>
    <row r="118" spans="2:5" x14ac:dyDescent="0.35">
      <c r="B118" s="46">
        <v>335</v>
      </c>
      <c r="C118" s="47" t="s">
        <v>208</v>
      </c>
      <c r="D118" s="43">
        <v>33826.345516786103</v>
      </c>
      <c r="E118" s="145">
        <f t="shared" si="1"/>
        <v>6.617876107376952E-5</v>
      </c>
    </row>
    <row r="119" spans="2:5" x14ac:dyDescent="0.35">
      <c r="B119" s="46">
        <v>339</v>
      </c>
      <c r="C119" s="47" t="s">
        <v>252</v>
      </c>
      <c r="D119" s="43">
        <v>12396.475755862701</v>
      </c>
      <c r="E119" s="145">
        <f t="shared" si="1"/>
        <v>2.4252794520676322E-5</v>
      </c>
    </row>
    <row r="120" spans="2:5" x14ac:dyDescent="0.35">
      <c r="B120" s="46">
        <v>340</v>
      </c>
      <c r="C120" s="47" t="s">
        <v>255</v>
      </c>
      <c r="D120" s="43">
        <v>272309.79649200599</v>
      </c>
      <c r="E120" s="145">
        <f t="shared" si="1"/>
        <v>5.327541206350063E-4</v>
      </c>
    </row>
    <row r="121" spans="2:5" x14ac:dyDescent="0.35">
      <c r="B121" s="46">
        <v>342</v>
      </c>
      <c r="C121" s="47" t="s">
        <v>279</v>
      </c>
      <c r="D121" s="43">
        <v>615796.29948851501</v>
      </c>
      <c r="E121" s="145">
        <f t="shared" si="1"/>
        <v>1.2047602409115885E-3</v>
      </c>
    </row>
    <row r="122" spans="2:5" x14ac:dyDescent="0.35">
      <c r="B122" s="46">
        <v>344</v>
      </c>
      <c r="C122" s="47" t="s">
        <v>305</v>
      </c>
      <c r="D122" s="43">
        <v>11512081.2338697</v>
      </c>
      <c r="E122" s="145">
        <f t="shared" si="1"/>
        <v>2.2522541581088712E-2</v>
      </c>
    </row>
    <row r="123" spans="2:5" x14ac:dyDescent="0.35">
      <c r="B123" s="46">
        <v>345</v>
      </c>
      <c r="C123" s="47" t="s">
        <v>311</v>
      </c>
      <c r="D123" s="43">
        <v>1495342.7186511799</v>
      </c>
      <c r="E123" s="145">
        <f t="shared" si="1"/>
        <v>2.925528223316621E-3</v>
      </c>
    </row>
    <row r="124" spans="2:5" x14ac:dyDescent="0.35">
      <c r="B124" s="46">
        <v>351</v>
      </c>
      <c r="C124" s="47" t="s">
        <v>351</v>
      </c>
      <c r="D124" s="43">
        <v>29986.1754245915</v>
      </c>
      <c r="E124" s="145">
        <f t="shared" si="1"/>
        <v>5.8665750279036525E-5</v>
      </c>
    </row>
    <row r="125" spans="2:5" x14ac:dyDescent="0.35">
      <c r="B125" s="46">
        <v>352</v>
      </c>
      <c r="C125" s="47" t="s">
        <v>346</v>
      </c>
      <c r="D125" s="43">
        <v>69421.483423503494</v>
      </c>
      <c r="E125" s="145">
        <f t="shared" si="1"/>
        <v>1.3581803457281052E-4</v>
      </c>
    </row>
    <row r="126" spans="2:5" x14ac:dyDescent="0.35">
      <c r="B126" s="46">
        <v>353</v>
      </c>
      <c r="C126" s="47" t="s">
        <v>162</v>
      </c>
      <c r="D126" s="43">
        <v>313446.19420588802</v>
      </c>
      <c r="E126" s="145">
        <f t="shared" si="1"/>
        <v>6.1323446204202014E-4</v>
      </c>
    </row>
    <row r="127" spans="2:5" x14ac:dyDescent="0.35">
      <c r="B127" s="46">
        <v>355</v>
      </c>
      <c r="C127" s="47" t="s">
        <v>356</v>
      </c>
      <c r="D127" s="43">
        <v>1524607.19185373</v>
      </c>
      <c r="E127" s="145">
        <f t="shared" si="1"/>
        <v>2.9827820161941348E-3</v>
      </c>
    </row>
    <row r="128" spans="2:5" x14ac:dyDescent="0.35">
      <c r="B128" s="46">
        <v>356</v>
      </c>
      <c r="C128" s="47" t="s">
        <v>212</v>
      </c>
      <c r="D128" s="43">
        <v>1186182.1940774899</v>
      </c>
      <c r="E128" s="145">
        <f t="shared" si="1"/>
        <v>2.3206783592055126E-3</v>
      </c>
    </row>
    <row r="129" spans="2:5" x14ac:dyDescent="0.35">
      <c r="B129" s="46">
        <v>358</v>
      </c>
      <c r="C129" s="47" t="s">
        <v>12</v>
      </c>
      <c r="D129" s="43">
        <v>76854.239126173197</v>
      </c>
      <c r="E129" s="145">
        <f t="shared" si="1"/>
        <v>1.5035967530436926E-4</v>
      </c>
    </row>
    <row r="130" spans="2:5" x14ac:dyDescent="0.35">
      <c r="B130" s="46">
        <v>361</v>
      </c>
      <c r="C130" s="47" t="s">
        <v>17</v>
      </c>
      <c r="D130" s="43">
        <v>2607361.4811306102</v>
      </c>
      <c r="E130" s="145">
        <f t="shared" si="1"/>
        <v>5.1011112745556475E-3</v>
      </c>
    </row>
    <row r="131" spans="2:5" x14ac:dyDescent="0.35">
      <c r="B131" s="46">
        <v>362</v>
      </c>
      <c r="C131" s="47" t="s">
        <v>25</v>
      </c>
      <c r="D131" s="43">
        <v>221032.68223118901</v>
      </c>
      <c r="E131" s="145">
        <f t="shared" si="1"/>
        <v>4.3243421195509859E-4</v>
      </c>
    </row>
    <row r="132" spans="2:5" x14ac:dyDescent="0.35">
      <c r="B132" s="46">
        <v>363</v>
      </c>
      <c r="C132" s="47" t="s">
        <v>26</v>
      </c>
      <c r="D132" s="43">
        <v>55991321.387325399</v>
      </c>
      <c r="E132" s="145">
        <f t="shared" si="1"/>
        <v>0.10954290875015306</v>
      </c>
    </row>
    <row r="133" spans="2:5" x14ac:dyDescent="0.35">
      <c r="B133" s="46">
        <v>370</v>
      </c>
      <c r="C133" s="47" t="s">
        <v>38</v>
      </c>
      <c r="D133" s="43">
        <v>22309.745800377499</v>
      </c>
      <c r="E133" s="145">
        <f t="shared" si="1"/>
        <v>4.3647379413393801E-5</v>
      </c>
    </row>
    <row r="134" spans="2:5" x14ac:dyDescent="0.35">
      <c r="B134" s="46">
        <v>373</v>
      </c>
      <c r="C134" s="47" t="s">
        <v>43</v>
      </c>
      <c r="D134" s="43">
        <v>81594.785897954906</v>
      </c>
      <c r="E134" s="145">
        <f t="shared" si="1"/>
        <v>1.5963420695642397E-4</v>
      </c>
    </row>
    <row r="135" spans="2:5" x14ac:dyDescent="0.35">
      <c r="B135" s="46">
        <v>375</v>
      </c>
      <c r="C135" s="47" t="s">
        <v>49</v>
      </c>
      <c r="D135" s="43">
        <v>1058999.31007129</v>
      </c>
      <c r="E135" s="145">
        <f t="shared" si="1"/>
        <v>2.071854385916927E-3</v>
      </c>
    </row>
    <row r="136" spans="2:5" x14ac:dyDescent="0.35">
      <c r="B136" s="46">
        <v>376</v>
      </c>
      <c r="C136" s="47" t="s">
        <v>51</v>
      </c>
      <c r="D136" s="43">
        <v>41829.049921002603</v>
      </c>
      <c r="E136" s="145">
        <f t="shared" si="1"/>
        <v>8.1835464587539045E-5</v>
      </c>
    </row>
    <row r="137" spans="2:5" x14ac:dyDescent="0.35">
      <c r="B137" s="46">
        <v>377</v>
      </c>
      <c r="C137" s="47" t="s">
        <v>52</v>
      </c>
      <c r="D137" s="43">
        <v>48932.839474166998</v>
      </c>
      <c r="E137" s="145">
        <f t="shared" si="1"/>
        <v>9.5733507204170875E-5</v>
      </c>
    </row>
    <row r="138" spans="2:5" x14ac:dyDescent="0.35">
      <c r="B138" s="46">
        <v>383</v>
      </c>
      <c r="C138" s="47" t="s">
        <v>69</v>
      </c>
      <c r="D138" s="43">
        <v>82864.770115687701</v>
      </c>
      <c r="E138" s="145">
        <f t="shared" si="1"/>
        <v>1.6211883782117669E-4</v>
      </c>
    </row>
    <row r="139" spans="2:5" x14ac:dyDescent="0.35">
      <c r="B139" s="46">
        <v>384</v>
      </c>
      <c r="C139" s="47" t="s">
        <v>85</v>
      </c>
      <c r="D139" s="43">
        <v>436638.97214863403</v>
      </c>
      <c r="E139" s="145">
        <f t="shared" si="1"/>
        <v>8.5425208581817365E-4</v>
      </c>
    </row>
    <row r="140" spans="2:5" x14ac:dyDescent="0.35">
      <c r="B140" s="46">
        <v>385</v>
      </c>
      <c r="C140" s="47" t="s">
        <v>97</v>
      </c>
      <c r="D140" s="43">
        <v>88476.423967316296</v>
      </c>
      <c r="E140" s="145">
        <f t="shared" ref="E140:E203" si="2">+D140/D$10</f>
        <v>1.7309762650798106E-4</v>
      </c>
    </row>
    <row r="141" spans="2:5" x14ac:dyDescent="0.35">
      <c r="B141" s="46">
        <v>388</v>
      </c>
      <c r="C141" s="47" t="s">
        <v>105</v>
      </c>
      <c r="D141" s="43">
        <v>364300.13611425902</v>
      </c>
      <c r="E141" s="145">
        <f t="shared" si="2"/>
        <v>7.127264650886796E-4</v>
      </c>
    </row>
    <row r="142" spans="2:5" x14ac:dyDescent="0.35">
      <c r="B142" s="46">
        <v>392</v>
      </c>
      <c r="C142" s="47" t="s">
        <v>126</v>
      </c>
      <c r="D142" s="43">
        <v>3506105.3133475902</v>
      </c>
      <c r="E142" s="145">
        <f t="shared" si="2"/>
        <v>6.8594375859006339E-3</v>
      </c>
    </row>
    <row r="143" spans="2:5" x14ac:dyDescent="0.35">
      <c r="B143" s="46">
        <v>393</v>
      </c>
      <c r="C143" s="47" t="s">
        <v>811</v>
      </c>
      <c r="D143" s="43">
        <v>14676.332338092299</v>
      </c>
      <c r="E143" s="145">
        <f t="shared" si="2"/>
        <v>2.8713166509810091E-5</v>
      </c>
    </row>
    <row r="144" spans="2:5" x14ac:dyDescent="0.35">
      <c r="B144" s="46">
        <v>394</v>
      </c>
      <c r="C144" s="47" t="s">
        <v>127</v>
      </c>
      <c r="D144" s="43">
        <v>391847.00922517403</v>
      </c>
      <c r="E144" s="145">
        <f t="shared" si="2"/>
        <v>7.6661989951339537E-4</v>
      </c>
    </row>
    <row r="145" spans="2:5" x14ac:dyDescent="0.35">
      <c r="B145" s="46">
        <v>396</v>
      </c>
      <c r="C145" s="47" t="s">
        <v>134</v>
      </c>
      <c r="D145" s="43">
        <v>926883.82073759905</v>
      </c>
      <c r="E145" s="145">
        <f t="shared" si="2"/>
        <v>1.8133801325152493E-3</v>
      </c>
    </row>
    <row r="146" spans="2:5" x14ac:dyDescent="0.35">
      <c r="B146" s="46">
        <v>397</v>
      </c>
      <c r="C146" s="47" t="s">
        <v>135</v>
      </c>
      <c r="D146" s="43">
        <v>58591.923107283998</v>
      </c>
      <c r="E146" s="145">
        <f t="shared" si="2"/>
        <v>1.1463079504835718E-4</v>
      </c>
    </row>
    <row r="147" spans="2:5" x14ac:dyDescent="0.35">
      <c r="B147" s="46">
        <v>398</v>
      </c>
      <c r="C147" s="47" t="s">
        <v>138</v>
      </c>
      <c r="D147" s="43">
        <v>544122.47773765505</v>
      </c>
      <c r="E147" s="145">
        <f t="shared" si="2"/>
        <v>1.0645356717945882E-3</v>
      </c>
    </row>
    <row r="148" spans="2:5" x14ac:dyDescent="0.35">
      <c r="B148" s="46">
        <v>399</v>
      </c>
      <c r="C148" s="47" t="s">
        <v>141</v>
      </c>
      <c r="D148" s="43">
        <v>131318.81579061999</v>
      </c>
      <c r="E148" s="145">
        <f t="shared" si="2"/>
        <v>2.5691562011584081E-4</v>
      </c>
    </row>
    <row r="149" spans="2:5" x14ac:dyDescent="0.35">
      <c r="B149" s="46">
        <v>400</v>
      </c>
      <c r="C149" s="47" t="s">
        <v>82</v>
      </c>
      <c r="D149" s="43">
        <v>2305689.4237127402</v>
      </c>
      <c r="E149" s="145">
        <f t="shared" si="2"/>
        <v>4.5109120465431935E-3</v>
      </c>
    </row>
    <row r="150" spans="2:5" x14ac:dyDescent="0.35">
      <c r="B150" s="46">
        <v>402</v>
      </c>
      <c r="C150" s="47" t="s">
        <v>152</v>
      </c>
      <c r="D150" s="43">
        <v>2049028.56332003</v>
      </c>
      <c r="E150" s="145">
        <f t="shared" si="2"/>
        <v>4.0087739202567356E-3</v>
      </c>
    </row>
    <row r="151" spans="2:5" x14ac:dyDescent="0.35">
      <c r="B151" s="46">
        <v>405</v>
      </c>
      <c r="C151" s="47" t="s">
        <v>157</v>
      </c>
      <c r="D151" s="43">
        <v>1839616.72627216</v>
      </c>
      <c r="E151" s="145">
        <f t="shared" si="2"/>
        <v>3.59907503856309E-3</v>
      </c>
    </row>
    <row r="152" spans="2:5" x14ac:dyDescent="0.35">
      <c r="B152" s="46">
        <v>406</v>
      </c>
      <c r="C152" s="47" t="s">
        <v>160</v>
      </c>
      <c r="D152" s="43">
        <v>688842.04909766302</v>
      </c>
      <c r="E152" s="145">
        <f t="shared" si="2"/>
        <v>1.3476688861401816E-3</v>
      </c>
    </row>
    <row r="153" spans="2:5" x14ac:dyDescent="0.35">
      <c r="B153" s="46">
        <v>415</v>
      </c>
      <c r="C153" s="47" t="s">
        <v>174</v>
      </c>
      <c r="D153" s="43">
        <v>27021.970811675401</v>
      </c>
      <c r="E153" s="145">
        <f t="shared" si="2"/>
        <v>5.2866501620780102E-5</v>
      </c>
    </row>
    <row r="154" spans="2:5" x14ac:dyDescent="0.35">
      <c r="B154" s="46">
        <v>416</v>
      </c>
      <c r="C154" s="47" t="s">
        <v>175</v>
      </c>
      <c r="D154" s="43">
        <v>105121.63688077799</v>
      </c>
      <c r="E154" s="145">
        <f t="shared" si="2"/>
        <v>2.0566276328503442E-4</v>
      </c>
    </row>
    <row r="155" spans="2:5" x14ac:dyDescent="0.35">
      <c r="B155" s="46">
        <v>417</v>
      </c>
      <c r="C155" s="47" t="s">
        <v>177</v>
      </c>
      <c r="D155" s="43">
        <v>22798.565822296299</v>
      </c>
      <c r="E155" s="145">
        <f t="shared" si="2"/>
        <v>4.4603719891338306E-5</v>
      </c>
    </row>
    <row r="156" spans="2:5" x14ac:dyDescent="0.35">
      <c r="B156" s="46">
        <v>420</v>
      </c>
      <c r="C156" s="47" t="s">
        <v>196</v>
      </c>
      <c r="D156" s="43">
        <v>244680.836786764</v>
      </c>
      <c r="E156" s="145">
        <f t="shared" si="2"/>
        <v>4.7870008981625706E-4</v>
      </c>
    </row>
    <row r="157" spans="2:5" x14ac:dyDescent="0.35">
      <c r="B157" s="46">
        <v>431</v>
      </c>
      <c r="C157" s="47" t="s">
        <v>235</v>
      </c>
      <c r="D157" s="43">
        <v>23838.774828939699</v>
      </c>
      <c r="E157" s="145">
        <f t="shared" si="2"/>
        <v>4.6638812428404583E-5</v>
      </c>
    </row>
    <row r="158" spans="2:5" x14ac:dyDescent="0.35">
      <c r="B158" s="46">
        <v>432</v>
      </c>
      <c r="C158" s="47" t="s">
        <v>236</v>
      </c>
      <c r="D158" s="43">
        <v>53476.611701136397</v>
      </c>
      <c r="E158" s="145">
        <f t="shared" si="2"/>
        <v>1.0462306390881154E-4</v>
      </c>
    </row>
    <row r="159" spans="2:5" x14ac:dyDescent="0.35">
      <c r="B159" s="46">
        <v>437</v>
      </c>
      <c r="C159" s="47" t="s">
        <v>240</v>
      </c>
      <c r="D159" s="43">
        <v>48146.256837849003</v>
      </c>
      <c r="E159" s="145">
        <f t="shared" si="2"/>
        <v>9.4194616036402486E-5</v>
      </c>
    </row>
    <row r="160" spans="2:5" x14ac:dyDescent="0.35">
      <c r="B160" s="46">
        <v>439</v>
      </c>
      <c r="C160" s="47" t="s">
        <v>247</v>
      </c>
      <c r="D160" s="43">
        <v>1669821.26220652</v>
      </c>
      <c r="E160" s="145">
        <f t="shared" si="2"/>
        <v>3.2668826815071498E-3</v>
      </c>
    </row>
    <row r="161" spans="2:5" x14ac:dyDescent="0.35">
      <c r="B161" s="46">
        <v>441</v>
      </c>
      <c r="C161" s="47" t="s">
        <v>265</v>
      </c>
      <c r="D161" s="43">
        <v>345540.299098638</v>
      </c>
      <c r="E161" s="145">
        <f t="shared" si="2"/>
        <v>6.7602422153642972E-4</v>
      </c>
    </row>
    <row r="162" spans="2:5" x14ac:dyDescent="0.35">
      <c r="B162" s="46">
        <v>448</v>
      </c>
      <c r="C162" s="47" t="s">
        <v>292</v>
      </c>
      <c r="D162" s="43">
        <v>57705.871880056897</v>
      </c>
      <c r="E162" s="145">
        <f t="shared" si="2"/>
        <v>1.1289730088663391E-4</v>
      </c>
    </row>
    <row r="163" spans="2:5" x14ac:dyDescent="0.35">
      <c r="B163" s="46">
        <v>450</v>
      </c>
      <c r="C163" s="47" t="s">
        <v>302</v>
      </c>
      <c r="D163" s="43">
        <v>34350.360580283203</v>
      </c>
      <c r="E163" s="145">
        <f t="shared" si="2"/>
        <v>6.7203958066126311E-5</v>
      </c>
    </row>
    <row r="164" spans="2:5" x14ac:dyDescent="0.35">
      <c r="B164" s="46">
        <v>451</v>
      </c>
      <c r="C164" s="47" t="s">
        <v>303</v>
      </c>
      <c r="D164" s="43">
        <v>74046.456920271201</v>
      </c>
      <c r="E164" s="145">
        <f t="shared" si="2"/>
        <v>1.4486645559905526E-4</v>
      </c>
    </row>
    <row r="165" spans="2:5" x14ac:dyDescent="0.35">
      <c r="B165" s="46">
        <v>453</v>
      </c>
      <c r="C165" s="47" t="s">
        <v>314</v>
      </c>
      <c r="D165" s="43">
        <v>1274486.3335277899</v>
      </c>
      <c r="E165" s="145">
        <f t="shared" si="2"/>
        <v>2.4934389237071153E-3</v>
      </c>
    </row>
    <row r="166" spans="2:5" x14ac:dyDescent="0.35">
      <c r="B166" s="46">
        <v>457</v>
      </c>
      <c r="C166" s="47" t="s">
        <v>333</v>
      </c>
      <c r="D166" s="43">
        <v>418600.63164768199</v>
      </c>
      <c r="E166" s="145">
        <f t="shared" si="2"/>
        <v>8.1896139721607762E-4</v>
      </c>
    </row>
    <row r="167" spans="2:5" x14ac:dyDescent="0.35">
      <c r="B167" s="46">
        <v>473</v>
      </c>
      <c r="C167" s="47" t="s">
        <v>354</v>
      </c>
      <c r="D167" s="43">
        <v>430812.84864933998</v>
      </c>
      <c r="E167" s="145">
        <f t="shared" si="2"/>
        <v>8.4285370301460656E-4</v>
      </c>
    </row>
    <row r="168" spans="2:5" x14ac:dyDescent="0.35">
      <c r="B168" s="46">
        <v>479</v>
      </c>
      <c r="C168" s="47" t="s">
        <v>352</v>
      </c>
      <c r="D168" s="43">
        <v>4769032.0245033596</v>
      </c>
      <c r="E168" s="145">
        <f t="shared" si="2"/>
        <v>9.3302609572809003E-3</v>
      </c>
    </row>
    <row r="169" spans="2:5" x14ac:dyDescent="0.35">
      <c r="B169" s="46">
        <v>482</v>
      </c>
      <c r="C169" s="47" t="s">
        <v>15</v>
      </c>
      <c r="D169" s="43">
        <v>249208.990440261</v>
      </c>
      <c r="E169" s="145">
        <f t="shared" si="2"/>
        <v>4.8755908992879909E-4</v>
      </c>
    </row>
    <row r="170" spans="2:5" x14ac:dyDescent="0.35">
      <c r="B170" s="46">
        <v>484</v>
      </c>
      <c r="C170" s="47" t="s">
        <v>20</v>
      </c>
      <c r="D170" s="43">
        <v>1010080.36205092</v>
      </c>
      <c r="E170" s="145">
        <f t="shared" si="2"/>
        <v>1.9761480563220352E-3</v>
      </c>
    </row>
    <row r="171" spans="2:5" x14ac:dyDescent="0.35">
      <c r="B171" s="46">
        <v>489</v>
      </c>
      <c r="C171" s="47" t="s">
        <v>34</v>
      </c>
      <c r="D171" s="43">
        <v>120636.870849403</v>
      </c>
      <c r="E171" s="145">
        <f t="shared" si="2"/>
        <v>2.3601717923291547E-4</v>
      </c>
    </row>
    <row r="172" spans="2:5" x14ac:dyDescent="0.35">
      <c r="B172" s="46">
        <v>498</v>
      </c>
      <c r="C172" s="47" t="s">
        <v>91</v>
      </c>
      <c r="D172" s="43">
        <v>48115.532397518698</v>
      </c>
      <c r="E172" s="145">
        <f t="shared" si="2"/>
        <v>9.4134505925047546E-5</v>
      </c>
    </row>
    <row r="173" spans="2:5" x14ac:dyDescent="0.35">
      <c r="B173" s="46">
        <v>501</v>
      </c>
      <c r="C173" s="47" t="s">
        <v>61</v>
      </c>
      <c r="D173" s="43">
        <v>154158.98010941799</v>
      </c>
      <c r="E173" s="145">
        <f t="shared" si="2"/>
        <v>3.016007244109317E-4</v>
      </c>
    </row>
    <row r="174" spans="2:5" x14ac:dyDescent="0.35">
      <c r="B174" s="46">
        <v>502</v>
      </c>
      <c r="C174" s="47" t="s">
        <v>68</v>
      </c>
      <c r="D174" s="43">
        <v>2913020.3121816898</v>
      </c>
      <c r="E174" s="145">
        <f t="shared" si="2"/>
        <v>5.6991103324254668E-3</v>
      </c>
    </row>
    <row r="175" spans="2:5" x14ac:dyDescent="0.35">
      <c r="B175" s="46">
        <v>503</v>
      </c>
      <c r="C175" s="47" t="s">
        <v>80</v>
      </c>
      <c r="D175" s="43">
        <v>3652285.6614798601</v>
      </c>
      <c r="E175" s="145">
        <f t="shared" si="2"/>
        <v>7.1454287027336739E-3</v>
      </c>
    </row>
    <row r="176" spans="2:5" x14ac:dyDescent="0.35">
      <c r="B176" s="46">
        <v>505</v>
      </c>
      <c r="C176" s="47" t="s">
        <v>90</v>
      </c>
      <c r="D176" s="43">
        <v>5534839.7090699803</v>
      </c>
      <c r="E176" s="145">
        <f t="shared" si="2"/>
        <v>1.0828507457490075E-2</v>
      </c>
    </row>
    <row r="177" spans="2:5" x14ac:dyDescent="0.35">
      <c r="B177" s="46">
        <v>512</v>
      </c>
      <c r="C177" s="47" t="s">
        <v>119</v>
      </c>
      <c r="D177" s="43">
        <v>807573.24932896905</v>
      </c>
      <c r="E177" s="145">
        <f t="shared" si="2"/>
        <v>1.5799577607456359E-3</v>
      </c>
    </row>
    <row r="178" spans="2:5" x14ac:dyDescent="0.35">
      <c r="B178" s="46">
        <v>513</v>
      </c>
      <c r="C178" s="47" t="s">
        <v>120</v>
      </c>
      <c r="D178" s="43">
        <v>2074768.6599804501</v>
      </c>
      <c r="E178" s="145">
        <f t="shared" si="2"/>
        <v>4.0591325292309256E-3</v>
      </c>
    </row>
    <row r="179" spans="2:5" x14ac:dyDescent="0.35">
      <c r="B179" s="46">
        <v>518</v>
      </c>
      <c r="C179" s="47" t="s">
        <v>270</v>
      </c>
      <c r="D179" s="43">
        <v>38665738.811200902</v>
      </c>
      <c r="E179" s="145">
        <f t="shared" si="2"/>
        <v>7.5646678688876659E-2</v>
      </c>
    </row>
    <row r="180" spans="2:5" x14ac:dyDescent="0.35">
      <c r="B180" s="46">
        <v>523</v>
      </c>
      <c r="C180" s="47" t="s">
        <v>131</v>
      </c>
      <c r="D180" s="43">
        <v>43321.185622538404</v>
      </c>
      <c r="E180" s="145">
        <f t="shared" si="2"/>
        <v>8.4754718517366504E-5</v>
      </c>
    </row>
    <row r="181" spans="2:5" x14ac:dyDescent="0.35">
      <c r="B181" s="46">
        <v>530</v>
      </c>
      <c r="C181" s="47" t="s">
        <v>143</v>
      </c>
      <c r="D181" s="43">
        <v>962085.7387478</v>
      </c>
      <c r="E181" s="145">
        <f t="shared" si="2"/>
        <v>1.8822501001616049E-3</v>
      </c>
    </row>
    <row r="182" spans="2:5" x14ac:dyDescent="0.35">
      <c r="B182" s="46">
        <v>531</v>
      </c>
      <c r="C182" s="47" t="s">
        <v>145</v>
      </c>
      <c r="D182" s="43">
        <v>72752.061502230004</v>
      </c>
      <c r="E182" s="145">
        <f t="shared" si="2"/>
        <v>1.4233406601345778E-4</v>
      </c>
    </row>
    <row r="183" spans="2:5" x14ac:dyDescent="0.35">
      <c r="B183" s="46">
        <v>532</v>
      </c>
      <c r="C183" s="47" t="s">
        <v>284</v>
      </c>
      <c r="D183" s="43">
        <v>250105.024715993</v>
      </c>
      <c r="E183" s="145">
        <f t="shared" si="2"/>
        <v>4.8931211519184889E-4</v>
      </c>
    </row>
    <row r="184" spans="2:5" x14ac:dyDescent="0.35">
      <c r="B184" s="46">
        <v>534</v>
      </c>
      <c r="C184" s="47" t="s">
        <v>150</v>
      </c>
      <c r="D184" s="43">
        <v>72720.905332095295</v>
      </c>
      <c r="E184" s="145">
        <f t="shared" si="2"/>
        <v>1.4227311125444324E-4</v>
      </c>
    </row>
    <row r="185" spans="2:5" x14ac:dyDescent="0.35">
      <c r="B185" s="46">
        <v>537</v>
      </c>
      <c r="C185" s="47" t="s">
        <v>166</v>
      </c>
      <c r="D185" s="43">
        <v>577990.01978835196</v>
      </c>
      <c r="E185" s="145">
        <f t="shared" si="2"/>
        <v>1.1307950308618181E-3</v>
      </c>
    </row>
    <row r="186" spans="2:5" x14ac:dyDescent="0.35">
      <c r="B186" s="46">
        <v>542</v>
      </c>
      <c r="C186" s="47" t="s">
        <v>169</v>
      </c>
      <c r="D186" s="43">
        <v>391298.83194718399</v>
      </c>
      <c r="E186" s="145">
        <f t="shared" si="2"/>
        <v>7.6554743092265834E-4</v>
      </c>
    </row>
    <row r="187" spans="2:5" x14ac:dyDescent="0.35">
      <c r="B187" s="46">
        <v>545</v>
      </c>
      <c r="C187" s="47" t="s">
        <v>816</v>
      </c>
      <c r="D187" s="43">
        <v>343303.17496898398</v>
      </c>
      <c r="E187" s="145">
        <f t="shared" si="2"/>
        <v>6.7164745245283858E-4</v>
      </c>
    </row>
    <row r="188" spans="2:5" x14ac:dyDescent="0.35">
      <c r="B188" s="46">
        <v>546</v>
      </c>
      <c r="C188" s="47" t="s">
        <v>179</v>
      </c>
      <c r="D188" s="43">
        <v>3821499.9811513098</v>
      </c>
      <c r="E188" s="145">
        <f t="shared" si="2"/>
        <v>7.4764840934568658E-3</v>
      </c>
    </row>
    <row r="189" spans="2:5" x14ac:dyDescent="0.35">
      <c r="B189" s="46">
        <v>547</v>
      </c>
      <c r="C189" s="47" t="s">
        <v>180</v>
      </c>
      <c r="D189" s="43">
        <v>225764.964872421</v>
      </c>
      <c r="E189" s="145">
        <f t="shared" si="2"/>
        <v>4.4169257544258278E-4</v>
      </c>
    </row>
    <row r="190" spans="2:5" x14ac:dyDescent="0.35">
      <c r="B190" s="46">
        <v>553</v>
      </c>
      <c r="C190" s="47" t="s">
        <v>186</v>
      </c>
      <c r="D190" s="43">
        <v>55655.092415595398</v>
      </c>
      <c r="E190" s="145">
        <f t="shared" si="2"/>
        <v>1.0888510145686573E-4</v>
      </c>
    </row>
    <row r="191" spans="2:5" x14ac:dyDescent="0.35">
      <c r="B191" s="46">
        <v>556</v>
      </c>
      <c r="C191" s="47" t="s">
        <v>194</v>
      </c>
      <c r="D191" s="43">
        <v>1177204.9026945501</v>
      </c>
      <c r="E191" s="145">
        <f t="shared" si="2"/>
        <v>2.3031149478335579E-3</v>
      </c>
    </row>
    <row r="192" spans="2:5" x14ac:dyDescent="0.35">
      <c r="B192" s="46">
        <v>569</v>
      </c>
      <c r="C192" s="47" t="s">
        <v>213</v>
      </c>
      <c r="D192" s="43">
        <v>69443.727593883101</v>
      </c>
      <c r="E192" s="145">
        <f t="shared" si="2"/>
        <v>1.3586155365872852E-4</v>
      </c>
    </row>
    <row r="193" spans="2:5" x14ac:dyDescent="0.35">
      <c r="B193" s="46">
        <v>575</v>
      </c>
      <c r="C193" s="47" t="s">
        <v>221</v>
      </c>
      <c r="D193" s="43">
        <v>64813.624346267497</v>
      </c>
      <c r="E193" s="145">
        <f t="shared" si="2"/>
        <v>1.2680309665163677E-4</v>
      </c>
    </row>
    <row r="194" spans="2:5" x14ac:dyDescent="0.35">
      <c r="B194" s="46">
        <v>576</v>
      </c>
      <c r="C194" s="47" t="s">
        <v>818</v>
      </c>
      <c r="D194" s="43">
        <v>40282.680366290697</v>
      </c>
      <c r="E194" s="145">
        <f t="shared" si="2"/>
        <v>7.8810106106462605E-5</v>
      </c>
    </row>
    <row r="195" spans="2:5" x14ac:dyDescent="0.35">
      <c r="B195" s="46">
        <v>579</v>
      </c>
      <c r="C195" s="47" t="s">
        <v>224</v>
      </c>
      <c r="D195" s="43">
        <v>90280.168122053205</v>
      </c>
      <c r="E195" s="145">
        <f t="shared" si="2"/>
        <v>1.7662651949452334E-4</v>
      </c>
    </row>
    <row r="196" spans="2:5" x14ac:dyDescent="0.35">
      <c r="B196" s="46">
        <v>584</v>
      </c>
      <c r="C196" s="47" t="s">
        <v>819</v>
      </c>
      <c r="D196" s="43">
        <v>98867.313524760597</v>
      </c>
      <c r="E196" s="145">
        <f t="shared" si="2"/>
        <v>1.9342663890527915E-4</v>
      </c>
    </row>
    <row r="197" spans="2:5" x14ac:dyDescent="0.35">
      <c r="B197" s="46">
        <v>585</v>
      </c>
      <c r="C197" s="47" t="s">
        <v>812</v>
      </c>
      <c r="D197" s="43">
        <v>69650.987283176699</v>
      </c>
      <c r="E197" s="145">
        <f t="shared" si="2"/>
        <v>1.3626704202137702E-4</v>
      </c>
    </row>
    <row r="198" spans="2:5" x14ac:dyDescent="0.35">
      <c r="B198" s="46">
        <v>588</v>
      </c>
      <c r="C198" s="47" t="s">
        <v>815</v>
      </c>
      <c r="D198" s="43">
        <v>26454.9395862495</v>
      </c>
      <c r="E198" s="145">
        <f t="shared" si="2"/>
        <v>5.1757146666364301E-5</v>
      </c>
    </row>
    <row r="199" spans="2:5" x14ac:dyDescent="0.35">
      <c r="B199" s="46">
        <v>589</v>
      </c>
      <c r="C199" s="47" t="s">
        <v>241</v>
      </c>
      <c r="D199" s="43">
        <v>24656.081905587998</v>
      </c>
      <c r="E199" s="145">
        <f t="shared" si="2"/>
        <v>4.8237813707527918E-5</v>
      </c>
    </row>
    <row r="200" spans="2:5" x14ac:dyDescent="0.35">
      <c r="B200" s="46">
        <v>590</v>
      </c>
      <c r="C200" s="47" t="s">
        <v>243</v>
      </c>
      <c r="D200" s="43">
        <v>438165.70102796302</v>
      </c>
      <c r="E200" s="145">
        <f t="shared" si="2"/>
        <v>8.5723901876011378E-4</v>
      </c>
    </row>
    <row r="201" spans="2:5" x14ac:dyDescent="0.35">
      <c r="B201" s="46">
        <v>597</v>
      </c>
      <c r="C201" s="47" t="s">
        <v>256</v>
      </c>
      <c r="D201" s="43">
        <v>754207.07909269701</v>
      </c>
      <c r="E201" s="145">
        <f t="shared" si="2"/>
        <v>1.4755507674529145E-3</v>
      </c>
    </row>
    <row r="202" spans="2:5" x14ac:dyDescent="0.35">
      <c r="B202" s="46">
        <v>599</v>
      </c>
      <c r="C202" s="47" t="s">
        <v>262</v>
      </c>
      <c r="D202" s="43">
        <v>60160165.321183302</v>
      </c>
      <c r="E202" s="145">
        <f t="shared" si="2"/>
        <v>0.11769894578098476</v>
      </c>
    </row>
    <row r="203" spans="2:5" x14ac:dyDescent="0.35">
      <c r="B203" s="46">
        <v>603</v>
      </c>
      <c r="C203" s="47" t="s">
        <v>258</v>
      </c>
      <c r="D203" s="43">
        <v>1659429.6018515001</v>
      </c>
      <c r="E203" s="145">
        <f t="shared" si="2"/>
        <v>3.246552161100996E-3</v>
      </c>
    </row>
    <row r="204" spans="2:5" x14ac:dyDescent="0.35">
      <c r="B204" s="46">
        <v>606</v>
      </c>
      <c r="C204" s="47" t="s">
        <v>267</v>
      </c>
      <c r="D204" s="43">
        <v>3739157.1275581499</v>
      </c>
      <c r="E204" s="145">
        <f t="shared" ref="E204:E267" si="3">+D204/D$10</f>
        <v>7.3153863469867389E-3</v>
      </c>
    </row>
    <row r="205" spans="2:5" x14ac:dyDescent="0.35">
      <c r="B205" s="46">
        <v>610</v>
      </c>
      <c r="C205" s="47" t="s">
        <v>276</v>
      </c>
      <c r="D205" s="43">
        <v>467106.95439620299</v>
      </c>
      <c r="E205" s="145">
        <f t="shared" si="3"/>
        <v>9.1386045576641783E-4</v>
      </c>
    </row>
    <row r="206" spans="2:5" x14ac:dyDescent="0.35">
      <c r="B206" s="46">
        <v>611</v>
      </c>
      <c r="C206" s="47" t="s">
        <v>813</v>
      </c>
      <c r="D206" s="43">
        <v>31218.001879826999</v>
      </c>
      <c r="E206" s="145">
        <f t="shared" si="3"/>
        <v>6.1075728283456905E-5</v>
      </c>
    </row>
    <row r="207" spans="2:5" x14ac:dyDescent="0.35">
      <c r="B207" s="46">
        <v>613</v>
      </c>
      <c r="C207" s="47" t="s">
        <v>16</v>
      </c>
      <c r="D207" s="43">
        <v>162100.926892441</v>
      </c>
      <c r="E207" s="145">
        <f t="shared" si="3"/>
        <v>3.1713856010037836E-4</v>
      </c>
    </row>
    <row r="208" spans="2:5" x14ac:dyDescent="0.35">
      <c r="B208" s="46">
        <v>614</v>
      </c>
      <c r="C208" s="47" t="s">
        <v>342</v>
      </c>
      <c r="D208" s="43">
        <v>33685.565350473502</v>
      </c>
      <c r="E208" s="145">
        <f t="shared" si="3"/>
        <v>6.5903335016121529E-5</v>
      </c>
    </row>
    <row r="209" spans="2:5" x14ac:dyDescent="0.35">
      <c r="B209" s="46">
        <v>617</v>
      </c>
      <c r="C209" s="47" t="s">
        <v>820</v>
      </c>
      <c r="D209" s="43">
        <v>22399.688684410499</v>
      </c>
      <c r="E209" s="145">
        <f t="shared" si="3"/>
        <v>4.3823346061335475E-5</v>
      </c>
    </row>
    <row r="210" spans="2:5" x14ac:dyDescent="0.35">
      <c r="B210" s="46">
        <v>620</v>
      </c>
      <c r="C210" s="47" t="s">
        <v>810</v>
      </c>
      <c r="D210" s="43">
        <v>149664.53221039401</v>
      </c>
      <c r="E210" s="145">
        <f t="shared" si="3"/>
        <v>2.9280766713194156E-4</v>
      </c>
    </row>
    <row r="211" spans="2:5" x14ac:dyDescent="0.35">
      <c r="B211" s="46">
        <v>622</v>
      </c>
      <c r="C211" s="47" t="s">
        <v>318</v>
      </c>
      <c r="D211" s="43">
        <v>3378471.4244233398</v>
      </c>
      <c r="E211" s="145">
        <f t="shared" si="3"/>
        <v>6.6097312546079907E-3</v>
      </c>
    </row>
    <row r="212" spans="2:5" x14ac:dyDescent="0.35">
      <c r="B212" s="46">
        <v>626</v>
      </c>
      <c r="C212" s="47" t="s">
        <v>322</v>
      </c>
      <c r="D212" s="43">
        <v>176573.138979471</v>
      </c>
      <c r="E212" s="145">
        <f t="shared" si="3"/>
        <v>3.4545238032790486E-4</v>
      </c>
    </row>
    <row r="213" spans="2:5" x14ac:dyDescent="0.35">
      <c r="B213" s="46">
        <v>627</v>
      </c>
      <c r="C213" s="47" t="s">
        <v>328</v>
      </c>
      <c r="D213" s="43">
        <v>154408.53433880501</v>
      </c>
      <c r="E213" s="145">
        <f t="shared" si="3"/>
        <v>3.0208895893550836E-4</v>
      </c>
    </row>
    <row r="214" spans="2:5" x14ac:dyDescent="0.35">
      <c r="B214" s="46">
        <v>629</v>
      </c>
      <c r="C214" s="47" t="s">
        <v>330</v>
      </c>
      <c r="D214" s="43">
        <v>311587.69424231403</v>
      </c>
      <c r="E214" s="145">
        <f t="shared" si="3"/>
        <v>6.0959844333630629E-4</v>
      </c>
    </row>
    <row r="215" spans="2:5" x14ac:dyDescent="0.35">
      <c r="B215" s="46">
        <v>632</v>
      </c>
      <c r="C215" s="47" t="s">
        <v>349</v>
      </c>
      <c r="D215" s="43">
        <v>127804.927650821</v>
      </c>
      <c r="E215" s="145">
        <f t="shared" si="3"/>
        <v>2.5004095600149502E-4</v>
      </c>
    </row>
    <row r="216" spans="2:5" x14ac:dyDescent="0.35">
      <c r="B216" s="46">
        <v>637</v>
      </c>
      <c r="C216" s="47" t="s">
        <v>358</v>
      </c>
      <c r="D216" s="43">
        <v>3355181.0933922702</v>
      </c>
      <c r="E216" s="145">
        <f t="shared" si="3"/>
        <v>6.5641654321968975E-3</v>
      </c>
    </row>
    <row r="217" spans="2:5" x14ac:dyDescent="0.35">
      <c r="B217" s="46">
        <v>638</v>
      </c>
      <c r="C217" s="47" t="s">
        <v>359</v>
      </c>
      <c r="D217" s="43">
        <v>20663.399966554702</v>
      </c>
      <c r="E217" s="145">
        <f t="shared" si="3"/>
        <v>4.0426424683676181E-5</v>
      </c>
    </row>
    <row r="218" spans="2:5" x14ac:dyDescent="0.35">
      <c r="B218" s="46">
        <v>642</v>
      </c>
      <c r="C218" s="47" t="s">
        <v>364</v>
      </c>
      <c r="D218" s="43">
        <v>1236254.2517242599</v>
      </c>
      <c r="E218" s="145">
        <f t="shared" si="3"/>
        <v>2.418640663109527E-3</v>
      </c>
    </row>
    <row r="219" spans="2:5" x14ac:dyDescent="0.35">
      <c r="B219" s="46">
        <v>654</v>
      </c>
      <c r="C219" s="47" t="s">
        <v>57</v>
      </c>
      <c r="D219" s="43">
        <v>100031.008646036</v>
      </c>
      <c r="E219" s="145">
        <f t="shared" si="3"/>
        <v>1.9570332295781387E-4</v>
      </c>
    </row>
    <row r="220" spans="2:5" x14ac:dyDescent="0.35">
      <c r="B220" s="46">
        <v>664</v>
      </c>
      <c r="C220" s="47" t="s">
        <v>116</v>
      </c>
      <c r="D220" s="43">
        <v>865098.58735094604</v>
      </c>
      <c r="E220" s="145">
        <f t="shared" si="3"/>
        <v>1.6925018603958645E-3</v>
      </c>
    </row>
    <row r="221" spans="2:5" x14ac:dyDescent="0.35">
      <c r="B221" s="46">
        <v>668</v>
      </c>
      <c r="C221" s="47" t="s">
        <v>335</v>
      </c>
      <c r="D221" s="43">
        <v>193602.09145561</v>
      </c>
      <c r="E221" s="145">
        <f t="shared" si="3"/>
        <v>3.7876827538064518E-4</v>
      </c>
    </row>
    <row r="222" spans="2:5" x14ac:dyDescent="0.35">
      <c r="B222" s="46">
        <v>677</v>
      </c>
      <c r="C222" s="47" t="s">
        <v>161</v>
      </c>
      <c r="D222" s="43">
        <v>216909.65948142699</v>
      </c>
      <c r="E222" s="145">
        <f t="shared" si="3"/>
        <v>4.2436782070621792E-4</v>
      </c>
    </row>
    <row r="223" spans="2:5" x14ac:dyDescent="0.35">
      <c r="B223" s="46">
        <v>678</v>
      </c>
      <c r="C223" s="47" t="s">
        <v>165</v>
      </c>
      <c r="D223" s="43">
        <v>30760.466339310999</v>
      </c>
      <c r="E223" s="145">
        <f t="shared" si="3"/>
        <v>6.0180593596100851E-5</v>
      </c>
    </row>
    <row r="224" spans="2:5" x14ac:dyDescent="0.35">
      <c r="B224" s="46">
        <v>687</v>
      </c>
      <c r="C224" s="47" t="s">
        <v>200</v>
      </c>
      <c r="D224" s="43">
        <v>1811256.2785945199</v>
      </c>
      <c r="E224" s="145">
        <f t="shared" si="3"/>
        <v>3.5435899052408308E-3</v>
      </c>
    </row>
    <row r="225" spans="2:5" x14ac:dyDescent="0.35">
      <c r="B225" s="46">
        <v>689</v>
      </c>
      <c r="C225" s="47" t="s">
        <v>814</v>
      </c>
      <c r="D225" s="43">
        <v>36196.144983048798</v>
      </c>
      <c r="E225" s="145">
        <f t="shared" si="3"/>
        <v>7.081509971084515E-5</v>
      </c>
    </row>
    <row r="226" spans="2:5" x14ac:dyDescent="0.35">
      <c r="B226" s="46">
        <v>703</v>
      </c>
      <c r="C226" s="47" t="s">
        <v>250</v>
      </c>
      <c r="D226" s="43">
        <v>96933.788037416307</v>
      </c>
      <c r="E226" s="145">
        <f t="shared" si="3"/>
        <v>1.8964383827156886E-4</v>
      </c>
    </row>
    <row r="227" spans="2:5" x14ac:dyDescent="0.35">
      <c r="B227" s="46">
        <v>707</v>
      </c>
      <c r="C227" s="47" t="s">
        <v>821</v>
      </c>
      <c r="D227" s="43">
        <v>34049.247446781097</v>
      </c>
      <c r="E227" s="145">
        <f t="shared" si="3"/>
        <v>6.6614852331712258E-5</v>
      </c>
    </row>
    <row r="228" spans="2:5" x14ac:dyDescent="0.35">
      <c r="B228" s="46">
        <v>715</v>
      </c>
      <c r="C228" s="47" t="s">
        <v>290</v>
      </c>
      <c r="D228" s="43">
        <v>1283871.1316178399</v>
      </c>
      <c r="E228" s="145">
        <f t="shared" si="3"/>
        <v>2.5117995920275753E-3</v>
      </c>
    </row>
    <row r="229" spans="2:5" x14ac:dyDescent="0.35">
      <c r="B229" s="46">
        <v>716</v>
      </c>
      <c r="C229" s="47" t="s">
        <v>294</v>
      </c>
      <c r="D229" s="43">
        <v>305849.23338500602</v>
      </c>
      <c r="E229" s="145">
        <f t="shared" si="3"/>
        <v>5.9837156605455826E-4</v>
      </c>
    </row>
    <row r="230" spans="2:5" x14ac:dyDescent="0.35">
      <c r="B230" s="46">
        <v>717</v>
      </c>
      <c r="C230" s="47" t="s">
        <v>312</v>
      </c>
      <c r="D230" s="43">
        <v>97394.526601646503</v>
      </c>
      <c r="E230" s="145">
        <f t="shared" si="3"/>
        <v>1.9054523943961793E-4</v>
      </c>
    </row>
    <row r="231" spans="2:5" x14ac:dyDescent="0.35">
      <c r="B231" s="46">
        <v>718</v>
      </c>
      <c r="C231" s="47" t="s">
        <v>320</v>
      </c>
      <c r="D231" s="43">
        <v>2819551.4228992201</v>
      </c>
      <c r="E231" s="145">
        <f t="shared" si="3"/>
        <v>5.51624531413416E-3</v>
      </c>
    </row>
    <row r="232" spans="2:5" x14ac:dyDescent="0.35">
      <c r="B232" s="46">
        <v>733</v>
      </c>
      <c r="C232" s="47" t="s">
        <v>808</v>
      </c>
      <c r="D232" s="43">
        <v>28019.163656389901</v>
      </c>
      <c r="E232" s="145">
        <f t="shared" si="3"/>
        <v>5.4817436195787173E-5</v>
      </c>
    </row>
    <row r="233" spans="2:5" x14ac:dyDescent="0.35">
      <c r="B233" s="46">
        <v>736</v>
      </c>
      <c r="C233" s="47" t="s">
        <v>78</v>
      </c>
      <c r="D233" s="43">
        <v>106543.211977438</v>
      </c>
      <c r="E233" s="145">
        <f t="shared" si="3"/>
        <v>2.0844397057281539E-4</v>
      </c>
    </row>
    <row r="234" spans="2:5" x14ac:dyDescent="0.35">
      <c r="B234" s="46">
        <v>737</v>
      </c>
      <c r="C234" s="47" t="s">
        <v>300</v>
      </c>
      <c r="D234" s="43">
        <v>717364.34231905802</v>
      </c>
      <c r="E234" s="145">
        <f t="shared" si="3"/>
        <v>1.4034706583841861E-3</v>
      </c>
    </row>
    <row r="235" spans="2:5" x14ac:dyDescent="0.35">
      <c r="B235" s="46">
        <v>738</v>
      </c>
      <c r="C235" s="47" t="s">
        <v>822</v>
      </c>
      <c r="D235" s="43">
        <v>32649.266904005501</v>
      </c>
      <c r="E235" s="145">
        <f t="shared" si="3"/>
        <v>6.3875893202878909E-5</v>
      </c>
    </row>
    <row r="236" spans="2:5" x14ac:dyDescent="0.35">
      <c r="B236" s="46">
        <v>743</v>
      </c>
      <c r="C236" s="47" t="s">
        <v>31</v>
      </c>
      <c r="D236" s="43">
        <v>90952.212207489298</v>
      </c>
      <c r="E236" s="145">
        <f t="shared" si="3"/>
        <v>1.7794132439826455E-4</v>
      </c>
    </row>
    <row r="237" spans="2:5" x14ac:dyDescent="0.35">
      <c r="B237" s="46">
        <v>744</v>
      </c>
      <c r="C237" s="47" t="s">
        <v>32</v>
      </c>
      <c r="D237" s="43">
        <v>65060.902003834999</v>
      </c>
      <c r="E237" s="145">
        <f t="shared" si="3"/>
        <v>1.2728687723062129E-4</v>
      </c>
    </row>
    <row r="238" spans="2:5" x14ac:dyDescent="0.35">
      <c r="B238" s="46">
        <v>748</v>
      </c>
      <c r="C238" s="47" t="s">
        <v>44</v>
      </c>
      <c r="D238" s="43">
        <v>2418594.92148221</v>
      </c>
      <c r="E238" s="145">
        <f t="shared" si="3"/>
        <v>4.7318033620739495E-3</v>
      </c>
    </row>
    <row r="239" spans="2:5" x14ac:dyDescent="0.35">
      <c r="B239" s="46">
        <v>753</v>
      </c>
      <c r="C239" s="47" t="s">
        <v>47</v>
      </c>
      <c r="D239" s="43">
        <v>282353.11684964801</v>
      </c>
      <c r="E239" s="145">
        <f t="shared" si="3"/>
        <v>5.5240313941552711E-4</v>
      </c>
    </row>
    <row r="240" spans="2:5" x14ac:dyDescent="0.35">
      <c r="B240" s="46">
        <v>755</v>
      </c>
      <c r="C240" s="47" t="s">
        <v>54</v>
      </c>
      <c r="D240" s="43">
        <v>25993.493485558101</v>
      </c>
      <c r="E240" s="145">
        <f t="shared" si="3"/>
        <v>5.0854361255184592E-5</v>
      </c>
    </row>
    <row r="241" spans="2:5" x14ac:dyDescent="0.35">
      <c r="B241" s="46">
        <v>756</v>
      </c>
      <c r="C241" s="47" t="s">
        <v>58</v>
      </c>
      <c r="D241" s="43">
        <v>187717.803477193</v>
      </c>
      <c r="E241" s="145">
        <f t="shared" si="3"/>
        <v>3.6725609804479699E-4</v>
      </c>
    </row>
    <row r="242" spans="2:5" x14ac:dyDescent="0.35">
      <c r="B242" s="46">
        <v>757</v>
      </c>
      <c r="C242" s="47" t="s">
        <v>59</v>
      </c>
      <c r="D242" s="43">
        <v>244129.06350641701</v>
      </c>
      <c r="E242" s="145">
        <f t="shared" si="3"/>
        <v>4.7762058591096959E-4</v>
      </c>
    </row>
    <row r="243" spans="2:5" x14ac:dyDescent="0.35">
      <c r="B243" s="46">
        <v>758</v>
      </c>
      <c r="C243" s="47" t="s">
        <v>60</v>
      </c>
      <c r="D243" s="43">
        <v>5417067.1790483203</v>
      </c>
      <c r="E243" s="145">
        <f t="shared" si="3"/>
        <v>1.0598094150752902E-2</v>
      </c>
    </row>
    <row r="244" spans="2:5" x14ac:dyDescent="0.35">
      <c r="B244" s="46">
        <v>762</v>
      </c>
      <c r="C244" s="47" t="s">
        <v>83</v>
      </c>
      <c r="D244" s="43">
        <v>234369.16229377099</v>
      </c>
      <c r="E244" s="145">
        <f t="shared" si="3"/>
        <v>4.5852605587565226E-4</v>
      </c>
    </row>
    <row r="245" spans="2:5" x14ac:dyDescent="0.35">
      <c r="B245" s="46">
        <v>765</v>
      </c>
      <c r="C245" s="47" t="s">
        <v>245</v>
      </c>
      <c r="D245" s="43">
        <v>803373.98024829605</v>
      </c>
      <c r="E245" s="145">
        <f t="shared" si="3"/>
        <v>1.5717421991492339E-3</v>
      </c>
    </row>
    <row r="246" spans="2:5" x14ac:dyDescent="0.35">
      <c r="B246" s="46">
        <v>766</v>
      </c>
      <c r="C246" s="47" t="s">
        <v>89</v>
      </c>
      <c r="D246" s="43">
        <v>159554.89792426399</v>
      </c>
      <c r="E246" s="145">
        <f t="shared" si="3"/>
        <v>3.1215744138365892E-4</v>
      </c>
    </row>
    <row r="247" spans="2:5" x14ac:dyDescent="0.35">
      <c r="B247" s="46">
        <v>770</v>
      </c>
      <c r="C247" s="47" t="s">
        <v>100</v>
      </c>
      <c r="D247" s="43">
        <v>46234.552953174898</v>
      </c>
      <c r="E247" s="145">
        <f t="shared" si="3"/>
        <v>9.0454507765916605E-5</v>
      </c>
    </row>
    <row r="248" spans="2:5" x14ac:dyDescent="0.35">
      <c r="B248" s="46">
        <v>772</v>
      </c>
      <c r="C248" s="47" t="s">
        <v>102</v>
      </c>
      <c r="D248" s="43">
        <v>8287541.6731437296</v>
      </c>
      <c r="E248" s="145">
        <f t="shared" si="3"/>
        <v>1.6213966714309049E-2</v>
      </c>
    </row>
    <row r="249" spans="2:5" x14ac:dyDescent="0.35">
      <c r="B249" s="46">
        <v>777</v>
      </c>
      <c r="C249" s="47" t="s">
        <v>109</v>
      </c>
      <c r="D249" s="43">
        <v>609203.05007160699</v>
      </c>
      <c r="E249" s="145">
        <f t="shared" si="3"/>
        <v>1.1918610325816553E-3</v>
      </c>
    </row>
    <row r="250" spans="2:5" x14ac:dyDescent="0.35">
      <c r="B250" s="46">
        <v>779</v>
      </c>
      <c r="C250" s="47" t="s">
        <v>110</v>
      </c>
      <c r="D250" s="43">
        <v>249817.331950141</v>
      </c>
      <c r="E250" s="145">
        <f t="shared" si="3"/>
        <v>4.8874926542126029E-4</v>
      </c>
    </row>
    <row r="251" spans="2:5" x14ac:dyDescent="0.35">
      <c r="B251" s="46">
        <v>784</v>
      </c>
      <c r="C251" s="47" t="s">
        <v>114</v>
      </c>
      <c r="D251" s="43">
        <v>387312.58656702703</v>
      </c>
      <c r="E251" s="145">
        <f t="shared" si="3"/>
        <v>7.5774863455359991E-4</v>
      </c>
    </row>
    <row r="252" spans="2:5" x14ac:dyDescent="0.35">
      <c r="B252" s="46">
        <v>785</v>
      </c>
      <c r="C252" s="47" t="s">
        <v>117</v>
      </c>
      <c r="D252" s="43">
        <v>233137.684114765</v>
      </c>
      <c r="E252" s="145">
        <f t="shared" si="3"/>
        <v>4.5611675924810033E-4</v>
      </c>
    </row>
    <row r="253" spans="2:5" x14ac:dyDescent="0.35">
      <c r="B253" s="46">
        <v>786</v>
      </c>
      <c r="C253" s="47" t="s">
        <v>121</v>
      </c>
      <c r="D253" s="43">
        <v>61676.943551661701</v>
      </c>
      <c r="E253" s="145">
        <f t="shared" si="3"/>
        <v>1.2066641100914288E-4</v>
      </c>
    </row>
    <row r="254" spans="2:5" x14ac:dyDescent="0.35">
      <c r="B254" s="46">
        <v>788</v>
      </c>
      <c r="C254" s="47" t="s">
        <v>125</v>
      </c>
      <c r="D254" s="43">
        <v>34010.141845027603</v>
      </c>
      <c r="E254" s="145">
        <f t="shared" si="3"/>
        <v>6.6538345093476722E-5</v>
      </c>
    </row>
    <row r="255" spans="2:5" x14ac:dyDescent="0.35">
      <c r="B255" s="46">
        <v>794</v>
      </c>
      <c r="C255" s="47" t="s">
        <v>144</v>
      </c>
      <c r="D255" s="43">
        <v>3600325.0489331698</v>
      </c>
      <c r="E255" s="145">
        <f t="shared" si="3"/>
        <v>7.0437715798479716E-3</v>
      </c>
    </row>
    <row r="256" spans="2:5" x14ac:dyDescent="0.35">
      <c r="B256" s="46">
        <v>796</v>
      </c>
      <c r="C256" s="47" t="s">
        <v>271</v>
      </c>
      <c r="D256" s="43">
        <v>4506297.8884349903</v>
      </c>
      <c r="E256" s="145">
        <f t="shared" si="3"/>
        <v>8.8162409131066488E-3</v>
      </c>
    </row>
    <row r="257" spans="2:5" x14ac:dyDescent="0.35">
      <c r="B257" s="46">
        <v>797</v>
      </c>
      <c r="C257" s="47" t="s">
        <v>149</v>
      </c>
      <c r="D257" s="43">
        <v>372479.26918953803</v>
      </c>
      <c r="E257" s="145">
        <f t="shared" si="3"/>
        <v>7.2872833834190603E-4</v>
      </c>
    </row>
    <row r="258" spans="2:5" x14ac:dyDescent="0.35">
      <c r="B258" s="46">
        <v>798</v>
      </c>
      <c r="C258" s="47" t="s">
        <v>151</v>
      </c>
      <c r="D258" s="43">
        <v>37639.141687753399</v>
      </c>
      <c r="E258" s="145">
        <f t="shared" si="3"/>
        <v>7.3638216801737914E-5</v>
      </c>
    </row>
    <row r="259" spans="2:5" x14ac:dyDescent="0.35">
      <c r="B259" s="46">
        <v>809</v>
      </c>
      <c r="C259" s="47" t="s">
        <v>188</v>
      </c>
      <c r="D259" s="43">
        <v>84785.076266181699</v>
      </c>
      <c r="E259" s="145">
        <f t="shared" si="3"/>
        <v>1.6587577579305922E-4</v>
      </c>
    </row>
    <row r="260" spans="2:5" x14ac:dyDescent="0.35">
      <c r="B260" s="46">
        <v>815</v>
      </c>
      <c r="C260" s="47" t="s">
        <v>204</v>
      </c>
      <c r="D260" s="43">
        <v>27248.7833018458</v>
      </c>
      <c r="E260" s="145">
        <f t="shared" si="3"/>
        <v>5.3310243602546503E-5</v>
      </c>
    </row>
    <row r="261" spans="2:5" x14ac:dyDescent="0.35">
      <c r="B261" s="46">
        <v>820</v>
      </c>
      <c r="C261" s="47" t="s">
        <v>222</v>
      </c>
      <c r="D261" s="43">
        <v>297605.39857310901</v>
      </c>
      <c r="E261" s="145">
        <f t="shared" si="3"/>
        <v>5.8224310860480438E-4</v>
      </c>
    </row>
    <row r="262" spans="2:5" x14ac:dyDescent="0.35">
      <c r="B262" s="46">
        <v>823</v>
      </c>
      <c r="C262" s="47" t="s">
        <v>225</v>
      </c>
      <c r="D262" s="43">
        <v>46058.577745284099</v>
      </c>
      <c r="E262" s="145">
        <f t="shared" si="3"/>
        <v>9.0110225193856526E-5</v>
      </c>
    </row>
    <row r="263" spans="2:5" x14ac:dyDescent="0.35">
      <c r="B263" s="46">
        <v>824</v>
      </c>
      <c r="C263" s="47" t="s">
        <v>226</v>
      </c>
      <c r="D263" s="43">
        <v>92444.550557449096</v>
      </c>
      <c r="E263" s="145">
        <f t="shared" si="3"/>
        <v>1.8086097479485272E-4</v>
      </c>
    </row>
    <row r="264" spans="2:5" x14ac:dyDescent="0.35">
      <c r="B264" s="46">
        <v>826</v>
      </c>
      <c r="C264" s="47" t="s">
        <v>233</v>
      </c>
      <c r="D264" s="43">
        <v>1075261.11520086</v>
      </c>
      <c r="E264" s="145">
        <f t="shared" si="3"/>
        <v>2.1036694135191242E-3</v>
      </c>
    </row>
    <row r="265" spans="2:5" x14ac:dyDescent="0.35">
      <c r="B265" s="46">
        <v>828</v>
      </c>
      <c r="C265" s="47" t="s">
        <v>238</v>
      </c>
      <c r="D265" s="43">
        <v>1384130.7065083999</v>
      </c>
      <c r="E265" s="145">
        <f t="shared" si="3"/>
        <v>2.7079500880587671E-3</v>
      </c>
    </row>
    <row r="266" spans="2:5" x14ac:dyDescent="0.35">
      <c r="B266" s="46">
        <v>840</v>
      </c>
      <c r="C266" s="47" t="s">
        <v>264</v>
      </c>
      <c r="D266" s="43">
        <v>282062.25519634102</v>
      </c>
      <c r="E266" s="145">
        <f t="shared" si="3"/>
        <v>5.5183408994933006E-4</v>
      </c>
    </row>
    <row r="267" spans="2:5" x14ac:dyDescent="0.35">
      <c r="B267" s="46">
        <v>845</v>
      </c>
      <c r="C267" s="47" t="s">
        <v>274</v>
      </c>
      <c r="D267" s="43">
        <v>69478.922635461204</v>
      </c>
      <c r="E267" s="145">
        <f t="shared" si="3"/>
        <v>1.3593041017314042E-4</v>
      </c>
    </row>
    <row r="268" spans="2:5" x14ac:dyDescent="0.35">
      <c r="B268" s="46">
        <v>847</v>
      </c>
      <c r="C268" s="47" t="s">
        <v>280</v>
      </c>
      <c r="D268" s="43">
        <v>93642.935003455903</v>
      </c>
      <c r="E268" s="145">
        <f t="shared" ref="E268:E331" si="4">+D268/D$10</f>
        <v>1.8320552596392449E-4</v>
      </c>
    </row>
    <row r="269" spans="2:5" x14ac:dyDescent="0.35">
      <c r="B269" s="46">
        <v>848</v>
      </c>
      <c r="C269" s="47" t="s">
        <v>281</v>
      </c>
      <c r="D269" s="43">
        <v>102794.50485088</v>
      </c>
      <c r="E269" s="145">
        <f t="shared" si="4"/>
        <v>2.0110990035405917E-4</v>
      </c>
    </row>
    <row r="270" spans="2:5" x14ac:dyDescent="0.35">
      <c r="B270" s="46">
        <v>851</v>
      </c>
      <c r="C270" s="47" t="s">
        <v>285</v>
      </c>
      <c r="D270" s="43">
        <v>332612.56538456702</v>
      </c>
      <c r="E270" s="145">
        <f t="shared" si="4"/>
        <v>6.5073205983175294E-4</v>
      </c>
    </row>
    <row r="271" spans="2:5" x14ac:dyDescent="0.35">
      <c r="B271" s="46">
        <v>852</v>
      </c>
      <c r="C271" s="47" t="s">
        <v>331</v>
      </c>
      <c r="D271" s="43">
        <v>41401.100576441</v>
      </c>
      <c r="E271" s="145">
        <f t="shared" si="4"/>
        <v>8.0998213119999797E-5</v>
      </c>
    </row>
    <row r="272" spans="2:5" x14ac:dyDescent="0.35">
      <c r="B272" s="46">
        <v>855</v>
      </c>
      <c r="C272" s="47" t="s">
        <v>296</v>
      </c>
      <c r="D272" s="43">
        <v>9888734.0072027799</v>
      </c>
      <c r="E272" s="145">
        <f t="shared" si="4"/>
        <v>1.9346581937442178E-2</v>
      </c>
    </row>
    <row r="273" spans="2:5" x14ac:dyDescent="0.35">
      <c r="B273" s="46">
        <v>856</v>
      </c>
      <c r="C273" s="47" t="s">
        <v>301</v>
      </c>
      <c r="D273" s="43">
        <v>566847.65228726598</v>
      </c>
      <c r="E273" s="145">
        <f t="shared" si="4"/>
        <v>1.1089958070501717E-3</v>
      </c>
    </row>
    <row r="274" spans="2:5" x14ac:dyDescent="0.35">
      <c r="B274" s="46">
        <v>858</v>
      </c>
      <c r="C274" s="47" t="s">
        <v>309</v>
      </c>
      <c r="D274" s="43">
        <v>497124.044031617</v>
      </c>
      <c r="E274" s="145">
        <f t="shared" si="4"/>
        <v>9.7258668742884215E-4</v>
      </c>
    </row>
    <row r="275" spans="2:5" x14ac:dyDescent="0.35">
      <c r="B275" s="46">
        <v>861</v>
      </c>
      <c r="C275" s="47" t="s">
        <v>313</v>
      </c>
      <c r="D275" s="43">
        <v>181294.082005662</v>
      </c>
      <c r="E275" s="145">
        <f t="shared" si="4"/>
        <v>3.5468855869124987E-4</v>
      </c>
    </row>
    <row r="276" spans="2:5" x14ac:dyDescent="0.35">
      <c r="B276" s="46">
        <v>865</v>
      </c>
      <c r="C276" s="47" t="s">
        <v>324</v>
      </c>
      <c r="D276" s="43">
        <v>143668.51652318501</v>
      </c>
      <c r="E276" s="145">
        <f t="shared" si="4"/>
        <v>2.8107690273820987E-4</v>
      </c>
    </row>
    <row r="277" spans="2:5" x14ac:dyDescent="0.35">
      <c r="B277" s="46">
        <v>866</v>
      </c>
      <c r="C277" s="47" t="s">
        <v>326</v>
      </c>
      <c r="D277" s="43">
        <v>54302.883304373099</v>
      </c>
      <c r="E277" s="145">
        <f t="shared" si="4"/>
        <v>1.0623960362592366E-4</v>
      </c>
    </row>
    <row r="278" spans="2:5" x14ac:dyDescent="0.35">
      <c r="B278" s="46">
        <v>867</v>
      </c>
      <c r="C278" s="47" t="s">
        <v>327</v>
      </c>
      <c r="D278" s="43">
        <v>701086.73948648304</v>
      </c>
      <c r="E278" s="145">
        <f t="shared" si="4"/>
        <v>1.3716247237361135E-3</v>
      </c>
    </row>
    <row r="279" spans="2:5" x14ac:dyDescent="0.35">
      <c r="B279" s="46">
        <v>870</v>
      </c>
      <c r="C279" s="47" t="s">
        <v>823</v>
      </c>
      <c r="D279" s="43">
        <v>86211.674165580305</v>
      </c>
      <c r="E279" s="145">
        <f t="shared" si="4"/>
        <v>1.6866680982556478E-4</v>
      </c>
    </row>
    <row r="280" spans="2:5" x14ac:dyDescent="0.35">
      <c r="B280" s="46">
        <v>873</v>
      </c>
      <c r="C280" s="47" t="s">
        <v>348</v>
      </c>
      <c r="D280" s="43">
        <v>146388.969617808</v>
      </c>
      <c r="E280" s="145">
        <f t="shared" si="4"/>
        <v>2.8639926945004139E-4</v>
      </c>
    </row>
    <row r="281" spans="2:5" x14ac:dyDescent="0.35">
      <c r="B281" s="46">
        <v>874</v>
      </c>
      <c r="C281" s="47" t="s">
        <v>824</v>
      </c>
      <c r="D281" s="43">
        <v>36129.665460067903</v>
      </c>
      <c r="E281" s="145">
        <f t="shared" si="4"/>
        <v>7.0685037405844825E-5</v>
      </c>
    </row>
    <row r="282" spans="2:5" x14ac:dyDescent="0.35">
      <c r="B282" s="46">
        <v>879</v>
      </c>
      <c r="C282" s="47" t="s">
        <v>361</v>
      </c>
      <c r="D282" s="43">
        <v>61155.131905860602</v>
      </c>
      <c r="E282" s="145">
        <f t="shared" si="4"/>
        <v>1.1964552484170736E-4</v>
      </c>
    </row>
    <row r="283" spans="2:5" x14ac:dyDescent="0.35">
      <c r="B283" s="46">
        <v>880</v>
      </c>
      <c r="C283" s="47" t="s">
        <v>350</v>
      </c>
      <c r="D283" s="43">
        <v>100947.742273782</v>
      </c>
      <c r="E283" s="145">
        <f t="shared" si="4"/>
        <v>1.9749684498308811E-4</v>
      </c>
    </row>
    <row r="284" spans="2:5" x14ac:dyDescent="0.35">
      <c r="B284" s="46">
        <v>881</v>
      </c>
      <c r="C284" s="47" t="s">
        <v>826</v>
      </c>
      <c r="D284" s="43">
        <v>179079.69042178901</v>
      </c>
      <c r="E284" s="145">
        <f t="shared" si="4"/>
        <v>3.503562641641874E-4</v>
      </c>
    </row>
    <row r="285" spans="2:5" x14ac:dyDescent="0.35">
      <c r="B285" s="46">
        <v>882</v>
      </c>
      <c r="C285" s="47" t="s">
        <v>173</v>
      </c>
      <c r="D285" s="43">
        <v>1582629.3244606601</v>
      </c>
      <c r="E285" s="145">
        <f t="shared" si="4"/>
        <v>3.0962980579692981E-3</v>
      </c>
    </row>
    <row r="286" spans="2:5" x14ac:dyDescent="0.35">
      <c r="B286" s="46">
        <v>888</v>
      </c>
      <c r="C286" s="47" t="s">
        <v>36</v>
      </c>
      <c r="D286" s="43">
        <v>304451.58619589102</v>
      </c>
      <c r="E286" s="145">
        <f t="shared" si="4"/>
        <v>5.9563717196081949E-4</v>
      </c>
    </row>
    <row r="287" spans="2:5" x14ac:dyDescent="0.35">
      <c r="B287" s="46">
        <v>889</v>
      </c>
      <c r="C287" s="47" t="s">
        <v>39</v>
      </c>
      <c r="D287" s="43">
        <v>238668.14624989301</v>
      </c>
      <c r="E287" s="145">
        <f t="shared" si="4"/>
        <v>4.6693670230362611E-4</v>
      </c>
    </row>
    <row r="288" spans="2:5" x14ac:dyDescent="0.35">
      <c r="B288" s="46">
        <v>893</v>
      </c>
      <c r="C288" s="47" t="s">
        <v>42</v>
      </c>
      <c r="D288" s="43">
        <v>153600.170983499</v>
      </c>
      <c r="E288" s="145">
        <f t="shared" si="4"/>
        <v>3.0050745539043753E-4</v>
      </c>
    </row>
    <row r="289" spans="2:5" x14ac:dyDescent="0.35">
      <c r="B289" s="46">
        <v>899</v>
      </c>
      <c r="C289" s="47" t="s">
        <v>64</v>
      </c>
      <c r="D289" s="43">
        <v>1385176.0796848801</v>
      </c>
      <c r="E289" s="145">
        <f t="shared" si="4"/>
        <v>2.7099952839149044E-3</v>
      </c>
    </row>
    <row r="290" spans="2:5" x14ac:dyDescent="0.35">
      <c r="B290" s="46">
        <v>907</v>
      </c>
      <c r="C290" s="47" t="s">
        <v>113</v>
      </c>
      <c r="D290" s="43">
        <v>254362.07885947399</v>
      </c>
      <c r="E290" s="145">
        <f t="shared" si="4"/>
        <v>4.9764072902037265E-4</v>
      </c>
    </row>
    <row r="291" spans="2:5" x14ac:dyDescent="0.35">
      <c r="B291" s="46">
        <v>917</v>
      </c>
      <c r="C291" s="47" t="s">
        <v>139</v>
      </c>
      <c r="D291" s="43">
        <v>7294146.9031199804</v>
      </c>
      <c r="E291" s="145">
        <f t="shared" si="4"/>
        <v>1.4270462793534928E-2</v>
      </c>
    </row>
    <row r="292" spans="2:5" x14ac:dyDescent="0.35">
      <c r="B292" s="46">
        <v>928</v>
      </c>
      <c r="C292" s="47" t="s">
        <v>167</v>
      </c>
      <c r="D292" s="43">
        <v>3057400.9082367201</v>
      </c>
      <c r="E292" s="145">
        <f t="shared" si="4"/>
        <v>5.9815803664784424E-3</v>
      </c>
    </row>
    <row r="293" spans="2:5" x14ac:dyDescent="0.35">
      <c r="B293" s="46">
        <v>935</v>
      </c>
      <c r="C293" s="47" t="s">
        <v>195</v>
      </c>
      <c r="D293" s="43">
        <v>5402076.2474548304</v>
      </c>
      <c r="E293" s="145">
        <f t="shared" si="4"/>
        <v>1.05687654939015E-2</v>
      </c>
    </row>
    <row r="294" spans="2:5" x14ac:dyDescent="0.35">
      <c r="B294" s="46">
        <v>938</v>
      </c>
      <c r="C294" s="47" t="s">
        <v>197</v>
      </c>
      <c r="D294" s="43">
        <v>142063.35988522001</v>
      </c>
      <c r="E294" s="145">
        <f t="shared" si="4"/>
        <v>2.7793653164559078E-4</v>
      </c>
    </row>
    <row r="295" spans="2:5" x14ac:dyDescent="0.35">
      <c r="B295" s="46">
        <v>944</v>
      </c>
      <c r="C295" s="47" t="s">
        <v>209</v>
      </c>
      <c r="D295" s="43">
        <v>69165.348178422995</v>
      </c>
      <c r="E295" s="145">
        <f t="shared" si="4"/>
        <v>1.3531692477428551E-4</v>
      </c>
    </row>
    <row r="296" spans="2:5" x14ac:dyDescent="0.35">
      <c r="B296" s="46">
        <v>946</v>
      </c>
      <c r="C296" s="47" t="s">
        <v>211</v>
      </c>
      <c r="D296" s="43">
        <v>42484.325745013302</v>
      </c>
      <c r="E296" s="145">
        <f t="shared" si="4"/>
        <v>8.3117463619125293E-5</v>
      </c>
    </row>
    <row r="297" spans="2:5" x14ac:dyDescent="0.35">
      <c r="B297" s="46">
        <v>951</v>
      </c>
      <c r="C297" s="47" t="s">
        <v>825</v>
      </c>
      <c r="D297" s="43">
        <v>191685.91893265801</v>
      </c>
      <c r="E297" s="145">
        <f t="shared" si="4"/>
        <v>3.7501942454750878E-4</v>
      </c>
    </row>
    <row r="298" spans="2:5" x14ac:dyDescent="0.35">
      <c r="B298" s="46">
        <v>957</v>
      </c>
      <c r="C298" s="47" t="s">
        <v>260</v>
      </c>
      <c r="D298" s="43">
        <v>2490072.9765867302</v>
      </c>
      <c r="E298" s="145">
        <f t="shared" si="4"/>
        <v>4.8716449281228855E-3</v>
      </c>
    </row>
    <row r="299" spans="2:5" x14ac:dyDescent="0.35">
      <c r="B299" s="46">
        <v>962</v>
      </c>
      <c r="C299" s="47" t="s">
        <v>827</v>
      </c>
      <c r="D299" s="43">
        <v>200585.707631208</v>
      </c>
      <c r="E299" s="145">
        <f t="shared" si="4"/>
        <v>3.9243120760861714E-4</v>
      </c>
    </row>
    <row r="300" spans="2:5" x14ac:dyDescent="0.35">
      <c r="B300" s="46">
        <v>965</v>
      </c>
      <c r="C300" s="47" t="s">
        <v>272</v>
      </c>
      <c r="D300" s="43">
        <v>167600.861550273</v>
      </c>
      <c r="E300" s="145">
        <f t="shared" si="4"/>
        <v>3.2789877838826245E-4</v>
      </c>
    </row>
    <row r="301" spans="2:5" x14ac:dyDescent="0.35">
      <c r="B301" s="46">
        <v>971</v>
      </c>
      <c r="C301" s="47" t="s">
        <v>287</v>
      </c>
      <c r="D301" s="43">
        <v>265681.82655030797</v>
      </c>
      <c r="E301" s="145">
        <f t="shared" si="4"/>
        <v>5.1978698414791242E-4</v>
      </c>
    </row>
    <row r="302" spans="2:5" x14ac:dyDescent="0.35">
      <c r="B302" s="46">
        <v>981</v>
      </c>
      <c r="C302" s="47" t="s">
        <v>307</v>
      </c>
      <c r="D302" s="43">
        <v>406441.32719918003</v>
      </c>
      <c r="E302" s="145">
        <f t="shared" si="4"/>
        <v>7.9517261094233396E-4</v>
      </c>
    </row>
    <row r="303" spans="2:5" x14ac:dyDescent="0.35">
      <c r="B303" s="46">
        <v>983</v>
      </c>
      <c r="C303" s="47" t="s">
        <v>315</v>
      </c>
      <c r="D303" s="43">
        <v>4229754.49850378</v>
      </c>
      <c r="E303" s="145">
        <f t="shared" si="4"/>
        <v>8.2752040777882754E-3</v>
      </c>
    </row>
    <row r="304" spans="2:5" x14ac:dyDescent="0.35">
      <c r="B304" s="46">
        <v>984</v>
      </c>
      <c r="C304" s="47" t="s">
        <v>316</v>
      </c>
      <c r="D304" s="43">
        <v>1032112.2142037</v>
      </c>
      <c r="E304" s="145">
        <f t="shared" si="4"/>
        <v>2.0192517572201383E-3</v>
      </c>
    </row>
    <row r="305" spans="2:5" x14ac:dyDescent="0.35">
      <c r="B305" s="46">
        <v>986</v>
      </c>
      <c r="C305" s="47" t="s">
        <v>321</v>
      </c>
      <c r="D305" s="43">
        <v>74794.303884826993</v>
      </c>
      <c r="E305" s="145">
        <f t="shared" si="4"/>
        <v>1.4632956326945145E-4</v>
      </c>
    </row>
    <row r="306" spans="2:5" x14ac:dyDescent="0.35">
      <c r="B306" s="46">
        <v>988</v>
      </c>
      <c r="C306" s="47" t="s">
        <v>332</v>
      </c>
      <c r="D306" s="43">
        <v>1113434.7676025501</v>
      </c>
      <c r="E306" s="145">
        <f t="shared" si="4"/>
        <v>2.1783533612825894E-3</v>
      </c>
    </row>
    <row r="307" spans="2:5" x14ac:dyDescent="0.35">
      <c r="B307" s="46">
        <v>994</v>
      </c>
      <c r="C307" s="47" t="s">
        <v>308</v>
      </c>
      <c r="D307" s="43">
        <v>351125.15800134302</v>
      </c>
      <c r="E307" s="145">
        <f t="shared" si="4"/>
        <v>6.8695058787326675E-4</v>
      </c>
    </row>
    <row r="308" spans="2:5" x14ac:dyDescent="0.35">
      <c r="B308" s="46">
        <v>995</v>
      </c>
      <c r="C308" s="47" t="s">
        <v>182</v>
      </c>
      <c r="D308" s="43">
        <v>3163244.5634971899</v>
      </c>
      <c r="E308" s="145">
        <f t="shared" si="4"/>
        <v>6.1886557057042263E-3</v>
      </c>
    </row>
    <row r="309" spans="2:5" x14ac:dyDescent="0.35">
      <c r="B309" s="46">
        <v>1507</v>
      </c>
      <c r="C309" s="47" t="s">
        <v>158</v>
      </c>
      <c r="D309" s="43">
        <v>105346.580563781</v>
      </c>
      <c r="E309" s="145">
        <f t="shared" si="4"/>
        <v>2.061028490828077E-4</v>
      </c>
    </row>
    <row r="310" spans="2:5" x14ac:dyDescent="0.35">
      <c r="B310" s="46">
        <v>1509</v>
      </c>
      <c r="C310" s="47" t="s">
        <v>239</v>
      </c>
      <c r="D310" s="43">
        <v>719740.87427049701</v>
      </c>
      <c r="E310" s="145">
        <f t="shared" si="4"/>
        <v>1.4081201686341304E-3</v>
      </c>
    </row>
    <row r="311" spans="2:5" x14ac:dyDescent="0.35">
      <c r="B311" s="46">
        <v>1525</v>
      </c>
      <c r="C311" s="47" t="s">
        <v>293</v>
      </c>
      <c r="D311" s="43">
        <v>90486.451897446794</v>
      </c>
      <c r="E311" s="145">
        <f t="shared" si="4"/>
        <v>1.7703009855328961E-4</v>
      </c>
    </row>
    <row r="312" spans="2:5" x14ac:dyDescent="0.35">
      <c r="B312" s="46">
        <v>1581</v>
      </c>
      <c r="C312" s="47" t="s">
        <v>306</v>
      </c>
      <c r="D312" s="43">
        <v>286754.86387137702</v>
      </c>
      <c r="E312" s="145">
        <f t="shared" si="4"/>
        <v>5.6101483423528305E-4</v>
      </c>
    </row>
    <row r="313" spans="2:5" x14ac:dyDescent="0.35">
      <c r="B313" s="46">
        <v>1586</v>
      </c>
      <c r="C313" s="47" t="s">
        <v>232</v>
      </c>
      <c r="D313" s="43">
        <v>164085.19567081801</v>
      </c>
      <c r="E313" s="145">
        <f t="shared" si="4"/>
        <v>3.2102063625682239E-4</v>
      </c>
    </row>
    <row r="314" spans="2:5" x14ac:dyDescent="0.35">
      <c r="B314" s="46">
        <v>1598</v>
      </c>
      <c r="C314" s="47" t="s">
        <v>168</v>
      </c>
      <c r="D314" s="43">
        <v>56151.733557865002</v>
      </c>
      <c r="E314" s="145">
        <f t="shared" si="4"/>
        <v>1.0985674338245755E-4</v>
      </c>
    </row>
    <row r="315" spans="2:5" x14ac:dyDescent="0.35">
      <c r="B315" s="46">
        <v>1621</v>
      </c>
      <c r="C315" s="47" t="s">
        <v>176</v>
      </c>
      <c r="D315" s="43">
        <v>147408.56580985599</v>
      </c>
      <c r="E315" s="145">
        <f t="shared" si="4"/>
        <v>2.8839403452898804E-4</v>
      </c>
    </row>
    <row r="316" spans="2:5" x14ac:dyDescent="0.35">
      <c r="B316" s="46">
        <v>1640</v>
      </c>
      <c r="C316" s="47" t="s">
        <v>183</v>
      </c>
      <c r="D316" s="43">
        <v>198253.115717899</v>
      </c>
      <c r="E316" s="145">
        <f t="shared" si="4"/>
        <v>3.8786766281667738E-4</v>
      </c>
    </row>
    <row r="317" spans="2:5" x14ac:dyDescent="0.35">
      <c r="B317" s="46">
        <v>1641</v>
      </c>
      <c r="C317" s="47" t="s">
        <v>193</v>
      </c>
      <c r="D317" s="43">
        <v>226745.04923656699</v>
      </c>
      <c r="E317" s="145">
        <f t="shared" si="4"/>
        <v>4.4361003853166434E-4</v>
      </c>
    </row>
    <row r="318" spans="2:5" x14ac:dyDescent="0.35">
      <c r="B318" s="46">
        <v>1651</v>
      </c>
      <c r="C318" s="47" t="s">
        <v>796</v>
      </c>
      <c r="D318" s="43">
        <v>622010.44932487095</v>
      </c>
      <c r="E318" s="145">
        <f t="shared" si="4"/>
        <v>1.2169177687501405E-3</v>
      </c>
    </row>
    <row r="319" spans="2:5" x14ac:dyDescent="0.35">
      <c r="B319" s="46">
        <v>1652</v>
      </c>
      <c r="C319" s="47" t="s">
        <v>112</v>
      </c>
      <c r="D319" s="43">
        <v>219862.80275835699</v>
      </c>
      <c r="E319" s="145">
        <f t="shared" si="4"/>
        <v>4.3014542867287145E-4</v>
      </c>
    </row>
    <row r="320" spans="2:5" x14ac:dyDescent="0.35">
      <c r="B320" s="46">
        <v>1655</v>
      </c>
      <c r="C320" s="47" t="s">
        <v>128</v>
      </c>
      <c r="D320" s="43">
        <v>387067.66642944003</v>
      </c>
      <c r="E320" s="145">
        <f t="shared" si="4"/>
        <v>7.5726946628934034E-4</v>
      </c>
    </row>
    <row r="321" spans="2:5" x14ac:dyDescent="0.35">
      <c r="B321" s="46">
        <v>1658</v>
      </c>
      <c r="C321" s="47" t="s">
        <v>140</v>
      </c>
      <c r="D321" s="43">
        <v>38112.319468970803</v>
      </c>
      <c r="E321" s="145">
        <f t="shared" si="4"/>
        <v>7.4563954384388207E-5</v>
      </c>
    </row>
    <row r="322" spans="2:5" x14ac:dyDescent="0.35">
      <c r="B322" s="46">
        <v>1659</v>
      </c>
      <c r="C322" s="47" t="s">
        <v>171</v>
      </c>
      <c r="D322" s="43">
        <v>54372.428678080301</v>
      </c>
      <c r="E322" s="145">
        <f t="shared" si="4"/>
        <v>1.0637566404273903E-4</v>
      </c>
    </row>
    <row r="323" spans="2:5" x14ac:dyDescent="0.35">
      <c r="B323" s="46">
        <v>1663</v>
      </c>
      <c r="C323" s="47" t="s">
        <v>795</v>
      </c>
      <c r="D323" s="43">
        <v>375295.28384826798</v>
      </c>
      <c r="E323" s="145">
        <f t="shared" si="4"/>
        <v>7.3423766423665396E-4</v>
      </c>
    </row>
    <row r="324" spans="2:5" x14ac:dyDescent="0.35">
      <c r="B324" s="46">
        <v>1667</v>
      </c>
      <c r="C324" s="47" t="s">
        <v>253</v>
      </c>
      <c r="D324" s="43">
        <v>33067.696842767997</v>
      </c>
      <c r="E324" s="145">
        <f t="shared" si="4"/>
        <v>6.4694520651999407E-5</v>
      </c>
    </row>
    <row r="325" spans="2:5" x14ac:dyDescent="0.35">
      <c r="B325" s="46">
        <v>1669</v>
      </c>
      <c r="C325" s="47" t="s">
        <v>259</v>
      </c>
      <c r="D325" s="43">
        <v>254012.17061096401</v>
      </c>
      <c r="E325" s="145">
        <f t="shared" si="4"/>
        <v>4.9695615922655935E-4</v>
      </c>
    </row>
    <row r="326" spans="2:5" x14ac:dyDescent="0.35">
      <c r="B326" s="46">
        <v>1674</v>
      </c>
      <c r="C326" s="47" t="s">
        <v>261</v>
      </c>
      <c r="D326" s="43">
        <v>2249187.0580006102</v>
      </c>
      <c r="E326" s="145">
        <f t="shared" si="4"/>
        <v>4.4003693170984711E-3</v>
      </c>
    </row>
    <row r="327" spans="2:5" x14ac:dyDescent="0.35">
      <c r="B327" s="46">
        <v>1676</v>
      </c>
      <c r="C327" s="47" t="s">
        <v>269</v>
      </c>
      <c r="D327" s="43">
        <v>358504.71169499098</v>
      </c>
      <c r="E327" s="145">
        <f t="shared" si="4"/>
        <v>7.0138814278089426E-4</v>
      </c>
    </row>
    <row r="328" spans="2:5" x14ac:dyDescent="0.35">
      <c r="B328" s="46">
        <v>1680</v>
      </c>
      <c r="C328" s="47" t="s">
        <v>0</v>
      </c>
      <c r="D328" s="43">
        <v>363403.27401646302</v>
      </c>
      <c r="E328" s="145">
        <f t="shared" si="4"/>
        <v>7.1097182025255004E-4</v>
      </c>
    </row>
    <row r="329" spans="2:5" x14ac:dyDescent="0.35">
      <c r="B329" s="46">
        <v>1681</v>
      </c>
      <c r="C329" s="47" t="s">
        <v>55</v>
      </c>
      <c r="D329" s="43">
        <v>695893.12894209905</v>
      </c>
      <c r="E329" s="145">
        <f t="shared" si="4"/>
        <v>1.3614638060822559E-3</v>
      </c>
    </row>
    <row r="330" spans="2:5" x14ac:dyDescent="0.35">
      <c r="B330" s="46">
        <v>1684</v>
      </c>
      <c r="C330" s="47" t="s">
        <v>72</v>
      </c>
      <c r="D330" s="43">
        <v>344892.63268040802</v>
      </c>
      <c r="E330" s="145">
        <f t="shared" si="4"/>
        <v>6.7475710974848092E-4</v>
      </c>
    </row>
    <row r="331" spans="2:5" x14ac:dyDescent="0.35">
      <c r="B331" s="46">
        <v>1685</v>
      </c>
      <c r="C331" s="47" t="s">
        <v>172</v>
      </c>
      <c r="D331" s="43">
        <v>38112.319468970803</v>
      </c>
      <c r="E331" s="145">
        <f t="shared" si="4"/>
        <v>7.4563954384388207E-5</v>
      </c>
    </row>
    <row r="332" spans="2:5" x14ac:dyDescent="0.35">
      <c r="B332" s="46">
        <v>1690</v>
      </c>
      <c r="C332" s="47" t="s">
        <v>79</v>
      </c>
      <c r="D332" s="43">
        <v>119516.48418149901</v>
      </c>
      <c r="E332" s="145">
        <f t="shared" ref="E332:E390" si="5">+D332/D$10</f>
        <v>2.3382522498918376E-4</v>
      </c>
    </row>
    <row r="333" spans="2:5" x14ac:dyDescent="0.35">
      <c r="B333" s="46">
        <v>1695</v>
      </c>
      <c r="C333" s="47" t="s">
        <v>218</v>
      </c>
      <c r="D333" s="43">
        <v>93896.634168572098</v>
      </c>
      <c r="E333" s="145">
        <f t="shared" si="5"/>
        <v>1.8370186975088509E-4</v>
      </c>
    </row>
    <row r="334" spans="2:5" x14ac:dyDescent="0.35">
      <c r="B334" s="46">
        <v>1696</v>
      </c>
      <c r="C334" s="47" t="s">
        <v>345</v>
      </c>
      <c r="D334" s="43">
        <v>55174.093514027198</v>
      </c>
      <c r="E334" s="145">
        <f t="shared" si="5"/>
        <v>1.0794406242656814E-4</v>
      </c>
    </row>
    <row r="335" spans="2:5" x14ac:dyDescent="0.35">
      <c r="B335" s="46">
        <v>1699</v>
      </c>
      <c r="C335" s="47" t="s">
        <v>219</v>
      </c>
      <c r="D335" s="43">
        <v>642436.93550401297</v>
      </c>
      <c r="E335" s="145">
        <f t="shared" si="5"/>
        <v>1.2568806890057523E-3</v>
      </c>
    </row>
    <row r="336" spans="2:5" x14ac:dyDescent="0.35">
      <c r="B336" s="46">
        <v>1700</v>
      </c>
      <c r="C336" s="47" t="s">
        <v>298</v>
      </c>
      <c r="D336" s="43">
        <v>536490.67214447702</v>
      </c>
      <c r="E336" s="145">
        <f t="shared" si="5"/>
        <v>1.049604604568844E-3</v>
      </c>
    </row>
    <row r="337" spans="2:5" x14ac:dyDescent="0.35">
      <c r="B337" s="46">
        <v>1701</v>
      </c>
      <c r="C337" s="47" t="s">
        <v>337</v>
      </c>
      <c r="D337" s="43">
        <v>292549.82709036401</v>
      </c>
      <c r="E337" s="145">
        <f t="shared" si="5"/>
        <v>5.7235225423858519E-4</v>
      </c>
    </row>
    <row r="338" spans="2:5" x14ac:dyDescent="0.35">
      <c r="B338" s="46">
        <v>1702</v>
      </c>
      <c r="C338" s="47" t="s">
        <v>273</v>
      </c>
      <c r="D338" s="43">
        <v>29430.875879691601</v>
      </c>
      <c r="E338" s="145">
        <f t="shared" si="5"/>
        <v>5.7579347496091295E-5</v>
      </c>
    </row>
    <row r="339" spans="2:5" x14ac:dyDescent="0.35">
      <c r="B339" s="46">
        <v>1705</v>
      </c>
      <c r="C339" s="47" t="s">
        <v>185</v>
      </c>
      <c r="D339" s="43">
        <v>114399.52736971799</v>
      </c>
      <c r="E339" s="145">
        <f t="shared" si="5"/>
        <v>2.2381427473434147E-4</v>
      </c>
    </row>
    <row r="340" spans="2:5" x14ac:dyDescent="0.35">
      <c r="B340" s="46">
        <v>1706</v>
      </c>
      <c r="C340" s="47" t="s">
        <v>71</v>
      </c>
      <c r="D340" s="43">
        <v>119342.70189456501</v>
      </c>
      <c r="E340" s="145">
        <f t="shared" si="5"/>
        <v>2.3348523270594549E-4</v>
      </c>
    </row>
    <row r="341" spans="2:5" x14ac:dyDescent="0.35">
      <c r="B341" s="46">
        <v>1708</v>
      </c>
      <c r="C341" s="47" t="s">
        <v>286</v>
      </c>
      <c r="D341" s="43">
        <v>1071668.94663129</v>
      </c>
      <c r="E341" s="145">
        <f t="shared" si="5"/>
        <v>2.0966415994922052E-3</v>
      </c>
    </row>
    <row r="342" spans="2:5" x14ac:dyDescent="0.35">
      <c r="B342" s="46">
        <v>1709</v>
      </c>
      <c r="C342" s="47" t="s">
        <v>205</v>
      </c>
      <c r="D342" s="43">
        <v>261573.13901235099</v>
      </c>
      <c r="E342" s="145">
        <f t="shared" si="5"/>
        <v>5.1174863868826777E-4</v>
      </c>
    </row>
    <row r="343" spans="2:5" x14ac:dyDescent="0.35">
      <c r="B343" s="46">
        <v>1711</v>
      </c>
      <c r="C343" s="47" t="s">
        <v>96</v>
      </c>
      <c r="D343" s="43">
        <v>445965.34976596799</v>
      </c>
      <c r="E343" s="145">
        <f t="shared" si="5"/>
        <v>8.724984587736858E-4</v>
      </c>
    </row>
    <row r="344" spans="2:5" x14ac:dyDescent="0.35">
      <c r="B344" s="46">
        <v>1714</v>
      </c>
      <c r="C344" s="47" t="s">
        <v>277</v>
      </c>
      <c r="D344" s="43">
        <v>274431.34934986598</v>
      </c>
      <c r="E344" s="145">
        <f t="shared" si="5"/>
        <v>5.3690478301194017E-4</v>
      </c>
    </row>
    <row r="345" spans="2:5" x14ac:dyDescent="0.35">
      <c r="B345" s="46">
        <v>1719</v>
      </c>
      <c r="C345" s="47" t="s">
        <v>92</v>
      </c>
      <c r="D345" s="43">
        <v>67637.048792870904</v>
      </c>
      <c r="E345" s="145">
        <f t="shared" si="5"/>
        <v>1.3232691925224501E-4</v>
      </c>
    </row>
    <row r="346" spans="2:5" x14ac:dyDescent="0.35">
      <c r="B346" s="46">
        <v>1721</v>
      </c>
      <c r="C346" s="47" t="s">
        <v>46</v>
      </c>
      <c r="D346" s="43">
        <v>74120.757563602805</v>
      </c>
      <c r="E346" s="145">
        <f t="shared" si="5"/>
        <v>1.4501181935170271E-4</v>
      </c>
    </row>
    <row r="347" spans="2:5" x14ac:dyDescent="0.35">
      <c r="B347" s="46">
        <v>1722</v>
      </c>
      <c r="C347" s="47" t="s">
        <v>805</v>
      </c>
      <c r="D347" s="43">
        <v>257115.640348938</v>
      </c>
      <c r="E347" s="145">
        <f t="shared" si="5"/>
        <v>5.0302786987550124E-4</v>
      </c>
    </row>
    <row r="348" spans="2:5" x14ac:dyDescent="0.35">
      <c r="B348" s="46">
        <v>1723</v>
      </c>
      <c r="C348" s="47" t="s">
        <v>21</v>
      </c>
      <c r="D348" s="43">
        <v>24734.293109095099</v>
      </c>
      <c r="E348" s="145">
        <f t="shared" si="5"/>
        <v>4.8390828183999213E-5</v>
      </c>
    </row>
    <row r="349" spans="2:5" x14ac:dyDescent="0.35">
      <c r="B349" s="46">
        <v>1724</v>
      </c>
      <c r="C349" s="47" t="s">
        <v>41</v>
      </c>
      <c r="D349" s="43">
        <v>45366.408594246903</v>
      </c>
      <c r="E349" s="145">
        <f t="shared" si="5"/>
        <v>8.8756047077086765E-5</v>
      </c>
    </row>
    <row r="350" spans="2:5" x14ac:dyDescent="0.35">
      <c r="B350" s="46">
        <v>1728</v>
      </c>
      <c r="C350" s="47" t="s">
        <v>50</v>
      </c>
      <c r="D350" s="43">
        <v>49875.284476426597</v>
      </c>
      <c r="E350" s="145">
        <f t="shared" si="5"/>
        <v>9.7577331645648177E-5</v>
      </c>
    </row>
    <row r="351" spans="2:5" x14ac:dyDescent="0.35">
      <c r="B351" s="46">
        <v>1729</v>
      </c>
      <c r="C351" s="47" t="s">
        <v>123</v>
      </c>
      <c r="D351" s="43">
        <v>114503.10184640301</v>
      </c>
      <c r="E351" s="145">
        <f t="shared" si="5"/>
        <v>2.2401691059231426E-4</v>
      </c>
    </row>
    <row r="352" spans="2:5" x14ac:dyDescent="0.35">
      <c r="B352" s="46">
        <v>1730</v>
      </c>
      <c r="C352" s="47" t="s">
        <v>299</v>
      </c>
      <c r="D352" s="43">
        <v>494656.58994737</v>
      </c>
      <c r="E352" s="145">
        <f t="shared" si="5"/>
        <v>9.6775929470263567E-4</v>
      </c>
    </row>
    <row r="353" spans="2:5" x14ac:dyDescent="0.35">
      <c r="B353" s="46">
        <v>1731</v>
      </c>
      <c r="C353" s="47" t="s">
        <v>701</v>
      </c>
      <c r="D353" s="43">
        <v>593375.11033203499</v>
      </c>
      <c r="E353" s="145">
        <f t="shared" si="5"/>
        <v>1.1608948307554677E-3</v>
      </c>
    </row>
    <row r="354" spans="2:5" x14ac:dyDescent="0.35">
      <c r="B354" s="46">
        <v>1734</v>
      </c>
      <c r="C354" s="47" t="s">
        <v>242</v>
      </c>
      <c r="D354" s="43">
        <v>265556.57674416801</v>
      </c>
      <c r="E354" s="145">
        <f t="shared" si="5"/>
        <v>5.195419420995197E-4</v>
      </c>
    </row>
    <row r="355" spans="2:5" x14ac:dyDescent="0.35">
      <c r="B355" s="46">
        <v>1735</v>
      </c>
      <c r="C355" s="47" t="s">
        <v>154</v>
      </c>
      <c r="D355" s="43">
        <v>303666.67235637299</v>
      </c>
      <c r="E355" s="145">
        <f t="shared" si="5"/>
        <v>5.9410154567144746E-4</v>
      </c>
    </row>
    <row r="356" spans="2:5" x14ac:dyDescent="0.35">
      <c r="B356" s="46">
        <v>1740</v>
      </c>
      <c r="C356" s="47" t="s">
        <v>210</v>
      </c>
      <c r="D356" s="43">
        <v>180091.83232413401</v>
      </c>
      <c r="E356" s="145">
        <f t="shared" si="5"/>
        <v>3.5233644547271213E-4</v>
      </c>
    </row>
    <row r="357" spans="2:5" x14ac:dyDescent="0.35">
      <c r="B357" s="46">
        <v>1742</v>
      </c>
      <c r="C357" s="47" t="s">
        <v>257</v>
      </c>
      <c r="D357" s="43">
        <v>167564.055118636</v>
      </c>
      <c r="E357" s="145">
        <f t="shared" si="5"/>
        <v>3.278267693075276E-4</v>
      </c>
    </row>
    <row r="358" spans="2:5" x14ac:dyDescent="0.35">
      <c r="B358" s="46">
        <v>1771</v>
      </c>
      <c r="C358" s="47" t="s">
        <v>111</v>
      </c>
      <c r="D358" s="43">
        <v>625212.06949333695</v>
      </c>
      <c r="E358" s="145">
        <f t="shared" si="5"/>
        <v>1.2231815035089759E-3</v>
      </c>
    </row>
    <row r="359" spans="2:5" x14ac:dyDescent="0.35">
      <c r="B359" s="46">
        <v>1773</v>
      </c>
      <c r="C359" s="47" t="s">
        <v>230</v>
      </c>
      <c r="D359" s="43">
        <v>45451.135268251899</v>
      </c>
      <c r="E359" s="145">
        <f t="shared" si="5"/>
        <v>8.8921808593144398E-5</v>
      </c>
    </row>
    <row r="360" spans="2:5" x14ac:dyDescent="0.35">
      <c r="B360" s="46">
        <v>1774</v>
      </c>
      <c r="C360" s="47" t="s">
        <v>86</v>
      </c>
      <c r="D360" s="43">
        <v>64289.609282770398</v>
      </c>
      <c r="E360" s="145">
        <f t="shared" si="5"/>
        <v>1.2577789965927997E-4</v>
      </c>
    </row>
    <row r="361" spans="2:5" x14ac:dyDescent="0.35">
      <c r="B361" s="46">
        <v>1783</v>
      </c>
      <c r="C361" s="47" t="s">
        <v>340</v>
      </c>
      <c r="D361" s="43">
        <v>451478.26728559303</v>
      </c>
      <c r="E361" s="145">
        <f t="shared" si="5"/>
        <v>8.8328407707731298E-4</v>
      </c>
    </row>
    <row r="362" spans="2:5" x14ac:dyDescent="0.35">
      <c r="B362" s="46">
        <v>1842</v>
      </c>
      <c r="C362" s="47" t="s">
        <v>202</v>
      </c>
      <c r="D362" s="43">
        <v>48095.979596641897</v>
      </c>
      <c r="E362" s="145">
        <f t="shared" si="5"/>
        <v>9.4096252305929663E-5</v>
      </c>
    </row>
    <row r="363" spans="2:5" x14ac:dyDescent="0.35">
      <c r="B363" s="46">
        <v>1859</v>
      </c>
      <c r="C363" s="47" t="s">
        <v>45</v>
      </c>
      <c r="D363" s="43">
        <v>424009.13421643298</v>
      </c>
      <c r="E363" s="145">
        <f t="shared" si="5"/>
        <v>8.2954273533569875E-4</v>
      </c>
    </row>
    <row r="364" spans="2:5" x14ac:dyDescent="0.35">
      <c r="B364" s="46">
        <v>1876</v>
      </c>
      <c r="C364" s="47" t="s">
        <v>62</v>
      </c>
      <c r="D364" s="43">
        <v>154033.63758045499</v>
      </c>
      <c r="E364" s="145">
        <f t="shared" si="5"/>
        <v>3.0135550095714459E-4</v>
      </c>
    </row>
    <row r="365" spans="2:5" x14ac:dyDescent="0.35">
      <c r="B365" s="46">
        <v>1883</v>
      </c>
      <c r="C365" s="47" t="s">
        <v>275</v>
      </c>
      <c r="D365" s="43">
        <v>3975927.10714857</v>
      </c>
      <c r="E365" s="145">
        <f t="shared" si="5"/>
        <v>7.7786094256069227E-3</v>
      </c>
    </row>
    <row r="366" spans="2:5" x14ac:dyDescent="0.35">
      <c r="B366" s="46">
        <v>1884</v>
      </c>
      <c r="C366" s="47" t="s">
        <v>163</v>
      </c>
      <c r="D366" s="43">
        <v>65658.3053441433</v>
      </c>
      <c r="E366" s="145">
        <f t="shared" si="5"/>
        <v>1.2845565299752509E-4</v>
      </c>
    </row>
    <row r="367" spans="2:5" x14ac:dyDescent="0.35">
      <c r="B367" s="46">
        <v>1891</v>
      </c>
      <c r="C367" s="47" t="s">
        <v>75</v>
      </c>
      <c r="D367" s="43">
        <v>791473.65395728499</v>
      </c>
      <c r="E367" s="145">
        <f t="shared" si="5"/>
        <v>1.548460084623386E-3</v>
      </c>
    </row>
    <row r="368" spans="2:5" x14ac:dyDescent="0.35">
      <c r="B368" s="46">
        <v>1892</v>
      </c>
      <c r="C368" s="47" t="s">
        <v>360</v>
      </c>
      <c r="D368" s="43">
        <v>232138.09486155701</v>
      </c>
      <c r="E368" s="145">
        <f t="shared" si="5"/>
        <v>4.5416113627584837E-4</v>
      </c>
    </row>
    <row r="369" spans="2:5" x14ac:dyDescent="0.35">
      <c r="B369" s="46">
        <v>1894</v>
      </c>
      <c r="C369" s="47" t="s">
        <v>244</v>
      </c>
      <c r="D369" s="43">
        <v>109652.107316842</v>
      </c>
      <c r="E369" s="145">
        <f t="shared" si="5"/>
        <v>2.1452629601254327E-4</v>
      </c>
    </row>
    <row r="370" spans="2:5" x14ac:dyDescent="0.35">
      <c r="B370" s="46">
        <v>1895</v>
      </c>
      <c r="C370" s="47" t="s">
        <v>227</v>
      </c>
      <c r="D370" s="43">
        <v>2352790.5973665202</v>
      </c>
      <c r="E370" s="145">
        <f t="shared" si="5"/>
        <v>4.6030620340723159E-3</v>
      </c>
    </row>
    <row r="371" spans="2:5" x14ac:dyDescent="0.35">
      <c r="B371" s="46">
        <v>1896</v>
      </c>
      <c r="C371" s="47" t="s">
        <v>363</v>
      </c>
      <c r="D371" s="43">
        <v>72399.566413117194</v>
      </c>
      <c r="E371" s="145">
        <f t="shared" si="5"/>
        <v>1.4164443525596147E-4</v>
      </c>
    </row>
    <row r="372" spans="2:5" x14ac:dyDescent="0.35">
      <c r="B372" s="46">
        <v>1900</v>
      </c>
      <c r="C372" s="47" t="s">
        <v>289</v>
      </c>
      <c r="D372" s="43">
        <v>3422116.6377892499</v>
      </c>
      <c r="E372" s="145">
        <f t="shared" si="5"/>
        <v>6.6951199096113197E-3</v>
      </c>
    </row>
    <row r="373" spans="2:5" x14ac:dyDescent="0.35">
      <c r="B373" s="46">
        <v>1901</v>
      </c>
      <c r="C373" s="47" t="s">
        <v>53</v>
      </c>
      <c r="D373" s="43">
        <v>81824.561109044298</v>
      </c>
      <c r="E373" s="145">
        <f t="shared" si="5"/>
        <v>1.6008374528411041E-4</v>
      </c>
    </row>
    <row r="374" spans="2:5" x14ac:dyDescent="0.35">
      <c r="B374" s="46">
        <v>1903</v>
      </c>
      <c r="C374" s="47" t="s">
        <v>101</v>
      </c>
      <c r="D374" s="43">
        <v>62134.890626152002</v>
      </c>
      <c r="E374" s="145">
        <f t="shared" si="5"/>
        <v>1.2156235083249997E-4</v>
      </c>
    </row>
    <row r="375" spans="2:5" x14ac:dyDescent="0.35">
      <c r="B375" s="46">
        <v>1904</v>
      </c>
      <c r="C375" s="47" t="s">
        <v>288</v>
      </c>
      <c r="D375" s="43">
        <v>256391.92080660901</v>
      </c>
      <c r="E375" s="145">
        <f t="shared" si="5"/>
        <v>5.0161196573497138E-4</v>
      </c>
    </row>
    <row r="376" spans="2:5" x14ac:dyDescent="0.35">
      <c r="B376" s="46">
        <v>1911</v>
      </c>
      <c r="C376" s="47" t="s">
        <v>155</v>
      </c>
      <c r="D376" s="43">
        <v>330862.48529575299</v>
      </c>
      <c r="E376" s="145">
        <f t="shared" si="5"/>
        <v>6.4730815664953924E-4</v>
      </c>
    </row>
    <row r="377" spans="2:5" x14ac:dyDescent="0.35">
      <c r="B377" s="46">
        <v>1916</v>
      </c>
      <c r="C377" s="47" t="s">
        <v>181</v>
      </c>
      <c r="D377" s="43">
        <v>2059299.9921514499</v>
      </c>
      <c r="E377" s="145">
        <f t="shared" si="5"/>
        <v>4.0288692165157845E-3</v>
      </c>
    </row>
    <row r="378" spans="2:5" x14ac:dyDescent="0.35">
      <c r="B378" s="46">
        <v>1924</v>
      </c>
      <c r="C378" s="47" t="s">
        <v>115</v>
      </c>
      <c r="D378" s="43">
        <v>124499.358737676</v>
      </c>
      <c r="E378" s="145">
        <f t="shared" si="5"/>
        <v>2.4357385315683966E-4</v>
      </c>
    </row>
    <row r="379" spans="2:5" x14ac:dyDescent="0.35">
      <c r="B379" s="46">
        <v>1926</v>
      </c>
      <c r="C379" s="47" t="s">
        <v>246</v>
      </c>
      <c r="D379" s="43">
        <v>131164.09884144799</v>
      </c>
      <c r="E379" s="145">
        <f t="shared" si="5"/>
        <v>2.566129277659316E-4</v>
      </c>
    </row>
    <row r="380" spans="2:5" x14ac:dyDescent="0.35">
      <c r="B380" s="46">
        <v>1927</v>
      </c>
      <c r="C380" s="47" t="s">
        <v>817</v>
      </c>
      <c r="D380" s="43">
        <v>71183.926871914198</v>
      </c>
      <c r="E380" s="145">
        <f t="shared" si="5"/>
        <v>1.3926612576021125E-4</v>
      </c>
    </row>
    <row r="381" spans="2:5" x14ac:dyDescent="0.35">
      <c r="B381" s="46">
        <v>1930</v>
      </c>
      <c r="C381" s="47" t="s">
        <v>216</v>
      </c>
      <c r="D381" s="43">
        <v>2767324.6941300002</v>
      </c>
      <c r="E381" s="145">
        <f t="shared" si="5"/>
        <v>5.414067554400475E-3</v>
      </c>
    </row>
    <row r="382" spans="2:5" x14ac:dyDescent="0.35">
      <c r="B382" s="46">
        <v>1931</v>
      </c>
      <c r="C382" s="47" t="s">
        <v>170</v>
      </c>
      <c r="D382" s="43">
        <v>299869.23112648801</v>
      </c>
      <c r="E382" s="145">
        <f t="shared" si="5"/>
        <v>5.8667213075816547E-4</v>
      </c>
    </row>
    <row r="383" spans="2:5" x14ac:dyDescent="0.35">
      <c r="B383" s="46">
        <v>1940</v>
      </c>
      <c r="C383" s="47" t="s">
        <v>77</v>
      </c>
      <c r="D383" s="43">
        <v>1037828.40547559</v>
      </c>
      <c r="E383" s="145">
        <f t="shared" si="5"/>
        <v>2.0304350656933125E-3</v>
      </c>
    </row>
    <row r="384" spans="2:5" x14ac:dyDescent="0.35">
      <c r="B384" s="46">
        <v>1942</v>
      </c>
      <c r="C384" s="47" t="s">
        <v>118</v>
      </c>
      <c r="D384" s="43">
        <v>536884.25426324201</v>
      </c>
      <c r="E384" s="145">
        <f t="shared" si="5"/>
        <v>1.0503746190827596E-3</v>
      </c>
    </row>
    <row r="385" spans="2:5" x14ac:dyDescent="0.35">
      <c r="B385" s="46">
        <v>1945</v>
      </c>
      <c r="C385" s="47" t="s">
        <v>40</v>
      </c>
      <c r="D385" s="43">
        <v>887814.66574315797</v>
      </c>
      <c r="E385" s="145">
        <f t="shared" si="5"/>
        <v>1.7369441996874441E-3</v>
      </c>
    </row>
    <row r="386" spans="2:5" x14ac:dyDescent="0.35">
      <c r="B386" s="46">
        <v>1948</v>
      </c>
      <c r="C386" s="47" t="s">
        <v>198</v>
      </c>
      <c r="D386" s="43">
        <v>203331.638499219</v>
      </c>
      <c r="E386" s="145">
        <f t="shared" si="5"/>
        <v>3.9780341971320317E-4</v>
      </c>
    </row>
    <row r="387" spans="2:5" x14ac:dyDescent="0.35">
      <c r="B387" s="46">
        <v>1949</v>
      </c>
      <c r="C387" s="47" t="s">
        <v>325</v>
      </c>
      <c r="D387" s="43">
        <v>1405038.75493389</v>
      </c>
      <c r="E387" s="145">
        <f t="shared" si="5"/>
        <v>2.7488551494873705E-3</v>
      </c>
    </row>
    <row r="388" spans="2:5" x14ac:dyDescent="0.35">
      <c r="B388" s="46">
        <v>1950</v>
      </c>
      <c r="C388" s="47" t="s">
        <v>339</v>
      </c>
      <c r="D388" s="43">
        <v>780776.95273044903</v>
      </c>
      <c r="E388" s="145">
        <f t="shared" si="5"/>
        <v>1.527532774151228E-3</v>
      </c>
    </row>
    <row r="389" spans="2:5" x14ac:dyDescent="0.35">
      <c r="B389" s="46">
        <v>1952</v>
      </c>
      <c r="C389" s="47" t="s">
        <v>203</v>
      </c>
      <c r="D389" s="43">
        <v>2752459.7416938199</v>
      </c>
      <c r="E389" s="145">
        <f t="shared" si="5"/>
        <v>5.3849853665194711E-3</v>
      </c>
    </row>
    <row r="390" spans="2:5" x14ac:dyDescent="0.35">
      <c r="B390" s="46">
        <v>1955</v>
      </c>
      <c r="C390" s="47" t="s">
        <v>207</v>
      </c>
      <c r="D390" s="54">
        <v>542885.41678220395</v>
      </c>
      <c r="E390" s="145">
        <f t="shared" si="5"/>
        <v>1.0621154528748747E-3</v>
      </c>
    </row>
    <row r="391" spans="2:5" x14ac:dyDescent="0.35">
      <c r="B391" s="144"/>
      <c r="C391" s="14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07BF7-A2BC-4B0A-9EB2-F8E52818A4C3}">
  <sheetPr codeName="Blad18">
    <tabColor rgb="FF00B050"/>
  </sheetPr>
  <dimension ref="A1"/>
  <sheetViews>
    <sheetView showGridLines="0" topLeftCell="A55" zoomScale="80" zoomScaleNormal="80" workbookViewId="0">
      <selection activeCell="R122" sqref="R122"/>
    </sheetView>
  </sheetViews>
  <sheetFormatPr defaultRowHeight="14.5" x14ac:dyDescent="0.35"/>
  <sheetData/>
  <sheetProtection algorithmName="SHA-512" hashValue="fGBm74iYF5MY7cU5gTeNHLBMfYmkgN8tEhyjCrBog1IDhj/DX/IvoGS0iAxk10/tzWevbWl+ABilSVibD8MJcQ==" saltValue="DJTbcETyGccbokfag2Jkqw==" spinCount="100000"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35AA-B287-4573-9B6A-8B021EBCA7F1}">
  <sheetPr codeName="Blad13">
    <tabColor rgb="FF002060"/>
  </sheetPr>
  <dimension ref="A1:P398"/>
  <sheetViews>
    <sheetView topLeftCell="A242" zoomScale="115" zoomScaleNormal="115" workbookViewId="0">
      <selection activeCell="F9" sqref="F9"/>
    </sheetView>
  </sheetViews>
  <sheetFormatPr defaultRowHeight="14.5" x14ac:dyDescent="0.35"/>
  <cols>
    <col min="1" max="1" width="5.6328125" customWidth="1"/>
    <col min="2" max="2" width="8.36328125" customWidth="1"/>
    <col min="3" max="7" width="22.6328125" customWidth="1"/>
    <col min="8" max="8" width="16.453125" bestFit="1" customWidth="1"/>
    <col min="9" max="9" width="16.453125" style="106" customWidth="1"/>
    <col min="10" max="10" width="16.453125" bestFit="1" customWidth="1"/>
    <col min="11" max="11" width="16.453125" customWidth="1"/>
    <col min="12" max="12" width="16.453125" bestFit="1" customWidth="1"/>
    <col min="13" max="13" width="16.453125" customWidth="1"/>
    <col min="14" max="15" width="16.453125" bestFit="1" customWidth="1"/>
    <col min="16" max="16" width="5.6328125" customWidth="1"/>
    <col min="17" max="1000" width="9.36328125" customWidth="1"/>
  </cols>
  <sheetData>
    <row r="1" spans="1:15" x14ac:dyDescent="0.35">
      <c r="A1" s="86" t="s">
        <v>970</v>
      </c>
    </row>
    <row r="3" spans="1:15" x14ac:dyDescent="0.35">
      <c r="B3" s="2" t="s">
        <v>971</v>
      </c>
    </row>
    <row r="4" spans="1:15" x14ac:dyDescent="0.35">
      <c r="B4" s="87" t="s">
        <v>972</v>
      </c>
    </row>
    <row r="5" spans="1:15" x14ac:dyDescent="0.35">
      <c r="B5" s="88"/>
      <c r="D5" s="134" t="s">
        <v>973</v>
      </c>
      <c r="E5" s="134"/>
      <c r="F5" s="134" t="s">
        <v>974</v>
      </c>
      <c r="H5" s="88" t="s">
        <v>975</v>
      </c>
      <c r="I5" s="107"/>
      <c r="J5" s="88" t="s">
        <v>976</v>
      </c>
      <c r="K5" s="88"/>
      <c r="L5" s="88" t="s">
        <v>977</v>
      </c>
      <c r="M5" s="88"/>
      <c r="N5" s="88" t="s">
        <v>978</v>
      </c>
      <c r="O5" s="88"/>
    </row>
    <row r="8" spans="1:15" s="89" customFormat="1" ht="13" x14ac:dyDescent="0.3">
      <c r="I8" s="108"/>
    </row>
    <row r="9" spans="1:15" x14ac:dyDescent="0.35">
      <c r="B9" s="90" t="s">
        <v>8</v>
      </c>
      <c r="C9" s="91" t="s">
        <v>9</v>
      </c>
      <c r="D9" s="92" t="s">
        <v>969</v>
      </c>
      <c r="E9" s="109"/>
      <c r="F9" s="92" t="s">
        <v>969</v>
      </c>
      <c r="G9" s="92"/>
      <c r="H9" s="92" t="s">
        <v>969</v>
      </c>
      <c r="I9" s="109"/>
      <c r="J9" s="92" t="s">
        <v>969</v>
      </c>
      <c r="K9" s="92"/>
      <c r="L9" s="92" t="s">
        <v>969</v>
      </c>
      <c r="M9" s="92"/>
      <c r="N9" s="92" t="s">
        <v>969</v>
      </c>
      <c r="O9" s="92"/>
    </row>
    <row r="10" spans="1:15" x14ac:dyDescent="0.35">
      <c r="B10" s="93"/>
      <c r="C10" s="94" t="s">
        <v>11</v>
      </c>
      <c r="D10" s="135">
        <f t="shared" ref="D10:J10" si="0">SUM(D11:D398)</f>
        <v>522855578.52500892</v>
      </c>
      <c r="E10" s="142">
        <f t="shared" si="0"/>
        <v>0.99999999999999867</v>
      </c>
      <c r="F10" s="135">
        <f t="shared" si="0"/>
        <v>511135974.26038009</v>
      </c>
      <c r="G10" s="142">
        <f t="shared" si="0"/>
        <v>0.99999999999999978</v>
      </c>
      <c r="H10" s="95">
        <f t="shared" si="0"/>
        <v>513778651.66423863</v>
      </c>
      <c r="I10" s="142">
        <f t="shared" si="0"/>
        <v>0.99999999999999933</v>
      </c>
      <c r="J10" s="95">
        <f t="shared" si="0"/>
        <v>513774916.50739145</v>
      </c>
      <c r="K10" s="95"/>
      <c r="L10" s="95">
        <f>SUM(L11:L398)</f>
        <v>513771600.14654964</v>
      </c>
      <c r="M10" s="95"/>
      <c r="N10" s="95">
        <f>SUM(N11:N398)</f>
        <v>513771600.14654964</v>
      </c>
      <c r="O10" s="95"/>
    </row>
    <row r="11" spans="1:15" x14ac:dyDescent="0.35">
      <c r="B11" s="96">
        <v>3</v>
      </c>
      <c r="C11" s="97" t="s">
        <v>28</v>
      </c>
      <c r="D11" s="99">
        <v>647354.19592359103</v>
      </c>
      <c r="E11" s="110">
        <f t="shared" ref="E11:E74" si="1">+D11/D$10</f>
        <v>1.238112822186571E-3</v>
      </c>
      <c r="F11" s="99">
        <v>703504.14193357399</v>
      </c>
      <c r="G11" s="110">
        <f t="shared" ref="G11:G74" si="2">+F11/F$10</f>
        <v>1.3763541941096064E-3</v>
      </c>
      <c r="H11" s="99">
        <v>707141.40206205298</v>
      </c>
      <c r="I11" s="110">
        <f t="shared" ref="I11:I74" si="3">+H11/H$10</f>
        <v>1.3763541941096058E-3</v>
      </c>
      <c r="J11" s="99">
        <v>707136.26116326102</v>
      </c>
      <c r="K11" s="110">
        <f t="shared" ref="K11:K74" si="4">+J11/J$10</f>
        <v>1.3763541941096062E-3</v>
      </c>
      <c r="L11" s="99">
        <v>707131.69667610701</v>
      </c>
      <c r="M11" s="110">
        <f t="shared" ref="M11:M74" si="5">+L11/L$10</f>
        <v>1.376354194109606E-3</v>
      </c>
      <c r="N11" s="99">
        <v>707131.69667610701</v>
      </c>
      <c r="O11" s="110">
        <f t="shared" ref="O11:O74" si="6">+N11/N$10</f>
        <v>1.376354194109606E-3</v>
      </c>
    </row>
    <row r="12" spans="1:15" x14ac:dyDescent="0.35">
      <c r="B12" s="100">
        <v>5</v>
      </c>
      <c r="C12" s="101" t="s">
        <v>794</v>
      </c>
      <c r="D12" s="98">
        <v>155122.02596491601</v>
      </c>
      <c r="E12" s="110">
        <f t="shared" si="1"/>
        <v>2.9668235806629405E-4</v>
      </c>
      <c r="F12" s="98">
        <v>169500.598110614</v>
      </c>
      <c r="G12" s="110">
        <f t="shared" si="2"/>
        <v>3.3161547346747291E-4</v>
      </c>
      <c r="H12" s="98">
        <v>170376.95082911599</v>
      </c>
      <c r="I12" s="110">
        <f t="shared" si="3"/>
        <v>3.3161547346747226E-4</v>
      </c>
      <c r="J12" s="98">
        <v>170375.71219330901</v>
      </c>
      <c r="K12" s="110">
        <f t="shared" si="4"/>
        <v>3.3161547346747102E-4</v>
      </c>
      <c r="L12" s="98">
        <v>170374.612436739</v>
      </c>
      <c r="M12" s="110">
        <f t="shared" si="5"/>
        <v>3.3161547346747248E-4</v>
      </c>
      <c r="N12" s="98">
        <v>170374.612436739</v>
      </c>
      <c r="O12" s="110">
        <f t="shared" si="6"/>
        <v>3.3161547346747248E-4</v>
      </c>
    </row>
    <row r="13" spans="1:15" x14ac:dyDescent="0.35">
      <c r="B13" s="100">
        <v>7</v>
      </c>
      <c r="C13" s="101" t="s">
        <v>979</v>
      </c>
      <c r="D13" s="98">
        <v>380810.94806751498</v>
      </c>
      <c r="E13" s="110">
        <f t="shared" si="1"/>
        <v>7.2832912893804047E-4</v>
      </c>
      <c r="F13" s="98">
        <v>369051.200363104</v>
      </c>
      <c r="G13" s="110">
        <f t="shared" si="2"/>
        <v>7.2202157341229116E-4</v>
      </c>
      <c r="H13" s="98">
        <v>370959.27046025899</v>
      </c>
      <c r="I13" s="110">
        <f t="shared" si="3"/>
        <v>7.2202157341229106E-4</v>
      </c>
      <c r="J13" s="98">
        <v>370956.57359643502</v>
      </c>
      <c r="K13" s="110">
        <f t="shared" si="4"/>
        <v>7.2202157341229062E-4</v>
      </c>
      <c r="L13" s="98">
        <v>370954.17911236198</v>
      </c>
      <c r="M13" s="110">
        <f t="shared" si="5"/>
        <v>7.2202157341229051E-4</v>
      </c>
      <c r="N13" s="98">
        <v>370954.17911236198</v>
      </c>
      <c r="O13" s="110">
        <f t="shared" si="6"/>
        <v>7.2202157341229051E-4</v>
      </c>
    </row>
    <row r="14" spans="1:15" x14ac:dyDescent="0.35">
      <c r="B14" s="100">
        <v>9</v>
      </c>
      <c r="C14" s="101" t="s">
        <v>801</v>
      </c>
      <c r="D14" s="98">
        <v>112240.93784846801</v>
      </c>
      <c r="E14" s="110">
        <f t="shared" si="1"/>
        <v>2.1466910263270598E-4</v>
      </c>
      <c r="F14" s="98">
        <v>89884.507894964205</v>
      </c>
      <c r="G14" s="110">
        <f t="shared" si="2"/>
        <v>1.7585243931427086E-4</v>
      </c>
      <c r="H14" s="98">
        <v>90349.2291627534</v>
      </c>
      <c r="I14" s="110">
        <f t="shared" si="3"/>
        <v>1.758524393142708E-4</v>
      </c>
      <c r="J14" s="98">
        <v>90348.572326310503</v>
      </c>
      <c r="K14" s="110">
        <f t="shared" si="4"/>
        <v>1.7585243931427061E-4</v>
      </c>
      <c r="L14" s="98">
        <v>90347.9891361669</v>
      </c>
      <c r="M14" s="110">
        <f t="shared" si="5"/>
        <v>1.7585243931427075E-4</v>
      </c>
      <c r="N14" s="98">
        <v>90347.9891361669</v>
      </c>
      <c r="O14" s="110">
        <f t="shared" si="6"/>
        <v>1.7585243931427075E-4</v>
      </c>
    </row>
    <row r="15" spans="1:15" x14ac:dyDescent="0.35">
      <c r="B15" s="100">
        <v>10</v>
      </c>
      <c r="C15" s="101" t="s">
        <v>81</v>
      </c>
      <c r="D15" s="98">
        <v>1531219.23007475</v>
      </c>
      <c r="E15" s="110">
        <f t="shared" si="1"/>
        <v>2.928570130961144E-3</v>
      </c>
      <c r="F15" s="98">
        <v>1520609.2252744299</v>
      </c>
      <c r="G15" s="110">
        <f t="shared" si="2"/>
        <v>2.9749602881596619E-3</v>
      </c>
      <c r="H15" s="98">
        <v>1528471.0856053201</v>
      </c>
      <c r="I15" s="110">
        <f t="shared" si="3"/>
        <v>2.9749602881596507E-3</v>
      </c>
      <c r="J15" s="98">
        <v>1528459.97366203</v>
      </c>
      <c r="K15" s="110">
        <f t="shared" si="4"/>
        <v>2.9749602881596511E-3</v>
      </c>
      <c r="L15" s="98">
        <v>1528450.1076202299</v>
      </c>
      <c r="M15" s="110">
        <f t="shared" si="5"/>
        <v>2.9749602881596619E-3</v>
      </c>
      <c r="N15" s="98">
        <v>1528450.1076202299</v>
      </c>
      <c r="O15" s="110">
        <f t="shared" si="6"/>
        <v>2.9749602881596619E-3</v>
      </c>
    </row>
    <row r="16" spans="1:15" x14ac:dyDescent="0.35">
      <c r="B16" s="100">
        <v>14</v>
      </c>
      <c r="C16" s="101" t="s">
        <v>122</v>
      </c>
      <c r="D16" s="98">
        <v>15952731.370871801</v>
      </c>
      <c r="E16" s="110">
        <f t="shared" si="1"/>
        <v>3.0510779699195193E-2</v>
      </c>
      <c r="F16" s="98">
        <v>15671231.151837699</v>
      </c>
      <c r="G16" s="110">
        <f t="shared" si="2"/>
        <v>3.0659612981680968E-2</v>
      </c>
      <c r="H16" s="98">
        <v>15752254.6182754</v>
      </c>
      <c r="I16" s="110">
        <f t="shared" si="3"/>
        <v>3.0659612981680899E-2</v>
      </c>
      <c r="J16" s="98">
        <v>15752140.0998121</v>
      </c>
      <c r="K16" s="110">
        <f t="shared" si="4"/>
        <v>3.0659612981681017E-2</v>
      </c>
      <c r="L16" s="98">
        <v>15752038.421472199</v>
      </c>
      <c r="M16" s="110">
        <f t="shared" si="5"/>
        <v>3.0659612981681052E-2</v>
      </c>
      <c r="N16" s="98">
        <v>15752038.421472199</v>
      </c>
      <c r="O16" s="110">
        <f t="shared" si="6"/>
        <v>3.0659612981681052E-2</v>
      </c>
    </row>
    <row r="17" spans="2:16" x14ac:dyDescent="0.35">
      <c r="B17" s="100">
        <v>15</v>
      </c>
      <c r="C17" s="101" t="s">
        <v>797</v>
      </c>
      <c r="D17" s="98">
        <v>190096.872162001</v>
      </c>
      <c r="E17" s="110">
        <f t="shared" si="1"/>
        <v>3.635743405440369E-4</v>
      </c>
      <c r="F17" s="98">
        <v>184999.41623580799</v>
      </c>
      <c r="G17" s="110">
        <f t="shared" si="2"/>
        <v>3.6193777302312631E-4</v>
      </c>
      <c r="H17" s="98">
        <v>185955.90101017899</v>
      </c>
      <c r="I17" s="110">
        <f t="shared" si="3"/>
        <v>3.6193777302312614E-4</v>
      </c>
      <c r="J17" s="98">
        <v>185954.54911582801</v>
      </c>
      <c r="K17" s="110">
        <f t="shared" si="4"/>
        <v>3.6193777302312647E-4</v>
      </c>
      <c r="L17" s="98">
        <v>185953.34879957099</v>
      </c>
      <c r="M17" s="110">
        <f t="shared" si="5"/>
        <v>3.6193777302312766E-4</v>
      </c>
      <c r="N17" s="98">
        <v>185953.34879957099</v>
      </c>
      <c r="O17" s="110">
        <f t="shared" si="6"/>
        <v>3.6193777302312766E-4</v>
      </c>
    </row>
    <row r="18" spans="2:16" x14ac:dyDescent="0.35">
      <c r="B18" s="100">
        <v>17</v>
      </c>
      <c r="C18" s="101" t="s">
        <v>798</v>
      </c>
      <c r="D18" s="98">
        <v>247909.38843069499</v>
      </c>
      <c r="E18" s="110">
        <f t="shared" si="1"/>
        <v>4.7414505766593277E-4</v>
      </c>
      <c r="F18" s="98">
        <v>235167.207516795</v>
      </c>
      <c r="G18" s="110">
        <f t="shared" si="2"/>
        <v>4.6008737275259244E-4</v>
      </c>
      <c r="H18" s="98">
        <v>236383.07002056899</v>
      </c>
      <c r="I18" s="110">
        <f t="shared" si="3"/>
        <v>4.600873727525926E-4</v>
      </c>
      <c r="J18" s="98">
        <v>236381.35152206899</v>
      </c>
      <c r="K18" s="110">
        <f t="shared" si="4"/>
        <v>4.6008737275259385E-4</v>
      </c>
      <c r="L18" s="98">
        <v>236379.82570632201</v>
      </c>
      <c r="M18" s="110">
        <f t="shared" si="5"/>
        <v>4.6008737275259352E-4</v>
      </c>
      <c r="N18" s="98">
        <v>236379.82570632201</v>
      </c>
      <c r="O18" s="110">
        <f t="shared" si="6"/>
        <v>4.6008737275259352E-4</v>
      </c>
    </row>
    <row r="19" spans="2:16" x14ac:dyDescent="0.35">
      <c r="B19" s="100">
        <v>18</v>
      </c>
      <c r="C19" s="101" t="s">
        <v>980</v>
      </c>
      <c r="D19" s="98">
        <v>2003833.3340550801</v>
      </c>
      <c r="E19" s="110">
        <f t="shared" si="1"/>
        <v>3.8324795916072144E-3</v>
      </c>
      <c r="F19" s="98">
        <v>2014885.681294</v>
      </c>
      <c r="G19" s="110">
        <f t="shared" si="2"/>
        <v>3.9419758787464804E-3</v>
      </c>
      <c r="H19" s="98">
        <v>2025303.05187532</v>
      </c>
      <c r="I19" s="110">
        <f t="shared" si="3"/>
        <v>3.9419758787464822E-3</v>
      </c>
      <c r="J19" s="98">
        <v>2025288.3279771199</v>
      </c>
      <c r="K19" s="110">
        <f t="shared" si="4"/>
        <v>3.9419758787464726E-3</v>
      </c>
      <c r="L19" s="98">
        <v>2025275.2549626799</v>
      </c>
      <c r="M19" s="110">
        <f t="shared" si="5"/>
        <v>3.9419758787464796E-3</v>
      </c>
      <c r="N19" s="98">
        <v>2025275.2549626799</v>
      </c>
      <c r="O19" s="110">
        <f t="shared" si="6"/>
        <v>3.9419758787464796E-3</v>
      </c>
    </row>
    <row r="20" spans="2:16" x14ac:dyDescent="0.35">
      <c r="B20" s="100">
        <v>22</v>
      </c>
      <c r="C20" s="101" t="s">
        <v>799</v>
      </c>
      <c r="D20" s="98">
        <v>506574.636600208</v>
      </c>
      <c r="E20" s="110">
        <f t="shared" si="1"/>
        <v>9.6886149331957031E-4</v>
      </c>
      <c r="F20" s="98">
        <v>540681.67213904206</v>
      </c>
      <c r="G20" s="110">
        <f t="shared" si="2"/>
        <v>1.0578039883054895E-3</v>
      </c>
      <c r="H20" s="98">
        <v>543477.10683664796</v>
      </c>
      <c r="I20" s="110">
        <f t="shared" si="3"/>
        <v>1.0578039883054886E-3</v>
      </c>
      <c r="J20" s="98">
        <v>543473.15577283804</v>
      </c>
      <c r="K20" s="110">
        <f t="shared" si="4"/>
        <v>1.0578039883054884E-3</v>
      </c>
      <c r="L20" s="98">
        <v>543469.64771311299</v>
      </c>
      <c r="M20" s="110">
        <f t="shared" si="5"/>
        <v>1.0578039883054886E-3</v>
      </c>
      <c r="N20" s="98">
        <v>543469.64771311299</v>
      </c>
      <c r="O20" s="110">
        <f t="shared" si="6"/>
        <v>1.0578039883054886E-3</v>
      </c>
    </row>
    <row r="21" spans="2:16" x14ac:dyDescent="0.35">
      <c r="B21" s="100">
        <v>24</v>
      </c>
      <c r="C21" s="101" t="s">
        <v>190</v>
      </c>
      <c r="D21" s="98">
        <v>329395.019378183</v>
      </c>
      <c r="E21" s="110">
        <f t="shared" si="1"/>
        <v>6.2999235908970525E-4</v>
      </c>
      <c r="F21" s="98">
        <v>332947.31392498798</v>
      </c>
      <c r="G21" s="110">
        <f t="shared" si="2"/>
        <v>6.5138697076989492E-4</v>
      </c>
      <c r="H21" s="98">
        <v>334668.71955381002</v>
      </c>
      <c r="I21" s="110">
        <f t="shared" si="3"/>
        <v>6.5138697076989611E-4</v>
      </c>
      <c r="J21" s="98">
        <v>334666.28652130603</v>
      </c>
      <c r="K21" s="110">
        <f t="shared" si="4"/>
        <v>6.5138697076989611E-4</v>
      </c>
      <c r="L21" s="98">
        <v>334664.126287063</v>
      </c>
      <c r="M21" s="110">
        <f t="shared" si="5"/>
        <v>6.5138697076989557E-4</v>
      </c>
      <c r="N21" s="98">
        <v>334664.126287063</v>
      </c>
      <c r="O21" s="110">
        <f t="shared" si="6"/>
        <v>6.5138697076989557E-4</v>
      </c>
    </row>
    <row r="22" spans="2:16" x14ac:dyDescent="0.35">
      <c r="B22" s="100">
        <v>25</v>
      </c>
      <c r="C22" s="101" t="s">
        <v>800</v>
      </c>
      <c r="D22" s="98">
        <v>189534.51547314401</v>
      </c>
      <c r="E22" s="110">
        <f t="shared" si="1"/>
        <v>3.6249879174632985E-4</v>
      </c>
      <c r="F22" s="98">
        <v>164896.25760327501</v>
      </c>
      <c r="G22" s="110">
        <f t="shared" si="2"/>
        <v>3.2260741936992771E-4</v>
      </c>
      <c r="H22" s="98">
        <v>165748.80494076101</v>
      </c>
      <c r="I22" s="110">
        <f t="shared" si="3"/>
        <v>3.2260741936992766E-4</v>
      </c>
      <c r="J22" s="98">
        <v>165747.59995145001</v>
      </c>
      <c r="K22" s="110">
        <f t="shared" si="4"/>
        <v>3.2260741936992847E-4</v>
      </c>
      <c r="L22" s="98">
        <v>165746.53006883699</v>
      </c>
      <c r="M22" s="110">
        <f t="shared" si="5"/>
        <v>3.2260741936992814E-4</v>
      </c>
      <c r="N22" s="98">
        <v>165746.53006883699</v>
      </c>
      <c r="O22" s="110">
        <f t="shared" si="6"/>
        <v>3.2260741936992814E-4</v>
      </c>
    </row>
    <row r="23" spans="2:16" x14ac:dyDescent="0.35">
      <c r="B23" s="100">
        <v>34</v>
      </c>
      <c r="C23" s="101" t="s">
        <v>19</v>
      </c>
      <c r="D23" s="98">
        <v>7597385.8775232797</v>
      </c>
      <c r="E23" s="110">
        <f t="shared" si="1"/>
        <v>1.4530562911761849E-2</v>
      </c>
      <c r="F23" s="98">
        <v>7095521.2922973698</v>
      </c>
      <c r="G23" s="110">
        <f t="shared" si="2"/>
        <v>1.3881866371398871E-2</v>
      </c>
      <c r="H23" s="98">
        <v>7132206.5868804399</v>
      </c>
      <c r="I23" s="110">
        <f t="shared" si="3"/>
        <v>1.3881866371398854E-2</v>
      </c>
      <c r="J23" s="98">
        <v>7132154.7359322105</v>
      </c>
      <c r="K23" s="110">
        <f t="shared" si="4"/>
        <v>1.3881866371398852E-2</v>
      </c>
      <c r="L23" s="98">
        <v>7132108.6986541701</v>
      </c>
      <c r="M23" s="110">
        <f t="shared" si="5"/>
        <v>1.3881866371398863E-2</v>
      </c>
      <c r="N23" s="98">
        <v>7132108.6986541701</v>
      </c>
      <c r="O23" s="110">
        <f t="shared" si="6"/>
        <v>1.3881866371398863E-2</v>
      </c>
    </row>
    <row r="24" spans="2:16" x14ac:dyDescent="0.35">
      <c r="B24" s="100">
        <v>37</v>
      </c>
      <c r="C24" s="101" t="s">
        <v>282</v>
      </c>
      <c r="D24" s="98">
        <v>1575974.50173269</v>
      </c>
      <c r="E24" s="110">
        <f t="shared" si="1"/>
        <v>3.0141679011603181E-3</v>
      </c>
      <c r="F24" s="98">
        <v>1597901.8456274001</v>
      </c>
      <c r="G24" s="110">
        <f t="shared" si="2"/>
        <v>3.1261776241431321E-3</v>
      </c>
      <c r="H24" s="98">
        <v>1606163.3245951701</v>
      </c>
      <c r="I24" s="110">
        <f t="shared" si="3"/>
        <v>3.1261776241431295E-3</v>
      </c>
      <c r="J24" s="98">
        <v>1606151.6478314099</v>
      </c>
      <c r="K24" s="110">
        <f t="shared" si="4"/>
        <v>3.126177624143126E-3</v>
      </c>
      <c r="L24" s="98">
        <v>1606141.2802983599</v>
      </c>
      <c r="M24" s="110">
        <f t="shared" si="5"/>
        <v>3.1261776241431399E-3</v>
      </c>
      <c r="N24" s="98">
        <v>1606141.2802983599</v>
      </c>
      <c r="O24" s="110">
        <f t="shared" si="6"/>
        <v>3.1261776241431399E-3</v>
      </c>
    </row>
    <row r="25" spans="2:16" x14ac:dyDescent="0.35">
      <c r="B25" s="100">
        <v>40</v>
      </c>
      <c r="C25" s="101" t="s">
        <v>981</v>
      </c>
      <c r="D25" s="98">
        <v>282242.89990595402</v>
      </c>
      <c r="E25" s="110">
        <f t="shared" si="1"/>
        <v>5.3981044001131173E-4</v>
      </c>
      <c r="F25" s="98">
        <v>255765.44675009299</v>
      </c>
      <c r="G25" s="110">
        <f t="shared" si="2"/>
        <v>5.0038631524652259E-4</v>
      </c>
      <c r="H25" s="98">
        <v>257087.806358595</v>
      </c>
      <c r="I25" s="110">
        <f t="shared" si="3"/>
        <v>5.0038631524652248E-4</v>
      </c>
      <c r="J25" s="98">
        <v>257085.937337223</v>
      </c>
      <c r="K25" s="110">
        <f t="shared" si="4"/>
        <v>5.0038631524652183E-4</v>
      </c>
      <c r="L25" s="98">
        <v>257084.277875642</v>
      </c>
      <c r="M25" s="110">
        <f t="shared" si="5"/>
        <v>5.0038631524652313E-4</v>
      </c>
      <c r="N25" s="98">
        <v>257084.277875642</v>
      </c>
      <c r="O25" s="110">
        <f t="shared" si="6"/>
        <v>5.0038631524652313E-4</v>
      </c>
    </row>
    <row r="26" spans="2:16" x14ac:dyDescent="0.35">
      <c r="B26" s="100">
        <v>47</v>
      </c>
      <c r="C26" s="101" t="s">
        <v>310</v>
      </c>
      <c r="D26" s="98">
        <v>1475006.1812692699</v>
      </c>
      <c r="E26" s="110">
        <f t="shared" si="1"/>
        <v>2.8210585137683833E-3</v>
      </c>
      <c r="F26" s="98">
        <v>1406234.24124806</v>
      </c>
      <c r="G26" s="110">
        <f t="shared" si="2"/>
        <v>2.7511940306743188E-3</v>
      </c>
      <c r="H26" s="98">
        <v>1413504.75954655</v>
      </c>
      <c r="I26" s="110">
        <f t="shared" si="3"/>
        <v>2.7511940306743118E-3</v>
      </c>
      <c r="J26" s="98">
        <v>1413494.48340533</v>
      </c>
      <c r="K26" s="110">
        <f t="shared" si="4"/>
        <v>2.7511940306743149E-3</v>
      </c>
      <c r="L26" s="98">
        <v>1413485.3594531801</v>
      </c>
      <c r="M26" s="110">
        <f t="shared" si="5"/>
        <v>2.7511940306743183E-3</v>
      </c>
      <c r="N26" s="98">
        <v>1413485.3594531801</v>
      </c>
      <c r="O26" s="110">
        <f t="shared" si="6"/>
        <v>2.7511940306743183E-3</v>
      </c>
      <c r="P26" s="102"/>
    </row>
    <row r="27" spans="2:16" x14ac:dyDescent="0.35">
      <c r="B27" s="100">
        <v>48</v>
      </c>
      <c r="C27" s="101" t="s">
        <v>982</v>
      </c>
      <c r="D27" s="98">
        <v>361404.44615042902</v>
      </c>
      <c r="E27" s="110">
        <f t="shared" si="1"/>
        <v>6.9121275739270429E-4</v>
      </c>
      <c r="F27" s="98">
        <v>411725.75236734498</v>
      </c>
      <c r="G27" s="110">
        <f t="shared" si="2"/>
        <v>8.0551120073893662E-4</v>
      </c>
      <c r="H27" s="98">
        <v>413854.45861609298</v>
      </c>
      <c r="I27" s="110">
        <f t="shared" si="3"/>
        <v>8.0551120073893716E-4</v>
      </c>
      <c r="J27" s="98">
        <v>413851.449905416</v>
      </c>
      <c r="K27" s="110">
        <f t="shared" si="4"/>
        <v>8.0551120073893705E-4</v>
      </c>
      <c r="L27" s="98">
        <v>413848.77853961202</v>
      </c>
      <c r="M27" s="110">
        <f t="shared" si="5"/>
        <v>8.0551120073893662E-4</v>
      </c>
      <c r="N27" s="98">
        <v>413848.77853961202</v>
      </c>
      <c r="O27" s="110">
        <f t="shared" si="6"/>
        <v>8.0551120073893662E-4</v>
      </c>
    </row>
    <row r="28" spans="2:16" x14ac:dyDescent="0.35">
      <c r="B28" s="100">
        <v>50</v>
      </c>
      <c r="C28" s="101" t="s">
        <v>355</v>
      </c>
      <c r="D28" s="98">
        <v>161707.97991165801</v>
      </c>
      <c r="E28" s="110">
        <f t="shared" si="1"/>
        <v>3.0927848253592513E-4</v>
      </c>
      <c r="F28" s="98">
        <v>63084.064362498197</v>
      </c>
      <c r="G28" s="110">
        <f t="shared" si="2"/>
        <v>1.2341933954811455E-4</v>
      </c>
      <c r="H28" s="98">
        <v>63410.221862321101</v>
      </c>
      <c r="I28" s="110">
        <f t="shared" si="3"/>
        <v>1.2341933954811447E-4</v>
      </c>
      <c r="J28" s="98">
        <v>63409.760871729901</v>
      </c>
      <c r="K28" s="110">
        <f t="shared" si="4"/>
        <v>1.2341933954811444E-4</v>
      </c>
      <c r="L28" s="98">
        <v>63409.351568665101</v>
      </c>
      <c r="M28" s="110">
        <f t="shared" si="5"/>
        <v>1.2341933954811444E-4</v>
      </c>
      <c r="N28" s="98">
        <v>63409.351568665101</v>
      </c>
      <c r="O28" s="110">
        <f t="shared" si="6"/>
        <v>1.2341933954811444E-4</v>
      </c>
    </row>
    <row r="29" spans="2:16" x14ac:dyDescent="0.35">
      <c r="B29" s="100">
        <v>53</v>
      </c>
      <c r="C29" s="101" t="s">
        <v>802</v>
      </c>
      <c r="D29" s="98">
        <v>357847.83462264203</v>
      </c>
      <c r="E29" s="110">
        <f t="shared" si="1"/>
        <v>6.8441047455616974E-4</v>
      </c>
      <c r="F29" s="98">
        <v>343065.17798754701</v>
      </c>
      <c r="G29" s="110">
        <f t="shared" si="2"/>
        <v>6.711818288352066E-4</v>
      </c>
      <c r="H29" s="98">
        <v>344838.89504049002</v>
      </c>
      <c r="I29" s="110">
        <f t="shared" si="3"/>
        <v>6.7118182883520617E-4</v>
      </c>
      <c r="J29" s="98">
        <v>344836.38807108602</v>
      </c>
      <c r="K29" s="110">
        <f t="shared" si="4"/>
        <v>6.7118182883520552E-4</v>
      </c>
      <c r="L29" s="98">
        <v>344834.16218995099</v>
      </c>
      <c r="M29" s="110">
        <f t="shared" si="5"/>
        <v>6.7118182883520519E-4</v>
      </c>
      <c r="N29" s="98">
        <v>344834.16218995099</v>
      </c>
      <c r="O29" s="110">
        <f t="shared" si="6"/>
        <v>6.7118182883520519E-4</v>
      </c>
    </row>
    <row r="30" spans="2:16" x14ac:dyDescent="0.35">
      <c r="B30" s="100">
        <v>56</v>
      </c>
      <c r="C30" s="101" t="s">
        <v>803</v>
      </c>
      <c r="D30" s="98">
        <v>223025.23185573099</v>
      </c>
      <c r="E30" s="110">
        <f t="shared" si="1"/>
        <v>4.2655226608634796E-4</v>
      </c>
      <c r="F30" s="98">
        <v>162864.01422286499</v>
      </c>
      <c r="G30" s="110">
        <f t="shared" si="2"/>
        <v>3.1863148442746802E-4</v>
      </c>
      <c r="H30" s="98">
        <v>163706.05444691901</v>
      </c>
      <c r="I30" s="110">
        <f t="shared" si="3"/>
        <v>3.1863148442746732E-4</v>
      </c>
      <c r="J30" s="98">
        <v>163704.86430834801</v>
      </c>
      <c r="K30" s="110">
        <f t="shared" si="4"/>
        <v>3.1863148442746694E-4</v>
      </c>
      <c r="L30" s="98">
        <v>163703.80761137101</v>
      </c>
      <c r="M30" s="110">
        <f t="shared" si="5"/>
        <v>3.1863148442746873E-4</v>
      </c>
      <c r="N30" s="98">
        <v>163703.80761137101</v>
      </c>
      <c r="O30" s="110">
        <f t="shared" si="6"/>
        <v>3.1863148442746873E-4</v>
      </c>
    </row>
    <row r="31" spans="2:16" x14ac:dyDescent="0.35">
      <c r="B31" s="100">
        <v>58</v>
      </c>
      <c r="C31" s="101" t="s">
        <v>804</v>
      </c>
      <c r="D31" s="98">
        <v>946113.15111324505</v>
      </c>
      <c r="E31" s="110">
        <f t="shared" si="1"/>
        <v>1.8095114405822317E-3</v>
      </c>
      <c r="F31" s="98">
        <v>895068.10885513795</v>
      </c>
      <c r="G31" s="110">
        <f t="shared" si="2"/>
        <v>1.7511350285025669E-3</v>
      </c>
      <c r="H31" s="98">
        <v>899695.79382606596</v>
      </c>
      <c r="I31" s="110">
        <f t="shared" si="3"/>
        <v>1.7511350285025651E-3</v>
      </c>
      <c r="J31" s="98">
        <v>899689.25306207396</v>
      </c>
      <c r="K31" s="110">
        <f t="shared" si="4"/>
        <v>1.7511350285025651E-3</v>
      </c>
      <c r="L31" s="98">
        <v>899683.44566643704</v>
      </c>
      <c r="M31" s="110">
        <f t="shared" si="5"/>
        <v>1.7511350285025658E-3</v>
      </c>
      <c r="N31" s="98">
        <v>899683.44566643704</v>
      </c>
      <c r="O31" s="110">
        <f t="shared" si="6"/>
        <v>1.7511350285025658E-3</v>
      </c>
    </row>
    <row r="32" spans="2:16" x14ac:dyDescent="0.35">
      <c r="B32" s="100">
        <v>59</v>
      </c>
      <c r="C32" s="101" t="s">
        <v>14</v>
      </c>
      <c r="D32" s="98">
        <v>1098208.81055853</v>
      </c>
      <c r="E32" s="110">
        <f t="shared" si="1"/>
        <v>2.100405648643187E-3</v>
      </c>
      <c r="F32" s="98">
        <v>1117988.9399091699</v>
      </c>
      <c r="G32" s="110">
        <f t="shared" si="2"/>
        <v>2.1872632649793697E-3</v>
      </c>
      <c r="H32" s="98">
        <v>1123769.1711158201</v>
      </c>
      <c r="I32" s="110">
        <f t="shared" si="3"/>
        <v>2.1872632649793679E-3</v>
      </c>
      <c r="J32" s="98">
        <v>1123761.0013444601</v>
      </c>
      <c r="K32" s="110">
        <f t="shared" si="4"/>
        <v>2.1872632649793697E-3</v>
      </c>
      <c r="L32" s="98">
        <v>1123753.7475902201</v>
      </c>
      <c r="M32" s="110">
        <f t="shared" si="5"/>
        <v>2.1872632649793749E-3</v>
      </c>
      <c r="N32" s="98">
        <v>1123753.7475902201</v>
      </c>
      <c r="O32" s="110">
        <f t="shared" si="6"/>
        <v>2.1872632649793749E-3</v>
      </c>
    </row>
    <row r="33" spans="2:15" x14ac:dyDescent="0.35">
      <c r="B33" s="100">
        <v>60</v>
      </c>
      <c r="C33" s="101" t="s">
        <v>23</v>
      </c>
      <c r="D33" s="98">
        <v>9272.6279597342509</v>
      </c>
      <c r="E33" s="110">
        <f t="shared" si="1"/>
        <v>1.7734587409189761E-5</v>
      </c>
      <c r="F33" s="98">
        <v>8599.3218255968495</v>
      </c>
      <c r="G33" s="110">
        <f t="shared" si="2"/>
        <v>1.6823941688002243E-5</v>
      </c>
      <c r="H33" s="98">
        <v>8643.7820761395596</v>
      </c>
      <c r="I33" s="110">
        <f t="shared" si="3"/>
        <v>1.6823941688002229E-5</v>
      </c>
      <c r="J33" s="98">
        <v>8643.7192360785702</v>
      </c>
      <c r="K33" s="110">
        <f t="shared" si="4"/>
        <v>1.6823941688002236E-5</v>
      </c>
      <c r="L33" s="98">
        <v>8643.6634418171507</v>
      </c>
      <c r="M33" s="110">
        <f t="shared" si="5"/>
        <v>1.6823941688002232E-5</v>
      </c>
      <c r="N33" s="98">
        <v>8643.6634418171507</v>
      </c>
      <c r="O33" s="110">
        <f t="shared" si="6"/>
        <v>1.6823941688002232E-5</v>
      </c>
    </row>
    <row r="34" spans="2:15" x14ac:dyDescent="0.35">
      <c r="B34" s="100">
        <v>63</v>
      </c>
      <c r="C34" s="101" t="s">
        <v>983</v>
      </c>
      <c r="D34" s="98">
        <v>354070.36615546601</v>
      </c>
      <c r="E34" s="110">
        <f t="shared" si="1"/>
        <v>6.7718578647340633E-4</v>
      </c>
      <c r="F34" s="98">
        <v>380319.77525633998</v>
      </c>
      <c r="G34" s="110">
        <f t="shared" si="2"/>
        <v>7.4406771271904172E-4</v>
      </c>
      <c r="H34" s="98">
        <v>382286.10618768301</v>
      </c>
      <c r="I34" s="110">
        <f t="shared" si="3"/>
        <v>7.4406771271904107E-4</v>
      </c>
      <c r="J34" s="98">
        <v>382283.32697807101</v>
      </c>
      <c r="K34" s="110">
        <f t="shared" si="4"/>
        <v>7.4406771271904096E-4</v>
      </c>
      <c r="L34" s="98">
        <v>382280.85938104498</v>
      </c>
      <c r="M34" s="110">
        <f t="shared" si="5"/>
        <v>7.4406771271904118E-4</v>
      </c>
      <c r="N34" s="98">
        <v>382280.85938104498</v>
      </c>
      <c r="O34" s="110">
        <f t="shared" si="6"/>
        <v>7.4406771271904118E-4</v>
      </c>
    </row>
    <row r="35" spans="2:15" x14ac:dyDescent="0.35">
      <c r="B35" s="100">
        <v>70</v>
      </c>
      <c r="C35" s="101" t="s">
        <v>984</v>
      </c>
      <c r="D35" s="98">
        <v>749597.03845606104</v>
      </c>
      <c r="E35" s="110">
        <f t="shared" si="1"/>
        <v>1.4336598273861714E-3</v>
      </c>
      <c r="F35" s="98">
        <v>788599.01836659503</v>
      </c>
      <c r="G35" s="110">
        <f t="shared" si="2"/>
        <v>1.5428360711798996E-3</v>
      </c>
      <c r="H35" s="98">
        <v>792676.23638976004</v>
      </c>
      <c r="I35" s="110">
        <f t="shared" si="3"/>
        <v>1.5428360711798996E-3</v>
      </c>
      <c r="J35" s="98">
        <v>792670.47365504398</v>
      </c>
      <c r="K35" s="110">
        <f t="shared" si="4"/>
        <v>1.542836071179898E-3</v>
      </c>
      <c r="L35" s="98">
        <v>792665.35705391294</v>
      </c>
      <c r="M35" s="110">
        <f t="shared" si="5"/>
        <v>1.5428360711798996E-3</v>
      </c>
      <c r="N35" s="98">
        <v>792665.35705391294</v>
      </c>
      <c r="O35" s="110">
        <f t="shared" si="6"/>
        <v>1.5428360711798996E-3</v>
      </c>
    </row>
    <row r="36" spans="2:15" x14ac:dyDescent="0.35">
      <c r="B36" s="100">
        <v>72</v>
      </c>
      <c r="C36" s="101" t="s">
        <v>132</v>
      </c>
      <c r="D36" s="98">
        <v>771572.41919772804</v>
      </c>
      <c r="E36" s="110">
        <f t="shared" si="1"/>
        <v>1.475689369853061E-3</v>
      </c>
      <c r="F36" s="98">
        <v>815511.327297193</v>
      </c>
      <c r="G36" s="110">
        <f t="shared" si="2"/>
        <v>1.5954880273830222E-3</v>
      </c>
      <c r="H36" s="98">
        <v>819727.68745528394</v>
      </c>
      <c r="I36" s="110">
        <f t="shared" si="3"/>
        <v>1.5954880273830201E-3</v>
      </c>
      <c r="J36" s="98">
        <v>819721.72805725399</v>
      </c>
      <c r="K36" s="110">
        <f t="shared" si="4"/>
        <v>1.5954880273830205E-3</v>
      </c>
      <c r="L36" s="98">
        <v>819716.43684323702</v>
      </c>
      <c r="M36" s="110">
        <f t="shared" si="5"/>
        <v>1.5954880273830216E-3</v>
      </c>
      <c r="N36" s="98">
        <v>819716.43684323702</v>
      </c>
      <c r="O36" s="110">
        <f t="shared" si="6"/>
        <v>1.5954880273830216E-3</v>
      </c>
    </row>
    <row r="37" spans="2:15" x14ac:dyDescent="0.35">
      <c r="B37" s="100">
        <v>74</v>
      </c>
      <c r="C37" s="101" t="s">
        <v>137</v>
      </c>
      <c r="D37" s="98">
        <v>1929573.98610529</v>
      </c>
      <c r="E37" s="110">
        <f t="shared" si="1"/>
        <v>3.6904530913654502E-3</v>
      </c>
      <c r="F37" s="98">
        <v>1946170.5806208199</v>
      </c>
      <c r="G37" s="110">
        <f t="shared" si="2"/>
        <v>3.8075398301537122E-3</v>
      </c>
      <c r="H37" s="98">
        <v>1956232.68009426</v>
      </c>
      <c r="I37" s="110">
        <f t="shared" si="3"/>
        <v>3.8075398301537153E-3</v>
      </c>
      <c r="J37" s="98">
        <v>1956218.4583357901</v>
      </c>
      <c r="K37" s="110">
        <f t="shared" si="4"/>
        <v>3.8075398301537105E-3</v>
      </c>
      <c r="L37" s="98">
        <v>1956205.8311598001</v>
      </c>
      <c r="M37" s="110">
        <f t="shared" si="5"/>
        <v>3.8075398301537231E-3</v>
      </c>
      <c r="N37" s="98">
        <v>1956205.8311598001</v>
      </c>
      <c r="O37" s="110">
        <f t="shared" si="6"/>
        <v>3.8075398301537231E-3</v>
      </c>
    </row>
    <row r="38" spans="2:15" x14ac:dyDescent="0.35">
      <c r="B38" s="100">
        <v>79</v>
      </c>
      <c r="C38" s="101" t="s">
        <v>806</v>
      </c>
      <c r="D38" s="98">
        <v>445355.47758657002</v>
      </c>
      <c r="E38" s="110">
        <f t="shared" si="1"/>
        <v>8.5177531976025011E-4</v>
      </c>
      <c r="F38" s="98">
        <v>439297.20123787702</v>
      </c>
      <c r="G38" s="110">
        <f t="shared" si="2"/>
        <v>8.5945271583270065E-4</v>
      </c>
      <c r="H38" s="98">
        <v>441568.457509692</v>
      </c>
      <c r="I38" s="110">
        <f t="shared" si="3"/>
        <v>8.594527158326987E-4</v>
      </c>
      <c r="J38" s="98">
        <v>441565.247318996</v>
      </c>
      <c r="K38" s="110">
        <f t="shared" si="4"/>
        <v>8.5945271583269946E-4</v>
      </c>
      <c r="L38" s="98">
        <v>441562.39706366399</v>
      </c>
      <c r="M38" s="110">
        <f t="shared" si="5"/>
        <v>8.5945271583269978E-4</v>
      </c>
      <c r="N38" s="98">
        <v>441562.39706366399</v>
      </c>
      <c r="O38" s="110">
        <f t="shared" si="6"/>
        <v>8.5945271583269978E-4</v>
      </c>
    </row>
    <row r="39" spans="2:15" x14ac:dyDescent="0.35">
      <c r="B39" s="100">
        <v>80</v>
      </c>
      <c r="C39" s="101" t="s">
        <v>178</v>
      </c>
      <c r="D39" s="98">
        <v>8358712.2288603503</v>
      </c>
      <c r="E39" s="110">
        <f t="shared" si="1"/>
        <v>1.5986655918333176E-2</v>
      </c>
      <c r="F39" s="98">
        <v>8762725.7289928105</v>
      </c>
      <c r="G39" s="110">
        <f t="shared" si="2"/>
        <v>1.7143629425951833E-2</v>
      </c>
      <c r="H39" s="98">
        <v>8808030.8110968992</v>
      </c>
      <c r="I39" s="110">
        <f t="shared" si="3"/>
        <v>1.7143629425951837E-2</v>
      </c>
      <c r="J39" s="98">
        <v>8807966.7769520599</v>
      </c>
      <c r="K39" s="110">
        <f t="shared" si="4"/>
        <v>1.714362942595183E-2</v>
      </c>
      <c r="L39" s="98">
        <v>8807909.9224907495</v>
      </c>
      <c r="M39" s="110">
        <f t="shared" si="5"/>
        <v>1.7143629425951837E-2</v>
      </c>
      <c r="N39" s="98">
        <v>8807909.9224907495</v>
      </c>
      <c r="O39" s="110">
        <f t="shared" si="6"/>
        <v>1.7143629425951837E-2</v>
      </c>
    </row>
    <row r="40" spans="2:15" x14ac:dyDescent="0.35">
      <c r="B40" s="100">
        <v>81</v>
      </c>
      <c r="C40" s="101" t="s">
        <v>985</v>
      </c>
      <c r="D40" s="98">
        <v>193678.27002146799</v>
      </c>
      <c r="E40" s="110">
        <f t="shared" si="1"/>
        <v>3.7042402907479753E-4</v>
      </c>
      <c r="F40" s="98">
        <v>147032.79572832599</v>
      </c>
      <c r="G40" s="110">
        <f t="shared" si="2"/>
        <v>2.876588679579523E-4</v>
      </c>
      <c r="H40" s="98">
        <v>147792.98531869799</v>
      </c>
      <c r="I40" s="110">
        <f t="shared" si="3"/>
        <v>2.876588679579523E-4</v>
      </c>
      <c r="J40" s="98">
        <v>147791.91086770699</v>
      </c>
      <c r="K40" s="110">
        <f t="shared" si="4"/>
        <v>2.8765886795795094E-4</v>
      </c>
      <c r="L40" s="98">
        <v>147790.95688710199</v>
      </c>
      <c r="M40" s="110">
        <f t="shared" si="5"/>
        <v>2.8765886795795192E-4</v>
      </c>
      <c r="N40" s="98">
        <v>147790.95688710199</v>
      </c>
      <c r="O40" s="110">
        <f t="shared" si="6"/>
        <v>2.8765886795795192E-4</v>
      </c>
    </row>
    <row r="41" spans="2:15" x14ac:dyDescent="0.35">
      <c r="B41" s="100">
        <v>85</v>
      </c>
      <c r="C41" s="101" t="s">
        <v>234</v>
      </c>
      <c r="D41" s="98">
        <v>791899.97743918502</v>
      </c>
      <c r="E41" s="110">
        <f t="shared" si="1"/>
        <v>1.5145673298029225E-3</v>
      </c>
      <c r="F41" s="98">
        <v>823651.46124308405</v>
      </c>
      <c r="G41" s="110">
        <f t="shared" si="2"/>
        <v>1.6114136017033778E-3</v>
      </c>
      <c r="H41" s="98">
        <v>827909.90755657502</v>
      </c>
      <c r="I41" s="110">
        <f t="shared" si="3"/>
        <v>1.6114136017033761E-3</v>
      </c>
      <c r="J41" s="98">
        <v>827903.88867402705</v>
      </c>
      <c r="K41" s="110">
        <f t="shared" si="4"/>
        <v>1.6114136017033763E-3</v>
      </c>
      <c r="L41" s="98">
        <v>827898.54464505904</v>
      </c>
      <c r="M41" s="110">
        <f t="shared" si="5"/>
        <v>1.6114136017033774E-3</v>
      </c>
      <c r="N41" s="98">
        <v>827898.54464505904</v>
      </c>
      <c r="O41" s="110">
        <f t="shared" si="6"/>
        <v>1.6114136017033774E-3</v>
      </c>
    </row>
    <row r="42" spans="2:15" x14ac:dyDescent="0.35">
      <c r="B42" s="100">
        <v>86</v>
      </c>
      <c r="C42" s="101" t="s">
        <v>237</v>
      </c>
      <c r="D42" s="98">
        <v>789544.87039801502</v>
      </c>
      <c r="E42" s="110">
        <f t="shared" si="1"/>
        <v>1.5100630132422886E-3</v>
      </c>
      <c r="F42" s="98">
        <v>829427.93812229706</v>
      </c>
      <c r="G42" s="110">
        <f t="shared" si="2"/>
        <v>1.6227148545403976E-3</v>
      </c>
      <c r="H42" s="98">
        <v>833716.25000129698</v>
      </c>
      <c r="I42" s="110">
        <f t="shared" si="3"/>
        <v>1.6227148545403984E-3</v>
      </c>
      <c r="J42" s="98">
        <v>833710.18890679698</v>
      </c>
      <c r="K42" s="110">
        <f t="shared" si="4"/>
        <v>1.6227148545403982E-3</v>
      </c>
      <c r="L42" s="98">
        <v>833704.80739879597</v>
      </c>
      <c r="M42" s="110">
        <f t="shared" si="5"/>
        <v>1.6227148545403982E-3</v>
      </c>
      <c r="N42" s="98">
        <v>833704.80739879597</v>
      </c>
      <c r="O42" s="110">
        <f t="shared" si="6"/>
        <v>1.6227148545403982E-3</v>
      </c>
    </row>
    <row r="43" spans="2:15" x14ac:dyDescent="0.35">
      <c r="B43" s="100">
        <v>88</v>
      </c>
      <c r="C43" s="101" t="s">
        <v>268</v>
      </c>
      <c r="D43" s="98">
        <v>4723.8440803120202</v>
      </c>
      <c r="E43" s="110">
        <f t="shared" si="1"/>
        <v>9.034701501393797E-6</v>
      </c>
      <c r="F43" s="98">
        <v>5485.3214131472896</v>
      </c>
      <c r="G43" s="110">
        <f t="shared" si="2"/>
        <v>1.0731628547735494E-5</v>
      </c>
      <c r="H43" s="98">
        <v>5513.6816454169902</v>
      </c>
      <c r="I43" s="110">
        <f t="shared" si="3"/>
        <v>1.0731628547735487E-5</v>
      </c>
      <c r="J43" s="98">
        <v>5513.6415611011398</v>
      </c>
      <c r="K43" s="110">
        <f t="shared" si="4"/>
        <v>1.0731628547735489E-5</v>
      </c>
      <c r="L43" s="98">
        <v>5513.6059711484604</v>
      </c>
      <c r="M43" s="110">
        <f t="shared" si="5"/>
        <v>1.0731628547735499E-5</v>
      </c>
      <c r="N43" s="98">
        <v>5513.6059711484604</v>
      </c>
      <c r="O43" s="110">
        <f t="shared" si="6"/>
        <v>1.0731628547735499E-5</v>
      </c>
    </row>
    <row r="44" spans="2:15" x14ac:dyDescent="0.35">
      <c r="B44" s="100">
        <v>90</v>
      </c>
      <c r="C44" s="101" t="s">
        <v>278</v>
      </c>
      <c r="D44" s="98">
        <v>2773631.0933973901</v>
      </c>
      <c r="E44" s="110">
        <f t="shared" si="1"/>
        <v>5.3047747931118678E-3</v>
      </c>
      <c r="F44" s="98">
        <v>2772105.0719566802</v>
      </c>
      <c r="G44" s="110">
        <f t="shared" si="2"/>
        <v>5.4234200125865715E-3</v>
      </c>
      <c r="H44" s="98">
        <v>2786437.4214755702</v>
      </c>
      <c r="I44" s="110">
        <f t="shared" si="3"/>
        <v>5.4234200125865585E-3</v>
      </c>
      <c r="J44" s="98">
        <v>2786417.1641511801</v>
      </c>
      <c r="K44" s="110">
        <f t="shared" si="4"/>
        <v>5.423420012586568E-3</v>
      </c>
      <c r="L44" s="98">
        <v>2786399.1781334202</v>
      </c>
      <c r="M44" s="110">
        <f t="shared" si="5"/>
        <v>5.4234200125865654E-3</v>
      </c>
      <c r="N44" s="98">
        <v>2786399.1781334202</v>
      </c>
      <c r="O44" s="110">
        <f t="shared" si="6"/>
        <v>5.4234200125865654E-3</v>
      </c>
    </row>
    <row r="45" spans="2:15" x14ac:dyDescent="0.35">
      <c r="B45" s="100">
        <v>93</v>
      </c>
      <c r="C45" s="101" t="s">
        <v>291</v>
      </c>
      <c r="D45" s="98">
        <v>16587.7599191929</v>
      </c>
      <c r="E45" s="110">
        <f t="shared" si="1"/>
        <v>3.1725318807896171E-5</v>
      </c>
      <c r="F45" s="98">
        <v>12478.597519544999</v>
      </c>
      <c r="G45" s="110">
        <f t="shared" si="2"/>
        <v>2.4413459720970884E-5</v>
      </c>
      <c r="H45" s="98">
        <v>12543.1144178997</v>
      </c>
      <c r="I45" s="110">
        <f t="shared" si="3"/>
        <v>2.441345972097104E-5</v>
      </c>
      <c r="J45" s="98">
        <v>12543.0232297984</v>
      </c>
      <c r="K45" s="110">
        <f t="shared" si="4"/>
        <v>2.4413459720970925E-5</v>
      </c>
      <c r="L45" s="98">
        <v>12542.942265956601</v>
      </c>
      <c r="M45" s="110">
        <f t="shared" si="5"/>
        <v>2.4413459720970986E-5</v>
      </c>
      <c r="N45" s="98">
        <v>12542.942265956601</v>
      </c>
      <c r="O45" s="110">
        <f t="shared" si="6"/>
        <v>2.4413459720970986E-5</v>
      </c>
    </row>
    <row r="46" spans="2:15" x14ac:dyDescent="0.35">
      <c r="B46" s="100">
        <v>96</v>
      </c>
      <c r="C46" s="101" t="s">
        <v>319</v>
      </c>
      <c r="D46" s="98">
        <v>3414.5092503690298</v>
      </c>
      <c r="E46" s="110">
        <f t="shared" si="1"/>
        <v>6.5305017113931566E-6</v>
      </c>
      <c r="F46" s="98">
        <v>2862.5300483569299</v>
      </c>
      <c r="G46" s="110">
        <f t="shared" si="2"/>
        <v>5.6003298388438528E-6</v>
      </c>
      <c r="H46" s="98">
        <v>2877.3299134762001</v>
      </c>
      <c r="I46" s="110">
        <f t="shared" si="3"/>
        <v>5.6003298388438579E-6</v>
      </c>
      <c r="J46" s="98">
        <v>2877.30899536585</v>
      </c>
      <c r="K46" s="110">
        <f t="shared" si="4"/>
        <v>5.600329838843846E-6</v>
      </c>
      <c r="L46" s="98">
        <v>2877.2904226512801</v>
      </c>
      <c r="M46" s="110">
        <f t="shared" si="5"/>
        <v>5.6003298388438629E-6</v>
      </c>
      <c r="N46" s="98">
        <v>2877.2904226512801</v>
      </c>
      <c r="O46" s="110">
        <f t="shared" si="6"/>
        <v>5.6003298388438629E-6</v>
      </c>
    </row>
    <row r="47" spans="2:15" x14ac:dyDescent="0.35">
      <c r="B47" s="100">
        <v>98</v>
      </c>
      <c r="C47" s="101" t="s">
        <v>341</v>
      </c>
      <c r="D47" s="98">
        <v>630957.198338905</v>
      </c>
      <c r="E47" s="110">
        <f t="shared" si="1"/>
        <v>1.2067523504652163E-3</v>
      </c>
      <c r="F47" s="98">
        <v>588690.53293191199</v>
      </c>
      <c r="G47" s="110">
        <f t="shared" si="2"/>
        <v>1.1517297990691307E-3</v>
      </c>
      <c r="H47" s="98">
        <v>591734.18324726203</v>
      </c>
      <c r="I47" s="110">
        <f t="shared" si="3"/>
        <v>1.1517297990691299E-3</v>
      </c>
      <c r="J47" s="98">
        <v>591729.88135581696</v>
      </c>
      <c r="K47" s="110">
        <f t="shared" si="4"/>
        <v>1.1517297990691299E-3</v>
      </c>
      <c r="L47" s="98">
        <v>591726.061804211</v>
      </c>
      <c r="M47" s="110">
        <f t="shared" si="5"/>
        <v>1.1517297990691299E-3</v>
      </c>
      <c r="N47" s="98">
        <v>591726.061804211</v>
      </c>
      <c r="O47" s="110">
        <f t="shared" si="6"/>
        <v>1.1517297990691299E-3</v>
      </c>
    </row>
    <row r="48" spans="2:15" x14ac:dyDescent="0.35">
      <c r="B48" s="100">
        <v>106</v>
      </c>
      <c r="C48" s="101" t="s">
        <v>30</v>
      </c>
      <c r="D48" s="98">
        <v>3113095.6008039899</v>
      </c>
      <c r="E48" s="110">
        <f t="shared" si="1"/>
        <v>5.9540257934822555E-3</v>
      </c>
      <c r="F48" s="98">
        <v>2963286.6403890098</v>
      </c>
      <c r="G48" s="110">
        <f t="shared" si="2"/>
        <v>5.7974527124155587E-3</v>
      </c>
      <c r="H48" s="98">
        <v>2978607.4376720502</v>
      </c>
      <c r="I48" s="110">
        <f t="shared" si="3"/>
        <v>5.7974527124155613E-3</v>
      </c>
      <c r="J48" s="98">
        <v>2978585.7832768499</v>
      </c>
      <c r="K48" s="110">
        <f t="shared" si="4"/>
        <v>5.7974527124155508E-3</v>
      </c>
      <c r="L48" s="98">
        <v>2978566.55683169</v>
      </c>
      <c r="M48" s="110">
        <f t="shared" si="5"/>
        <v>5.7974527124155465E-3</v>
      </c>
      <c r="N48" s="98">
        <v>2978566.55683169</v>
      </c>
      <c r="O48" s="110">
        <f t="shared" si="6"/>
        <v>5.7974527124155465E-3</v>
      </c>
    </row>
    <row r="49" spans="2:15" x14ac:dyDescent="0.35">
      <c r="B49" s="100">
        <v>109</v>
      </c>
      <c r="C49" s="101" t="s">
        <v>70</v>
      </c>
      <c r="D49" s="98">
        <v>1300422.9591792601</v>
      </c>
      <c r="E49" s="110">
        <f t="shared" si="1"/>
        <v>2.4871551774350228E-3</v>
      </c>
      <c r="F49" s="98">
        <v>1289897.32466004</v>
      </c>
      <c r="G49" s="110">
        <f t="shared" si="2"/>
        <v>2.5235893962003691E-3</v>
      </c>
      <c r="H49" s="98">
        <v>1296566.3573340001</v>
      </c>
      <c r="I49" s="110">
        <f t="shared" si="3"/>
        <v>2.5235893962003773E-3</v>
      </c>
      <c r="J49" s="98">
        <v>1296556.9313317901</v>
      </c>
      <c r="K49" s="110">
        <f t="shared" si="4"/>
        <v>2.523589396200383E-3</v>
      </c>
      <c r="L49" s="98">
        <v>1296548.56219873</v>
      </c>
      <c r="M49" s="110">
        <f t="shared" si="5"/>
        <v>2.5235893962003717E-3</v>
      </c>
      <c r="N49" s="98">
        <v>1296548.56219873</v>
      </c>
      <c r="O49" s="110">
        <f t="shared" si="6"/>
        <v>2.5235893962003717E-3</v>
      </c>
    </row>
    <row r="50" spans="2:15" x14ac:dyDescent="0.35">
      <c r="B50" s="100">
        <v>114</v>
      </c>
      <c r="C50" s="101" t="s">
        <v>104</v>
      </c>
      <c r="D50" s="98">
        <v>6006961.5035451399</v>
      </c>
      <c r="E50" s="110">
        <f t="shared" si="1"/>
        <v>1.14887585602337E-2</v>
      </c>
      <c r="F50" s="98">
        <v>5956806.3909523198</v>
      </c>
      <c r="G50" s="110">
        <f t="shared" si="2"/>
        <v>1.1654054284815094E-2</v>
      </c>
      <c r="H50" s="98">
        <v>5987604.2968741404</v>
      </c>
      <c r="I50" s="110">
        <f t="shared" si="3"/>
        <v>1.165405428481509E-2</v>
      </c>
      <c r="J50" s="98">
        <v>5987560.7671534801</v>
      </c>
      <c r="K50" s="110">
        <f t="shared" si="4"/>
        <v>1.1654054284815089E-2</v>
      </c>
      <c r="L50" s="98">
        <v>5987522.1181041999</v>
      </c>
      <c r="M50" s="110">
        <f t="shared" si="5"/>
        <v>1.1654054284815085E-2</v>
      </c>
      <c r="N50" s="98">
        <v>5987522.1181041999</v>
      </c>
      <c r="O50" s="110">
        <f t="shared" si="6"/>
        <v>1.1654054284815085E-2</v>
      </c>
    </row>
    <row r="51" spans="2:15" x14ac:dyDescent="0.35">
      <c r="B51" s="100">
        <v>118</v>
      </c>
      <c r="C51" s="101" t="s">
        <v>156</v>
      </c>
      <c r="D51" s="98">
        <v>1982292.5795545799</v>
      </c>
      <c r="E51" s="110">
        <f t="shared" si="1"/>
        <v>3.7912813040011663E-3</v>
      </c>
      <c r="F51" s="98">
        <v>1816749.0438075501</v>
      </c>
      <c r="G51" s="110">
        <f t="shared" si="2"/>
        <v>3.5543360970364253E-3</v>
      </c>
      <c r="H51" s="98">
        <v>1826142.0074969099</v>
      </c>
      <c r="I51" s="110">
        <f t="shared" si="3"/>
        <v>3.5543360970364309E-3</v>
      </c>
      <c r="J51" s="98">
        <v>1826128.7314941001</v>
      </c>
      <c r="K51" s="110">
        <f t="shared" si="4"/>
        <v>3.5543360970364314E-3</v>
      </c>
      <c r="L51" s="98">
        <v>1826116.94403305</v>
      </c>
      <c r="M51" s="110">
        <f t="shared" si="5"/>
        <v>3.5543360970364327E-3</v>
      </c>
      <c r="N51" s="98">
        <v>1826116.94403305</v>
      </c>
      <c r="O51" s="110">
        <f t="shared" si="6"/>
        <v>3.5543360970364327E-3</v>
      </c>
    </row>
    <row r="52" spans="2:15" x14ac:dyDescent="0.35">
      <c r="B52" s="100">
        <v>119</v>
      </c>
      <c r="C52" s="101" t="s">
        <v>199</v>
      </c>
      <c r="D52" s="98">
        <v>830827.94345912396</v>
      </c>
      <c r="E52" s="110">
        <f t="shared" si="1"/>
        <v>1.589019946584321E-3</v>
      </c>
      <c r="F52" s="98">
        <v>773351.92768251698</v>
      </c>
      <c r="G52" s="110">
        <f t="shared" si="2"/>
        <v>1.5130062578779875E-3</v>
      </c>
      <c r="H52" s="98">
        <v>777350.315132107</v>
      </c>
      <c r="I52" s="110">
        <f t="shared" si="3"/>
        <v>1.513006257877986E-3</v>
      </c>
      <c r="J52" s="98">
        <v>777344.66381642304</v>
      </c>
      <c r="K52" s="110">
        <f t="shared" si="4"/>
        <v>1.513006257877986E-3</v>
      </c>
      <c r="L52" s="98">
        <v>777339.64614171605</v>
      </c>
      <c r="M52" s="110">
        <f t="shared" si="5"/>
        <v>1.513006257877986E-3</v>
      </c>
      <c r="N52" s="98">
        <v>777339.64614171605</v>
      </c>
      <c r="O52" s="110">
        <f t="shared" si="6"/>
        <v>1.513006257877986E-3</v>
      </c>
    </row>
    <row r="53" spans="2:15" x14ac:dyDescent="0.35">
      <c r="B53" s="100">
        <v>140</v>
      </c>
      <c r="C53" s="101" t="s">
        <v>986</v>
      </c>
      <c r="D53" s="98">
        <v>131411.049255805</v>
      </c>
      <c r="E53" s="110">
        <f t="shared" si="1"/>
        <v>2.5133335982857727E-4</v>
      </c>
      <c r="F53" s="98">
        <v>126452.388386345</v>
      </c>
      <c r="G53" s="110">
        <f t="shared" si="2"/>
        <v>2.4739481224995584E-4</v>
      </c>
      <c r="H53" s="98">
        <v>127106.17306651</v>
      </c>
      <c r="I53" s="110">
        <f t="shared" si="3"/>
        <v>2.4739481224995627E-4</v>
      </c>
      <c r="J53" s="98">
        <v>127105.249008083</v>
      </c>
      <c r="K53" s="110">
        <f t="shared" si="4"/>
        <v>2.4739481224995616E-4</v>
      </c>
      <c r="L53" s="98">
        <v>127104.428557615</v>
      </c>
      <c r="M53" s="110">
        <f t="shared" si="5"/>
        <v>2.4739481224995578E-4</v>
      </c>
      <c r="N53" s="98">
        <v>127104.428557615</v>
      </c>
      <c r="O53" s="110">
        <f t="shared" si="6"/>
        <v>2.4739481224995578E-4</v>
      </c>
    </row>
    <row r="54" spans="2:15" x14ac:dyDescent="0.35">
      <c r="B54" s="100">
        <v>141</v>
      </c>
      <c r="C54" s="101" t="s">
        <v>18</v>
      </c>
      <c r="D54" s="98">
        <v>4295756.8614116302</v>
      </c>
      <c r="E54" s="110">
        <f t="shared" si="1"/>
        <v>8.2159530047094219E-3</v>
      </c>
      <c r="F54" s="98">
        <v>4445992.6094665499</v>
      </c>
      <c r="G54" s="110">
        <f t="shared" si="2"/>
        <v>8.6982580631307649E-3</v>
      </c>
      <c r="H54" s="98">
        <v>4468979.2995029204</v>
      </c>
      <c r="I54" s="110">
        <f t="shared" si="3"/>
        <v>8.6982580631307736E-3</v>
      </c>
      <c r="J54" s="98">
        <v>4468946.8101447504</v>
      </c>
      <c r="K54" s="110">
        <f t="shared" si="4"/>
        <v>8.6982580631307597E-3</v>
      </c>
      <c r="L54" s="98">
        <v>4468917.9635823201</v>
      </c>
      <c r="M54" s="110">
        <f t="shared" si="5"/>
        <v>8.6982580631307631E-3</v>
      </c>
      <c r="N54" s="98">
        <v>4468917.9635823201</v>
      </c>
      <c r="O54" s="110">
        <f t="shared" si="6"/>
        <v>8.6982580631307631E-3</v>
      </c>
    </row>
    <row r="55" spans="2:15" x14ac:dyDescent="0.35">
      <c r="B55" s="100">
        <v>147</v>
      </c>
      <c r="C55" s="101" t="s">
        <v>56</v>
      </c>
      <c r="D55" s="98">
        <v>267905.51333950798</v>
      </c>
      <c r="E55" s="110">
        <f t="shared" si="1"/>
        <v>5.1238912683169101E-4</v>
      </c>
      <c r="F55" s="98">
        <v>252543.250204985</v>
      </c>
      <c r="G55" s="110">
        <f t="shared" si="2"/>
        <v>4.9408232431774764E-4</v>
      </c>
      <c r="H55" s="98">
        <v>253848.950399105</v>
      </c>
      <c r="I55" s="110">
        <f t="shared" si="3"/>
        <v>4.9408232431774677E-4</v>
      </c>
      <c r="J55" s="98">
        <v>253847.104924129</v>
      </c>
      <c r="K55" s="110">
        <f t="shared" si="4"/>
        <v>4.9408232431774818E-4</v>
      </c>
      <c r="L55" s="98">
        <v>253845.466368856</v>
      </c>
      <c r="M55" s="110">
        <f t="shared" si="5"/>
        <v>4.9408232431774818E-4</v>
      </c>
      <c r="N55" s="98">
        <v>253845.466368856</v>
      </c>
      <c r="O55" s="110">
        <f t="shared" si="6"/>
        <v>4.9408232431774818E-4</v>
      </c>
    </row>
    <row r="56" spans="2:15" x14ac:dyDescent="0.35">
      <c r="B56" s="100">
        <v>148</v>
      </c>
      <c r="C56" s="101" t="s">
        <v>74</v>
      </c>
      <c r="D56" s="98">
        <v>82767.962689799606</v>
      </c>
      <c r="E56" s="110">
        <f t="shared" si="1"/>
        <v>1.5829985580968742E-4</v>
      </c>
      <c r="F56" s="98">
        <v>68106.316013913005</v>
      </c>
      <c r="G56" s="110">
        <f t="shared" si="2"/>
        <v>1.3324500611107184E-4</v>
      </c>
      <c r="H56" s="98">
        <v>68458.439580739694</v>
      </c>
      <c r="I56" s="110">
        <f t="shared" si="3"/>
        <v>1.3324500611107179E-4</v>
      </c>
      <c r="J56" s="98">
        <v>68457.941889742797</v>
      </c>
      <c r="K56" s="110">
        <f t="shared" si="4"/>
        <v>1.3324500611107184E-4</v>
      </c>
      <c r="L56" s="98">
        <v>68457.500001222099</v>
      </c>
      <c r="M56" s="110">
        <f t="shared" si="5"/>
        <v>1.3324500611107171E-4</v>
      </c>
      <c r="N56" s="98">
        <v>68457.500001222099</v>
      </c>
      <c r="O56" s="110">
        <f t="shared" si="6"/>
        <v>1.3324500611107171E-4</v>
      </c>
    </row>
    <row r="57" spans="2:15" x14ac:dyDescent="0.35">
      <c r="B57" s="100">
        <v>150</v>
      </c>
      <c r="C57" s="101" t="s">
        <v>84</v>
      </c>
      <c r="D57" s="98">
        <v>3480752.0064067198</v>
      </c>
      <c r="E57" s="110">
        <f t="shared" si="1"/>
        <v>6.6571958861489523E-3</v>
      </c>
      <c r="F57" s="98">
        <v>3615150.6966472301</v>
      </c>
      <c r="G57" s="110">
        <f t="shared" si="2"/>
        <v>7.0727768709263651E-3</v>
      </c>
      <c r="H57" s="98">
        <v>3633841.7642665599</v>
      </c>
      <c r="I57" s="110">
        <f t="shared" si="3"/>
        <v>7.0727768709263634E-3</v>
      </c>
      <c r="J57" s="98">
        <v>3633815.3463356001</v>
      </c>
      <c r="K57" s="110">
        <f t="shared" si="4"/>
        <v>7.0727768709263599E-3</v>
      </c>
      <c r="L57" s="98">
        <v>3633791.89045534</v>
      </c>
      <c r="M57" s="110">
        <f t="shared" si="5"/>
        <v>7.0727768709263556E-3</v>
      </c>
      <c r="N57" s="98">
        <v>3633791.89045534</v>
      </c>
      <c r="O57" s="110">
        <f t="shared" si="6"/>
        <v>7.0727768709263556E-3</v>
      </c>
    </row>
    <row r="58" spans="2:15" x14ac:dyDescent="0.35">
      <c r="B58" s="100">
        <v>153</v>
      </c>
      <c r="C58" s="101" t="s">
        <v>106</v>
      </c>
      <c r="D58" s="98">
        <v>10887320.0875652</v>
      </c>
      <c r="E58" s="110">
        <f t="shared" si="1"/>
        <v>2.0822805636460173E-2</v>
      </c>
      <c r="F58" s="98">
        <v>10926829.967852799</v>
      </c>
      <c r="G58" s="110">
        <f t="shared" si="2"/>
        <v>2.1377540455187201E-2</v>
      </c>
      <c r="H58" s="98">
        <v>10983323.9109638</v>
      </c>
      <c r="I58" s="110">
        <f t="shared" si="3"/>
        <v>2.1377540455187211E-2</v>
      </c>
      <c r="J58" s="98">
        <v>10983244.0624972</v>
      </c>
      <c r="K58" s="110">
        <f t="shared" si="4"/>
        <v>2.1377540455187225E-2</v>
      </c>
      <c r="L58" s="98">
        <v>10983173.1668592</v>
      </c>
      <c r="M58" s="110">
        <f t="shared" si="5"/>
        <v>2.1377540455187343E-2</v>
      </c>
      <c r="N58" s="98">
        <v>10983173.1668592</v>
      </c>
      <c r="O58" s="110">
        <f t="shared" si="6"/>
        <v>2.1377540455187343E-2</v>
      </c>
    </row>
    <row r="59" spans="2:15" x14ac:dyDescent="0.35">
      <c r="B59" s="100">
        <v>158</v>
      </c>
      <c r="C59" s="101" t="s">
        <v>124</v>
      </c>
      <c r="D59" s="98">
        <v>377089.52318063698</v>
      </c>
      <c r="E59" s="110">
        <f t="shared" si="1"/>
        <v>7.2121162835140382E-4</v>
      </c>
      <c r="F59" s="98">
        <v>370779.44251181599</v>
      </c>
      <c r="G59" s="110">
        <f t="shared" si="2"/>
        <v>7.2540275226829474E-4</v>
      </c>
      <c r="H59" s="98">
        <v>372696.44797393301</v>
      </c>
      <c r="I59" s="110">
        <f t="shared" si="3"/>
        <v>7.2540275226829637E-4</v>
      </c>
      <c r="J59" s="98">
        <v>372693.73848087498</v>
      </c>
      <c r="K59" s="110">
        <f t="shared" si="4"/>
        <v>7.2540275226829452E-4</v>
      </c>
      <c r="L59" s="98">
        <v>372691.33278359298</v>
      </c>
      <c r="M59" s="110">
        <f t="shared" si="5"/>
        <v>7.2540275226829485E-4</v>
      </c>
      <c r="N59" s="98">
        <v>372691.33278359298</v>
      </c>
      <c r="O59" s="110">
        <f t="shared" si="6"/>
        <v>7.2540275226829485E-4</v>
      </c>
    </row>
    <row r="60" spans="2:15" x14ac:dyDescent="0.35">
      <c r="B60" s="100">
        <v>160</v>
      </c>
      <c r="C60" s="101" t="s">
        <v>129</v>
      </c>
      <c r="D60" s="98">
        <v>962898.52527878899</v>
      </c>
      <c r="E60" s="110">
        <f t="shared" si="1"/>
        <v>1.8416147112653063E-3</v>
      </c>
      <c r="F60" s="98">
        <v>929311.10864524904</v>
      </c>
      <c r="G60" s="110">
        <f t="shared" si="2"/>
        <v>1.8181289430664186E-3</v>
      </c>
      <c r="H60" s="98">
        <v>934115.836920392</v>
      </c>
      <c r="I60" s="110">
        <f t="shared" si="3"/>
        <v>1.818128943066419E-3</v>
      </c>
      <c r="J60" s="98">
        <v>934109.04592362104</v>
      </c>
      <c r="K60" s="110">
        <f t="shared" si="4"/>
        <v>1.8181289430664186E-3</v>
      </c>
      <c r="L60" s="98">
        <v>934103.016351989</v>
      </c>
      <c r="M60" s="110">
        <f t="shared" si="5"/>
        <v>1.8181289430664188E-3</v>
      </c>
      <c r="N60" s="98">
        <v>934103.016351989</v>
      </c>
      <c r="O60" s="110">
        <f t="shared" si="6"/>
        <v>1.8181289430664188E-3</v>
      </c>
    </row>
    <row r="61" spans="2:15" x14ac:dyDescent="0.35">
      <c r="B61" s="100">
        <v>163</v>
      </c>
      <c r="C61" s="101" t="s">
        <v>142</v>
      </c>
      <c r="D61" s="98">
        <v>396652.50305731501</v>
      </c>
      <c r="E61" s="110">
        <f t="shared" si="1"/>
        <v>7.5862727557824566E-4</v>
      </c>
      <c r="F61" s="98">
        <v>376769.95993561798</v>
      </c>
      <c r="G61" s="110">
        <f t="shared" si="2"/>
        <v>7.3712275971341804E-4</v>
      </c>
      <c r="H61" s="98">
        <v>378717.93759658298</v>
      </c>
      <c r="I61" s="110">
        <f t="shared" si="3"/>
        <v>7.3712275971341901E-4</v>
      </c>
      <c r="J61" s="98">
        <v>378715.18432745902</v>
      </c>
      <c r="K61" s="110">
        <f t="shared" si="4"/>
        <v>7.371227597134175E-4</v>
      </c>
      <c r="L61" s="98">
        <v>378712.739762404</v>
      </c>
      <c r="M61" s="110">
        <f t="shared" si="5"/>
        <v>7.3712275971341923E-4</v>
      </c>
      <c r="N61" s="98">
        <v>378712.739762404</v>
      </c>
      <c r="O61" s="110">
        <f t="shared" si="6"/>
        <v>7.3712275971341923E-4</v>
      </c>
    </row>
    <row r="62" spans="2:15" x14ac:dyDescent="0.35">
      <c r="B62" s="100">
        <v>164</v>
      </c>
      <c r="C62" s="101" t="s">
        <v>146</v>
      </c>
      <c r="D62" s="98">
        <v>3211463.8711627</v>
      </c>
      <c r="E62" s="110">
        <f t="shared" si="1"/>
        <v>6.1421623925718358E-3</v>
      </c>
      <c r="F62" s="98">
        <v>3091647.9919635202</v>
      </c>
      <c r="G62" s="110">
        <f t="shared" si="2"/>
        <v>6.0485822709645358E-3</v>
      </c>
      <c r="H62" s="98">
        <v>3107632.4436563798</v>
      </c>
      <c r="I62" s="110">
        <f t="shared" si="3"/>
        <v>6.0485822709645401E-3</v>
      </c>
      <c r="J62" s="98">
        <v>3107609.8512528902</v>
      </c>
      <c r="K62" s="110">
        <f t="shared" si="4"/>
        <v>6.0485822709645315E-3</v>
      </c>
      <c r="L62" s="98">
        <v>3107589.7919715</v>
      </c>
      <c r="M62" s="110">
        <f t="shared" si="5"/>
        <v>6.0485822709645349E-3</v>
      </c>
      <c r="N62" s="98">
        <v>3107589.7919715</v>
      </c>
      <c r="O62" s="110">
        <f t="shared" si="6"/>
        <v>6.0485822709645349E-3</v>
      </c>
    </row>
    <row r="63" spans="2:15" x14ac:dyDescent="0.35">
      <c r="B63" s="100">
        <v>166</v>
      </c>
      <c r="C63" s="101" t="s">
        <v>164</v>
      </c>
      <c r="D63" s="98">
        <v>671025.72608223895</v>
      </c>
      <c r="E63" s="110">
        <f t="shared" si="1"/>
        <v>1.2833863759763688E-3</v>
      </c>
      <c r="F63" s="98">
        <v>688124.716512379</v>
      </c>
      <c r="G63" s="110">
        <f t="shared" si="2"/>
        <v>1.3462654776121045E-3</v>
      </c>
      <c r="H63" s="98">
        <v>691682.46186965902</v>
      </c>
      <c r="I63" s="110">
        <f t="shared" si="3"/>
        <v>1.3462654776121039E-3</v>
      </c>
      <c r="J63" s="98">
        <v>691677.43335694203</v>
      </c>
      <c r="K63" s="110">
        <f t="shared" si="4"/>
        <v>1.3462654776121036E-3</v>
      </c>
      <c r="L63" s="98">
        <v>691672.96865483001</v>
      </c>
      <c r="M63" s="110">
        <f t="shared" si="5"/>
        <v>1.3462654776121049E-3</v>
      </c>
      <c r="N63" s="98">
        <v>691672.96865483001</v>
      </c>
      <c r="O63" s="110">
        <f t="shared" si="6"/>
        <v>1.3462654776121049E-3</v>
      </c>
    </row>
    <row r="64" spans="2:15" x14ac:dyDescent="0.35">
      <c r="B64" s="100">
        <v>168</v>
      </c>
      <c r="C64" s="101" t="s">
        <v>191</v>
      </c>
      <c r="D64" s="98">
        <v>406142.19372238999</v>
      </c>
      <c r="E64" s="110">
        <f t="shared" si="1"/>
        <v>7.7677701148016662E-4</v>
      </c>
      <c r="F64" s="98">
        <v>467328.95785166102</v>
      </c>
      <c r="G64" s="110">
        <f t="shared" si="2"/>
        <v>9.1429478922490565E-4</v>
      </c>
      <c r="H64" s="98">
        <v>469745.14403161098</v>
      </c>
      <c r="I64" s="110">
        <f t="shared" si="3"/>
        <v>9.1429478922490511E-4</v>
      </c>
      <c r="J64" s="98">
        <v>469741.72899716801</v>
      </c>
      <c r="K64" s="110">
        <f t="shared" si="4"/>
        <v>9.1429478922490381E-4</v>
      </c>
      <c r="L64" s="98">
        <v>469738.69686573098</v>
      </c>
      <c r="M64" s="110">
        <f t="shared" si="5"/>
        <v>9.1429478922490349E-4</v>
      </c>
      <c r="N64" s="98">
        <v>469738.69686573098</v>
      </c>
      <c r="O64" s="110">
        <f t="shared" si="6"/>
        <v>9.1429478922490349E-4</v>
      </c>
    </row>
    <row r="65" spans="2:15" x14ac:dyDescent="0.35">
      <c r="B65" s="100">
        <v>171</v>
      </c>
      <c r="C65" s="101" t="s">
        <v>220</v>
      </c>
      <c r="D65" s="98">
        <v>884741.53024412203</v>
      </c>
      <c r="E65" s="110">
        <f t="shared" si="1"/>
        <v>1.6921336724378157E-3</v>
      </c>
      <c r="F65" s="98">
        <v>989539.59433278395</v>
      </c>
      <c r="G65" s="110">
        <f t="shared" si="2"/>
        <v>1.9359615526272822E-3</v>
      </c>
      <c r="H65" s="98">
        <v>994655.716182651</v>
      </c>
      <c r="I65" s="110">
        <f t="shared" si="3"/>
        <v>1.9359615526272822E-3</v>
      </c>
      <c r="J65" s="98">
        <v>994648.48506260198</v>
      </c>
      <c r="K65" s="110">
        <f t="shared" si="4"/>
        <v>1.9359615526272824E-3</v>
      </c>
      <c r="L65" s="98">
        <v>994642.06471551699</v>
      </c>
      <c r="M65" s="110">
        <f t="shared" si="5"/>
        <v>1.9359615526272813E-3</v>
      </c>
      <c r="N65" s="98">
        <v>994642.06471551699</v>
      </c>
      <c r="O65" s="110">
        <f t="shared" si="6"/>
        <v>1.9359615526272813E-3</v>
      </c>
    </row>
    <row r="66" spans="2:15" x14ac:dyDescent="0.35">
      <c r="B66" s="100">
        <v>173</v>
      </c>
      <c r="C66" s="101" t="s">
        <v>229</v>
      </c>
      <c r="D66" s="98">
        <v>642367.22847404098</v>
      </c>
      <c r="E66" s="110">
        <f t="shared" si="1"/>
        <v>1.2285748777629531E-3</v>
      </c>
      <c r="F66" s="98">
        <v>641484.29776987003</v>
      </c>
      <c r="G66" s="110">
        <f t="shared" si="2"/>
        <v>1.255016923232816E-3</v>
      </c>
      <c r="H66" s="98">
        <v>644800.90263435699</v>
      </c>
      <c r="I66" s="110">
        <f t="shared" si="3"/>
        <v>1.2550169232328149E-3</v>
      </c>
      <c r="J66" s="98">
        <v>644796.21494930296</v>
      </c>
      <c r="K66" s="110">
        <f t="shared" si="4"/>
        <v>1.2550169232328151E-3</v>
      </c>
      <c r="L66" s="98">
        <v>644792.05286032299</v>
      </c>
      <c r="M66" s="110">
        <f t="shared" si="5"/>
        <v>1.2550169232328154E-3</v>
      </c>
      <c r="N66" s="98">
        <v>644792.05286032299</v>
      </c>
      <c r="O66" s="110">
        <f t="shared" si="6"/>
        <v>1.2550169232328154E-3</v>
      </c>
    </row>
    <row r="67" spans="2:15" x14ac:dyDescent="0.35">
      <c r="B67" s="100">
        <v>175</v>
      </c>
      <c r="C67" s="101" t="s">
        <v>231</v>
      </c>
      <c r="D67" s="98">
        <v>162886.64300204901</v>
      </c>
      <c r="E67" s="110">
        <f t="shared" si="1"/>
        <v>3.1153276295063556E-4</v>
      </c>
      <c r="F67" s="98">
        <v>144453.92417628699</v>
      </c>
      <c r="G67" s="110">
        <f t="shared" si="2"/>
        <v>2.8261349513759729E-4</v>
      </c>
      <c r="H67" s="98">
        <v>145200.78047391199</v>
      </c>
      <c r="I67" s="110">
        <f t="shared" si="3"/>
        <v>2.826134951375961E-4</v>
      </c>
      <c r="J67" s="98">
        <v>145199.72486818099</v>
      </c>
      <c r="K67" s="110">
        <f t="shared" si="4"/>
        <v>2.8261349513759702E-4</v>
      </c>
      <c r="L67" s="98">
        <v>145198.787619852</v>
      </c>
      <c r="M67" s="110">
        <f t="shared" si="5"/>
        <v>2.8261349513759631E-4</v>
      </c>
      <c r="N67" s="98">
        <v>145198.787619852</v>
      </c>
      <c r="O67" s="110">
        <f t="shared" si="6"/>
        <v>2.8261349513759631E-4</v>
      </c>
    </row>
    <row r="68" spans="2:15" x14ac:dyDescent="0.35">
      <c r="B68" s="100">
        <v>177</v>
      </c>
      <c r="C68" s="101" t="s">
        <v>249</v>
      </c>
      <c r="D68" s="98">
        <v>210914.57920485199</v>
      </c>
      <c r="E68" s="110">
        <f t="shared" si="1"/>
        <v>4.033897463614107E-4</v>
      </c>
      <c r="F68" s="98">
        <v>132424.72446688401</v>
      </c>
      <c r="G68" s="110">
        <f t="shared" si="2"/>
        <v>2.5907924923207406E-4</v>
      </c>
      <c r="H68" s="98">
        <v>133109.387344638</v>
      </c>
      <c r="I68" s="110">
        <f t="shared" si="3"/>
        <v>2.5907924923207357E-4</v>
      </c>
      <c r="J68" s="98">
        <v>133108.41964300699</v>
      </c>
      <c r="K68" s="110">
        <f t="shared" si="4"/>
        <v>2.5907924923207498E-4</v>
      </c>
      <c r="L68" s="98">
        <v>133107.56044273</v>
      </c>
      <c r="M68" s="110">
        <f t="shared" si="5"/>
        <v>2.5907924923207514E-4</v>
      </c>
      <c r="N68" s="98">
        <v>133107.56044273</v>
      </c>
      <c r="O68" s="110">
        <f t="shared" si="6"/>
        <v>2.5907924923207514E-4</v>
      </c>
    </row>
    <row r="69" spans="2:15" x14ac:dyDescent="0.35">
      <c r="B69" s="100">
        <v>180</v>
      </c>
      <c r="C69" s="101" t="s">
        <v>283</v>
      </c>
      <c r="D69" s="98">
        <v>48818.8722861918</v>
      </c>
      <c r="E69" s="110">
        <f t="shared" si="1"/>
        <v>9.336970722185136E-5</v>
      </c>
      <c r="F69" s="98">
        <v>57838.069256777897</v>
      </c>
      <c r="G69" s="110">
        <f t="shared" si="2"/>
        <v>1.1315593534669572E-4</v>
      </c>
      <c r="H69" s="98">
        <v>58137.103890231097</v>
      </c>
      <c r="I69" s="110">
        <f t="shared" si="3"/>
        <v>1.1315593534669574E-4</v>
      </c>
      <c r="J69" s="98">
        <v>58136.681235064403</v>
      </c>
      <c r="K69" s="110">
        <f t="shared" si="4"/>
        <v>1.1315593534669576E-4</v>
      </c>
      <c r="L69" s="98">
        <v>58136.305969151399</v>
      </c>
      <c r="M69" s="110">
        <f t="shared" si="5"/>
        <v>1.1315593534669576E-4</v>
      </c>
      <c r="N69" s="98">
        <v>58136.305969151399</v>
      </c>
      <c r="O69" s="110">
        <f t="shared" si="6"/>
        <v>1.1315593534669576E-4</v>
      </c>
    </row>
    <row r="70" spans="2:15" x14ac:dyDescent="0.35">
      <c r="B70" s="100">
        <v>183</v>
      </c>
      <c r="C70" s="101" t="s">
        <v>297</v>
      </c>
      <c r="D70" s="98">
        <v>70475.420846003995</v>
      </c>
      <c r="E70" s="110">
        <f t="shared" si="1"/>
        <v>1.3478945953836286E-4</v>
      </c>
      <c r="F70" s="98">
        <v>53429.983675820702</v>
      </c>
      <c r="G70" s="110">
        <f t="shared" si="2"/>
        <v>1.0453183960126174E-4</v>
      </c>
      <c r="H70" s="98">
        <v>53706.227606318702</v>
      </c>
      <c r="I70" s="110">
        <f t="shared" si="3"/>
        <v>1.045318396012617E-4</v>
      </c>
      <c r="J70" s="98">
        <v>53705.8371635023</v>
      </c>
      <c r="K70" s="110">
        <f t="shared" si="4"/>
        <v>1.0453183960126177E-4</v>
      </c>
      <c r="L70" s="98">
        <v>53705.4904982027</v>
      </c>
      <c r="M70" s="110">
        <f t="shared" si="5"/>
        <v>1.0453183960126172E-4</v>
      </c>
      <c r="N70" s="98">
        <v>53705.4904982027</v>
      </c>
      <c r="O70" s="110">
        <f t="shared" si="6"/>
        <v>1.0453183960126172E-4</v>
      </c>
    </row>
    <row r="71" spans="2:15" x14ac:dyDescent="0.35">
      <c r="B71" s="100">
        <v>184</v>
      </c>
      <c r="C71" s="101" t="s">
        <v>304</v>
      </c>
      <c r="D71" s="98">
        <v>72099.167872553793</v>
      </c>
      <c r="E71" s="110">
        <f t="shared" si="1"/>
        <v>1.3789499592975116E-4</v>
      </c>
      <c r="F71" s="98">
        <v>48561.336257508701</v>
      </c>
      <c r="G71" s="110">
        <f t="shared" si="2"/>
        <v>9.5006688440933036E-5</v>
      </c>
      <c r="H71" s="98">
        <v>48812.408286266997</v>
      </c>
      <c r="I71" s="110">
        <f t="shared" si="3"/>
        <v>9.5006688440933064E-5</v>
      </c>
      <c r="J71" s="98">
        <v>48812.053421384102</v>
      </c>
      <c r="K71" s="110">
        <f t="shared" si="4"/>
        <v>9.5006688440932996E-5</v>
      </c>
      <c r="L71" s="98">
        <v>48811.738344922902</v>
      </c>
      <c r="M71" s="110">
        <f t="shared" si="5"/>
        <v>9.5006688440933104E-5</v>
      </c>
      <c r="N71" s="98">
        <v>48811.738344922902</v>
      </c>
      <c r="O71" s="110">
        <f t="shared" si="6"/>
        <v>9.5006688440933104E-5</v>
      </c>
    </row>
    <row r="72" spans="2:15" x14ac:dyDescent="0.35">
      <c r="B72" s="100">
        <v>189</v>
      </c>
      <c r="C72" s="101" t="s">
        <v>343</v>
      </c>
      <c r="D72" s="98">
        <v>120302.566619598</v>
      </c>
      <c r="E72" s="110">
        <f t="shared" si="1"/>
        <v>2.3008756444556851E-4</v>
      </c>
      <c r="F72" s="98">
        <v>58298.631094132703</v>
      </c>
      <c r="G72" s="110">
        <f t="shared" si="2"/>
        <v>1.1405699076159044E-4</v>
      </c>
      <c r="H72" s="98">
        <v>58600.0469263704</v>
      </c>
      <c r="I72" s="110">
        <f t="shared" si="3"/>
        <v>1.1405699076159033E-4</v>
      </c>
      <c r="J72" s="98">
        <v>58599.620905620402</v>
      </c>
      <c r="K72" s="110">
        <f t="shared" si="4"/>
        <v>1.1405699076159036E-4</v>
      </c>
      <c r="L72" s="98">
        <v>58599.242651482498</v>
      </c>
      <c r="M72" s="110">
        <f t="shared" si="5"/>
        <v>1.1405699076159034E-4</v>
      </c>
      <c r="N72" s="98">
        <v>58599.242651482498</v>
      </c>
      <c r="O72" s="110">
        <f t="shared" si="6"/>
        <v>1.1405699076159034E-4</v>
      </c>
    </row>
    <row r="73" spans="2:15" x14ac:dyDescent="0.35">
      <c r="B73" s="100">
        <v>193</v>
      </c>
      <c r="C73" s="101" t="s">
        <v>365</v>
      </c>
      <c r="D73" s="98">
        <v>4106903.2520945701</v>
      </c>
      <c r="E73" s="110">
        <f t="shared" si="1"/>
        <v>7.8547564963928774E-3</v>
      </c>
      <c r="F73" s="98">
        <v>4101264.5992046702</v>
      </c>
      <c r="G73" s="110">
        <f t="shared" si="2"/>
        <v>8.0238230250556115E-3</v>
      </c>
      <c r="H73" s="98">
        <v>4122468.9750055401</v>
      </c>
      <c r="I73" s="110">
        <f t="shared" si="3"/>
        <v>8.0238230250556028E-3</v>
      </c>
      <c r="J73" s="98">
        <v>4122439.0047680298</v>
      </c>
      <c r="K73" s="110">
        <f t="shared" si="4"/>
        <v>8.023823025055608E-3</v>
      </c>
      <c r="L73" s="98">
        <v>4122412.3948755502</v>
      </c>
      <c r="M73" s="110">
        <f t="shared" si="5"/>
        <v>8.0238230250556115E-3</v>
      </c>
      <c r="N73" s="98">
        <v>4122412.3948755502</v>
      </c>
      <c r="O73" s="110">
        <f t="shared" si="6"/>
        <v>8.0238230250556115E-3</v>
      </c>
    </row>
    <row r="74" spans="2:15" x14ac:dyDescent="0.35">
      <c r="B74" s="100">
        <v>196</v>
      </c>
      <c r="C74" s="101" t="s">
        <v>987</v>
      </c>
      <c r="D74" s="98">
        <v>274744.03497777501</v>
      </c>
      <c r="E74" s="110">
        <f t="shared" si="1"/>
        <v>5.2546830570850188E-4</v>
      </c>
      <c r="F74" s="98">
        <v>290185.18510073202</v>
      </c>
      <c r="G74" s="110">
        <f t="shared" si="2"/>
        <v>5.6772600582581472E-4</v>
      </c>
      <c r="H74" s="98">
        <v>291685.50178791099</v>
      </c>
      <c r="I74" s="110">
        <f t="shared" si="3"/>
        <v>5.6772600582581515E-4</v>
      </c>
      <c r="J74" s="98">
        <v>291683.38124223298</v>
      </c>
      <c r="K74" s="110">
        <f t="shared" si="4"/>
        <v>5.6772600582581504E-4</v>
      </c>
      <c r="L74" s="98">
        <v>291681.49845793803</v>
      </c>
      <c r="M74" s="110">
        <f t="shared" si="5"/>
        <v>5.6772600582581439E-4</v>
      </c>
      <c r="N74" s="98">
        <v>291681.49845793803</v>
      </c>
      <c r="O74" s="110">
        <f t="shared" si="6"/>
        <v>5.6772600582581439E-4</v>
      </c>
    </row>
    <row r="75" spans="2:15" x14ac:dyDescent="0.35">
      <c r="B75" s="100">
        <v>197</v>
      </c>
      <c r="C75" s="101" t="s">
        <v>13</v>
      </c>
      <c r="D75" s="98">
        <v>262892.782588328</v>
      </c>
      <c r="E75" s="110">
        <f t="shared" ref="E75:E138" si="7">+D75/D$10</f>
        <v>5.0280190818649453E-4</v>
      </c>
      <c r="F75" s="98">
        <v>219765.37596434201</v>
      </c>
      <c r="G75" s="110">
        <f t="shared" ref="G75:G138" si="8">+F75/F$10</f>
        <v>4.2995482030460709E-4</v>
      </c>
      <c r="H75" s="98">
        <v>220901.607852641</v>
      </c>
      <c r="I75" s="110">
        <f t="shared" ref="I75:I138" si="9">+H75/H$10</f>
        <v>4.2995482030460698E-4</v>
      </c>
      <c r="J75" s="98">
        <v>220900.00190395</v>
      </c>
      <c r="K75" s="110">
        <f t="shared" ref="K75:K138" si="10">+J75/J$10</f>
        <v>4.2995482030460709E-4</v>
      </c>
      <c r="L75" s="98">
        <v>220898.57601861999</v>
      </c>
      <c r="M75" s="110">
        <f t="shared" ref="M75:M138" si="11">+L75/L$10</f>
        <v>4.2995482030460671E-4</v>
      </c>
      <c r="N75" s="98">
        <v>220898.57601861999</v>
      </c>
      <c r="O75" s="110">
        <f t="shared" ref="O75:O138" si="12">+N75/N$10</f>
        <v>4.2995482030460671E-4</v>
      </c>
    </row>
    <row r="76" spans="2:15" x14ac:dyDescent="0.35">
      <c r="B76" s="100">
        <v>200</v>
      </c>
      <c r="C76" s="101" t="s">
        <v>27</v>
      </c>
      <c r="D76" s="98">
        <v>4131840.2646216098</v>
      </c>
      <c r="E76" s="110">
        <f t="shared" si="7"/>
        <v>7.9024503788936388E-3</v>
      </c>
      <c r="F76" s="98">
        <v>3977805.0552170798</v>
      </c>
      <c r="G76" s="110">
        <f t="shared" si="8"/>
        <v>7.7822834931018338E-3</v>
      </c>
      <c r="H76" s="98">
        <v>3998371.1199547201</v>
      </c>
      <c r="I76" s="110">
        <f t="shared" si="9"/>
        <v>7.7822834931018312E-3</v>
      </c>
      <c r="J76" s="98">
        <v>3998342.0519052399</v>
      </c>
      <c r="K76" s="110">
        <f t="shared" si="10"/>
        <v>7.7822834931018233E-3</v>
      </c>
      <c r="L76" s="98">
        <v>3998316.2430450101</v>
      </c>
      <c r="M76" s="110">
        <f t="shared" si="11"/>
        <v>7.7822834931018364E-3</v>
      </c>
      <c r="N76" s="98">
        <v>3998316.2430450101</v>
      </c>
      <c r="O76" s="110">
        <f t="shared" si="12"/>
        <v>7.7822834931018364E-3</v>
      </c>
    </row>
    <row r="77" spans="2:15" x14ac:dyDescent="0.35">
      <c r="B77" s="100">
        <v>202</v>
      </c>
      <c r="C77" s="101" t="s">
        <v>29</v>
      </c>
      <c r="D77" s="98">
        <v>10540545.644375401</v>
      </c>
      <c r="E77" s="110">
        <f t="shared" si="7"/>
        <v>2.0159573842762839E-2</v>
      </c>
      <c r="F77" s="98">
        <v>10999739.628174201</v>
      </c>
      <c r="G77" s="110">
        <f t="shared" si="8"/>
        <v>2.1520182851717602E-2</v>
      </c>
      <c r="H77" s="98">
        <v>11056610.529123301</v>
      </c>
      <c r="I77" s="110">
        <f t="shared" si="9"/>
        <v>2.1520182851717525E-2</v>
      </c>
      <c r="J77" s="98">
        <v>11056530.147864999</v>
      </c>
      <c r="K77" s="110">
        <f t="shared" si="10"/>
        <v>2.1520182851717584E-2</v>
      </c>
      <c r="L77" s="98">
        <v>11056458.7791733</v>
      </c>
      <c r="M77" s="110">
        <f t="shared" si="11"/>
        <v>2.1520182851717619E-2</v>
      </c>
      <c r="N77" s="98">
        <v>11056458.7791733</v>
      </c>
      <c r="O77" s="110">
        <f t="shared" si="12"/>
        <v>2.1520182851717619E-2</v>
      </c>
    </row>
    <row r="78" spans="2:15" x14ac:dyDescent="0.35">
      <c r="B78" s="100">
        <v>203</v>
      </c>
      <c r="C78" s="101" t="s">
        <v>35</v>
      </c>
      <c r="D78" s="98">
        <v>235055.95958158799</v>
      </c>
      <c r="E78" s="110">
        <f t="shared" si="7"/>
        <v>4.4956192347548018E-4</v>
      </c>
      <c r="F78" s="98">
        <v>135547.83679801601</v>
      </c>
      <c r="G78" s="110">
        <f t="shared" si="8"/>
        <v>2.6518938917213835E-4</v>
      </c>
      <c r="H78" s="98">
        <v>136248.64680452499</v>
      </c>
      <c r="I78" s="110">
        <f t="shared" si="9"/>
        <v>2.651893891721397E-4</v>
      </c>
      <c r="J78" s="98">
        <v>136247.65628056199</v>
      </c>
      <c r="K78" s="110">
        <f t="shared" si="10"/>
        <v>2.6518938917213927E-4</v>
      </c>
      <c r="L78" s="98">
        <v>136246.776816856</v>
      </c>
      <c r="M78" s="110">
        <f t="shared" si="11"/>
        <v>2.6518938917213911E-4</v>
      </c>
      <c r="N78" s="98">
        <v>136246.776816856</v>
      </c>
      <c r="O78" s="110">
        <f t="shared" si="12"/>
        <v>2.6518938917213911E-4</v>
      </c>
    </row>
    <row r="79" spans="2:15" x14ac:dyDescent="0.35">
      <c r="B79" s="100">
        <v>209</v>
      </c>
      <c r="C79" s="101" t="s">
        <v>48</v>
      </c>
      <c r="D79" s="98">
        <v>364939.220819977</v>
      </c>
      <c r="E79" s="110">
        <f t="shared" si="7"/>
        <v>6.9797327562131273E-4</v>
      </c>
      <c r="F79" s="98">
        <v>310689.478668319</v>
      </c>
      <c r="G79" s="110">
        <f t="shared" si="8"/>
        <v>6.0784115052338165E-4</v>
      </c>
      <c r="H79" s="98">
        <v>312295.80674194201</v>
      </c>
      <c r="I79" s="110">
        <f t="shared" si="9"/>
        <v>6.0784115052338057E-4</v>
      </c>
      <c r="J79" s="98">
        <v>312293.53635990701</v>
      </c>
      <c r="K79" s="110">
        <f t="shared" si="10"/>
        <v>6.0784115052338133E-4</v>
      </c>
      <c r="L79" s="98">
        <v>312291.52053931699</v>
      </c>
      <c r="M79" s="110">
        <f t="shared" si="11"/>
        <v>6.0784115052338057E-4</v>
      </c>
      <c r="N79" s="98">
        <v>312291.52053931699</v>
      </c>
      <c r="O79" s="110">
        <f t="shared" si="12"/>
        <v>6.0784115052338057E-4</v>
      </c>
    </row>
    <row r="80" spans="2:15" x14ac:dyDescent="0.35">
      <c r="B80" s="100">
        <v>213</v>
      </c>
      <c r="C80" s="101" t="s">
        <v>63</v>
      </c>
      <c r="D80" s="98">
        <v>292927.22784820502</v>
      </c>
      <c r="E80" s="110">
        <f t="shared" si="7"/>
        <v>5.6024500814271004E-4</v>
      </c>
      <c r="F80" s="98">
        <v>286539.39277040702</v>
      </c>
      <c r="G80" s="110">
        <f t="shared" si="8"/>
        <v>5.605932808486684E-4</v>
      </c>
      <c r="H80" s="98">
        <v>288020.85996646102</v>
      </c>
      <c r="I80" s="110">
        <f t="shared" si="9"/>
        <v>5.6059328084866905E-4</v>
      </c>
      <c r="J80" s="98">
        <v>288018.766062629</v>
      </c>
      <c r="K80" s="110">
        <f t="shared" si="10"/>
        <v>5.6059328084866785E-4</v>
      </c>
      <c r="L80" s="98">
        <v>288016.90693302499</v>
      </c>
      <c r="M80" s="110">
        <f t="shared" si="11"/>
        <v>5.6059328084866937E-4</v>
      </c>
      <c r="N80" s="98">
        <v>288016.90693302499</v>
      </c>
      <c r="O80" s="110">
        <f t="shared" si="12"/>
        <v>5.6059328084866937E-4</v>
      </c>
    </row>
    <row r="81" spans="2:15" x14ac:dyDescent="0.35">
      <c r="B81" s="100">
        <v>214</v>
      </c>
      <c r="C81" s="101" t="s">
        <v>67</v>
      </c>
      <c r="D81" s="98">
        <v>94840.448680654707</v>
      </c>
      <c r="E81" s="110">
        <f t="shared" si="7"/>
        <v>1.8138937897191882E-4</v>
      </c>
      <c r="F81" s="98">
        <v>66526.449703071194</v>
      </c>
      <c r="G81" s="110">
        <f t="shared" si="8"/>
        <v>1.3015411368635474E-4</v>
      </c>
      <c r="H81" s="98">
        <v>66870.405038329307</v>
      </c>
      <c r="I81" s="110">
        <f t="shared" si="9"/>
        <v>1.3015411368635463E-4</v>
      </c>
      <c r="J81" s="98">
        <v>66869.918892300397</v>
      </c>
      <c r="K81" s="110">
        <f t="shared" si="10"/>
        <v>1.3015411368635466E-4</v>
      </c>
      <c r="L81" s="98">
        <v>66869.487254294407</v>
      </c>
      <c r="M81" s="110">
        <f t="shared" si="11"/>
        <v>1.3015411368635474E-4</v>
      </c>
      <c r="N81" s="98">
        <v>66869.487254294407</v>
      </c>
      <c r="O81" s="110">
        <f t="shared" si="12"/>
        <v>1.3015411368635474E-4</v>
      </c>
    </row>
    <row r="82" spans="2:15" x14ac:dyDescent="0.35">
      <c r="B82" s="100">
        <v>216</v>
      </c>
      <c r="C82" s="101" t="s">
        <v>73</v>
      </c>
      <c r="D82" s="98">
        <v>664585.85199247301</v>
      </c>
      <c r="E82" s="110">
        <f t="shared" si="7"/>
        <v>1.2710696400472371E-3</v>
      </c>
      <c r="F82" s="98">
        <v>656206.77232871996</v>
      </c>
      <c r="G82" s="110">
        <f t="shared" si="8"/>
        <v>1.2838203636092315E-3</v>
      </c>
      <c r="H82" s="98">
        <v>659599.49539424304</v>
      </c>
      <c r="I82" s="110">
        <f t="shared" si="9"/>
        <v>1.2838203636092306E-3</v>
      </c>
      <c r="J82" s="98">
        <v>659594.70012382104</v>
      </c>
      <c r="K82" s="110">
        <f t="shared" si="10"/>
        <v>1.2838203636092299E-3</v>
      </c>
      <c r="L82" s="98">
        <v>659590.44251224003</v>
      </c>
      <c r="M82" s="110">
        <f t="shared" si="11"/>
        <v>1.2838203636092315E-3</v>
      </c>
      <c r="N82" s="98">
        <v>659590.44251224003</v>
      </c>
      <c r="O82" s="110">
        <f t="shared" si="12"/>
        <v>1.2838203636092315E-3</v>
      </c>
    </row>
    <row r="83" spans="2:15" x14ac:dyDescent="0.35">
      <c r="B83" s="100">
        <v>221</v>
      </c>
      <c r="C83" s="101" t="s">
        <v>87</v>
      </c>
      <c r="D83" s="98">
        <v>468139.16195050802</v>
      </c>
      <c r="E83" s="110">
        <f t="shared" si="7"/>
        <v>8.9535080274201614E-4</v>
      </c>
      <c r="F83" s="98">
        <v>455322.10972905997</v>
      </c>
      <c r="G83" s="110">
        <f t="shared" si="8"/>
        <v>8.9080427255764294E-4</v>
      </c>
      <c r="H83" s="98">
        <v>457676.218051409</v>
      </c>
      <c r="I83" s="110">
        <f t="shared" si="9"/>
        <v>8.9080427255764348E-4</v>
      </c>
      <c r="J83" s="98">
        <v>457672.89075773099</v>
      </c>
      <c r="K83" s="110">
        <f t="shared" si="10"/>
        <v>8.908042725576437E-4</v>
      </c>
      <c r="L83" s="98">
        <v>457669.93652932398</v>
      </c>
      <c r="M83" s="110">
        <f t="shared" si="11"/>
        <v>8.9080427255764413E-4</v>
      </c>
      <c r="N83" s="98">
        <v>457669.93652932398</v>
      </c>
      <c r="O83" s="110">
        <f t="shared" si="12"/>
        <v>8.9080427255764413E-4</v>
      </c>
    </row>
    <row r="84" spans="2:15" x14ac:dyDescent="0.35">
      <c r="B84" s="100">
        <v>222</v>
      </c>
      <c r="C84" s="101" t="s">
        <v>88</v>
      </c>
      <c r="D84" s="98">
        <v>1427664.8674237099</v>
      </c>
      <c r="E84" s="110">
        <f t="shared" si="7"/>
        <v>2.7305147464452705E-3</v>
      </c>
      <c r="F84" s="98">
        <v>1371794.76306037</v>
      </c>
      <c r="G84" s="110">
        <f t="shared" si="8"/>
        <v>2.6838157205533687E-3</v>
      </c>
      <c r="H84" s="98">
        <v>1378887.2222211901</v>
      </c>
      <c r="I84" s="110">
        <f t="shared" si="9"/>
        <v>2.6838157205533557E-3</v>
      </c>
      <c r="J84" s="98">
        <v>1378877.19774853</v>
      </c>
      <c r="K84" s="110">
        <f t="shared" si="10"/>
        <v>2.6838157205533652E-3</v>
      </c>
      <c r="L84" s="98">
        <v>1378868.29724717</v>
      </c>
      <c r="M84" s="110">
        <f t="shared" si="11"/>
        <v>2.68381572055337E-3</v>
      </c>
      <c r="N84" s="98">
        <v>1378868.29724717</v>
      </c>
      <c r="O84" s="110">
        <f t="shared" si="12"/>
        <v>2.68381572055337E-3</v>
      </c>
    </row>
    <row r="85" spans="2:15" x14ac:dyDescent="0.35">
      <c r="B85" s="100">
        <v>225</v>
      </c>
      <c r="C85" s="101" t="s">
        <v>94</v>
      </c>
      <c r="D85" s="98">
        <v>236377.47957230301</v>
      </c>
      <c r="E85" s="110">
        <f t="shared" si="7"/>
        <v>4.520894282875032E-4</v>
      </c>
      <c r="F85" s="98">
        <v>228419.25187336601</v>
      </c>
      <c r="G85" s="110">
        <f t="shared" si="8"/>
        <v>4.4688549305082944E-4</v>
      </c>
      <c r="H85" s="98">
        <v>229600.22606796399</v>
      </c>
      <c r="I85" s="110">
        <f t="shared" si="9"/>
        <v>4.4688549305083015E-4</v>
      </c>
      <c r="J85" s="98">
        <v>229598.55688055401</v>
      </c>
      <c r="K85" s="110">
        <f t="shared" si="10"/>
        <v>4.4688549305082874E-4</v>
      </c>
      <c r="L85" s="98">
        <v>229597.07484700499</v>
      </c>
      <c r="M85" s="110">
        <f t="shared" si="11"/>
        <v>4.4688549305083053E-4</v>
      </c>
      <c r="N85" s="98">
        <v>229597.07484700499</v>
      </c>
      <c r="O85" s="110">
        <f t="shared" si="12"/>
        <v>4.4688549305083053E-4</v>
      </c>
    </row>
    <row r="86" spans="2:15" x14ac:dyDescent="0.35">
      <c r="B86" s="100">
        <v>226</v>
      </c>
      <c r="C86" s="101" t="s">
        <v>95</v>
      </c>
      <c r="D86" s="98">
        <v>387935.53790169099</v>
      </c>
      <c r="E86" s="110">
        <f t="shared" si="7"/>
        <v>7.4195543441664836E-4</v>
      </c>
      <c r="F86" s="98">
        <v>374816.115520144</v>
      </c>
      <c r="G86" s="110">
        <f t="shared" si="8"/>
        <v>7.3330020658887772E-4</v>
      </c>
      <c r="H86" s="98">
        <v>376753.99140634103</v>
      </c>
      <c r="I86" s="110">
        <f t="shared" si="9"/>
        <v>7.3330020658887729E-4</v>
      </c>
      <c r="J86" s="98">
        <v>376751.25241505401</v>
      </c>
      <c r="K86" s="110">
        <f t="shared" si="10"/>
        <v>7.3330020658887859E-4</v>
      </c>
      <c r="L86" s="98">
        <v>376748.82052696298</v>
      </c>
      <c r="M86" s="110">
        <f t="shared" si="11"/>
        <v>7.333002065888774E-4</v>
      </c>
      <c r="N86" s="98">
        <v>376748.82052696298</v>
      </c>
      <c r="O86" s="110">
        <f t="shared" si="12"/>
        <v>7.333002065888774E-4</v>
      </c>
    </row>
    <row r="87" spans="2:15" x14ac:dyDescent="0.35">
      <c r="B87" s="100">
        <v>228</v>
      </c>
      <c r="C87" s="101" t="s">
        <v>98</v>
      </c>
      <c r="D87" s="98">
        <v>1510933.6578815801</v>
      </c>
      <c r="E87" s="110">
        <f t="shared" si="7"/>
        <v>2.8897724724367838E-3</v>
      </c>
      <c r="F87" s="98">
        <v>1456676.24358039</v>
      </c>
      <c r="G87" s="110">
        <f t="shared" si="8"/>
        <v>2.8498801041899236E-3</v>
      </c>
      <c r="H87" s="98">
        <v>1464207.5573354401</v>
      </c>
      <c r="I87" s="110">
        <f t="shared" si="9"/>
        <v>2.8498801041899262E-3</v>
      </c>
      <c r="J87" s="98">
        <v>1464196.9125862501</v>
      </c>
      <c r="K87" s="110">
        <f t="shared" si="10"/>
        <v>2.8498801041899158E-3</v>
      </c>
      <c r="L87" s="98">
        <v>1464187.4613554699</v>
      </c>
      <c r="M87" s="110">
        <f t="shared" si="11"/>
        <v>2.8498801041899184E-3</v>
      </c>
      <c r="N87" s="98">
        <v>1464187.4613554699</v>
      </c>
      <c r="O87" s="110">
        <f t="shared" si="12"/>
        <v>2.8498801041899184E-3</v>
      </c>
    </row>
    <row r="88" spans="2:15" x14ac:dyDescent="0.35">
      <c r="B88" s="100">
        <v>230</v>
      </c>
      <c r="C88" s="101" t="s">
        <v>103</v>
      </c>
      <c r="D88" s="98">
        <v>118541.34891733</v>
      </c>
      <c r="E88" s="110">
        <f t="shared" si="7"/>
        <v>2.2671910521015893E-4</v>
      </c>
      <c r="F88" s="98">
        <v>91225.931894912705</v>
      </c>
      <c r="G88" s="110">
        <f t="shared" si="8"/>
        <v>1.78476836866976E-4</v>
      </c>
      <c r="H88" s="98">
        <v>91697.588598813207</v>
      </c>
      <c r="I88" s="110">
        <f t="shared" si="9"/>
        <v>1.78476836866976E-4</v>
      </c>
      <c r="J88" s="98">
        <v>91696.921959833897</v>
      </c>
      <c r="K88" s="110">
        <f t="shared" si="10"/>
        <v>1.7847683686697595E-4</v>
      </c>
      <c r="L88" s="98">
        <v>91696.330066240902</v>
      </c>
      <c r="M88" s="110">
        <f t="shared" si="11"/>
        <v>1.7847683686697587E-4</v>
      </c>
      <c r="N88" s="98">
        <v>91696.330066240902</v>
      </c>
      <c r="O88" s="110">
        <f t="shared" si="12"/>
        <v>1.7847683686697587E-4</v>
      </c>
    </row>
    <row r="89" spans="2:15" x14ac:dyDescent="0.35">
      <c r="B89" s="100">
        <v>232</v>
      </c>
      <c r="C89" s="101" t="s">
        <v>107</v>
      </c>
      <c r="D89" s="98">
        <v>433915.771863056</v>
      </c>
      <c r="E89" s="110">
        <f t="shared" si="7"/>
        <v>8.2989603570290916E-4</v>
      </c>
      <c r="F89" s="98">
        <v>381363.22811191197</v>
      </c>
      <c r="G89" s="110">
        <f t="shared" si="8"/>
        <v>7.4610915160833505E-4</v>
      </c>
      <c r="H89" s="98">
        <v>383334.95390768</v>
      </c>
      <c r="I89" s="110">
        <f t="shared" si="9"/>
        <v>7.4610915160833625E-4</v>
      </c>
      <c r="J89" s="98">
        <v>383332.16707297298</v>
      </c>
      <c r="K89" s="110">
        <f t="shared" si="10"/>
        <v>7.4610915160833494E-4</v>
      </c>
      <c r="L89" s="98">
        <v>383329.69270579901</v>
      </c>
      <c r="M89" s="110">
        <f t="shared" si="11"/>
        <v>7.4610915160833527E-4</v>
      </c>
      <c r="N89" s="98">
        <v>383329.69270579901</v>
      </c>
      <c r="O89" s="110">
        <f t="shared" si="12"/>
        <v>7.4610915160833527E-4</v>
      </c>
    </row>
    <row r="90" spans="2:15" x14ac:dyDescent="0.35">
      <c r="B90" s="100">
        <v>233</v>
      </c>
      <c r="C90" s="101" t="s">
        <v>108</v>
      </c>
      <c r="D90" s="98">
        <v>195504.30074776799</v>
      </c>
      <c r="E90" s="110">
        <f t="shared" si="7"/>
        <v>3.7391644801666155E-4</v>
      </c>
      <c r="F90" s="98">
        <v>203167.89589237099</v>
      </c>
      <c r="G90" s="110">
        <f t="shared" si="8"/>
        <v>3.9748306932682126E-4</v>
      </c>
      <c r="H90" s="98">
        <v>204218.31541809699</v>
      </c>
      <c r="I90" s="110">
        <f t="shared" si="9"/>
        <v>3.9748306932682061E-4</v>
      </c>
      <c r="J90" s="98">
        <v>204216.83075648901</v>
      </c>
      <c r="K90" s="110">
        <f t="shared" si="10"/>
        <v>3.9748306932682072E-4</v>
      </c>
      <c r="L90" s="98">
        <v>204215.51255920299</v>
      </c>
      <c r="M90" s="110">
        <f t="shared" si="11"/>
        <v>3.9748306932682148E-4</v>
      </c>
      <c r="N90" s="98">
        <v>204215.51255920299</v>
      </c>
      <c r="O90" s="110">
        <f t="shared" si="12"/>
        <v>3.9748306932682148E-4</v>
      </c>
    </row>
    <row r="91" spans="2:15" x14ac:dyDescent="0.35">
      <c r="B91" s="100">
        <v>236</v>
      </c>
      <c r="C91" s="101" t="s">
        <v>807</v>
      </c>
      <c r="D91" s="98">
        <v>102398.379875421</v>
      </c>
      <c r="E91" s="110">
        <f t="shared" si="7"/>
        <v>1.9584448188214777E-4</v>
      </c>
      <c r="F91" s="98">
        <v>65576.1835804609</v>
      </c>
      <c r="G91" s="110">
        <f t="shared" si="8"/>
        <v>1.2829498779723034E-4</v>
      </c>
      <c r="H91" s="98">
        <v>65915.225845740904</v>
      </c>
      <c r="I91" s="110">
        <f t="shared" si="9"/>
        <v>1.2829498779723026E-4</v>
      </c>
      <c r="J91" s="98">
        <v>65914.746643838793</v>
      </c>
      <c r="K91" s="110">
        <f t="shared" si="10"/>
        <v>1.2829498779723028E-4</v>
      </c>
      <c r="L91" s="98">
        <v>65914.321171365096</v>
      </c>
      <c r="M91" s="110">
        <f t="shared" si="11"/>
        <v>1.2829498779723034E-4</v>
      </c>
      <c r="N91" s="98">
        <v>65914.321171365096</v>
      </c>
      <c r="O91" s="110">
        <f t="shared" si="12"/>
        <v>1.2829498779723034E-4</v>
      </c>
    </row>
    <row r="92" spans="2:15" x14ac:dyDescent="0.35">
      <c r="B92" s="100">
        <v>243</v>
      </c>
      <c r="C92" s="101" t="s">
        <v>130</v>
      </c>
      <c r="D92" s="98">
        <v>822428.20148405503</v>
      </c>
      <c r="E92" s="110">
        <f t="shared" si="7"/>
        <v>1.5729548182390047E-3</v>
      </c>
      <c r="F92" s="98">
        <v>791471.37966252596</v>
      </c>
      <c r="G92" s="110">
        <f t="shared" si="8"/>
        <v>1.5484556351326956E-3</v>
      </c>
      <c r="H92" s="98">
        <v>795563.44838036795</v>
      </c>
      <c r="I92" s="110">
        <f t="shared" si="9"/>
        <v>1.5484556351326943E-3</v>
      </c>
      <c r="J92" s="98">
        <v>795557.66465569998</v>
      </c>
      <c r="K92" s="110">
        <f t="shared" si="10"/>
        <v>1.5484556351326947E-3</v>
      </c>
      <c r="L92" s="98">
        <v>795552.52941806696</v>
      </c>
      <c r="M92" s="110">
        <f t="shared" si="11"/>
        <v>1.5484556351326958E-3</v>
      </c>
      <c r="N92" s="98">
        <v>795552.52941806696</v>
      </c>
      <c r="O92" s="110">
        <f t="shared" si="12"/>
        <v>1.5484556351326958E-3</v>
      </c>
    </row>
    <row r="93" spans="2:15" x14ac:dyDescent="0.35">
      <c r="B93" s="100">
        <v>244</v>
      </c>
      <c r="C93" s="101" t="s">
        <v>133</v>
      </c>
      <c r="D93" s="98">
        <v>78217.603048260193</v>
      </c>
      <c r="E93" s="110">
        <f t="shared" si="7"/>
        <v>1.4959695614019146E-4</v>
      </c>
      <c r="F93" s="98">
        <v>47612.335785232899</v>
      </c>
      <c r="G93" s="110">
        <f t="shared" si="8"/>
        <v>9.3150038703749082E-5</v>
      </c>
      <c r="H93" s="98">
        <v>47858.501287683903</v>
      </c>
      <c r="I93" s="110">
        <f t="shared" si="9"/>
        <v>9.3150038703749191E-5</v>
      </c>
      <c r="J93" s="98">
        <v>47858.153357679003</v>
      </c>
      <c r="K93" s="110">
        <f t="shared" si="10"/>
        <v>9.315003870374915E-5</v>
      </c>
      <c r="L93" s="98">
        <v>47857.844438538203</v>
      </c>
      <c r="M93" s="110">
        <f t="shared" si="11"/>
        <v>9.3150038703749096E-5</v>
      </c>
      <c r="N93" s="98">
        <v>47857.844438538203</v>
      </c>
      <c r="O93" s="110">
        <f t="shared" si="12"/>
        <v>9.3150038703749096E-5</v>
      </c>
    </row>
    <row r="94" spans="2:15" x14ac:dyDescent="0.35">
      <c r="B94" s="100">
        <v>246</v>
      </c>
      <c r="C94" s="101" t="s">
        <v>136</v>
      </c>
      <c r="D94" s="98">
        <v>68198.584290022394</v>
      </c>
      <c r="E94" s="110">
        <f t="shared" si="7"/>
        <v>1.3043484107487697E-4</v>
      </c>
      <c r="F94" s="98">
        <v>44517.817036195796</v>
      </c>
      <c r="G94" s="110">
        <f t="shared" si="8"/>
        <v>8.709584000737497E-5</v>
      </c>
      <c r="H94" s="98">
        <v>44747.983244553303</v>
      </c>
      <c r="I94" s="110">
        <f t="shared" si="9"/>
        <v>8.7095840007374848E-5</v>
      </c>
      <c r="J94" s="98">
        <v>44747.657927930202</v>
      </c>
      <c r="K94" s="110">
        <f t="shared" si="10"/>
        <v>8.709584000737497E-5</v>
      </c>
      <c r="L94" s="98">
        <v>44747.369086696897</v>
      </c>
      <c r="M94" s="110">
        <f t="shared" si="11"/>
        <v>8.7095840007374943E-5</v>
      </c>
      <c r="N94" s="98">
        <v>44747.369086696897</v>
      </c>
      <c r="O94" s="110">
        <f t="shared" si="12"/>
        <v>8.7095840007374943E-5</v>
      </c>
    </row>
    <row r="95" spans="2:15" x14ac:dyDescent="0.35">
      <c r="B95" s="100">
        <v>252</v>
      </c>
      <c r="C95" s="101" t="s">
        <v>148</v>
      </c>
      <c r="D95" s="98">
        <v>175839.03253748099</v>
      </c>
      <c r="E95" s="110">
        <f t="shared" si="7"/>
        <v>3.3630516677956868E-4</v>
      </c>
      <c r="F95" s="98">
        <v>129060.738983239</v>
      </c>
      <c r="G95" s="110">
        <f t="shared" si="8"/>
        <v>2.5249785865687002E-4</v>
      </c>
      <c r="H95" s="98">
        <v>129728.009368834</v>
      </c>
      <c r="I95" s="110">
        <f t="shared" si="9"/>
        <v>2.5249785865686964E-4</v>
      </c>
      <c r="J95" s="98">
        <v>129727.066249729</v>
      </c>
      <c r="K95" s="110">
        <f t="shared" si="10"/>
        <v>2.5249785865687094E-4</v>
      </c>
      <c r="L95" s="98">
        <v>129726.22887571801</v>
      </c>
      <c r="M95" s="110">
        <f t="shared" si="11"/>
        <v>2.5249785865687116E-4</v>
      </c>
      <c r="N95" s="98">
        <v>129726.22887571801</v>
      </c>
      <c r="O95" s="110">
        <f t="shared" si="12"/>
        <v>2.5249785865687116E-4</v>
      </c>
    </row>
    <row r="96" spans="2:15" x14ac:dyDescent="0.35">
      <c r="B96" s="100">
        <v>262</v>
      </c>
      <c r="C96" s="101" t="s">
        <v>187</v>
      </c>
      <c r="D96" s="98">
        <v>343132.84311106498</v>
      </c>
      <c r="E96" s="110">
        <f t="shared" si="7"/>
        <v>6.5626696396556175E-4</v>
      </c>
      <c r="F96" s="98">
        <v>378233.56502928399</v>
      </c>
      <c r="G96" s="110">
        <f t="shared" si="8"/>
        <v>7.3998619560400249E-4</v>
      </c>
      <c r="H96" s="98">
        <v>380189.109827573</v>
      </c>
      <c r="I96" s="110">
        <f t="shared" si="9"/>
        <v>7.3998619560400065E-4</v>
      </c>
      <c r="J96" s="98">
        <v>380186.34586306801</v>
      </c>
      <c r="K96" s="110">
        <f t="shared" si="10"/>
        <v>7.399861956040013E-4</v>
      </c>
      <c r="L96" s="98">
        <v>380183.89180182602</v>
      </c>
      <c r="M96" s="110">
        <f t="shared" si="11"/>
        <v>7.3998619560400249E-4</v>
      </c>
      <c r="N96" s="98">
        <v>380183.89180182602</v>
      </c>
      <c r="O96" s="110">
        <f t="shared" si="12"/>
        <v>7.3998619560400249E-4</v>
      </c>
    </row>
    <row r="97" spans="2:15" x14ac:dyDescent="0.35">
      <c r="B97" s="100">
        <v>263</v>
      </c>
      <c r="C97" s="101" t="s">
        <v>192</v>
      </c>
      <c r="D97" s="98">
        <v>91984.909285571499</v>
      </c>
      <c r="E97" s="110">
        <f t="shared" si="7"/>
        <v>1.7592794848830657E-4</v>
      </c>
      <c r="F97" s="98">
        <v>61485.7376370438</v>
      </c>
      <c r="G97" s="110">
        <f t="shared" si="8"/>
        <v>1.2029233067778961E-4</v>
      </c>
      <c r="H97" s="98">
        <v>61803.631461183402</v>
      </c>
      <c r="I97" s="110">
        <f t="shared" si="9"/>
        <v>1.2029233067778946E-4</v>
      </c>
      <c r="J97" s="98">
        <v>61803.182150460801</v>
      </c>
      <c r="K97" s="110">
        <f t="shared" si="10"/>
        <v>1.2029233067778945E-4</v>
      </c>
      <c r="L97" s="98">
        <v>61802.783217685799</v>
      </c>
      <c r="M97" s="110">
        <f t="shared" si="11"/>
        <v>1.2029233067778951E-4</v>
      </c>
      <c r="N97" s="98">
        <v>61802.783217685799</v>
      </c>
      <c r="O97" s="110">
        <f t="shared" si="12"/>
        <v>1.2029233067778951E-4</v>
      </c>
    </row>
    <row r="98" spans="2:15" x14ac:dyDescent="0.35">
      <c r="B98" s="100">
        <v>267</v>
      </c>
      <c r="C98" s="101" t="s">
        <v>214</v>
      </c>
      <c r="D98" s="98">
        <v>138723.05575331199</v>
      </c>
      <c r="E98" s="110">
        <f t="shared" si="7"/>
        <v>2.6531811354992869E-4</v>
      </c>
      <c r="F98" s="98">
        <v>101361.719745098</v>
      </c>
      <c r="G98" s="110">
        <f t="shared" si="8"/>
        <v>1.983067615066023E-4</v>
      </c>
      <c r="H98" s="98">
        <v>101885.780542764</v>
      </c>
      <c r="I98" s="110">
        <f t="shared" si="9"/>
        <v>1.9830676150660255E-4</v>
      </c>
      <c r="J98" s="98">
        <v>101885.03983590601</v>
      </c>
      <c r="K98" s="110">
        <f t="shared" si="10"/>
        <v>1.9830676150660274E-4</v>
      </c>
      <c r="L98" s="98">
        <v>101884.382179127</v>
      </c>
      <c r="M98" s="110">
        <f t="shared" si="11"/>
        <v>1.9830676150660179E-4</v>
      </c>
      <c r="N98" s="98">
        <v>101884.382179127</v>
      </c>
      <c r="O98" s="110">
        <f t="shared" si="12"/>
        <v>1.9830676150660179E-4</v>
      </c>
    </row>
    <row r="99" spans="2:15" x14ac:dyDescent="0.35">
      <c r="B99" s="100">
        <v>268</v>
      </c>
      <c r="C99" s="101" t="s">
        <v>215</v>
      </c>
      <c r="D99" s="98">
        <v>10006013.854829</v>
      </c>
      <c r="E99" s="110">
        <f t="shared" si="7"/>
        <v>1.9137242224815238E-2</v>
      </c>
      <c r="F99" s="98">
        <v>10163128.276881199</v>
      </c>
      <c r="G99" s="110">
        <f t="shared" si="8"/>
        <v>1.9883414176799761E-2</v>
      </c>
      <c r="H99" s="98">
        <v>10215673.7262378</v>
      </c>
      <c r="I99" s="110">
        <f t="shared" si="9"/>
        <v>1.9883414176799782E-2</v>
      </c>
      <c r="J99" s="98">
        <v>10215599.4585672</v>
      </c>
      <c r="K99" s="110">
        <f t="shared" si="10"/>
        <v>1.9883414176799799E-2</v>
      </c>
      <c r="L99" s="98">
        <v>10215533.517991001</v>
      </c>
      <c r="M99" s="110">
        <f t="shared" si="11"/>
        <v>1.9883414176799757E-2</v>
      </c>
      <c r="N99" s="98">
        <v>10215533.517991001</v>
      </c>
      <c r="O99" s="110">
        <f t="shared" si="12"/>
        <v>1.9883414176799757E-2</v>
      </c>
    </row>
    <row r="100" spans="2:15" x14ac:dyDescent="0.35">
      <c r="B100" s="100">
        <v>269</v>
      </c>
      <c r="C100" s="101" t="s">
        <v>228</v>
      </c>
      <c r="D100" s="98">
        <v>140022.66217476799</v>
      </c>
      <c r="E100" s="110">
        <f t="shared" si="7"/>
        <v>2.6780370703852115E-4</v>
      </c>
      <c r="F100" s="98">
        <v>125511.080030388</v>
      </c>
      <c r="G100" s="110">
        <f t="shared" si="8"/>
        <v>2.4555321157350359E-4</v>
      </c>
      <c r="H100" s="98">
        <v>126159.997954058</v>
      </c>
      <c r="I100" s="110">
        <f t="shared" si="9"/>
        <v>2.4555321157350321E-4</v>
      </c>
      <c r="J100" s="98">
        <v>126159.080774298</v>
      </c>
      <c r="K100" s="110">
        <f t="shared" si="10"/>
        <v>2.4555321157350234E-4</v>
      </c>
      <c r="L100" s="98">
        <v>126158.266431243</v>
      </c>
      <c r="M100" s="110">
        <f t="shared" si="11"/>
        <v>2.4555321157350321E-4</v>
      </c>
      <c r="N100" s="98">
        <v>126158.266431243</v>
      </c>
      <c r="O100" s="110">
        <f t="shared" si="12"/>
        <v>2.4555321157350321E-4</v>
      </c>
    </row>
    <row r="101" spans="2:15" x14ac:dyDescent="0.35">
      <c r="B101" s="100">
        <v>273</v>
      </c>
      <c r="C101" s="101" t="s">
        <v>248</v>
      </c>
      <c r="D101" s="98">
        <v>96001.823730435397</v>
      </c>
      <c r="E101" s="110">
        <f t="shared" si="7"/>
        <v>1.8361059472915903E-4</v>
      </c>
      <c r="F101" s="98">
        <v>60281.285103035603</v>
      </c>
      <c r="G101" s="110">
        <f t="shared" si="8"/>
        <v>1.1793590774013382E-4</v>
      </c>
      <c r="H101" s="98">
        <v>60592.951661523999</v>
      </c>
      <c r="I101" s="110">
        <f t="shared" si="9"/>
        <v>1.1793590774013382E-4</v>
      </c>
      <c r="J101" s="98">
        <v>60592.511152410698</v>
      </c>
      <c r="K101" s="110">
        <f t="shared" si="10"/>
        <v>1.1793590774013386E-4</v>
      </c>
      <c r="L101" s="98">
        <v>60592.120034384403</v>
      </c>
      <c r="M101" s="110">
        <f t="shared" si="11"/>
        <v>1.1793590774013382E-4</v>
      </c>
      <c r="N101" s="98">
        <v>60592.120034384403</v>
      </c>
      <c r="O101" s="110">
        <f t="shared" si="12"/>
        <v>1.1793590774013382E-4</v>
      </c>
    </row>
    <row r="102" spans="2:15" x14ac:dyDescent="0.35">
      <c r="B102" s="100">
        <v>274</v>
      </c>
      <c r="C102" s="101" t="s">
        <v>251</v>
      </c>
      <c r="D102" s="98">
        <v>721027.57715100201</v>
      </c>
      <c r="E102" s="110">
        <f t="shared" si="7"/>
        <v>1.3790186176937083E-3</v>
      </c>
      <c r="F102" s="98">
        <v>786601.39341222495</v>
      </c>
      <c r="G102" s="110">
        <f t="shared" si="8"/>
        <v>1.5389278646458931E-3</v>
      </c>
      <c r="H102" s="98">
        <v>790668.28330629203</v>
      </c>
      <c r="I102" s="110">
        <f t="shared" si="9"/>
        <v>1.5389278646458914E-3</v>
      </c>
      <c r="J102" s="98">
        <v>790662.53516934102</v>
      </c>
      <c r="K102" s="110">
        <f t="shared" si="10"/>
        <v>1.5389278646458914E-3</v>
      </c>
      <c r="L102" s="98">
        <v>790657.431529233</v>
      </c>
      <c r="M102" s="110">
        <f t="shared" si="11"/>
        <v>1.5389278646458927E-3</v>
      </c>
      <c r="N102" s="98">
        <v>790657.431529233</v>
      </c>
      <c r="O102" s="110">
        <f t="shared" si="12"/>
        <v>1.5389278646458927E-3</v>
      </c>
    </row>
    <row r="103" spans="2:15" x14ac:dyDescent="0.35">
      <c r="B103" s="100">
        <v>275</v>
      </c>
      <c r="C103" s="101" t="s">
        <v>254</v>
      </c>
      <c r="D103" s="98">
        <v>1230558.6391459601</v>
      </c>
      <c r="E103" s="110">
        <f t="shared" si="7"/>
        <v>2.3535344934396654E-3</v>
      </c>
      <c r="F103" s="98">
        <v>1152377.9646091</v>
      </c>
      <c r="G103" s="110">
        <f t="shared" si="8"/>
        <v>2.2545428665564087E-3</v>
      </c>
      <c r="H103" s="98">
        <v>1158335.99409858</v>
      </c>
      <c r="I103" s="110">
        <f t="shared" si="9"/>
        <v>2.2545428665564104E-3</v>
      </c>
      <c r="J103" s="98">
        <v>1158327.57302735</v>
      </c>
      <c r="K103" s="110">
        <f t="shared" si="10"/>
        <v>2.2545428665564013E-3</v>
      </c>
      <c r="L103" s="98">
        <v>1158320.09614967</v>
      </c>
      <c r="M103" s="110">
        <f t="shared" si="11"/>
        <v>2.2545428665563987E-3</v>
      </c>
      <c r="N103" s="98">
        <v>1158320.09614967</v>
      </c>
      <c r="O103" s="110">
        <f t="shared" si="12"/>
        <v>2.2545428665563987E-3</v>
      </c>
    </row>
    <row r="104" spans="2:15" x14ac:dyDescent="0.35">
      <c r="B104" s="100">
        <v>277</v>
      </c>
      <c r="C104" s="101" t="s">
        <v>263</v>
      </c>
      <c r="D104" s="98">
        <v>4108.61494315658</v>
      </c>
      <c r="E104" s="110">
        <f t="shared" si="7"/>
        <v>7.8580302322624247E-6</v>
      </c>
      <c r="F104" s="98">
        <v>3245.7649455413298</v>
      </c>
      <c r="G104" s="110">
        <f t="shared" si="8"/>
        <v>6.35010077355246E-6</v>
      </c>
      <c r="H104" s="98">
        <v>3262.5462133678202</v>
      </c>
      <c r="I104" s="110">
        <f t="shared" si="9"/>
        <v>6.3501007735524575E-6</v>
      </c>
      <c r="J104" s="98">
        <v>3262.5224947454299</v>
      </c>
      <c r="K104" s="110">
        <f t="shared" si="10"/>
        <v>6.3501007735524465E-6</v>
      </c>
      <c r="L104" s="98">
        <v>3262.50143551989</v>
      </c>
      <c r="M104" s="110">
        <f t="shared" si="11"/>
        <v>6.35010077355246E-6</v>
      </c>
      <c r="N104" s="98">
        <v>3262.50143551989</v>
      </c>
      <c r="O104" s="110">
        <f t="shared" si="12"/>
        <v>6.35010077355246E-6</v>
      </c>
    </row>
    <row r="105" spans="2:15" x14ac:dyDescent="0.35">
      <c r="B105" s="100">
        <v>279</v>
      </c>
      <c r="C105" s="101" t="s">
        <v>266</v>
      </c>
      <c r="D105" s="98">
        <v>25437.106054873399</v>
      </c>
      <c r="E105" s="110">
        <f t="shared" si="7"/>
        <v>4.8650348393780612E-5</v>
      </c>
      <c r="F105" s="98">
        <v>23091.857835447601</v>
      </c>
      <c r="G105" s="110">
        <f t="shared" si="8"/>
        <v>4.5177524178105047E-5</v>
      </c>
      <c r="H105" s="98">
        <v>23211.247457755399</v>
      </c>
      <c r="I105" s="110">
        <f t="shared" si="9"/>
        <v>4.5177524178105141E-5</v>
      </c>
      <c r="J105" s="98">
        <v>23211.0787126166</v>
      </c>
      <c r="K105" s="110">
        <f t="shared" si="10"/>
        <v>4.5177524178105087E-5</v>
      </c>
      <c r="L105" s="98">
        <v>23210.928887644499</v>
      </c>
      <c r="M105" s="110">
        <f t="shared" si="11"/>
        <v>4.5177524178105114E-5</v>
      </c>
      <c r="N105" s="98">
        <v>23210.928887644499</v>
      </c>
      <c r="O105" s="110">
        <f t="shared" si="12"/>
        <v>4.5177524178105114E-5</v>
      </c>
    </row>
    <row r="106" spans="2:15" x14ac:dyDescent="0.35">
      <c r="B106" s="100">
        <v>281</v>
      </c>
      <c r="C106" s="101" t="s">
        <v>295</v>
      </c>
      <c r="D106" s="98">
        <v>1801189.2556882401</v>
      </c>
      <c r="E106" s="110">
        <f t="shared" si="7"/>
        <v>3.4449077903490068E-3</v>
      </c>
      <c r="F106" s="98">
        <v>1872696.97203217</v>
      </c>
      <c r="G106" s="110">
        <f t="shared" si="8"/>
        <v>3.6637941102501837E-3</v>
      </c>
      <c r="H106" s="98">
        <v>1882379.19793972</v>
      </c>
      <c r="I106" s="110">
        <f t="shared" si="9"/>
        <v>3.6637941102501872E-3</v>
      </c>
      <c r="J106" s="98">
        <v>1882365.5130940599</v>
      </c>
      <c r="K106" s="110">
        <f t="shared" si="10"/>
        <v>3.663794110250182E-3</v>
      </c>
      <c r="L106" s="98">
        <v>1882353.36263074</v>
      </c>
      <c r="M106" s="110">
        <f t="shared" si="11"/>
        <v>3.663794110250182E-3</v>
      </c>
      <c r="N106" s="98">
        <v>1882353.36263074</v>
      </c>
      <c r="O106" s="110">
        <f t="shared" si="12"/>
        <v>3.663794110250182E-3</v>
      </c>
    </row>
    <row r="107" spans="2:15" x14ac:dyDescent="0.35">
      <c r="B107" s="100">
        <v>285</v>
      </c>
      <c r="C107" s="101" t="s">
        <v>323</v>
      </c>
      <c r="D107" s="98">
        <v>183703.989882333</v>
      </c>
      <c r="E107" s="110">
        <f t="shared" si="7"/>
        <v>3.5134747993043779E-4</v>
      </c>
      <c r="F107" s="98">
        <v>130651.50706806401</v>
      </c>
      <c r="G107" s="110">
        <f t="shared" si="8"/>
        <v>2.5561007960184825E-4</v>
      </c>
      <c r="H107" s="98">
        <v>131327.00204962699</v>
      </c>
      <c r="I107" s="110">
        <f t="shared" si="9"/>
        <v>2.5561007960184961E-4</v>
      </c>
      <c r="J107" s="98">
        <v>131326.047305888</v>
      </c>
      <c r="K107" s="110">
        <f t="shared" si="10"/>
        <v>2.5561007960184966E-4</v>
      </c>
      <c r="L107" s="98">
        <v>131325.199610629</v>
      </c>
      <c r="M107" s="110">
        <f t="shared" si="11"/>
        <v>2.5561007960184923E-4</v>
      </c>
      <c r="N107" s="98">
        <v>131325.199610629</v>
      </c>
      <c r="O107" s="110">
        <f t="shared" si="12"/>
        <v>2.5561007960184923E-4</v>
      </c>
    </row>
    <row r="108" spans="2:15" x14ac:dyDescent="0.35">
      <c r="B108" s="100">
        <v>289</v>
      </c>
      <c r="C108" s="101" t="s">
        <v>329</v>
      </c>
      <c r="D108" s="98">
        <v>547198.95715542499</v>
      </c>
      <c r="E108" s="110">
        <f t="shared" si="7"/>
        <v>1.046558513727805E-3</v>
      </c>
      <c r="F108" s="98">
        <v>414742.700505079</v>
      </c>
      <c r="G108" s="110">
        <f t="shared" si="8"/>
        <v>8.1141363823044677E-4</v>
      </c>
      <c r="H108" s="98">
        <v>416887.00499201298</v>
      </c>
      <c r="I108" s="110">
        <f t="shared" si="9"/>
        <v>8.1141363823044623E-4</v>
      </c>
      <c r="J108" s="98">
        <v>416883.97423480602</v>
      </c>
      <c r="K108" s="110">
        <f t="shared" si="10"/>
        <v>8.1141363823044579E-4</v>
      </c>
      <c r="L108" s="98">
        <v>416881.28329439001</v>
      </c>
      <c r="M108" s="110">
        <f t="shared" si="11"/>
        <v>8.1141363823044644E-4</v>
      </c>
      <c r="N108" s="98">
        <v>416881.28329439001</v>
      </c>
      <c r="O108" s="110">
        <f t="shared" si="12"/>
        <v>8.1141363823044644E-4</v>
      </c>
    </row>
    <row r="109" spans="2:15" x14ac:dyDescent="0.35">
      <c r="B109" s="100">
        <v>293</v>
      </c>
      <c r="C109" s="101" t="s">
        <v>338</v>
      </c>
      <c r="D109" s="98">
        <v>494620.25608562201</v>
      </c>
      <c r="E109" s="110">
        <f t="shared" si="7"/>
        <v>9.4599785562384246E-4</v>
      </c>
      <c r="F109" s="98">
        <v>546193.33440240298</v>
      </c>
      <c r="G109" s="110">
        <f t="shared" si="8"/>
        <v>1.0685871507924115E-3</v>
      </c>
      <c r="H109" s="98">
        <v>549017.26551985496</v>
      </c>
      <c r="I109" s="110">
        <f t="shared" si="9"/>
        <v>1.0685871507924102E-3</v>
      </c>
      <c r="J109" s="98">
        <v>549013.27417924197</v>
      </c>
      <c r="K109" s="110">
        <f t="shared" si="10"/>
        <v>1.0685871507924104E-3</v>
      </c>
      <c r="L109" s="98">
        <v>549009.73035865906</v>
      </c>
      <c r="M109" s="110">
        <f t="shared" si="11"/>
        <v>1.0685871507924104E-3</v>
      </c>
      <c r="N109" s="98">
        <v>549009.73035865906</v>
      </c>
      <c r="O109" s="110">
        <f t="shared" si="12"/>
        <v>1.0685871507924104E-3</v>
      </c>
    </row>
    <row r="110" spans="2:15" x14ac:dyDescent="0.35">
      <c r="B110" s="100">
        <v>294</v>
      </c>
      <c r="C110" s="101" t="s">
        <v>347</v>
      </c>
      <c r="D110" s="98">
        <v>797466.87276467995</v>
      </c>
      <c r="E110" s="110">
        <f t="shared" si="7"/>
        <v>1.5252144292203166E-3</v>
      </c>
      <c r="F110" s="98">
        <v>791083.80899214302</v>
      </c>
      <c r="G110" s="110">
        <f t="shared" si="8"/>
        <v>1.5476973815761077E-3</v>
      </c>
      <c r="H110" s="98">
        <v>795173.87389044499</v>
      </c>
      <c r="I110" s="110">
        <f t="shared" si="9"/>
        <v>1.5476973815761071E-3</v>
      </c>
      <c r="J110" s="98">
        <v>795168.09299797297</v>
      </c>
      <c r="K110" s="110">
        <f t="shared" si="10"/>
        <v>1.5476973815761075E-3</v>
      </c>
      <c r="L110" s="98">
        <v>795162.96027498203</v>
      </c>
      <c r="M110" s="110">
        <f t="shared" si="11"/>
        <v>1.547697381576108E-3</v>
      </c>
      <c r="N110" s="98">
        <v>795162.96027498203</v>
      </c>
      <c r="O110" s="110">
        <f t="shared" si="12"/>
        <v>1.547697381576108E-3</v>
      </c>
    </row>
    <row r="111" spans="2:15" x14ac:dyDescent="0.35">
      <c r="B111" s="100">
        <v>296</v>
      </c>
      <c r="C111" s="101" t="s">
        <v>344</v>
      </c>
      <c r="D111" s="98">
        <v>674126.93323966104</v>
      </c>
      <c r="E111" s="110">
        <f t="shared" si="7"/>
        <v>1.2893176642418029E-3</v>
      </c>
      <c r="F111" s="98">
        <v>650063.80615127599</v>
      </c>
      <c r="G111" s="110">
        <f t="shared" si="8"/>
        <v>1.2718021013721958E-3</v>
      </c>
      <c r="H111" s="98">
        <v>653424.76882675197</v>
      </c>
      <c r="I111" s="110">
        <f t="shared" si="9"/>
        <v>1.2718021013721956E-3</v>
      </c>
      <c r="J111" s="98">
        <v>653420.01844642498</v>
      </c>
      <c r="K111" s="110">
        <f t="shared" si="10"/>
        <v>1.2718021013721961E-3</v>
      </c>
      <c r="L111" s="98">
        <v>653415.80069173803</v>
      </c>
      <c r="M111" s="110">
        <f t="shared" si="11"/>
        <v>1.2718021013721971E-3</v>
      </c>
      <c r="N111" s="98">
        <v>653415.80069173803</v>
      </c>
      <c r="O111" s="110">
        <f t="shared" si="12"/>
        <v>1.2718021013721971E-3</v>
      </c>
    </row>
    <row r="112" spans="2:15" x14ac:dyDescent="0.35">
      <c r="B112" s="100">
        <v>297</v>
      </c>
      <c r="C112" s="101" t="s">
        <v>353</v>
      </c>
      <c r="D112" s="98">
        <v>162257.96318706</v>
      </c>
      <c r="E112" s="110">
        <f t="shared" si="7"/>
        <v>3.1033036626441766E-4</v>
      </c>
      <c r="F112" s="98">
        <v>135753.59804688301</v>
      </c>
      <c r="G112" s="110">
        <f t="shared" si="8"/>
        <v>2.6559194594612538E-4</v>
      </c>
      <c r="H112" s="98">
        <v>136455.471881081</v>
      </c>
      <c r="I112" s="110">
        <f t="shared" si="9"/>
        <v>2.6559194594612414E-4</v>
      </c>
      <c r="J112" s="98">
        <v>136454.479853506</v>
      </c>
      <c r="K112" s="110">
        <f t="shared" si="10"/>
        <v>2.65591945946125E-4</v>
      </c>
      <c r="L112" s="98">
        <v>136453.59905477599</v>
      </c>
      <c r="M112" s="110">
        <f t="shared" si="11"/>
        <v>2.6559194594612387E-4</v>
      </c>
      <c r="N112" s="98">
        <v>136453.59905477599</v>
      </c>
      <c r="O112" s="110">
        <f t="shared" si="12"/>
        <v>2.6559194594612387E-4</v>
      </c>
    </row>
    <row r="113" spans="2:15" x14ac:dyDescent="0.35">
      <c r="B113" s="100">
        <v>299</v>
      </c>
      <c r="C113" s="101" t="s">
        <v>357</v>
      </c>
      <c r="D113" s="98">
        <v>713673.89176465594</v>
      </c>
      <c r="E113" s="110">
        <f t="shared" si="7"/>
        <v>1.364954150012038E-3</v>
      </c>
      <c r="F113" s="98">
        <v>718297.47207922803</v>
      </c>
      <c r="G113" s="110">
        <f t="shared" si="8"/>
        <v>1.4052962582385502E-3</v>
      </c>
      <c r="H113" s="98">
        <v>722011.21674660104</v>
      </c>
      <c r="I113" s="110">
        <f t="shared" si="9"/>
        <v>1.4052962582385483E-3</v>
      </c>
      <c r="J113" s="98">
        <v>722005.96774465998</v>
      </c>
      <c r="K113" s="110">
        <f t="shared" si="10"/>
        <v>1.4052962582385487E-3</v>
      </c>
      <c r="L113" s="98">
        <v>722001.30727517803</v>
      </c>
      <c r="M113" s="110">
        <f t="shared" si="11"/>
        <v>1.4052962582385487E-3</v>
      </c>
      <c r="N113" s="98">
        <v>722001.30727517803</v>
      </c>
      <c r="O113" s="110">
        <f t="shared" si="12"/>
        <v>1.4052962582385487E-3</v>
      </c>
    </row>
    <row r="114" spans="2:15" x14ac:dyDescent="0.35">
      <c r="B114" s="100">
        <v>301</v>
      </c>
      <c r="C114" s="101" t="s">
        <v>362</v>
      </c>
      <c r="D114" s="98">
        <v>2005125.93742426</v>
      </c>
      <c r="E114" s="110">
        <f t="shared" si="7"/>
        <v>3.8349517912399053E-3</v>
      </c>
      <c r="F114" s="98">
        <v>2169687.95699966</v>
      </c>
      <c r="G114" s="110">
        <f t="shared" si="8"/>
        <v>4.2448351637530985E-3</v>
      </c>
      <c r="H114" s="98">
        <v>2180905.6869700099</v>
      </c>
      <c r="I114" s="110">
        <f t="shared" si="9"/>
        <v>4.2448351637530898E-3</v>
      </c>
      <c r="J114" s="98">
        <v>2180889.8318448798</v>
      </c>
      <c r="K114" s="110">
        <f t="shared" si="10"/>
        <v>4.2448351637530838E-3</v>
      </c>
      <c r="L114" s="98">
        <v>2180875.7544397698</v>
      </c>
      <c r="M114" s="110">
        <f t="shared" si="11"/>
        <v>4.2448351637530968E-3</v>
      </c>
      <c r="N114" s="98">
        <v>2180875.7544397698</v>
      </c>
      <c r="O114" s="110">
        <f t="shared" si="12"/>
        <v>4.2448351637530968E-3</v>
      </c>
    </row>
    <row r="115" spans="2:15" x14ac:dyDescent="0.35">
      <c r="B115" s="100">
        <v>302</v>
      </c>
      <c r="C115" s="101" t="s">
        <v>223</v>
      </c>
      <c r="D115" s="98">
        <v>176400.81368362799</v>
      </c>
      <c r="E115" s="110">
        <f t="shared" si="7"/>
        <v>3.3737961480923646E-4</v>
      </c>
      <c r="F115" s="98">
        <v>142002.544879708</v>
      </c>
      <c r="G115" s="110">
        <f t="shared" si="8"/>
        <v>2.7781755155306258E-4</v>
      </c>
      <c r="H115" s="98">
        <v>142736.72704559201</v>
      </c>
      <c r="I115" s="110">
        <f t="shared" si="9"/>
        <v>2.7781755155306144E-4</v>
      </c>
      <c r="J115" s="98">
        <v>142735.68935346199</v>
      </c>
      <c r="K115" s="110">
        <f t="shared" si="10"/>
        <v>2.7781755155306128E-4</v>
      </c>
      <c r="L115" s="98">
        <v>142734.76801021301</v>
      </c>
      <c r="M115" s="110">
        <f t="shared" si="11"/>
        <v>2.7781755155306161E-4</v>
      </c>
      <c r="N115" s="98">
        <v>142734.76801021301</v>
      </c>
      <c r="O115" s="110">
        <f t="shared" si="12"/>
        <v>2.7781755155306161E-4</v>
      </c>
    </row>
    <row r="116" spans="2:15" x14ac:dyDescent="0.35">
      <c r="B116" s="100">
        <v>303</v>
      </c>
      <c r="C116" s="101" t="s">
        <v>93</v>
      </c>
      <c r="D116" s="98">
        <v>713010.05426079105</v>
      </c>
      <c r="E116" s="110">
        <f t="shared" si="7"/>
        <v>1.3636845116431838E-3</v>
      </c>
      <c r="F116" s="98">
        <v>592290.94459753495</v>
      </c>
      <c r="G116" s="110">
        <f t="shared" si="8"/>
        <v>1.1587737401081719E-3</v>
      </c>
      <c r="H116" s="98">
        <v>595353.20977670304</v>
      </c>
      <c r="I116" s="110">
        <f t="shared" si="9"/>
        <v>1.158773740108171E-3</v>
      </c>
      <c r="J116" s="98">
        <v>595348.88157503295</v>
      </c>
      <c r="K116" s="110">
        <f t="shared" si="10"/>
        <v>1.1587737401081704E-3</v>
      </c>
      <c r="L116" s="98">
        <v>595345.03866317705</v>
      </c>
      <c r="M116" s="110">
        <f t="shared" si="11"/>
        <v>1.158773740108171E-3</v>
      </c>
      <c r="N116" s="98">
        <v>595345.03866317705</v>
      </c>
      <c r="O116" s="110">
        <f t="shared" si="12"/>
        <v>1.158773740108171E-3</v>
      </c>
    </row>
    <row r="117" spans="2:15" x14ac:dyDescent="0.35">
      <c r="B117" s="100">
        <v>304</v>
      </c>
      <c r="C117" s="101" t="s">
        <v>809</v>
      </c>
      <c r="D117" s="98">
        <v>43925.521747019498</v>
      </c>
      <c r="E117" s="110">
        <f t="shared" si="7"/>
        <v>8.4010812069624846E-5</v>
      </c>
      <c r="F117" s="98">
        <v>44173.039789648399</v>
      </c>
      <c r="G117" s="110">
        <f t="shared" si="8"/>
        <v>8.6421308642122715E-5</v>
      </c>
      <c r="H117" s="98">
        <v>44401.4234292088</v>
      </c>
      <c r="I117" s="110">
        <f t="shared" si="9"/>
        <v>8.6421308642122674E-5</v>
      </c>
      <c r="J117" s="98">
        <v>44401.100632066104</v>
      </c>
      <c r="K117" s="110">
        <f t="shared" si="10"/>
        <v>8.6421308642122715E-5</v>
      </c>
      <c r="L117" s="98">
        <v>44400.814027822198</v>
      </c>
      <c r="M117" s="110">
        <f t="shared" si="11"/>
        <v>8.6421308642122661E-5</v>
      </c>
      <c r="N117" s="98">
        <v>44400.814027822198</v>
      </c>
      <c r="O117" s="110">
        <f t="shared" si="12"/>
        <v>8.6421308642122661E-5</v>
      </c>
    </row>
    <row r="118" spans="2:15" x14ac:dyDescent="0.35">
      <c r="B118" s="100">
        <v>307</v>
      </c>
      <c r="C118" s="101" t="s">
        <v>24</v>
      </c>
      <c r="D118" s="98">
        <v>3375416.1438728399</v>
      </c>
      <c r="E118" s="110">
        <f t="shared" si="7"/>
        <v>6.4557332512258717E-3</v>
      </c>
      <c r="F118" s="98">
        <v>3262959.8572678501</v>
      </c>
      <c r="G118" s="110">
        <f t="shared" si="8"/>
        <v>6.3837413556918831E-3</v>
      </c>
      <c r="H118" s="98">
        <v>3279830.02630061</v>
      </c>
      <c r="I118" s="110">
        <f t="shared" si="9"/>
        <v>6.3837413556918745E-3</v>
      </c>
      <c r="J118" s="98">
        <v>3279806.1820253702</v>
      </c>
      <c r="K118" s="110">
        <f t="shared" si="10"/>
        <v>6.3837413556918658E-3</v>
      </c>
      <c r="L118" s="98">
        <v>3279785.0112355198</v>
      </c>
      <c r="M118" s="110">
        <f t="shared" si="11"/>
        <v>6.3837413556918771E-3</v>
      </c>
      <c r="N118" s="98">
        <v>3279785.0112355198</v>
      </c>
      <c r="O118" s="110">
        <f t="shared" si="12"/>
        <v>6.3837413556918771E-3</v>
      </c>
    </row>
    <row r="119" spans="2:15" x14ac:dyDescent="0.35">
      <c r="B119" s="100">
        <v>308</v>
      </c>
      <c r="C119" s="101" t="s">
        <v>33</v>
      </c>
      <c r="D119" s="98">
        <v>252881.64270926101</v>
      </c>
      <c r="E119" s="110">
        <f t="shared" si="7"/>
        <v>4.8365486206085361E-4</v>
      </c>
      <c r="F119" s="98">
        <v>231967.658808123</v>
      </c>
      <c r="G119" s="110">
        <f t="shared" si="8"/>
        <v>4.5382769065273288E-4</v>
      </c>
      <c r="H119" s="98">
        <v>233166.97899145601</v>
      </c>
      <c r="I119" s="110">
        <f t="shared" si="9"/>
        <v>4.5382769065273234E-4</v>
      </c>
      <c r="J119" s="98">
        <v>233165.28387385001</v>
      </c>
      <c r="K119" s="110">
        <f t="shared" si="10"/>
        <v>4.5382769065273267E-4</v>
      </c>
      <c r="L119" s="98">
        <v>233163.778817468</v>
      </c>
      <c r="M119" s="110">
        <f t="shared" si="11"/>
        <v>4.538276906527331E-4</v>
      </c>
      <c r="N119" s="98">
        <v>233163.778817468</v>
      </c>
      <c r="O119" s="110">
        <f t="shared" si="12"/>
        <v>4.538276906527331E-4</v>
      </c>
    </row>
    <row r="120" spans="2:15" x14ac:dyDescent="0.35">
      <c r="B120" s="100">
        <v>310</v>
      </c>
      <c r="C120" s="101" t="s">
        <v>76</v>
      </c>
      <c r="D120" s="98">
        <v>317289.44883612101</v>
      </c>
      <c r="E120" s="110">
        <f t="shared" si="7"/>
        <v>6.0683955927409998E-4</v>
      </c>
      <c r="F120" s="98">
        <v>361795.95845220599</v>
      </c>
      <c r="G120" s="110">
        <f t="shared" si="8"/>
        <v>7.0782722537917448E-4</v>
      </c>
      <c r="H120" s="98">
        <v>363666.51746655197</v>
      </c>
      <c r="I120" s="110">
        <f t="shared" si="9"/>
        <v>7.0782722537917557E-4</v>
      </c>
      <c r="J120" s="98">
        <v>363663.87362084398</v>
      </c>
      <c r="K120" s="110">
        <f t="shared" si="10"/>
        <v>7.0782722537917459E-4</v>
      </c>
      <c r="L120" s="98">
        <v>363661.52621035097</v>
      </c>
      <c r="M120" s="110">
        <f t="shared" si="11"/>
        <v>7.0782722537917459E-4</v>
      </c>
      <c r="N120" s="98">
        <v>363661.52621035097</v>
      </c>
      <c r="O120" s="110">
        <f t="shared" si="12"/>
        <v>7.0782722537917459E-4</v>
      </c>
    </row>
    <row r="121" spans="2:15" x14ac:dyDescent="0.35">
      <c r="B121" s="100">
        <v>312</v>
      </c>
      <c r="C121" s="101" t="s">
        <v>65</v>
      </c>
      <c r="D121" s="98">
        <v>46197.727087826403</v>
      </c>
      <c r="E121" s="110">
        <f t="shared" si="7"/>
        <v>8.8356572991248476E-5</v>
      </c>
      <c r="F121" s="98">
        <v>34909.570685358398</v>
      </c>
      <c r="G121" s="110">
        <f t="shared" si="8"/>
        <v>6.8298011572895002E-5</v>
      </c>
      <c r="H121" s="98">
        <v>35090.060297270502</v>
      </c>
      <c r="I121" s="110">
        <f t="shared" si="9"/>
        <v>6.8298011572894894E-5</v>
      </c>
      <c r="J121" s="98">
        <v>35089.805193484899</v>
      </c>
      <c r="K121" s="110">
        <f t="shared" si="10"/>
        <v>6.8298011572894839E-5</v>
      </c>
      <c r="L121" s="98">
        <v>35089.578692633797</v>
      </c>
      <c r="M121" s="110">
        <f t="shared" si="11"/>
        <v>6.8298011572894934E-5</v>
      </c>
      <c r="N121" s="98">
        <v>35089.578692633797</v>
      </c>
      <c r="O121" s="110">
        <f t="shared" si="12"/>
        <v>6.8298011572894934E-5</v>
      </c>
    </row>
    <row r="122" spans="2:15" x14ac:dyDescent="0.35">
      <c r="B122" s="100">
        <v>313</v>
      </c>
      <c r="C122" s="101" t="s">
        <v>66</v>
      </c>
      <c r="D122" s="98">
        <v>66261.159405560902</v>
      </c>
      <c r="E122" s="110">
        <f t="shared" si="7"/>
        <v>1.2672937255921721E-4</v>
      </c>
      <c r="F122" s="98">
        <v>52643.961080575202</v>
      </c>
      <c r="G122" s="110">
        <f t="shared" si="8"/>
        <v>1.0299404411272684E-4</v>
      </c>
      <c r="H122" s="98">
        <v>52916.1411136838</v>
      </c>
      <c r="I122" s="110">
        <f t="shared" si="9"/>
        <v>1.0299404411272662E-4</v>
      </c>
      <c r="J122" s="98">
        <v>52915.756414774703</v>
      </c>
      <c r="K122" s="110">
        <f t="shared" si="10"/>
        <v>1.0299404411272661E-4</v>
      </c>
      <c r="L122" s="98">
        <v>52915.414849359899</v>
      </c>
      <c r="M122" s="110">
        <f t="shared" si="11"/>
        <v>1.0299404411272667E-4</v>
      </c>
      <c r="N122" s="98">
        <v>52915.414849359899</v>
      </c>
      <c r="O122" s="110">
        <f t="shared" si="12"/>
        <v>1.0299404411272667E-4</v>
      </c>
    </row>
    <row r="123" spans="2:15" x14ac:dyDescent="0.35">
      <c r="B123" s="100">
        <v>317</v>
      </c>
      <c r="C123" s="101" t="s">
        <v>99</v>
      </c>
      <c r="D123" s="98">
        <v>30446.196436328399</v>
      </c>
      <c r="E123" s="110">
        <f t="shared" si="7"/>
        <v>5.8230604562387995E-5</v>
      </c>
      <c r="F123" s="98">
        <v>21953.8848244205</v>
      </c>
      <c r="G123" s="110">
        <f t="shared" si="8"/>
        <v>4.2951163545449985E-5</v>
      </c>
      <c r="H123" s="98">
        <v>22067.3908937915</v>
      </c>
      <c r="I123" s="110">
        <f t="shared" si="9"/>
        <v>4.2951163545449999E-5</v>
      </c>
      <c r="J123" s="98">
        <v>22067.230464458898</v>
      </c>
      <c r="K123" s="110">
        <f t="shared" si="10"/>
        <v>4.2951163545450019E-5</v>
      </c>
      <c r="L123" s="98">
        <v>22067.088022902</v>
      </c>
      <c r="M123" s="110">
        <f t="shared" si="11"/>
        <v>4.2951163545450006E-5</v>
      </c>
      <c r="N123" s="98">
        <v>22067.088022902</v>
      </c>
      <c r="O123" s="110">
        <f t="shared" si="12"/>
        <v>4.2951163545450006E-5</v>
      </c>
    </row>
    <row r="124" spans="2:15" x14ac:dyDescent="0.35">
      <c r="B124" s="100">
        <v>321</v>
      </c>
      <c r="C124" s="101" t="s">
        <v>159</v>
      </c>
      <c r="D124" s="98">
        <v>156257.196331844</v>
      </c>
      <c r="E124" s="110">
        <f t="shared" si="7"/>
        <v>2.9885345542769227E-4</v>
      </c>
      <c r="F124" s="98">
        <v>127253.538666097</v>
      </c>
      <c r="G124" s="110">
        <f t="shared" si="8"/>
        <v>2.4896220394237441E-4</v>
      </c>
      <c r="H124" s="98">
        <v>127911.46545687001</v>
      </c>
      <c r="I124" s="110">
        <f t="shared" si="9"/>
        <v>2.4896220394237382E-4</v>
      </c>
      <c r="J124" s="98">
        <v>127910.535543989</v>
      </c>
      <c r="K124" s="110">
        <f t="shared" si="10"/>
        <v>2.4896220394237328E-4</v>
      </c>
      <c r="L124" s="98">
        <v>127909.70989548499</v>
      </c>
      <c r="M124" s="110">
        <f t="shared" si="11"/>
        <v>2.4896220394237376E-4</v>
      </c>
      <c r="N124" s="98">
        <v>127909.70989548499</v>
      </c>
      <c r="O124" s="110">
        <f t="shared" si="12"/>
        <v>2.4896220394237376E-4</v>
      </c>
    </row>
    <row r="125" spans="2:15" x14ac:dyDescent="0.35">
      <c r="B125" s="100">
        <v>327</v>
      </c>
      <c r="C125" s="101" t="s">
        <v>184</v>
      </c>
      <c r="D125" s="98">
        <v>94926.644260337707</v>
      </c>
      <c r="E125" s="110">
        <f t="shared" si="7"/>
        <v>1.8155423439896842E-4</v>
      </c>
      <c r="F125" s="98">
        <v>72067.713471543597</v>
      </c>
      <c r="G125" s="110">
        <f t="shared" si="8"/>
        <v>1.4099518934433531E-4</v>
      </c>
      <c r="H125" s="98">
        <v>72440.318272476594</v>
      </c>
      <c r="I125" s="110">
        <f t="shared" si="9"/>
        <v>1.4099518934433526E-4</v>
      </c>
      <c r="J125" s="98">
        <v>72439.791633329703</v>
      </c>
      <c r="K125" s="110">
        <f t="shared" si="10"/>
        <v>1.4099518934433528E-4</v>
      </c>
      <c r="L125" s="98">
        <v>72439.3240424049</v>
      </c>
      <c r="M125" s="110">
        <f t="shared" si="11"/>
        <v>1.4099518934433531E-4</v>
      </c>
      <c r="N125" s="98">
        <v>72439.3240424049</v>
      </c>
      <c r="O125" s="110">
        <f t="shared" si="12"/>
        <v>1.4099518934433531E-4</v>
      </c>
    </row>
    <row r="126" spans="2:15" x14ac:dyDescent="0.35">
      <c r="B126" s="100">
        <v>331</v>
      </c>
      <c r="C126" s="101" t="s">
        <v>189</v>
      </c>
      <c r="D126" s="98">
        <v>43725.621174638298</v>
      </c>
      <c r="E126" s="110">
        <f t="shared" si="7"/>
        <v>8.3628487426661051E-5</v>
      </c>
      <c r="F126" s="98">
        <v>36489.436996200202</v>
      </c>
      <c r="G126" s="110">
        <f t="shared" si="8"/>
        <v>7.1388903997612093E-5</v>
      </c>
      <c r="H126" s="98">
        <v>36678.094839680904</v>
      </c>
      <c r="I126" s="110">
        <f t="shared" si="9"/>
        <v>7.1388903997612066E-5</v>
      </c>
      <c r="J126" s="98">
        <v>36677.828190927299</v>
      </c>
      <c r="K126" s="110">
        <f t="shared" si="10"/>
        <v>7.1388903997612026E-5</v>
      </c>
      <c r="L126" s="98">
        <v>36677.591439561496</v>
      </c>
      <c r="M126" s="110">
        <f t="shared" si="11"/>
        <v>7.1388903997611931E-5</v>
      </c>
      <c r="N126" s="98">
        <v>36677.591439561496</v>
      </c>
      <c r="O126" s="110">
        <f t="shared" si="12"/>
        <v>7.1388903997611931E-5</v>
      </c>
    </row>
    <row r="127" spans="2:15" x14ac:dyDescent="0.35">
      <c r="B127" s="100">
        <v>335</v>
      </c>
      <c r="C127" s="101" t="s">
        <v>208</v>
      </c>
      <c r="D127" s="98">
        <v>43985.663943600201</v>
      </c>
      <c r="E127" s="110">
        <f t="shared" si="7"/>
        <v>8.4125838472805549E-5</v>
      </c>
      <c r="F127" s="98">
        <v>33826.345516786103</v>
      </c>
      <c r="G127" s="110">
        <f t="shared" si="8"/>
        <v>6.617876107376952E-5</v>
      </c>
      <c r="H127" s="98">
        <v>34001.234633291097</v>
      </c>
      <c r="I127" s="110">
        <f t="shared" si="9"/>
        <v>6.6178761073769506E-5</v>
      </c>
      <c r="J127" s="98">
        <v>34000.987445238599</v>
      </c>
      <c r="K127" s="110">
        <f t="shared" si="10"/>
        <v>6.6178761073769628E-5</v>
      </c>
      <c r="L127" s="98">
        <v>34000.7679725868</v>
      </c>
      <c r="M127" s="110">
        <f t="shared" si="11"/>
        <v>6.6178761073769601E-5</v>
      </c>
      <c r="N127" s="98">
        <v>34000.7679725868</v>
      </c>
      <c r="O127" s="110">
        <f t="shared" si="12"/>
        <v>6.6178761073769601E-5</v>
      </c>
    </row>
    <row r="128" spans="2:15" x14ac:dyDescent="0.35">
      <c r="B128" s="100">
        <v>339</v>
      </c>
      <c r="C128" s="101" t="s">
        <v>252</v>
      </c>
      <c r="D128" s="98">
        <v>14329.0649549834</v>
      </c>
      <c r="E128" s="110">
        <f t="shared" si="7"/>
        <v>2.7405397481664281E-5</v>
      </c>
      <c r="F128" s="98">
        <v>12396.475755862701</v>
      </c>
      <c r="G128" s="110">
        <f t="shared" si="8"/>
        <v>2.4252794520676322E-5</v>
      </c>
      <c r="H128" s="98">
        <v>12460.568067922901</v>
      </c>
      <c r="I128" s="110">
        <f t="shared" si="9"/>
        <v>2.4252794520676292E-5</v>
      </c>
      <c r="J128" s="98">
        <v>12460.4774799314</v>
      </c>
      <c r="K128" s="110">
        <f t="shared" si="10"/>
        <v>2.4252794520676326E-5</v>
      </c>
      <c r="L128" s="98">
        <v>12460.397048913301</v>
      </c>
      <c r="M128" s="110">
        <f t="shared" si="11"/>
        <v>2.4252794520676234E-5</v>
      </c>
      <c r="N128" s="98">
        <v>12460.397048913301</v>
      </c>
      <c r="O128" s="110">
        <f t="shared" si="12"/>
        <v>2.4252794520676234E-5</v>
      </c>
    </row>
    <row r="129" spans="2:15" x14ac:dyDescent="0.35">
      <c r="B129" s="100">
        <v>340</v>
      </c>
      <c r="C129" s="101" t="s">
        <v>255</v>
      </c>
      <c r="D129" s="98">
        <v>242232.52770668</v>
      </c>
      <c r="E129" s="110">
        <f t="shared" si="7"/>
        <v>4.6328764128332559E-4</v>
      </c>
      <c r="F129" s="98">
        <v>272309.79649200599</v>
      </c>
      <c r="G129" s="110">
        <f t="shared" si="8"/>
        <v>5.327541206350063E-4</v>
      </c>
      <c r="H129" s="98">
        <v>273717.69376842101</v>
      </c>
      <c r="I129" s="110">
        <f t="shared" si="9"/>
        <v>5.3275412063500695E-4</v>
      </c>
      <c r="J129" s="98">
        <v>273715.70384821901</v>
      </c>
      <c r="K129" s="110">
        <f t="shared" si="10"/>
        <v>5.3275412063500608E-4</v>
      </c>
      <c r="L129" s="98">
        <v>273713.93704331497</v>
      </c>
      <c r="M129" s="110">
        <f t="shared" si="11"/>
        <v>5.3275412063500597E-4</v>
      </c>
      <c r="N129" s="98">
        <v>273713.93704331497</v>
      </c>
      <c r="O129" s="110">
        <f t="shared" si="12"/>
        <v>5.3275412063500597E-4</v>
      </c>
    </row>
    <row r="130" spans="2:15" x14ac:dyDescent="0.35">
      <c r="B130" s="100">
        <v>342</v>
      </c>
      <c r="C130" s="101" t="s">
        <v>279</v>
      </c>
      <c r="D130" s="98">
        <v>597460.45660538995</v>
      </c>
      <c r="E130" s="110">
        <f t="shared" si="7"/>
        <v>1.1426873521955022E-3</v>
      </c>
      <c r="F130" s="98">
        <v>615796.29948851501</v>
      </c>
      <c r="G130" s="110">
        <f t="shared" si="8"/>
        <v>1.2047602409115885E-3</v>
      </c>
      <c r="H130" s="98">
        <v>618980.09215423896</v>
      </c>
      <c r="I130" s="110">
        <f t="shared" si="9"/>
        <v>1.204760240911588E-3</v>
      </c>
      <c r="J130" s="98">
        <v>618975.59218577598</v>
      </c>
      <c r="K130" s="110">
        <f t="shared" si="10"/>
        <v>1.204760240911588E-3</v>
      </c>
      <c r="L130" s="98">
        <v>618971.59676608897</v>
      </c>
      <c r="M130" s="110">
        <f t="shared" si="11"/>
        <v>1.2047602409115876E-3</v>
      </c>
      <c r="N130" s="98">
        <v>618971.59676608897</v>
      </c>
      <c r="O130" s="110">
        <f t="shared" si="12"/>
        <v>1.2047602409115876E-3</v>
      </c>
    </row>
    <row r="131" spans="2:15" x14ac:dyDescent="0.35">
      <c r="B131" s="100">
        <v>344</v>
      </c>
      <c r="C131" s="101" t="s">
        <v>305</v>
      </c>
      <c r="D131" s="98">
        <v>11400307.0116124</v>
      </c>
      <c r="E131" s="110">
        <f t="shared" si="7"/>
        <v>2.180393110421238E-2</v>
      </c>
      <c r="F131" s="98">
        <v>11512081.2338697</v>
      </c>
      <c r="G131" s="110">
        <f t="shared" si="8"/>
        <v>2.2522541581088712E-2</v>
      </c>
      <c r="H131" s="98">
        <v>11571601.0455835</v>
      </c>
      <c r="I131" s="110">
        <f t="shared" si="9"/>
        <v>2.2522541581088695E-2</v>
      </c>
      <c r="J131" s="98">
        <v>11571516.920358101</v>
      </c>
      <c r="K131" s="110">
        <f t="shared" si="10"/>
        <v>2.2522541581088705E-2</v>
      </c>
      <c r="L131" s="98">
        <v>11571442.227483099</v>
      </c>
      <c r="M131" s="110">
        <f t="shared" si="11"/>
        <v>2.2522541581088618E-2</v>
      </c>
      <c r="N131" s="98">
        <v>11571442.227483099</v>
      </c>
      <c r="O131" s="110">
        <f t="shared" si="12"/>
        <v>2.2522541581088618E-2</v>
      </c>
    </row>
    <row r="132" spans="2:15" x14ac:dyDescent="0.35">
      <c r="B132" s="100">
        <v>345</v>
      </c>
      <c r="C132" s="101" t="s">
        <v>311</v>
      </c>
      <c r="D132" s="98">
        <v>1565311.9950800701</v>
      </c>
      <c r="E132" s="110">
        <f t="shared" si="7"/>
        <v>2.9937750678607307E-3</v>
      </c>
      <c r="F132" s="98">
        <v>1495342.7186511799</v>
      </c>
      <c r="G132" s="110">
        <f t="shared" si="8"/>
        <v>2.925528223316621E-3</v>
      </c>
      <c r="H132" s="98">
        <v>1503073.9459812799</v>
      </c>
      <c r="I132" s="110">
        <f t="shared" si="9"/>
        <v>2.9255282233166032E-3</v>
      </c>
      <c r="J132" s="98">
        <v>1503063.0186745101</v>
      </c>
      <c r="K132" s="110">
        <f t="shared" si="10"/>
        <v>2.9255282233166128E-3</v>
      </c>
      <c r="L132" s="98">
        <v>1503053.3165672701</v>
      </c>
      <c r="M132" s="110">
        <f t="shared" si="11"/>
        <v>2.9255282233166158E-3</v>
      </c>
      <c r="N132" s="98">
        <v>1503053.3165672701</v>
      </c>
      <c r="O132" s="110">
        <f t="shared" si="12"/>
        <v>2.9255282233166158E-3</v>
      </c>
    </row>
    <row r="133" spans="2:15" x14ac:dyDescent="0.35">
      <c r="B133" s="100">
        <v>351</v>
      </c>
      <c r="C133" s="101" t="s">
        <v>351</v>
      </c>
      <c r="D133" s="98">
        <v>35652.514543563302</v>
      </c>
      <c r="E133" s="110">
        <f t="shared" si="7"/>
        <v>6.8188073356968102E-5</v>
      </c>
      <c r="F133" s="98">
        <v>29986.1754245915</v>
      </c>
      <c r="G133" s="110">
        <f t="shared" si="8"/>
        <v>5.8665750279036525E-5</v>
      </c>
      <c r="H133" s="98">
        <v>30141.2100772343</v>
      </c>
      <c r="I133" s="110">
        <f t="shared" si="9"/>
        <v>5.8665750279036492E-5</v>
      </c>
      <c r="J133" s="98">
        <v>30140.990951455398</v>
      </c>
      <c r="K133" s="110">
        <f t="shared" si="10"/>
        <v>5.866575027903639E-5</v>
      </c>
      <c r="L133" s="98">
        <v>30140.796394658399</v>
      </c>
      <c r="M133" s="110">
        <f t="shared" si="11"/>
        <v>5.8665750279036356E-5</v>
      </c>
      <c r="N133" s="98">
        <v>30140.796394658399</v>
      </c>
      <c r="O133" s="110">
        <f t="shared" si="12"/>
        <v>5.8665750279036356E-5</v>
      </c>
    </row>
    <row r="134" spans="2:15" x14ac:dyDescent="0.35">
      <c r="B134" s="100">
        <v>352</v>
      </c>
      <c r="C134" s="101" t="s">
        <v>346</v>
      </c>
      <c r="D134" s="98">
        <v>96256.916590881199</v>
      </c>
      <c r="E134" s="110">
        <f t="shared" si="7"/>
        <v>1.8409847870883353E-4</v>
      </c>
      <c r="F134" s="98">
        <v>69421.483423503494</v>
      </c>
      <c r="G134" s="110">
        <f t="shared" si="8"/>
        <v>1.3581803457281052E-4</v>
      </c>
      <c r="H134" s="98">
        <v>69780.406674505502</v>
      </c>
      <c r="I134" s="110">
        <f t="shared" si="9"/>
        <v>1.3581803457281047E-4</v>
      </c>
      <c r="J134" s="98">
        <v>69779.899372843705</v>
      </c>
      <c r="K134" s="110">
        <f t="shared" si="10"/>
        <v>1.3581803457281047E-4</v>
      </c>
      <c r="L134" s="98">
        <v>69779.448951232203</v>
      </c>
      <c r="M134" s="110">
        <f t="shared" si="11"/>
        <v>1.3581803457281041E-4</v>
      </c>
      <c r="N134" s="98">
        <v>69779.448951232203</v>
      </c>
      <c r="O134" s="110">
        <f t="shared" si="12"/>
        <v>1.3581803457281041E-4</v>
      </c>
    </row>
    <row r="135" spans="2:15" x14ac:dyDescent="0.35">
      <c r="B135" s="100">
        <v>353</v>
      </c>
      <c r="C135" s="101" t="s">
        <v>162</v>
      </c>
      <c r="D135" s="98">
        <v>271808.20293628902</v>
      </c>
      <c r="E135" s="110">
        <f t="shared" si="7"/>
        <v>5.1985330959472217E-4</v>
      </c>
      <c r="F135" s="98">
        <v>313446.19420588802</v>
      </c>
      <c r="G135" s="110">
        <f t="shared" si="8"/>
        <v>6.1323446204202014E-4</v>
      </c>
      <c r="H135" s="98">
        <v>315066.77506199398</v>
      </c>
      <c r="I135" s="110">
        <f t="shared" si="9"/>
        <v>6.1323446204202047E-4</v>
      </c>
      <c r="J135" s="98">
        <v>315064.484535094</v>
      </c>
      <c r="K135" s="110">
        <f t="shared" si="10"/>
        <v>6.1323446204202014E-4</v>
      </c>
      <c r="L135" s="98">
        <v>315062.45082833699</v>
      </c>
      <c r="M135" s="110">
        <f t="shared" si="11"/>
        <v>6.132344620420196E-4</v>
      </c>
      <c r="N135" s="98">
        <v>315062.45082833699</v>
      </c>
      <c r="O135" s="110">
        <f t="shared" si="12"/>
        <v>6.132344620420196E-4</v>
      </c>
    </row>
    <row r="136" spans="2:15" x14ac:dyDescent="0.35">
      <c r="B136" s="100">
        <v>355</v>
      </c>
      <c r="C136" s="101" t="s">
        <v>356</v>
      </c>
      <c r="D136" s="98">
        <v>1380921.48758046</v>
      </c>
      <c r="E136" s="110">
        <f t="shared" si="7"/>
        <v>2.6411145721655692E-3</v>
      </c>
      <c r="F136" s="98">
        <v>1524607.19185373</v>
      </c>
      <c r="G136" s="110">
        <f t="shared" si="8"/>
        <v>2.9827820161941348E-3</v>
      </c>
      <c r="H136" s="98">
        <v>1532489.72248856</v>
      </c>
      <c r="I136" s="110">
        <f t="shared" si="9"/>
        <v>2.9827820161941313E-3</v>
      </c>
      <c r="J136" s="98">
        <v>1532478.5813298901</v>
      </c>
      <c r="K136" s="110">
        <f t="shared" si="10"/>
        <v>2.9827820161941344E-3</v>
      </c>
      <c r="L136" s="98">
        <v>1532468.6893484099</v>
      </c>
      <c r="M136" s="110">
        <f t="shared" si="11"/>
        <v>2.9827820161941305E-3</v>
      </c>
      <c r="N136" s="98">
        <v>1532468.6893484099</v>
      </c>
      <c r="O136" s="110">
        <f t="shared" si="12"/>
        <v>2.9827820161941305E-3</v>
      </c>
    </row>
    <row r="137" spans="2:15" x14ac:dyDescent="0.35">
      <c r="B137" s="100">
        <v>356</v>
      </c>
      <c r="C137" s="101" t="s">
        <v>212</v>
      </c>
      <c r="D137" s="98">
        <v>1137446.32070353</v>
      </c>
      <c r="E137" s="110">
        <f t="shared" si="7"/>
        <v>2.1754502914787671E-3</v>
      </c>
      <c r="F137" s="98">
        <v>1186182.1940774899</v>
      </c>
      <c r="G137" s="110">
        <f t="shared" si="8"/>
        <v>2.3206783592055126E-3</v>
      </c>
      <c r="H137" s="98">
        <v>1192314.9983389899</v>
      </c>
      <c r="I137" s="110">
        <f t="shared" si="9"/>
        <v>2.3206783592055204E-3</v>
      </c>
      <c r="J137" s="98">
        <v>1192306.33024132</v>
      </c>
      <c r="K137" s="110">
        <f t="shared" si="10"/>
        <v>2.3206783592055078E-3</v>
      </c>
      <c r="L137" s="98">
        <v>1192298.63403449</v>
      </c>
      <c r="M137" s="110">
        <f t="shared" si="11"/>
        <v>2.3206783592055213E-3</v>
      </c>
      <c r="N137" s="98">
        <v>1192298.63403449</v>
      </c>
      <c r="O137" s="110">
        <f t="shared" si="12"/>
        <v>2.3206783592055213E-3</v>
      </c>
    </row>
    <row r="138" spans="2:15" x14ac:dyDescent="0.35">
      <c r="B138" s="100">
        <v>358</v>
      </c>
      <c r="C138" s="101" t="s">
        <v>12</v>
      </c>
      <c r="D138" s="98">
        <v>89856.318686878905</v>
      </c>
      <c r="E138" s="110">
        <f t="shared" si="7"/>
        <v>1.7185686139252113E-4</v>
      </c>
      <c r="F138" s="98">
        <v>76854.239126173197</v>
      </c>
      <c r="G138" s="110">
        <f t="shared" si="8"/>
        <v>1.5035967530436926E-4</v>
      </c>
      <c r="H138" s="98">
        <v>77251.591242551498</v>
      </c>
      <c r="I138" s="110">
        <f t="shared" si="9"/>
        <v>1.5035967530436915E-4</v>
      </c>
      <c r="J138" s="98">
        <v>77251.029625580806</v>
      </c>
      <c r="K138" s="110">
        <f t="shared" si="10"/>
        <v>1.5035967530436926E-4</v>
      </c>
      <c r="L138" s="98">
        <v>77250.5309786414</v>
      </c>
      <c r="M138" s="110">
        <f t="shared" si="11"/>
        <v>1.5035967530436917E-4</v>
      </c>
      <c r="N138" s="98">
        <v>77250.5309786414</v>
      </c>
      <c r="O138" s="110">
        <f t="shared" si="12"/>
        <v>1.5035967530436917E-4</v>
      </c>
    </row>
    <row r="139" spans="2:15" x14ac:dyDescent="0.35">
      <c r="B139" s="100">
        <v>361</v>
      </c>
      <c r="C139" s="101" t="s">
        <v>17</v>
      </c>
      <c r="D139" s="98">
        <v>2607927.5170086399</v>
      </c>
      <c r="E139" s="110">
        <f t="shared" ref="E139:E202" si="13">+D139/D$10</f>
        <v>4.9878544365265847E-3</v>
      </c>
      <c r="F139" s="98">
        <v>2607361.4811306102</v>
      </c>
      <c r="G139" s="110">
        <f t="shared" ref="G139:G202" si="14">+F139/F$10</f>
        <v>5.1011112745556475E-3</v>
      </c>
      <c r="H139" s="98">
        <v>2620842.0726304399</v>
      </c>
      <c r="I139" s="110">
        <f t="shared" ref="I139:I202" si="15">+H139/H$10</f>
        <v>5.1011112745556345E-3</v>
      </c>
      <c r="J139" s="98">
        <v>2620823.01917974</v>
      </c>
      <c r="K139" s="110">
        <f t="shared" ref="K139:K202" si="16">+J139/J$10</f>
        <v>5.1011112745556458E-3</v>
      </c>
      <c r="L139" s="98">
        <v>2620806.10205406</v>
      </c>
      <c r="M139" s="110">
        <f t="shared" ref="M139:M202" si="17">+L139/L$10</f>
        <v>5.1011112745556466E-3</v>
      </c>
      <c r="N139" s="98">
        <v>2620806.10205406</v>
      </c>
      <c r="O139" s="110">
        <f t="shared" ref="O139:O202" si="18">+N139/N$10</f>
        <v>5.1011112745556466E-3</v>
      </c>
    </row>
    <row r="140" spans="2:15" x14ac:dyDescent="0.35">
      <c r="B140" s="100">
        <v>362</v>
      </c>
      <c r="C140" s="101" t="s">
        <v>25</v>
      </c>
      <c r="D140" s="98">
        <v>423534.90714992199</v>
      </c>
      <c r="E140" s="110">
        <f t="shared" si="13"/>
        <v>8.1004186346204151E-4</v>
      </c>
      <c r="F140" s="98">
        <v>221032.68223118901</v>
      </c>
      <c r="G140" s="110">
        <f t="shared" si="14"/>
        <v>4.3243421195509859E-4</v>
      </c>
      <c r="H140" s="98">
        <v>222175.46635177801</v>
      </c>
      <c r="I140" s="110">
        <f t="shared" si="15"/>
        <v>4.3243421195509837E-4</v>
      </c>
      <c r="J140" s="98">
        <v>222173.85114217</v>
      </c>
      <c r="K140" s="110">
        <f t="shared" si="16"/>
        <v>4.3243421195509783E-4</v>
      </c>
      <c r="L140" s="98">
        <v>222172.41703428299</v>
      </c>
      <c r="M140" s="110">
        <f t="shared" si="17"/>
        <v>4.3243421195509815E-4</v>
      </c>
      <c r="N140" s="98">
        <v>222172.41703428299</v>
      </c>
      <c r="O140" s="110">
        <f t="shared" si="18"/>
        <v>4.3243421195509815E-4</v>
      </c>
    </row>
    <row r="141" spans="2:15" x14ac:dyDescent="0.35">
      <c r="B141" s="100">
        <v>363</v>
      </c>
      <c r="C141" s="101" t="s">
        <v>26</v>
      </c>
      <c r="D141" s="98">
        <v>59367783.820053801</v>
      </c>
      <c r="E141" s="110">
        <f t="shared" si="13"/>
        <v>0.11354528144756929</v>
      </c>
      <c r="F141" s="98">
        <v>55991321.387325399</v>
      </c>
      <c r="G141" s="110">
        <f t="shared" si="14"/>
        <v>0.10954290875015306</v>
      </c>
      <c r="H141" s="98">
        <v>56280807.957032301</v>
      </c>
      <c r="I141" s="110">
        <f t="shared" si="15"/>
        <v>0.10954290875015293</v>
      </c>
      <c r="J141" s="98">
        <v>56280398.797086701</v>
      </c>
      <c r="K141" s="110">
        <f t="shared" si="16"/>
        <v>0.10954290875015309</v>
      </c>
      <c r="L141" s="98">
        <v>56280035.513273597</v>
      </c>
      <c r="M141" s="110">
        <f t="shared" si="17"/>
        <v>0.10954290875015303</v>
      </c>
      <c r="N141" s="98">
        <v>56280035.513273597</v>
      </c>
      <c r="O141" s="110">
        <f t="shared" si="18"/>
        <v>0.10954290875015303</v>
      </c>
    </row>
    <row r="142" spans="2:15" x14ac:dyDescent="0.35">
      <c r="B142" s="100">
        <v>370</v>
      </c>
      <c r="C142" s="101" t="s">
        <v>38</v>
      </c>
      <c r="D142" s="98">
        <v>29114.179431801302</v>
      </c>
      <c r="E142" s="110">
        <f t="shared" si="13"/>
        <v>5.5683023434374106E-5</v>
      </c>
      <c r="F142" s="98">
        <v>22309.745800377499</v>
      </c>
      <c r="G142" s="110">
        <f t="shared" si="14"/>
        <v>4.3647379413393801E-5</v>
      </c>
      <c r="H142" s="98">
        <v>22425.0917436909</v>
      </c>
      <c r="I142" s="110">
        <f t="shared" si="15"/>
        <v>4.3647379413393773E-5</v>
      </c>
      <c r="J142" s="98">
        <v>22424.9287138828</v>
      </c>
      <c r="K142" s="110">
        <f t="shared" si="16"/>
        <v>4.3647379413393733E-5</v>
      </c>
      <c r="L142" s="98">
        <v>22424.7839634228</v>
      </c>
      <c r="M142" s="110">
        <f t="shared" si="17"/>
        <v>4.3647379413393604E-5</v>
      </c>
      <c r="N142" s="98">
        <v>22424.7839634228</v>
      </c>
      <c r="O142" s="110">
        <f t="shared" si="18"/>
        <v>4.3647379413393604E-5</v>
      </c>
    </row>
    <row r="143" spans="2:15" x14ac:dyDescent="0.35">
      <c r="B143" s="100">
        <v>373</v>
      </c>
      <c r="C143" s="101" t="s">
        <v>43</v>
      </c>
      <c r="D143" s="98">
        <v>136475.15433695301</v>
      </c>
      <c r="E143" s="110">
        <f t="shared" si="13"/>
        <v>2.6101883568298816E-4</v>
      </c>
      <c r="F143" s="98">
        <v>81594.785897954906</v>
      </c>
      <c r="G143" s="110">
        <f t="shared" si="14"/>
        <v>1.5963420695642397E-4</v>
      </c>
      <c r="H143" s="98">
        <v>82016.647609561507</v>
      </c>
      <c r="I143" s="110">
        <f t="shared" si="15"/>
        <v>1.5963420695642392E-4</v>
      </c>
      <c r="J143" s="98">
        <v>82016.051350760303</v>
      </c>
      <c r="K143" s="110">
        <f t="shared" si="16"/>
        <v>1.5963420695642384E-4</v>
      </c>
      <c r="L143" s="98">
        <v>82015.521946127395</v>
      </c>
      <c r="M143" s="110">
        <f t="shared" si="17"/>
        <v>1.5963420695642395E-4</v>
      </c>
      <c r="N143" s="98">
        <v>82015.521946127395</v>
      </c>
      <c r="O143" s="110">
        <f t="shared" si="18"/>
        <v>1.5963420695642395E-4</v>
      </c>
    </row>
    <row r="144" spans="2:15" x14ac:dyDescent="0.35">
      <c r="B144" s="100">
        <v>375</v>
      </c>
      <c r="C144" s="101" t="s">
        <v>49</v>
      </c>
      <c r="D144" s="98">
        <v>1042063.75779416</v>
      </c>
      <c r="E144" s="110">
        <f t="shared" si="13"/>
        <v>1.9930240789126758E-3</v>
      </c>
      <c r="F144" s="98">
        <v>1058999.31007129</v>
      </c>
      <c r="G144" s="110">
        <f t="shared" si="14"/>
        <v>2.071854385916927E-3</v>
      </c>
      <c r="H144" s="98">
        <v>1064474.5528410401</v>
      </c>
      <c r="I144" s="110">
        <f t="shared" si="15"/>
        <v>2.0718543859169314E-3</v>
      </c>
      <c r="J144" s="98">
        <v>1064466.8141399401</v>
      </c>
      <c r="K144" s="110">
        <f t="shared" si="16"/>
        <v>2.0718543859169231E-3</v>
      </c>
      <c r="L144" s="98">
        <v>1064459.94312319</v>
      </c>
      <c r="M144" s="110">
        <f t="shared" si="17"/>
        <v>2.0718543859169335E-3</v>
      </c>
      <c r="N144" s="98">
        <v>1064459.94312319</v>
      </c>
      <c r="O144" s="110">
        <f t="shared" si="18"/>
        <v>2.0718543859169335E-3</v>
      </c>
    </row>
    <row r="145" spans="2:15" x14ac:dyDescent="0.35">
      <c r="B145" s="100">
        <v>376</v>
      </c>
      <c r="C145" s="101" t="s">
        <v>51</v>
      </c>
      <c r="D145" s="98">
        <v>57569.733844911003</v>
      </c>
      <c r="E145" s="110">
        <f t="shared" si="13"/>
        <v>1.1010637776365881E-4</v>
      </c>
      <c r="F145" s="98">
        <v>41829.049921002603</v>
      </c>
      <c r="G145" s="110">
        <f t="shared" si="14"/>
        <v>8.1835464587539045E-5</v>
      </c>
      <c r="H145" s="98">
        <v>42045.314654102302</v>
      </c>
      <c r="I145" s="110">
        <f t="shared" si="15"/>
        <v>8.1835464587538936E-5</v>
      </c>
      <c r="J145" s="98">
        <v>42045.008985806402</v>
      </c>
      <c r="K145" s="110">
        <f t="shared" si="16"/>
        <v>8.1835464587538923E-5</v>
      </c>
      <c r="L145" s="98">
        <v>42044.737589876197</v>
      </c>
      <c r="M145" s="110">
        <f t="shared" si="17"/>
        <v>8.1835464587538977E-5</v>
      </c>
      <c r="N145" s="98">
        <v>42044.737589876197</v>
      </c>
      <c r="O145" s="110">
        <f t="shared" si="18"/>
        <v>8.1835464587538977E-5</v>
      </c>
    </row>
    <row r="146" spans="2:15" x14ac:dyDescent="0.35">
      <c r="B146" s="100">
        <v>377</v>
      </c>
      <c r="C146" s="101" t="s">
        <v>52</v>
      </c>
      <c r="D146" s="98">
        <v>83951.254133796203</v>
      </c>
      <c r="E146" s="110">
        <f t="shared" si="13"/>
        <v>1.6056298829329732E-4</v>
      </c>
      <c r="F146" s="98">
        <v>48932.839474166998</v>
      </c>
      <c r="G146" s="110">
        <f t="shared" si="14"/>
        <v>9.5733507204170875E-5</v>
      </c>
      <c r="H146" s="98">
        <v>49185.832250447602</v>
      </c>
      <c r="I146" s="110">
        <f t="shared" si="15"/>
        <v>9.5733507204170902E-5</v>
      </c>
      <c r="J146" s="98">
        <v>49185.4746707827</v>
      </c>
      <c r="K146" s="110">
        <f t="shared" si="16"/>
        <v>9.573350720417097E-5</v>
      </c>
      <c r="L146" s="98">
        <v>49185.157183928197</v>
      </c>
      <c r="M146" s="110">
        <f t="shared" si="17"/>
        <v>9.5733507204171051E-5</v>
      </c>
      <c r="N146" s="98">
        <v>49185.157183928197</v>
      </c>
      <c r="O146" s="110">
        <f t="shared" si="18"/>
        <v>9.5733507204171051E-5</v>
      </c>
    </row>
    <row r="147" spans="2:15" x14ac:dyDescent="0.35">
      <c r="B147" s="100">
        <v>383</v>
      </c>
      <c r="C147" s="101" t="s">
        <v>69</v>
      </c>
      <c r="D147" s="98">
        <v>96107.033959926004</v>
      </c>
      <c r="E147" s="110">
        <f t="shared" si="13"/>
        <v>1.8381181708158645E-4</v>
      </c>
      <c r="F147" s="98">
        <v>82864.770115687701</v>
      </c>
      <c r="G147" s="110">
        <f t="shared" si="14"/>
        <v>1.6211883782117669E-4</v>
      </c>
      <c r="H147" s="98">
        <v>83293.197905137495</v>
      </c>
      <c r="I147" s="110">
        <f t="shared" si="15"/>
        <v>1.6211883782117661E-4</v>
      </c>
      <c r="J147" s="98">
        <v>83292.592365850302</v>
      </c>
      <c r="K147" s="110">
        <f t="shared" si="16"/>
        <v>1.6211883782117653E-4</v>
      </c>
      <c r="L147" s="98">
        <v>83292.054721284905</v>
      </c>
      <c r="M147" s="110">
        <f t="shared" si="17"/>
        <v>1.6211883782117666E-4</v>
      </c>
      <c r="N147" s="98">
        <v>83292.054721284905</v>
      </c>
      <c r="O147" s="110">
        <f t="shared" si="18"/>
        <v>1.6211883782117666E-4</v>
      </c>
    </row>
    <row r="148" spans="2:15" x14ac:dyDescent="0.35">
      <c r="B148" s="100">
        <v>384</v>
      </c>
      <c r="C148" s="101" t="s">
        <v>85</v>
      </c>
      <c r="D148" s="98">
        <v>497477.77769670699</v>
      </c>
      <c r="E148" s="110">
        <f t="shared" si="13"/>
        <v>9.51463077242298E-4</v>
      </c>
      <c r="F148" s="98">
        <v>436638.97214863403</v>
      </c>
      <c r="G148" s="110">
        <f t="shared" si="14"/>
        <v>8.5425208581817365E-4</v>
      </c>
      <c r="H148" s="98">
        <v>438896.48483302502</v>
      </c>
      <c r="I148" s="110">
        <f t="shared" si="15"/>
        <v>8.5425208581817419E-4</v>
      </c>
      <c r="J148" s="98">
        <v>438893.29406749702</v>
      </c>
      <c r="K148" s="110">
        <f t="shared" si="16"/>
        <v>8.5425208581817332E-4</v>
      </c>
      <c r="L148" s="98">
        <v>438890.46105933102</v>
      </c>
      <c r="M148" s="110">
        <f t="shared" si="17"/>
        <v>8.5425208581817419E-4</v>
      </c>
      <c r="N148" s="98">
        <v>438890.46105933102</v>
      </c>
      <c r="O148" s="110">
        <f t="shared" si="18"/>
        <v>8.5425208581817419E-4</v>
      </c>
    </row>
    <row r="149" spans="2:15" x14ac:dyDescent="0.35">
      <c r="B149" s="100">
        <v>385</v>
      </c>
      <c r="C149" s="101" t="s">
        <v>97</v>
      </c>
      <c r="D149" s="98">
        <v>127973.112608929</v>
      </c>
      <c r="E149" s="110">
        <f t="shared" si="13"/>
        <v>2.4475805148707592E-4</v>
      </c>
      <c r="F149" s="98">
        <v>88476.423967316296</v>
      </c>
      <c r="G149" s="110">
        <f t="shared" si="14"/>
        <v>1.7309762650798106E-4</v>
      </c>
      <c r="H149" s="98">
        <v>88933.865153550505</v>
      </c>
      <c r="I149" s="110">
        <f t="shared" si="15"/>
        <v>1.7309762650798111E-4</v>
      </c>
      <c r="J149" s="98">
        <v>88933.2186067656</v>
      </c>
      <c r="K149" s="110">
        <f t="shared" si="16"/>
        <v>1.7309762650798106E-4</v>
      </c>
      <c r="L149" s="98">
        <v>88932.644552575293</v>
      </c>
      <c r="M149" s="110">
        <f t="shared" si="17"/>
        <v>1.7309762650798117E-4</v>
      </c>
      <c r="N149" s="98">
        <v>88932.644552575293</v>
      </c>
      <c r="O149" s="110">
        <f t="shared" si="18"/>
        <v>1.7309762650798117E-4</v>
      </c>
    </row>
    <row r="150" spans="2:15" x14ac:dyDescent="0.35">
      <c r="B150" s="100">
        <v>388</v>
      </c>
      <c r="C150" s="101" t="s">
        <v>105</v>
      </c>
      <c r="D150" s="98">
        <v>366782.02905706299</v>
      </c>
      <c r="E150" s="110">
        <f t="shared" si="13"/>
        <v>7.0149778279456434E-4</v>
      </c>
      <c r="F150" s="98">
        <v>364300.13611425902</v>
      </c>
      <c r="G150" s="110">
        <f t="shared" si="14"/>
        <v>7.127264650886796E-4</v>
      </c>
      <c r="H150" s="98">
        <v>366183.64223868097</v>
      </c>
      <c r="I150" s="110">
        <f t="shared" si="15"/>
        <v>7.1272646508867981E-4</v>
      </c>
      <c r="J150" s="98">
        <v>366180.98009354499</v>
      </c>
      <c r="K150" s="110">
        <f t="shared" si="16"/>
        <v>7.1272646508868036E-4</v>
      </c>
      <c r="L150" s="98">
        <v>366178.61643540498</v>
      </c>
      <c r="M150" s="110">
        <f t="shared" si="17"/>
        <v>7.1272646508867981E-4</v>
      </c>
      <c r="N150" s="98">
        <v>366178.61643540498</v>
      </c>
      <c r="O150" s="110">
        <f t="shared" si="18"/>
        <v>7.1272646508867981E-4</v>
      </c>
    </row>
    <row r="151" spans="2:15" x14ac:dyDescent="0.35">
      <c r="B151" s="100">
        <v>392</v>
      </c>
      <c r="C151" s="101" t="s">
        <v>126</v>
      </c>
      <c r="D151" s="98">
        <v>3710902.4534118101</v>
      </c>
      <c r="E151" s="110">
        <f t="shared" si="13"/>
        <v>7.0973756536754874E-3</v>
      </c>
      <c r="F151" s="98">
        <v>3506105.3133475902</v>
      </c>
      <c r="G151" s="110">
        <f t="shared" si="14"/>
        <v>6.8594375859006339E-3</v>
      </c>
      <c r="H151" s="98">
        <v>3524232.5940590198</v>
      </c>
      <c r="I151" s="110">
        <f t="shared" si="15"/>
        <v>6.8594375859006183E-3</v>
      </c>
      <c r="J151" s="98">
        <v>3524206.9729837598</v>
      </c>
      <c r="K151" s="110">
        <f t="shared" si="16"/>
        <v>6.8594375859006313E-3</v>
      </c>
      <c r="L151" s="98">
        <v>3524184.2246135501</v>
      </c>
      <c r="M151" s="110">
        <f t="shared" si="17"/>
        <v>6.8594375859006261E-3</v>
      </c>
      <c r="N151" s="98">
        <v>3524184.2246135501</v>
      </c>
      <c r="O151" s="110">
        <f t="shared" si="18"/>
        <v>6.8594375859006261E-3</v>
      </c>
    </row>
    <row r="152" spans="2:15" x14ac:dyDescent="0.35">
      <c r="B152" s="100">
        <v>393</v>
      </c>
      <c r="C152" s="101" t="s">
        <v>811</v>
      </c>
      <c r="D152" s="98">
        <v>26949.5981967183</v>
      </c>
      <c r="E152" s="110">
        <f t="shared" si="13"/>
        <v>5.1543101582169045E-5</v>
      </c>
      <c r="F152" s="98">
        <v>14676.332338092299</v>
      </c>
      <c r="G152" s="110">
        <f t="shared" si="14"/>
        <v>2.8713166509810091E-5</v>
      </c>
      <c r="H152" s="98">
        <v>14752.211974420999</v>
      </c>
      <c r="I152" s="110">
        <f t="shared" si="15"/>
        <v>2.8713166509810088E-5</v>
      </c>
      <c r="J152" s="98">
        <v>14752.104726240501</v>
      </c>
      <c r="K152" s="110">
        <f t="shared" si="16"/>
        <v>2.8713166509810078E-5</v>
      </c>
      <c r="L152" s="98">
        <v>14752.009503019501</v>
      </c>
      <c r="M152" s="110">
        <f t="shared" si="17"/>
        <v>2.871316650981019E-5</v>
      </c>
      <c r="N152" s="98">
        <v>14752.009503019501</v>
      </c>
      <c r="O152" s="110">
        <f t="shared" si="18"/>
        <v>2.871316650981019E-5</v>
      </c>
    </row>
    <row r="153" spans="2:15" x14ac:dyDescent="0.35">
      <c r="B153" s="100">
        <v>394</v>
      </c>
      <c r="C153" s="101" t="s">
        <v>127</v>
      </c>
      <c r="D153" s="98">
        <v>865347.18806905195</v>
      </c>
      <c r="E153" s="110">
        <f t="shared" si="13"/>
        <v>1.6550405572992488E-3</v>
      </c>
      <c r="F153" s="98">
        <v>391847.00922517403</v>
      </c>
      <c r="G153" s="110">
        <f t="shared" si="14"/>
        <v>7.6661989951339537E-4</v>
      </c>
      <c r="H153" s="98">
        <v>393872.93831096601</v>
      </c>
      <c r="I153" s="110">
        <f t="shared" si="15"/>
        <v>7.6661989951339461E-4</v>
      </c>
      <c r="J153" s="98">
        <v>393870.07486539899</v>
      </c>
      <c r="K153" s="110">
        <f t="shared" si="16"/>
        <v>7.6661989951339429E-4</v>
      </c>
      <c r="L153" s="98">
        <v>393867.53247718402</v>
      </c>
      <c r="M153" s="110">
        <f t="shared" si="17"/>
        <v>7.6661989951339494E-4</v>
      </c>
      <c r="N153" s="98">
        <v>393867.53247718402</v>
      </c>
      <c r="O153" s="110">
        <f t="shared" si="18"/>
        <v>7.6661989951339494E-4</v>
      </c>
    </row>
    <row r="154" spans="2:15" x14ac:dyDescent="0.35">
      <c r="B154" s="100">
        <v>396</v>
      </c>
      <c r="C154" s="101" t="s">
        <v>134</v>
      </c>
      <c r="D154" s="98">
        <v>936104.72676122503</v>
      </c>
      <c r="E154" s="110">
        <f t="shared" si="13"/>
        <v>1.7903695881030938E-3</v>
      </c>
      <c r="F154" s="98">
        <v>926883.82073759905</v>
      </c>
      <c r="G154" s="110">
        <f t="shared" si="14"/>
        <v>1.8133801325152493E-3</v>
      </c>
      <c r="H154" s="98">
        <v>931675.99943840306</v>
      </c>
      <c r="I154" s="110">
        <f t="shared" si="15"/>
        <v>1.8133801325152491E-3</v>
      </c>
      <c r="J154" s="98">
        <v>931669.22617918404</v>
      </c>
      <c r="K154" s="110">
        <f t="shared" si="16"/>
        <v>1.8133801325152482E-3</v>
      </c>
      <c r="L154" s="98">
        <v>931663.21235632198</v>
      </c>
      <c r="M154" s="110">
        <f t="shared" si="17"/>
        <v>1.8133801325152495E-3</v>
      </c>
      <c r="N154" s="98">
        <v>931663.21235632198</v>
      </c>
      <c r="O154" s="110">
        <f t="shared" si="18"/>
        <v>1.8133801325152495E-3</v>
      </c>
    </row>
    <row r="155" spans="2:15" x14ac:dyDescent="0.35">
      <c r="B155" s="100">
        <v>397</v>
      </c>
      <c r="C155" s="101" t="s">
        <v>135</v>
      </c>
      <c r="D155" s="98">
        <v>115301.22728219601</v>
      </c>
      <c r="E155" s="110">
        <f t="shared" si="13"/>
        <v>2.2052213272250856E-4</v>
      </c>
      <c r="F155" s="98">
        <v>58591.923107283998</v>
      </c>
      <c r="G155" s="110">
        <f t="shared" si="14"/>
        <v>1.1463079504835718E-4</v>
      </c>
      <c r="H155" s="98">
        <v>58894.855319144597</v>
      </c>
      <c r="I155" s="110">
        <f t="shared" si="15"/>
        <v>1.1463079504835711E-4</v>
      </c>
      <c r="J155" s="98">
        <v>58894.427155145597</v>
      </c>
      <c r="K155" s="110">
        <f t="shared" si="16"/>
        <v>1.1463079504835715E-4</v>
      </c>
      <c r="L155" s="98">
        <v>58894.0469980657</v>
      </c>
      <c r="M155" s="110">
        <f t="shared" si="17"/>
        <v>1.1463079504835729E-4</v>
      </c>
      <c r="N155" s="98">
        <v>58894.0469980657</v>
      </c>
      <c r="O155" s="110">
        <f t="shared" si="18"/>
        <v>1.1463079504835729E-4</v>
      </c>
    </row>
    <row r="156" spans="2:15" x14ac:dyDescent="0.35">
      <c r="B156" s="100">
        <v>398</v>
      </c>
      <c r="C156" s="101" t="s">
        <v>138</v>
      </c>
      <c r="D156" s="98">
        <v>634275.47022732196</v>
      </c>
      <c r="E156" s="110">
        <f t="shared" si="13"/>
        <v>1.2130987910975949E-3</v>
      </c>
      <c r="F156" s="98">
        <v>544122.47773765505</v>
      </c>
      <c r="G156" s="110">
        <f t="shared" si="14"/>
        <v>1.0645356717945882E-3</v>
      </c>
      <c r="H156" s="98">
        <v>546935.70210310805</v>
      </c>
      <c r="I156" s="110">
        <f t="shared" si="15"/>
        <v>1.0645356717945884E-3</v>
      </c>
      <c r="J156" s="98">
        <v>546931.725895404</v>
      </c>
      <c r="K156" s="110">
        <f t="shared" si="16"/>
        <v>1.0645356717945873E-3</v>
      </c>
      <c r="L156" s="98">
        <v>546928.19551098801</v>
      </c>
      <c r="M156" s="110">
        <f t="shared" si="17"/>
        <v>1.0645356717945886E-3</v>
      </c>
      <c r="N156" s="98">
        <v>546928.19551098801</v>
      </c>
      <c r="O156" s="110">
        <f t="shared" si="18"/>
        <v>1.0645356717945886E-3</v>
      </c>
    </row>
    <row r="157" spans="2:15" x14ac:dyDescent="0.35">
      <c r="B157" s="100">
        <v>399</v>
      </c>
      <c r="C157" s="101" t="s">
        <v>141</v>
      </c>
      <c r="D157" s="98">
        <v>117451.26756760701</v>
      </c>
      <c r="E157" s="110">
        <f t="shared" si="13"/>
        <v>2.2463424393202519E-4</v>
      </c>
      <c r="F157" s="98">
        <v>131318.81579061999</v>
      </c>
      <c r="G157" s="110">
        <f t="shared" si="14"/>
        <v>2.5691562011584081E-4</v>
      </c>
      <c r="H157" s="98">
        <v>131997.760894598</v>
      </c>
      <c r="I157" s="110">
        <f t="shared" si="15"/>
        <v>2.5691562011583995E-4</v>
      </c>
      <c r="J157" s="98">
        <v>131996.80127446001</v>
      </c>
      <c r="K157" s="110">
        <f t="shared" si="16"/>
        <v>2.5691562011583924E-4</v>
      </c>
      <c r="L157" s="98">
        <v>131995.94924955801</v>
      </c>
      <c r="M157" s="110">
        <f t="shared" si="17"/>
        <v>2.5691562011583962E-4</v>
      </c>
      <c r="N157" s="98">
        <v>131995.94924955801</v>
      </c>
      <c r="O157" s="110">
        <f t="shared" si="18"/>
        <v>2.5691562011583962E-4</v>
      </c>
    </row>
    <row r="158" spans="2:15" x14ac:dyDescent="0.35">
      <c r="B158" s="100">
        <v>400</v>
      </c>
      <c r="C158" s="101" t="s">
        <v>82</v>
      </c>
      <c r="D158" s="98">
        <v>2480194.9070164799</v>
      </c>
      <c r="E158" s="110">
        <f t="shared" si="13"/>
        <v>4.7435563640980619E-3</v>
      </c>
      <c r="F158" s="98">
        <v>2305689.4237127402</v>
      </c>
      <c r="G158" s="110">
        <f t="shared" si="14"/>
        <v>4.5109120465431935E-3</v>
      </c>
      <c r="H158" s="98">
        <v>2317610.3090489302</v>
      </c>
      <c r="I158" s="110">
        <f t="shared" si="15"/>
        <v>4.5109120465431874E-3</v>
      </c>
      <c r="J158" s="98">
        <v>2317593.46008491</v>
      </c>
      <c r="K158" s="110">
        <f t="shared" si="16"/>
        <v>4.5109120465431831E-3</v>
      </c>
      <c r="L158" s="98">
        <v>2317578.5002728398</v>
      </c>
      <c r="M158" s="110">
        <f t="shared" si="17"/>
        <v>4.5109120465431866E-3</v>
      </c>
      <c r="N158" s="98">
        <v>2317578.5002728398</v>
      </c>
      <c r="O158" s="110">
        <f t="shared" si="18"/>
        <v>4.5109120465431866E-3</v>
      </c>
    </row>
    <row r="159" spans="2:15" x14ac:dyDescent="0.35">
      <c r="B159" s="100">
        <v>402</v>
      </c>
      <c r="C159" s="101" t="s">
        <v>152</v>
      </c>
      <c r="D159" s="98">
        <v>2116476.5246983701</v>
      </c>
      <c r="E159" s="110">
        <f t="shared" si="13"/>
        <v>4.0479180324880784E-3</v>
      </c>
      <c r="F159" s="98">
        <v>2049028.56332003</v>
      </c>
      <c r="G159" s="110">
        <f t="shared" si="14"/>
        <v>4.0087739202567356E-3</v>
      </c>
      <c r="H159" s="98">
        <v>2059622.4595762701</v>
      </c>
      <c r="I159" s="110">
        <f t="shared" si="15"/>
        <v>4.0087739202567365E-3</v>
      </c>
      <c r="J159" s="98">
        <v>2059607.4861769101</v>
      </c>
      <c r="K159" s="110">
        <f t="shared" si="16"/>
        <v>4.0087739202567304E-3</v>
      </c>
      <c r="L159" s="98">
        <v>2059594.1916360599</v>
      </c>
      <c r="M159" s="110">
        <f t="shared" si="17"/>
        <v>4.0087739202567356E-3</v>
      </c>
      <c r="N159" s="98">
        <v>2059594.1916360599</v>
      </c>
      <c r="O159" s="110">
        <f t="shared" si="18"/>
        <v>4.0087739202567356E-3</v>
      </c>
    </row>
    <row r="160" spans="2:15" x14ac:dyDescent="0.35">
      <c r="B160" s="100">
        <v>405</v>
      </c>
      <c r="C160" s="101" t="s">
        <v>157</v>
      </c>
      <c r="D160" s="98">
        <v>1752340.18902405</v>
      </c>
      <c r="E160" s="110">
        <f t="shared" si="13"/>
        <v>3.3514803341439976E-3</v>
      </c>
      <c r="F160" s="98">
        <v>1839616.72627216</v>
      </c>
      <c r="G160" s="110">
        <f t="shared" si="14"/>
        <v>3.59907503856309E-3</v>
      </c>
      <c r="H160" s="98">
        <v>1849127.9205513599</v>
      </c>
      <c r="I160" s="110">
        <f t="shared" si="15"/>
        <v>3.5990750385630856E-3</v>
      </c>
      <c r="J160" s="98">
        <v>1849114.47744159</v>
      </c>
      <c r="K160" s="110">
        <f t="shared" si="16"/>
        <v>3.5990750385630934E-3</v>
      </c>
      <c r="L160" s="98">
        <v>1849102.54161006</v>
      </c>
      <c r="M160" s="110">
        <f t="shared" si="17"/>
        <v>3.599075038563083E-3</v>
      </c>
      <c r="N160" s="98">
        <v>1849102.54161006</v>
      </c>
      <c r="O160" s="110">
        <f t="shared" si="18"/>
        <v>3.599075038563083E-3</v>
      </c>
    </row>
    <row r="161" spans="2:15" x14ac:dyDescent="0.35">
      <c r="B161" s="100">
        <v>406</v>
      </c>
      <c r="C161" s="101" t="s">
        <v>160</v>
      </c>
      <c r="D161" s="98">
        <v>672775.22829977202</v>
      </c>
      <c r="E161" s="110">
        <f t="shared" si="13"/>
        <v>1.2867324284799465E-3</v>
      </c>
      <c r="F161" s="98">
        <v>688842.04909766302</v>
      </c>
      <c r="G161" s="110">
        <f t="shared" si="14"/>
        <v>1.3476688861401816E-3</v>
      </c>
      <c r="H161" s="98">
        <v>692403.50321094901</v>
      </c>
      <c r="I161" s="110">
        <f t="shared" si="15"/>
        <v>1.3476688861401818E-3</v>
      </c>
      <c r="J161" s="98">
        <v>692398.46945628105</v>
      </c>
      <c r="K161" s="110">
        <f t="shared" si="16"/>
        <v>1.3476688861401816E-3</v>
      </c>
      <c r="L161" s="98">
        <v>692394.00009995897</v>
      </c>
      <c r="M161" s="110">
        <f t="shared" si="17"/>
        <v>1.347668886140181E-3</v>
      </c>
      <c r="N161" s="98">
        <v>692394.00009995897</v>
      </c>
      <c r="O161" s="110">
        <f t="shared" si="18"/>
        <v>1.347668886140181E-3</v>
      </c>
    </row>
    <row r="162" spans="2:15" x14ac:dyDescent="0.35">
      <c r="B162" s="100">
        <v>415</v>
      </c>
      <c r="C162" s="101" t="s">
        <v>174</v>
      </c>
      <c r="D162" s="98">
        <v>41956.691608927897</v>
      </c>
      <c r="E162" s="110">
        <f t="shared" si="13"/>
        <v>8.0245278681522278E-5</v>
      </c>
      <c r="F162" s="98">
        <v>27021.970811675401</v>
      </c>
      <c r="G162" s="110">
        <f t="shared" si="14"/>
        <v>5.2866501620780102E-5</v>
      </c>
      <c r="H162" s="98">
        <v>27161.679920929699</v>
      </c>
      <c r="I162" s="110">
        <f t="shared" si="15"/>
        <v>5.2866501620780122E-5</v>
      </c>
      <c r="J162" s="98">
        <v>27161.482456254202</v>
      </c>
      <c r="K162" s="110">
        <f t="shared" si="16"/>
        <v>5.2866501620780163E-5</v>
      </c>
      <c r="L162" s="98">
        <v>27161.307131858401</v>
      </c>
      <c r="M162" s="110">
        <f t="shared" si="17"/>
        <v>5.2866501620780197E-5</v>
      </c>
      <c r="N162" s="98">
        <v>27161.307131858401</v>
      </c>
      <c r="O162" s="110">
        <f t="shared" si="18"/>
        <v>5.2866501620780197E-5</v>
      </c>
    </row>
    <row r="163" spans="2:15" x14ac:dyDescent="0.35">
      <c r="B163" s="100">
        <v>416</v>
      </c>
      <c r="C163" s="101" t="s">
        <v>175</v>
      </c>
      <c r="D163" s="98">
        <v>119104.07715394101</v>
      </c>
      <c r="E163" s="110">
        <f t="shared" si="13"/>
        <v>2.2779536462045051E-4</v>
      </c>
      <c r="F163" s="98">
        <v>105121.63688077799</v>
      </c>
      <c r="G163" s="110">
        <f t="shared" si="14"/>
        <v>2.0566276328503442E-4</v>
      </c>
      <c r="H163" s="98">
        <v>105665.137218127</v>
      </c>
      <c r="I163" s="110">
        <f t="shared" si="15"/>
        <v>2.0566276328503545E-4</v>
      </c>
      <c r="J163" s="98">
        <v>105664.36903544801</v>
      </c>
      <c r="K163" s="110">
        <f t="shared" si="16"/>
        <v>2.056627632850345E-4</v>
      </c>
      <c r="L163" s="98">
        <v>105663.686983514</v>
      </c>
      <c r="M163" s="110">
        <f t="shared" si="17"/>
        <v>2.0566276328503599E-4</v>
      </c>
      <c r="N163" s="98">
        <v>105663.686983514</v>
      </c>
      <c r="O163" s="110">
        <f t="shared" si="18"/>
        <v>2.0566276328503599E-4</v>
      </c>
    </row>
    <row r="164" spans="2:15" x14ac:dyDescent="0.35">
      <c r="B164" s="100">
        <v>417</v>
      </c>
      <c r="C164" s="101" t="s">
        <v>177</v>
      </c>
      <c r="D164" s="98">
        <v>35693.194032674</v>
      </c>
      <c r="E164" s="110">
        <f t="shared" si="13"/>
        <v>6.8265875891322726E-5</v>
      </c>
      <c r="F164" s="98">
        <v>22798.565822296299</v>
      </c>
      <c r="G164" s="110">
        <f t="shared" si="14"/>
        <v>4.4603719891338306E-5</v>
      </c>
      <c r="H164" s="98">
        <v>22916.439064981201</v>
      </c>
      <c r="I164" s="110">
        <f t="shared" si="15"/>
        <v>4.4603719891338354E-5</v>
      </c>
      <c r="J164" s="98">
        <v>22916.272463091402</v>
      </c>
      <c r="K164" s="110">
        <f t="shared" si="16"/>
        <v>4.4603719891338286E-5</v>
      </c>
      <c r="L164" s="98">
        <v>22916.124541061399</v>
      </c>
      <c r="M164" s="110">
        <f t="shared" si="17"/>
        <v>4.4603719891338367E-5</v>
      </c>
      <c r="N164" s="98">
        <v>22916.124541061399</v>
      </c>
      <c r="O164" s="110">
        <f t="shared" si="18"/>
        <v>4.4603719891338367E-5</v>
      </c>
    </row>
    <row r="165" spans="2:15" x14ac:dyDescent="0.35">
      <c r="B165" s="100">
        <v>420</v>
      </c>
      <c r="C165" s="101" t="s">
        <v>196</v>
      </c>
      <c r="D165" s="98">
        <v>313739.88163943699</v>
      </c>
      <c r="E165" s="110">
        <f t="shared" si="13"/>
        <v>6.0005074924227931E-4</v>
      </c>
      <c r="F165" s="98">
        <v>244680.836786764</v>
      </c>
      <c r="G165" s="110">
        <f t="shared" si="14"/>
        <v>4.7870008981625706E-4</v>
      </c>
      <c r="H165" s="98">
        <v>245945.88669734701</v>
      </c>
      <c r="I165" s="110">
        <f t="shared" si="15"/>
        <v>4.7870008981625809E-4</v>
      </c>
      <c r="J165" s="98">
        <v>245944.098677428</v>
      </c>
      <c r="K165" s="110">
        <f t="shared" si="16"/>
        <v>4.7870008981625657E-4</v>
      </c>
      <c r="L165" s="98">
        <v>245942.51113519599</v>
      </c>
      <c r="M165" s="110">
        <f t="shared" si="17"/>
        <v>4.7870008981625814E-4</v>
      </c>
      <c r="N165" s="98">
        <v>245942.51113519599</v>
      </c>
      <c r="O165" s="110">
        <f t="shared" si="18"/>
        <v>4.7870008981625814E-4</v>
      </c>
    </row>
    <row r="166" spans="2:15" x14ac:dyDescent="0.35">
      <c r="B166" s="100">
        <v>431</v>
      </c>
      <c r="C166" s="101" t="s">
        <v>235</v>
      </c>
      <c r="D166" s="98">
        <v>32552.249998691801</v>
      </c>
      <c r="E166" s="110">
        <f t="shared" si="13"/>
        <v>6.2258587907817033E-5</v>
      </c>
      <c r="F166" s="98">
        <v>23838.774828939699</v>
      </c>
      <c r="G166" s="110">
        <f t="shared" si="14"/>
        <v>4.6638812428404583E-5</v>
      </c>
      <c r="H166" s="98">
        <v>23962.026164686999</v>
      </c>
      <c r="I166" s="110">
        <f t="shared" si="15"/>
        <v>4.6638812428404502E-5</v>
      </c>
      <c r="J166" s="98">
        <v>23961.851961407399</v>
      </c>
      <c r="K166" s="110">
        <f t="shared" si="16"/>
        <v>4.6638812428404475E-5</v>
      </c>
      <c r="L166" s="98">
        <v>23961.697290276199</v>
      </c>
      <c r="M166" s="110">
        <f t="shared" si="17"/>
        <v>4.6638812428404563E-5</v>
      </c>
      <c r="N166" s="98">
        <v>23961.697290276199</v>
      </c>
      <c r="O166" s="110">
        <f t="shared" si="18"/>
        <v>4.6638812428404563E-5</v>
      </c>
    </row>
    <row r="167" spans="2:15" x14ac:dyDescent="0.35">
      <c r="B167" s="100">
        <v>432</v>
      </c>
      <c r="C167" s="101" t="s">
        <v>236</v>
      </c>
      <c r="D167" s="98">
        <v>39698.697656353303</v>
      </c>
      <c r="E167" s="110">
        <f t="shared" si="13"/>
        <v>7.5926698091936787E-5</v>
      </c>
      <c r="F167" s="98">
        <v>53476.611701136397</v>
      </c>
      <c r="G167" s="110">
        <f t="shared" si="14"/>
        <v>1.0462306390881154E-4</v>
      </c>
      <c r="H167" s="98">
        <v>53753.096708050703</v>
      </c>
      <c r="I167" s="110">
        <f t="shared" si="15"/>
        <v>1.0462306390881162E-4</v>
      </c>
      <c r="J167" s="98">
        <v>53752.705924497102</v>
      </c>
      <c r="K167" s="110">
        <f t="shared" si="16"/>
        <v>1.0462306390881149E-4</v>
      </c>
      <c r="L167" s="98">
        <v>53752.358956664903</v>
      </c>
      <c r="M167" s="110">
        <f t="shared" si="17"/>
        <v>1.0462306390881168E-4</v>
      </c>
      <c r="N167" s="98">
        <v>53752.358956664903</v>
      </c>
      <c r="O167" s="110">
        <f t="shared" si="18"/>
        <v>1.0462306390881168E-4</v>
      </c>
    </row>
    <row r="168" spans="2:15" x14ac:dyDescent="0.35">
      <c r="B168" s="100">
        <v>437</v>
      </c>
      <c r="C168" s="101" t="s">
        <v>240</v>
      </c>
      <c r="D168" s="98">
        <v>54848.468710270499</v>
      </c>
      <c r="E168" s="110">
        <f t="shared" si="13"/>
        <v>1.0490175674322851E-4</v>
      </c>
      <c r="F168" s="98">
        <v>48146.256837849003</v>
      </c>
      <c r="G168" s="110">
        <f t="shared" si="14"/>
        <v>9.4194616036402486E-5</v>
      </c>
      <c r="H168" s="98">
        <v>48395.182821213501</v>
      </c>
      <c r="I168" s="110">
        <f t="shared" si="15"/>
        <v>9.4194616036402405E-5</v>
      </c>
      <c r="J168" s="98">
        <v>48394.830989548398</v>
      </c>
      <c r="K168" s="110">
        <f t="shared" si="16"/>
        <v>9.4194616036402323E-5</v>
      </c>
      <c r="L168" s="98">
        <v>48394.518606212303</v>
      </c>
      <c r="M168" s="110">
        <f t="shared" si="17"/>
        <v>9.4194616036402391E-5</v>
      </c>
      <c r="N168" s="98">
        <v>48394.518606212303</v>
      </c>
      <c r="O168" s="110">
        <f t="shared" si="18"/>
        <v>9.4194616036402391E-5</v>
      </c>
    </row>
    <row r="169" spans="2:15" x14ac:dyDescent="0.35">
      <c r="B169" s="100">
        <v>439</v>
      </c>
      <c r="C169" s="101" t="s">
        <v>247</v>
      </c>
      <c r="D169" s="98">
        <v>1663698.85395919</v>
      </c>
      <c r="E169" s="110">
        <f t="shared" si="13"/>
        <v>3.1819472188716696E-3</v>
      </c>
      <c r="F169" s="98">
        <v>1669821.26220652</v>
      </c>
      <c r="G169" s="110">
        <f t="shared" si="14"/>
        <v>3.2668826815071498E-3</v>
      </c>
      <c r="H169" s="98">
        <v>1678454.5792499899</v>
      </c>
      <c r="I169" s="110">
        <f t="shared" si="15"/>
        <v>3.2668826815071385E-3</v>
      </c>
      <c r="J169" s="98">
        <v>1678442.37693077</v>
      </c>
      <c r="K169" s="110">
        <f t="shared" si="16"/>
        <v>3.2668826815071324E-3</v>
      </c>
      <c r="L169" s="98">
        <v>1678431.5427689799</v>
      </c>
      <c r="M169" s="110">
        <f t="shared" si="17"/>
        <v>3.2668826815071511E-3</v>
      </c>
      <c r="N169" s="98">
        <v>1678431.5427689799</v>
      </c>
      <c r="O169" s="110">
        <f t="shared" si="18"/>
        <v>3.2668826815071511E-3</v>
      </c>
    </row>
    <row r="170" spans="2:15" x14ac:dyDescent="0.35">
      <c r="B170" s="100">
        <v>441</v>
      </c>
      <c r="C170" s="101" t="s">
        <v>265</v>
      </c>
      <c r="D170" s="98">
        <v>439575.02900295402</v>
      </c>
      <c r="E170" s="110">
        <f t="shared" si="13"/>
        <v>8.4071978392773054E-4</v>
      </c>
      <c r="F170" s="98">
        <v>345540.299098638</v>
      </c>
      <c r="G170" s="110">
        <f t="shared" si="14"/>
        <v>6.7602422153642972E-4</v>
      </c>
      <c r="H170" s="98">
        <v>347326.81303335301</v>
      </c>
      <c r="I170" s="110">
        <f t="shared" si="15"/>
        <v>6.7602422153642896E-4</v>
      </c>
      <c r="J170" s="98">
        <v>347324.28797685303</v>
      </c>
      <c r="K170" s="110">
        <f t="shared" si="16"/>
        <v>6.7602422153642885E-4</v>
      </c>
      <c r="L170" s="98">
        <v>347322.04603659699</v>
      </c>
      <c r="M170" s="110">
        <f t="shared" si="17"/>
        <v>6.7602422153642961E-4</v>
      </c>
      <c r="N170" s="98">
        <v>347322.04603659699</v>
      </c>
      <c r="O170" s="110">
        <f t="shared" si="18"/>
        <v>6.7602422153642961E-4</v>
      </c>
    </row>
    <row r="171" spans="2:15" x14ac:dyDescent="0.35">
      <c r="B171" s="100">
        <v>448</v>
      </c>
      <c r="C171" s="101" t="s">
        <v>292</v>
      </c>
      <c r="D171" s="98">
        <v>89225.998461886105</v>
      </c>
      <c r="E171" s="110">
        <f t="shared" si="13"/>
        <v>1.7065132730073436E-4</v>
      </c>
      <c r="F171" s="98">
        <v>57705.871880056897</v>
      </c>
      <c r="G171" s="110">
        <f t="shared" si="14"/>
        <v>1.1289730088663391E-4</v>
      </c>
      <c r="H171" s="98">
        <v>58004.223026066597</v>
      </c>
      <c r="I171" s="110">
        <f t="shared" si="15"/>
        <v>1.1289730088663386E-4</v>
      </c>
      <c r="J171" s="98">
        <v>58003.801336940203</v>
      </c>
      <c r="K171" s="110">
        <f t="shared" si="16"/>
        <v>1.1289730088663394E-4</v>
      </c>
      <c r="L171" s="98">
        <v>58003.4269287524</v>
      </c>
      <c r="M171" s="110">
        <f t="shared" si="17"/>
        <v>1.1289730088663394E-4</v>
      </c>
      <c r="N171" s="98">
        <v>58003.4269287524</v>
      </c>
      <c r="O171" s="110">
        <f t="shared" si="18"/>
        <v>1.1289730088663394E-4</v>
      </c>
    </row>
    <row r="172" spans="2:15" x14ac:dyDescent="0.35">
      <c r="B172" s="100">
        <v>450</v>
      </c>
      <c r="C172" s="101" t="s">
        <v>302</v>
      </c>
      <c r="D172" s="98">
        <v>53300.574888707502</v>
      </c>
      <c r="E172" s="110">
        <f t="shared" si="13"/>
        <v>1.0194129522165567E-4</v>
      </c>
      <c r="F172" s="98">
        <v>34350.360580283203</v>
      </c>
      <c r="G172" s="110">
        <f t="shared" si="14"/>
        <v>6.7203958066126311E-5</v>
      </c>
      <c r="H172" s="98">
        <v>34527.958961714401</v>
      </c>
      <c r="I172" s="110">
        <f t="shared" si="15"/>
        <v>6.7203958066126298E-5</v>
      </c>
      <c r="J172" s="98">
        <v>34527.707944390197</v>
      </c>
      <c r="K172" s="110">
        <f t="shared" si="16"/>
        <v>6.7203958066126149E-5</v>
      </c>
      <c r="L172" s="98">
        <v>34527.485071815303</v>
      </c>
      <c r="M172" s="110">
        <f t="shared" si="17"/>
        <v>6.7203958066126243E-5</v>
      </c>
      <c r="N172" s="98">
        <v>34527.485071815303</v>
      </c>
      <c r="O172" s="110">
        <f t="shared" si="18"/>
        <v>6.7203958066126243E-5</v>
      </c>
    </row>
    <row r="173" spans="2:15" x14ac:dyDescent="0.35">
      <c r="B173" s="100">
        <v>451</v>
      </c>
      <c r="C173" s="101" t="s">
        <v>303</v>
      </c>
      <c r="D173" s="98">
        <v>137556.95370313001</v>
      </c>
      <c r="E173" s="110">
        <f t="shared" si="13"/>
        <v>2.6308785705448962E-4</v>
      </c>
      <c r="F173" s="98">
        <v>74046.456920271201</v>
      </c>
      <c r="G173" s="110">
        <f t="shared" si="14"/>
        <v>1.4486645559905526E-4</v>
      </c>
      <c r="H173" s="98">
        <v>74429.292229059807</v>
      </c>
      <c r="I173" s="110">
        <f t="shared" si="15"/>
        <v>1.4486645559905507E-4</v>
      </c>
      <c r="J173" s="98">
        <v>74428.7511301263</v>
      </c>
      <c r="K173" s="110">
        <f t="shared" si="16"/>
        <v>1.4486645559905518E-4</v>
      </c>
      <c r="L173" s="98">
        <v>74428.270700685694</v>
      </c>
      <c r="M173" s="110">
        <f t="shared" si="17"/>
        <v>1.4486645559905523E-4</v>
      </c>
      <c r="N173" s="98">
        <v>74428.270700685694</v>
      </c>
      <c r="O173" s="110">
        <f t="shared" si="18"/>
        <v>1.4486645559905523E-4</v>
      </c>
    </row>
    <row r="174" spans="2:15" x14ac:dyDescent="0.35">
      <c r="B174" s="100">
        <v>453</v>
      </c>
      <c r="C174" s="101" t="s">
        <v>314</v>
      </c>
      <c r="D174" s="98">
        <v>1407054.5178302401</v>
      </c>
      <c r="E174" s="110">
        <f t="shared" si="13"/>
        <v>2.691095927100142E-3</v>
      </c>
      <c r="F174" s="98">
        <v>1274486.3335277899</v>
      </c>
      <c r="G174" s="110">
        <f t="shared" si="14"/>
        <v>2.4934389237071153E-3</v>
      </c>
      <c r="H174" s="98">
        <v>1281075.6882293699</v>
      </c>
      <c r="I174" s="110">
        <f t="shared" si="15"/>
        <v>2.493438923707111E-3</v>
      </c>
      <c r="J174" s="98">
        <v>1281066.3748439001</v>
      </c>
      <c r="K174" s="110">
        <f t="shared" si="16"/>
        <v>2.4934389237071092E-3</v>
      </c>
      <c r="L174" s="98">
        <v>1281058.1057006901</v>
      </c>
      <c r="M174" s="110">
        <f t="shared" si="17"/>
        <v>2.4934389237071053E-3</v>
      </c>
      <c r="N174" s="98">
        <v>1281058.1057006901</v>
      </c>
      <c r="O174" s="110">
        <f t="shared" si="18"/>
        <v>2.4934389237071053E-3</v>
      </c>
    </row>
    <row r="175" spans="2:15" x14ac:dyDescent="0.35">
      <c r="B175" s="100">
        <v>457</v>
      </c>
      <c r="C175" s="101" t="s">
        <v>333</v>
      </c>
      <c r="D175" s="98">
        <v>325333.11139339599</v>
      </c>
      <c r="E175" s="110">
        <f t="shared" si="13"/>
        <v>6.2222365937295791E-4</v>
      </c>
      <c r="F175" s="98">
        <v>418600.63164768199</v>
      </c>
      <c r="G175" s="110">
        <f t="shared" si="14"/>
        <v>8.1896139721607762E-4</v>
      </c>
      <c r="H175" s="98">
        <v>420764.88242673699</v>
      </c>
      <c r="I175" s="110">
        <f t="shared" si="15"/>
        <v>8.1896139721607697E-4</v>
      </c>
      <c r="J175" s="98">
        <v>420761.823477467</v>
      </c>
      <c r="K175" s="110">
        <f t="shared" si="16"/>
        <v>8.1896139721607773E-4</v>
      </c>
      <c r="L175" s="98">
        <v>420759.10750595899</v>
      </c>
      <c r="M175" s="110">
        <f t="shared" si="17"/>
        <v>8.1896139721607903E-4</v>
      </c>
      <c r="N175" s="98">
        <v>420759.10750595899</v>
      </c>
      <c r="O175" s="110">
        <f t="shared" si="18"/>
        <v>8.1896139721607903E-4</v>
      </c>
    </row>
    <row r="176" spans="2:15" x14ac:dyDescent="0.35">
      <c r="B176" s="100">
        <v>473</v>
      </c>
      <c r="C176" s="101" t="s">
        <v>354</v>
      </c>
      <c r="D176" s="98">
        <v>469332.26223200001</v>
      </c>
      <c r="E176" s="110">
        <f t="shared" si="13"/>
        <v>8.9763269535346685E-4</v>
      </c>
      <c r="F176" s="98">
        <v>430812.84864933998</v>
      </c>
      <c r="G176" s="110">
        <f t="shared" si="14"/>
        <v>8.4285370301460656E-4</v>
      </c>
      <c r="H176" s="98">
        <v>433040.23908505501</v>
      </c>
      <c r="I176" s="110">
        <f t="shared" si="15"/>
        <v>8.4285370301460623E-4</v>
      </c>
      <c r="J176" s="98">
        <v>433037.090894275</v>
      </c>
      <c r="K176" s="110">
        <f t="shared" si="16"/>
        <v>8.4285370301460613E-4</v>
      </c>
      <c r="L176" s="98">
        <v>433034.295687259</v>
      </c>
      <c r="M176" s="110">
        <f t="shared" si="17"/>
        <v>8.4285370301460623E-4</v>
      </c>
      <c r="N176" s="98">
        <v>433034.295687259</v>
      </c>
      <c r="O176" s="110">
        <f t="shared" si="18"/>
        <v>8.4285370301460623E-4</v>
      </c>
    </row>
    <row r="177" spans="2:15" x14ac:dyDescent="0.35">
      <c r="B177" s="100">
        <v>479</v>
      </c>
      <c r="C177" s="101" t="s">
        <v>352</v>
      </c>
      <c r="D177" s="98">
        <v>4562849.8368223896</v>
      </c>
      <c r="E177" s="110">
        <f t="shared" si="13"/>
        <v>8.7267880926016408E-3</v>
      </c>
      <c r="F177" s="98">
        <v>4769032.0245033596</v>
      </c>
      <c r="G177" s="110">
        <f t="shared" si="14"/>
        <v>9.3302609572809003E-3</v>
      </c>
      <c r="H177" s="98">
        <v>4793688.8943072697</v>
      </c>
      <c r="I177" s="110">
        <f t="shared" si="15"/>
        <v>9.3302609572809003E-3</v>
      </c>
      <c r="J177" s="98">
        <v>4793654.0443191603</v>
      </c>
      <c r="K177" s="110">
        <f t="shared" si="16"/>
        <v>9.330260957280883E-3</v>
      </c>
      <c r="L177" s="98">
        <v>4793623.1018070802</v>
      </c>
      <c r="M177" s="110">
        <f t="shared" si="17"/>
        <v>9.3302609572808882E-3</v>
      </c>
      <c r="N177" s="98">
        <v>4793623.1018070802</v>
      </c>
      <c r="O177" s="110">
        <f t="shared" si="18"/>
        <v>9.3302609572808882E-3</v>
      </c>
    </row>
    <row r="178" spans="2:15" x14ac:dyDescent="0.35">
      <c r="B178" s="100">
        <v>482</v>
      </c>
      <c r="C178" s="101" t="s">
        <v>15</v>
      </c>
      <c r="D178" s="98">
        <v>248811.552278455</v>
      </c>
      <c r="E178" s="110">
        <f t="shared" si="13"/>
        <v>4.7587051281036295E-4</v>
      </c>
      <c r="F178" s="98">
        <v>249208.990440261</v>
      </c>
      <c r="G178" s="110">
        <f t="shared" si="14"/>
        <v>4.8755908992879909E-4</v>
      </c>
      <c r="H178" s="98">
        <v>250497.45183026101</v>
      </c>
      <c r="I178" s="110">
        <f t="shared" si="15"/>
        <v>4.8755908992879779E-4</v>
      </c>
      <c r="J178" s="98">
        <v>250495.630720588</v>
      </c>
      <c r="K178" s="110">
        <f t="shared" si="16"/>
        <v>4.8755908992879812E-4</v>
      </c>
      <c r="L178" s="98">
        <v>250494.013798714</v>
      </c>
      <c r="M178" s="110">
        <f t="shared" si="17"/>
        <v>4.875590899287979E-4</v>
      </c>
      <c r="N178" s="98">
        <v>250494.013798714</v>
      </c>
      <c r="O178" s="110">
        <f t="shared" si="18"/>
        <v>4.875590899287979E-4</v>
      </c>
    </row>
    <row r="179" spans="2:15" x14ac:dyDescent="0.35">
      <c r="B179" s="100">
        <v>484</v>
      </c>
      <c r="C179" s="101" t="s">
        <v>20</v>
      </c>
      <c r="D179" s="98">
        <v>1045605.12411515</v>
      </c>
      <c r="E179" s="110">
        <f t="shared" si="13"/>
        <v>1.9997972041626349E-3</v>
      </c>
      <c r="F179" s="98">
        <v>1010080.36205092</v>
      </c>
      <c r="G179" s="110">
        <f t="shared" si="14"/>
        <v>1.9761480563220352E-3</v>
      </c>
      <c r="H179" s="98">
        <v>1015302.68386604</v>
      </c>
      <c r="I179" s="110">
        <f t="shared" si="15"/>
        <v>1.976148056322033E-3</v>
      </c>
      <c r="J179" s="98">
        <v>1015295.3026431</v>
      </c>
      <c r="K179" s="110">
        <f t="shared" si="16"/>
        <v>1.97614805632204E-3</v>
      </c>
      <c r="L179" s="98">
        <v>1015288.74902307</v>
      </c>
      <c r="M179" s="110">
        <f t="shared" si="17"/>
        <v>1.976148056322043E-3</v>
      </c>
      <c r="N179" s="98">
        <v>1015288.74902307</v>
      </c>
      <c r="O179" s="110">
        <f t="shared" si="18"/>
        <v>1.976148056322043E-3</v>
      </c>
    </row>
    <row r="180" spans="2:15" x14ac:dyDescent="0.35">
      <c r="B180" s="100">
        <v>489</v>
      </c>
      <c r="C180" s="101" t="s">
        <v>34</v>
      </c>
      <c r="D180" s="98">
        <v>172389.23300455301</v>
      </c>
      <c r="E180" s="110">
        <f t="shared" si="13"/>
        <v>3.2970716979030453E-4</v>
      </c>
      <c r="F180" s="98">
        <v>120636.870849403</v>
      </c>
      <c r="G180" s="110">
        <f t="shared" si="14"/>
        <v>2.3601717923291547E-4</v>
      </c>
      <c r="H180" s="98">
        <v>121260.58811588401</v>
      </c>
      <c r="I180" s="110">
        <f t="shared" si="15"/>
        <v>2.3601717923291498E-4</v>
      </c>
      <c r="J180" s="98">
        <v>121259.706554701</v>
      </c>
      <c r="K180" s="110">
        <f t="shared" si="16"/>
        <v>2.3601717923291509E-4</v>
      </c>
      <c r="L180" s="98">
        <v>121258.92383657</v>
      </c>
      <c r="M180" s="110">
        <f t="shared" si="17"/>
        <v>2.360171792329155E-4</v>
      </c>
      <c r="N180" s="98">
        <v>121258.92383657</v>
      </c>
      <c r="O180" s="110">
        <f t="shared" si="18"/>
        <v>2.360171792329155E-4</v>
      </c>
    </row>
    <row r="181" spans="2:15" x14ac:dyDescent="0.35">
      <c r="B181" s="100">
        <v>498</v>
      </c>
      <c r="C181" s="101" t="s">
        <v>91</v>
      </c>
      <c r="D181" s="98">
        <v>63536.161706296603</v>
      </c>
      <c r="E181" s="110">
        <f t="shared" si="13"/>
        <v>1.2151761273262876E-4</v>
      </c>
      <c r="F181" s="98">
        <v>48115.532397518698</v>
      </c>
      <c r="G181" s="110">
        <f t="shared" si="14"/>
        <v>9.4134505925047546E-5</v>
      </c>
      <c r="H181" s="98">
        <v>48364.299529250202</v>
      </c>
      <c r="I181" s="110">
        <f t="shared" si="15"/>
        <v>9.4134505925047533E-5</v>
      </c>
      <c r="J181" s="98">
        <v>48363.947922105799</v>
      </c>
      <c r="K181" s="110">
        <f t="shared" si="16"/>
        <v>9.4134505925047452E-5</v>
      </c>
      <c r="L181" s="98">
        <v>48363.6357381165</v>
      </c>
      <c r="M181" s="110">
        <f t="shared" si="17"/>
        <v>9.4134505925047479E-5</v>
      </c>
      <c r="N181" s="98">
        <v>48363.6357381165</v>
      </c>
      <c r="O181" s="110">
        <f t="shared" si="18"/>
        <v>9.4134505925047479E-5</v>
      </c>
    </row>
    <row r="182" spans="2:15" x14ac:dyDescent="0.35">
      <c r="B182" s="100">
        <v>501</v>
      </c>
      <c r="C182" s="101" t="s">
        <v>61</v>
      </c>
      <c r="D182" s="98">
        <v>164297.852182487</v>
      </c>
      <c r="E182" s="110">
        <f t="shared" si="13"/>
        <v>3.1423180497753531E-4</v>
      </c>
      <c r="F182" s="98">
        <v>154158.98010941799</v>
      </c>
      <c r="G182" s="110">
        <f t="shared" si="14"/>
        <v>3.016007244109317E-4</v>
      </c>
      <c r="H182" s="98">
        <v>154956.01352880601</v>
      </c>
      <c r="I182" s="110">
        <f t="shared" si="15"/>
        <v>3.0160072441093148E-4</v>
      </c>
      <c r="J182" s="98">
        <v>154954.887002795</v>
      </c>
      <c r="K182" s="110">
        <f t="shared" si="16"/>
        <v>3.0160072441093126E-4</v>
      </c>
      <c r="L182" s="98">
        <v>154953.886785963</v>
      </c>
      <c r="M182" s="110">
        <f t="shared" si="17"/>
        <v>3.0160072441093186E-4</v>
      </c>
      <c r="N182" s="98">
        <v>154953.886785963</v>
      </c>
      <c r="O182" s="110">
        <f t="shared" si="18"/>
        <v>3.0160072441093186E-4</v>
      </c>
    </row>
    <row r="183" spans="2:15" x14ac:dyDescent="0.35">
      <c r="B183" s="100">
        <v>502</v>
      </c>
      <c r="C183" s="101" t="s">
        <v>68</v>
      </c>
      <c r="D183" s="98">
        <v>2933514.5106962901</v>
      </c>
      <c r="E183" s="110">
        <f t="shared" si="13"/>
        <v>5.6105636645817601E-3</v>
      </c>
      <c r="F183" s="98">
        <v>2913020.3121816898</v>
      </c>
      <c r="G183" s="110">
        <f t="shared" si="14"/>
        <v>5.6991103324254668E-3</v>
      </c>
      <c r="H183" s="98">
        <v>2928081.22227928</v>
      </c>
      <c r="I183" s="110">
        <f t="shared" si="15"/>
        <v>5.6991103324254529E-3</v>
      </c>
      <c r="J183" s="98">
        <v>2928059.9352083001</v>
      </c>
      <c r="K183" s="110">
        <f t="shared" si="16"/>
        <v>5.6991103324254555E-3</v>
      </c>
      <c r="L183" s="98">
        <v>2928041.0349019598</v>
      </c>
      <c r="M183" s="110">
        <f t="shared" si="17"/>
        <v>5.6991103324254538E-3</v>
      </c>
      <c r="N183" s="98">
        <v>2928041.0349019598</v>
      </c>
      <c r="O183" s="110">
        <f t="shared" si="18"/>
        <v>5.6991103324254538E-3</v>
      </c>
    </row>
    <row r="184" spans="2:15" x14ac:dyDescent="0.35">
      <c r="B184" s="100">
        <v>503</v>
      </c>
      <c r="C184" s="101" t="s">
        <v>80</v>
      </c>
      <c r="D184" s="98">
        <v>3918450.78885285</v>
      </c>
      <c r="E184" s="110">
        <f t="shared" si="13"/>
        <v>7.4943272096415527E-3</v>
      </c>
      <c r="F184" s="98">
        <v>3652285.6614798601</v>
      </c>
      <c r="G184" s="110">
        <f t="shared" si="14"/>
        <v>7.1454287027336739E-3</v>
      </c>
      <c r="H184" s="98">
        <v>3671168.72445346</v>
      </c>
      <c r="I184" s="110">
        <f t="shared" si="15"/>
        <v>7.14542870273368E-3</v>
      </c>
      <c r="J184" s="98">
        <v>3671142.0351565098</v>
      </c>
      <c r="K184" s="110">
        <f t="shared" si="16"/>
        <v>7.1454287027336704E-3</v>
      </c>
      <c r="L184" s="98">
        <v>3671118.3383365702</v>
      </c>
      <c r="M184" s="110">
        <f t="shared" si="17"/>
        <v>7.145428702733686E-3</v>
      </c>
      <c r="N184" s="98">
        <v>3671118.3383365702</v>
      </c>
      <c r="O184" s="110">
        <f t="shared" si="18"/>
        <v>7.145428702733686E-3</v>
      </c>
    </row>
    <row r="185" spans="2:15" x14ac:dyDescent="0.35">
      <c r="B185" s="100">
        <v>505</v>
      </c>
      <c r="C185" s="101" t="s">
        <v>90</v>
      </c>
      <c r="D185" s="98">
        <v>5718731.6627969304</v>
      </c>
      <c r="E185" s="110">
        <f t="shared" si="13"/>
        <v>1.0937497652658966E-2</v>
      </c>
      <c r="F185" s="98">
        <v>5534839.7090699803</v>
      </c>
      <c r="G185" s="110">
        <f t="shared" si="14"/>
        <v>1.0828507457490075E-2</v>
      </c>
      <c r="H185" s="98">
        <v>5563455.9610454002</v>
      </c>
      <c r="I185" s="110">
        <f t="shared" si="15"/>
        <v>1.0828507457490068E-2</v>
      </c>
      <c r="J185" s="98">
        <v>5563415.5148716196</v>
      </c>
      <c r="K185" s="110">
        <f t="shared" si="16"/>
        <v>1.0828507457490057E-2</v>
      </c>
      <c r="L185" s="98">
        <v>5563379.6036335202</v>
      </c>
      <c r="M185" s="110">
        <f t="shared" si="17"/>
        <v>1.0828507457490071E-2</v>
      </c>
      <c r="N185" s="98">
        <v>5563379.6036335202</v>
      </c>
      <c r="O185" s="110">
        <f t="shared" si="18"/>
        <v>1.0828507457490071E-2</v>
      </c>
    </row>
    <row r="186" spans="2:15" x14ac:dyDescent="0.35">
      <c r="B186" s="100">
        <v>512</v>
      </c>
      <c r="C186" s="101" t="s">
        <v>119</v>
      </c>
      <c r="D186" s="98">
        <v>866765.81449801195</v>
      </c>
      <c r="E186" s="110">
        <f t="shared" si="13"/>
        <v>1.6577537853630327E-3</v>
      </c>
      <c r="F186" s="98">
        <v>807573.24932896905</v>
      </c>
      <c r="G186" s="110">
        <f t="shared" si="14"/>
        <v>1.5799577607456359E-3</v>
      </c>
      <c r="H186" s="98">
        <v>811748.56800234097</v>
      </c>
      <c r="I186" s="110">
        <f t="shared" si="15"/>
        <v>1.5799577607456328E-3</v>
      </c>
      <c r="J186" s="98">
        <v>811742.66661229299</v>
      </c>
      <c r="K186" s="110">
        <f t="shared" si="16"/>
        <v>1.5799577607456335E-3</v>
      </c>
      <c r="L186" s="98">
        <v>811737.42690224398</v>
      </c>
      <c r="M186" s="110">
        <f t="shared" si="17"/>
        <v>1.5799577607456343E-3</v>
      </c>
      <c r="N186" s="98">
        <v>811737.42690224398</v>
      </c>
      <c r="O186" s="110">
        <f t="shared" si="18"/>
        <v>1.5799577607456343E-3</v>
      </c>
    </row>
    <row r="187" spans="2:15" x14ac:dyDescent="0.35">
      <c r="B187" s="100">
        <v>513</v>
      </c>
      <c r="C187" s="101" t="s">
        <v>120</v>
      </c>
      <c r="D187" s="98">
        <v>2053855.4057144299</v>
      </c>
      <c r="E187" s="110">
        <f t="shared" si="13"/>
        <v>3.928150506700946E-3</v>
      </c>
      <c r="F187" s="98">
        <v>2074768.6599804501</v>
      </c>
      <c r="G187" s="110">
        <f t="shared" si="14"/>
        <v>4.0591325292309256E-3</v>
      </c>
      <c r="H187" s="98">
        <v>2085495.63779472</v>
      </c>
      <c r="I187" s="110">
        <f t="shared" si="15"/>
        <v>4.0591325292309343E-3</v>
      </c>
      <c r="J187" s="98">
        <v>2085480.47629806</v>
      </c>
      <c r="K187" s="110">
        <f t="shared" si="16"/>
        <v>4.0591325292309343E-3</v>
      </c>
      <c r="L187" s="98">
        <v>2085467.0147498799</v>
      </c>
      <c r="M187" s="110">
        <f t="shared" si="17"/>
        <v>4.0591325292309178E-3</v>
      </c>
      <c r="N187" s="98">
        <v>2085467.0147498799</v>
      </c>
      <c r="O187" s="110">
        <f t="shared" si="18"/>
        <v>4.0591325292309178E-3</v>
      </c>
    </row>
    <row r="188" spans="2:15" x14ac:dyDescent="0.35">
      <c r="B188" s="100">
        <v>518</v>
      </c>
      <c r="C188" s="101" t="s">
        <v>270</v>
      </c>
      <c r="D188" s="98">
        <v>36828786.550426804</v>
      </c>
      <c r="E188" s="110">
        <f t="shared" si="13"/>
        <v>7.0437780647424481E-2</v>
      </c>
      <c r="F188" s="98">
        <v>38665738.811200902</v>
      </c>
      <c r="G188" s="110">
        <f t="shared" si="14"/>
        <v>7.5646678688876659E-2</v>
      </c>
      <c r="H188" s="98">
        <v>38865648.579649001</v>
      </c>
      <c r="I188" s="110">
        <f t="shared" si="15"/>
        <v>7.564667868887677E-2</v>
      </c>
      <c r="J188" s="98">
        <v>38865366.027439103</v>
      </c>
      <c r="K188" s="110">
        <f t="shared" si="16"/>
        <v>7.5646678688876715E-2</v>
      </c>
      <c r="L188" s="98">
        <v>38865115.155756101</v>
      </c>
      <c r="M188" s="110">
        <f t="shared" si="17"/>
        <v>7.5646678688876742E-2</v>
      </c>
      <c r="N188" s="98">
        <v>38865115.155756101</v>
      </c>
      <c r="O188" s="110">
        <f t="shared" si="18"/>
        <v>7.5646678688876742E-2</v>
      </c>
    </row>
    <row r="189" spans="2:15" x14ac:dyDescent="0.35">
      <c r="B189" s="100">
        <v>523</v>
      </c>
      <c r="C189" s="101" t="s">
        <v>131</v>
      </c>
      <c r="D189" s="98">
        <v>63670.322937887599</v>
      </c>
      <c r="E189" s="110">
        <f t="shared" si="13"/>
        <v>1.2177420601976451E-4</v>
      </c>
      <c r="F189" s="98">
        <v>43321.185622538404</v>
      </c>
      <c r="G189" s="110">
        <f t="shared" si="14"/>
        <v>8.4754718517366504E-5</v>
      </c>
      <c r="H189" s="98">
        <v>43545.165002034599</v>
      </c>
      <c r="I189" s="110">
        <f t="shared" si="15"/>
        <v>8.4754718517366423E-5</v>
      </c>
      <c r="J189" s="98">
        <v>43544.848429867401</v>
      </c>
      <c r="K189" s="110">
        <f t="shared" si="16"/>
        <v>8.4754718517366423E-5</v>
      </c>
      <c r="L189" s="98">
        <v>43544.5673526377</v>
      </c>
      <c r="M189" s="110">
        <f t="shared" si="17"/>
        <v>8.4754718517366328E-5</v>
      </c>
      <c r="N189" s="98">
        <v>43544.5673526377</v>
      </c>
      <c r="O189" s="110">
        <f t="shared" si="18"/>
        <v>8.4754718517366328E-5</v>
      </c>
    </row>
    <row r="190" spans="2:15" x14ac:dyDescent="0.35">
      <c r="B190" s="100">
        <v>530</v>
      </c>
      <c r="C190" s="101" t="s">
        <v>143</v>
      </c>
      <c r="D190" s="98">
        <v>1004922.65572809</v>
      </c>
      <c r="E190" s="110">
        <f t="shared" si="13"/>
        <v>1.9219889717214198E-3</v>
      </c>
      <c r="F190" s="98">
        <v>962085.7387478</v>
      </c>
      <c r="G190" s="110">
        <f t="shared" si="14"/>
        <v>1.8822501001616049E-3</v>
      </c>
      <c r="H190" s="98">
        <v>967059.91855590697</v>
      </c>
      <c r="I190" s="110">
        <f t="shared" si="15"/>
        <v>1.8822501001616039E-3</v>
      </c>
      <c r="J190" s="98">
        <v>967052.88805655704</v>
      </c>
      <c r="K190" s="110">
        <f t="shared" si="16"/>
        <v>1.8822501001616034E-3</v>
      </c>
      <c r="L190" s="98">
        <v>967046.64583603095</v>
      </c>
      <c r="M190" s="110">
        <f t="shared" si="17"/>
        <v>1.8822501001616047E-3</v>
      </c>
      <c r="N190" s="98">
        <v>967046.64583603095</v>
      </c>
      <c r="O190" s="110">
        <f t="shared" si="18"/>
        <v>1.8822501001616047E-3</v>
      </c>
    </row>
    <row r="191" spans="2:15" x14ac:dyDescent="0.35">
      <c r="B191" s="100">
        <v>531</v>
      </c>
      <c r="C191" s="101" t="s">
        <v>145</v>
      </c>
      <c r="D191" s="98">
        <v>113118.379227839</v>
      </c>
      <c r="E191" s="110">
        <f t="shared" si="13"/>
        <v>2.1634727422618173E-4</v>
      </c>
      <c r="F191" s="98">
        <v>72752.061502230004</v>
      </c>
      <c r="G191" s="110">
        <f t="shared" si="14"/>
        <v>1.4233406601345778E-4</v>
      </c>
      <c r="H191" s="98">
        <v>73128.204522283006</v>
      </c>
      <c r="I191" s="110">
        <f t="shared" si="15"/>
        <v>1.4233406601345765E-4</v>
      </c>
      <c r="J191" s="98">
        <v>73127.672882221799</v>
      </c>
      <c r="K191" s="110">
        <f t="shared" si="16"/>
        <v>1.4233406601345776E-4</v>
      </c>
      <c r="L191" s="98">
        <v>73127.200851098794</v>
      </c>
      <c r="M191" s="110">
        <f t="shared" si="17"/>
        <v>1.423340660134577E-4</v>
      </c>
      <c r="N191" s="98">
        <v>73127.200851098794</v>
      </c>
      <c r="O191" s="110">
        <f t="shared" si="18"/>
        <v>1.423340660134577E-4</v>
      </c>
    </row>
    <row r="192" spans="2:15" x14ac:dyDescent="0.35">
      <c r="B192" s="100">
        <v>532</v>
      </c>
      <c r="C192" s="101" t="s">
        <v>284</v>
      </c>
      <c r="D192" s="98">
        <v>187118.69991506601</v>
      </c>
      <c r="E192" s="110">
        <f t="shared" si="13"/>
        <v>3.5787836565296559E-4</v>
      </c>
      <c r="F192" s="98">
        <v>250105.024715993</v>
      </c>
      <c r="G192" s="110">
        <f t="shared" si="14"/>
        <v>4.8931211519184889E-4</v>
      </c>
      <c r="H192" s="98">
        <v>251398.11878624401</v>
      </c>
      <c r="I192" s="110">
        <f t="shared" si="15"/>
        <v>4.8931211519184748E-4</v>
      </c>
      <c r="J192" s="98">
        <v>251396.29112874699</v>
      </c>
      <c r="K192" s="110">
        <f t="shared" si="16"/>
        <v>4.8931211519184835E-4</v>
      </c>
      <c r="L192" s="98">
        <v>251394.66839320899</v>
      </c>
      <c r="M192" s="110">
        <f t="shared" si="17"/>
        <v>4.8931211519184878E-4</v>
      </c>
      <c r="N192" s="98">
        <v>251394.66839320899</v>
      </c>
      <c r="O192" s="110">
        <f t="shared" si="18"/>
        <v>4.8931211519184878E-4</v>
      </c>
    </row>
    <row r="193" spans="2:15" x14ac:dyDescent="0.35">
      <c r="B193" s="100">
        <v>534</v>
      </c>
      <c r="C193" s="101" t="s">
        <v>150</v>
      </c>
      <c r="D193" s="98">
        <v>97514.634073820998</v>
      </c>
      <c r="E193" s="110">
        <f t="shared" si="13"/>
        <v>1.8650395650154995E-4</v>
      </c>
      <c r="F193" s="98">
        <v>72720.905332095295</v>
      </c>
      <c r="G193" s="110">
        <f t="shared" si="14"/>
        <v>1.4227311125444324E-4</v>
      </c>
      <c r="H193" s="98">
        <v>73096.887268384104</v>
      </c>
      <c r="I193" s="110">
        <f t="shared" si="15"/>
        <v>1.4227311125444332E-4</v>
      </c>
      <c r="J193" s="98">
        <v>73096.355855998394</v>
      </c>
      <c r="K193" s="110">
        <f t="shared" si="16"/>
        <v>1.4227311125444324E-4</v>
      </c>
      <c r="L193" s="98">
        <v>73095.884027023407</v>
      </c>
      <c r="M193" s="110">
        <f t="shared" si="17"/>
        <v>1.4227311125444329E-4</v>
      </c>
      <c r="N193" s="98">
        <v>73095.884027023407</v>
      </c>
      <c r="O193" s="110">
        <f t="shared" si="18"/>
        <v>1.4227311125444329E-4</v>
      </c>
    </row>
    <row r="194" spans="2:15" x14ac:dyDescent="0.35">
      <c r="B194" s="100">
        <v>537</v>
      </c>
      <c r="C194" s="101" t="s">
        <v>166</v>
      </c>
      <c r="D194" s="98">
        <v>585175.76756158995</v>
      </c>
      <c r="E194" s="110">
        <f t="shared" si="13"/>
        <v>1.1191919749854982E-3</v>
      </c>
      <c r="F194" s="98">
        <v>577990.01978835196</v>
      </c>
      <c r="G194" s="110">
        <f t="shared" si="14"/>
        <v>1.1307950308618181E-3</v>
      </c>
      <c r="H194" s="98">
        <v>580978.34626480599</v>
      </c>
      <c r="I194" s="110">
        <f t="shared" si="15"/>
        <v>1.1307950308618181E-3</v>
      </c>
      <c r="J194" s="98">
        <v>580974.12256800302</v>
      </c>
      <c r="K194" s="110">
        <f t="shared" si="16"/>
        <v>1.1307950308618168E-3</v>
      </c>
      <c r="L194" s="98">
        <v>580970.37244364305</v>
      </c>
      <c r="M194" s="110">
        <f t="shared" si="17"/>
        <v>1.1307950308618176E-3</v>
      </c>
      <c r="N194" s="98">
        <v>580970.37244364305</v>
      </c>
      <c r="O194" s="110">
        <f t="shared" si="18"/>
        <v>1.1307950308618176E-3</v>
      </c>
    </row>
    <row r="195" spans="2:15" x14ac:dyDescent="0.35">
      <c r="B195" s="100">
        <v>542</v>
      </c>
      <c r="C195" s="101" t="s">
        <v>169</v>
      </c>
      <c r="D195" s="98">
        <v>384659.22279640299</v>
      </c>
      <c r="E195" s="110">
        <f t="shared" si="13"/>
        <v>7.3568923923799008E-4</v>
      </c>
      <c r="F195" s="98">
        <v>391298.83194718399</v>
      </c>
      <c r="G195" s="110">
        <f t="shared" si="14"/>
        <v>7.6554743092265834E-4</v>
      </c>
      <c r="H195" s="98">
        <v>393321.92684446502</v>
      </c>
      <c r="I195" s="110">
        <f t="shared" si="15"/>
        <v>7.655474309226579E-4</v>
      </c>
      <c r="J195" s="98">
        <v>393319.06740473601</v>
      </c>
      <c r="K195" s="110">
        <f t="shared" si="16"/>
        <v>7.6554743092265682E-4</v>
      </c>
      <c r="L195" s="98">
        <v>393316.52857321402</v>
      </c>
      <c r="M195" s="110">
        <f t="shared" si="17"/>
        <v>7.6554743092265769E-4</v>
      </c>
      <c r="N195" s="98">
        <v>393316.52857321402</v>
      </c>
      <c r="O195" s="110">
        <f t="shared" si="18"/>
        <v>7.6554743092265769E-4</v>
      </c>
    </row>
    <row r="196" spans="2:15" x14ac:dyDescent="0.35">
      <c r="B196" s="100">
        <v>545</v>
      </c>
      <c r="C196" s="101" t="s">
        <v>816</v>
      </c>
      <c r="D196" s="98">
        <v>333900.197401574</v>
      </c>
      <c r="E196" s="110">
        <f t="shared" si="13"/>
        <v>6.3860884556977732E-4</v>
      </c>
      <c r="F196" s="98">
        <v>343303.17496898398</v>
      </c>
      <c r="G196" s="110">
        <f t="shared" si="14"/>
        <v>6.7164745245283858E-4</v>
      </c>
      <c r="H196" s="98">
        <v>345078.12251493998</v>
      </c>
      <c r="I196" s="110">
        <f t="shared" si="15"/>
        <v>6.7164745245283815E-4</v>
      </c>
      <c r="J196" s="98">
        <v>345075.613806359</v>
      </c>
      <c r="K196" s="110">
        <f t="shared" si="16"/>
        <v>6.7164745245283793E-4</v>
      </c>
      <c r="L196" s="98">
        <v>345073.386381049</v>
      </c>
      <c r="M196" s="110">
        <f t="shared" si="17"/>
        <v>6.7164745245283956E-4</v>
      </c>
      <c r="N196" s="98">
        <v>345073.386381049</v>
      </c>
      <c r="O196" s="110">
        <f t="shared" si="18"/>
        <v>6.7164745245283956E-4</v>
      </c>
    </row>
    <row r="197" spans="2:15" x14ac:dyDescent="0.35">
      <c r="B197" s="100">
        <v>546</v>
      </c>
      <c r="C197" s="101" t="s">
        <v>179</v>
      </c>
      <c r="D197" s="98">
        <v>4069955.3930152198</v>
      </c>
      <c r="E197" s="110">
        <f t="shared" si="13"/>
        <v>7.7840909807191591E-3</v>
      </c>
      <c r="F197" s="98">
        <v>3821499.9811513098</v>
      </c>
      <c r="G197" s="110">
        <f t="shared" si="14"/>
        <v>7.4764840934568658E-3</v>
      </c>
      <c r="H197" s="98">
        <v>3841257.9167253901</v>
      </c>
      <c r="I197" s="110">
        <f t="shared" si="15"/>
        <v>7.4764840934568545E-3</v>
      </c>
      <c r="J197" s="98">
        <v>3841229.9908846398</v>
      </c>
      <c r="K197" s="110">
        <f t="shared" si="16"/>
        <v>7.4764840934568623E-3</v>
      </c>
      <c r="L197" s="98">
        <v>3841205.1961655598</v>
      </c>
      <c r="M197" s="110">
        <f t="shared" si="17"/>
        <v>7.4764840934568666E-3</v>
      </c>
      <c r="N197" s="98">
        <v>3841205.1961655598</v>
      </c>
      <c r="O197" s="110">
        <f t="shared" si="18"/>
        <v>7.4764840934568666E-3</v>
      </c>
    </row>
    <row r="198" spans="2:15" x14ac:dyDescent="0.35">
      <c r="B198" s="100">
        <v>547</v>
      </c>
      <c r="C198" s="101" t="s">
        <v>180</v>
      </c>
      <c r="D198" s="98">
        <v>257863.60439523999</v>
      </c>
      <c r="E198" s="110">
        <f t="shared" si="13"/>
        <v>4.9318323259107391E-4</v>
      </c>
      <c r="F198" s="98">
        <v>225764.964872421</v>
      </c>
      <c r="G198" s="110">
        <f t="shared" si="14"/>
        <v>4.4169257544258278E-4</v>
      </c>
      <c r="H198" s="98">
        <v>226932.215860995</v>
      </c>
      <c r="I198" s="110">
        <f t="shared" si="15"/>
        <v>4.416925754425824E-4</v>
      </c>
      <c r="J198" s="98">
        <v>226930.566069947</v>
      </c>
      <c r="K198" s="110">
        <f t="shared" si="16"/>
        <v>4.4169257544258148E-4</v>
      </c>
      <c r="L198" s="98">
        <v>226929.10125798601</v>
      </c>
      <c r="M198" s="110">
        <f t="shared" si="17"/>
        <v>4.4169257544258213E-4</v>
      </c>
      <c r="N198" s="98">
        <v>226929.10125798601</v>
      </c>
      <c r="O198" s="110">
        <f t="shared" si="18"/>
        <v>4.4169257544258213E-4</v>
      </c>
    </row>
    <row r="199" spans="2:15" x14ac:dyDescent="0.35">
      <c r="B199" s="100">
        <v>553</v>
      </c>
      <c r="C199" s="101" t="s">
        <v>186</v>
      </c>
      <c r="D199" s="98">
        <v>81519.0845359878</v>
      </c>
      <c r="E199" s="110">
        <f t="shared" si="13"/>
        <v>1.5591128388828815E-4</v>
      </c>
      <c r="F199" s="98">
        <v>55655.092415595398</v>
      </c>
      <c r="G199" s="110">
        <f t="shared" si="14"/>
        <v>1.0888510145686573E-4</v>
      </c>
      <c r="H199" s="98">
        <v>55942.840612832297</v>
      </c>
      <c r="I199" s="110">
        <f t="shared" si="15"/>
        <v>1.0888510145686572E-4</v>
      </c>
      <c r="J199" s="98">
        <v>55942.433909899999</v>
      </c>
      <c r="K199" s="110">
        <f t="shared" si="16"/>
        <v>1.0888510145686565E-4</v>
      </c>
      <c r="L199" s="98">
        <v>55942.072807613302</v>
      </c>
      <c r="M199" s="110">
        <f t="shared" si="17"/>
        <v>1.0888510145686572E-4</v>
      </c>
      <c r="N199" s="98">
        <v>55942.072807613302</v>
      </c>
      <c r="O199" s="110">
        <f t="shared" si="18"/>
        <v>1.0888510145686572E-4</v>
      </c>
    </row>
    <row r="200" spans="2:15" x14ac:dyDescent="0.35">
      <c r="B200" s="100">
        <v>556</v>
      </c>
      <c r="C200" s="101" t="s">
        <v>194</v>
      </c>
      <c r="D200" s="98">
        <v>1194042.5572370901</v>
      </c>
      <c r="E200" s="110">
        <f t="shared" si="13"/>
        <v>2.2836947835681884E-3</v>
      </c>
      <c r="F200" s="98">
        <v>1177204.9026945501</v>
      </c>
      <c r="G200" s="110">
        <f t="shared" si="14"/>
        <v>2.3031149478335579E-3</v>
      </c>
      <c r="H200" s="98">
        <v>1183291.29252567</v>
      </c>
      <c r="I200" s="110">
        <f t="shared" si="15"/>
        <v>2.303114947833541E-3</v>
      </c>
      <c r="J200" s="98">
        <v>1183282.6900301101</v>
      </c>
      <c r="K200" s="110">
        <f t="shared" si="16"/>
        <v>2.3031149478335553E-3</v>
      </c>
      <c r="L200" s="98">
        <v>1183275.0520698801</v>
      </c>
      <c r="M200" s="110">
        <f t="shared" si="17"/>
        <v>2.3031149478335497E-3</v>
      </c>
      <c r="N200" s="98">
        <v>1183275.0520698801</v>
      </c>
      <c r="O200" s="110">
        <f t="shared" si="18"/>
        <v>2.3031149478335497E-3</v>
      </c>
    </row>
    <row r="201" spans="2:15" x14ac:dyDescent="0.35">
      <c r="B201" s="100">
        <v>569</v>
      </c>
      <c r="C201" s="101" t="s">
        <v>213</v>
      </c>
      <c r="D201" s="98">
        <v>90139.473486670104</v>
      </c>
      <c r="E201" s="110">
        <f t="shared" si="13"/>
        <v>1.7239841590856932E-4</v>
      </c>
      <c r="F201" s="98">
        <v>69443.727593883101</v>
      </c>
      <c r="G201" s="110">
        <f t="shared" si="14"/>
        <v>1.3586155365872852E-4</v>
      </c>
      <c r="H201" s="98">
        <v>69802.765851789998</v>
      </c>
      <c r="I201" s="110">
        <f t="shared" si="15"/>
        <v>1.3586155365872824E-4</v>
      </c>
      <c r="J201" s="98">
        <v>69802.258387577604</v>
      </c>
      <c r="K201" s="110">
        <f t="shared" si="16"/>
        <v>1.3586155365872827E-4</v>
      </c>
      <c r="L201" s="98">
        <v>69801.807821641196</v>
      </c>
      <c r="M201" s="110">
        <f t="shared" si="17"/>
        <v>1.3586155365872838E-4</v>
      </c>
      <c r="N201" s="98">
        <v>69801.807821641196</v>
      </c>
      <c r="O201" s="110">
        <f t="shared" si="18"/>
        <v>1.3586155365872838E-4</v>
      </c>
    </row>
    <row r="202" spans="2:15" x14ac:dyDescent="0.35">
      <c r="B202" s="100">
        <v>575</v>
      </c>
      <c r="C202" s="101" t="s">
        <v>221</v>
      </c>
      <c r="D202" s="98">
        <v>103126.88363806201</v>
      </c>
      <c r="E202" s="110">
        <f t="shared" si="13"/>
        <v>1.9723779925803986E-4</v>
      </c>
      <c r="F202" s="98">
        <v>64813.624346267497</v>
      </c>
      <c r="G202" s="110">
        <f t="shared" si="14"/>
        <v>1.2680309665163677E-4</v>
      </c>
      <c r="H202" s="98">
        <v>65148.724024527997</v>
      </c>
      <c r="I202" s="110">
        <f t="shared" si="15"/>
        <v>1.2680309665163663E-4</v>
      </c>
      <c r="J202" s="98">
        <v>65148.250395073301</v>
      </c>
      <c r="K202" s="110">
        <f t="shared" si="16"/>
        <v>1.2680309665163663E-4</v>
      </c>
      <c r="L202" s="98">
        <v>65147.829870248999</v>
      </c>
      <c r="M202" s="110">
        <f t="shared" si="17"/>
        <v>1.2680309665163674E-4</v>
      </c>
      <c r="N202" s="98">
        <v>65147.829870248999</v>
      </c>
      <c r="O202" s="110">
        <f t="shared" si="18"/>
        <v>1.2680309665163674E-4</v>
      </c>
    </row>
    <row r="203" spans="2:15" x14ac:dyDescent="0.35">
      <c r="B203" s="100">
        <v>576</v>
      </c>
      <c r="C203" s="101" t="s">
        <v>818</v>
      </c>
      <c r="D203" s="98">
        <v>76970.187820094201</v>
      </c>
      <c r="E203" s="110">
        <f t="shared" ref="E203:E266" si="19">+D203/D$10</f>
        <v>1.4721118217238762E-4</v>
      </c>
      <c r="F203" s="98">
        <v>40282.680366290697</v>
      </c>
      <c r="G203" s="110">
        <f t="shared" ref="G203:G266" si="20">+F203/F$10</f>
        <v>7.8810106106462605E-5</v>
      </c>
      <c r="H203" s="98">
        <v>40490.950052893902</v>
      </c>
      <c r="I203" s="110">
        <f t="shared" ref="I203:I266" si="21">+H203/H$10</f>
        <v>7.8810106106462537E-5</v>
      </c>
      <c r="J203" s="98">
        <v>40490.655684786398</v>
      </c>
      <c r="K203" s="110">
        <f t="shared" ref="K203:K266" si="22">+J203/J$10</f>
        <v>7.8810106106462429E-5</v>
      </c>
      <c r="L203" s="98">
        <v>40490.394322036598</v>
      </c>
      <c r="M203" s="110">
        <f t="shared" ref="M203:M266" si="23">+L203/L$10</f>
        <v>7.8810106106462496E-5</v>
      </c>
      <c r="N203" s="98">
        <v>40490.394322036598</v>
      </c>
      <c r="O203" s="110">
        <f t="shared" ref="O203:O266" si="24">+N203/N$10</f>
        <v>7.8810106106462496E-5</v>
      </c>
    </row>
    <row r="204" spans="2:15" x14ac:dyDescent="0.35">
      <c r="B204" s="100">
        <v>579</v>
      </c>
      <c r="C204" s="101" t="s">
        <v>224</v>
      </c>
      <c r="D204" s="98">
        <v>94760.514363107606</v>
      </c>
      <c r="E204" s="110">
        <f t="shared" si="19"/>
        <v>1.8123649867221426E-4</v>
      </c>
      <c r="F204" s="98">
        <v>90280.168122053205</v>
      </c>
      <c r="G204" s="110">
        <f t="shared" si="20"/>
        <v>1.7662651949452334E-4</v>
      </c>
      <c r="H204" s="98">
        <v>90746.935034043505</v>
      </c>
      <c r="I204" s="110">
        <f t="shared" si="21"/>
        <v>1.7662651949452323E-4</v>
      </c>
      <c r="J204" s="98">
        <v>90746.275306289797</v>
      </c>
      <c r="K204" s="110">
        <f t="shared" si="22"/>
        <v>1.7662651949452318E-4</v>
      </c>
      <c r="L204" s="98">
        <v>90745.689549016897</v>
      </c>
      <c r="M204" s="110">
        <f t="shared" si="23"/>
        <v>1.7662651949452315E-4</v>
      </c>
      <c r="N204" s="98">
        <v>90745.689549016897</v>
      </c>
      <c r="O204" s="110">
        <f t="shared" si="24"/>
        <v>1.7662651949452315E-4</v>
      </c>
    </row>
    <row r="205" spans="2:15" x14ac:dyDescent="0.35">
      <c r="B205" s="100">
        <v>584</v>
      </c>
      <c r="C205" s="101" t="s">
        <v>819</v>
      </c>
      <c r="D205" s="98">
        <v>111810.151226555</v>
      </c>
      <c r="E205" s="110">
        <f t="shared" si="19"/>
        <v>2.1384519132792797E-4</v>
      </c>
      <c r="F205" s="98">
        <v>98867.313524760597</v>
      </c>
      <c r="G205" s="110">
        <f t="shared" si="20"/>
        <v>1.9342663890527915E-4</v>
      </c>
      <c r="H205" s="98">
        <v>99378.477732699801</v>
      </c>
      <c r="I205" s="110">
        <f t="shared" si="21"/>
        <v>1.9342663890527898E-4</v>
      </c>
      <c r="J205" s="98">
        <v>99377.755253865005</v>
      </c>
      <c r="K205" s="110">
        <f t="shared" si="22"/>
        <v>1.9342663890527888E-4</v>
      </c>
      <c r="L205" s="98">
        <v>99377.113781334105</v>
      </c>
      <c r="M205" s="110">
        <f t="shared" si="23"/>
        <v>1.9342663890527912E-4</v>
      </c>
      <c r="N205" s="98">
        <v>99377.113781334105</v>
      </c>
      <c r="O205" s="110">
        <f t="shared" si="24"/>
        <v>1.9342663890527912E-4</v>
      </c>
    </row>
    <row r="206" spans="2:15" x14ac:dyDescent="0.35">
      <c r="B206" s="100">
        <v>585</v>
      </c>
      <c r="C206" s="101" t="s">
        <v>812</v>
      </c>
      <c r="D206" s="98">
        <v>111632.120239279</v>
      </c>
      <c r="E206" s="110">
        <f t="shared" si="19"/>
        <v>2.1350469388544446E-4</v>
      </c>
      <c r="F206" s="98">
        <v>69650.987283176699</v>
      </c>
      <c r="G206" s="110">
        <f t="shared" si="20"/>
        <v>1.3626704202137702E-4</v>
      </c>
      <c r="H206" s="98">
        <v>70011.097116017205</v>
      </c>
      <c r="I206" s="110">
        <f t="shared" si="21"/>
        <v>1.3626704202137697E-4</v>
      </c>
      <c r="J206" s="98">
        <v>70010.588137242099</v>
      </c>
      <c r="K206" s="110">
        <f t="shared" si="22"/>
        <v>1.3626704202137686E-4</v>
      </c>
      <c r="L206" s="98">
        <v>70010.136226559902</v>
      </c>
      <c r="M206" s="110">
        <f t="shared" si="23"/>
        <v>1.3626704202137683E-4</v>
      </c>
      <c r="N206" s="98">
        <v>70010.136226559902</v>
      </c>
      <c r="O206" s="110">
        <f t="shared" si="24"/>
        <v>1.3626704202137683E-4</v>
      </c>
    </row>
    <row r="207" spans="2:15" x14ac:dyDescent="0.35">
      <c r="B207" s="100">
        <v>588</v>
      </c>
      <c r="C207" s="101" t="s">
        <v>815</v>
      </c>
      <c r="D207" s="98">
        <v>38248.558677233799</v>
      </c>
      <c r="E207" s="110">
        <f t="shared" si="19"/>
        <v>7.3153199943154693E-5</v>
      </c>
      <c r="F207" s="98">
        <v>26454.9395862495</v>
      </c>
      <c r="G207" s="110">
        <f t="shared" si="20"/>
        <v>5.1757146666364301E-5</v>
      </c>
      <c r="H207" s="98">
        <v>26591.717028232899</v>
      </c>
      <c r="I207" s="110">
        <f t="shared" si="21"/>
        <v>5.1757146666364308E-5</v>
      </c>
      <c r="J207" s="98">
        <v>26591.523707172099</v>
      </c>
      <c r="K207" s="110">
        <f t="shared" si="22"/>
        <v>5.1757146666364234E-5</v>
      </c>
      <c r="L207" s="98">
        <v>26591.352061797599</v>
      </c>
      <c r="M207" s="110">
        <f t="shared" si="23"/>
        <v>5.1757146666364213E-5</v>
      </c>
      <c r="N207" s="98">
        <v>26591.352061797599</v>
      </c>
      <c r="O207" s="110">
        <f t="shared" si="24"/>
        <v>5.1757146666364213E-5</v>
      </c>
    </row>
    <row r="208" spans="2:15" x14ac:dyDescent="0.35">
      <c r="B208" s="100">
        <v>589</v>
      </c>
      <c r="C208" s="101" t="s">
        <v>241</v>
      </c>
      <c r="D208" s="98">
        <v>31473.416466385399</v>
      </c>
      <c r="E208" s="110">
        <f t="shared" si="19"/>
        <v>6.0195238913148524E-5</v>
      </c>
      <c r="F208" s="98">
        <v>24656.081905587998</v>
      </c>
      <c r="G208" s="110">
        <f t="shared" si="20"/>
        <v>4.8237813707527918E-5</v>
      </c>
      <c r="H208" s="98">
        <v>24783.5588858845</v>
      </c>
      <c r="I208" s="110">
        <f t="shared" si="21"/>
        <v>4.8237813707528074E-5</v>
      </c>
      <c r="J208" s="98">
        <v>24783.3787100843</v>
      </c>
      <c r="K208" s="110">
        <f t="shared" si="22"/>
        <v>4.8237813707528E-5</v>
      </c>
      <c r="L208" s="98">
        <v>24783.218736087802</v>
      </c>
      <c r="M208" s="110">
        <f t="shared" si="23"/>
        <v>4.8237813707527952E-5</v>
      </c>
      <c r="N208" s="98">
        <v>24783.218736087802</v>
      </c>
      <c r="O208" s="110">
        <f t="shared" si="24"/>
        <v>4.8237813707527952E-5</v>
      </c>
    </row>
    <row r="209" spans="2:15" x14ac:dyDescent="0.35">
      <c r="B209" s="100">
        <v>590</v>
      </c>
      <c r="C209" s="101" t="s">
        <v>243</v>
      </c>
      <c r="D209" s="98">
        <v>433411.17129305098</v>
      </c>
      <c r="E209" s="110">
        <f t="shared" si="19"/>
        <v>8.2893094975808952E-4</v>
      </c>
      <c r="F209" s="98">
        <v>438165.70102796302</v>
      </c>
      <c r="G209" s="110">
        <f t="shared" si="20"/>
        <v>8.5723901876011378E-4</v>
      </c>
      <c r="H209" s="98">
        <v>440431.10721254599</v>
      </c>
      <c r="I209" s="110">
        <f t="shared" si="21"/>
        <v>8.5723901876011335E-4</v>
      </c>
      <c r="J209" s="98">
        <v>440427.90529035497</v>
      </c>
      <c r="K209" s="110">
        <f t="shared" si="22"/>
        <v>8.5723901876011248E-4</v>
      </c>
      <c r="L209" s="98">
        <v>440425.06237644103</v>
      </c>
      <c r="M209" s="110">
        <f t="shared" si="23"/>
        <v>8.5723901876011237E-4</v>
      </c>
      <c r="N209" s="98">
        <v>440425.06237644103</v>
      </c>
      <c r="O209" s="110">
        <f t="shared" si="24"/>
        <v>8.5723901876011237E-4</v>
      </c>
    </row>
    <row r="210" spans="2:15" x14ac:dyDescent="0.35">
      <c r="B210" s="100">
        <v>597</v>
      </c>
      <c r="C210" s="101" t="s">
        <v>256</v>
      </c>
      <c r="D210" s="98">
        <v>743724.73346064903</v>
      </c>
      <c r="E210" s="110">
        <f t="shared" si="19"/>
        <v>1.4224286093661247E-3</v>
      </c>
      <c r="F210" s="98">
        <v>754207.07909269701</v>
      </c>
      <c r="G210" s="110">
        <f t="shared" si="20"/>
        <v>1.4755507674529145E-3</v>
      </c>
      <c r="H210" s="98">
        <v>758106.48376409104</v>
      </c>
      <c r="I210" s="110">
        <f t="shared" si="21"/>
        <v>1.4755507674529148E-3</v>
      </c>
      <c r="J210" s="98">
        <v>758100.97235053906</v>
      </c>
      <c r="K210" s="110">
        <f t="shared" si="22"/>
        <v>1.4755507674529156E-3</v>
      </c>
      <c r="L210" s="98">
        <v>758096.07889175403</v>
      </c>
      <c r="M210" s="110">
        <f t="shared" si="23"/>
        <v>1.4755507674529161E-3</v>
      </c>
      <c r="N210" s="98">
        <v>758096.07889175403</v>
      </c>
      <c r="O210" s="110">
        <f t="shared" si="24"/>
        <v>1.4755507674529161E-3</v>
      </c>
    </row>
    <row r="211" spans="2:15" x14ac:dyDescent="0.35">
      <c r="B211" s="100">
        <v>599</v>
      </c>
      <c r="C211" s="101" t="s">
        <v>262</v>
      </c>
      <c r="D211" s="98">
        <v>61760304.465803303</v>
      </c>
      <c r="E211" s="110">
        <f t="shared" si="19"/>
        <v>0.11812115429662423</v>
      </c>
      <c r="F211" s="98">
        <v>60160165.321183302</v>
      </c>
      <c r="G211" s="110">
        <f t="shared" si="20"/>
        <v>0.11769894578098476</v>
      </c>
      <c r="H211" s="98">
        <v>60471205.665656701</v>
      </c>
      <c r="I211" s="110">
        <f t="shared" si="21"/>
        <v>0.1176989457809848</v>
      </c>
      <c r="J211" s="98">
        <v>60470766.041633397</v>
      </c>
      <c r="K211" s="110">
        <f t="shared" si="22"/>
        <v>0.11769894578098468</v>
      </c>
      <c r="L211" s="98">
        <v>60470375.7094585</v>
      </c>
      <c r="M211" s="110">
        <f t="shared" si="23"/>
        <v>0.11769894578098471</v>
      </c>
      <c r="N211" s="98">
        <v>60470375.7094585</v>
      </c>
      <c r="O211" s="110">
        <f t="shared" si="24"/>
        <v>0.11769894578098471</v>
      </c>
    </row>
    <row r="212" spans="2:15" x14ac:dyDescent="0.35">
      <c r="B212" s="100">
        <v>603</v>
      </c>
      <c r="C212" s="101" t="s">
        <v>258</v>
      </c>
      <c r="D212" s="98">
        <v>1671848.79990216</v>
      </c>
      <c r="E212" s="110">
        <f t="shared" si="19"/>
        <v>3.1975345938136395E-3</v>
      </c>
      <c r="F212" s="98">
        <v>1659429.6018515001</v>
      </c>
      <c r="G212" s="110">
        <f t="shared" si="20"/>
        <v>3.246552161100996E-3</v>
      </c>
      <c r="H212" s="98">
        <v>1668009.19188809</v>
      </c>
      <c r="I212" s="110">
        <f t="shared" si="21"/>
        <v>3.2465521611009965E-3</v>
      </c>
      <c r="J212" s="98">
        <v>1667997.06550656</v>
      </c>
      <c r="K212" s="110">
        <f t="shared" si="22"/>
        <v>3.2465521611010047E-3</v>
      </c>
      <c r="L212" s="98">
        <v>1667986.2987681001</v>
      </c>
      <c r="M212" s="110">
        <f t="shared" si="23"/>
        <v>3.2465521611010008E-3</v>
      </c>
      <c r="N212" s="98">
        <v>1667986.2987681001</v>
      </c>
      <c r="O212" s="110">
        <f t="shared" si="24"/>
        <v>3.2465521611010008E-3</v>
      </c>
    </row>
    <row r="213" spans="2:15" x14ac:dyDescent="0.35">
      <c r="B213" s="100">
        <v>606</v>
      </c>
      <c r="C213" s="101" t="s">
        <v>267</v>
      </c>
      <c r="D213" s="98">
        <v>3772285.2610961902</v>
      </c>
      <c r="E213" s="110">
        <f t="shared" si="19"/>
        <v>7.2147748174322219E-3</v>
      </c>
      <c r="F213" s="98">
        <v>3739157.1275581499</v>
      </c>
      <c r="G213" s="110">
        <f t="shared" si="20"/>
        <v>7.3153863469867389E-3</v>
      </c>
      <c r="H213" s="98">
        <v>3758489.3337578201</v>
      </c>
      <c r="I213" s="110">
        <f t="shared" si="21"/>
        <v>7.3153863469867259E-3</v>
      </c>
      <c r="J213" s="98">
        <v>3758462.0096424199</v>
      </c>
      <c r="K213" s="110">
        <f t="shared" si="22"/>
        <v>7.3153863469867329E-3</v>
      </c>
      <c r="L213" s="98">
        <v>3758437.74918159</v>
      </c>
      <c r="M213" s="110">
        <f t="shared" si="23"/>
        <v>7.3153863469867207E-3</v>
      </c>
      <c r="N213" s="98">
        <v>3758437.74918159</v>
      </c>
      <c r="O213" s="110">
        <f t="shared" si="24"/>
        <v>7.3153863469867207E-3</v>
      </c>
    </row>
    <row r="214" spans="2:15" x14ac:dyDescent="0.35">
      <c r="B214" s="100">
        <v>610</v>
      </c>
      <c r="C214" s="101" t="s">
        <v>276</v>
      </c>
      <c r="D214" s="98">
        <v>375203.09734464501</v>
      </c>
      <c r="E214" s="110">
        <f t="shared" si="19"/>
        <v>7.1760369929131109E-4</v>
      </c>
      <c r="F214" s="98">
        <v>467106.95439620299</v>
      </c>
      <c r="G214" s="110">
        <f t="shared" si="20"/>
        <v>9.1386045576641783E-4</v>
      </c>
      <c r="H214" s="98">
        <v>469521.99277293601</v>
      </c>
      <c r="I214" s="110">
        <f t="shared" si="21"/>
        <v>9.1386045576641642E-4</v>
      </c>
      <c r="J214" s="98">
        <v>469518.579360798</v>
      </c>
      <c r="K214" s="110">
        <f t="shared" si="22"/>
        <v>9.1386045576641783E-4</v>
      </c>
      <c r="L214" s="98">
        <v>469515.54866976698</v>
      </c>
      <c r="M214" s="110">
        <f t="shared" si="23"/>
        <v>9.1386045576641653E-4</v>
      </c>
      <c r="N214" s="98">
        <v>469515.54866976698</v>
      </c>
      <c r="O214" s="110">
        <f t="shared" si="24"/>
        <v>9.1386045576641653E-4</v>
      </c>
    </row>
    <row r="215" spans="2:15" x14ac:dyDescent="0.35">
      <c r="B215" s="100">
        <v>611</v>
      </c>
      <c r="C215" s="101" t="s">
        <v>813</v>
      </c>
      <c r="D215" s="98">
        <v>48777.282121478202</v>
      </c>
      <c r="E215" s="110">
        <f t="shared" si="19"/>
        <v>9.3290162952990494E-5</v>
      </c>
      <c r="F215" s="98">
        <v>31218.001879826999</v>
      </c>
      <c r="G215" s="110">
        <f t="shared" si="20"/>
        <v>6.1075728283456905E-5</v>
      </c>
      <c r="H215" s="98">
        <v>31379.405326885899</v>
      </c>
      <c r="I215" s="110">
        <f t="shared" si="21"/>
        <v>6.1075728283456918E-5</v>
      </c>
      <c r="J215" s="98">
        <v>31379.177199461199</v>
      </c>
      <c r="K215" s="110">
        <f t="shared" si="22"/>
        <v>6.1075728283456905E-5</v>
      </c>
      <c r="L215" s="98">
        <v>31378.974650307598</v>
      </c>
      <c r="M215" s="110">
        <f t="shared" si="23"/>
        <v>6.1075728283457027E-5</v>
      </c>
      <c r="N215" s="98">
        <v>31378.974650307598</v>
      </c>
      <c r="O215" s="110">
        <f t="shared" si="24"/>
        <v>6.1075728283457027E-5</v>
      </c>
    </row>
    <row r="216" spans="2:15" x14ac:dyDescent="0.35">
      <c r="B216" s="100">
        <v>613</v>
      </c>
      <c r="C216" s="101" t="s">
        <v>16</v>
      </c>
      <c r="D216" s="98">
        <v>227258.13179820601</v>
      </c>
      <c r="E216" s="110">
        <f t="shared" si="19"/>
        <v>4.3464800058040491E-4</v>
      </c>
      <c r="F216" s="98">
        <v>162100.926892441</v>
      </c>
      <c r="G216" s="110">
        <f t="shared" si="20"/>
        <v>3.1713856010037836E-4</v>
      </c>
      <c r="H216" s="98">
        <v>162939.02179910999</v>
      </c>
      <c r="I216" s="110">
        <f t="shared" si="21"/>
        <v>3.1713856010037739E-4</v>
      </c>
      <c r="J216" s="98">
        <v>162937.83723684601</v>
      </c>
      <c r="K216" s="110">
        <f t="shared" si="22"/>
        <v>3.1713856010037793E-4</v>
      </c>
      <c r="L216" s="98">
        <v>162936.78549094399</v>
      </c>
      <c r="M216" s="110">
        <f t="shared" si="23"/>
        <v>3.1713856010037814E-4</v>
      </c>
      <c r="N216" s="98">
        <v>162936.78549094399</v>
      </c>
      <c r="O216" s="110">
        <f t="shared" si="24"/>
        <v>3.1713856010037814E-4</v>
      </c>
    </row>
    <row r="217" spans="2:15" x14ac:dyDescent="0.35">
      <c r="B217" s="100">
        <v>614</v>
      </c>
      <c r="C217" s="101" t="s">
        <v>342</v>
      </c>
      <c r="D217" s="98">
        <v>49621.115135179702</v>
      </c>
      <c r="E217" s="110">
        <f t="shared" si="19"/>
        <v>9.4904056059155647E-5</v>
      </c>
      <c r="F217" s="98">
        <v>33685.565350473502</v>
      </c>
      <c r="G217" s="110">
        <f t="shared" si="20"/>
        <v>6.5903335016121529E-5</v>
      </c>
      <c r="H217" s="98">
        <v>33859.726604759497</v>
      </c>
      <c r="I217" s="110">
        <f t="shared" si="21"/>
        <v>6.5903335016121475E-5</v>
      </c>
      <c r="J217" s="98">
        <v>33859.480445466499</v>
      </c>
      <c r="K217" s="110">
        <f t="shared" si="22"/>
        <v>6.5903335016121557E-5</v>
      </c>
      <c r="L217" s="98">
        <v>33859.261886226901</v>
      </c>
      <c r="M217" s="110">
        <f t="shared" si="23"/>
        <v>6.5903335016121543E-5</v>
      </c>
      <c r="N217" s="98">
        <v>33859.261886226901</v>
      </c>
      <c r="O217" s="110">
        <f t="shared" si="24"/>
        <v>6.5903335016121543E-5</v>
      </c>
    </row>
    <row r="218" spans="2:15" x14ac:dyDescent="0.35">
      <c r="B218" s="100">
        <v>617</v>
      </c>
      <c r="C218" s="101" t="s">
        <v>820</v>
      </c>
      <c r="D218" s="98">
        <v>36081.937608728898</v>
      </c>
      <c r="E218" s="110">
        <f t="shared" si="19"/>
        <v>6.9009376758525016E-5</v>
      </c>
      <c r="F218" s="98">
        <v>22399.688684410499</v>
      </c>
      <c r="G218" s="110">
        <f t="shared" si="20"/>
        <v>4.3823346061335475E-5</v>
      </c>
      <c r="H218" s="98">
        <v>22515.499650808299</v>
      </c>
      <c r="I218" s="110">
        <f t="shared" si="21"/>
        <v>4.3823346061335543E-5</v>
      </c>
      <c r="J218" s="98">
        <v>22515.335963737201</v>
      </c>
      <c r="K218" s="110">
        <f t="shared" si="22"/>
        <v>4.3823346061335563E-5</v>
      </c>
      <c r="L218" s="98">
        <v>22515.190629708301</v>
      </c>
      <c r="M218" s="110">
        <f t="shared" si="23"/>
        <v>4.3823346061335435E-5</v>
      </c>
      <c r="N218" s="98">
        <v>22515.190629708301</v>
      </c>
      <c r="O218" s="110">
        <f t="shared" si="24"/>
        <v>4.3823346061335435E-5</v>
      </c>
    </row>
    <row r="219" spans="2:15" x14ac:dyDescent="0.35">
      <c r="B219" s="100">
        <v>620</v>
      </c>
      <c r="C219" s="101" t="s">
        <v>810</v>
      </c>
      <c r="D219" s="98">
        <v>174332.02231204699</v>
      </c>
      <c r="E219" s="110">
        <f t="shared" si="19"/>
        <v>3.3342289816213261E-4</v>
      </c>
      <c r="F219" s="98">
        <v>149664.53221039401</v>
      </c>
      <c r="G219" s="110">
        <f t="shared" si="20"/>
        <v>2.9280766713194156E-4</v>
      </c>
      <c r="H219" s="98">
        <v>150438.328416</v>
      </c>
      <c r="I219" s="110">
        <f t="shared" si="21"/>
        <v>2.9280766713194129E-4</v>
      </c>
      <c r="J219" s="98">
        <v>150437.234733438</v>
      </c>
      <c r="K219" s="110">
        <f t="shared" si="22"/>
        <v>2.9280766713194286E-4</v>
      </c>
      <c r="L219" s="98">
        <v>150436.26367755601</v>
      </c>
      <c r="M219" s="110">
        <f t="shared" si="23"/>
        <v>2.9280766713194177E-4</v>
      </c>
      <c r="N219" s="98">
        <v>150436.26367755601</v>
      </c>
      <c r="O219" s="110">
        <f t="shared" si="24"/>
        <v>2.9280766713194177E-4</v>
      </c>
    </row>
    <row r="220" spans="2:15" x14ac:dyDescent="0.35">
      <c r="B220" s="100">
        <v>622</v>
      </c>
      <c r="C220" s="101" t="s">
        <v>318</v>
      </c>
      <c r="D220" s="98">
        <v>3201692.9287445201</v>
      </c>
      <c r="E220" s="110">
        <f t="shared" si="19"/>
        <v>6.1234747418715332E-3</v>
      </c>
      <c r="F220" s="98">
        <v>3378471.4244233398</v>
      </c>
      <c r="G220" s="110">
        <f t="shared" si="20"/>
        <v>6.6097312546079907E-3</v>
      </c>
      <c r="H220" s="98">
        <v>3395938.8118554698</v>
      </c>
      <c r="I220" s="110">
        <f t="shared" si="21"/>
        <v>6.6097312546079907E-3</v>
      </c>
      <c r="J220" s="98">
        <v>3395914.1234725202</v>
      </c>
      <c r="K220" s="110">
        <f t="shared" si="22"/>
        <v>6.6097312546079985E-3</v>
      </c>
      <c r="L220" s="98">
        <v>3395892.20321861</v>
      </c>
      <c r="M220" s="110">
        <f t="shared" si="23"/>
        <v>6.6097312546079933E-3</v>
      </c>
      <c r="N220" s="98">
        <v>3395892.20321861</v>
      </c>
      <c r="O220" s="110">
        <f t="shared" si="24"/>
        <v>6.6097312546079933E-3</v>
      </c>
    </row>
    <row r="221" spans="2:15" x14ac:dyDescent="0.35">
      <c r="B221" s="100">
        <v>626</v>
      </c>
      <c r="C221" s="101" t="s">
        <v>322</v>
      </c>
      <c r="D221" s="98">
        <v>209053.37817742399</v>
      </c>
      <c r="E221" s="110">
        <f t="shared" si="19"/>
        <v>3.9983006161504439E-4</v>
      </c>
      <c r="F221" s="98">
        <v>176573.138979471</v>
      </c>
      <c r="G221" s="110">
        <f t="shared" si="20"/>
        <v>3.4545238032790486E-4</v>
      </c>
      <c r="H221" s="98">
        <v>177486.05817907301</v>
      </c>
      <c r="I221" s="110">
        <f t="shared" si="21"/>
        <v>3.4545238032790545E-4</v>
      </c>
      <c r="J221" s="98">
        <v>177484.76786024901</v>
      </c>
      <c r="K221" s="110">
        <f t="shared" si="22"/>
        <v>3.4545238032790496E-4</v>
      </c>
      <c r="L221" s="98">
        <v>177483.62221550199</v>
      </c>
      <c r="M221" s="110">
        <f t="shared" si="23"/>
        <v>3.4545238032790459E-4</v>
      </c>
      <c r="N221" s="98">
        <v>177483.62221550199</v>
      </c>
      <c r="O221" s="110">
        <f t="shared" si="24"/>
        <v>3.4545238032790459E-4</v>
      </c>
    </row>
    <row r="222" spans="2:15" x14ac:dyDescent="0.35">
      <c r="B222" s="100">
        <v>627</v>
      </c>
      <c r="C222" s="101" t="s">
        <v>328</v>
      </c>
      <c r="D222" s="98">
        <v>142315.67812322799</v>
      </c>
      <c r="E222" s="110">
        <f t="shared" si="19"/>
        <v>2.7218926978785372E-4</v>
      </c>
      <c r="F222" s="98">
        <v>154408.53433880501</v>
      </c>
      <c r="G222" s="110">
        <f t="shared" si="20"/>
        <v>3.0208895893550836E-4</v>
      </c>
      <c r="H222" s="98">
        <v>155206.85800453901</v>
      </c>
      <c r="I222" s="110">
        <f t="shared" si="21"/>
        <v>3.0208895893550831E-4</v>
      </c>
      <c r="J222" s="98">
        <v>155205.72965489599</v>
      </c>
      <c r="K222" s="110">
        <f t="shared" si="22"/>
        <v>3.0208895893550907E-4</v>
      </c>
      <c r="L222" s="98">
        <v>155204.72781890101</v>
      </c>
      <c r="M222" s="110">
        <f t="shared" si="23"/>
        <v>3.020889589355075E-4</v>
      </c>
      <c r="N222" s="98">
        <v>155204.72781890101</v>
      </c>
      <c r="O222" s="110">
        <f t="shared" si="24"/>
        <v>3.020889589355075E-4</v>
      </c>
    </row>
    <row r="223" spans="2:15" x14ac:dyDescent="0.35">
      <c r="B223" s="100">
        <v>629</v>
      </c>
      <c r="C223" s="101" t="s">
        <v>330</v>
      </c>
      <c r="D223" s="98">
        <v>331564.060337384</v>
      </c>
      <c r="E223" s="110">
        <f t="shared" si="19"/>
        <v>6.3414081049443149E-4</v>
      </c>
      <c r="F223" s="98">
        <v>311587.69424231403</v>
      </c>
      <c r="G223" s="110">
        <f t="shared" si="20"/>
        <v>6.0959844333630629E-4</v>
      </c>
      <c r="H223" s="98">
        <v>313198.666273946</v>
      </c>
      <c r="I223" s="110">
        <f t="shared" si="21"/>
        <v>6.0959844333630586E-4</v>
      </c>
      <c r="J223" s="98">
        <v>313196.389328146</v>
      </c>
      <c r="K223" s="110">
        <f t="shared" si="22"/>
        <v>6.0959844333630521E-4</v>
      </c>
      <c r="L223" s="98">
        <v>313194.36767974001</v>
      </c>
      <c r="M223" s="110">
        <f t="shared" si="23"/>
        <v>6.0959844333630662E-4</v>
      </c>
      <c r="N223" s="98">
        <v>313194.36767974001</v>
      </c>
      <c r="O223" s="110">
        <f t="shared" si="24"/>
        <v>6.0959844333630662E-4</v>
      </c>
    </row>
    <row r="224" spans="2:15" x14ac:dyDescent="0.35">
      <c r="B224" s="100">
        <v>632</v>
      </c>
      <c r="C224" s="101" t="s">
        <v>349</v>
      </c>
      <c r="D224" s="98">
        <v>212263.68573814799</v>
      </c>
      <c r="E224" s="110">
        <f t="shared" si="19"/>
        <v>4.0597001247830259E-4</v>
      </c>
      <c r="F224" s="98">
        <v>127804.927650821</v>
      </c>
      <c r="G224" s="110">
        <f t="shared" si="20"/>
        <v>2.5004095600149502E-4</v>
      </c>
      <c r="H224" s="98">
        <v>128465.705235286</v>
      </c>
      <c r="I224" s="110">
        <f t="shared" si="21"/>
        <v>2.5004095600149632E-4</v>
      </c>
      <c r="J224" s="98">
        <v>128464.771293097</v>
      </c>
      <c r="K224" s="110">
        <f t="shared" si="22"/>
        <v>2.500409560014961E-4</v>
      </c>
      <c r="L224" s="98">
        <v>128463.942067061</v>
      </c>
      <c r="M224" s="110">
        <f t="shared" si="23"/>
        <v>2.500409560014948E-4</v>
      </c>
      <c r="N224" s="98">
        <v>128463.942067061</v>
      </c>
      <c r="O224" s="110">
        <f t="shared" si="24"/>
        <v>2.500409560014948E-4</v>
      </c>
    </row>
    <row r="225" spans="2:15" x14ac:dyDescent="0.35">
      <c r="B225" s="100">
        <v>637</v>
      </c>
      <c r="C225" s="101" t="s">
        <v>358</v>
      </c>
      <c r="D225" s="98">
        <v>3624495.1489499002</v>
      </c>
      <c r="E225" s="110">
        <f t="shared" si="19"/>
        <v>6.9321152873126233E-3</v>
      </c>
      <c r="F225" s="98">
        <v>3355181.0933922702</v>
      </c>
      <c r="G225" s="110">
        <f t="shared" si="20"/>
        <v>6.5641654321968975E-3</v>
      </c>
      <c r="H225" s="98">
        <v>3372528.0650551198</v>
      </c>
      <c r="I225" s="110">
        <f t="shared" si="21"/>
        <v>6.5641654321968853E-3</v>
      </c>
      <c r="J225" s="98">
        <v>3372503.5468676598</v>
      </c>
      <c r="K225" s="110">
        <f t="shared" si="22"/>
        <v>6.5641654321968853E-3</v>
      </c>
      <c r="L225" s="98">
        <v>3372481.7777264598</v>
      </c>
      <c r="M225" s="110">
        <f t="shared" si="23"/>
        <v>6.5641654321968819E-3</v>
      </c>
      <c r="N225" s="98">
        <v>3372481.7777264598</v>
      </c>
      <c r="O225" s="110">
        <f t="shared" si="24"/>
        <v>6.5641654321968819E-3</v>
      </c>
    </row>
    <row r="226" spans="2:15" x14ac:dyDescent="0.35">
      <c r="B226" s="100">
        <v>638</v>
      </c>
      <c r="C226" s="101" t="s">
        <v>359</v>
      </c>
      <c r="D226" s="98">
        <v>27345.468498566501</v>
      </c>
      <c r="E226" s="110">
        <f t="shared" si="19"/>
        <v>5.2300232840029894E-5</v>
      </c>
      <c r="F226" s="98">
        <v>20663.399966554702</v>
      </c>
      <c r="G226" s="110">
        <f t="shared" si="20"/>
        <v>4.0426424683676181E-5</v>
      </c>
      <c r="H226" s="98">
        <v>20770.233965585001</v>
      </c>
      <c r="I226" s="110">
        <f t="shared" si="21"/>
        <v>4.04264246836761E-5</v>
      </c>
      <c r="J226" s="98">
        <v>20770.082966548001</v>
      </c>
      <c r="K226" s="110">
        <f t="shared" si="22"/>
        <v>4.0426424683676032E-5</v>
      </c>
      <c r="L226" s="98">
        <v>20769.948897936301</v>
      </c>
      <c r="M226" s="110">
        <f t="shared" si="23"/>
        <v>4.0426424683676215E-5</v>
      </c>
      <c r="N226" s="98">
        <v>20769.948897936301</v>
      </c>
      <c r="O226" s="110">
        <f t="shared" si="24"/>
        <v>4.0426424683676215E-5</v>
      </c>
    </row>
    <row r="227" spans="2:15" x14ac:dyDescent="0.35">
      <c r="B227" s="100">
        <v>642</v>
      </c>
      <c r="C227" s="101" t="s">
        <v>364</v>
      </c>
      <c r="D227" s="98">
        <v>1214477.6443948001</v>
      </c>
      <c r="E227" s="110">
        <f t="shared" si="19"/>
        <v>2.3227784005305585E-3</v>
      </c>
      <c r="F227" s="98">
        <v>1236254.2517242599</v>
      </c>
      <c r="G227" s="110">
        <f t="shared" si="20"/>
        <v>2.418640663109527E-3</v>
      </c>
      <c r="H227" s="98">
        <v>1242645.9387527099</v>
      </c>
      <c r="I227" s="110">
        <f t="shared" si="21"/>
        <v>2.4186406631095214E-3</v>
      </c>
      <c r="J227" s="98">
        <v>1242636.9047504801</v>
      </c>
      <c r="K227" s="110">
        <f t="shared" si="22"/>
        <v>2.4186406631095288E-3</v>
      </c>
      <c r="L227" s="98">
        <v>1242628.88366529</v>
      </c>
      <c r="M227" s="110">
        <f t="shared" si="23"/>
        <v>2.4186406631095201E-3</v>
      </c>
      <c r="N227" s="98">
        <v>1242628.88366529</v>
      </c>
      <c r="O227" s="110">
        <f t="shared" si="24"/>
        <v>2.4186406631095201E-3</v>
      </c>
    </row>
    <row r="228" spans="2:15" x14ac:dyDescent="0.35">
      <c r="B228" s="100">
        <v>654</v>
      </c>
      <c r="C228" s="101" t="s">
        <v>57</v>
      </c>
      <c r="D228" s="98">
        <v>132035.81295459901</v>
      </c>
      <c r="E228" s="110">
        <f t="shared" si="19"/>
        <v>2.5252826665266909E-4</v>
      </c>
      <c r="F228" s="98">
        <v>100031.008646036</v>
      </c>
      <c r="G228" s="110">
        <f t="shared" si="20"/>
        <v>1.9570332295781387E-4</v>
      </c>
      <c r="H228" s="98">
        <v>100548.18939547701</v>
      </c>
      <c r="I228" s="110">
        <f t="shared" si="21"/>
        <v>1.9570332295781458E-4</v>
      </c>
      <c r="J228" s="98">
        <v>100547.45841286999</v>
      </c>
      <c r="K228" s="110">
        <f t="shared" si="22"/>
        <v>1.9570332295781409E-4</v>
      </c>
      <c r="L228" s="98">
        <v>100546.809390033</v>
      </c>
      <c r="M228" s="110">
        <f t="shared" si="23"/>
        <v>1.9570332295781385E-4</v>
      </c>
      <c r="N228" s="98">
        <v>100546.809390033</v>
      </c>
      <c r="O228" s="110">
        <f t="shared" si="24"/>
        <v>1.9570332295781385E-4</v>
      </c>
    </row>
    <row r="229" spans="2:15" x14ac:dyDescent="0.35">
      <c r="B229" s="100">
        <v>664</v>
      </c>
      <c r="C229" s="101" t="s">
        <v>116</v>
      </c>
      <c r="D229" s="98">
        <v>819846.06162215106</v>
      </c>
      <c r="E229" s="110">
        <f t="shared" si="19"/>
        <v>1.56801628460188E-3</v>
      </c>
      <c r="F229" s="98">
        <v>865098.58735094604</v>
      </c>
      <c r="G229" s="110">
        <f t="shared" si="20"/>
        <v>1.6925018603958645E-3</v>
      </c>
      <c r="H229" s="98">
        <v>869571.32377340295</v>
      </c>
      <c r="I229" s="110">
        <f t="shared" si="21"/>
        <v>1.6925018603958649E-3</v>
      </c>
      <c r="J229" s="98">
        <v>869565.00201348995</v>
      </c>
      <c r="K229" s="110">
        <f t="shared" si="22"/>
        <v>1.6925018603958645E-3</v>
      </c>
      <c r="L229" s="98">
        <v>869559.38906659605</v>
      </c>
      <c r="M229" s="110">
        <f t="shared" si="23"/>
        <v>1.6925018603958656E-3</v>
      </c>
      <c r="N229" s="98">
        <v>869559.38906659605</v>
      </c>
      <c r="O229" s="110">
        <f t="shared" si="24"/>
        <v>1.6925018603958656E-3</v>
      </c>
    </row>
    <row r="230" spans="2:15" x14ac:dyDescent="0.35">
      <c r="B230" s="100">
        <v>668</v>
      </c>
      <c r="C230" s="101" t="s">
        <v>335</v>
      </c>
      <c r="D230" s="98">
        <v>154186.14907408401</v>
      </c>
      <c r="E230" s="110">
        <f t="shared" si="19"/>
        <v>2.9489242423127185E-4</v>
      </c>
      <c r="F230" s="98">
        <v>193602.09145561</v>
      </c>
      <c r="G230" s="110">
        <f t="shared" si="20"/>
        <v>3.7876827538064518E-4</v>
      </c>
      <c r="H230" s="98">
        <v>194603.05381825601</v>
      </c>
      <c r="I230" s="110">
        <f t="shared" si="21"/>
        <v>3.7876827538064345E-4</v>
      </c>
      <c r="J230" s="98">
        <v>194601.63905933901</v>
      </c>
      <c r="K230" s="110">
        <f t="shared" si="22"/>
        <v>3.7876827538064399E-4</v>
      </c>
      <c r="L230" s="98">
        <v>194600.38292706301</v>
      </c>
      <c r="M230" s="110">
        <f t="shared" si="23"/>
        <v>3.7876827538064513E-4</v>
      </c>
      <c r="N230" s="98">
        <v>194600.38292706301</v>
      </c>
      <c r="O230" s="110">
        <f t="shared" si="24"/>
        <v>3.7876827538064513E-4</v>
      </c>
    </row>
    <row r="231" spans="2:15" x14ac:dyDescent="0.35">
      <c r="B231" s="100">
        <v>677</v>
      </c>
      <c r="C231" s="101" t="s">
        <v>161</v>
      </c>
      <c r="D231" s="98">
        <v>289788.24291786598</v>
      </c>
      <c r="E231" s="110">
        <f t="shared" si="19"/>
        <v>5.5424146708995094E-4</v>
      </c>
      <c r="F231" s="98">
        <v>216909.65948142699</v>
      </c>
      <c r="G231" s="110">
        <f t="shared" si="20"/>
        <v>4.2436782070621792E-4</v>
      </c>
      <c r="H231" s="98">
        <v>218031.12673213199</v>
      </c>
      <c r="I231" s="110">
        <f t="shared" si="21"/>
        <v>4.2436782070621787E-4</v>
      </c>
      <c r="J231" s="98">
        <v>218029.54165176</v>
      </c>
      <c r="K231" s="110">
        <f t="shared" si="22"/>
        <v>4.243678207062164E-4</v>
      </c>
      <c r="L231" s="98">
        <v>218028.13429493699</v>
      </c>
      <c r="M231" s="110">
        <f t="shared" si="23"/>
        <v>4.2436782070621662E-4</v>
      </c>
      <c r="N231" s="98">
        <v>218028.13429493699</v>
      </c>
      <c r="O231" s="110">
        <f t="shared" si="24"/>
        <v>4.2436782070621662E-4</v>
      </c>
    </row>
    <row r="232" spans="2:15" x14ac:dyDescent="0.35">
      <c r="B232" s="100">
        <v>678</v>
      </c>
      <c r="C232" s="101" t="s">
        <v>165</v>
      </c>
      <c r="D232" s="98">
        <v>37720.038428570399</v>
      </c>
      <c r="E232" s="110">
        <f t="shared" si="19"/>
        <v>7.2142365842169548E-5</v>
      </c>
      <c r="F232" s="98">
        <v>30760.466339310999</v>
      </c>
      <c r="G232" s="110">
        <f t="shared" si="20"/>
        <v>6.0180593596100851E-5</v>
      </c>
      <c r="H232" s="98">
        <v>30919.504234158201</v>
      </c>
      <c r="I232" s="110">
        <f t="shared" si="21"/>
        <v>6.0180593596100838E-5</v>
      </c>
      <c r="J232" s="98">
        <v>30919.279450201899</v>
      </c>
      <c r="K232" s="110">
        <f t="shared" si="22"/>
        <v>6.0180593596100709E-5</v>
      </c>
      <c r="L232" s="98">
        <v>30919.079869637899</v>
      </c>
      <c r="M232" s="110">
        <f t="shared" si="23"/>
        <v>6.0180593596100784E-5</v>
      </c>
      <c r="N232" s="98">
        <v>30919.079869637899</v>
      </c>
      <c r="O232" s="110">
        <f t="shared" si="24"/>
        <v>6.0180593596100784E-5</v>
      </c>
    </row>
    <row r="233" spans="2:15" x14ac:dyDescent="0.35">
      <c r="B233" s="100">
        <v>687</v>
      </c>
      <c r="C233" s="101" t="s">
        <v>200</v>
      </c>
      <c r="D233" s="98">
        <v>1687383.90351727</v>
      </c>
      <c r="E233" s="110">
        <f t="shared" si="19"/>
        <v>3.2272466295136986E-3</v>
      </c>
      <c r="F233" s="98">
        <v>1811256.2785945199</v>
      </c>
      <c r="G233" s="110">
        <f t="shared" si="20"/>
        <v>3.5435899052408308E-3</v>
      </c>
      <c r="H233" s="98">
        <v>1820620.84356564</v>
      </c>
      <c r="I233" s="110">
        <f t="shared" si="21"/>
        <v>3.5435899052408287E-3</v>
      </c>
      <c r="J233" s="98">
        <v>1820607.60770154</v>
      </c>
      <c r="K233" s="110">
        <f t="shared" si="22"/>
        <v>3.5435899052408248E-3</v>
      </c>
      <c r="L233" s="98">
        <v>1820595.8558787401</v>
      </c>
      <c r="M233" s="110">
        <f t="shared" si="23"/>
        <v>3.5435899052408274E-3</v>
      </c>
      <c r="N233" s="98">
        <v>1820595.8558787401</v>
      </c>
      <c r="O233" s="110">
        <f t="shared" si="24"/>
        <v>3.5435899052408274E-3</v>
      </c>
    </row>
    <row r="234" spans="2:15" x14ac:dyDescent="0.35">
      <c r="B234" s="100">
        <v>689</v>
      </c>
      <c r="C234" s="101" t="s">
        <v>814</v>
      </c>
      <c r="D234" s="98">
        <v>47785.589433663103</v>
      </c>
      <c r="E234" s="110">
        <f t="shared" si="19"/>
        <v>9.1393477274293733E-5</v>
      </c>
      <c r="F234" s="98">
        <v>36196.144983048798</v>
      </c>
      <c r="G234" s="110">
        <f t="shared" si="20"/>
        <v>7.081509971084515E-5</v>
      </c>
      <c r="H234" s="98">
        <v>36383.286446906699</v>
      </c>
      <c r="I234" s="110">
        <f t="shared" si="21"/>
        <v>7.0815099710845272E-5</v>
      </c>
      <c r="J234" s="98">
        <v>36383.021941402098</v>
      </c>
      <c r="K234" s="110">
        <f t="shared" si="22"/>
        <v>7.0815099710845204E-5</v>
      </c>
      <c r="L234" s="98">
        <v>36382.787092978397</v>
      </c>
      <c r="M234" s="110">
        <f t="shared" si="23"/>
        <v>7.081509971084519E-5</v>
      </c>
      <c r="N234" s="98">
        <v>36382.787092978397</v>
      </c>
      <c r="O234" s="110">
        <f t="shared" si="24"/>
        <v>7.081509971084519E-5</v>
      </c>
    </row>
    <row r="235" spans="2:15" x14ac:dyDescent="0.35">
      <c r="B235" s="100">
        <v>703</v>
      </c>
      <c r="C235" s="101" t="s">
        <v>250</v>
      </c>
      <c r="D235" s="98">
        <v>122223.061094743</v>
      </c>
      <c r="E235" s="110">
        <f t="shared" si="19"/>
        <v>2.3376065230008231E-4</v>
      </c>
      <c r="F235" s="98">
        <v>96933.788037416307</v>
      </c>
      <c r="G235" s="110">
        <f t="shared" si="20"/>
        <v>1.8964383827156886E-4</v>
      </c>
      <c r="H235" s="98">
        <v>97434.955523597499</v>
      </c>
      <c r="I235" s="110">
        <f t="shared" si="21"/>
        <v>1.896438382715687E-4</v>
      </c>
      <c r="J235" s="98">
        <v>97434.247174116506</v>
      </c>
      <c r="K235" s="110">
        <f t="shared" si="22"/>
        <v>1.896438382715688E-4</v>
      </c>
      <c r="L235" s="98">
        <v>97433.618246717393</v>
      </c>
      <c r="M235" s="110">
        <f t="shared" si="23"/>
        <v>1.8964383827156883E-4</v>
      </c>
      <c r="N235" s="98">
        <v>97433.618246717393</v>
      </c>
      <c r="O235" s="110">
        <f t="shared" si="24"/>
        <v>1.8964383827156883E-4</v>
      </c>
    </row>
    <row r="236" spans="2:15" x14ac:dyDescent="0.35">
      <c r="B236" s="100">
        <v>707</v>
      </c>
      <c r="C236" s="101" t="s">
        <v>821</v>
      </c>
      <c r="D236" s="98">
        <v>45964.465559747201</v>
      </c>
      <c r="E236" s="110">
        <f t="shared" si="19"/>
        <v>8.7910443050859892E-5</v>
      </c>
      <c r="F236" s="98">
        <v>34049.247446781097</v>
      </c>
      <c r="G236" s="110">
        <f t="shared" si="20"/>
        <v>6.6614852331712258E-5</v>
      </c>
      <c r="H236" s="98">
        <v>34225.289011799498</v>
      </c>
      <c r="I236" s="110">
        <f t="shared" si="21"/>
        <v>6.6614852331712285E-5</v>
      </c>
      <c r="J236" s="98">
        <v>34225.0401948777</v>
      </c>
      <c r="K236" s="110">
        <f t="shared" si="22"/>
        <v>6.6614852331712299E-5</v>
      </c>
      <c r="L236" s="98">
        <v>34224.819275989998</v>
      </c>
      <c r="M236" s="110">
        <f t="shared" si="23"/>
        <v>6.6614852331712407E-5</v>
      </c>
      <c r="N236" s="98">
        <v>34224.819275989998</v>
      </c>
      <c r="O236" s="110">
        <f t="shared" si="24"/>
        <v>6.6614852331712407E-5</v>
      </c>
    </row>
    <row r="237" spans="2:15" x14ac:dyDescent="0.35">
      <c r="B237" s="100">
        <v>715</v>
      </c>
      <c r="C237" s="101" t="s">
        <v>290</v>
      </c>
      <c r="D237" s="98">
        <v>1344110.4425413699</v>
      </c>
      <c r="E237" s="110">
        <f t="shared" si="19"/>
        <v>2.5707107234719485E-3</v>
      </c>
      <c r="F237" s="98">
        <v>1283871.1316178399</v>
      </c>
      <c r="G237" s="110">
        <f t="shared" si="20"/>
        <v>2.5117995920275753E-3</v>
      </c>
      <c r="H237" s="98">
        <v>1290509.0076427101</v>
      </c>
      <c r="I237" s="110">
        <f t="shared" si="21"/>
        <v>2.511799592027571E-3</v>
      </c>
      <c r="J237" s="98">
        <v>1290499.6256772601</v>
      </c>
      <c r="K237" s="110">
        <f t="shared" si="22"/>
        <v>2.511799592027561E-3</v>
      </c>
      <c r="L237" s="98">
        <v>1290491.29564346</v>
      </c>
      <c r="M237" s="110">
        <f t="shared" si="23"/>
        <v>2.5117995920275792E-3</v>
      </c>
      <c r="N237" s="98">
        <v>1290491.29564346</v>
      </c>
      <c r="O237" s="110">
        <f t="shared" si="24"/>
        <v>2.5117995920275792E-3</v>
      </c>
    </row>
    <row r="238" spans="2:15" x14ac:dyDescent="0.35">
      <c r="B238" s="100">
        <v>716</v>
      </c>
      <c r="C238" s="101" t="s">
        <v>294</v>
      </c>
      <c r="D238" s="98">
        <v>265239.621400656</v>
      </c>
      <c r="E238" s="110">
        <f t="shared" si="19"/>
        <v>5.0729041114738575E-4</v>
      </c>
      <c r="F238" s="98">
        <v>305849.23338500602</v>
      </c>
      <c r="G238" s="110">
        <f t="shared" si="20"/>
        <v>5.9837156605455826E-4</v>
      </c>
      <c r="H238" s="98">
        <v>307430.53640172898</v>
      </c>
      <c r="I238" s="110">
        <f t="shared" si="21"/>
        <v>5.9837156605455663E-4</v>
      </c>
      <c r="J238" s="98">
        <v>307428.30139007699</v>
      </c>
      <c r="K238" s="110">
        <f t="shared" si="22"/>
        <v>5.9837156605455685E-4</v>
      </c>
      <c r="L238" s="98">
        <v>307426.31697404699</v>
      </c>
      <c r="M238" s="110">
        <f t="shared" si="23"/>
        <v>5.9837156605455782E-4</v>
      </c>
      <c r="N238" s="98">
        <v>307426.31697404699</v>
      </c>
      <c r="O238" s="110">
        <f t="shared" si="24"/>
        <v>5.9837156605455782E-4</v>
      </c>
    </row>
    <row r="239" spans="2:15" x14ac:dyDescent="0.35">
      <c r="B239" s="100">
        <v>717</v>
      </c>
      <c r="C239" s="101" t="s">
        <v>312</v>
      </c>
      <c r="D239" s="98">
        <v>96818.840376263994</v>
      </c>
      <c r="E239" s="110">
        <f t="shared" si="19"/>
        <v>1.8517319954659912E-4</v>
      </c>
      <c r="F239" s="98">
        <v>97394.526601646503</v>
      </c>
      <c r="G239" s="110">
        <f t="shared" si="20"/>
        <v>1.9054523943961793E-4</v>
      </c>
      <c r="H239" s="98">
        <v>97898.076200326395</v>
      </c>
      <c r="I239" s="110">
        <f t="shared" si="21"/>
        <v>1.905452394396179E-4</v>
      </c>
      <c r="J239" s="98">
        <v>97897.364483970494</v>
      </c>
      <c r="K239" s="110">
        <f t="shared" si="22"/>
        <v>1.9054523943961768E-4</v>
      </c>
      <c r="L239" s="98">
        <v>97896.732567199899</v>
      </c>
      <c r="M239" s="110">
        <f t="shared" si="23"/>
        <v>1.9054523943961784E-4</v>
      </c>
      <c r="N239" s="98">
        <v>97896.732567199899</v>
      </c>
      <c r="O239" s="110">
        <f t="shared" si="24"/>
        <v>1.9054523943961784E-4</v>
      </c>
    </row>
    <row r="240" spans="2:15" x14ac:dyDescent="0.35">
      <c r="B240" s="100">
        <v>718</v>
      </c>
      <c r="C240" s="101" t="s">
        <v>320</v>
      </c>
      <c r="D240" s="98">
        <v>2635648.4328810899</v>
      </c>
      <c r="E240" s="110">
        <f t="shared" si="19"/>
        <v>5.0408727402628702E-3</v>
      </c>
      <c r="F240" s="98">
        <v>2819551.4228992201</v>
      </c>
      <c r="G240" s="110">
        <f t="shared" si="20"/>
        <v>5.51624531413416E-3</v>
      </c>
      <c r="H240" s="98">
        <v>2834129.0797450198</v>
      </c>
      <c r="I240" s="110">
        <f t="shared" si="21"/>
        <v>5.5162453141341531E-3</v>
      </c>
      <c r="J240" s="98">
        <v>2834108.4757035701</v>
      </c>
      <c r="K240" s="110">
        <f t="shared" si="22"/>
        <v>5.5162453141341652E-3</v>
      </c>
      <c r="L240" s="98">
        <v>2834090.18184361</v>
      </c>
      <c r="M240" s="110">
        <f t="shared" si="23"/>
        <v>5.5162453141341531E-3</v>
      </c>
      <c r="N240" s="98">
        <v>2834090.18184361</v>
      </c>
      <c r="O240" s="110">
        <f t="shared" si="24"/>
        <v>5.5162453141341531E-3</v>
      </c>
    </row>
    <row r="241" spans="2:15" x14ac:dyDescent="0.35">
      <c r="B241" s="100">
        <v>733</v>
      </c>
      <c r="C241" s="101" t="s">
        <v>808</v>
      </c>
      <c r="D241" s="98">
        <v>41435.428215350199</v>
      </c>
      <c r="E241" s="110">
        <f t="shared" si="19"/>
        <v>7.9248323853100638E-5</v>
      </c>
      <c r="F241" s="98">
        <v>28019.163656389901</v>
      </c>
      <c r="G241" s="110">
        <f t="shared" si="20"/>
        <v>5.4817436195787173E-5</v>
      </c>
      <c r="H241" s="98">
        <v>28164.028456362001</v>
      </c>
      <c r="I241" s="110">
        <f t="shared" si="21"/>
        <v>5.4817436195787241E-5</v>
      </c>
      <c r="J241" s="98">
        <v>28163.823704639799</v>
      </c>
      <c r="K241" s="110">
        <f t="shared" si="22"/>
        <v>5.4817436195787146E-5</v>
      </c>
      <c r="L241" s="98">
        <v>28163.641910241</v>
      </c>
      <c r="M241" s="110">
        <f t="shared" si="23"/>
        <v>5.4817436195787241E-5</v>
      </c>
      <c r="N241" s="98">
        <v>28163.641910241</v>
      </c>
      <c r="O241" s="110">
        <f t="shared" si="24"/>
        <v>5.4817436195787241E-5</v>
      </c>
    </row>
    <row r="242" spans="2:15" x14ac:dyDescent="0.35">
      <c r="B242" s="100">
        <v>736</v>
      </c>
      <c r="C242" s="101" t="s">
        <v>78</v>
      </c>
      <c r="D242" s="98">
        <v>161301.95153608901</v>
      </c>
      <c r="E242" s="110">
        <f t="shared" si="19"/>
        <v>3.0850192321008908E-4</v>
      </c>
      <c r="F242" s="98">
        <v>106543.211977438</v>
      </c>
      <c r="G242" s="110">
        <f t="shared" si="20"/>
        <v>2.0844397057281539E-4</v>
      </c>
      <c r="H242" s="98">
        <v>107094.06214844099</v>
      </c>
      <c r="I242" s="110">
        <f t="shared" si="21"/>
        <v>2.0844397057281474E-4</v>
      </c>
      <c r="J242" s="98">
        <v>107093.283577517</v>
      </c>
      <c r="K242" s="110">
        <f t="shared" si="22"/>
        <v>2.0844397057281463E-4</v>
      </c>
      <c r="L242" s="98">
        <v>107092.592302096</v>
      </c>
      <c r="M242" s="110">
        <f t="shared" si="23"/>
        <v>2.0844397057281604E-4</v>
      </c>
      <c r="N242" s="98">
        <v>107092.592302096</v>
      </c>
      <c r="O242" s="110">
        <f t="shared" si="24"/>
        <v>2.0844397057281604E-4</v>
      </c>
    </row>
    <row r="243" spans="2:15" x14ac:dyDescent="0.35">
      <c r="B243" s="100">
        <v>737</v>
      </c>
      <c r="C243" s="101" t="s">
        <v>300</v>
      </c>
      <c r="D243" s="98">
        <v>715214.42429173295</v>
      </c>
      <c r="E243" s="110">
        <f t="shared" si="19"/>
        <v>1.3679005325129628E-3</v>
      </c>
      <c r="F243" s="98">
        <v>717364.34231905802</v>
      </c>
      <c r="G243" s="110">
        <f t="shared" si="20"/>
        <v>1.4034706583841861E-3</v>
      </c>
      <c r="H243" s="98">
        <v>721073.26251494803</v>
      </c>
      <c r="I243" s="110">
        <f t="shared" si="21"/>
        <v>1.4034706583841855E-3</v>
      </c>
      <c r="J243" s="98">
        <v>721068.02033190895</v>
      </c>
      <c r="K243" s="110">
        <f t="shared" si="22"/>
        <v>1.4034706583841861E-3</v>
      </c>
      <c r="L243" s="98">
        <v>721063.36591677496</v>
      </c>
      <c r="M243" s="110">
        <f t="shared" si="23"/>
        <v>1.4034706583841863E-3</v>
      </c>
      <c r="N243" s="98">
        <v>721063.36591677496</v>
      </c>
      <c r="O243" s="110">
        <f t="shared" si="24"/>
        <v>1.4034706583841863E-3</v>
      </c>
    </row>
    <row r="244" spans="2:15" x14ac:dyDescent="0.35">
      <c r="B244" s="100">
        <v>738</v>
      </c>
      <c r="C244" s="101" t="s">
        <v>822</v>
      </c>
      <c r="D244" s="98">
        <v>37728.077137460699</v>
      </c>
      <c r="E244" s="110">
        <f t="shared" si="19"/>
        <v>7.2157740468013599E-5</v>
      </c>
      <c r="F244" s="98">
        <v>32649.266904005501</v>
      </c>
      <c r="G244" s="110">
        <f t="shared" si="20"/>
        <v>6.3875893202878909E-5</v>
      </c>
      <c r="H244" s="98">
        <v>32818.070283624002</v>
      </c>
      <c r="I244" s="110">
        <f t="shared" si="21"/>
        <v>6.3875893202878855E-5</v>
      </c>
      <c r="J244" s="98">
        <v>32817.831697144102</v>
      </c>
      <c r="K244" s="110">
        <f t="shared" si="22"/>
        <v>6.3875893202878787E-5</v>
      </c>
      <c r="L244" s="98">
        <v>32817.619861633197</v>
      </c>
      <c r="M244" s="110">
        <f t="shared" si="23"/>
        <v>6.3875893202878882E-5</v>
      </c>
      <c r="N244" s="98">
        <v>32817.619861633197</v>
      </c>
      <c r="O244" s="110">
        <f t="shared" si="24"/>
        <v>6.3875893202878882E-5</v>
      </c>
    </row>
    <row r="245" spans="2:15" x14ac:dyDescent="0.35">
      <c r="B245" s="100">
        <v>743</v>
      </c>
      <c r="C245" s="101" t="s">
        <v>31</v>
      </c>
      <c r="D245" s="98">
        <v>108748.001432394</v>
      </c>
      <c r="E245" s="110">
        <f t="shared" si="19"/>
        <v>2.0798860316107812E-4</v>
      </c>
      <c r="F245" s="98">
        <v>90952.212207489298</v>
      </c>
      <c r="G245" s="110">
        <f t="shared" si="20"/>
        <v>1.7794132439826455E-4</v>
      </c>
      <c r="H245" s="98">
        <v>91422.4537246892</v>
      </c>
      <c r="I245" s="110">
        <f t="shared" si="21"/>
        <v>1.7794132439826445E-4</v>
      </c>
      <c r="J245" s="98">
        <v>91421.789085932993</v>
      </c>
      <c r="K245" s="110">
        <f t="shared" si="22"/>
        <v>1.7794132439826447E-4</v>
      </c>
      <c r="L245" s="98">
        <v>91421.198968292607</v>
      </c>
      <c r="M245" s="110">
        <f t="shared" si="23"/>
        <v>1.7794132439826447E-4</v>
      </c>
      <c r="N245" s="98">
        <v>91421.198968292607</v>
      </c>
      <c r="O245" s="110">
        <f t="shared" si="24"/>
        <v>1.7794132439826447E-4</v>
      </c>
    </row>
    <row r="246" spans="2:15" x14ac:dyDescent="0.35">
      <c r="B246" s="100">
        <v>744</v>
      </c>
      <c r="C246" s="101" t="s">
        <v>32</v>
      </c>
      <c r="D246" s="98">
        <v>69237.645141974499</v>
      </c>
      <c r="E246" s="110">
        <f t="shared" si="19"/>
        <v>1.3242212187406692E-4</v>
      </c>
      <c r="F246" s="98">
        <v>65060.902003834999</v>
      </c>
      <c r="G246" s="110">
        <f t="shared" si="20"/>
        <v>1.2728687723062129E-4</v>
      </c>
      <c r="H246" s="98">
        <v>65397.280158100002</v>
      </c>
      <c r="I246" s="110">
        <f t="shared" si="21"/>
        <v>1.2728687723062112E-4</v>
      </c>
      <c r="J246" s="98">
        <v>65396.804721649001</v>
      </c>
      <c r="K246" s="110">
        <f t="shared" si="22"/>
        <v>1.2728687723062121E-4</v>
      </c>
      <c r="L246" s="98">
        <v>65396.3825924337</v>
      </c>
      <c r="M246" s="110">
        <f t="shared" si="23"/>
        <v>1.2728687723062126E-4</v>
      </c>
      <c r="N246" s="98">
        <v>65396.3825924337</v>
      </c>
      <c r="O246" s="110">
        <f t="shared" si="24"/>
        <v>1.2728687723062126E-4</v>
      </c>
    </row>
    <row r="247" spans="2:15" x14ac:dyDescent="0.35">
      <c r="B247" s="100">
        <v>748</v>
      </c>
      <c r="C247" s="101" t="s">
        <v>44</v>
      </c>
      <c r="D247" s="98">
        <v>2415408.4168115798</v>
      </c>
      <c r="E247" s="110">
        <f t="shared" si="19"/>
        <v>4.6196474055522534E-3</v>
      </c>
      <c r="F247" s="98">
        <v>2418594.92148221</v>
      </c>
      <c r="G247" s="110">
        <f t="shared" si="20"/>
        <v>4.7318033620739495E-3</v>
      </c>
      <c r="H247" s="98">
        <v>2431099.5513066598</v>
      </c>
      <c r="I247" s="110">
        <f t="shared" si="21"/>
        <v>4.73180336207394E-3</v>
      </c>
      <c r="J247" s="98">
        <v>2431081.87727893</v>
      </c>
      <c r="K247" s="110">
        <f t="shared" si="22"/>
        <v>4.7318033620739348E-3</v>
      </c>
      <c r="L247" s="98">
        <v>2431066.18491155</v>
      </c>
      <c r="M247" s="110">
        <f t="shared" si="23"/>
        <v>4.7318033620739374E-3</v>
      </c>
      <c r="N247" s="98">
        <v>2431066.18491155</v>
      </c>
      <c r="O247" s="110">
        <f t="shared" si="24"/>
        <v>4.7318033620739374E-3</v>
      </c>
    </row>
    <row r="248" spans="2:15" x14ac:dyDescent="0.35">
      <c r="B248" s="100">
        <v>753</v>
      </c>
      <c r="C248" s="101" t="s">
        <v>47</v>
      </c>
      <c r="D248" s="98">
        <v>284863.92112077202</v>
      </c>
      <c r="E248" s="110">
        <f t="shared" si="19"/>
        <v>5.4482333711420195E-4</v>
      </c>
      <c r="F248" s="98">
        <v>282353.11684964801</v>
      </c>
      <c r="G248" s="110">
        <f t="shared" si="20"/>
        <v>5.5240313941552711E-4</v>
      </c>
      <c r="H248" s="98">
        <v>283812.94014400197</v>
      </c>
      <c r="I248" s="110">
        <f t="shared" si="21"/>
        <v>5.5240313941552711E-4</v>
      </c>
      <c r="J248" s="98">
        <v>283810.87683163298</v>
      </c>
      <c r="K248" s="110">
        <f t="shared" si="22"/>
        <v>5.5240313941552635E-4</v>
      </c>
      <c r="L248" s="98">
        <v>283809.04486349301</v>
      </c>
      <c r="M248" s="110">
        <f t="shared" si="23"/>
        <v>5.5240313941552733E-4</v>
      </c>
      <c r="N248" s="98">
        <v>283809.04486349301</v>
      </c>
      <c r="O248" s="110">
        <f t="shared" si="24"/>
        <v>5.5240313941552733E-4</v>
      </c>
    </row>
    <row r="249" spans="2:15" x14ac:dyDescent="0.35">
      <c r="B249" s="100">
        <v>755</v>
      </c>
      <c r="C249" s="101" t="s">
        <v>54</v>
      </c>
      <c r="D249" s="98">
        <v>56455.614548468402</v>
      </c>
      <c r="E249" s="110">
        <f t="shared" si="19"/>
        <v>1.0797554213293729E-4</v>
      </c>
      <c r="F249" s="98">
        <v>25993.493485558101</v>
      </c>
      <c r="G249" s="110">
        <f t="shared" si="20"/>
        <v>5.0854361255184592E-5</v>
      </c>
      <c r="H249" s="98">
        <v>26127.885156934801</v>
      </c>
      <c r="I249" s="110">
        <f t="shared" si="21"/>
        <v>5.0854361255184517E-5</v>
      </c>
      <c r="J249" s="98">
        <v>26127.695207919201</v>
      </c>
      <c r="K249" s="110">
        <f t="shared" si="22"/>
        <v>5.0854361255184619E-5</v>
      </c>
      <c r="L249" s="98">
        <v>26127.526556506898</v>
      </c>
      <c r="M249" s="110">
        <f t="shared" si="23"/>
        <v>5.0854361255184619E-5</v>
      </c>
      <c r="N249" s="98">
        <v>26127.526556506898</v>
      </c>
      <c r="O249" s="110">
        <f t="shared" si="24"/>
        <v>5.0854361255184619E-5</v>
      </c>
    </row>
    <row r="250" spans="2:15" x14ac:dyDescent="0.35">
      <c r="B250" s="100">
        <v>756</v>
      </c>
      <c r="C250" s="101" t="s">
        <v>58</v>
      </c>
      <c r="D250" s="98">
        <v>203069.22651781101</v>
      </c>
      <c r="E250" s="110">
        <f t="shared" si="19"/>
        <v>3.8838492856990323E-4</v>
      </c>
      <c r="F250" s="98">
        <v>187717.803477193</v>
      </c>
      <c r="G250" s="110">
        <f t="shared" si="20"/>
        <v>3.6725609804479699E-4</v>
      </c>
      <c r="H250" s="98">
        <v>188688.34286892501</v>
      </c>
      <c r="I250" s="110">
        <f t="shared" si="21"/>
        <v>3.6725609804479656E-4</v>
      </c>
      <c r="J250" s="98">
        <v>188686.97110979501</v>
      </c>
      <c r="K250" s="110">
        <f t="shared" si="22"/>
        <v>3.6725609804479515E-4</v>
      </c>
      <c r="L250" s="98">
        <v>188685.75315605299</v>
      </c>
      <c r="M250" s="110">
        <f t="shared" si="23"/>
        <v>3.6725609804479607E-4</v>
      </c>
      <c r="N250" s="98">
        <v>188685.75315605299</v>
      </c>
      <c r="O250" s="110">
        <f t="shared" si="24"/>
        <v>3.6725609804479607E-4</v>
      </c>
    </row>
    <row r="251" spans="2:15" x14ac:dyDescent="0.35">
      <c r="B251" s="100">
        <v>757</v>
      </c>
      <c r="C251" s="101" t="s">
        <v>59</v>
      </c>
      <c r="D251" s="98">
        <v>315395.33179062902</v>
      </c>
      <c r="E251" s="110">
        <f t="shared" si="19"/>
        <v>6.0321692020647195E-4</v>
      </c>
      <c r="F251" s="98">
        <v>244129.06350641701</v>
      </c>
      <c r="G251" s="110">
        <f t="shared" si="20"/>
        <v>4.7762058591096959E-4</v>
      </c>
      <c r="H251" s="98">
        <v>245391.260636422</v>
      </c>
      <c r="I251" s="110">
        <f t="shared" si="21"/>
        <v>4.7762058591097035E-4</v>
      </c>
      <c r="J251" s="98">
        <v>245389.47664862001</v>
      </c>
      <c r="K251" s="110">
        <f t="shared" si="22"/>
        <v>4.7762058591097002E-4</v>
      </c>
      <c r="L251" s="98">
        <v>245387.892686412</v>
      </c>
      <c r="M251" s="110">
        <f t="shared" si="23"/>
        <v>4.7762058591097073E-4</v>
      </c>
      <c r="N251" s="98">
        <v>245387.892686412</v>
      </c>
      <c r="O251" s="110">
        <f t="shared" si="24"/>
        <v>4.7762058591097073E-4</v>
      </c>
    </row>
    <row r="252" spans="2:15" x14ac:dyDescent="0.35">
      <c r="B252" s="100">
        <v>758</v>
      </c>
      <c r="C252" s="101" t="s">
        <v>60</v>
      </c>
      <c r="D252" s="98">
        <v>5432487.4863838404</v>
      </c>
      <c r="E252" s="110">
        <f t="shared" si="19"/>
        <v>1.0390034475120354E-2</v>
      </c>
      <c r="F252" s="98">
        <v>5417067.1790483203</v>
      </c>
      <c r="G252" s="110">
        <f t="shared" si="20"/>
        <v>1.0598094150752902E-2</v>
      </c>
      <c r="H252" s="98">
        <v>5445074.5229844796</v>
      </c>
      <c r="I252" s="110">
        <f t="shared" si="21"/>
        <v>1.05980941507529E-2</v>
      </c>
      <c r="J252" s="98">
        <v>5445034.93744055</v>
      </c>
      <c r="K252" s="110">
        <f t="shared" si="22"/>
        <v>1.0598094150752909E-2</v>
      </c>
      <c r="L252" s="98">
        <v>5444999.7903361097</v>
      </c>
      <c r="M252" s="110">
        <f t="shared" si="23"/>
        <v>1.0598094150752907E-2</v>
      </c>
      <c r="N252" s="98">
        <v>5444999.7903361097</v>
      </c>
      <c r="O252" s="110">
        <f t="shared" si="24"/>
        <v>1.0598094150752907E-2</v>
      </c>
    </row>
    <row r="253" spans="2:15" x14ac:dyDescent="0.35">
      <c r="B253" s="100">
        <v>762</v>
      </c>
      <c r="C253" s="101" t="s">
        <v>83</v>
      </c>
      <c r="D253" s="98">
        <v>295420.153631491</v>
      </c>
      <c r="E253" s="110">
        <f t="shared" si="19"/>
        <v>5.6501291325011783E-4</v>
      </c>
      <c r="F253" s="98">
        <v>234369.16229377099</v>
      </c>
      <c r="G253" s="110">
        <f t="shared" si="20"/>
        <v>4.5852605587565226E-4</v>
      </c>
      <c r="H253" s="98">
        <v>235580.89874071401</v>
      </c>
      <c r="I253" s="110">
        <f t="shared" si="21"/>
        <v>4.5852605587565237E-4</v>
      </c>
      <c r="J253" s="98">
        <v>235579.18607397599</v>
      </c>
      <c r="K253" s="110">
        <f t="shared" si="22"/>
        <v>4.5852605587565079E-4</v>
      </c>
      <c r="L253" s="98">
        <v>235577.66543612001</v>
      </c>
      <c r="M253" s="110">
        <f t="shared" si="23"/>
        <v>4.5852605587565209E-4</v>
      </c>
      <c r="N253" s="98">
        <v>235577.66543612001</v>
      </c>
      <c r="O253" s="110">
        <f t="shared" si="24"/>
        <v>4.5852605587565209E-4</v>
      </c>
    </row>
    <row r="254" spans="2:15" x14ac:dyDescent="0.35">
      <c r="B254" s="100">
        <v>765</v>
      </c>
      <c r="C254" s="101" t="s">
        <v>245</v>
      </c>
      <c r="D254" s="98">
        <v>794016.43292066304</v>
      </c>
      <c r="E254" s="110">
        <f t="shared" si="19"/>
        <v>1.5186152075886939E-3</v>
      </c>
      <c r="F254" s="98">
        <v>803373.98024829605</v>
      </c>
      <c r="G254" s="110">
        <f t="shared" si="20"/>
        <v>1.5717421991492339E-3</v>
      </c>
      <c r="H254" s="98">
        <v>807527.58784267795</v>
      </c>
      <c r="I254" s="110">
        <f t="shared" si="21"/>
        <v>1.5717421991492326E-3</v>
      </c>
      <c r="J254" s="98">
        <v>807521.71713904105</v>
      </c>
      <c r="K254" s="110">
        <f t="shared" si="22"/>
        <v>1.571742199149233E-3</v>
      </c>
      <c r="L254" s="98">
        <v>807516.50467475795</v>
      </c>
      <c r="M254" s="110">
        <f t="shared" si="23"/>
        <v>1.5717421991492321E-3</v>
      </c>
      <c r="N254" s="98">
        <v>807516.50467475795</v>
      </c>
      <c r="O254" s="110">
        <f t="shared" si="24"/>
        <v>1.5717421991492321E-3</v>
      </c>
    </row>
    <row r="255" spans="2:15" x14ac:dyDescent="0.35">
      <c r="B255" s="100">
        <v>766</v>
      </c>
      <c r="C255" s="101" t="s">
        <v>89</v>
      </c>
      <c r="D255" s="98">
        <v>175987.50126699201</v>
      </c>
      <c r="E255" s="110">
        <f t="shared" si="19"/>
        <v>3.3658912421563516E-4</v>
      </c>
      <c r="F255" s="98">
        <v>159554.89792426399</v>
      </c>
      <c r="G255" s="110">
        <f t="shared" si="20"/>
        <v>3.1215744138365892E-4</v>
      </c>
      <c r="H255" s="98">
        <v>160379.82934105501</v>
      </c>
      <c r="I255" s="110">
        <f t="shared" si="21"/>
        <v>3.1215744138365914E-4</v>
      </c>
      <c r="J255" s="98">
        <v>160378.66338405001</v>
      </c>
      <c r="K255" s="110">
        <f t="shared" si="22"/>
        <v>3.1215744138365838E-4</v>
      </c>
      <c r="L255" s="98">
        <v>160377.62815733501</v>
      </c>
      <c r="M255" s="110">
        <f t="shared" si="23"/>
        <v>3.1215744138365854E-4</v>
      </c>
      <c r="N255" s="98">
        <v>160377.62815733501</v>
      </c>
      <c r="O255" s="110">
        <f t="shared" si="24"/>
        <v>3.1215744138365854E-4</v>
      </c>
    </row>
    <row r="256" spans="2:15" x14ac:dyDescent="0.35">
      <c r="B256" s="100">
        <v>770</v>
      </c>
      <c r="C256" s="101" t="s">
        <v>100</v>
      </c>
      <c r="D256" s="98">
        <v>61463.886278973398</v>
      </c>
      <c r="E256" s="110">
        <f t="shared" si="19"/>
        <v>1.1755423257099952E-4</v>
      </c>
      <c r="F256" s="98">
        <v>46234.552953174898</v>
      </c>
      <c r="G256" s="110">
        <f t="shared" si="20"/>
        <v>9.0454507765916605E-5</v>
      </c>
      <c r="H256" s="98">
        <v>46473.595036924999</v>
      </c>
      <c r="I256" s="110">
        <f t="shared" si="21"/>
        <v>9.0454507765916537E-5</v>
      </c>
      <c r="J256" s="98">
        <v>46473.257175150902</v>
      </c>
      <c r="K256" s="110">
        <f t="shared" si="22"/>
        <v>9.0454507765916429E-5</v>
      </c>
      <c r="L256" s="98">
        <v>46472.9571953634</v>
      </c>
      <c r="M256" s="110">
        <f t="shared" si="23"/>
        <v>9.0454507765916456E-5</v>
      </c>
      <c r="N256" s="98">
        <v>46472.9571953634</v>
      </c>
      <c r="O256" s="110">
        <f t="shared" si="24"/>
        <v>9.0454507765916456E-5</v>
      </c>
    </row>
    <row r="257" spans="2:15" x14ac:dyDescent="0.35">
      <c r="B257" s="100">
        <v>772</v>
      </c>
      <c r="C257" s="101" t="s">
        <v>102</v>
      </c>
      <c r="D257" s="98">
        <v>8545229.8967243508</v>
      </c>
      <c r="E257" s="110">
        <f t="shared" si="19"/>
        <v>1.6343384765695142E-2</v>
      </c>
      <c r="F257" s="98">
        <v>8287541.6731437296</v>
      </c>
      <c r="G257" s="110">
        <f t="shared" si="20"/>
        <v>1.6213966714309049E-2</v>
      </c>
      <c r="H257" s="98">
        <v>8330389.9566065501</v>
      </c>
      <c r="I257" s="110">
        <f t="shared" si="21"/>
        <v>1.6213966714309053E-2</v>
      </c>
      <c r="J257" s="98">
        <v>8330329.3948977496</v>
      </c>
      <c r="K257" s="110">
        <f t="shared" si="22"/>
        <v>1.6213966714309039E-2</v>
      </c>
      <c r="L257" s="98">
        <v>8330275.6235334501</v>
      </c>
      <c r="M257" s="110">
        <f t="shared" si="23"/>
        <v>1.6213966714309042E-2</v>
      </c>
      <c r="N257" s="98">
        <v>8330275.6235334501</v>
      </c>
      <c r="O257" s="110">
        <f t="shared" si="24"/>
        <v>1.6213966714309042E-2</v>
      </c>
    </row>
    <row r="258" spans="2:15" x14ac:dyDescent="0.35">
      <c r="B258" s="100">
        <v>777</v>
      </c>
      <c r="C258" s="101" t="s">
        <v>109</v>
      </c>
      <c r="D258" s="98">
        <v>655110.32231614005</v>
      </c>
      <c r="E258" s="110">
        <f t="shared" si="19"/>
        <v>1.2529469880845983E-3</v>
      </c>
      <c r="F258" s="98">
        <v>609203.05007160699</v>
      </c>
      <c r="G258" s="110">
        <f t="shared" si="20"/>
        <v>1.1918610325816553E-3</v>
      </c>
      <c r="H258" s="98">
        <v>612352.75429095002</v>
      </c>
      <c r="I258" s="110">
        <f t="shared" si="21"/>
        <v>1.1918610325816553E-3</v>
      </c>
      <c r="J258" s="98">
        <v>612348.30250305298</v>
      </c>
      <c r="K258" s="110">
        <f t="shared" si="22"/>
        <v>1.1918610325816546E-3</v>
      </c>
      <c r="L258" s="98">
        <v>612344.34986179601</v>
      </c>
      <c r="M258" s="110">
        <f t="shared" si="23"/>
        <v>1.1918610325816553E-3</v>
      </c>
      <c r="N258" s="98">
        <v>612344.34986179601</v>
      </c>
      <c r="O258" s="110">
        <f t="shared" si="24"/>
        <v>1.1918610325816553E-3</v>
      </c>
    </row>
    <row r="259" spans="2:15" x14ac:dyDescent="0.35">
      <c r="B259" s="100">
        <v>779</v>
      </c>
      <c r="C259" s="101" t="s">
        <v>110</v>
      </c>
      <c r="D259" s="98">
        <v>294751.60434129101</v>
      </c>
      <c r="E259" s="110">
        <f t="shared" si="19"/>
        <v>5.6373426324109232E-4</v>
      </c>
      <c r="F259" s="98">
        <v>249817.331950141</v>
      </c>
      <c r="G259" s="110">
        <f t="shared" si="20"/>
        <v>4.8874926542126029E-4</v>
      </c>
      <c r="H259" s="98">
        <v>251108.93859002201</v>
      </c>
      <c r="I259" s="110">
        <f t="shared" si="21"/>
        <v>4.8874926542125986E-4</v>
      </c>
      <c r="J259" s="98">
        <v>251107.11303485601</v>
      </c>
      <c r="K259" s="110">
        <f t="shared" si="22"/>
        <v>4.8874926542125856E-4</v>
      </c>
      <c r="L259" s="98">
        <v>251105.49216593101</v>
      </c>
      <c r="M259" s="110">
        <f t="shared" si="23"/>
        <v>4.887492654212591E-4</v>
      </c>
      <c r="N259" s="98">
        <v>251105.49216593101</v>
      </c>
      <c r="O259" s="110">
        <f t="shared" si="24"/>
        <v>4.887492654212591E-4</v>
      </c>
    </row>
    <row r="260" spans="2:15" x14ac:dyDescent="0.35">
      <c r="B260" s="100">
        <v>784</v>
      </c>
      <c r="C260" s="101" t="s">
        <v>114</v>
      </c>
      <c r="D260" s="98">
        <v>329973.36467519403</v>
      </c>
      <c r="E260" s="110">
        <f t="shared" si="19"/>
        <v>6.3109848728411515E-4</v>
      </c>
      <c r="F260" s="98">
        <v>387312.58656702703</v>
      </c>
      <c r="G260" s="110">
        <f t="shared" si="20"/>
        <v>7.5774863455359991E-4</v>
      </c>
      <c r="H260" s="98">
        <v>389315.07176136703</v>
      </c>
      <c r="I260" s="110">
        <f t="shared" si="21"/>
        <v>7.57748634553601E-4</v>
      </c>
      <c r="J260" s="98">
        <v>389312.24145136599</v>
      </c>
      <c r="K260" s="110">
        <f t="shared" si="22"/>
        <v>7.5774863455360057E-4</v>
      </c>
      <c r="L260" s="98">
        <v>389309.72848346602</v>
      </c>
      <c r="M260" s="110">
        <f t="shared" si="23"/>
        <v>7.5774863455359981E-4</v>
      </c>
      <c r="N260" s="98">
        <v>389309.72848346602</v>
      </c>
      <c r="O260" s="110">
        <f t="shared" si="24"/>
        <v>7.5774863455359981E-4</v>
      </c>
    </row>
    <row r="261" spans="2:15" x14ac:dyDescent="0.35">
      <c r="B261" s="100">
        <v>785</v>
      </c>
      <c r="C261" s="101" t="s">
        <v>117</v>
      </c>
      <c r="D261" s="98">
        <v>225906.864762123</v>
      </c>
      <c r="E261" s="110">
        <f t="shared" si="19"/>
        <v>4.3206360234199464E-4</v>
      </c>
      <c r="F261" s="98">
        <v>233137.684114765</v>
      </c>
      <c r="G261" s="110">
        <f t="shared" si="20"/>
        <v>4.5611675924810033E-4</v>
      </c>
      <c r="H261" s="98">
        <v>234343.05356795099</v>
      </c>
      <c r="I261" s="110">
        <f t="shared" si="21"/>
        <v>4.5611675924810005E-4</v>
      </c>
      <c r="J261" s="98">
        <v>234341.34990031499</v>
      </c>
      <c r="K261" s="110">
        <f t="shared" si="22"/>
        <v>4.5611675924810087E-4</v>
      </c>
      <c r="L261" s="98">
        <v>234339.83725255501</v>
      </c>
      <c r="M261" s="110">
        <f t="shared" si="23"/>
        <v>4.5611675924810027E-4</v>
      </c>
      <c r="N261" s="98">
        <v>234339.83725255501</v>
      </c>
      <c r="O261" s="110">
        <f t="shared" si="24"/>
        <v>4.5611675924810027E-4</v>
      </c>
    </row>
    <row r="262" spans="2:15" x14ac:dyDescent="0.35">
      <c r="B262" s="100">
        <v>786</v>
      </c>
      <c r="C262" s="101" t="s">
        <v>121</v>
      </c>
      <c r="D262" s="98">
        <v>100456.38416497</v>
      </c>
      <c r="E262" s="110">
        <f t="shared" si="19"/>
        <v>1.9213027132341295E-4</v>
      </c>
      <c r="F262" s="98">
        <v>61676.943551661701</v>
      </c>
      <c r="G262" s="110">
        <f t="shared" si="20"/>
        <v>1.2066641100914288E-4</v>
      </c>
      <c r="H262" s="98">
        <v>61995.825949440201</v>
      </c>
      <c r="I262" s="110">
        <f t="shared" si="21"/>
        <v>1.2066641100914275E-4</v>
      </c>
      <c r="J262" s="98">
        <v>61995.375241468901</v>
      </c>
      <c r="K262" s="110">
        <f t="shared" si="22"/>
        <v>1.2066641100914276E-4</v>
      </c>
      <c r="L262" s="98">
        <v>61994.975068108499</v>
      </c>
      <c r="M262" s="110">
        <f t="shared" si="23"/>
        <v>1.2066641100914274E-4</v>
      </c>
      <c r="N262" s="98">
        <v>61994.975068108499</v>
      </c>
      <c r="O262" s="110">
        <f t="shared" si="24"/>
        <v>1.2066641100914274E-4</v>
      </c>
    </row>
    <row r="263" spans="2:15" x14ac:dyDescent="0.35">
      <c r="B263" s="100">
        <v>788</v>
      </c>
      <c r="C263" s="101" t="s">
        <v>125</v>
      </c>
      <c r="D263" s="98">
        <v>41764.476148659902</v>
      </c>
      <c r="E263" s="110">
        <f t="shared" si="19"/>
        <v>7.987765238439021E-5</v>
      </c>
      <c r="F263" s="98">
        <v>34010.141845027603</v>
      </c>
      <c r="G263" s="110">
        <f t="shared" si="20"/>
        <v>6.6538345093476722E-5</v>
      </c>
      <c r="H263" s="98">
        <v>34185.981226096301</v>
      </c>
      <c r="I263" s="110">
        <f t="shared" si="21"/>
        <v>6.6538345093476763E-5</v>
      </c>
      <c r="J263" s="98">
        <v>34185.732694940998</v>
      </c>
      <c r="K263" s="110">
        <f t="shared" si="22"/>
        <v>6.6538345093476709E-5</v>
      </c>
      <c r="L263" s="98">
        <v>34185.512029778904</v>
      </c>
      <c r="M263" s="110">
        <f t="shared" si="23"/>
        <v>6.6538345093476817E-5</v>
      </c>
      <c r="N263" s="98">
        <v>34185.512029778904</v>
      </c>
      <c r="O263" s="110">
        <f t="shared" si="24"/>
        <v>6.6538345093476817E-5</v>
      </c>
    </row>
    <row r="264" spans="2:15" x14ac:dyDescent="0.35">
      <c r="B264" s="100">
        <v>794</v>
      </c>
      <c r="C264" s="101" t="s">
        <v>144</v>
      </c>
      <c r="D264" s="98">
        <v>3741685.3269436802</v>
      </c>
      <c r="E264" s="110">
        <f t="shared" si="19"/>
        <v>7.1562501781067068E-3</v>
      </c>
      <c r="F264" s="98">
        <v>3600325.0489331698</v>
      </c>
      <c r="G264" s="110">
        <f t="shared" si="20"/>
        <v>7.0437715798479716E-3</v>
      </c>
      <c r="H264" s="98">
        <v>3618939.4649251802</v>
      </c>
      <c r="I264" s="110">
        <f t="shared" si="21"/>
        <v>7.043771579847982E-3</v>
      </c>
      <c r="J264" s="98">
        <v>3618913.1553335302</v>
      </c>
      <c r="K264" s="110">
        <f t="shared" si="22"/>
        <v>7.0437715798479751E-3</v>
      </c>
      <c r="L264" s="98">
        <v>3618889.7956452901</v>
      </c>
      <c r="M264" s="110">
        <f t="shared" si="23"/>
        <v>7.0437715798479864E-3</v>
      </c>
      <c r="N264" s="98">
        <v>3618889.7956452901</v>
      </c>
      <c r="O264" s="110">
        <f t="shared" si="24"/>
        <v>7.0437715798479864E-3</v>
      </c>
    </row>
    <row r="265" spans="2:15" x14ac:dyDescent="0.35">
      <c r="B265" s="100">
        <v>796</v>
      </c>
      <c r="C265" s="101" t="s">
        <v>271</v>
      </c>
      <c r="D265" s="98">
        <v>4663884.4177498799</v>
      </c>
      <c r="E265" s="110">
        <f t="shared" si="19"/>
        <v>8.9200242080362535E-3</v>
      </c>
      <c r="F265" s="98">
        <v>4506297.8884349903</v>
      </c>
      <c r="G265" s="110">
        <f t="shared" si="20"/>
        <v>8.8162409131066488E-3</v>
      </c>
      <c r="H265" s="98">
        <v>4529596.3690830301</v>
      </c>
      <c r="I265" s="110">
        <f t="shared" si="21"/>
        <v>8.8162409131066488E-3</v>
      </c>
      <c r="J265" s="98">
        <v>4529563.4390404196</v>
      </c>
      <c r="K265" s="110">
        <f t="shared" si="22"/>
        <v>8.816240913106654E-3</v>
      </c>
      <c r="L265" s="98">
        <v>4529534.2012042804</v>
      </c>
      <c r="M265" s="110">
        <f t="shared" si="23"/>
        <v>8.8162409131066471E-3</v>
      </c>
      <c r="N265" s="98">
        <v>4529534.2012042804</v>
      </c>
      <c r="O265" s="110">
        <f t="shared" si="24"/>
        <v>8.8162409131066471E-3</v>
      </c>
    </row>
    <row r="266" spans="2:15" x14ac:dyDescent="0.35">
      <c r="B266" s="100">
        <v>797</v>
      </c>
      <c r="C266" s="101" t="s">
        <v>149</v>
      </c>
      <c r="D266" s="98">
        <v>450304.70526063303</v>
      </c>
      <c r="E266" s="110">
        <f t="shared" si="19"/>
        <v>8.6124108406944021E-4</v>
      </c>
      <c r="F266" s="98">
        <v>372479.26918953803</v>
      </c>
      <c r="G266" s="110">
        <f t="shared" si="20"/>
        <v>7.2872833834190603E-4</v>
      </c>
      <c r="H266" s="98">
        <v>374405.06310282601</v>
      </c>
      <c r="I266" s="110">
        <f t="shared" si="21"/>
        <v>7.2872833834190689E-4</v>
      </c>
      <c r="J266" s="98">
        <v>374402.341188183</v>
      </c>
      <c r="K266" s="110">
        <f t="shared" si="22"/>
        <v>7.2872833834190624E-4</v>
      </c>
      <c r="L266" s="98">
        <v>374399.92446205701</v>
      </c>
      <c r="M266" s="110">
        <f t="shared" si="23"/>
        <v>7.2872833834190548E-4</v>
      </c>
      <c r="N266" s="98">
        <v>374399.92446205701</v>
      </c>
      <c r="O266" s="110">
        <f t="shared" si="24"/>
        <v>7.2872833834190548E-4</v>
      </c>
    </row>
    <row r="267" spans="2:15" x14ac:dyDescent="0.35">
      <c r="B267" s="100">
        <v>798</v>
      </c>
      <c r="C267" s="101" t="s">
        <v>151</v>
      </c>
      <c r="D267" s="98">
        <v>46282.727574971403</v>
      </c>
      <c r="E267" s="110">
        <f t="shared" ref="E267:E330" si="25">+D267/D$10</f>
        <v>8.8519142715348569E-5</v>
      </c>
      <c r="F267" s="98">
        <v>37639.141687753399</v>
      </c>
      <c r="G267" s="110">
        <f t="shared" ref="G267:G330" si="26">+F267/F$10</f>
        <v>7.3638216801737914E-5</v>
      </c>
      <c r="H267" s="98">
        <v>37833.743739355697</v>
      </c>
      <c r="I267" s="110">
        <f t="shared" ref="I267:I330" si="27">+H267/H$10</f>
        <v>7.3638216801737738E-5</v>
      </c>
      <c r="J267" s="98">
        <v>37833.468689066001</v>
      </c>
      <c r="K267" s="110">
        <f t="shared" ref="K267:K330" si="28">+J267/J$10</f>
        <v>7.3638216801737752E-5</v>
      </c>
      <c r="L267" s="98">
        <v>37833.224478167402</v>
      </c>
      <c r="M267" s="110">
        <f t="shared" ref="M267:M330" si="29">+L267/L$10</f>
        <v>7.3638216801737874E-5</v>
      </c>
      <c r="N267" s="98">
        <v>37833.224478167402</v>
      </c>
      <c r="O267" s="110">
        <f t="shared" ref="O267:O330" si="30">+N267/N$10</f>
        <v>7.3638216801737874E-5</v>
      </c>
    </row>
    <row r="268" spans="2:15" x14ac:dyDescent="0.35">
      <c r="B268" s="100">
        <v>809</v>
      </c>
      <c r="C268" s="101" t="s">
        <v>188</v>
      </c>
      <c r="D268" s="98">
        <v>126104.030820845</v>
      </c>
      <c r="E268" s="110">
        <f t="shared" si="25"/>
        <v>2.4118329420255629E-4</v>
      </c>
      <c r="F268" s="98">
        <v>84785.076266181699</v>
      </c>
      <c r="G268" s="110">
        <f t="shared" si="26"/>
        <v>1.6587577579305922E-4</v>
      </c>
      <c r="H268" s="98">
        <v>85223.432430717497</v>
      </c>
      <c r="I268" s="110">
        <f t="shared" si="27"/>
        <v>1.6587577579305917E-4</v>
      </c>
      <c r="J268" s="98">
        <v>85222.812858677702</v>
      </c>
      <c r="K268" s="110">
        <f t="shared" si="28"/>
        <v>1.6587577579305906E-4</v>
      </c>
      <c r="L268" s="98">
        <v>85222.262754750307</v>
      </c>
      <c r="M268" s="110">
        <f t="shared" si="29"/>
        <v>1.6587577579305917E-4</v>
      </c>
      <c r="N268" s="98">
        <v>85222.262754750307</v>
      </c>
      <c r="O268" s="110">
        <f t="shared" si="30"/>
        <v>1.6587577579305917E-4</v>
      </c>
    </row>
    <row r="269" spans="2:15" x14ac:dyDescent="0.35">
      <c r="B269" s="100">
        <v>815</v>
      </c>
      <c r="C269" s="101" t="s">
        <v>204</v>
      </c>
      <c r="D269" s="98">
        <v>40109.0092327374</v>
      </c>
      <c r="E269" s="110">
        <f t="shared" si="25"/>
        <v>7.6711449356409481E-5</v>
      </c>
      <c r="F269" s="98">
        <v>27248.7833018458</v>
      </c>
      <c r="G269" s="110">
        <f t="shared" si="26"/>
        <v>5.3310243602546503E-5</v>
      </c>
      <c r="H269" s="98">
        <v>27389.665078008398</v>
      </c>
      <c r="I269" s="110">
        <f t="shared" si="27"/>
        <v>5.3310243602546409E-5</v>
      </c>
      <c r="J269" s="98">
        <v>27389.465955887001</v>
      </c>
      <c r="K269" s="110">
        <f t="shared" si="28"/>
        <v>5.3310243602546449E-5</v>
      </c>
      <c r="L269" s="98">
        <v>27389.289159882599</v>
      </c>
      <c r="M269" s="110">
        <f t="shared" si="29"/>
        <v>5.3310243602546348E-5</v>
      </c>
      <c r="N269" s="98">
        <v>27389.289159882599</v>
      </c>
      <c r="O269" s="110">
        <f t="shared" si="30"/>
        <v>5.3310243602546348E-5</v>
      </c>
    </row>
    <row r="270" spans="2:15" x14ac:dyDescent="0.35">
      <c r="B270" s="100">
        <v>820</v>
      </c>
      <c r="C270" s="101" t="s">
        <v>222</v>
      </c>
      <c r="D270" s="98">
        <v>287972.963290371</v>
      </c>
      <c r="E270" s="110">
        <f t="shared" si="25"/>
        <v>5.5076961042043631E-4</v>
      </c>
      <c r="F270" s="98">
        <v>297605.39857310901</v>
      </c>
      <c r="G270" s="110">
        <f t="shared" si="26"/>
        <v>5.8224310860480438E-4</v>
      </c>
      <c r="H270" s="98">
        <v>299144.07927977102</v>
      </c>
      <c r="I270" s="110">
        <f t="shared" si="27"/>
        <v>5.8224310860480394E-4</v>
      </c>
      <c r="J270" s="98">
        <v>299141.90451043699</v>
      </c>
      <c r="K270" s="110">
        <f t="shared" si="28"/>
        <v>5.8224310860480351E-4</v>
      </c>
      <c r="L270" s="98">
        <v>299139.97358219099</v>
      </c>
      <c r="M270" s="110">
        <f t="shared" si="29"/>
        <v>5.8224310860480308E-4</v>
      </c>
      <c r="N270" s="98">
        <v>299139.97358219099</v>
      </c>
      <c r="O270" s="110">
        <f t="shared" si="30"/>
        <v>5.8224310860480308E-4</v>
      </c>
    </row>
    <row r="271" spans="2:15" x14ac:dyDescent="0.35">
      <c r="B271" s="100">
        <v>823</v>
      </c>
      <c r="C271" s="101" t="s">
        <v>225</v>
      </c>
      <c r="D271" s="98">
        <v>60754.593113000003</v>
      </c>
      <c r="E271" s="110">
        <f t="shared" si="25"/>
        <v>1.1619765688336063E-4</v>
      </c>
      <c r="F271" s="98">
        <v>46058.577745284099</v>
      </c>
      <c r="G271" s="110">
        <f t="shared" si="26"/>
        <v>9.0110225193856526E-5</v>
      </c>
      <c r="H271" s="98">
        <v>46296.710001260501</v>
      </c>
      <c r="I271" s="110">
        <f t="shared" si="27"/>
        <v>9.0110225193856499E-5</v>
      </c>
      <c r="J271" s="98">
        <v>46296.373425435799</v>
      </c>
      <c r="K271" s="110">
        <f t="shared" si="28"/>
        <v>9.0110225193856377E-5</v>
      </c>
      <c r="L271" s="98">
        <v>46296.074587413597</v>
      </c>
      <c r="M271" s="110">
        <f t="shared" si="29"/>
        <v>9.0110225193856526E-5</v>
      </c>
      <c r="N271" s="98">
        <v>46296.074587413597</v>
      </c>
      <c r="O271" s="110">
        <f t="shared" si="30"/>
        <v>9.0110225193856526E-5</v>
      </c>
    </row>
    <row r="272" spans="2:15" x14ac:dyDescent="0.35">
      <c r="B272" s="100">
        <v>824</v>
      </c>
      <c r="C272" s="101" t="s">
        <v>226</v>
      </c>
      <c r="D272" s="98">
        <v>187565.91547674799</v>
      </c>
      <c r="E272" s="110">
        <f t="shared" si="25"/>
        <v>3.5873369852125703E-4</v>
      </c>
      <c r="F272" s="98">
        <v>92444.550557449096</v>
      </c>
      <c r="G272" s="110">
        <f t="shared" si="26"/>
        <v>1.8086097479485272E-4</v>
      </c>
      <c r="H272" s="98">
        <v>92922.507768779207</v>
      </c>
      <c r="I272" s="110">
        <f t="shared" si="27"/>
        <v>1.8086097479485258E-4</v>
      </c>
      <c r="J272" s="98">
        <v>92921.832224670798</v>
      </c>
      <c r="K272" s="110">
        <f t="shared" si="28"/>
        <v>1.8086097479485256E-4</v>
      </c>
      <c r="L272" s="98">
        <v>92921.232424416201</v>
      </c>
      <c r="M272" s="110">
        <f t="shared" si="29"/>
        <v>1.8086097479485258E-4</v>
      </c>
      <c r="N272" s="98">
        <v>92921.232424416201</v>
      </c>
      <c r="O272" s="110">
        <f t="shared" si="30"/>
        <v>1.8086097479485258E-4</v>
      </c>
    </row>
    <row r="273" spans="2:15" x14ac:dyDescent="0.35">
      <c r="B273" s="100">
        <v>826</v>
      </c>
      <c r="C273" s="101" t="s">
        <v>233</v>
      </c>
      <c r="D273" s="98">
        <v>1167015.5245240701</v>
      </c>
      <c r="E273" s="110">
        <f t="shared" si="25"/>
        <v>2.2320035827412522E-3</v>
      </c>
      <c r="F273" s="98">
        <v>1075261.11520086</v>
      </c>
      <c r="G273" s="110">
        <f t="shared" si="26"/>
        <v>2.1036694135191242E-3</v>
      </c>
      <c r="H273" s="98">
        <v>1080820.4348251601</v>
      </c>
      <c r="I273" s="110">
        <f t="shared" si="27"/>
        <v>2.1036694135191337E-3</v>
      </c>
      <c r="J273" s="98">
        <v>1080812.5772899401</v>
      </c>
      <c r="K273" s="110">
        <f t="shared" si="28"/>
        <v>2.103669413519122E-3</v>
      </c>
      <c r="L273" s="98">
        <v>1080805.6007630699</v>
      </c>
      <c r="M273" s="110">
        <f t="shared" si="29"/>
        <v>2.1036694135191159E-3</v>
      </c>
      <c r="N273" s="98">
        <v>1080805.6007630699</v>
      </c>
      <c r="O273" s="110">
        <f t="shared" si="30"/>
        <v>2.1036694135191159E-3</v>
      </c>
    </row>
    <row r="274" spans="2:15" x14ac:dyDescent="0.35">
      <c r="B274" s="100">
        <v>828</v>
      </c>
      <c r="C274" s="101" t="s">
        <v>238</v>
      </c>
      <c r="D274" s="98">
        <v>1559219.3240879199</v>
      </c>
      <c r="E274" s="110">
        <f t="shared" si="25"/>
        <v>2.9821223835586183E-3</v>
      </c>
      <c r="F274" s="98">
        <v>1384130.7065083999</v>
      </c>
      <c r="G274" s="110">
        <f t="shared" si="26"/>
        <v>2.7079500880587671E-3</v>
      </c>
      <c r="H274" s="98">
        <v>1391286.9450168901</v>
      </c>
      <c r="I274" s="110">
        <f t="shared" si="27"/>
        <v>2.7079500880587679E-3</v>
      </c>
      <c r="J274" s="98">
        <v>1391276.8303985801</v>
      </c>
      <c r="K274" s="110">
        <f t="shared" si="28"/>
        <v>2.707950088058774E-3</v>
      </c>
      <c r="L274" s="98">
        <v>1391267.8498589401</v>
      </c>
      <c r="M274" s="110">
        <f t="shared" si="29"/>
        <v>2.7079500880587619E-3</v>
      </c>
      <c r="N274" s="98">
        <v>1391267.8498589401</v>
      </c>
      <c r="O274" s="110">
        <f t="shared" si="30"/>
        <v>2.7079500880587619E-3</v>
      </c>
    </row>
    <row r="275" spans="2:15" x14ac:dyDescent="0.35">
      <c r="B275" s="100">
        <v>840</v>
      </c>
      <c r="C275" s="101" t="s">
        <v>264</v>
      </c>
      <c r="D275" s="98">
        <v>306053.525291231</v>
      </c>
      <c r="E275" s="110">
        <f t="shared" si="25"/>
        <v>5.8535002371901059E-4</v>
      </c>
      <c r="F275" s="98">
        <v>282062.25519634102</v>
      </c>
      <c r="G275" s="110">
        <f t="shared" si="26"/>
        <v>5.5183408994933006E-4</v>
      </c>
      <c r="H275" s="98">
        <v>283520.57467652898</v>
      </c>
      <c r="I275" s="110">
        <f t="shared" si="27"/>
        <v>5.5183408994933006E-4</v>
      </c>
      <c r="J275" s="98">
        <v>283518.51348964899</v>
      </c>
      <c r="K275" s="110">
        <f t="shared" si="28"/>
        <v>5.5183408994932931E-4</v>
      </c>
      <c r="L275" s="98">
        <v>283516.683408682</v>
      </c>
      <c r="M275" s="110">
        <f t="shared" si="29"/>
        <v>5.5183408994932941E-4</v>
      </c>
      <c r="N275" s="98">
        <v>283516.683408682</v>
      </c>
      <c r="O275" s="110">
        <f t="shared" si="30"/>
        <v>5.5183408994932941E-4</v>
      </c>
    </row>
    <row r="276" spans="2:15" x14ac:dyDescent="0.35">
      <c r="B276" s="100">
        <v>845</v>
      </c>
      <c r="C276" s="101" t="s">
        <v>274</v>
      </c>
      <c r="D276" s="98">
        <v>90105.766551147099</v>
      </c>
      <c r="E276" s="110">
        <f t="shared" si="25"/>
        <v>1.7233394889911691E-4</v>
      </c>
      <c r="F276" s="98">
        <v>69478.922635461204</v>
      </c>
      <c r="G276" s="110">
        <f t="shared" si="26"/>
        <v>1.3593041017314042E-4</v>
      </c>
      <c r="H276" s="98">
        <v>69838.142858922904</v>
      </c>
      <c r="I276" s="110">
        <f t="shared" si="27"/>
        <v>1.3593041017314025E-4</v>
      </c>
      <c r="J276" s="98">
        <v>69837.6351375206</v>
      </c>
      <c r="K276" s="110">
        <f t="shared" si="28"/>
        <v>1.3593041017314023E-4</v>
      </c>
      <c r="L276" s="98">
        <v>69837.184343231202</v>
      </c>
      <c r="M276" s="110">
        <f t="shared" si="29"/>
        <v>1.3593041017314044E-4</v>
      </c>
      <c r="N276" s="98">
        <v>69837.184343231202</v>
      </c>
      <c r="O276" s="110">
        <f t="shared" si="30"/>
        <v>1.3593041017314044E-4</v>
      </c>
    </row>
    <row r="277" spans="2:15" x14ac:dyDescent="0.35">
      <c r="B277" s="100">
        <v>847</v>
      </c>
      <c r="C277" s="101" t="s">
        <v>280</v>
      </c>
      <c r="D277" s="98">
        <v>144572.73564929099</v>
      </c>
      <c r="E277" s="110">
        <f t="shared" si="25"/>
        <v>2.7650605939241377E-4</v>
      </c>
      <c r="F277" s="98">
        <v>93642.935003455903</v>
      </c>
      <c r="G277" s="110">
        <f t="shared" si="26"/>
        <v>1.8320552596392449E-4</v>
      </c>
      <c r="H277" s="98">
        <v>94127.088107182703</v>
      </c>
      <c r="I277" s="110">
        <f t="shared" si="27"/>
        <v>1.8320552596392433E-4</v>
      </c>
      <c r="J277" s="98">
        <v>94126.403805808004</v>
      </c>
      <c r="K277" s="110">
        <f t="shared" si="28"/>
        <v>1.8320552596392441E-4</v>
      </c>
      <c r="L277" s="98">
        <v>94125.796230175707</v>
      </c>
      <c r="M277" s="110">
        <f t="shared" si="29"/>
        <v>1.8320552596392444E-4</v>
      </c>
      <c r="N277" s="98">
        <v>94125.796230175707</v>
      </c>
      <c r="O277" s="110">
        <f t="shared" si="30"/>
        <v>1.8320552596392444E-4</v>
      </c>
    </row>
    <row r="278" spans="2:15" x14ac:dyDescent="0.35">
      <c r="B278" s="100">
        <v>848</v>
      </c>
      <c r="C278" s="101" t="s">
        <v>281</v>
      </c>
      <c r="D278" s="98">
        <v>94911.744773280006</v>
      </c>
      <c r="E278" s="110">
        <f t="shared" si="25"/>
        <v>1.8152573802698797E-4</v>
      </c>
      <c r="F278" s="98">
        <v>102794.50485088</v>
      </c>
      <c r="G278" s="110">
        <f t="shared" si="26"/>
        <v>2.0110990035405917E-4</v>
      </c>
      <c r="H278" s="98">
        <v>103325.973440238</v>
      </c>
      <c r="I278" s="110">
        <f t="shared" si="27"/>
        <v>2.0110990035405934E-4</v>
      </c>
      <c r="J278" s="98">
        <v>103325.222263216</v>
      </c>
      <c r="K278" s="110">
        <f t="shared" si="28"/>
        <v>2.0110990035405806E-4</v>
      </c>
      <c r="L278" s="98">
        <v>103324.555310218</v>
      </c>
      <c r="M278" s="110">
        <f t="shared" si="29"/>
        <v>2.011099003540589E-4</v>
      </c>
      <c r="N278" s="98">
        <v>103324.555310218</v>
      </c>
      <c r="O278" s="110">
        <f t="shared" si="30"/>
        <v>2.011099003540589E-4</v>
      </c>
    </row>
    <row r="279" spans="2:15" x14ac:dyDescent="0.35">
      <c r="B279" s="100">
        <v>851</v>
      </c>
      <c r="C279" s="101" t="s">
        <v>285</v>
      </c>
      <c r="D279" s="98">
        <v>324984.244591959</v>
      </c>
      <c r="E279" s="110">
        <f t="shared" si="25"/>
        <v>6.215564257892192E-4</v>
      </c>
      <c r="F279" s="98">
        <v>332612.56538456702</v>
      </c>
      <c r="G279" s="110">
        <f t="shared" si="26"/>
        <v>6.5073205983175294E-4</v>
      </c>
      <c r="H279" s="98">
        <v>334332.24029505003</v>
      </c>
      <c r="I279" s="110">
        <f t="shared" si="27"/>
        <v>6.5073205983175164E-4</v>
      </c>
      <c r="J279" s="98">
        <v>334329.80970874103</v>
      </c>
      <c r="K279" s="110">
        <f t="shared" si="28"/>
        <v>6.5073205983175154E-4</v>
      </c>
      <c r="L279" s="98">
        <v>334327.65164641902</v>
      </c>
      <c r="M279" s="110">
        <f t="shared" si="29"/>
        <v>6.507320598317511E-4</v>
      </c>
      <c r="N279" s="98">
        <v>334327.65164641902</v>
      </c>
      <c r="O279" s="110">
        <f t="shared" si="30"/>
        <v>6.507320598317511E-4</v>
      </c>
    </row>
    <row r="280" spans="2:15" x14ac:dyDescent="0.35">
      <c r="B280" s="100">
        <v>852</v>
      </c>
      <c r="C280" s="101" t="s">
        <v>331</v>
      </c>
      <c r="D280" s="98">
        <v>60517.1163737268</v>
      </c>
      <c r="E280" s="110">
        <f t="shared" si="25"/>
        <v>1.157434650395189E-4</v>
      </c>
      <c r="F280" s="98">
        <v>41401.100576441</v>
      </c>
      <c r="G280" s="110">
        <f t="shared" si="26"/>
        <v>8.0998213119999797E-5</v>
      </c>
      <c r="H280" s="98">
        <v>41615.152724006199</v>
      </c>
      <c r="I280" s="110">
        <f t="shared" si="27"/>
        <v>8.0998213119999919E-5</v>
      </c>
      <c r="J280" s="98">
        <v>41614.850182975802</v>
      </c>
      <c r="K280" s="110">
        <f t="shared" si="28"/>
        <v>8.099821311999981E-5</v>
      </c>
      <c r="L280" s="98">
        <v>41614.581563673601</v>
      </c>
      <c r="M280" s="110">
        <f t="shared" si="29"/>
        <v>8.0998213119999905E-5</v>
      </c>
      <c r="N280" s="98">
        <v>41614.581563673601</v>
      </c>
      <c r="O280" s="110">
        <f t="shared" si="30"/>
        <v>8.0998213119999905E-5</v>
      </c>
    </row>
    <row r="281" spans="2:15" x14ac:dyDescent="0.35">
      <c r="B281" s="100">
        <v>855</v>
      </c>
      <c r="C281" s="101" t="s">
        <v>296</v>
      </c>
      <c r="D281" s="98">
        <v>9377721.2681306303</v>
      </c>
      <c r="E281" s="110">
        <f t="shared" si="25"/>
        <v>1.7935586141369017E-2</v>
      </c>
      <c r="F281" s="98">
        <v>9888734.0072027799</v>
      </c>
      <c r="G281" s="110">
        <f t="shared" si="26"/>
        <v>1.9346581937442178E-2</v>
      </c>
      <c r="H281" s="98">
        <v>9939860.7821307499</v>
      </c>
      <c r="I281" s="110">
        <f t="shared" si="27"/>
        <v>1.9346581937442167E-2</v>
      </c>
      <c r="J281" s="98">
        <v>9939788.51961275</v>
      </c>
      <c r="K281" s="110">
        <f t="shared" si="28"/>
        <v>1.9346581937442153E-2</v>
      </c>
      <c r="L281" s="98">
        <v>9939724.3593659997</v>
      </c>
      <c r="M281" s="110">
        <f t="shared" si="29"/>
        <v>1.9346581937442174E-2</v>
      </c>
      <c r="N281" s="98">
        <v>9939724.3593659997</v>
      </c>
      <c r="O281" s="110">
        <f t="shared" si="30"/>
        <v>1.9346581937442174E-2</v>
      </c>
    </row>
    <row r="282" spans="2:15" x14ac:dyDescent="0.35">
      <c r="B282" s="100">
        <v>856</v>
      </c>
      <c r="C282" s="101" t="s">
        <v>301</v>
      </c>
      <c r="D282" s="98">
        <v>607213.75816314702</v>
      </c>
      <c r="E282" s="110">
        <f t="shared" si="25"/>
        <v>1.1613412634443245E-3</v>
      </c>
      <c r="F282" s="98">
        <v>566847.65228726598</v>
      </c>
      <c r="G282" s="110">
        <f t="shared" si="26"/>
        <v>1.1089958070501717E-3</v>
      </c>
      <c r="H282" s="98">
        <v>569778.37044753099</v>
      </c>
      <c r="I282" s="110">
        <f t="shared" si="27"/>
        <v>1.108995807050171E-3</v>
      </c>
      <c r="J282" s="98">
        <v>569774.22817424894</v>
      </c>
      <c r="K282" s="110">
        <f t="shared" si="28"/>
        <v>1.1089958070501713E-3</v>
      </c>
      <c r="L282" s="98">
        <v>569770.55034398101</v>
      </c>
      <c r="M282" s="110">
        <f t="shared" si="29"/>
        <v>1.1089958070501719E-3</v>
      </c>
      <c r="N282" s="98">
        <v>569770.55034398101</v>
      </c>
      <c r="O282" s="110">
        <f t="shared" si="30"/>
        <v>1.1089958070501719E-3</v>
      </c>
    </row>
    <row r="283" spans="2:15" x14ac:dyDescent="0.35">
      <c r="B283" s="100">
        <v>858</v>
      </c>
      <c r="C283" s="101" t="s">
        <v>309</v>
      </c>
      <c r="D283" s="98">
        <v>544048.92886916397</v>
      </c>
      <c r="E283" s="110">
        <f t="shared" si="25"/>
        <v>1.040533851439325E-3</v>
      </c>
      <c r="F283" s="98">
        <v>497124.044031617</v>
      </c>
      <c r="G283" s="110">
        <f t="shared" si="26"/>
        <v>9.7258668742884215E-4</v>
      </c>
      <c r="H283" s="98">
        <v>499694.276893779</v>
      </c>
      <c r="I283" s="110">
        <f t="shared" si="27"/>
        <v>9.7258668742884248E-4</v>
      </c>
      <c r="J283" s="98">
        <v>499690.64412995399</v>
      </c>
      <c r="K283" s="110">
        <f t="shared" si="28"/>
        <v>9.7258668742884248E-4</v>
      </c>
      <c r="L283" s="98">
        <v>499687.41868154902</v>
      </c>
      <c r="M283" s="110">
        <f t="shared" si="29"/>
        <v>9.7258668742884345E-4</v>
      </c>
      <c r="N283" s="98">
        <v>499687.41868154902</v>
      </c>
      <c r="O283" s="110">
        <f t="shared" si="30"/>
        <v>9.7258668742884345E-4</v>
      </c>
    </row>
    <row r="284" spans="2:15" x14ac:dyDescent="0.35">
      <c r="B284" s="100">
        <v>861</v>
      </c>
      <c r="C284" s="101" t="s">
        <v>313</v>
      </c>
      <c r="D284" s="98">
        <v>260385.471874257</v>
      </c>
      <c r="E284" s="110">
        <f t="shared" si="25"/>
        <v>4.9800649083406963E-4</v>
      </c>
      <c r="F284" s="98">
        <v>181294.082005662</v>
      </c>
      <c r="G284" s="110">
        <f t="shared" si="26"/>
        <v>3.5468855869124987E-4</v>
      </c>
      <c r="H284" s="98">
        <v>182231.409445122</v>
      </c>
      <c r="I284" s="110">
        <f t="shared" si="27"/>
        <v>3.5468855869124884E-4</v>
      </c>
      <c r="J284" s="98">
        <v>182230.08462772399</v>
      </c>
      <c r="K284" s="110">
        <f t="shared" si="28"/>
        <v>3.5468855869125003E-4</v>
      </c>
      <c r="L284" s="98">
        <v>182228.90835247701</v>
      </c>
      <c r="M284" s="110">
        <f t="shared" si="29"/>
        <v>3.5468855869125019E-4</v>
      </c>
      <c r="N284" s="98">
        <v>182228.90835247701</v>
      </c>
      <c r="O284" s="110">
        <f t="shared" si="30"/>
        <v>3.5468855869125019E-4</v>
      </c>
    </row>
    <row r="285" spans="2:15" x14ac:dyDescent="0.35">
      <c r="B285" s="100">
        <v>865</v>
      </c>
      <c r="C285" s="101" t="s">
        <v>324</v>
      </c>
      <c r="D285" s="98">
        <v>153406.125705913</v>
      </c>
      <c r="E285" s="110">
        <f t="shared" si="25"/>
        <v>2.9340057179589864E-4</v>
      </c>
      <c r="F285" s="98">
        <v>143668.51652318501</v>
      </c>
      <c r="G285" s="110">
        <f t="shared" si="26"/>
        <v>2.8107690273820987E-4</v>
      </c>
      <c r="H285" s="98">
        <v>144411.312102797</v>
      </c>
      <c r="I285" s="110">
        <f t="shared" si="27"/>
        <v>2.810769027382083E-4</v>
      </c>
      <c r="J285" s="98">
        <v>144410.262236479</v>
      </c>
      <c r="K285" s="110">
        <f t="shared" si="28"/>
        <v>2.8107690273820797E-4</v>
      </c>
      <c r="L285" s="98">
        <v>144409.330084046</v>
      </c>
      <c r="M285" s="110">
        <f t="shared" si="29"/>
        <v>2.8107690273820949E-4</v>
      </c>
      <c r="N285" s="98">
        <v>144409.330084046</v>
      </c>
      <c r="O285" s="110">
        <f t="shared" si="30"/>
        <v>2.8107690273820949E-4</v>
      </c>
    </row>
    <row r="286" spans="2:15" x14ac:dyDescent="0.35">
      <c r="B286" s="100">
        <v>866</v>
      </c>
      <c r="C286" s="101" t="s">
        <v>326</v>
      </c>
      <c r="D286" s="98">
        <v>87686.659278514897</v>
      </c>
      <c r="E286" s="110">
        <f t="shared" si="25"/>
        <v>1.6770722715798799E-4</v>
      </c>
      <c r="F286" s="98">
        <v>54302.883304373099</v>
      </c>
      <c r="G286" s="110">
        <f t="shared" si="26"/>
        <v>1.0623960362592366E-4</v>
      </c>
      <c r="H286" s="98">
        <v>54583.640304270099</v>
      </c>
      <c r="I286" s="110">
        <f t="shared" si="27"/>
        <v>1.0623960362592343E-4</v>
      </c>
      <c r="J286" s="98">
        <v>54583.243482687198</v>
      </c>
      <c r="K286" s="110">
        <f t="shared" si="28"/>
        <v>1.0623960362592348E-4</v>
      </c>
      <c r="L286" s="98">
        <v>54582.891153825898</v>
      </c>
      <c r="M286" s="110">
        <f t="shared" si="29"/>
        <v>1.0623960362592351E-4</v>
      </c>
      <c r="N286" s="98">
        <v>54582.891153825898</v>
      </c>
      <c r="O286" s="110">
        <f t="shared" si="30"/>
        <v>1.0623960362592351E-4</v>
      </c>
    </row>
    <row r="287" spans="2:15" x14ac:dyDescent="0.35">
      <c r="B287" s="100">
        <v>867</v>
      </c>
      <c r="C287" s="101" t="s">
        <v>327</v>
      </c>
      <c r="D287" s="98">
        <v>713031.80671166396</v>
      </c>
      <c r="E287" s="110">
        <f t="shared" si="25"/>
        <v>1.3637261148157734E-3</v>
      </c>
      <c r="F287" s="98">
        <v>701086.73948648304</v>
      </c>
      <c r="G287" s="110">
        <f t="shared" si="26"/>
        <v>1.3716247237361135E-3</v>
      </c>
      <c r="H287" s="98">
        <v>704711.50115047395</v>
      </c>
      <c r="I287" s="110">
        <f t="shared" si="27"/>
        <v>1.371624723736113E-3</v>
      </c>
      <c r="J287" s="98">
        <v>704706.37791699602</v>
      </c>
      <c r="K287" s="110">
        <f t="shared" si="28"/>
        <v>1.3716247237361143E-3</v>
      </c>
      <c r="L287" s="98">
        <v>704701.82911447203</v>
      </c>
      <c r="M287" s="110">
        <f t="shared" si="29"/>
        <v>1.3716247237361132E-3</v>
      </c>
      <c r="N287" s="98">
        <v>704701.82911447203</v>
      </c>
      <c r="O287" s="110">
        <f t="shared" si="30"/>
        <v>1.3716247237361132E-3</v>
      </c>
    </row>
    <row r="288" spans="2:15" x14ac:dyDescent="0.35">
      <c r="B288" s="100">
        <v>870</v>
      </c>
      <c r="C288" s="101" t="s">
        <v>823</v>
      </c>
      <c r="D288" s="98">
        <v>89836.444975961</v>
      </c>
      <c r="E288" s="110">
        <f t="shared" si="25"/>
        <v>1.7181885144917507E-4</v>
      </c>
      <c r="F288" s="98">
        <v>86211.674165580305</v>
      </c>
      <c r="G288" s="110">
        <f t="shared" si="26"/>
        <v>1.6866680982556478E-4</v>
      </c>
      <c r="H288" s="98">
        <v>86657.406132687203</v>
      </c>
      <c r="I288" s="110">
        <f t="shared" si="27"/>
        <v>1.6866680982556472E-4</v>
      </c>
      <c r="J288" s="98">
        <v>86656.776135697597</v>
      </c>
      <c r="K288" s="110">
        <f t="shared" si="28"/>
        <v>1.6866680982556475E-4</v>
      </c>
      <c r="L288" s="98">
        <v>86656.216775694207</v>
      </c>
      <c r="M288" s="110">
        <f t="shared" si="29"/>
        <v>1.686668098255648E-4</v>
      </c>
      <c r="N288" s="98">
        <v>86656.216775694207</v>
      </c>
      <c r="O288" s="110">
        <f t="shared" si="30"/>
        <v>1.686668098255648E-4</v>
      </c>
    </row>
    <row r="289" spans="2:15" x14ac:dyDescent="0.35">
      <c r="B289" s="100">
        <v>873</v>
      </c>
      <c r="C289" s="101" t="s">
        <v>348</v>
      </c>
      <c r="D289" s="98">
        <v>225213.87038118101</v>
      </c>
      <c r="E289" s="110">
        <f t="shared" si="25"/>
        <v>4.3073819928729842E-4</v>
      </c>
      <c r="F289" s="98">
        <v>146388.969617808</v>
      </c>
      <c r="G289" s="110">
        <f t="shared" si="26"/>
        <v>2.8639926945004139E-4</v>
      </c>
      <c r="H289" s="98">
        <v>147145.830495665</v>
      </c>
      <c r="I289" s="110">
        <f t="shared" si="27"/>
        <v>2.863992694500409E-4</v>
      </c>
      <c r="J289" s="98">
        <v>147144.760749473</v>
      </c>
      <c r="K289" s="110">
        <f t="shared" si="28"/>
        <v>2.8639926945004155E-4</v>
      </c>
      <c r="L289" s="98">
        <v>147143.81094615001</v>
      </c>
      <c r="M289" s="110">
        <f t="shared" si="29"/>
        <v>2.8639926945004025E-4</v>
      </c>
      <c r="N289" s="98">
        <v>147143.81094615001</v>
      </c>
      <c r="O289" s="110">
        <f t="shared" si="30"/>
        <v>2.8639926945004025E-4</v>
      </c>
    </row>
    <row r="290" spans="2:15" x14ac:dyDescent="0.35">
      <c r="B290" s="100">
        <v>874</v>
      </c>
      <c r="C290" s="101" t="s">
        <v>824</v>
      </c>
      <c r="D290" s="98">
        <v>52718.2669687749</v>
      </c>
      <c r="E290" s="110">
        <f t="shared" si="25"/>
        <v>1.0082758821756228E-4</v>
      </c>
      <c r="F290" s="98">
        <v>36129.665460067903</v>
      </c>
      <c r="G290" s="110">
        <f t="shared" si="26"/>
        <v>7.0685037405844825E-5</v>
      </c>
      <c r="H290" s="98">
        <v>36316.463211211201</v>
      </c>
      <c r="I290" s="110">
        <f t="shared" si="27"/>
        <v>7.0685037405844771E-5</v>
      </c>
      <c r="J290" s="98">
        <v>36316.199191509702</v>
      </c>
      <c r="K290" s="110">
        <f t="shared" si="28"/>
        <v>7.0685037405844703E-5</v>
      </c>
      <c r="L290" s="98">
        <v>36315.964774419597</v>
      </c>
      <c r="M290" s="110">
        <f t="shared" si="29"/>
        <v>7.0685037405844798E-5</v>
      </c>
      <c r="N290" s="98">
        <v>36315.964774419597</v>
      </c>
      <c r="O290" s="110">
        <f t="shared" si="30"/>
        <v>7.0685037405844798E-5</v>
      </c>
    </row>
    <row r="291" spans="2:15" x14ac:dyDescent="0.35">
      <c r="B291" s="100">
        <v>879</v>
      </c>
      <c r="C291" s="101" t="s">
        <v>361</v>
      </c>
      <c r="D291" s="98">
        <v>84120.399488431503</v>
      </c>
      <c r="E291" s="110">
        <f t="shared" si="25"/>
        <v>1.6088649130556788E-4</v>
      </c>
      <c r="F291" s="98">
        <v>61155.131905860602</v>
      </c>
      <c r="G291" s="110">
        <f t="shared" si="26"/>
        <v>1.1964552484170736E-4</v>
      </c>
      <c r="H291" s="98">
        <v>61471.316430832499</v>
      </c>
      <c r="I291" s="110">
        <f t="shared" si="27"/>
        <v>1.1964552484170721E-4</v>
      </c>
      <c r="J291" s="98">
        <v>61470.869536031103</v>
      </c>
      <c r="K291" s="110">
        <f t="shared" si="28"/>
        <v>1.1964552484170712E-4</v>
      </c>
      <c r="L291" s="98">
        <v>61470.472748297703</v>
      </c>
      <c r="M291" s="110">
        <f t="shared" si="29"/>
        <v>1.1964552484170728E-4</v>
      </c>
      <c r="N291" s="98">
        <v>61470.472748297703</v>
      </c>
      <c r="O291" s="110">
        <f t="shared" si="30"/>
        <v>1.1964552484170728E-4</v>
      </c>
    </row>
    <row r="292" spans="2:15" x14ac:dyDescent="0.35">
      <c r="B292" s="100">
        <v>880</v>
      </c>
      <c r="C292" s="101" t="s">
        <v>350</v>
      </c>
      <c r="D292" s="98">
        <v>189909.07604449999</v>
      </c>
      <c r="E292" s="110">
        <f t="shared" si="25"/>
        <v>3.6321516656710279E-4</v>
      </c>
      <c r="F292" s="98">
        <v>100947.742273782</v>
      </c>
      <c r="G292" s="110">
        <f t="shared" si="26"/>
        <v>1.9749684498308811E-4</v>
      </c>
      <c r="H292" s="98">
        <v>101469.662723352</v>
      </c>
      <c r="I292" s="110">
        <f t="shared" si="27"/>
        <v>1.9749684498308778E-4</v>
      </c>
      <c r="J292" s="98">
        <v>101468.92504165899</v>
      </c>
      <c r="K292" s="110">
        <f t="shared" si="28"/>
        <v>1.9749684498308745E-4</v>
      </c>
      <c r="L292" s="98">
        <v>101468.270070856</v>
      </c>
      <c r="M292" s="110">
        <f t="shared" si="29"/>
        <v>1.9749684498308764E-4</v>
      </c>
      <c r="N292" s="98">
        <v>101468.270070856</v>
      </c>
      <c r="O292" s="110">
        <f t="shared" si="30"/>
        <v>1.9749684498308764E-4</v>
      </c>
    </row>
    <row r="293" spans="2:15" x14ac:dyDescent="0.35">
      <c r="B293" s="100">
        <v>881</v>
      </c>
      <c r="C293" s="101" t="s">
        <v>826</v>
      </c>
      <c r="D293" s="98">
        <v>183322.20812447101</v>
      </c>
      <c r="E293" s="110">
        <f t="shared" si="25"/>
        <v>3.5061729405590046E-4</v>
      </c>
      <c r="F293" s="98">
        <v>179079.69042178901</v>
      </c>
      <c r="G293" s="110">
        <f t="shared" si="26"/>
        <v>3.503562641641874E-4</v>
      </c>
      <c r="H293" s="98">
        <v>180005.56900439601</v>
      </c>
      <c r="I293" s="110">
        <f t="shared" si="27"/>
        <v>3.503562641641874E-4</v>
      </c>
      <c r="J293" s="98">
        <v>180004.260368797</v>
      </c>
      <c r="K293" s="110">
        <f t="shared" si="28"/>
        <v>3.5035626416418745E-4</v>
      </c>
      <c r="L293" s="98">
        <v>180003.098461002</v>
      </c>
      <c r="M293" s="110">
        <f t="shared" si="29"/>
        <v>3.5035626416418778E-4</v>
      </c>
      <c r="N293" s="98">
        <v>180003.098461002</v>
      </c>
      <c r="O293" s="110">
        <f t="shared" si="30"/>
        <v>3.5035626416418778E-4</v>
      </c>
    </row>
    <row r="294" spans="2:15" x14ac:dyDescent="0.35">
      <c r="B294" s="100">
        <v>882</v>
      </c>
      <c r="C294" s="101" t="s">
        <v>173</v>
      </c>
      <c r="D294" s="98">
        <v>1636224.4317896501</v>
      </c>
      <c r="E294" s="110">
        <f t="shared" si="25"/>
        <v>3.1294003525896914E-3</v>
      </c>
      <c r="F294" s="98">
        <v>1582629.3244606601</v>
      </c>
      <c r="G294" s="110">
        <f t="shared" si="26"/>
        <v>3.0962980579692981E-3</v>
      </c>
      <c r="H294" s="98">
        <v>1590811.8413740599</v>
      </c>
      <c r="I294" s="110">
        <f t="shared" si="27"/>
        <v>3.0962980579692851E-3</v>
      </c>
      <c r="J294" s="98">
        <v>1590800.27621517</v>
      </c>
      <c r="K294" s="110">
        <f t="shared" si="28"/>
        <v>3.0962980579692895E-3</v>
      </c>
      <c r="L294" s="98">
        <v>1590790.00777354</v>
      </c>
      <c r="M294" s="110">
        <f t="shared" si="29"/>
        <v>3.0962980579692973E-3</v>
      </c>
      <c r="N294" s="98">
        <v>1590790.00777354</v>
      </c>
      <c r="O294" s="110">
        <f t="shared" si="30"/>
        <v>3.0962980579692973E-3</v>
      </c>
    </row>
    <row r="295" spans="2:15" x14ac:dyDescent="0.35">
      <c r="B295" s="100">
        <v>888</v>
      </c>
      <c r="C295" s="101" t="s">
        <v>36</v>
      </c>
      <c r="D295" s="98">
        <v>328727.89020381699</v>
      </c>
      <c r="E295" s="110">
        <f t="shared" si="25"/>
        <v>6.2871642515734095E-4</v>
      </c>
      <c r="F295" s="98">
        <v>304451.58619589102</v>
      </c>
      <c r="G295" s="110">
        <f t="shared" si="26"/>
        <v>5.9563717196081949E-4</v>
      </c>
      <c r="H295" s="98">
        <v>306025.66309112997</v>
      </c>
      <c r="I295" s="110">
        <f t="shared" si="27"/>
        <v>5.9563717196081927E-4</v>
      </c>
      <c r="J295" s="98">
        <v>306023.43829286902</v>
      </c>
      <c r="K295" s="110">
        <f t="shared" si="28"/>
        <v>5.9563717196081992E-4</v>
      </c>
      <c r="L295" s="98">
        <v>306021.462945076</v>
      </c>
      <c r="M295" s="110">
        <f t="shared" si="29"/>
        <v>5.9563717196081992E-4</v>
      </c>
      <c r="N295" s="98">
        <v>306021.462945076</v>
      </c>
      <c r="O295" s="110">
        <f t="shared" si="30"/>
        <v>5.9563717196081992E-4</v>
      </c>
    </row>
    <row r="296" spans="2:15" x14ac:dyDescent="0.35">
      <c r="B296" s="100">
        <v>889</v>
      </c>
      <c r="C296" s="101" t="s">
        <v>39</v>
      </c>
      <c r="D296" s="98">
        <v>270854.68928378401</v>
      </c>
      <c r="E296" s="110">
        <f t="shared" si="25"/>
        <v>5.1802964414738217E-4</v>
      </c>
      <c r="F296" s="98">
        <v>238668.14624989301</v>
      </c>
      <c r="G296" s="110">
        <f t="shared" si="26"/>
        <v>4.6693670230362611E-4</v>
      </c>
      <c r="H296" s="98">
        <v>239902.109322103</v>
      </c>
      <c r="I296" s="110">
        <f t="shared" si="27"/>
        <v>4.6693670230362611E-4</v>
      </c>
      <c r="J296" s="98">
        <v>239900.365240282</v>
      </c>
      <c r="K296" s="110">
        <f t="shared" si="28"/>
        <v>4.6693670230362573E-4</v>
      </c>
      <c r="L296" s="98">
        <v>239898.816709687</v>
      </c>
      <c r="M296" s="110">
        <f t="shared" si="29"/>
        <v>4.6693670230362594E-4</v>
      </c>
      <c r="N296" s="98">
        <v>239898.816709687</v>
      </c>
      <c r="O296" s="110">
        <f t="shared" si="30"/>
        <v>4.6693670230362594E-4</v>
      </c>
    </row>
    <row r="297" spans="2:15" x14ac:dyDescent="0.35">
      <c r="B297" s="100">
        <v>893</v>
      </c>
      <c r="C297" s="101" t="s">
        <v>42</v>
      </c>
      <c r="D297" s="98">
        <v>169218.188437087</v>
      </c>
      <c r="E297" s="110">
        <f t="shared" si="25"/>
        <v>3.2364231230822194E-4</v>
      </c>
      <c r="F297" s="98">
        <v>153600.170983499</v>
      </c>
      <c r="G297" s="110">
        <f t="shared" si="26"/>
        <v>3.0050745539043753E-4</v>
      </c>
      <c r="H297" s="98">
        <v>154394.315245551</v>
      </c>
      <c r="I297" s="110">
        <f t="shared" si="27"/>
        <v>3.0050745539043883E-4</v>
      </c>
      <c r="J297" s="98">
        <v>154393.192803071</v>
      </c>
      <c r="K297" s="110">
        <f t="shared" si="28"/>
        <v>3.0050745539043807E-4</v>
      </c>
      <c r="L297" s="98">
        <v>154392.19621191299</v>
      </c>
      <c r="M297" s="110">
        <f t="shared" si="29"/>
        <v>3.0050745539043753E-4</v>
      </c>
      <c r="N297" s="98">
        <v>154392.19621191299</v>
      </c>
      <c r="O297" s="110">
        <f t="shared" si="30"/>
        <v>3.0050745539043753E-4</v>
      </c>
    </row>
    <row r="298" spans="2:15" x14ac:dyDescent="0.35">
      <c r="B298" s="100">
        <v>899</v>
      </c>
      <c r="C298" s="101" t="s">
        <v>64</v>
      </c>
      <c r="D298" s="98">
        <v>1441579.2071694699</v>
      </c>
      <c r="E298" s="110">
        <f t="shared" si="25"/>
        <v>2.7571269512629234E-3</v>
      </c>
      <c r="F298" s="98">
        <v>1385176.0796848801</v>
      </c>
      <c r="G298" s="110">
        <f t="shared" si="26"/>
        <v>2.7099952839149044E-3</v>
      </c>
      <c r="H298" s="98">
        <v>1392337.7229862399</v>
      </c>
      <c r="I298" s="110">
        <f t="shared" si="27"/>
        <v>2.7099952839148944E-3</v>
      </c>
      <c r="J298" s="98">
        <v>1392327.6007288001</v>
      </c>
      <c r="K298" s="110">
        <f t="shared" si="28"/>
        <v>2.7099952839148957E-3</v>
      </c>
      <c r="L298" s="98">
        <v>1392318.6134065599</v>
      </c>
      <c r="M298" s="110">
        <f t="shared" si="29"/>
        <v>2.7099952839148974E-3</v>
      </c>
      <c r="N298" s="98">
        <v>1392318.6134065599</v>
      </c>
      <c r="O298" s="110">
        <f t="shared" si="30"/>
        <v>2.7099952839148974E-3</v>
      </c>
    </row>
    <row r="299" spans="2:15" x14ac:dyDescent="0.35">
      <c r="B299" s="100">
        <v>907</v>
      </c>
      <c r="C299" s="101" t="s">
        <v>113</v>
      </c>
      <c r="D299" s="98">
        <v>264275.14871140302</v>
      </c>
      <c r="E299" s="110">
        <f t="shared" si="25"/>
        <v>5.054457857309872E-4</v>
      </c>
      <c r="F299" s="98">
        <v>254362.07885947399</v>
      </c>
      <c r="G299" s="110">
        <f t="shared" si="26"/>
        <v>4.9764072902037265E-4</v>
      </c>
      <c r="H299" s="98">
        <v>255677.18276929599</v>
      </c>
      <c r="I299" s="110">
        <f t="shared" si="27"/>
        <v>4.9764072902037297E-4</v>
      </c>
      <c r="J299" s="98">
        <v>255675.32400311899</v>
      </c>
      <c r="K299" s="110">
        <f t="shared" si="28"/>
        <v>4.9764072902037189E-4</v>
      </c>
      <c r="L299" s="98">
        <v>255673.67364689201</v>
      </c>
      <c r="M299" s="110">
        <f t="shared" si="29"/>
        <v>4.97640729020372E-4</v>
      </c>
      <c r="N299" s="98">
        <v>255673.67364689201</v>
      </c>
      <c r="O299" s="110">
        <f t="shared" si="30"/>
        <v>4.97640729020372E-4</v>
      </c>
    </row>
    <row r="300" spans="2:15" x14ac:dyDescent="0.35">
      <c r="B300" s="100">
        <v>917</v>
      </c>
      <c r="C300" s="101" t="s">
        <v>139</v>
      </c>
      <c r="D300" s="98">
        <v>7531659.0504908096</v>
      </c>
      <c r="E300" s="110">
        <f t="shared" si="25"/>
        <v>1.4404855489421846E-2</v>
      </c>
      <c r="F300" s="98">
        <v>7294146.9031199804</v>
      </c>
      <c r="G300" s="110">
        <f t="shared" si="26"/>
        <v>1.4270462793534928E-2</v>
      </c>
      <c r="H300" s="98">
        <v>7331859.1326870602</v>
      </c>
      <c r="I300" s="110">
        <f t="shared" si="27"/>
        <v>1.427046279353493E-2</v>
      </c>
      <c r="J300" s="98">
        <v>7331805.8302702401</v>
      </c>
      <c r="K300" s="110">
        <f t="shared" si="28"/>
        <v>1.4270462793534921E-2</v>
      </c>
      <c r="L300" s="98">
        <v>7331758.5042662397</v>
      </c>
      <c r="M300" s="110">
        <f t="shared" si="29"/>
        <v>1.4270462793534926E-2</v>
      </c>
      <c r="N300" s="98">
        <v>7331758.5042662397</v>
      </c>
      <c r="O300" s="110">
        <f t="shared" si="30"/>
        <v>1.4270462793534926E-2</v>
      </c>
    </row>
    <row r="301" spans="2:15" x14ac:dyDescent="0.35">
      <c r="B301" s="100">
        <v>928</v>
      </c>
      <c r="C301" s="101" t="s">
        <v>167</v>
      </c>
      <c r="D301" s="98">
        <v>3228406.9876983301</v>
      </c>
      <c r="E301" s="110">
        <f t="shared" si="25"/>
        <v>6.174567357215088E-3</v>
      </c>
      <c r="F301" s="98">
        <v>3057400.9082367201</v>
      </c>
      <c r="G301" s="110">
        <f t="shared" si="26"/>
        <v>5.9815803664784424E-3</v>
      </c>
      <c r="H301" s="98">
        <v>3073208.2955105701</v>
      </c>
      <c r="I301" s="110">
        <f t="shared" si="27"/>
        <v>5.9815803664784294E-3</v>
      </c>
      <c r="J301" s="98">
        <v>3073185.9533697101</v>
      </c>
      <c r="K301" s="110">
        <f t="shared" si="28"/>
        <v>5.9815803664784355E-3</v>
      </c>
      <c r="L301" s="98">
        <v>3073166.1162908101</v>
      </c>
      <c r="M301" s="110">
        <f t="shared" si="29"/>
        <v>5.9815803664784346E-3</v>
      </c>
      <c r="N301" s="98">
        <v>3073166.1162908101</v>
      </c>
      <c r="O301" s="110">
        <f t="shared" si="30"/>
        <v>5.9815803664784346E-3</v>
      </c>
    </row>
    <row r="302" spans="2:15" x14ac:dyDescent="0.35">
      <c r="B302" s="100">
        <v>935</v>
      </c>
      <c r="C302" s="101" t="s">
        <v>195</v>
      </c>
      <c r="D302" s="98">
        <v>5358319.1696215598</v>
      </c>
      <c r="E302" s="110">
        <f t="shared" si="25"/>
        <v>1.0248182078763579E-2</v>
      </c>
      <c r="F302" s="98">
        <v>5402076.2474548304</v>
      </c>
      <c r="G302" s="110">
        <f t="shared" si="26"/>
        <v>1.05687654939015E-2</v>
      </c>
      <c r="H302" s="98">
        <v>5430006.0852122502</v>
      </c>
      <c r="I302" s="110">
        <f t="shared" si="27"/>
        <v>1.0568765493901513E-2</v>
      </c>
      <c r="J302" s="98">
        <v>5429966.6092154402</v>
      </c>
      <c r="K302" s="110">
        <f t="shared" si="28"/>
        <v>1.0568765493901495E-2</v>
      </c>
      <c r="L302" s="98">
        <v>5429931.55937541</v>
      </c>
      <c r="M302" s="110">
        <f t="shared" si="29"/>
        <v>1.0568765493901495E-2</v>
      </c>
      <c r="N302" s="98">
        <v>5429931.55937541</v>
      </c>
      <c r="O302" s="110">
        <f t="shared" si="30"/>
        <v>1.0568765493901495E-2</v>
      </c>
    </row>
    <row r="303" spans="2:15" x14ac:dyDescent="0.35">
      <c r="B303" s="100">
        <v>938</v>
      </c>
      <c r="C303" s="101" t="s">
        <v>197</v>
      </c>
      <c r="D303" s="98">
        <v>218458.114108487</v>
      </c>
      <c r="E303" s="110">
        <f t="shared" si="25"/>
        <v>4.1781731529911913E-4</v>
      </c>
      <c r="F303" s="98">
        <v>142063.35988522001</v>
      </c>
      <c r="G303" s="110">
        <f t="shared" si="26"/>
        <v>2.7793653164559078E-4</v>
      </c>
      <c r="H303" s="98">
        <v>142797.85647710701</v>
      </c>
      <c r="I303" s="110">
        <f t="shared" si="27"/>
        <v>2.7793653164559154E-4</v>
      </c>
      <c r="J303" s="98">
        <v>142796.81834056799</v>
      </c>
      <c r="K303" s="110">
        <f t="shared" si="28"/>
        <v>2.7793653164559197E-4</v>
      </c>
      <c r="L303" s="98">
        <v>142795.89660273801</v>
      </c>
      <c r="M303" s="110">
        <f t="shared" si="29"/>
        <v>2.7793653164559214E-4</v>
      </c>
      <c r="N303" s="98">
        <v>142795.89660273801</v>
      </c>
      <c r="O303" s="110">
        <f t="shared" si="30"/>
        <v>2.7793653164559214E-4</v>
      </c>
    </row>
    <row r="304" spans="2:15" x14ac:dyDescent="0.35">
      <c r="B304" s="100">
        <v>944</v>
      </c>
      <c r="C304" s="101" t="s">
        <v>209</v>
      </c>
      <c r="D304" s="98">
        <v>79350.244928213506</v>
      </c>
      <c r="E304" s="110">
        <f t="shared" si="25"/>
        <v>1.5176321758307121E-4</v>
      </c>
      <c r="F304" s="98">
        <v>69165.348178422995</v>
      </c>
      <c r="G304" s="110">
        <f t="shared" si="26"/>
        <v>1.3531692477428551E-4</v>
      </c>
      <c r="H304" s="98">
        <v>69522.947157883595</v>
      </c>
      <c r="I304" s="110">
        <f t="shared" si="27"/>
        <v>1.3531692477428546E-4</v>
      </c>
      <c r="J304" s="98">
        <v>69522.441727945494</v>
      </c>
      <c r="K304" s="110">
        <f t="shared" si="28"/>
        <v>1.3531692477428549E-4</v>
      </c>
      <c r="L304" s="98">
        <v>69521.9929681949</v>
      </c>
      <c r="M304" s="110">
        <f t="shared" si="29"/>
        <v>1.353169247742854E-4</v>
      </c>
      <c r="N304" s="98">
        <v>69521.9929681949</v>
      </c>
      <c r="O304" s="110">
        <f t="shared" si="30"/>
        <v>1.353169247742854E-4</v>
      </c>
    </row>
    <row r="305" spans="2:15" x14ac:dyDescent="0.35">
      <c r="B305" s="100">
        <v>946</v>
      </c>
      <c r="C305" s="101" t="s">
        <v>211</v>
      </c>
      <c r="D305" s="98">
        <v>62764.2420429419</v>
      </c>
      <c r="E305" s="110">
        <f t="shared" si="25"/>
        <v>1.2004125923261962E-4</v>
      </c>
      <c r="F305" s="98">
        <v>42484.325745013302</v>
      </c>
      <c r="G305" s="110">
        <f t="shared" si="26"/>
        <v>8.3117463619125293E-5</v>
      </c>
      <c r="H305" s="98">
        <v>42703.978387985502</v>
      </c>
      <c r="I305" s="110">
        <f t="shared" si="27"/>
        <v>8.3117463619125103E-5</v>
      </c>
      <c r="J305" s="98">
        <v>42703.667931222197</v>
      </c>
      <c r="K305" s="110">
        <f t="shared" si="28"/>
        <v>8.3117463619125198E-5</v>
      </c>
      <c r="L305" s="98">
        <v>42703.392283720597</v>
      </c>
      <c r="M305" s="110">
        <f t="shared" si="29"/>
        <v>8.3117463619125238E-5</v>
      </c>
      <c r="N305" s="98">
        <v>42703.392283720597</v>
      </c>
      <c r="O305" s="110">
        <f t="shared" si="30"/>
        <v>8.3117463619125238E-5</v>
      </c>
    </row>
    <row r="306" spans="2:15" x14ac:dyDescent="0.35">
      <c r="B306" s="100">
        <v>951</v>
      </c>
      <c r="C306" s="101" t="s">
        <v>825</v>
      </c>
      <c r="D306" s="98">
        <v>238453.98607139301</v>
      </c>
      <c r="E306" s="110">
        <f t="shared" si="25"/>
        <v>4.5606090068710519E-4</v>
      </c>
      <c r="F306" s="98">
        <v>191685.91893265801</v>
      </c>
      <c r="G306" s="110">
        <f t="shared" si="26"/>
        <v>3.7501942454750878E-4</v>
      </c>
      <c r="H306" s="98">
        <v>192676.97429191801</v>
      </c>
      <c r="I306" s="110">
        <f t="shared" si="27"/>
        <v>3.7501942454750933E-4</v>
      </c>
      <c r="J306" s="98">
        <v>192675.57353554701</v>
      </c>
      <c r="K306" s="110">
        <f t="shared" si="28"/>
        <v>3.7501942454751014E-4</v>
      </c>
      <c r="L306" s="98">
        <v>192674.32983581201</v>
      </c>
      <c r="M306" s="110">
        <f t="shared" si="29"/>
        <v>3.7501942454750916E-4</v>
      </c>
      <c r="N306" s="98">
        <v>192674.32983581201</v>
      </c>
      <c r="O306" s="110">
        <f t="shared" si="30"/>
        <v>3.7501942454750916E-4</v>
      </c>
    </row>
    <row r="307" spans="2:15" x14ac:dyDescent="0.35">
      <c r="B307" s="100">
        <v>957</v>
      </c>
      <c r="C307" s="101" t="s">
        <v>260</v>
      </c>
      <c r="D307" s="98">
        <v>2554680.5267289998</v>
      </c>
      <c r="E307" s="110">
        <f t="shared" si="25"/>
        <v>4.8860156258365445E-3</v>
      </c>
      <c r="F307" s="98">
        <v>2490072.9765867302</v>
      </c>
      <c r="G307" s="110">
        <f t="shared" si="26"/>
        <v>4.8716449281228855E-3</v>
      </c>
      <c r="H307" s="98">
        <v>2502947.1625579</v>
      </c>
      <c r="I307" s="110">
        <f t="shared" si="27"/>
        <v>4.8716449281228803E-3</v>
      </c>
      <c r="J307" s="98">
        <v>2502928.9661999899</v>
      </c>
      <c r="K307" s="110">
        <f t="shared" si="28"/>
        <v>4.8716449281228803E-3</v>
      </c>
      <c r="L307" s="98">
        <v>2502912.81006752</v>
      </c>
      <c r="M307" s="110">
        <f t="shared" si="29"/>
        <v>4.8716449281228898E-3</v>
      </c>
      <c r="N307" s="98">
        <v>2502912.81006752</v>
      </c>
      <c r="O307" s="110">
        <f t="shared" si="30"/>
        <v>4.8716449281228898E-3</v>
      </c>
    </row>
    <row r="308" spans="2:15" x14ac:dyDescent="0.35">
      <c r="B308" s="100">
        <v>962</v>
      </c>
      <c r="C308" s="101" t="s">
        <v>827</v>
      </c>
      <c r="D308" s="98">
        <v>225191.90537477101</v>
      </c>
      <c r="E308" s="110">
        <f t="shared" si="25"/>
        <v>4.3069618958650887E-4</v>
      </c>
      <c r="F308" s="98">
        <v>200585.707631208</v>
      </c>
      <c r="G308" s="110">
        <f t="shared" si="26"/>
        <v>3.9243120760861714E-4</v>
      </c>
      <c r="H308" s="98">
        <v>201622.776716124</v>
      </c>
      <c r="I308" s="110">
        <f t="shared" si="27"/>
        <v>3.9243120760861671E-4</v>
      </c>
      <c r="J308" s="98">
        <v>201621.31092401201</v>
      </c>
      <c r="K308" s="110">
        <f t="shared" si="28"/>
        <v>3.9243120760861704E-4</v>
      </c>
      <c r="L308" s="98">
        <v>201620.00948052201</v>
      </c>
      <c r="M308" s="110">
        <f t="shared" si="29"/>
        <v>3.9243120760861704E-4</v>
      </c>
      <c r="N308" s="98">
        <v>201620.00948052201</v>
      </c>
      <c r="O308" s="110">
        <f t="shared" si="30"/>
        <v>3.9243120760861704E-4</v>
      </c>
    </row>
    <row r="309" spans="2:15" x14ac:dyDescent="0.35">
      <c r="B309" s="100">
        <v>965</v>
      </c>
      <c r="C309" s="101" t="s">
        <v>272</v>
      </c>
      <c r="D309" s="98">
        <v>179044.85451073901</v>
      </c>
      <c r="E309" s="110">
        <f t="shared" si="25"/>
        <v>3.4243653862473813E-4</v>
      </c>
      <c r="F309" s="98">
        <v>167600.861550273</v>
      </c>
      <c r="G309" s="110">
        <f t="shared" si="26"/>
        <v>3.2789877838826245E-4</v>
      </c>
      <c r="H309" s="98">
        <v>168467.392242673</v>
      </c>
      <c r="I309" s="110">
        <f t="shared" si="27"/>
        <v>3.2789877838826348E-4</v>
      </c>
      <c r="J309" s="98">
        <v>168466.16748930499</v>
      </c>
      <c r="K309" s="110">
        <f t="shared" si="28"/>
        <v>3.2789877838826207E-4</v>
      </c>
      <c r="L309" s="98">
        <v>168465.08005863699</v>
      </c>
      <c r="M309" s="110">
        <f t="shared" si="29"/>
        <v>3.2789877838826348E-4</v>
      </c>
      <c r="N309" s="98">
        <v>168465.08005863699</v>
      </c>
      <c r="O309" s="110">
        <f t="shared" si="30"/>
        <v>3.2789877838826348E-4</v>
      </c>
    </row>
    <row r="310" spans="2:15" x14ac:dyDescent="0.35">
      <c r="B310" s="100">
        <v>971</v>
      </c>
      <c r="C310" s="101" t="s">
        <v>287</v>
      </c>
      <c r="D310" s="98">
        <v>303053.05094606598</v>
      </c>
      <c r="E310" s="110">
        <f t="shared" si="25"/>
        <v>5.7961139441408966E-4</v>
      </c>
      <c r="F310" s="98">
        <v>265681.82655030797</v>
      </c>
      <c r="G310" s="110">
        <f t="shared" si="26"/>
        <v>5.1978698414791242E-4</v>
      </c>
      <c r="H310" s="98">
        <v>267055.45586813602</v>
      </c>
      <c r="I310" s="110">
        <f t="shared" si="27"/>
        <v>5.1978698414791361E-4</v>
      </c>
      <c r="J310" s="98">
        <v>267053.51438222302</v>
      </c>
      <c r="K310" s="110">
        <f t="shared" si="28"/>
        <v>5.1978698414791339E-4</v>
      </c>
      <c r="L310" s="98">
        <v>267051.79058102198</v>
      </c>
      <c r="M310" s="110">
        <f t="shared" si="29"/>
        <v>5.1978698414791198E-4</v>
      </c>
      <c r="N310" s="98">
        <v>267051.79058102198</v>
      </c>
      <c r="O310" s="110">
        <f t="shared" si="30"/>
        <v>5.1978698414791198E-4</v>
      </c>
    </row>
    <row r="311" spans="2:15" x14ac:dyDescent="0.35">
      <c r="B311" s="100">
        <v>981</v>
      </c>
      <c r="C311" s="101" t="s">
        <v>307</v>
      </c>
      <c r="D311" s="98">
        <v>424123.81222222903</v>
      </c>
      <c r="E311" s="110">
        <f t="shared" si="25"/>
        <v>8.1116818800842645E-4</v>
      </c>
      <c r="F311" s="98">
        <v>406441.32719918003</v>
      </c>
      <c r="G311" s="110">
        <f t="shared" si="26"/>
        <v>7.9517261094233396E-4</v>
      </c>
      <c r="H311" s="98">
        <v>408542.71189028397</v>
      </c>
      <c r="I311" s="110">
        <f t="shared" si="27"/>
        <v>7.9517261094233288E-4</v>
      </c>
      <c r="J311" s="98">
        <v>408539.74179586198</v>
      </c>
      <c r="K311" s="110">
        <f t="shared" si="28"/>
        <v>7.9517261094233375E-4</v>
      </c>
      <c r="L311" s="98">
        <v>408537.104716553</v>
      </c>
      <c r="M311" s="110">
        <f t="shared" si="29"/>
        <v>7.9517261094233461E-4</v>
      </c>
      <c r="N311" s="98">
        <v>408537.104716553</v>
      </c>
      <c r="O311" s="110">
        <f t="shared" si="30"/>
        <v>7.9517261094233461E-4</v>
      </c>
    </row>
    <row r="312" spans="2:15" x14ac:dyDescent="0.35">
      <c r="B312" s="100">
        <v>983</v>
      </c>
      <c r="C312" s="101" t="s">
        <v>315</v>
      </c>
      <c r="D312" s="98">
        <v>4149784.0612316402</v>
      </c>
      <c r="E312" s="110">
        <f t="shared" si="25"/>
        <v>7.9367692182577537E-3</v>
      </c>
      <c r="F312" s="98">
        <v>4229754.49850378</v>
      </c>
      <c r="G312" s="110">
        <f t="shared" si="26"/>
        <v>8.2752040777882754E-3</v>
      </c>
      <c r="H312" s="98">
        <v>4251623.1933324598</v>
      </c>
      <c r="I312" s="110">
        <f t="shared" si="27"/>
        <v>8.2752040777882563E-3</v>
      </c>
      <c r="J312" s="98">
        <v>4251592.2841472896</v>
      </c>
      <c r="K312" s="110">
        <f t="shared" si="28"/>
        <v>8.2752040777882615E-3</v>
      </c>
      <c r="L312" s="98">
        <v>4251564.8405845296</v>
      </c>
      <c r="M312" s="110">
        <f t="shared" si="29"/>
        <v>8.275204077788265E-3</v>
      </c>
      <c r="N312" s="98">
        <v>4251564.8405845296</v>
      </c>
      <c r="O312" s="110">
        <f t="shared" si="30"/>
        <v>8.275204077788265E-3</v>
      </c>
    </row>
    <row r="313" spans="2:15" x14ac:dyDescent="0.35">
      <c r="B313" s="100">
        <v>984</v>
      </c>
      <c r="C313" s="101" t="s">
        <v>316</v>
      </c>
      <c r="D313" s="98">
        <v>1004604.7069966201</v>
      </c>
      <c r="E313" s="110">
        <f t="shared" si="25"/>
        <v>1.921380871235303E-3</v>
      </c>
      <c r="F313" s="98">
        <v>1032112.2142037</v>
      </c>
      <c r="G313" s="110">
        <f t="shared" si="26"/>
        <v>2.0192517572201383E-3</v>
      </c>
      <c r="H313" s="98">
        <v>1037448.44519521</v>
      </c>
      <c r="I313" s="110">
        <f t="shared" si="27"/>
        <v>2.0192517572201439E-3</v>
      </c>
      <c r="J313" s="98">
        <v>1037440.9029731801</v>
      </c>
      <c r="K313" s="110">
        <f t="shared" si="28"/>
        <v>2.0192517572201383E-3</v>
      </c>
      <c r="L313" s="98">
        <v>1037434.20640572</v>
      </c>
      <c r="M313" s="110">
        <f t="shared" si="29"/>
        <v>2.0192517572201331E-3</v>
      </c>
      <c r="N313" s="98">
        <v>1037434.20640572</v>
      </c>
      <c r="O313" s="110">
        <f t="shared" si="30"/>
        <v>2.0192517572201331E-3</v>
      </c>
    </row>
    <row r="314" spans="2:15" x14ac:dyDescent="0.35">
      <c r="B314" s="100">
        <v>986</v>
      </c>
      <c r="C314" s="101" t="s">
        <v>321</v>
      </c>
      <c r="D314" s="98">
        <v>140632.92760519299</v>
      </c>
      <c r="E314" s="110">
        <f t="shared" si="25"/>
        <v>2.6897088485107619E-4</v>
      </c>
      <c r="F314" s="98">
        <v>74794.303884826993</v>
      </c>
      <c r="G314" s="110">
        <f t="shared" si="26"/>
        <v>1.4632956326945145E-4</v>
      </c>
      <c r="H314" s="98">
        <v>75181.005715195599</v>
      </c>
      <c r="I314" s="110">
        <f t="shared" si="27"/>
        <v>1.4632956326945132E-4</v>
      </c>
      <c r="J314" s="98">
        <v>75180.459151325398</v>
      </c>
      <c r="K314" s="110">
        <f t="shared" si="28"/>
        <v>1.4632956326945129E-4</v>
      </c>
      <c r="L314" s="98">
        <v>75179.973869691807</v>
      </c>
      <c r="M314" s="110">
        <f t="shared" si="29"/>
        <v>1.4632956326945137E-4</v>
      </c>
      <c r="N314" s="98">
        <v>75179.973869691807</v>
      </c>
      <c r="O314" s="110">
        <f t="shared" si="30"/>
        <v>1.4632956326945137E-4</v>
      </c>
    </row>
    <row r="315" spans="2:15" x14ac:dyDescent="0.35">
      <c r="B315" s="100">
        <v>988</v>
      </c>
      <c r="C315" s="101" t="s">
        <v>332</v>
      </c>
      <c r="D315" s="98">
        <v>1158173.72885513</v>
      </c>
      <c r="E315" s="110">
        <f t="shared" si="25"/>
        <v>2.2150929939819567E-3</v>
      </c>
      <c r="F315" s="98">
        <v>1113434.7676025501</v>
      </c>
      <c r="G315" s="110">
        <f t="shared" si="26"/>
        <v>2.1783533612825894E-3</v>
      </c>
      <c r="H315" s="98">
        <v>1119191.4528080299</v>
      </c>
      <c r="I315" s="110">
        <f t="shared" si="27"/>
        <v>2.1783533612825877E-3</v>
      </c>
      <c r="J315" s="98">
        <v>1119183.3163165499</v>
      </c>
      <c r="K315" s="110">
        <f t="shared" si="28"/>
        <v>2.1783533612825738E-3</v>
      </c>
      <c r="L315" s="98">
        <v>1119176.0921107701</v>
      </c>
      <c r="M315" s="110">
        <f t="shared" si="29"/>
        <v>2.1783533612825877E-3</v>
      </c>
      <c r="N315" s="98">
        <v>1119176.0921107701</v>
      </c>
      <c r="O315" s="110">
        <f t="shared" si="30"/>
        <v>2.1783533612825877E-3</v>
      </c>
    </row>
    <row r="316" spans="2:15" x14ac:dyDescent="0.35">
      <c r="B316" s="100">
        <v>994</v>
      </c>
      <c r="C316" s="101" t="s">
        <v>308</v>
      </c>
      <c r="D316" s="98">
        <v>404188.90355095599</v>
      </c>
      <c r="E316" s="110">
        <f t="shared" si="25"/>
        <v>7.7304119942869288E-4</v>
      </c>
      <c r="F316" s="98">
        <v>351125.15800134302</v>
      </c>
      <c r="G316" s="110">
        <f t="shared" si="26"/>
        <v>6.8695058787326675E-4</v>
      </c>
      <c r="H316" s="98">
        <v>352940.546797483</v>
      </c>
      <c r="I316" s="110">
        <f t="shared" si="27"/>
        <v>6.8695058787326664E-4</v>
      </c>
      <c r="J316" s="98">
        <v>352937.98092929099</v>
      </c>
      <c r="K316" s="110">
        <f t="shared" si="28"/>
        <v>6.8695058787326653E-4</v>
      </c>
      <c r="L316" s="98">
        <v>352935.70275326102</v>
      </c>
      <c r="M316" s="110">
        <f t="shared" si="29"/>
        <v>6.8695058787326632E-4</v>
      </c>
      <c r="N316" s="98">
        <v>352935.70275326102</v>
      </c>
      <c r="O316" s="110">
        <f t="shared" si="30"/>
        <v>6.8695058787326632E-4</v>
      </c>
    </row>
    <row r="317" spans="2:15" x14ac:dyDescent="0.35">
      <c r="B317" s="100">
        <v>995</v>
      </c>
      <c r="C317" s="101" t="s">
        <v>182</v>
      </c>
      <c r="D317" s="98">
        <v>3395724.5117311901</v>
      </c>
      <c r="E317" s="110">
        <f t="shared" si="25"/>
        <v>6.4945745081474117E-3</v>
      </c>
      <c r="F317" s="98">
        <v>3163244.5634971899</v>
      </c>
      <c r="G317" s="110">
        <f t="shared" si="26"/>
        <v>6.1886557057042263E-3</v>
      </c>
      <c r="H317" s="98">
        <v>3179599.18409091</v>
      </c>
      <c r="I317" s="110">
        <f t="shared" si="27"/>
        <v>6.1886557057042177E-3</v>
      </c>
      <c r="J317" s="98">
        <v>3179576.06849118</v>
      </c>
      <c r="K317" s="110">
        <f t="shared" si="28"/>
        <v>6.1886557057042255E-3</v>
      </c>
      <c r="L317" s="98">
        <v>3179555.5446757302</v>
      </c>
      <c r="M317" s="110">
        <f t="shared" si="29"/>
        <v>6.1886557057042177E-3</v>
      </c>
      <c r="N317" s="98">
        <v>3179555.5446757302</v>
      </c>
      <c r="O317" s="110">
        <f t="shared" si="30"/>
        <v>6.1886557057042177E-3</v>
      </c>
    </row>
    <row r="318" spans="2:15" x14ac:dyDescent="0.35">
      <c r="B318" s="100">
        <v>1507</v>
      </c>
      <c r="C318" s="101" t="s">
        <v>158</v>
      </c>
      <c r="D318" s="98">
        <v>184059.19030723599</v>
      </c>
      <c r="E318" s="110">
        <f t="shared" si="25"/>
        <v>3.5202682703792205E-4</v>
      </c>
      <c r="F318" s="98">
        <v>105346.580563781</v>
      </c>
      <c r="G318" s="110">
        <f t="shared" si="26"/>
        <v>2.061028490828077E-4</v>
      </c>
      <c r="H318" s="98">
        <v>105891.24390592299</v>
      </c>
      <c r="I318" s="110">
        <f t="shared" si="27"/>
        <v>2.061028490828077E-4</v>
      </c>
      <c r="J318" s="98">
        <v>105890.474079455</v>
      </c>
      <c r="K318" s="110">
        <f t="shared" si="28"/>
        <v>2.0610284908280764E-4</v>
      </c>
      <c r="L318" s="98">
        <v>105889.790568036</v>
      </c>
      <c r="M318" s="110">
        <f t="shared" si="29"/>
        <v>2.0610284908280585E-4</v>
      </c>
      <c r="N318" s="98">
        <v>105889.790568036</v>
      </c>
      <c r="O318" s="110">
        <f t="shared" si="30"/>
        <v>2.0610284908280585E-4</v>
      </c>
    </row>
    <row r="319" spans="2:15" x14ac:dyDescent="0.35">
      <c r="B319" s="100">
        <v>1509</v>
      </c>
      <c r="C319" s="101" t="s">
        <v>239</v>
      </c>
      <c r="D319" s="98">
        <v>698020.70808166498</v>
      </c>
      <c r="E319" s="110">
        <f t="shared" si="25"/>
        <v>1.3350162774408989E-3</v>
      </c>
      <c r="F319" s="98">
        <v>719740.87427049701</v>
      </c>
      <c r="G319" s="110">
        <f t="shared" si="26"/>
        <v>1.4081201686341304E-3</v>
      </c>
      <c r="H319" s="98">
        <v>723462.081622064</v>
      </c>
      <c r="I319" s="110">
        <f t="shared" si="27"/>
        <v>1.4081201686341306E-3</v>
      </c>
      <c r="J319" s="98">
        <v>723456.82207237405</v>
      </c>
      <c r="K319" s="110">
        <f t="shared" si="28"/>
        <v>1.4081201686341298E-3</v>
      </c>
      <c r="L319" s="98">
        <v>723452.15223778703</v>
      </c>
      <c r="M319" s="110">
        <f t="shared" si="29"/>
        <v>1.4081201686341315E-3</v>
      </c>
      <c r="N319" s="98">
        <v>723452.15223778703</v>
      </c>
      <c r="O319" s="110">
        <f t="shared" si="30"/>
        <v>1.4081201686341315E-3</v>
      </c>
    </row>
    <row r="320" spans="2:15" x14ac:dyDescent="0.35">
      <c r="B320" s="100">
        <v>1525</v>
      </c>
      <c r="C320" s="101" t="s">
        <v>293</v>
      </c>
      <c r="D320" s="98">
        <v>104951.680611686</v>
      </c>
      <c r="E320" s="110">
        <f t="shared" si="25"/>
        <v>2.0072785855657847E-4</v>
      </c>
      <c r="F320" s="98">
        <v>90486.451897446794</v>
      </c>
      <c r="G320" s="110">
        <f t="shared" si="26"/>
        <v>1.7703009855328961E-4</v>
      </c>
      <c r="H320" s="98">
        <v>90954.285338696398</v>
      </c>
      <c r="I320" s="110">
        <f t="shared" si="27"/>
        <v>1.7703009855328958E-4</v>
      </c>
      <c r="J320" s="98">
        <v>90953.624103511596</v>
      </c>
      <c r="K320" s="110">
        <f t="shared" si="28"/>
        <v>1.770300985532895E-4</v>
      </c>
      <c r="L320" s="98">
        <v>90953.037007824896</v>
      </c>
      <c r="M320" s="110">
        <f t="shared" si="29"/>
        <v>1.7703009855328945E-4</v>
      </c>
      <c r="N320" s="98">
        <v>90953.037007824896</v>
      </c>
      <c r="O320" s="110">
        <f t="shared" si="30"/>
        <v>1.7703009855328945E-4</v>
      </c>
    </row>
    <row r="321" spans="2:15" x14ac:dyDescent="0.35">
      <c r="B321" s="100">
        <v>1581</v>
      </c>
      <c r="C321" s="101" t="s">
        <v>306</v>
      </c>
      <c r="D321" s="98">
        <v>359560.03489138302</v>
      </c>
      <c r="E321" s="110">
        <f t="shared" si="25"/>
        <v>6.8768518432128529E-4</v>
      </c>
      <c r="F321" s="98">
        <v>286754.86387137702</v>
      </c>
      <c r="G321" s="110">
        <f t="shared" si="26"/>
        <v>5.6101483423528305E-4</v>
      </c>
      <c r="H321" s="98">
        <v>288237.44509703998</v>
      </c>
      <c r="I321" s="110">
        <f t="shared" si="27"/>
        <v>5.6101483423528283E-4</v>
      </c>
      <c r="J321" s="98">
        <v>288235.34961863997</v>
      </c>
      <c r="K321" s="110">
        <f t="shared" si="28"/>
        <v>5.6101483423528185E-4</v>
      </c>
      <c r="L321" s="98">
        <v>288233.48909101199</v>
      </c>
      <c r="M321" s="110">
        <f t="shared" si="29"/>
        <v>5.6101483423528175E-4</v>
      </c>
      <c r="N321" s="98">
        <v>288233.48909101199</v>
      </c>
      <c r="O321" s="110">
        <f t="shared" si="30"/>
        <v>5.6101483423528175E-4</v>
      </c>
    </row>
    <row r="322" spans="2:15" x14ac:dyDescent="0.35">
      <c r="B322" s="100">
        <v>1586</v>
      </c>
      <c r="C322" s="101" t="s">
        <v>232</v>
      </c>
      <c r="D322" s="98">
        <v>211684.76110631699</v>
      </c>
      <c r="E322" s="110">
        <f t="shared" si="25"/>
        <v>4.0486277626316234E-4</v>
      </c>
      <c r="F322" s="98">
        <v>164085.19567081801</v>
      </c>
      <c r="G322" s="110">
        <f t="shared" si="26"/>
        <v>3.2102063625682239E-4</v>
      </c>
      <c r="H322" s="98">
        <v>164933.549652427</v>
      </c>
      <c r="I322" s="110">
        <f t="shared" si="27"/>
        <v>3.2102063625682396E-4</v>
      </c>
      <c r="J322" s="98">
        <v>164932.350589999</v>
      </c>
      <c r="K322" s="110">
        <f t="shared" si="28"/>
        <v>3.2102063625682315E-4</v>
      </c>
      <c r="L322" s="98">
        <v>164931.28596973201</v>
      </c>
      <c r="M322" s="110">
        <f t="shared" si="29"/>
        <v>3.2102063625682412E-4</v>
      </c>
      <c r="N322" s="98">
        <v>164931.28596973201</v>
      </c>
      <c r="O322" s="110">
        <f t="shared" si="30"/>
        <v>3.2102063625682412E-4</v>
      </c>
    </row>
    <row r="323" spans="2:15" x14ac:dyDescent="0.35">
      <c r="B323" s="100">
        <v>1598</v>
      </c>
      <c r="C323" s="101" t="s">
        <v>168</v>
      </c>
      <c r="D323" s="98">
        <v>69030.671500365104</v>
      </c>
      <c r="E323" s="110">
        <f t="shared" si="25"/>
        <v>1.3202626946259743E-4</v>
      </c>
      <c r="F323" s="98">
        <v>56151.733557865002</v>
      </c>
      <c r="G323" s="110">
        <f t="shared" si="26"/>
        <v>1.0985674338245755E-4</v>
      </c>
      <c r="H323" s="98">
        <v>56442.0494912633</v>
      </c>
      <c r="I323" s="110">
        <f t="shared" si="27"/>
        <v>1.0985674338245753E-4</v>
      </c>
      <c r="J323" s="98">
        <v>56441.639159095997</v>
      </c>
      <c r="K323" s="110">
        <f t="shared" si="28"/>
        <v>1.0985674338245744E-4</v>
      </c>
      <c r="L323" s="98">
        <v>56441.274834494099</v>
      </c>
      <c r="M323" s="110">
        <f t="shared" si="29"/>
        <v>1.0985674338245756E-4</v>
      </c>
      <c r="N323" s="98">
        <v>56441.274834494099</v>
      </c>
      <c r="O323" s="110">
        <f t="shared" si="30"/>
        <v>1.0985674338245756E-4</v>
      </c>
    </row>
    <row r="324" spans="2:15" x14ac:dyDescent="0.35">
      <c r="B324" s="100">
        <v>1621</v>
      </c>
      <c r="C324" s="101" t="s">
        <v>176</v>
      </c>
      <c r="D324" s="98">
        <v>186754.424073495</v>
      </c>
      <c r="E324" s="110">
        <f t="shared" si="25"/>
        <v>3.5718166113926674E-4</v>
      </c>
      <c r="F324" s="98">
        <v>147408.56580985599</v>
      </c>
      <c r="G324" s="110">
        <f t="shared" si="26"/>
        <v>2.8839403452898804E-4</v>
      </c>
      <c r="H324" s="98">
        <v>148170.698208313</v>
      </c>
      <c r="I324" s="110">
        <f t="shared" si="27"/>
        <v>2.8839403452898734E-4</v>
      </c>
      <c r="J324" s="98">
        <v>148169.62101136</v>
      </c>
      <c r="K324" s="110">
        <f t="shared" si="28"/>
        <v>2.8839403452898685E-4</v>
      </c>
      <c r="L324" s="98">
        <v>148168.664592677</v>
      </c>
      <c r="M324" s="110">
        <f t="shared" si="29"/>
        <v>2.8839403452898712E-4</v>
      </c>
      <c r="N324" s="98">
        <v>148168.664592677</v>
      </c>
      <c r="O324" s="110">
        <f t="shared" si="30"/>
        <v>2.8839403452898712E-4</v>
      </c>
    </row>
    <row r="325" spans="2:15" x14ac:dyDescent="0.35">
      <c r="B325" s="100">
        <v>1640</v>
      </c>
      <c r="C325" s="101" t="s">
        <v>183</v>
      </c>
      <c r="D325" s="98">
        <v>202028.296597384</v>
      </c>
      <c r="E325" s="110">
        <f t="shared" si="25"/>
        <v>3.8639407303889121E-4</v>
      </c>
      <c r="F325" s="98">
        <v>198253.115717899</v>
      </c>
      <c r="G325" s="110">
        <f t="shared" si="26"/>
        <v>3.8786766281667738E-4</v>
      </c>
      <c r="H325" s="98">
        <v>199278.12482611201</v>
      </c>
      <c r="I325" s="110">
        <f t="shared" si="27"/>
        <v>3.8786766281667727E-4</v>
      </c>
      <c r="J325" s="98">
        <v>199276.676079556</v>
      </c>
      <c r="K325" s="110">
        <f t="shared" si="28"/>
        <v>3.8786766281667841E-4</v>
      </c>
      <c r="L325" s="98">
        <v>199275.38977042699</v>
      </c>
      <c r="M325" s="110">
        <f t="shared" si="29"/>
        <v>3.8786766281667792E-4</v>
      </c>
      <c r="N325" s="98">
        <v>199275.38977042699</v>
      </c>
      <c r="O325" s="110">
        <f t="shared" si="30"/>
        <v>3.8786766281667792E-4</v>
      </c>
    </row>
    <row r="326" spans="2:15" x14ac:dyDescent="0.35">
      <c r="B326" s="100">
        <v>1641</v>
      </c>
      <c r="C326" s="101" t="s">
        <v>193</v>
      </c>
      <c r="D326" s="98">
        <v>265301.84602045402</v>
      </c>
      <c r="E326" s="110">
        <f t="shared" si="25"/>
        <v>5.0740942033912766E-4</v>
      </c>
      <c r="F326" s="98">
        <v>226745.04923656699</v>
      </c>
      <c r="G326" s="110">
        <f t="shared" si="26"/>
        <v>4.4361003853166434E-4</v>
      </c>
      <c r="H326" s="98">
        <v>227917.36746152001</v>
      </c>
      <c r="I326" s="110">
        <f t="shared" si="27"/>
        <v>4.4361003853166542E-4</v>
      </c>
      <c r="J326" s="98">
        <v>227915.71050844699</v>
      </c>
      <c r="K326" s="110">
        <f t="shared" si="28"/>
        <v>4.4361003853166521E-4</v>
      </c>
      <c r="L326" s="98">
        <v>227914.23933748601</v>
      </c>
      <c r="M326" s="110">
        <f t="shared" si="29"/>
        <v>4.4361003853166488E-4</v>
      </c>
      <c r="N326" s="98">
        <v>227914.23933748601</v>
      </c>
      <c r="O326" s="110">
        <f t="shared" si="30"/>
        <v>4.4361003853166488E-4</v>
      </c>
    </row>
    <row r="327" spans="2:15" x14ac:dyDescent="0.35">
      <c r="B327" s="100">
        <v>1651</v>
      </c>
      <c r="C327" s="101" t="s">
        <v>796</v>
      </c>
      <c r="D327" s="98">
        <v>607221.70704012597</v>
      </c>
      <c r="E327" s="110">
        <f t="shared" si="25"/>
        <v>1.161356466259988E-3</v>
      </c>
      <c r="F327" s="98">
        <v>622010.44932487095</v>
      </c>
      <c r="G327" s="110">
        <f t="shared" si="26"/>
        <v>1.2169177687501405E-3</v>
      </c>
      <c r="H327" s="98">
        <v>625226.37041470001</v>
      </c>
      <c r="I327" s="110">
        <f t="shared" si="27"/>
        <v>1.2169177687501387E-3</v>
      </c>
      <c r="J327" s="98">
        <v>625221.82503596402</v>
      </c>
      <c r="K327" s="110">
        <f t="shared" si="28"/>
        <v>1.2169177687501396E-3</v>
      </c>
      <c r="L327" s="98">
        <v>625217.78929752798</v>
      </c>
      <c r="M327" s="110">
        <f t="shared" si="29"/>
        <v>1.2169177687501394E-3</v>
      </c>
      <c r="N327" s="98">
        <v>625217.78929752798</v>
      </c>
      <c r="O327" s="110">
        <f t="shared" si="30"/>
        <v>1.2169177687501394E-3</v>
      </c>
    </row>
    <row r="328" spans="2:15" x14ac:dyDescent="0.35">
      <c r="B328" s="100">
        <v>1652</v>
      </c>
      <c r="C328" s="101" t="s">
        <v>112</v>
      </c>
      <c r="D328" s="98">
        <v>261607.05862365401</v>
      </c>
      <c r="E328" s="110">
        <f t="shared" si="25"/>
        <v>5.0034286592419127E-4</v>
      </c>
      <c r="F328" s="98">
        <v>219862.80275835699</v>
      </c>
      <c r="G328" s="110">
        <f t="shared" si="26"/>
        <v>4.3014542867287145E-4</v>
      </c>
      <c r="H328" s="98">
        <v>220999.53836308399</v>
      </c>
      <c r="I328" s="110">
        <f t="shared" si="27"/>
        <v>4.3014542867287177E-4</v>
      </c>
      <c r="J328" s="98">
        <v>220997.93170244101</v>
      </c>
      <c r="K328" s="110">
        <f t="shared" si="28"/>
        <v>4.3014542867287221E-4</v>
      </c>
      <c r="L328" s="98">
        <v>220996.505184985</v>
      </c>
      <c r="M328" s="110">
        <f t="shared" si="29"/>
        <v>4.3014542867287204E-4</v>
      </c>
      <c r="N328" s="98">
        <v>220996.505184985</v>
      </c>
      <c r="O328" s="110">
        <f t="shared" si="30"/>
        <v>4.3014542867287204E-4</v>
      </c>
    </row>
    <row r="329" spans="2:15" x14ac:dyDescent="0.35">
      <c r="B329" s="100">
        <v>1655</v>
      </c>
      <c r="C329" s="101" t="s">
        <v>128</v>
      </c>
      <c r="D329" s="98">
        <v>399760.43926901201</v>
      </c>
      <c r="E329" s="110">
        <f t="shared" si="25"/>
        <v>7.6457143365812039E-4</v>
      </c>
      <c r="F329" s="98">
        <v>387067.66642944003</v>
      </c>
      <c r="G329" s="110">
        <f t="shared" si="26"/>
        <v>7.5726946628934034E-4</v>
      </c>
      <c r="H329" s="98">
        <v>389068.88533663499</v>
      </c>
      <c r="I329" s="110">
        <f t="shared" si="27"/>
        <v>7.5726946628934056E-4</v>
      </c>
      <c r="J329" s="98">
        <v>389066.056816403</v>
      </c>
      <c r="K329" s="110">
        <f t="shared" si="28"/>
        <v>7.5726946628934088E-4</v>
      </c>
      <c r="L329" s="98">
        <v>389063.54543759802</v>
      </c>
      <c r="M329" s="110">
        <f t="shared" si="29"/>
        <v>7.5726946628934034E-4</v>
      </c>
      <c r="N329" s="98">
        <v>389063.54543759802</v>
      </c>
      <c r="O329" s="110">
        <f t="shared" si="30"/>
        <v>7.5726946628934034E-4</v>
      </c>
    </row>
    <row r="330" spans="2:15" x14ac:dyDescent="0.35">
      <c r="B330" s="100">
        <v>1658</v>
      </c>
      <c r="C330" s="101" t="s">
        <v>140</v>
      </c>
      <c r="D330" s="98">
        <v>52766.334552274202</v>
      </c>
      <c r="E330" s="110">
        <f t="shared" si="25"/>
        <v>1.0091952102936263E-4</v>
      </c>
      <c r="F330" s="98">
        <v>38112.319468970803</v>
      </c>
      <c r="G330" s="110">
        <f t="shared" si="26"/>
        <v>7.4563954384388207E-5</v>
      </c>
      <c r="H330" s="98">
        <v>38309.3679463648</v>
      </c>
      <c r="I330" s="110">
        <f t="shared" si="27"/>
        <v>7.4563954384388275E-5</v>
      </c>
      <c r="J330" s="98">
        <v>38309.089438299998</v>
      </c>
      <c r="K330" s="110">
        <f t="shared" si="28"/>
        <v>7.4563954384388207E-5</v>
      </c>
      <c r="L330" s="98">
        <v>38308.842157321502</v>
      </c>
      <c r="M330" s="110">
        <f t="shared" si="29"/>
        <v>7.4563954384388275E-5</v>
      </c>
      <c r="N330" s="98">
        <v>38308.842157321502</v>
      </c>
      <c r="O330" s="110">
        <f t="shared" si="30"/>
        <v>7.4563954384388275E-5</v>
      </c>
    </row>
    <row r="331" spans="2:15" x14ac:dyDescent="0.35">
      <c r="B331" s="100">
        <v>1659</v>
      </c>
      <c r="C331" s="101" t="s">
        <v>171</v>
      </c>
      <c r="D331" s="98">
        <v>88409.842882048193</v>
      </c>
      <c r="E331" s="110">
        <f t="shared" ref="E331:E394" si="31">+D331/D$10</f>
        <v>1.6909036933574465E-4</v>
      </c>
      <c r="F331" s="98">
        <v>54372.428678080301</v>
      </c>
      <c r="G331" s="110">
        <f t="shared" ref="G331:G394" si="32">+F331/F$10</f>
        <v>1.0637566404273903E-4</v>
      </c>
      <c r="H331" s="98">
        <v>54653.5452417665</v>
      </c>
      <c r="I331" s="110">
        <f t="shared" ref="I331:I394" si="33">+H331/H$10</f>
        <v>1.0637566404273905E-4</v>
      </c>
      <c r="J331" s="98">
        <v>54653.147911976499</v>
      </c>
      <c r="K331" s="110">
        <f t="shared" ref="K331:K394" si="34">+J331/J$10</f>
        <v>1.063756640427389E-4</v>
      </c>
      <c r="L331" s="98">
        <v>54652.795131889798</v>
      </c>
      <c r="M331" s="110">
        <f t="shared" ref="M331:M394" si="35">+L331/L$10</f>
        <v>1.0637566404273899E-4</v>
      </c>
      <c r="N331" s="98">
        <v>54652.795131889798</v>
      </c>
      <c r="O331" s="110">
        <f t="shared" ref="O331:O394" si="36">+N331/N$10</f>
        <v>1.0637566404273899E-4</v>
      </c>
    </row>
    <row r="332" spans="2:15" x14ac:dyDescent="0.35">
      <c r="B332" s="100">
        <v>1663</v>
      </c>
      <c r="C332" s="101" t="s">
        <v>795</v>
      </c>
      <c r="D332" s="98">
        <v>363769.42495229503</v>
      </c>
      <c r="E332" s="110">
        <f t="shared" si="31"/>
        <v>6.9573595442645817E-4</v>
      </c>
      <c r="F332" s="98">
        <v>375295.28384826798</v>
      </c>
      <c r="G332" s="110">
        <f t="shared" si="32"/>
        <v>7.3423766423665396E-4</v>
      </c>
      <c r="H332" s="98">
        <v>377235.63713260699</v>
      </c>
      <c r="I332" s="110">
        <f t="shared" si="33"/>
        <v>7.342376642366519E-4</v>
      </c>
      <c r="J332" s="98">
        <v>377232.894639768</v>
      </c>
      <c r="K332" s="110">
        <f t="shared" si="34"/>
        <v>7.3423766423665201E-4</v>
      </c>
      <c r="L332" s="98">
        <v>377230.45964273001</v>
      </c>
      <c r="M332" s="110">
        <f t="shared" si="35"/>
        <v>7.3423766423665255E-4</v>
      </c>
      <c r="N332" s="98">
        <v>377230.45964273001</v>
      </c>
      <c r="O332" s="110">
        <f t="shared" si="36"/>
        <v>7.3423766423665255E-4</v>
      </c>
    </row>
    <row r="333" spans="2:15" x14ac:dyDescent="0.35">
      <c r="B333" s="100">
        <v>1667</v>
      </c>
      <c r="C333" s="101" t="s">
        <v>253</v>
      </c>
      <c r="D333" s="98">
        <v>42659.536663827297</v>
      </c>
      <c r="E333" s="110">
        <f t="shared" si="31"/>
        <v>8.1589521879389931E-5</v>
      </c>
      <c r="F333" s="98">
        <v>33067.696842767997</v>
      </c>
      <c r="G333" s="110">
        <f t="shared" si="32"/>
        <v>6.4694520651999407E-5</v>
      </c>
      <c r="H333" s="98">
        <v>33238.663590648503</v>
      </c>
      <c r="I333" s="110">
        <f t="shared" si="33"/>
        <v>6.469452065199942E-5</v>
      </c>
      <c r="J333" s="98">
        <v>33238.421946466697</v>
      </c>
      <c r="K333" s="110">
        <f t="shared" si="34"/>
        <v>6.4694520651999379E-5</v>
      </c>
      <c r="L333" s="98">
        <v>33238.207396091799</v>
      </c>
      <c r="M333" s="110">
        <f t="shared" si="35"/>
        <v>6.4694520651999529E-5</v>
      </c>
      <c r="N333" s="98">
        <v>33238.207396091799</v>
      </c>
      <c r="O333" s="110">
        <f t="shared" si="36"/>
        <v>6.4694520651999529E-5</v>
      </c>
    </row>
    <row r="334" spans="2:15" x14ac:dyDescent="0.35">
      <c r="B334" s="100">
        <v>1669</v>
      </c>
      <c r="C334" s="101" t="s">
        <v>259</v>
      </c>
      <c r="D334" s="98">
        <v>272841.89109330502</v>
      </c>
      <c r="E334" s="110">
        <f t="shared" si="31"/>
        <v>5.2183031471711569E-4</v>
      </c>
      <c r="F334" s="98">
        <v>254012.17061096401</v>
      </c>
      <c r="G334" s="110">
        <f t="shared" si="32"/>
        <v>4.9695615922655935E-4</v>
      </c>
      <c r="H334" s="98">
        <v>255325.46542366</v>
      </c>
      <c r="I334" s="110">
        <f t="shared" si="33"/>
        <v>4.969561592265587E-4</v>
      </c>
      <c r="J334" s="98">
        <v>255323.60921445899</v>
      </c>
      <c r="K334" s="110">
        <f t="shared" si="34"/>
        <v>4.9695615922655848E-4</v>
      </c>
      <c r="L334" s="98">
        <v>255321.96112851199</v>
      </c>
      <c r="M334" s="110">
        <f t="shared" si="35"/>
        <v>4.9695615922655762E-4</v>
      </c>
      <c r="N334" s="98">
        <v>255321.96112851199</v>
      </c>
      <c r="O334" s="110">
        <f t="shared" si="36"/>
        <v>4.9695615922655762E-4</v>
      </c>
    </row>
    <row r="335" spans="2:15" x14ac:dyDescent="0.35">
      <c r="B335" s="100">
        <v>1674</v>
      </c>
      <c r="C335" s="101" t="s">
        <v>261</v>
      </c>
      <c r="D335" s="98">
        <v>2054412.5434059901</v>
      </c>
      <c r="E335" s="110">
        <f t="shared" si="31"/>
        <v>3.9292160737799692E-3</v>
      </c>
      <c r="F335" s="98">
        <v>2249187.0580006102</v>
      </c>
      <c r="G335" s="110">
        <f t="shared" si="32"/>
        <v>4.4003693170984711E-3</v>
      </c>
      <c r="H335" s="98">
        <v>2260815.8145635398</v>
      </c>
      <c r="I335" s="110">
        <f t="shared" si="33"/>
        <v>4.4003693170984728E-3</v>
      </c>
      <c r="J335" s="98">
        <v>2260799.3784939498</v>
      </c>
      <c r="K335" s="110">
        <f t="shared" si="34"/>
        <v>4.4003693170984624E-3</v>
      </c>
      <c r="L335" s="98">
        <v>2260784.7852814598</v>
      </c>
      <c r="M335" s="110">
        <f t="shared" si="35"/>
        <v>4.4003693170984676E-3</v>
      </c>
      <c r="N335" s="98">
        <v>2260784.7852814598</v>
      </c>
      <c r="O335" s="110">
        <f t="shared" si="36"/>
        <v>4.4003693170984676E-3</v>
      </c>
    </row>
    <row r="336" spans="2:15" x14ac:dyDescent="0.35">
      <c r="B336" s="100">
        <v>1676</v>
      </c>
      <c r="C336" s="101" t="s">
        <v>269</v>
      </c>
      <c r="D336" s="98">
        <v>381326.83292771701</v>
      </c>
      <c r="E336" s="110">
        <f t="shared" si="31"/>
        <v>7.2931579692321787E-4</v>
      </c>
      <c r="F336" s="98">
        <v>358504.71169499098</v>
      </c>
      <c r="G336" s="110">
        <f t="shared" si="32"/>
        <v>7.0138814278089426E-4</v>
      </c>
      <c r="H336" s="98">
        <v>360358.254291252</v>
      </c>
      <c r="I336" s="110">
        <f t="shared" si="33"/>
        <v>7.0138814278089361E-4</v>
      </c>
      <c r="J336" s="98">
        <v>360355.63449652802</v>
      </c>
      <c r="K336" s="110">
        <f t="shared" si="34"/>
        <v>7.0138814278089372E-4</v>
      </c>
      <c r="L336" s="98">
        <v>360353.30844035698</v>
      </c>
      <c r="M336" s="110">
        <f t="shared" si="35"/>
        <v>7.0138814278089491E-4</v>
      </c>
      <c r="N336" s="98">
        <v>360353.30844035698</v>
      </c>
      <c r="O336" s="110">
        <f t="shared" si="36"/>
        <v>7.0138814278089491E-4</v>
      </c>
    </row>
    <row r="337" spans="2:15" x14ac:dyDescent="0.35">
      <c r="B337" s="100">
        <v>1680</v>
      </c>
      <c r="C337" s="101" t="s">
        <v>0</v>
      </c>
      <c r="D337" s="98">
        <v>397744.78687913198</v>
      </c>
      <c r="E337" s="110">
        <f t="shared" si="31"/>
        <v>7.6071634924730418E-4</v>
      </c>
      <c r="F337" s="98">
        <v>363403.27401646302</v>
      </c>
      <c r="G337" s="110">
        <f t="shared" si="32"/>
        <v>7.1097182025255004E-4</v>
      </c>
      <c r="H337" s="98">
        <v>365282.143180624</v>
      </c>
      <c r="I337" s="110">
        <f t="shared" si="33"/>
        <v>7.1097182025254885E-4</v>
      </c>
      <c r="J337" s="98">
        <v>365279.48758936097</v>
      </c>
      <c r="K337" s="110">
        <f t="shared" si="34"/>
        <v>7.1097182025254798E-4</v>
      </c>
      <c r="L337" s="98">
        <v>365277.12975025701</v>
      </c>
      <c r="M337" s="110">
        <f t="shared" si="35"/>
        <v>7.1097182025254874E-4</v>
      </c>
      <c r="N337" s="98">
        <v>365277.12975025701</v>
      </c>
      <c r="O337" s="110">
        <f t="shared" si="36"/>
        <v>7.1097182025254874E-4</v>
      </c>
    </row>
    <row r="338" spans="2:15" x14ac:dyDescent="0.35">
      <c r="B338" s="100">
        <v>1681</v>
      </c>
      <c r="C338" s="101" t="s">
        <v>55</v>
      </c>
      <c r="D338" s="98">
        <v>701675.44731391</v>
      </c>
      <c r="E338" s="110">
        <f t="shared" si="31"/>
        <v>1.3420062367764292E-3</v>
      </c>
      <c r="F338" s="98">
        <v>695893.12894209905</v>
      </c>
      <c r="G338" s="110">
        <f t="shared" si="32"/>
        <v>1.3614638060822559E-3</v>
      </c>
      <c r="H338" s="98">
        <v>699491.03857860295</v>
      </c>
      <c r="I338" s="110">
        <f t="shared" si="33"/>
        <v>1.3614638060822542E-3</v>
      </c>
      <c r="J338" s="98">
        <v>699485.95329774602</v>
      </c>
      <c r="K338" s="110">
        <f t="shared" si="34"/>
        <v>1.3614638060822552E-3</v>
      </c>
      <c r="L338" s="98">
        <v>699481.438192492</v>
      </c>
      <c r="M338" s="110">
        <f t="shared" si="35"/>
        <v>1.3614638060822552E-3</v>
      </c>
      <c r="N338" s="98">
        <v>699481.438192492</v>
      </c>
      <c r="O338" s="110">
        <f t="shared" si="36"/>
        <v>1.3614638060822552E-3</v>
      </c>
    </row>
    <row r="339" spans="2:15" x14ac:dyDescent="0.35">
      <c r="B339" s="100">
        <v>1684</v>
      </c>
      <c r="C339" s="101" t="s">
        <v>72</v>
      </c>
      <c r="D339" s="98">
        <v>345052.95460170199</v>
      </c>
      <c r="E339" s="110">
        <f t="shared" si="31"/>
        <v>6.5993931933385234E-4</v>
      </c>
      <c r="F339" s="98">
        <v>344892.63268040802</v>
      </c>
      <c r="G339" s="110">
        <f t="shared" si="32"/>
        <v>6.7475710974848092E-4</v>
      </c>
      <c r="H339" s="98">
        <v>346675.79804743303</v>
      </c>
      <c r="I339" s="110">
        <f t="shared" si="33"/>
        <v>6.747571097484806E-4</v>
      </c>
      <c r="J339" s="98">
        <v>346673.27772379399</v>
      </c>
      <c r="K339" s="110">
        <f t="shared" si="34"/>
        <v>6.7475710974847984E-4</v>
      </c>
      <c r="L339" s="98">
        <v>346671.039985738</v>
      </c>
      <c r="M339" s="110">
        <f t="shared" si="35"/>
        <v>6.7475710974848082E-4</v>
      </c>
      <c r="N339" s="98">
        <v>346671.039985738</v>
      </c>
      <c r="O339" s="110">
        <f t="shared" si="36"/>
        <v>6.7475710974848082E-4</v>
      </c>
    </row>
    <row r="340" spans="2:15" x14ac:dyDescent="0.35">
      <c r="B340" s="100">
        <v>1685</v>
      </c>
      <c r="C340" s="101" t="s">
        <v>172</v>
      </c>
      <c r="D340" s="98">
        <v>46421.134368696497</v>
      </c>
      <c r="E340" s="110">
        <f t="shared" si="31"/>
        <v>8.8783855954357218E-5</v>
      </c>
      <c r="F340" s="98">
        <v>38112.319468970803</v>
      </c>
      <c r="G340" s="110">
        <f t="shared" si="32"/>
        <v>7.4563954384388207E-5</v>
      </c>
      <c r="H340" s="98">
        <v>38309.3679463648</v>
      </c>
      <c r="I340" s="110">
        <f t="shared" si="33"/>
        <v>7.4563954384388275E-5</v>
      </c>
      <c r="J340" s="98">
        <v>38309.089438299998</v>
      </c>
      <c r="K340" s="110">
        <f t="shared" si="34"/>
        <v>7.4563954384388207E-5</v>
      </c>
      <c r="L340" s="98">
        <v>38308.842157321502</v>
      </c>
      <c r="M340" s="110">
        <f t="shared" si="35"/>
        <v>7.4563954384388275E-5</v>
      </c>
      <c r="N340" s="98">
        <v>38308.842157321502</v>
      </c>
      <c r="O340" s="110">
        <f t="shared" si="36"/>
        <v>7.4563954384388275E-5</v>
      </c>
    </row>
    <row r="341" spans="2:15" x14ac:dyDescent="0.35">
      <c r="B341" s="100">
        <v>1690</v>
      </c>
      <c r="C341" s="101" t="s">
        <v>79</v>
      </c>
      <c r="D341" s="98">
        <v>141158.03208995299</v>
      </c>
      <c r="E341" s="110">
        <f t="shared" si="31"/>
        <v>2.6997518605073313E-4</v>
      </c>
      <c r="F341" s="98">
        <v>119516.48418149901</v>
      </c>
      <c r="G341" s="110">
        <f t="shared" si="32"/>
        <v>2.3382522498918376E-4</v>
      </c>
      <c r="H341" s="98">
        <v>120134.40882003</v>
      </c>
      <c r="I341" s="110">
        <f t="shared" si="33"/>
        <v>2.3382522498918362E-4</v>
      </c>
      <c r="J341" s="98">
        <v>120133.53544614</v>
      </c>
      <c r="K341" s="110">
        <f t="shared" si="34"/>
        <v>2.3382522498918395E-4</v>
      </c>
      <c r="L341" s="98">
        <v>120132.75999732</v>
      </c>
      <c r="M341" s="110">
        <f t="shared" si="35"/>
        <v>2.3382522498918389E-4</v>
      </c>
      <c r="N341" s="98">
        <v>120132.75999732</v>
      </c>
      <c r="O341" s="110">
        <f t="shared" si="36"/>
        <v>2.3382522498918389E-4</v>
      </c>
    </row>
    <row r="342" spans="2:15" x14ac:dyDescent="0.35">
      <c r="B342" s="100">
        <v>1695</v>
      </c>
      <c r="C342" s="101" t="s">
        <v>218</v>
      </c>
      <c r="D342" s="98">
        <v>106703.97697341999</v>
      </c>
      <c r="E342" s="110">
        <f t="shared" si="31"/>
        <v>2.0407925506778579E-4</v>
      </c>
      <c r="F342" s="98">
        <v>93896.634168572098</v>
      </c>
      <c r="G342" s="110">
        <f t="shared" si="32"/>
        <v>1.8370186975088509E-4</v>
      </c>
      <c r="H342" s="98">
        <v>94382.098948809304</v>
      </c>
      <c r="I342" s="110">
        <f t="shared" si="33"/>
        <v>1.8370186975088504E-4</v>
      </c>
      <c r="J342" s="98">
        <v>94381.412793512602</v>
      </c>
      <c r="K342" s="110">
        <f t="shared" si="34"/>
        <v>1.8370186975088493E-4</v>
      </c>
      <c r="L342" s="98">
        <v>94380.803571825207</v>
      </c>
      <c r="M342" s="110">
        <f t="shared" si="35"/>
        <v>1.8370186975088496E-4</v>
      </c>
      <c r="N342" s="98">
        <v>94380.803571825207</v>
      </c>
      <c r="O342" s="110">
        <f t="shared" si="36"/>
        <v>1.8370186975088496E-4</v>
      </c>
    </row>
    <row r="343" spans="2:15" x14ac:dyDescent="0.35">
      <c r="B343" s="100">
        <v>1696</v>
      </c>
      <c r="C343" s="101" t="s">
        <v>345</v>
      </c>
      <c r="D343" s="98">
        <v>85069.212671137793</v>
      </c>
      <c r="E343" s="110">
        <f t="shared" si="31"/>
        <v>1.6270116675645035E-4</v>
      </c>
      <c r="F343" s="98">
        <v>55174.093514027198</v>
      </c>
      <c r="G343" s="110">
        <f t="shared" si="32"/>
        <v>1.0794406242656814E-4</v>
      </c>
      <c r="H343" s="98">
        <v>55459.354848682597</v>
      </c>
      <c r="I343" s="110">
        <f t="shared" si="33"/>
        <v>1.0794406242656817E-4</v>
      </c>
      <c r="J343" s="98">
        <v>55458.9516606787</v>
      </c>
      <c r="K343" s="110">
        <f t="shared" si="34"/>
        <v>1.0794406242656814E-4</v>
      </c>
      <c r="L343" s="98">
        <v>55458.593679217003</v>
      </c>
      <c r="M343" s="110">
        <f t="shared" si="35"/>
        <v>1.0794406242656822E-4</v>
      </c>
      <c r="N343" s="98">
        <v>55458.593679217003</v>
      </c>
      <c r="O343" s="110">
        <f t="shared" si="36"/>
        <v>1.0794406242656822E-4</v>
      </c>
    </row>
    <row r="344" spans="2:15" x14ac:dyDescent="0.35">
      <c r="B344" s="100">
        <v>1699</v>
      </c>
      <c r="C344" s="101" t="s">
        <v>219</v>
      </c>
      <c r="D344" s="98">
        <v>691567.56411206594</v>
      </c>
      <c r="E344" s="110">
        <f t="shared" si="31"/>
        <v>1.3226741618842406E-3</v>
      </c>
      <c r="F344" s="98">
        <v>642436.93550401297</v>
      </c>
      <c r="G344" s="110">
        <f t="shared" si="32"/>
        <v>1.2568806890057523E-3</v>
      </c>
      <c r="H344" s="98">
        <v>645758.46570019401</v>
      </c>
      <c r="I344" s="110">
        <f t="shared" si="33"/>
        <v>1.256880689005751E-3</v>
      </c>
      <c r="J344" s="98">
        <v>645753.77105368196</v>
      </c>
      <c r="K344" s="110">
        <f t="shared" si="34"/>
        <v>1.2568806890057502E-3</v>
      </c>
      <c r="L344" s="98">
        <v>645749.60278378299</v>
      </c>
      <c r="M344" s="110">
        <f t="shared" si="35"/>
        <v>1.2568806890057519E-3</v>
      </c>
      <c r="N344" s="98">
        <v>645749.60278378299</v>
      </c>
      <c r="O344" s="110">
        <f t="shared" si="36"/>
        <v>1.2568806890057519E-3</v>
      </c>
    </row>
    <row r="345" spans="2:15" x14ac:dyDescent="0.35">
      <c r="B345" s="100">
        <v>1700</v>
      </c>
      <c r="C345" s="101" t="s">
        <v>298</v>
      </c>
      <c r="D345" s="98">
        <v>488719.34013929201</v>
      </c>
      <c r="E345" s="110">
        <f t="shared" si="31"/>
        <v>9.3471191704214715E-4</v>
      </c>
      <c r="F345" s="98">
        <v>536490.67214447702</v>
      </c>
      <c r="G345" s="110">
        <f t="shared" si="32"/>
        <v>1.049604604568844E-3</v>
      </c>
      <c r="H345" s="98">
        <v>539264.43851595698</v>
      </c>
      <c r="I345" s="110">
        <f t="shared" si="33"/>
        <v>1.049604604568844E-3</v>
      </c>
      <c r="J345" s="98">
        <v>539260.51807813102</v>
      </c>
      <c r="K345" s="110">
        <f t="shared" si="34"/>
        <v>1.0496046045688431E-3</v>
      </c>
      <c r="L345" s="98">
        <v>539257.03721052106</v>
      </c>
      <c r="M345" s="110">
        <f t="shared" si="35"/>
        <v>1.0496046045688431E-3</v>
      </c>
      <c r="N345" s="98">
        <v>539257.03721052106</v>
      </c>
      <c r="O345" s="110">
        <f t="shared" si="36"/>
        <v>1.0496046045688431E-3</v>
      </c>
    </row>
    <row r="346" spans="2:15" x14ac:dyDescent="0.35">
      <c r="B346" s="100">
        <v>1701</v>
      </c>
      <c r="C346" s="101" t="s">
        <v>337</v>
      </c>
      <c r="D346" s="98">
        <v>321860.95415940997</v>
      </c>
      <c r="E346" s="110">
        <f t="shared" si="31"/>
        <v>6.1558290162531926E-4</v>
      </c>
      <c r="F346" s="98">
        <v>292549.82709036401</v>
      </c>
      <c r="G346" s="110">
        <f t="shared" si="32"/>
        <v>5.7235225423858519E-4</v>
      </c>
      <c r="H346" s="98">
        <v>294062.36945968802</v>
      </c>
      <c r="I346" s="110">
        <f t="shared" si="33"/>
        <v>5.7235225423858563E-4</v>
      </c>
      <c r="J346" s="98">
        <v>294060.23163424601</v>
      </c>
      <c r="K346" s="110">
        <f t="shared" si="34"/>
        <v>5.7235225423858443E-4</v>
      </c>
      <c r="L346" s="98">
        <v>294058.33350764302</v>
      </c>
      <c r="M346" s="110">
        <f t="shared" si="35"/>
        <v>5.7235225423858584E-4</v>
      </c>
      <c r="N346" s="98">
        <v>294058.33350764302</v>
      </c>
      <c r="O346" s="110">
        <f t="shared" si="36"/>
        <v>5.7235225423858584E-4</v>
      </c>
    </row>
    <row r="347" spans="2:15" x14ac:dyDescent="0.35">
      <c r="B347" s="100">
        <v>1702</v>
      </c>
      <c r="C347" s="101" t="s">
        <v>273</v>
      </c>
      <c r="D347" s="98">
        <v>35729.983692971298</v>
      </c>
      <c r="E347" s="110">
        <f t="shared" si="31"/>
        <v>6.8336238840114587E-5</v>
      </c>
      <c r="F347" s="98">
        <v>29430.875879691601</v>
      </c>
      <c r="G347" s="110">
        <f t="shared" si="32"/>
        <v>5.7579347496091295E-5</v>
      </c>
      <c r="H347" s="98">
        <v>29583.0395202484</v>
      </c>
      <c r="I347" s="110">
        <f t="shared" si="33"/>
        <v>5.7579347496091213E-5</v>
      </c>
      <c r="J347" s="98">
        <v>29582.824452354402</v>
      </c>
      <c r="K347" s="110">
        <f t="shared" si="34"/>
        <v>5.7579347496091329E-5</v>
      </c>
      <c r="L347" s="98">
        <v>29582.633498461098</v>
      </c>
      <c r="M347" s="110">
        <f t="shared" si="35"/>
        <v>5.757934749609139E-5</v>
      </c>
      <c r="N347" s="98">
        <v>29582.633498461098</v>
      </c>
      <c r="O347" s="110">
        <f t="shared" si="36"/>
        <v>5.757934749609139E-5</v>
      </c>
    </row>
    <row r="348" spans="2:15" x14ac:dyDescent="0.35">
      <c r="B348" s="100">
        <v>1705</v>
      </c>
      <c r="C348" s="101" t="s">
        <v>185</v>
      </c>
      <c r="D348" s="98">
        <v>273216.40993750002</v>
      </c>
      <c r="E348" s="110">
        <f t="shared" si="31"/>
        <v>5.2254660973160433E-4</v>
      </c>
      <c r="F348" s="98">
        <v>114399.52736971799</v>
      </c>
      <c r="G348" s="110">
        <f t="shared" si="32"/>
        <v>2.2381427473434147E-4</v>
      </c>
      <c r="H348" s="98">
        <v>114990.99629621999</v>
      </c>
      <c r="I348" s="110">
        <f t="shared" si="33"/>
        <v>2.2381427473434256E-4</v>
      </c>
      <c r="J348" s="98">
        <v>114990.160314799</v>
      </c>
      <c r="K348" s="110">
        <f t="shared" si="34"/>
        <v>2.2381427473434212E-4</v>
      </c>
      <c r="L348" s="98">
        <v>114989.41806590201</v>
      </c>
      <c r="M348" s="110">
        <f t="shared" si="35"/>
        <v>2.2381427473434131E-4</v>
      </c>
      <c r="N348" s="98">
        <v>114989.41806590201</v>
      </c>
      <c r="O348" s="110">
        <f t="shared" si="36"/>
        <v>2.2381427473434131E-4</v>
      </c>
    </row>
    <row r="349" spans="2:15" x14ac:dyDescent="0.35">
      <c r="B349" s="100">
        <v>1706</v>
      </c>
      <c r="C349" s="101" t="s">
        <v>71</v>
      </c>
      <c r="D349" s="98">
        <v>181583.41111609401</v>
      </c>
      <c r="E349" s="110">
        <f t="shared" si="31"/>
        <v>3.4729171605732157E-4</v>
      </c>
      <c r="F349" s="98">
        <v>119342.70189456501</v>
      </c>
      <c r="G349" s="110">
        <f t="shared" si="32"/>
        <v>2.3348523270594549E-4</v>
      </c>
      <c r="H349" s="98">
        <v>119959.728043172</v>
      </c>
      <c r="I349" s="110">
        <f t="shared" si="33"/>
        <v>2.3348523270594614E-4</v>
      </c>
      <c r="J349" s="98">
        <v>119958.855939206</v>
      </c>
      <c r="K349" s="110">
        <f t="shared" si="34"/>
        <v>2.3348523270594546E-4</v>
      </c>
      <c r="L349" s="98">
        <v>119958.081617923</v>
      </c>
      <c r="M349" s="110">
        <f t="shared" si="35"/>
        <v>2.3348523270594527E-4</v>
      </c>
      <c r="N349" s="98">
        <v>119958.081617923</v>
      </c>
      <c r="O349" s="110">
        <f t="shared" si="36"/>
        <v>2.3348523270594527E-4</v>
      </c>
    </row>
    <row r="350" spans="2:15" x14ac:dyDescent="0.35">
      <c r="B350" s="100">
        <v>1708</v>
      </c>
      <c r="C350" s="101" t="s">
        <v>286</v>
      </c>
      <c r="D350" s="98">
        <v>1169995.69992431</v>
      </c>
      <c r="E350" s="110">
        <f t="shared" si="31"/>
        <v>2.2377033888113093E-3</v>
      </c>
      <c r="F350" s="98">
        <v>1071668.94663129</v>
      </c>
      <c r="G350" s="110">
        <f t="shared" si="32"/>
        <v>2.0966415994922052E-3</v>
      </c>
      <c r="H350" s="98">
        <v>1077209.69401025</v>
      </c>
      <c r="I350" s="110">
        <f t="shared" si="33"/>
        <v>2.09664159949219E-3</v>
      </c>
      <c r="J350" s="98">
        <v>1077201.8627250299</v>
      </c>
      <c r="K350" s="110">
        <f t="shared" si="34"/>
        <v>2.0966415994922022E-3</v>
      </c>
      <c r="L350" s="98">
        <v>1077194.90950493</v>
      </c>
      <c r="M350" s="110">
        <f t="shared" si="35"/>
        <v>2.0966415994922022E-3</v>
      </c>
      <c r="N350" s="98">
        <v>1077194.90950493</v>
      </c>
      <c r="O350" s="110">
        <f t="shared" si="36"/>
        <v>2.0966415994922022E-3</v>
      </c>
    </row>
    <row r="351" spans="2:15" x14ac:dyDescent="0.35">
      <c r="B351" s="100">
        <v>1709</v>
      </c>
      <c r="C351" s="101" t="s">
        <v>205</v>
      </c>
      <c r="D351" s="98">
        <v>255768.14659064601</v>
      </c>
      <c r="E351" s="110">
        <f t="shared" si="31"/>
        <v>4.8917551441676407E-4</v>
      </c>
      <c r="F351" s="98">
        <v>261573.13901235099</v>
      </c>
      <c r="G351" s="110">
        <f t="shared" si="32"/>
        <v>5.1174863868826777E-4</v>
      </c>
      <c r="H351" s="98">
        <v>262925.52557626797</v>
      </c>
      <c r="I351" s="110">
        <f t="shared" si="33"/>
        <v>5.1174863868826798E-4</v>
      </c>
      <c r="J351" s="98">
        <v>262923.61411483597</v>
      </c>
      <c r="K351" s="110">
        <f t="shared" si="34"/>
        <v>5.1174863868826766E-4</v>
      </c>
      <c r="L351" s="98">
        <v>262921.91697169002</v>
      </c>
      <c r="M351" s="110">
        <f t="shared" si="35"/>
        <v>5.117486386882682E-4</v>
      </c>
      <c r="N351" s="98">
        <v>262921.91697169002</v>
      </c>
      <c r="O351" s="110">
        <f t="shared" si="36"/>
        <v>5.117486386882682E-4</v>
      </c>
    </row>
    <row r="352" spans="2:15" x14ac:dyDescent="0.35">
      <c r="B352" s="100">
        <v>1711</v>
      </c>
      <c r="C352" s="101" t="s">
        <v>96</v>
      </c>
      <c r="D352" s="98">
        <v>517423.79882426799</v>
      </c>
      <c r="E352" s="110">
        <f t="shared" si="31"/>
        <v>9.8961131921731778E-4</v>
      </c>
      <c r="F352" s="98">
        <v>445965.34976596799</v>
      </c>
      <c r="G352" s="110">
        <f t="shared" si="32"/>
        <v>8.724984587736858E-4</v>
      </c>
      <c r="H352" s="98">
        <v>448271.08172787097</v>
      </c>
      <c r="I352" s="110">
        <f t="shared" si="33"/>
        <v>8.7249845877368656E-4</v>
      </c>
      <c r="J352" s="98">
        <v>448267.82280927798</v>
      </c>
      <c r="K352" s="110">
        <f t="shared" si="34"/>
        <v>8.7249845877368547E-4</v>
      </c>
      <c r="L352" s="98">
        <v>448264.929289555</v>
      </c>
      <c r="M352" s="110">
        <f t="shared" si="35"/>
        <v>8.724984587736859E-4</v>
      </c>
      <c r="N352" s="98">
        <v>448264.929289555</v>
      </c>
      <c r="O352" s="110">
        <f t="shared" si="36"/>
        <v>8.724984587736859E-4</v>
      </c>
    </row>
    <row r="353" spans="2:15" x14ac:dyDescent="0.35">
      <c r="B353" s="100">
        <v>1714</v>
      </c>
      <c r="C353" s="101" t="s">
        <v>277</v>
      </c>
      <c r="D353" s="98">
        <v>316277.18597104697</v>
      </c>
      <c r="E353" s="110">
        <f t="shared" si="31"/>
        <v>6.0490353160862177E-4</v>
      </c>
      <c r="F353" s="98">
        <v>274431.34934986598</v>
      </c>
      <c r="G353" s="110">
        <f t="shared" si="32"/>
        <v>5.3690478301194017E-4</v>
      </c>
      <c r="H353" s="98">
        <v>275850.21548795502</v>
      </c>
      <c r="I353" s="110">
        <f t="shared" si="33"/>
        <v>5.3690478301193973E-4</v>
      </c>
      <c r="J353" s="98">
        <v>275848.21006437897</v>
      </c>
      <c r="K353" s="110">
        <f t="shared" si="34"/>
        <v>5.3690478301194071E-4</v>
      </c>
      <c r="L353" s="98">
        <v>275846.42949438002</v>
      </c>
      <c r="M353" s="110">
        <f t="shared" si="35"/>
        <v>5.3690478301193919E-4</v>
      </c>
      <c r="N353" s="98">
        <v>275846.42949438002</v>
      </c>
      <c r="O353" s="110">
        <f t="shared" si="36"/>
        <v>5.3690478301193919E-4</v>
      </c>
    </row>
    <row r="354" spans="2:15" x14ac:dyDescent="0.35">
      <c r="B354" s="100">
        <v>1719</v>
      </c>
      <c r="C354" s="101" t="s">
        <v>92</v>
      </c>
      <c r="D354" s="98">
        <v>101087.52438240701</v>
      </c>
      <c r="E354" s="110">
        <f t="shared" si="31"/>
        <v>1.9333737371145184E-4</v>
      </c>
      <c r="F354" s="98">
        <v>67637.048792870904</v>
      </c>
      <c r="G354" s="110">
        <f t="shared" si="32"/>
        <v>1.3232691925224501E-4</v>
      </c>
      <c r="H354" s="98">
        <v>67986.746152300999</v>
      </c>
      <c r="I354" s="110">
        <f t="shared" si="33"/>
        <v>1.3232691925224496E-4</v>
      </c>
      <c r="J354" s="98">
        <v>67986.251890502506</v>
      </c>
      <c r="K354" s="110">
        <f t="shared" si="34"/>
        <v>1.3232691925224501E-4</v>
      </c>
      <c r="L354" s="98">
        <v>67985.813046689102</v>
      </c>
      <c r="M354" s="110">
        <f t="shared" si="35"/>
        <v>1.3232691925224485E-4</v>
      </c>
      <c r="N354" s="98">
        <v>67985.813046689102</v>
      </c>
      <c r="O354" s="110">
        <f t="shared" si="36"/>
        <v>1.3232691925224485E-4</v>
      </c>
    </row>
    <row r="355" spans="2:15" x14ac:dyDescent="0.35">
      <c r="B355" s="100">
        <v>1721</v>
      </c>
      <c r="C355" s="101" t="s">
        <v>46</v>
      </c>
      <c r="D355" s="98">
        <v>97569.293340480101</v>
      </c>
      <c r="E355" s="110">
        <f t="shared" si="31"/>
        <v>1.8660849639536402E-4</v>
      </c>
      <c r="F355" s="98">
        <v>74120.757563602805</v>
      </c>
      <c r="G355" s="110">
        <f t="shared" si="32"/>
        <v>1.4501181935170271E-4</v>
      </c>
      <c r="H355" s="98">
        <v>74503.977021896004</v>
      </c>
      <c r="I355" s="110">
        <f t="shared" si="33"/>
        <v>1.4501181935170279E-4</v>
      </c>
      <c r="J355" s="98">
        <v>74503.435380006005</v>
      </c>
      <c r="K355" s="110">
        <f t="shared" si="34"/>
        <v>1.4501181935170273E-4</v>
      </c>
      <c r="L355" s="98">
        <v>74502.9544684867</v>
      </c>
      <c r="M355" s="110">
        <f t="shared" si="35"/>
        <v>1.4501181935170271E-4</v>
      </c>
      <c r="N355" s="98">
        <v>74502.9544684867</v>
      </c>
      <c r="O355" s="110">
        <f t="shared" si="36"/>
        <v>1.4501181935170271E-4</v>
      </c>
    </row>
    <row r="356" spans="2:15" x14ac:dyDescent="0.35">
      <c r="B356" s="100">
        <v>1722</v>
      </c>
      <c r="C356" s="101" t="s">
        <v>805</v>
      </c>
      <c r="D356" s="98">
        <v>263921.14742126799</v>
      </c>
      <c r="E356" s="110">
        <f t="shared" si="31"/>
        <v>5.0476873205751644E-4</v>
      </c>
      <c r="F356" s="98">
        <v>257115.640348938</v>
      </c>
      <c r="G356" s="110">
        <f t="shared" si="32"/>
        <v>5.0302786987550124E-4</v>
      </c>
      <c r="H356" s="98">
        <v>258444.98073416899</v>
      </c>
      <c r="I356" s="110">
        <f t="shared" si="33"/>
        <v>5.0302786987550102E-4</v>
      </c>
      <c r="J356" s="98">
        <v>258443.101846176</v>
      </c>
      <c r="K356" s="110">
        <f t="shared" si="34"/>
        <v>5.0302786987550005E-4</v>
      </c>
      <c r="L356" s="98">
        <v>258441.43362424601</v>
      </c>
      <c r="M356" s="110">
        <f t="shared" si="35"/>
        <v>5.0302786987550005E-4</v>
      </c>
      <c r="N356" s="98">
        <v>258441.43362424601</v>
      </c>
      <c r="O356" s="110">
        <f t="shared" si="36"/>
        <v>5.0302786987550005E-4</v>
      </c>
    </row>
    <row r="357" spans="2:15" x14ac:dyDescent="0.35">
      <c r="B357" s="100">
        <v>1723</v>
      </c>
      <c r="C357" s="101" t="s">
        <v>21</v>
      </c>
      <c r="D357" s="98">
        <v>29394.639296402402</v>
      </c>
      <c r="E357" s="110">
        <f t="shared" si="31"/>
        <v>5.6219423687369943E-5</v>
      </c>
      <c r="F357" s="98">
        <v>24734.293109095099</v>
      </c>
      <c r="G357" s="110">
        <f t="shared" si="32"/>
        <v>4.8390828183999213E-5</v>
      </c>
      <c r="H357" s="98">
        <v>24862.174457290901</v>
      </c>
      <c r="I357" s="110">
        <f t="shared" si="33"/>
        <v>4.8390828183999111E-5</v>
      </c>
      <c r="J357" s="98">
        <v>24861.9937099577</v>
      </c>
      <c r="K357" s="110">
        <f t="shared" si="34"/>
        <v>4.8390828183999172E-5</v>
      </c>
      <c r="L357" s="98">
        <v>24861.83322851</v>
      </c>
      <c r="M357" s="110">
        <f t="shared" si="35"/>
        <v>4.8390828183999159E-5</v>
      </c>
      <c r="N357" s="98">
        <v>24861.83322851</v>
      </c>
      <c r="O357" s="110">
        <f t="shared" si="36"/>
        <v>4.8390828183999159E-5</v>
      </c>
    </row>
    <row r="358" spans="2:15" x14ac:dyDescent="0.35">
      <c r="B358" s="100">
        <v>1724</v>
      </c>
      <c r="C358" s="101" t="s">
        <v>41</v>
      </c>
      <c r="D358" s="98">
        <v>67639.064989558494</v>
      </c>
      <c r="E358" s="110">
        <f t="shared" si="31"/>
        <v>1.2936471899251855E-4</v>
      </c>
      <c r="F358" s="98">
        <v>45366.408594246903</v>
      </c>
      <c r="G358" s="110">
        <f t="shared" si="32"/>
        <v>8.8756047077086765E-5</v>
      </c>
      <c r="H358" s="98">
        <v>45600.962194313397</v>
      </c>
      <c r="I358" s="110">
        <f t="shared" si="33"/>
        <v>8.87560470770869E-5</v>
      </c>
      <c r="J358" s="98">
        <v>45600.6306765564</v>
      </c>
      <c r="K358" s="110">
        <f t="shared" si="34"/>
        <v>8.8756047077086846E-5</v>
      </c>
      <c r="L358" s="98">
        <v>45600.336329477403</v>
      </c>
      <c r="M358" s="110">
        <f t="shared" si="35"/>
        <v>8.8756047077086846E-5</v>
      </c>
      <c r="N358" s="98">
        <v>45600.336329477403</v>
      </c>
      <c r="O358" s="110">
        <f t="shared" si="36"/>
        <v>8.8756047077086846E-5</v>
      </c>
    </row>
    <row r="359" spans="2:15" x14ac:dyDescent="0.35">
      <c r="B359" s="100">
        <v>1728</v>
      </c>
      <c r="C359" s="101" t="s">
        <v>50</v>
      </c>
      <c r="D359" s="98">
        <v>66031.926015892604</v>
      </c>
      <c r="E359" s="110">
        <f t="shared" si="31"/>
        <v>1.2629094673173542E-4</v>
      </c>
      <c r="F359" s="98">
        <v>49875.284476426597</v>
      </c>
      <c r="G359" s="110">
        <f t="shared" si="32"/>
        <v>9.7577331645648177E-5</v>
      </c>
      <c r="H359" s="98">
        <v>50133.1498858954</v>
      </c>
      <c r="I359" s="110">
        <f t="shared" si="33"/>
        <v>9.7577331645648245E-5</v>
      </c>
      <c r="J359" s="98">
        <v>50132.785419257001</v>
      </c>
      <c r="K359" s="110">
        <f t="shared" si="34"/>
        <v>9.7577331645648299E-5</v>
      </c>
      <c r="L359" s="98">
        <v>50132.461817615302</v>
      </c>
      <c r="M359" s="110">
        <f t="shared" si="35"/>
        <v>9.757733164564834E-5</v>
      </c>
      <c r="N359" s="98">
        <v>50132.461817615302</v>
      </c>
      <c r="O359" s="110">
        <f t="shared" si="36"/>
        <v>9.757733164564834E-5</v>
      </c>
    </row>
    <row r="360" spans="2:15" x14ac:dyDescent="0.35">
      <c r="B360" s="100">
        <v>1729</v>
      </c>
      <c r="C360" s="101" t="s">
        <v>123</v>
      </c>
      <c r="D360" s="98">
        <v>130577.880156124</v>
      </c>
      <c r="E360" s="110">
        <f t="shared" si="31"/>
        <v>2.4973986224740695E-4</v>
      </c>
      <c r="F360" s="98">
        <v>114503.10184640301</v>
      </c>
      <c r="G360" s="110">
        <f t="shared" si="32"/>
        <v>2.2401691059231426E-4</v>
      </c>
      <c r="H360" s="98">
        <v>115095.10627410799</v>
      </c>
      <c r="I360" s="110">
        <f t="shared" si="33"/>
        <v>2.2401691059231518E-4</v>
      </c>
      <c r="J360" s="98">
        <v>115094.26953581</v>
      </c>
      <c r="K360" s="110">
        <f t="shared" si="34"/>
        <v>2.240169105923142E-4</v>
      </c>
      <c r="L360" s="98">
        <v>115093.52661489999</v>
      </c>
      <c r="M360" s="110">
        <f t="shared" si="35"/>
        <v>2.2401691059231456E-4</v>
      </c>
      <c r="N360" s="98">
        <v>115093.52661489999</v>
      </c>
      <c r="O360" s="110">
        <f t="shared" si="36"/>
        <v>2.2401691059231456E-4</v>
      </c>
    </row>
    <row r="361" spans="2:15" x14ac:dyDescent="0.35">
      <c r="B361" s="100">
        <v>1730</v>
      </c>
      <c r="C361" s="101" t="s">
        <v>299</v>
      </c>
      <c r="D361" s="98">
        <v>468787.82906592998</v>
      </c>
      <c r="E361" s="110">
        <f t="shared" si="31"/>
        <v>8.965914266199365E-4</v>
      </c>
      <c r="F361" s="98">
        <v>494656.58994737</v>
      </c>
      <c r="G361" s="110">
        <f t="shared" si="32"/>
        <v>9.6775929470263567E-4</v>
      </c>
      <c r="H361" s="98">
        <v>497214.06556785502</v>
      </c>
      <c r="I361" s="110">
        <f t="shared" si="33"/>
        <v>9.6775929470263632E-4</v>
      </c>
      <c r="J361" s="98">
        <v>497210.45083509898</v>
      </c>
      <c r="K361" s="110">
        <f t="shared" si="34"/>
        <v>9.6775929470263621E-4</v>
      </c>
      <c r="L361" s="98">
        <v>497207.24139606999</v>
      </c>
      <c r="M361" s="110">
        <f t="shared" si="35"/>
        <v>9.6775929470263675E-4</v>
      </c>
      <c r="N361" s="98">
        <v>497207.24139606999</v>
      </c>
      <c r="O361" s="110">
        <f t="shared" si="36"/>
        <v>9.6775929470263675E-4</v>
      </c>
    </row>
    <row r="362" spans="2:15" x14ac:dyDescent="0.35">
      <c r="B362" s="100">
        <v>1731</v>
      </c>
      <c r="C362" s="101" t="s">
        <v>701</v>
      </c>
      <c r="D362" s="98">
        <v>557556.29795076698</v>
      </c>
      <c r="E362" s="110">
        <f t="shared" si="31"/>
        <v>1.0663676947344615E-3</v>
      </c>
      <c r="F362" s="98">
        <v>593375.11033203499</v>
      </c>
      <c r="G362" s="110">
        <f t="shared" si="32"/>
        <v>1.1608948307554677E-3</v>
      </c>
      <c r="H362" s="98">
        <v>596442.98086952895</v>
      </c>
      <c r="I362" s="110">
        <f t="shared" si="33"/>
        <v>1.1608948307554681E-3</v>
      </c>
      <c r="J362" s="98">
        <v>596438.64474525198</v>
      </c>
      <c r="K362" s="110">
        <f t="shared" si="34"/>
        <v>1.1608948307554661E-3</v>
      </c>
      <c r="L362" s="98">
        <v>596434.79479909397</v>
      </c>
      <c r="M362" s="110">
        <f t="shared" si="35"/>
        <v>1.1608948307554666E-3</v>
      </c>
      <c r="N362" s="98">
        <v>596434.79479909397</v>
      </c>
      <c r="O362" s="110">
        <f t="shared" si="36"/>
        <v>1.1608948307554666E-3</v>
      </c>
    </row>
    <row r="363" spans="2:15" x14ac:dyDescent="0.35">
      <c r="B363" s="100">
        <v>1734</v>
      </c>
      <c r="C363" s="101" t="s">
        <v>242</v>
      </c>
      <c r="D363" s="98">
        <v>392509.77454084298</v>
      </c>
      <c r="E363" s="110">
        <f t="shared" si="31"/>
        <v>7.5070400061165009E-4</v>
      </c>
      <c r="F363" s="98">
        <v>265556.57674416801</v>
      </c>
      <c r="G363" s="110">
        <f t="shared" si="32"/>
        <v>5.195419420995197E-4</v>
      </c>
      <c r="H363" s="98">
        <v>266929.55849491101</v>
      </c>
      <c r="I363" s="110">
        <f t="shared" si="33"/>
        <v>5.1954194209951937E-4</v>
      </c>
      <c r="J363" s="98">
        <v>266927.61792426801</v>
      </c>
      <c r="K363" s="110">
        <f t="shared" si="34"/>
        <v>5.1954194209951829E-4</v>
      </c>
      <c r="L363" s="98">
        <v>266925.894935716</v>
      </c>
      <c r="M363" s="110">
        <f t="shared" si="35"/>
        <v>5.1954194209951916E-4</v>
      </c>
      <c r="N363" s="98">
        <v>266925.894935716</v>
      </c>
      <c r="O363" s="110">
        <f t="shared" si="36"/>
        <v>5.1954194209951916E-4</v>
      </c>
    </row>
    <row r="364" spans="2:15" x14ac:dyDescent="0.35">
      <c r="B364" s="100">
        <v>1735</v>
      </c>
      <c r="C364" s="101" t="s">
        <v>154</v>
      </c>
      <c r="D364" s="98">
        <v>278374.72212489898</v>
      </c>
      <c r="E364" s="110">
        <f t="shared" si="31"/>
        <v>5.3241226365070512E-4</v>
      </c>
      <c r="F364" s="98">
        <v>303666.67235637299</v>
      </c>
      <c r="G364" s="110">
        <f t="shared" si="32"/>
        <v>5.9410154567144746E-4</v>
      </c>
      <c r="H364" s="98">
        <v>305236.69108671602</v>
      </c>
      <c r="I364" s="110">
        <f t="shared" si="33"/>
        <v>5.9410154567144681E-4</v>
      </c>
      <c r="J364" s="98">
        <v>305234.47202425997</v>
      </c>
      <c r="K364" s="110">
        <f t="shared" si="34"/>
        <v>5.9410154567144714E-4</v>
      </c>
      <c r="L364" s="98">
        <v>305232.501769158</v>
      </c>
      <c r="M364" s="110">
        <f t="shared" si="35"/>
        <v>5.9410154567144746E-4</v>
      </c>
      <c r="N364" s="98">
        <v>305232.501769158</v>
      </c>
      <c r="O364" s="110">
        <f t="shared" si="36"/>
        <v>5.9410154567144746E-4</v>
      </c>
    </row>
    <row r="365" spans="2:15" x14ac:dyDescent="0.35">
      <c r="B365" s="100">
        <v>1740</v>
      </c>
      <c r="C365" s="101" t="s">
        <v>210</v>
      </c>
      <c r="D365" s="98">
        <v>184600.660168028</v>
      </c>
      <c r="E365" s="110">
        <f t="shared" si="31"/>
        <v>3.5306242823074E-4</v>
      </c>
      <c r="F365" s="98">
        <v>180091.83232413401</v>
      </c>
      <c r="G365" s="110">
        <f t="shared" si="32"/>
        <v>3.5233644547271213E-4</v>
      </c>
      <c r="H365" s="98">
        <v>181022.94388713999</v>
      </c>
      <c r="I365" s="110">
        <f t="shared" si="33"/>
        <v>3.5233644547271099E-4</v>
      </c>
      <c r="J365" s="98">
        <v>181021.62785525399</v>
      </c>
      <c r="K365" s="110">
        <f t="shared" si="34"/>
        <v>3.5233644547271256E-4</v>
      </c>
      <c r="L365" s="98">
        <v>181020.459380463</v>
      </c>
      <c r="M365" s="110">
        <f t="shared" si="35"/>
        <v>3.523364454727124E-4</v>
      </c>
      <c r="N365" s="98">
        <v>181020.459380463</v>
      </c>
      <c r="O365" s="110">
        <f t="shared" si="36"/>
        <v>3.523364454727124E-4</v>
      </c>
    </row>
    <row r="366" spans="2:15" x14ac:dyDescent="0.35">
      <c r="B366" s="100">
        <v>1742</v>
      </c>
      <c r="C366" s="101" t="s">
        <v>257</v>
      </c>
      <c r="D366" s="98">
        <v>216410.595888493</v>
      </c>
      <c r="E366" s="110">
        <f t="shared" si="31"/>
        <v>4.1390128512923911E-4</v>
      </c>
      <c r="F366" s="98">
        <v>167564.055118636</v>
      </c>
      <c r="G366" s="110">
        <f t="shared" si="32"/>
        <v>3.278267693075276E-4</v>
      </c>
      <c r="H366" s="98">
        <v>168430.39551426499</v>
      </c>
      <c r="I366" s="110">
        <f t="shared" si="33"/>
        <v>3.278267693075277E-4</v>
      </c>
      <c r="J366" s="98">
        <v>168429.17102986199</v>
      </c>
      <c r="K366" s="110">
        <f t="shared" si="34"/>
        <v>3.2782676930752586E-4</v>
      </c>
      <c r="L366" s="98">
        <v>168428.083838002</v>
      </c>
      <c r="M366" s="110">
        <f t="shared" si="35"/>
        <v>3.2782676930752711E-4</v>
      </c>
      <c r="N366" s="98">
        <v>168428.083838002</v>
      </c>
      <c r="O366" s="110">
        <f t="shared" si="36"/>
        <v>3.2782676930752711E-4</v>
      </c>
    </row>
    <row r="367" spans="2:15" x14ac:dyDescent="0.35">
      <c r="B367" s="100">
        <v>1771</v>
      </c>
      <c r="C367" s="101" t="s">
        <v>111</v>
      </c>
      <c r="D367" s="98">
        <v>670307.71931157005</v>
      </c>
      <c r="E367" s="110">
        <f t="shared" si="31"/>
        <v>1.2820131348746972E-3</v>
      </c>
      <c r="F367" s="98">
        <v>625212.06949333695</v>
      </c>
      <c r="G367" s="110">
        <f t="shared" si="32"/>
        <v>1.2231815035089759E-3</v>
      </c>
      <c r="H367" s="98">
        <v>628444.54361347703</v>
      </c>
      <c r="I367" s="110">
        <f t="shared" si="33"/>
        <v>1.2231815035089744E-3</v>
      </c>
      <c r="J367" s="98">
        <v>628439.97483870899</v>
      </c>
      <c r="K367" s="110">
        <f t="shared" si="34"/>
        <v>1.2231815035089746E-3</v>
      </c>
      <c r="L367" s="98">
        <v>628435.91832746798</v>
      </c>
      <c r="M367" s="110">
        <f t="shared" si="35"/>
        <v>1.2231815035089739E-3</v>
      </c>
      <c r="N367" s="98">
        <v>628435.91832746798</v>
      </c>
      <c r="O367" s="110">
        <f t="shared" si="36"/>
        <v>1.2231815035089739E-3</v>
      </c>
    </row>
    <row r="368" spans="2:15" x14ac:dyDescent="0.35">
      <c r="B368" s="100">
        <v>1773</v>
      </c>
      <c r="C368" s="101" t="s">
        <v>230</v>
      </c>
      <c r="D368" s="98">
        <v>79657.244479334506</v>
      </c>
      <c r="E368" s="110">
        <f t="shared" si="31"/>
        <v>1.5235037695122226E-4</v>
      </c>
      <c r="F368" s="98">
        <v>45451.135268251899</v>
      </c>
      <c r="G368" s="110">
        <f t="shared" si="32"/>
        <v>8.8921808593144398E-5</v>
      </c>
      <c r="H368" s="98">
        <v>45686.126922531301</v>
      </c>
      <c r="I368" s="110">
        <f t="shared" si="33"/>
        <v>8.892180859314452E-5</v>
      </c>
      <c r="J368" s="98">
        <v>45685.794785628997</v>
      </c>
      <c r="K368" s="110">
        <f t="shared" si="34"/>
        <v>8.8921808593144384E-5</v>
      </c>
      <c r="L368" s="98">
        <v>45685.499888824997</v>
      </c>
      <c r="M368" s="110">
        <f t="shared" si="35"/>
        <v>8.8921808593144384E-5</v>
      </c>
      <c r="N368" s="98">
        <v>45685.499888824997</v>
      </c>
      <c r="O368" s="110">
        <f t="shared" si="36"/>
        <v>8.8921808593144384E-5</v>
      </c>
    </row>
    <row r="369" spans="2:15" x14ac:dyDescent="0.35">
      <c r="B369" s="100">
        <v>1774</v>
      </c>
      <c r="C369" s="101" t="s">
        <v>86</v>
      </c>
      <c r="D369" s="98">
        <v>81166.291376450201</v>
      </c>
      <c r="E369" s="110">
        <f t="shared" si="31"/>
        <v>1.5523654085402075E-4</v>
      </c>
      <c r="F369" s="98">
        <v>64289.609282770398</v>
      </c>
      <c r="G369" s="110">
        <f t="shared" si="32"/>
        <v>1.2577789965927997E-4</v>
      </c>
      <c r="H369" s="98">
        <v>64621.999696104802</v>
      </c>
      <c r="I369" s="110">
        <f t="shared" si="33"/>
        <v>1.2577789965928006E-4</v>
      </c>
      <c r="J369" s="98">
        <v>64621.529895921602</v>
      </c>
      <c r="K369" s="110">
        <f t="shared" si="34"/>
        <v>1.2577789965927992E-4</v>
      </c>
      <c r="L369" s="98">
        <v>64621.112771020402</v>
      </c>
      <c r="M369" s="110">
        <f t="shared" si="35"/>
        <v>1.2577789965927992E-4</v>
      </c>
      <c r="N369" s="98">
        <v>64621.112771020402</v>
      </c>
      <c r="O369" s="110">
        <f t="shared" si="36"/>
        <v>1.2577789965927992E-4</v>
      </c>
    </row>
    <row r="370" spans="2:15" x14ac:dyDescent="0.35">
      <c r="B370" s="100">
        <v>1783</v>
      </c>
      <c r="C370" s="101" t="s">
        <v>340</v>
      </c>
      <c r="D370" s="98">
        <v>543810.76667042403</v>
      </c>
      <c r="E370" s="110">
        <f t="shared" si="31"/>
        <v>1.0400783486035098E-3</v>
      </c>
      <c r="F370" s="98">
        <v>451478.26728559303</v>
      </c>
      <c r="G370" s="110">
        <f t="shared" si="32"/>
        <v>8.8328407707731298E-4</v>
      </c>
      <c r="H370" s="98">
        <v>453812.502157273</v>
      </c>
      <c r="I370" s="110">
        <f t="shared" si="33"/>
        <v>8.8328407707731244E-4</v>
      </c>
      <c r="J370" s="98">
        <v>453809.20295270398</v>
      </c>
      <c r="K370" s="110">
        <f t="shared" si="34"/>
        <v>8.8328407707731146E-4</v>
      </c>
      <c r="L370" s="98">
        <v>453806.27366397902</v>
      </c>
      <c r="M370" s="110">
        <f t="shared" si="35"/>
        <v>8.8328407707731233E-4</v>
      </c>
      <c r="N370" s="98">
        <v>453806.27366397902</v>
      </c>
      <c r="O370" s="110">
        <f t="shared" si="36"/>
        <v>8.8328407707731233E-4</v>
      </c>
    </row>
    <row r="371" spans="2:15" x14ac:dyDescent="0.35">
      <c r="B371" s="100">
        <v>1842</v>
      </c>
      <c r="C371" s="101" t="s">
        <v>202</v>
      </c>
      <c r="D371" s="98">
        <v>67996.259406539903</v>
      </c>
      <c r="E371" s="110">
        <f t="shared" si="31"/>
        <v>1.3004787975746452E-4</v>
      </c>
      <c r="F371" s="98">
        <v>48095.979596641897</v>
      </c>
      <c r="G371" s="110">
        <f t="shared" si="32"/>
        <v>9.4096252305929663E-5</v>
      </c>
      <c r="H371" s="98">
        <v>48344.6456363986</v>
      </c>
      <c r="I371" s="110">
        <f t="shared" si="33"/>
        <v>9.4096252305929758E-5</v>
      </c>
      <c r="J371" s="98">
        <v>48344.294172137503</v>
      </c>
      <c r="K371" s="110">
        <f t="shared" si="34"/>
        <v>9.4096252305929758E-5</v>
      </c>
      <c r="L371" s="98">
        <v>48343.982115011</v>
      </c>
      <c r="M371" s="110">
        <f t="shared" si="35"/>
        <v>9.4096252305929772E-5</v>
      </c>
      <c r="N371" s="98">
        <v>48343.982115011</v>
      </c>
      <c r="O371" s="110">
        <f t="shared" si="36"/>
        <v>9.4096252305929772E-5</v>
      </c>
    </row>
    <row r="372" spans="2:15" x14ac:dyDescent="0.35">
      <c r="B372" s="100">
        <v>1859</v>
      </c>
      <c r="C372" s="101" t="s">
        <v>45</v>
      </c>
      <c r="D372" s="98">
        <v>536483.21878890402</v>
      </c>
      <c r="E372" s="110">
        <f t="shared" si="31"/>
        <v>1.0260638708347325E-3</v>
      </c>
      <c r="F372" s="98">
        <v>424009.13421643298</v>
      </c>
      <c r="G372" s="110">
        <f t="shared" si="32"/>
        <v>8.2954273533569875E-4</v>
      </c>
      <c r="H372" s="98">
        <v>426201.34805864003</v>
      </c>
      <c r="I372" s="110">
        <f t="shared" si="33"/>
        <v>8.295427353356994E-4</v>
      </c>
      <c r="J372" s="98">
        <v>426198.24958641198</v>
      </c>
      <c r="K372" s="110">
        <f t="shared" si="34"/>
        <v>8.2954273533569919E-4</v>
      </c>
      <c r="L372" s="98">
        <v>426195.49852336798</v>
      </c>
      <c r="M372" s="110">
        <f t="shared" si="35"/>
        <v>8.2954273533569929E-4</v>
      </c>
      <c r="N372" s="98">
        <v>426195.49852336798</v>
      </c>
      <c r="O372" s="110">
        <f t="shared" si="36"/>
        <v>8.2954273533569929E-4</v>
      </c>
    </row>
    <row r="373" spans="2:15" x14ac:dyDescent="0.35">
      <c r="B373" s="100">
        <v>1876</v>
      </c>
      <c r="C373" s="101" t="s">
        <v>62</v>
      </c>
      <c r="D373" s="98">
        <v>161528.18745409799</v>
      </c>
      <c r="E373" s="110">
        <f t="shared" si="31"/>
        <v>3.0893461615112493E-4</v>
      </c>
      <c r="F373" s="98">
        <v>154033.63758045499</v>
      </c>
      <c r="G373" s="110">
        <f t="shared" si="32"/>
        <v>3.0135550095714459E-4</v>
      </c>
      <c r="H373" s="98">
        <v>154830.022953362</v>
      </c>
      <c r="I373" s="110">
        <f t="shared" si="33"/>
        <v>3.013555009571428E-4</v>
      </c>
      <c r="J373" s="98">
        <v>154828.89734329999</v>
      </c>
      <c r="K373" s="110">
        <f t="shared" si="34"/>
        <v>3.0135550095714442E-4</v>
      </c>
      <c r="L373" s="98">
        <v>154827.89793971699</v>
      </c>
      <c r="M373" s="110">
        <f t="shared" si="35"/>
        <v>3.013555009571441E-4</v>
      </c>
      <c r="N373" s="98">
        <v>154827.89793971699</v>
      </c>
      <c r="O373" s="110">
        <f t="shared" si="36"/>
        <v>3.013555009571441E-4</v>
      </c>
    </row>
    <row r="374" spans="2:15" x14ac:dyDescent="0.35">
      <c r="B374" s="100">
        <v>1883</v>
      </c>
      <c r="C374" s="101" t="s">
        <v>275</v>
      </c>
      <c r="D374" s="98">
        <v>4044700.3195764301</v>
      </c>
      <c r="E374" s="110">
        <f t="shared" si="31"/>
        <v>7.7357887831791903E-3</v>
      </c>
      <c r="F374" s="98">
        <v>3975927.10714857</v>
      </c>
      <c r="G374" s="110">
        <f t="shared" si="32"/>
        <v>7.7786094256069227E-3</v>
      </c>
      <c r="H374" s="98">
        <v>3996483.4625110598</v>
      </c>
      <c r="I374" s="110">
        <f t="shared" si="33"/>
        <v>7.7786094256069175E-3</v>
      </c>
      <c r="J374" s="98">
        <v>3996454.4081847998</v>
      </c>
      <c r="K374" s="110">
        <f t="shared" si="34"/>
        <v>7.7786094256069131E-3</v>
      </c>
      <c r="L374" s="98">
        <v>3996428.6115091001</v>
      </c>
      <c r="M374" s="110">
        <f t="shared" si="35"/>
        <v>7.7786094256069192E-3</v>
      </c>
      <c r="N374" s="98">
        <v>3996428.6115091001</v>
      </c>
      <c r="O374" s="110">
        <f t="shared" si="36"/>
        <v>7.7786094256069192E-3</v>
      </c>
    </row>
    <row r="375" spans="2:15" x14ac:dyDescent="0.35">
      <c r="B375" s="100">
        <v>1884</v>
      </c>
      <c r="C375" s="101" t="s">
        <v>163</v>
      </c>
      <c r="D375" s="98">
        <v>84220.048551307496</v>
      </c>
      <c r="E375" s="110">
        <f t="shared" si="31"/>
        <v>1.6107707751516156E-4</v>
      </c>
      <c r="F375" s="98">
        <v>65658.3053441433</v>
      </c>
      <c r="G375" s="110">
        <f t="shared" si="32"/>
        <v>1.2845565299752509E-4</v>
      </c>
      <c r="H375" s="98">
        <v>65997.772195717698</v>
      </c>
      <c r="I375" s="110">
        <f t="shared" si="33"/>
        <v>1.2845565299752498E-4</v>
      </c>
      <c r="J375" s="98">
        <v>65997.292393705793</v>
      </c>
      <c r="K375" s="110">
        <f t="shared" si="34"/>
        <v>1.2845565299752487E-4</v>
      </c>
      <c r="L375" s="98">
        <v>65996.866388408394</v>
      </c>
      <c r="M375" s="110">
        <f t="shared" si="35"/>
        <v>1.2845565299752509E-4</v>
      </c>
      <c r="N375" s="98">
        <v>65996.866388408394</v>
      </c>
      <c r="O375" s="110">
        <f t="shared" si="36"/>
        <v>1.2845565299752509E-4</v>
      </c>
    </row>
    <row r="376" spans="2:15" x14ac:dyDescent="0.35">
      <c r="B376" s="100">
        <v>1891</v>
      </c>
      <c r="C376" s="101" t="s">
        <v>75</v>
      </c>
      <c r="D376" s="98">
        <v>787938.05591643404</v>
      </c>
      <c r="E376" s="110">
        <f t="shared" si="31"/>
        <v>1.5069898615966395E-3</v>
      </c>
      <c r="F376" s="98">
        <v>791473.65395728499</v>
      </c>
      <c r="G376" s="110">
        <f t="shared" si="32"/>
        <v>1.548460084623386E-3</v>
      </c>
      <c r="H376" s="98">
        <v>795565.73443369498</v>
      </c>
      <c r="I376" s="110">
        <f t="shared" si="33"/>
        <v>1.5484600846233838E-3</v>
      </c>
      <c r="J376" s="98">
        <v>795559.95069240802</v>
      </c>
      <c r="K376" s="110">
        <f t="shared" si="34"/>
        <v>1.5484600846233851E-3</v>
      </c>
      <c r="L376" s="98">
        <v>795554.81544001796</v>
      </c>
      <c r="M376" s="110">
        <f t="shared" si="35"/>
        <v>1.5484600846233847E-3</v>
      </c>
      <c r="N376" s="98">
        <v>795554.81544001796</v>
      </c>
      <c r="O376" s="110">
        <f t="shared" si="36"/>
        <v>1.5484600846233847E-3</v>
      </c>
    </row>
    <row r="377" spans="2:15" x14ac:dyDescent="0.35">
      <c r="B377" s="100">
        <v>1892</v>
      </c>
      <c r="C377" s="101" t="s">
        <v>360</v>
      </c>
      <c r="D377" s="98">
        <v>348333.47150781698</v>
      </c>
      <c r="E377" s="110">
        <f t="shared" si="31"/>
        <v>6.6621355076764419E-4</v>
      </c>
      <c r="F377" s="98">
        <v>232138.09486155701</v>
      </c>
      <c r="G377" s="110">
        <f t="shared" si="32"/>
        <v>4.5416113627584837E-4</v>
      </c>
      <c r="H377" s="98">
        <v>233338.296234104</v>
      </c>
      <c r="I377" s="110">
        <f t="shared" si="33"/>
        <v>4.5416113627584853E-4</v>
      </c>
      <c r="J377" s="98">
        <v>233336.599871026</v>
      </c>
      <c r="K377" s="110">
        <f t="shared" si="34"/>
        <v>4.5416113627584832E-4</v>
      </c>
      <c r="L377" s="98">
        <v>233335.09370881799</v>
      </c>
      <c r="M377" s="110">
        <f t="shared" si="35"/>
        <v>4.5416113627584875E-4</v>
      </c>
      <c r="N377" s="98">
        <v>233335.09370881799</v>
      </c>
      <c r="O377" s="110">
        <f t="shared" si="36"/>
        <v>4.5416113627584875E-4</v>
      </c>
    </row>
    <row r="378" spans="2:15" x14ac:dyDescent="0.35">
      <c r="B378" s="100">
        <v>1894</v>
      </c>
      <c r="C378" s="101" t="s">
        <v>244</v>
      </c>
      <c r="D378" s="98">
        <v>162323.059963793</v>
      </c>
      <c r="E378" s="110">
        <f t="shared" si="31"/>
        <v>3.1045486866891842E-4</v>
      </c>
      <c r="F378" s="98">
        <v>109652.107316842</v>
      </c>
      <c r="G378" s="110">
        <f t="shared" si="32"/>
        <v>2.1452629601254327E-4</v>
      </c>
      <c r="H378" s="98">
        <v>110219.031111848</v>
      </c>
      <c r="I378" s="110">
        <f t="shared" si="33"/>
        <v>2.1452629601254365E-4</v>
      </c>
      <c r="J378" s="98">
        <v>110218.22982248401</v>
      </c>
      <c r="K378" s="110">
        <f t="shared" si="34"/>
        <v>2.1452629601254256E-4</v>
      </c>
      <c r="L378" s="98">
        <v>110217.518375877</v>
      </c>
      <c r="M378" s="110">
        <f t="shared" si="35"/>
        <v>2.1452629601254381E-4</v>
      </c>
      <c r="N378" s="98">
        <v>110217.518375877</v>
      </c>
      <c r="O378" s="110">
        <f t="shared" si="36"/>
        <v>2.1452629601254381E-4</v>
      </c>
    </row>
    <row r="379" spans="2:15" x14ac:dyDescent="0.35">
      <c r="B379" s="100">
        <v>1895</v>
      </c>
      <c r="C379" s="101" t="s">
        <v>227</v>
      </c>
      <c r="D379" s="98">
        <v>2315646.3981703501</v>
      </c>
      <c r="E379" s="110">
        <f t="shared" si="31"/>
        <v>4.4288451596956411E-3</v>
      </c>
      <c r="F379" s="98">
        <v>2352790.5973665202</v>
      </c>
      <c r="G379" s="110">
        <f t="shared" si="32"/>
        <v>4.6030620340723159E-3</v>
      </c>
      <c r="H379" s="98">
        <v>2364955.0053925202</v>
      </c>
      <c r="I379" s="110">
        <f t="shared" si="33"/>
        <v>4.6030620340723125E-3</v>
      </c>
      <c r="J379" s="98">
        <v>2364937.8122338499</v>
      </c>
      <c r="K379" s="110">
        <f t="shared" si="34"/>
        <v>4.6030620340723203E-3</v>
      </c>
      <c r="L379" s="98">
        <v>2364922.54681917</v>
      </c>
      <c r="M379" s="110">
        <f t="shared" si="35"/>
        <v>4.6030620340723246E-3</v>
      </c>
      <c r="N379" s="98">
        <v>2364922.54681917</v>
      </c>
      <c r="O379" s="110">
        <f t="shared" si="36"/>
        <v>4.6030620340723246E-3</v>
      </c>
    </row>
    <row r="380" spans="2:15" x14ac:dyDescent="0.35">
      <c r="B380" s="100">
        <v>1896</v>
      </c>
      <c r="C380" s="101" t="s">
        <v>363</v>
      </c>
      <c r="D380" s="98">
        <v>86661.909969200395</v>
      </c>
      <c r="E380" s="110">
        <f t="shared" si="31"/>
        <v>1.6574731824355057E-4</v>
      </c>
      <c r="F380" s="98">
        <v>72399.566413117194</v>
      </c>
      <c r="G380" s="110">
        <f t="shared" si="32"/>
        <v>1.4164443525596147E-4</v>
      </c>
      <c r="H380" s="98">
        <v>72773.886961550394</v>
      </c>
      <c r="I380" s="110">
        <f t="shared" si="33"/>
        <v>1.4164443525596139E-4</v>
      </c>
      <c r="J380" s="98">
        <v>72773.357897368202</v>
      </c>
      <c r="K380" s="110">
        <f t="shared" si="34"/>
        <v>1.4164443525596144E-4</v>
      </c>
      <c r="L380" s="98">
        <v>72772.888153309701</v>
      </c>
      <c r="M380" s="110">
        <f t="shared" si="35"/>
        <v>1.4164443525596152E-4</v>
      </c>
      <c r="N380" s="98">
        <v>72772.888153309701</v>
      </c>
      <c r="O380" s="110">
        <f t="shared" si="36"/>
        <v>1.4164443525596152E-4</v>
      </c>
    </row>
    <row r="381" spans="2:15" x14ac:dyDescent="0.35">
      <c r="B381" s="100">
        <v>1900</v>
      </c>
      <c r="C381" s="101" t="s">
        <v>289</v>
      </c>
      <c r="D381" s="98">
        <v>3121387.5934637501</v>
      </c>
      <c r="E381" s="110">
        <f t="shared" si="31"/>
        <v>5.9698848432855533E-3</v>
      </c>
      <c r="F381" s="98">
        <v>3357625.9197122199</v>
      </c>
      <c r="G381" s="110">
        <f t="shared" si="32"/>
        <v>6.5689485553638537E-3</v>
      </c>
      <c r="H381" s="98">
        <v>3374985.5316265798</v>
      </c>
      <c r="I381" s="110">
        <f t="shared" si="33"/>
        <v>6.5689485553638363E-3</v>
      </c>
      <c r="J381" s="98">
        <v>3374960.9955734098</v>
      </c>
      <c r="K381" s="110">
        <f t="shared" si="34"/>
        <v>6.5689485553638467E-3</v>
      </c>
      <c r="L381" s="98">
        <v>3374939.2105696499</v>
      </c>
      <c r="M381" s="110">
        <f t="shared" si="35"/>
        <v>6.5689485553638485E-3</v>
      </c>
      <c r="N381" s="98">
        <v>3374939.2105696499</v>
      </c>
      <c r="O381" s="110">
        <f t="shared" si="36"/>
        <v>6.5689485553638485E-3</v>
      </c>
    </row>
    <row r="382" spans="2:15" x14ac:dyDescent="0.35">
      <c r="B382" s="100">
        <v>1901</v>
      </c>
      <c r="C382" s="101" t="s">
        <v>53</v>
      </c>
      <c r="D382" s="98">
        <v>107095.746098052</v>
      </c>
      <c r="E382" s="110">
        <f t="shared" si="31"/>
        <v>2.0482854252061778E-4</v>
      </c>
      <c r="F382" s="98">
        <v>81824.561109044298</v>
      </c>
      <c r="G382" s="110">
        <f t="shared" si="32"/>
        <v>1.6008374528411041E-4</v>
      </c>
      <c r="H382" s="98">
        <v>82247.610805431599</v>
      </c>
      <c r="I382" s="110">
        <f t="shared" si="33"/>
        <v>1.6008374528411027E-4</v>
      </c>
      <c r="J382" s="98">
        <v>82247.0128675343</v>
      </c>
      <c r="K382" s="110">
        <f t="shared" si="34"/>
        <v>1.6008374528411032E-4</v>
      </c>
      <c r="L382" s="98">
        <v>82246.481972070105</v>
      </c>
      <c r="M382" s="110">
        <f t="shared" si="35"/>
        <v>1.6008374528411046E-4</v>
      </c>
      <c r="N382" s="98">
        <v>82246.481972070105</v>
      </c>
      <c r="O382" s="110">
        <f t="shared" si="36"/>
        <v>1.6008374528411046E-4</v>
      </c>
    </row>
    <row r="383" spans="2:15" x14ac:dyDescent="0.35">
      <c r="B383" s="100">
        <v>1903</v>
      </c>
      <c r="C383" s="101" t="s">
        <v>101</v>
      </c>
      <c r="D383" s="98">
        <v>119456.463878746</v>
      </c>
      <c r="E383" s="110">
        <f t="shared" si="31"/>
        <v>2.2846933031820416E-4</v>
      </c>
      <c r="F383" s="98">
        <v>62134.890626152002</v>
      </c>
      <c r="G383" s="110">
        <f t="shared" si="32"/>
        <v>1.2156235083249997E-4</v>
      </c>
      <c r="H383" s="98">
        <v>62456.140703857003</v>
      </c>
      <c r="I383" s="110">
        <f t="shared" si="33"/>
        <v>1.2156235083250003E-4</v>
      </c>
      <c r="J383" s="98">
        <v>62455.686649409901</v>
      </c>
      <c r="K383" s="110">
        <f t="shared" si="34"/>
        <v>1.2156235083249997E-4</v>
      </c>
      <c r="L383" s="98">
        <v>62455.283504789797</v>
      </c>
      <c r="M383" s="110">
        <f t="shared" si="35"/>
        <v>1.2156235083250004E-4</v>
      </c>
      <c r="N383" s="98">
        <v>62455.283504789797</v>
      </c>
      <c r="O383" s="110">
        <f t="shared" si="36"/>
        <v>1.2156235083250004E-4</v>
      </c>
    </row>
    <row r="384" spans="2:15" x14ac:dyDescent="0.35">
      <c r="B384" s="100">
        <v>1904</v>
      </c>
      <c r="C384" s="101" t="s">
        <v>288</v>
      </c>
      <c r="D384" s="98">
        <v>331234.295164802</v>
      </c>
      <c r="E384" s="110">
        <f t="shared" si="31"/>
        <v>6.3351011018993768E-4</v>
      </c>
      <c r="F384" s="98">
        <v>256391.92080660901</v>
      </c>
      <c r="G384" s="110">
        <f t="shared" si="32"/>
        <v>5.0161196573497138E-4</v>
      </c>
      <c r="H384" s="98">
        <v>257717.51941396101</v>
      </c>
      <c r="I384" s="110">
        <f t="shared" si="33"/>
        <v>5.0161196573496976E-4</v>
      </c>
      <c r="J384" s="98">
        <v>257715.64581459301</v>
      </c>
      <c r="K384" s="110">
        <f t="shared" si="34"/>
        <v>5.0161196573497062E-4</v>
      </c>
      <c r="L384" s="98">
        <v>257713.98228831199</v>
      </c>
      <c r="M384" s="110">
        <f t="shared" si="35"/>
        <v>5.0161196573497041E-4</v>
      </c>
      <c r="N384" s="98">
        <v>257713.98228831199</v>
      </c>
      <c r="O384" s="110">
        <f t="shared" si="36"/>
        <v>5.0161196573497041E-4</v>
      </c>
    </row>
    <row r="385" spans="2:15" x14ac:dyDescent="0.35">
      <c r="B385" s="100">
        <v>1908</v>
      </c>
      <c r="C385" s="101" t="s">
        <v>988</v>
      </c>
      <c r="D385" s="98">
        <v>234998.79868713999</v>
      </c>
      <c r="E385" s="110">
        <f t="shared" si="31"/>
        <v>4.4945259903332878E-4</v>
      </c>
      <c r="F385" s="98">
        <v>214623.05528527399</v>
      </c>
      <c r="G385" s="110">
        <f t="shared" si="32"/>
        <v>4.198942475059325E-4</v>
      </c>
      <c r="H385" s="98">
        <v>215732.700325168</v>
      </c>
      <c r="I385" s="110">
        <f t="shared" si="33"/>
        <v>4.1989424750593234E-4</v>
      </c>
      <c r="J385" s="98">
        <v>215731.13195429399</v>
      </c>
      <c r="K385" s="110">
        <f t="shared" si="34"/>
        <v>4.1989424750593163E-4</v>
      </c>
      <c r="L385" s="98">
        <v>215729.739433454</v>
      </c>
      <c r="M385" s="110">
        <f t="shared" si="35"/>
        <v>4.198942475059319E-4</v>
      </c>
      <c r="N385" s="98">
        <v>215729.739433454</v>
      </c>
      <c r="O385" s="110">
        <f t="shared" si="36"/>
        <v>4.198942475059319E-4</v>
      </c>
    </row>
    <row r="386" spans="2:15" x14ac:dyDescent="0.35">
      <c r="B386" s="100">
        <v>1911</v>
      </c>
      <c r="C386" s="101" t="s">
        <v>155</v>
      </c>
      <c r="D386" s="98">
        <v>389521.73044305103</v>
      </c>
      <c r="E386" s="110">
        <f t="shared" si="31"/>
        <v>7.4498914507501932E-4</v>
      </c>
      <c r="F386" s="98">
        <v>330862.48529575299</v>
      </c>
      <c r="G386" s="110">
        <f t="shared" si="32"/>
        <v>6.4730815664953924E-4</v>
      </c>
      <c r="H386" s="98">
        <v>332573.11193466402</v>
      </c>
      <c r="I386" s="110">
        <f t="shared" si="33"/>
        <v>6.4730815664953924E-4</v>
      </c>
      <c r="J386" s="98">
        <v>332570.69413717103</v>
      </c>
      <c r="K386" s="110">
        <f t="shared" si="34"/>
        <v>6.4730815664954032E-4</v>
      </c>
      <c r="L386" s="98">
        <v>332568.547429748</v>
      </c>
      <c r="M386" s="110">
        <f t="shared" si="35"/>
        <v>6.4730815664954075E-4</v>
      </c>
      <c r="N386" s="98">
        <v>332568.547429748</v>
      </c>
      <c r="O386" s="110">
        <f t="shared" si="36"/>
        <v>6.4730815664954075E-4</v>
      </c>
    </row>
    <row r="387" spans="2:15" x14ac:dyDescent="0.35">
      <c r="B387" s="100">
        <v>1916</v>
      </c>
      <c r="C387" s="101" t="s">
        <v>181</v>
      </c>
      <c r="D387" s="98">
        <v>2105592.2976887599</v>
      </c>
      <c r="E387" s="110">
        <f t="shared" si="31"/>
        <v>4.0271011425921819E-3</v>
      </c>
      <c r="F387" s="98">
        <v>2059299.9921514499</v>
      </c>
      <c r="G387" s="110">
        <f t="shared" si="32"/>
        <v>4.0288692165157845E-3</v>
      </c>
      <c r="H387" s="98">
        <v>2069946.99379304</v>
      </c>
      <c r="I387" s="110">
        <f t="shared" si="33"/>
        <v>4.0288692165157897E-3</v>
      </c>
      <c r="J387" s="98">
        <v>2069931.9453346001</v>
      </c>
      <c r="K387" s="110">
        <f t="shared" si="34"/>
        <v>4.0288692165157906E-3</v>
      </c>
      <c r="L387" s="98">
        <v>2069918.5841504899</v>
      </c>
      <c r="M387" s="110">
        <f t="shared" si="35"/>
        <v>4.0288692165157836E-3</v>
      </c>
      <c r="N387" s="98">
        <v>2069918.5841504899</v>
      </c>
      <c r="O387" s="110">
        <f t="shared" si="36"/>
        <v>4.0288692165157836E-3</v>
      </c>
    </row>
    <row r="388" spans="2:15" x14ac:dyDescent="0.35">
      <c r="B388" s="100">
        <v>1924</v>
      </c>
      <c r="C388" s="101" t="s">
        <v>115</v>
      </c>
      <c r="D388" s="98">
        <v>189915.99287031399</v>
      </c>
      <c r="E388" s="110">
        <f t="shared" si="31"/>
        <v>3.6322839550851239E-4</v>
      </c>
      <c r="F388" s="98">
        <v>124499.358737676</v>
      </c>
      <c r="G388" s="110">
        <f t="shared" si="32"/>
        <v>2.4357385315683966E-4</v>
      </c>
      <c r="H388" s="98">
        <v>125143.045855584</v>
      </c>
      <c r="I388" s="110">
        <f t="shared" si="33"/>
        <v>2.4357385315683901E-4</v>
      </c>
      <c r="J388" s="98">
        <v>125142.136069039</v>
      </c>
      <c r="K388" s="110">
        <f t="shared" si="34"/>
        <v>2.4357385315683982E-4</v>
      </c>
      <c r="L388" s="98">
        <v>125141.32829025001</v>
      </c>
      <c r="M388" s="110">
        <f t="shared" si="35"/>
        <v>2.4357385315683925E-4</v>
      </c>
      <c r="N388" s="98">
        <v>125141.32829025001</v>
      </c>
      <c r="O388" s="110">
        <f t="shared" si="36"/>
        <v>2.4357385315683925E-4</v>
      </c>
    </row>
    <row r="389" spans="2:15" x14ac:dyDescent="0.35">
      <c r="B389" s="100">
        <v>1926</v>
      </c>
      <c r="C389" s="101" t="s">
        <v>246</v>
      </c>
      <c r="D389" s="98">
        <v>202920.69657811499</v>
      </c>
      <c r="E389" s="110">
        <f t="shared" si="31"/>
        <v>3.8810085406482662E-4</v>
      </c>
      <c r="F389" s="98">
        <v>131164.09884144799</v>
      </c>
      <c r="G389" s="110">
        <f t="shared" si="32"/>
        <v>2.566129277659316E-4</v>
      </c>
      <c r="H389" s="98">
        <v>131842.244027193</v>
      </c>
      <c r="I389" s="110">
        <f t="shared" si="33"/>
        <v>2.566129277659316E-4</v>
      </c>
      <c r="J389" s="98">
        <v>131841.28553765899</v>
      </c>
      <c r="K389" s="110">
        <f t="shared" si="34"/>
        <v>2.5661292776593198E-4</v>
      </c>
      <c r="L389" s="98">
        <v>131840.434516593</v>
      </c>
      <c r="M389" s="110">
        <f t="shared" si="35"/>
        <v>2.5661292776593035E-4</v>
      </c>
      <c r="N389" s="98">
        <v>131840.434516593</v>
      </c>
      <c r="O389" s="110">
        <f t="shared" si="36"/>
        <v>2.5661292776593035E-4</v>
      </c>
    </row>
    <row r="390" spans="2:15" x14ac:dyDescent="0.35">
      <c r="B390" s="100">
        <v>1927</v>
      </c>
      <c r="C390" s="101" t="s">
        <v>817</v>
      </c>
      <c r="D390" s="98">
        <v>99166.611166429095</v>
      </c>
      <c r="E390" s="110">
        <f t="shared" si="31"/>
        <v>1.8966348498409647E-4</v>
      </c>
      <c r="F390" s="98">
        <v>71183.926871914198</v>
      </c>
      <c r="G390" s="110">
        <f t="shared" si="32"/>
        <v>1.3926612576021125E-4</v>
      </c>
      <c r="H390" s="98">
        <v>71551.962315583602</v>
      </c>
      <c r="I390" s="110">
        <f t="shared" si="33"/>
        <v>1.392661257602112E-4</v>
      </c>
      <c r="J390" s="98">
        <v>71551.442134760393</v>
      </c>
      <c r="K390" s="110">
        <f t="shared" si="34"/>
        <v>1.3926612576021122E-4</v>
      </c>
      <c r="L390" s="98">
        <v>71550.980278034403</v>
      </c>
      <c r="M390" s="110">
        <f t="shared" si="35"/>
        <v>1.3926612576021136E-4</v>
      </c>
      <c r="N390" s="98">
        <v>71550.980278034403</v>
      </c>
      <c r="O390" s="110">
        <f t="shared" si="36"/>
        <v>1.3926612576021136E-4</v>
      </c>
    </row>
    <row r="391" spans="2:15" x14ac:dyDescent="0.35">
      <c r="B391" s="100">
        <v>1930</v>
      </c>
      <c r="C391" s="101" t="s">
        <v>216</v>
      </c>
      <c r="D391" s="98">
        <v>2678964.29456157</v>
      </c>
      <c r="E391" s="110">
        <f t="shared" si="31"/>
        <v>5.1237175323231854E-3</v>
      </c>
      <c r="F391" s="98">
        <v>2767324.6941300002</v>
      </c>
      <c r="G391" s="110">
        <f t="shared" si="32"/>
        <v>5.414067554400475E-3</v>
      </c>
      <c r="H391" s="98">
        <v>2781632.3281189702</v>
      </c>
      <c r="I391" s="110">
        <f t="shared" si="33"/>
        <v>5.4140675544004594E-3</v>
      </c>
      <c r="J391" s="98">
        <v>2781612.1057274798</v>
      </c>
      <c r="K391" s="110">
        <f t="shared" si="34"/>
        <v>5.4140675544004724E-3</v>
      </c>
      <c r="L391" s="98">
        <v>2781594.1507258499</v>
      </c>
      <c r="M391" s="110">
        <f t="shared" si="35"/>
        <v>5.4140675544004776E-3</v>
      </c>
      <c r="N391" s="98">
        <v>2781594.1507258499</v>
      </c>
      <c r="O391" s="110">
        <f t="shared" si="36"/>
        <v>5.4140675544004776E-3</v>
      </c>
    </row>
    <row r="392" spans="2:15" x14ac:dyDescent="0.35">
      <c r="B392" s="100">
        <v>1931</v>
      </c>
      <c r="C392" s="101" t="s">
        <v>170</v>
      </c>
      <c r="D392" s="98">
        <v>412229.90888662299</v>
      </c>
      <c r="E392" s="110">
        <f t="shared" si="31"/>
        <v>7.8842021739451609E-4</v>
      </c>
      <c r="F392" s="98">
        <v>299869.23112648801</v>
      </c>
      <c r="G392" s="110">
        <f t="shared" si="32"/>
        <v>5.8667213075816547E-4</v>
      </c>
      <c r="H392" s="98">
        <v>301419.61630991602</v>
      </c>
      <c r="I392" s="110">
        <f t="shared" si="33"/>
        <v>5.8667213075816525E-4</v>
      </c>
      <c r="J392" s="98">
        <v>301417.42499749002</v>
      </c>
      <c r="K392" s="110">
        <f t="shared" si="34"/>
        <v>5.8667213075816568E-4</v>
      </c>
      <c r="L392" s="98">
        <v>301415.47938100802</v>
      </c>
      <c r="M392" s="110">
        <f t="shared" si="35"/>
        <v>5.866721307581646E-4</v>
      </c>
      <c r="N392" s="98">
        <v>301415.47938100802</v>
      </c>
      <c r="O392" s="110">
        <f t="shared" si="36"/>
        <v>5.866721307581646E-4</v>
      </c>
    </row>
    <row r="393" spans="2:15" x14ac:dyDescent="0.35">
      <c r="B393" s="100">
        <v>1940</v>
      </c>
      <c r="C393" s="101" t="s">
        <v>77</v>
      </c>
      <c r="D393" s="98">
        <v>1023492.78626064</v>
      </c>
      <c r="E393" s="110">
        <f t="shared" si="31"/>
        <v>1.9575057210787414E-3</v>
      </c>
      <c r="F393" s="98">
        <v>1037828.40547559</v>
      </c>
      <c r="G393" s="110">
        <f t="shared" si="32"/>
        <v>2.0304350656933125E-3</v>
      </c>
      <c r="H393" s="98">
        <v>1043194.1903437</v>
      </c>
      <c r="I393" s="110">
        <f t="shared" si="33"/>
        <v>2.0304350656933129E-3</v>
      </c>
      <c r="J393" s="98">
        <v>1043186.60635026</v>
      </c>
      <c r="K393" s="110">
        <f t="shared" si="34"/>
        <v>2.0304350656933094E-3</v>
      </c>
      <c r="L393" s="98">
        <v>1043179.87269492</v>
      </c>
      <c r="M393" s="110">
        <f t="shared" si="35"/>
        <v>2.0304350656933168E-3</v>
      </c>
      <c r="N393" s="98">
        <v>1043179.87269492</v>
      </c>
      <c r="O393" s="110">
        <f t="shared" si="36"/>
        <v>2.0304350656933168E-3</v>
      </c>
    </row>
    <row r="394" spans="2:15" x14ac:dyDescent="0.35">
      <c r="B394" s="100">
        <v>1942</v>
      </c>
      <c r="C394" s="101" t="s">
        <v>118</v>
      </c>
      <c r="D394" s="98">
        <v>606084.87475345295</v>
      </c>
      <c r="E394" s="110">
        <f t="shared" si="31"/>
        <v>1.1591821903540484E-3</v>
      </c>
      <c r="F394" s="98">
        <v>536884.25426324201</v>
      </c>
      <c r="G394" s="110">
        <f t="shared" si="32"/>
        <v>1.0503746190827596E-3</v>
      </c>
      <c r="H394" s="98">
        <v>539660.05553467805</v>
      </c>
      <c r="I394" s="110">
        <f t="shared" si="33"/>
        <v>1.0503746190827588E-3</v>
      </c>
      <c r="J394" s="98">
        <v>539656.13222072797</v>
      </c>
      <c r="K394" s="110">
        <f t="shared" si="34"/>
        <v>1.0503746190827596E-3</v>
      </c>
      <c r="L394" s="98">
        <v>539652.64879947202</v>
      </c>
      <c r="M394" s="110">
        <f t="shared" si="35"/>
        <v>1.0503746190827596E-3</v>
      </c>
      <c r="N394" s="98">
        <v>539652.64879947202</v>
      </c>
      <c r="O394" s="110">
        <f t="shared" si="36"/>
        <v>1.0503746190827596E-3</v>
      </c>
    </row>
    <row r="395" spans="2:15" x14ac:dyDescent="0.35">
      <c r="B395" s="100">
        <v>1945</v>
      </c>
      <c r="C395" s="101" t="s">
        <v>40</v>
      </c>
      <c r="D395" s="98">
        <v>780323.93739829003</v>
      </c>
      <c r="E395" s="110">
        <f t="shared" ref="E395:E398" si="37">+D395/D$10</f>
        <v>1.4924272962710027E-3</v>
      </c>
      <c r="F395" s="98">
        <v>887814.66574315797</v>
      </c>
      <c r="G395" s="110">
        <f t="shared" ref="G395:G398" si="38">+F395/F$10</f>
        <v>1.7369441996874441E-3</v>
      </c>
      <c r="H395" s="98">
        <v>892404.84893143503</v>
      </c>
      <c r="I395" s="110">
        <f t="shared" ref="I395:I398" si="39">+H395/H$10</f>
        <v>1.7369441996874439E-3</v>
      </c>
      <c r="J395" s="98">
        <v>892398.36117241404</v>
      </c>
      <c r="K395" s="110">
        <f t="shared" ref="K395:K398" si="40">+J395/J$10</f>
        <v>1.7369441996874433E-3</v>
      </c>
      <c r="L395" s="98">
        <v>892392.60083868599</v>
      </c>
      <c r="M395" s="110">
        <f t="shared" ref="M395:M398" si="41">+L395/L$10</f>
        <v>1.7369441996874437E-3</v>
      </c>
      <c r="N395" s="98">
        <v>892392.60083868599</v>
      </c>
      <c r="O395" s="110">
        <f t="shared" ref="O395:O398" si="42">+N395/N$10</f>
        <v>1.7369441996874437E-3</v>
      </c>
    </row>
    <row r="396" spans="2:15" x14ac:dyDescent="0.35">
      <c r="B396" s="100">
        <v>1948</v>
      </c>
      <c r="C396" s="101" t="s">
        <v>198</v>
      </c>
      <c r="D396" s="98">
        <v>377052.30579256901</v>
      </c>
      <c r="E396" s="110">
        <f t="shared" si="37"/>
        <v>7.2114044734158662E-4</v>
      </c>
      <c r="F396" s="98">
        <v>203331.638499219</v>
      </c>
      <c r="G396" s="110">
        <f t="shared" si="38"/>
        <v>3.9780341971320317E-4</v>
      </c>
      <c r="H396" s="98">
        <v>204382.90460767201</v>
      </c>
      <c r="I396" s="110">
        <f t="shared" si="39"/>
        <v>3.9780341971320176E-4</v>
      </c>
      <c r="J396" s="98">
        <v>204381.41874950501</v>
      </c>
      <c r="K396" s="110">
        <f t="shared" si="40"/>
        <v>3.9780341971320171E-4</v>
      </c>
      <c r="L396" s="98">
        <v>204380.099489821</v>
      </c>
      <c r="M396" s="110">
        <f t="shared" si="41"/>
        <v>3.9780341971320144E-4</v>
      </c>
      <c r="N396" s="98">
        <v>204380.099489821</v>
      </c>
      <c r="O396" s="110">
        <f t="shared" si="42"/>
        <v>3.9780341971320144E-4</v>
      </c>
    </row>
    <row r="397" spans="2:15" x14ac:dyDescent="0.35">
      <c r="B397" s="100">
        <v>1955</v>
      </c>
      <c r="C397" s="101" t="s">
        <v>207</v>
      </c>
      <c r="D397" s="98">
        <v>661170.44074465404</v>
      </c>
      <c r="E397" s="110">
        <f t="shared" si="37"/>
        <v>1.2645374131989478E-3</v>
      </c>
      <c r="F397" s="98">
        <v>542885.41678220395</v>
      </c>
      <c r="G397" s="110">
        <f t="shared" si="38"/>
        <v>1.0621154528748747E-3</v>
      </c>
      <c r="H397" s="98">
        <v>545692.245289805</v>
      </c>
      <c r="I397" s="110">
        <f t="shared" si="39"/>
        <v>1.0621154528748741E-3</v>
      </c>
      <c r="J397" s="98">
        <v>545688.27812199795</v>
      </c>
      <c r="K397" s="110">
        <f t="shared" si="40"/>
        <v>1.0621154528748726E-3</v>
      </c>
      <c r="L397" s="98">
        <v>545684.75576390105</v>
      </c>
      <c r="M397" s="110">
        <f t="shared" si="41"/>
        <v>1.0621154528748736E-3</v>
      </c>
      <c r="N397" s="98">
        <v>545684.75576390105</v>
      </c>
      <c r="O397" s="110">
        <f t="shared" si="42"/>
        <v>1.0621154528748736E-3</v>
      </c>
    </row>
    <row r="398" spans="2:15" x14ac:dyDescent="0.35">
      <c r="B398" s="103">
        <v>1987</v>
      </c>
      <c r="C398" s="104" t="s">
        <v>989</v>
      </c>
      <c r="D398" s="105">
        <v>496674.97714804398</v>
      </c>
      <c r="E398" s="110">
        <f t="shared" si="37"/>
        <v>9.499276617630796E-4</v>
      </c>
      <c r="F398" s="105">
        <v>481808.61364972498</v>
      </c>
      <c r="G398" s="110">
        <f t="shared" si="38"/>
        <v>9.4262317252646487E-4</v>
      </c>
      <c r="H398" s="105">
        <v>484299.66260811401</v>
      </c>
      <c r="I398" s="110">
        <f t="shared" si="39"/>
        <v>9.4262317252646465E-4</v>
      </c>
      <c r="J398" s="105">
        <v>484296.14176271699</v>
      </c>
      <c r="K398" s="110">
        <f t="shared" si="40"/>
        <v>9.4262317252646497E-4</v>
      </c>
      <c r="L398" s="105">
        <v>484293.01568413898</v>
      </c>
      <c r="M398" s="110">
        <f t="shared" si="41"/>
        <v>9.4262317252646487E-4</v>
      </c>
      <c r="N398" s="105">
        <v>484293.01568413898</v>
      </c>
      <c r="O398" s="110">
        <f t="shared" si="42"/>
        <v>9.4262317252646487E-4</v>
      </c>
    </row>
  </sheetData>
  <sortState xmlns:xlrd2="http://schemas.microsoft.com/office/spreadsheetml/2017/richdata2" ref="B11:O398">
    <sortCondition ref="B11:B398"/>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AFE6B-4827-459A-AD7E-C43BE8D40057}">
  <sheetPr codeName="Blad26">
    <tabColor rgb="FF002060"/>
  </sheetPr>
  <dimension ref="A1:CL359"/>
  <sheetViews>
    <sheetView topLeftCell="BQ1" workbookViewId="0">
      <selection activeCell="BY6" sqref="BY6"/>
    </sheetView>
  </sheetViews>
  <sheetFormatPr defaultRowHeight="14.5" x14ac:dyDescent="0.35"/>
  <cols>
    <col min="1" max="3" width="9.36328125" style="72" customWidth="1"/>
    <col min="4" max="4" width="19.36328125" style="72" customWidth="1"/>
    <col min="5" max="5" width="56.453125" style="72" customWidth="1"/>
    <col min="6" max="6" width="56" style="72" customWidth="1"/>
    <col min="7" max="7" width="14.453125" style="72" customWidth="1"/>
    <col min="8" max="8" width="9.54296875" style="72" customWidth="1"/>
    <col min="9" max="9" width="11.36328125" style="72" customWidth="1"/>
    <col min="10" max="14" width="13.26953125" style="72" customWidth="1"/>
    <col min="15" max="15" width="11.36328125" style="72" customWidth="1"/>
    <col min="16" max="16" width="10.26953125" style="72" customWidth="1"/>
    <col min="17" max="19" width="13.26953125" style="72" customWidth="1"/>
    <col min="20" max="21" width="11.36328125" style="72" customWidth="1"/>
    <col min="22" max="22" width="13.26953125" style="72" customWidth="1"/>
    <col min="23" max="24" width="14.453125" style="72" customWidth="1"/>
    <col min="25" max="26" width="11.36328125" style="72" customWidth="1"/>
    <col min="27" max="27" width="10.26953125" style="72" customWidth="1"/>
    <col min="28" max="28" width="9.54296875" style="72" customWidth="1"/>
    <col min="29" max="29" width="10.26953125" style="72" customWidth="1"/>
    <col min="30" max="31" width="13.26953125" style="72" customWidth="1"/>
    <col min="32" max="33" width="11.36328125" style="72" customWidth="1"/>
    <col min="34" max="37" width="10.26953125" style="72" customWidth="1"/>
    <col min="38" max="38" width="11.36328125" style="72" customWidth="1"/>
    <col min="39" max="40" width="13.26953125" style="72" customWidth="1"/>
    <col min="41" max="43" width="9.54296875" style="72" customWidth="1"/>
    <col min="44" max="44" width="11.36328125" style="72" customWidth="1"/>
    <col min="45" max="45" width="13.26953125" style="72" customWidth="1"/>
    <col min="46" max="46" width="11.36328125" style="72" customWidth="1"/>
    <col min="47" max="47" width="12.36328125" style="72" customWidth="1"/>
    <col min="48" max="48" width="9.6328125" style="72" customWidth="1"/>
    <col min="49" max="49" width="14.453125" style="72" customWidth="1"/>
    <col min="50" max="51" width="13.26953125" style="72" customWidth="1"/>
    <col min="52" max="52" width="14.453125" style="72" customWidth="1"/>
    <col min="53" max="54" width="9.54296875" style="72" customWidth="1"/>
    <col min="55" max="55" width="13.26953125" style="72" customWidth="1"/>
    <col min="56" max="64" width="9.54296875" style="72" customWidth="1"/>
    <col min="65" max="65" width="11.36328125" style="72" customWidth="1"/>
    <col min="66" max="67" width="10.26953125" style="72" customWidth="1"/>
    <col min="68" max="69" width="13.26953125" style="72" customWidth="1"/>
    <col min="70" max="73" width="11.36328125" style="72" customWidth="1"/>
    <col min="74" max="74" width="45.6328125" style="72" customWidth="1"/>
    <col min="75" max="75" width="11.81640625" style="72" customWidth="1"/>
    <col min="76" max="76" width="13.26953125" style="72" customWidth="1"/>
    <col min="77" max="77" width="12.81640625" style="72" customWidth="1"/>
    <col min="78" max="78" width="14.453125" style="72" customWidth="1"/>
    <col min="79" max="79" width="13.26953125" style="72" customWidth="1"/>
    <col min="80" max="85" width="11.36328125" style="72" customWidth="1"/>
    <col min="86" max="86" width="10.26953125" style="72" customWidth="1"/>
    <col min="87" max="89" width="11.36328125" style="72" customWidth="1"/>
    <col min="90" max="90" width="14.453125" style="72" customWidth="1"/>
  </cols>
  <sheetData>
    <row r="1" spans="1:90" x14ac:dyDescent="0.35">
      <c r="A1" s="72">
        <v>1</v>
      </c>
      <c r="B1" s="72">
        <f t="shared" ref="B1:BM1" si="0">A1+1</f>
        <v>2</v>
      </c>
      <c r="C1" s="72">
        <f t="shared" si="0"/>
        <v>3</v>
      </c>
      <c r="D1" s="72">
        <f t="shared" si="0"/>
        <v>4</v>
      </c>
      <c r="E1" s="72">
        <f t="shared" si="0"/>
        <v>5</v>
      </c>
      <c r="F1" s="72">
        <f t="shared" si="0"/>
        <v>6</v>
      </c>
      <c r="G1" s="72">
        <f t="shared" si="0"/>
        <v>7</v>
      </c>
      <c r="H1" s="72">
        <f t="shared" si="0"/>
        <v>8</v>
      </c>
      <c r="I1" s="72">
        <f t="shared" si="0"/>
        <v>9</v>
      </c>
      <c r="J1" s="72">
        <f t="shared" si="0"/>
        <v>10</v>
      </c>
      <c r="K1" s="72">
        <f t="shared" si="0"/>
        <v>11</v>
      </c>
      <c r="L1" s="72">
        <f t="shared" si="0"/>
        <v>12</v>
      </c>
      <c r="M1" s="72">
        <f t="shared" si="0"/>
        <v>13</v>
      </c>
      <c r="N1" s="72">
        <f t="shared" si="0"/>
        <v>14</v>
      </c>
      <c r="O1" s="72">
        <f t="shared" si="0"/>
        <v>15</v>
      </c>
      <c r="P1" s="72">
        <f t="shared" si="0"/>
        <v>16</v>
      </c>
      <c r="Q1" s="72">
        <f t="shared" si="0"/>
        <v>17</v>
      </c>
      <c r="R1" s="72">
        <f t="shared" si="0"/>
        <v>18</v>
      </c>
      <c r="S1" s="72">
        <f t="shared" si="0"/>
        <v>19</v>
      </c>
      <c r="T1" s="72">
        <f t="shared" si="0"/>
        <v>20</v>
      </c>
      <c r="U1" s="72">
        <f t="shared" si="0"/>
        <v>21</v>
      </c>
      <c r="V1" s="72">
        <f t="shared" si="0"/>
        <v>22</v>
      </c>
      <c r="W1" s="72">
        <f t="shared" si="0"/>
        <v>23</v>
      </c>
      <c r="X1" s="72">
        <f t="shared" si="0"/>
        <v>24</v>
      </c>
      <c r="Y1" s="72">
        <f t="shared" si="0"/>
        <v>25</v>
      </c>
      <c r="Z1" s="72">
        <f t="shared" si="0"/>
        <v>26</v>
      </c>
      <c r="AA1" s="72">
        <f t="shared" si="0"/>
        <v>27</v>
      </c>
      <c r="AB1" s="72">
        <f t="shared" si="0"/>
        <v>28</v>
      </c>
      <c r="AC1" s="72">
        <f t="shared" si="0"/>
        <v>29</v>
      </c>
      <c r="AD1" s="72">
        <f t="shared" si="0"/>
        <v>30</v>
      </c>
      <c r="AE1" s="72">
        <f t="shared" si="0"/>
        <v>31</v>
      </c>
      <c r="AF1" s="72">
        <f t="shared" si="0"/>
        <v>32</v>
      </c>
      <c r="AG1" s="72">
        <f t="shared" si="0"/>
        <v>33</v>
      </c>
      <c r="AH1" s="72">
        <f t="shared" si="0"/>
        <v>34</v>
      </c>
      <c r="AI1" s="72">
        <f t="shared" si="0"/>
        <v>35</v>
      </c>
      <c r="AJ1" s="72">
        <f t="shared" si="0"/>
        <v>36</v>
      </c>
      <c r="AK1" s="72">
        <f t="shared" si="0"/>
        <v>37</v>
      </c>
      <c r="AL1" s="72">
        <f t="shared" si="0"/>
        <v>38</v>
      </c>
      <c r="AM1" s="72">
        <f t="shared" si="0"/>
        <v>39</v>
      </c>
      <c r="AN1" s="72">
        <f t="shared" si="0"/>
        <v>40</v>
      </c>
      <c r="AO1" s="72">
        <f t="shared" si="0"/>
        <v>41</v>
      </c>
      <c r="AP1" s="72">
        <f t="shared" si="0"/>
        <v>42</v>
      </c>
      <c r="AQ1" s="72">
        <f t="shared" si="0"/>
        <v>43</v>
      </c>
      <c r="AR1" s="72">
        <f t="shared" si="0"/>
        <v>44</v>
      </c>
      <c r="AS1" s="72">
        <f t="shared" si="0"/>
        <v>45</v>
      </c>
      <c r="AT1" s="72">
        <f t="shared" si="0"/>
        <v>46</v>
      </c>
      <c r="AU1" s="72">
        <f t="shared" si="0"/>
        <v>47</v>
      </c>
      <c r="AV1" s="72">
        <f t="shared" si="0"/>
        <v>48</v>
      </c>
      <c r="AW1" s="72">
        <f t="shared" si="0"/>
        <v>49</v>
      </c>
      <c r="AX1" s="72">
        <f t="shared" si="0"/>
        <v>50</v>
      </c>
      <c r="AY1" s="72">
        <f t="shared" si="0"/>
        <v>51</v>
      </c>
      <c r="AZ1" s="72">
        <f t="shared" si="0"/>
        <v>52</v>
      </c>
      <c r="BA1" s="72">
        <f t="shared" si="0"/>
        <v>53</v>
      </c>
      <c r="BB1" s="72">
        <f t="shared" si="0"/>
        <v>54</v>
      </c>
      <c r="BC1" s="72">
        <f t="shared" si="0"/>
        <v>55</v>
      </c>
      <c r="BD1" s="72">
        <f t="shared" si="0"/>
        <v>56</v>
      </c>
      <c r="BE1" s="72">
        <f t="shared" si="0"/>
        <v>57</v>
      </c>
      <c r="BF1" s="72">
        <f t="shared" si="0"/>
        <v>58</v>
      </c>
      <c r="BG1" s="72">
        <f t="shared" si="0"/>
        <v>59</v>
      </c>
      <c r="BH1" s="72">
        <f t="shared" si="0"/>
        <v>60</v>
      </c>
      <c r="BI1" s="72">
        <f t="shared" si="0"/>
        <v>61</v>
      </c>
      <c r="BJ1" s="72">
        <f t="shared" si="0"/>
        <v>62</v>
      </c>
      <c r="BK1" s="72">
        <f t="shared" si="0"/>
        <v>63</v>
      </c>
      <c r="BL1" s="72">
        <f t="shared" si="0"/>
        <v>64</v>
      </c>
      <c r="BM1" s="72">
        <f t="shared" si="0"/>
        <v>65</v>
      </c>
      <c r="BN1" s="72">
        <f t="shared" ref="BN1:CL1" si="1">BM1+1</f>
        <v>66</v>
      </c>
      <c r="BO1" s="72">
        <f t="shared" si="1"/>
        <v>67</v>
      </c>
      <c r="BP1" s="72">
        <f t="shared" si="1"/>
        <v>68</v>
      </c>
      <c r="BQ1" s="72">
        <f t="shared" si="1"/>
        <v>69</v>
      </c>
      <c r="BR1" s="72">
        <f t="shared" si="1"/>
        <v>70</v>
      </c>
      <c r="BS1" s="72">
        <f t="shared" si="1"/>
        <v>71</v>
      </c>
      <c r="BT1" s="72">
        <f t="shared" si="1"/>
        <v>72</v>
      </c>
      <c r="BU1" s="72">
        <f t="shared" si="1"/>
        <v>73</v>
      </c>
      <c r="BV1" s="72">
        <f t="shared" si="1"/>
        <v>74</v>
      </c>
      <c r="BW1" s="72">
        <f t="shared" si="1"/>
        <v>75</v>
      </c>
      <c r="BX1" s="72">
        <f t="shared" si="1"/>
        <v>76</v>
      </c>
      <c r="BY1" s="72">
        <f t="shared" si="1"/>
        <v>77</v>
      </c>
      <c r="BZ1" s="72">
        <f t="shared" si="1"/>
        <v>78</v>
      </c>
      <c r="CA1" s="72">
        <f t="shared" si="1"/>
        <v>79</v>
      </c>
      <c r="CB1" s="72">
        <f t="shared" si="1"/>
        <v>80</v>
      </c>
      <c r="CC1" s="72">
        <f t="shared" si="1"/>
        <v>81</v>
      </c>
      <c r="CD1" s="72">
        <f t="shared" si="1"/>
        <v>82</v>
      </c>
      <c r="CE1" s="72">
        <f t="shared" si="1"/>
        <v>83</v>
      </c>
      <c r="CF1" s="72">
        <f t="shared" si="1"/>
        <v>84</v>
      </c>
      <c r="CG1" s="72">
        <f t="shared" si="1"/>
        <v>85</v>
      </c>
      <c r="CH1" s="72">
        <f t="shared" si="1"/>
        <v>86</v>
      </c>
      <c r="CI1" s="72">
        <f t="shared" si="1"/>
        <v>87</v>
      </c>
      <c r="CJ1" s="72">
        <f t="shared" si="1"/>
        <v>88</v>
      </c>
      <c r="CK1" s="72">
        <f t="shared" si="1"/>
        <v>89</v>
      </c>
      <c r="CL1" s="72">
        <f t="shared" si="1"/>
        <v>90</v>
      </c>
    </row>
    <row r="3" spans="1:90" x14ac:dyDescent="0.35">
      <c r="D3" s="72" t="s">
        <v>1284</v>
      </c>
    </row>
    <row r="5" spans="1:90" x14ac:dyDescent="0.35">
      <c r="A5" s="398" t="s">
        <v>828</v>
      </c>
      <c r="B5" s="398" t="s">
        <v>831</v>
      </c>
      <c r="C5" s="398" t="s">
        <v>829</v>
      </c>
      <c r="D5" s="72" t="s">
        <v>1211</v>
      </c>
      <c r="E5" s="72" t="s">
        <v>1212</v>
      </c>
      <c r="F5" s="72" t="s">
        <v>1213</v>
      </c>
      <c r="G5" s="72" t="s">
        <v>837</v>
      </c>
      <c r="H5" s="72" t="s">
        <v>1214</v>
      </c>
      <c r="I5" s="72" t="s">
        <v>1215</v>
      </c>
      <c r="J5" s="72" t="s">
        <v>1216</v>
      </c>
      <c r="K5" s="72" t="s">
        <v>1217</v>
      </c>
      <c r="L5" s="72" t="s">
        <v>1218</v>
      </c>
      <c r="M5" s="72" t="s">
        <v>843</v>
      </c>
      <c r="N5" s="72" t="s">
        <v>1219</v>
      </c>
      <c r="O5" s="72" t="s">
        <v>845</v>
      </c>
      <c r="P5" s="72" t="s">
        <v>892</v>
      </c>
      <c r="Q5" s="72" t="s">
        <v>846</v>
      </c>
      <c r="R5" s="72" t="s">
        <v>893</v>
      </c>
      <c r="S5" s="72" t="s">
        <v>847</v>
      </c>
      <c r="T5" s="72" t="s">
        <v>1220</v>
      </c>
      <c r="U5" s="72" t="s">
        <v>849</v>
      </c>
      <c r="V5" s="72" t="s">
        <v>850</v>
      </c>
      <c r="W5" s="72" t="s">
        <v>851</v>
      </c>
      <c r="X5" s="72" t="s">
        <v>852</v>
      </c>
      <c r="Y5" s="72" t="s">
        <v>853</v>
      </c>
      <c r="Z5" s="72" t="s">
        <v>854</v>
      </c>
      <c r="AA5" s="72" t="s">
        <v>1221</v>
      </c>
      <c r="AB5" s="72" t="s">
        <v>856</v>
      </c>
      <c r="AC5" s="72" t="s">
        <v>857</v>
      </c>
      <c r="AD5" s="72" t="s">
        <v>858</v>
      </c>
      <c r="AE5" s="72" t="s">
        <v>859</v>
      </c>
      <c r="AF5" s="72" t="s">
        <v>860</v>
      </c>
      <c r="AG5" s="72" t="s">
        <v>861</v>
      </c>
      <c r="AH5" s="72" t="s">
        <v>1237</v>
      </c>
      <c r="AI5" s="72" t="s">
        <v>1238</v>
      </c>
      <c r="AJ5" s="72" t="s">
        <v>1223</v>
      </c>
      <c r="AK5" s="72" t="s">
        <v>1224</v>
      </c>
      <c r="AL5" s="72" t="s">
        <v>1222</v>
      </c>
      <c r="AM5" s="72" t="s">
        <v>865</v>
      </c>
      <c r="AN5" s="72" t="s">
        <v>1225</v>
      </c>
      <c r="AO5" s="72" t="s">
        <v>867</v>
      </c>
      <c r="AP5" s="72" t="s">
        <v>868</v>
      </c>
      <c r="AQ5" s="72" t="s">
        <v>869</v>
      </c>
      <c r="AR5" s="72" t="s">
        <v>1226</v>
      </c>
      <c r="AS5" s="72" t="s">
        <v>1227</v>
      </c>
      <c r="AT5" s="72" t="s">
        <v>1228</v>
      </c>
      <c r="AU5" s="72" t="s">
        <v>1229</v>
      </c>
      <c r="AV5" s="72" t="s">
        <v>1230</v>
      </c>
      <c r="AW5" s="72" t="s">
        <v>1231</v>
      </c>
      <c r="AX5" s="72" t="s">
        <v>1232</v>
      </c>
      <c r="AY5" s="72" t="s">
        <v>1233</v>
      </c>
      <c r="AZ5" s="72" t="s">
        <v>1274</v>
      </c>
      <c r="BA5" s="72" t="s">
        <v>1234</v>
      </c>
      <c r="BB5" s="72" t="s">
        <v>1235</v>
      </c>
      <c r="BC5" s="72" t="s">
        <v>1236</v>
      </c>
      <c r="BD5" s="72" t="s">
        <v>882</v>
      </c>
      <c r="BE5" s="72" t="s">
        <v>886</v>
      </c>
      <c r="BF5" s="72" t="s">
        <v>885</v>
      </c>
      <c r="BG5" s="72" t="s">
        <v>884</v>
      </c>
      <c r="BH5" s="72" t="s">
        <v>883</v>
      </c>
      <c r="BI5" s="72" t="s">
        <v>888</v>
      </c>
      <c r="BJ5" s="72" t="s">
        <v>889</v>
      </c>
      <c r="BK5" s="72" t="s">
        <v>890</v>
      </c>
      <c r="BL5" s="72" t="s">
        <v>891</v>
      </c>
      <c r="BM5" s="72" t="s">
        <v>1239</v>
      </c>
      <c r="BN5" s="72" t="s">
        <v>1240</v>
      </c>
      <c r="BO5" s="72" t="s">
        <v>1241</v>
      </c>
      <c r="BP5" s="72" t="s">
        <v>1242</v>
      </c>
      <c r="BQ5" s="72" t="s">
        <v>1243</v>
      </c>
      <c r="BR5" s="72" t="s">
        <v>913</v>
      </c>
      <c r="BS5" s="72" t="s">
        <v>914</v>
      </c>
      <c r="BT5" s="72" t="s">
        <v>915</v>
      </c>
      <c r="BU5" s="72" t="s">
        <v>1244</v>
      </c>
      <c r="BV5" s="72" t="s">
        <v>917</v>
      </c>
      <c r="BW5" s="72" t="s">
        <v>1245</v>
      </c>
      <c r="BX5" s="72" t="s">
        <v>919</v>
      </c>
      <c r="BY5" s="72" t="s">
        <v>1246</v>
      </c>
      <c r="BZ5" s="72" t="s">
        <v>1247</v>
      </c>
      <c r="CA5" s="72" t="s">
        <v>1248</v>
      </c>
      <c r="CB5" s="72" t="s">
        <v>1249</v>
      </c>
      <c r="CC5" s="72" t="s">
        <v>924</v>
      </c>
      <c r="CD5" s="72" t="s">
        <v>925</v>
      </c>
      <c r="CE5" s="72" t="s">
        <v>926</v>
      </c>
      <c r="CF5" s="72" t="s">
        <v>927</v>
      </c>
      <c r="CG5" s="72" t="s">
        <v>928</v>
      </c>
      <c r="CH5" s="72" t="s">
        <v>929</v>
      </c>
      <c r="CI5" s="72" t="s">
        <v>930</v>
      </c>
      <c r="CJ5" s="72" t="s">
        <v>931</v>
      </c>
      <c r="CK5" s="72" t="s">
        <v>932</v>
      </c>
      <c r="CL5" s="72" t="s">
        <v>933</v>
      </c>
    </row>
    <row r="6" spans="1:90" x14ac:dyDescent="0.35">
      <c r="A6" s="72">
        <v>1979</v>
      </c>
      <c r="B6" s="72" t="s">
        <v>1285</v>
      </c>
      <c r="C6" s="72">
        <v>1</v>
      </c>
      <c r="D6" s="78">
        <v>2884800000</v>
      </c>
      <c r="E6" s="78">
        <v>790650000</v>
      </c>
      <c r="F6" s="78">
        <v>848400000</v>
      </c>
      <c r="G6" s="78">
        <v>45587</v>
      </c>
      <c r="H6" s="78">
        <v>5</v>
      </c>
      <c r="I6" s="78">
        <f t="shared" ref="I6:I69" si="2">F6/1000000</f>
        <v>848.4</v>
      </c>
      <c r="J6" s="78">
        <v>7909</v>
      </c>
      <c r="K6" s="78">
        <v>11477</v>
      </c>
      <c r="L6" s="78">
        <v>3778</v>
      </c>
      <c r="M6" s="78">
        <v>7977</v>
      </c>
      <c r="N6" s="78">
        <f t="shared" ref="N6:N69" si="3">IF(M6-0.1*AM6&lt;=0,0,M6-0.1*AM6)</f>
        <v>5650.2</v>
      </c>
      <c r="O6" s="78">
        <v>1494</v>
      </c>
      <c r="P6" s="78">
        <v>103</v>
      </c>
      <c r="Q6" s="78">
        <v>4575</v>
      </c>
      <c r="R6" s="78">
        <v>8085</v>
      </c>
      <c r="S6" s="78">
        <v>2495</v>
      </c>
      <c r="T6" s="78">
        <v>0</v>
      </c>
      <c r="U6" s="78">
        <v>1650</v>
      </c>
      <c r="V6" s="78">
        <v>22419</v>
      </c>
      <c r="W6" s="78">
        <v>44250</v>
      </c>
      <c r="X6" s="78">
        <v>33030</v>
      </c>
      <c r="Y6" s="78">
        <v>570.94000000000005</v>
      </c>
      <c r="Z6" s="78">
        <v>1349.6</v>
      </c>
      <c r="AA6" s="78">
        <v>0</v>
      </c>
      <c r="AB6" s="399">
        <f>IF((J6-'[2]Basisgegevens aanvullend'!D6*1.1)&lt;=0,0,J6-'[2]Basisgegevens aanvullend'!D6*1.1)</f>
        <v>0</v>
      </c>
      <c r="AC6" s="399">
        <v>0</v>
      </c>
      <c r="AD6" s="78">
        <v>26789</v>
      </c>
      <c r="AE6" s="78">
        <v>32682.58</v>
      </c>
      <c r="AF6" s="78">
        <v>719</v>
      </c>
      <c r="AG6" s="78">
        <v>8900</v>
      </c>
      <c r="AH6" s="78">
        <v>286</v>
      </c>
      <c r="AI6" s="78">
        <v>203</v>
      </c>
      <c r="AJ6" s="78">
        <v>366.08</v>
      </c>
      <c r="AK6" s="78">
        <v>247.66</v>
      </c>
      <c r="AL6" s="78">
        <v>489</v>
      </c>
      <c r="AM6" s="78">
        <v>23268</v>
      </c>
      <c r="AN6" s="78">
        <v>29783.040000000001</v>
      </c>
      <c r="AO6" s="78">
        <v>15</v>
      </c>
      <c r="AP6" s="78">
        <v>0</v>
      </c>
      <c r="AQ6" s="78">
        <v>0</v>
      </c>
      <c r="AR6" s="78">
        <v>0</v>
      </c>
      <c r="AS6" s="78">
        <v>2847</v>
      </c>
      <c r="AT6" s="78">
        <v>2216</v>
      </c>
      <c r="AU6" s="400">
        <v>3.4211020000000001E-3</v>
      </c>
      <c r="AV6" s="400">
        <v>3.1769290000000002E-3</v>
      </c>
      <c r="AW6" s="78">
        <v>16101.456</v>
      </c>
      <c r="AX6" s="78">
        <v>0</v>
      </c>
      <c r="AY6" s="78">
        <v>7716.5</v>
      </c>
      <c r="AZ6" s="78">
        <v>19787.522254616801</v>
      </c>
      <c r="BA6" s="78">
        <v>27</v>
      </c>
      <c r="BB6" s="78">
        <v>32.94</v>
      </c>
      <c r="BC6" s="78">
        <v>3776</v>
      </c>
      <c r="BD6" s="78">
        <v>1</v>
      </c>
      <c r="BE6" s="78">
        <v>0</v>
      </c>
      <c r="BF6" s="78">
        <v>0</v>
      </c>
      <c r="BG6" s="78">
        <v>0</v>
      </c>
      <c r="BH6" s="78">
        <v>0</v>
      </c>
      <c r="BI6" s="78">
        <v>0</v>
      </c>
      <c r="BJ6" s="78">
        <v>0</v>
      </c>
      <c r="BK6" s="78">
        <v>0</v>
      </c>
      <c r="BL6" s="78">
        <v>0</v>
      </c>
      <c r="BM6" s="78">
        <v>1368.2570000000001</v>
      </c>
      <c r="BN6" s="78">
        <v>239</v>
      </c>
      <c r="BO6" s="78">
        <v>158</v>
      </c>
      <c r="BP6" s="78">
        <v>12008.08</v>
      </c>
      <c r="BQ6" s="78">
        <v>2277.6</v>
      </c>
      <c r="BR6" s="78">
        <v>311.33493136203498</v>
      </c>
      <c r="BS6" s="78">
        <v>647</v>
      </c>
      <c r="BT6" s="78">
        <v>438</v>
      </c>
      <c r="BU6" s="78">
        <v>401.33333333333297</v>
      </c>
      <c r="BV6" s="78">
        <f t="shared" ref="BV6:BV69" si="4">Q6-O6</f>
        <v>3081</v>
      </c>
      <c r="BW6" s="78">
        <v>962</v>
      </c>
      <c r="BX6" s="78">
        <v>11572.6183771289</v>
      </c>
      <c r="BY6" s="78">
        <v>4.7990000000000004</v>
      </c>
      <c r="BZ6" s="78">
        <v>34110</v>
      </c>
      <c r="CA6" s="78">
        <v>6391</v>
      </c>
      <c r="CB6" s="78">
        <v>1308</v>
      </c>
      <c r="CC6" s="78">
        <v>1503</v>
      </c>
      <c r="CD6" s="78">
        <v>1294</v>
      </c>
      <c r="CE6" s="78">
        <v>640</v>
      </c>
      <c r="CF6" s="78">
        <v>990.02343991748296</v>
      </c>
      <c r="CG6" s="78">
        <v>637.43231046931396</v>
      </c>
      <c r="CH6" s="78">
        <v>225.34749871067601</v>
      </c>
      <c r="CI6" s="78">
        <v>2336.1210000000001</v>
      </c>
      <c r="CJ6" s="78">
        <v>1504.125</v>
      </c>
      <c r="CK6" s="78">
        <v>531.74400000000003</v>
      </c>
      <c r="CL6" s="78">
        <v>57147</v>
      </c>
    </row>
    <row r="7" spans="1:90" x14ac:dyDescent="0.35">
      <c r="A7" s="72">
        <v>14</v>
      </c>
      <c r="B7" s="72" t="s">
        <v>122</v>
      </c>
      <c r="C7" s="72">
        <v>1</v>
      </c>
      <c r="D7" s="78">
        <v>21696400000</v>
      </c>
      <c r="E7" s="78">
        <v>3748500000</v>
      </c>
      <c r="F7" s="78">
        <v>3847550000</v>
      </c>
      <c r="G7" s="78">
        <v>233273</v>
      </c>
      <c r="H7" s="78">
        <v>4</v>
      </c>
      <c r="I7" s="78">
        <f t="shared" si="2"/>
        <v>3847.55</v>
      </c>
      <c r="J7" s="78">
        <v>34284</v>
      </c>
      <c r="K7" s="78">
        <v>35096</v>
      </c>
      <c r="L7" s="78">
        <v>10239</v>
      </c>
      <c r="M7" s="78">
        <v>40560</v>
      </c>
      <c r="N7" s="78">
        <f t="shared" si="3"/>
        <v>27742.1</v>
      </c>
      <c r="O7" s="78">
        <v>10549.666666666701</v>
      </c>
      <c r="P7" s="78">
        <v>330</v>
      </c>
      <c r="Q7" s="78">
        <v>21132.666666666701</v>
      </c>
      <c r="R7" s="78">
        <v>80059</v>
      </c>
      <c r="S7" s="78">
        <v>11900</v>
      </c>
      <c r="T7" s="78">
        <v>0</v>
      </c>
      <c r="U7" s="78">
        <v>7715</v>
      </c>
      <c r="V7" s="78">
        <v>139115</v>
      </c>
      <c r="W7" s="78">
        <v>258180</v>
      </c>
      <c r="X7" s="78">
        <v>525030</v>
      </c>
      <c r="Y7" s="78">
        <v>8592.1970000000001</v>
      </c>
      <c r="Z7" s="78">
        <v>12478.4</v>
      </c>
      <c r="AA7" s="78">
        <v>0</v>
      </c>
      <c r="AB7" s="399">
        <f>IF((J7-'[2]Basisgegevens aanvullend'!D7*1.1)&lt;=0,0,J7-'[2]Basisgegevens aanvullend'!D7*1.1)</f>
        <v>0</v>
      </c>
      <c r="AC7" s="399">
        <v>0</v>
      </c>
      <c r="AD7" s="78">
        <v>18525</v>
      </c>
      <c r="AE7" s="78">
        <v>20562.75</v>
      </c>
      <c r="AF7" s="78">
        <v>1271</v>
      </c>
      <c r="AG7" s="78">
        <v>0</v>
      </c>
      <c r="AH7" s="78">
        <v>949</v>
      </c>
      <c r="AI7" s="78">
        <v>115</v>
      </c>
      <c r="AJ7" s="78">
        <v>1062.8800000000001</v>
      </c>
      <c r="AK7" s="78">
        <v>127.65</v>
      </c>
      <c r="AL7" s="78">
        <v>1064</v>
      </c>
      <c r="AM7" s="78">
        <v>128179</v>
      </c>
      <c r="AN7" s="78">
        <v>143560.48000000001</v>
      </c>
      <c r="AO7" s="78">
        <v>0</v>
      </c>
      <c r="AP7" s="78">
        <v>0</v>
      </c>
      <c r="AQ7" s="78">
        <v>112</v>
      </c>
      <c r="AR7" s="78">
        <v>6100</v>
      </c>
      <c r="AS7" s="78">
        <v>25791</v>
      </c>
      <c r="AT7" s="78">
        <v>23468</v>
      </c>
      <c r="AU7" s="400">
        <v>4.3219117000000001E-2</v>
      </c>
      <c r="AV7" s="400">
        <v>5.1323359999999998E-2</v>
      </c>
      <c r="AW7" s="78">
        <v>424528.848</v>
      </c>
      <c r="AX7" s="78">
        <v>0</v>
      </c>
      <c r="AY7" s="78">
        <v>9292.92</v>
      </c>
      <c r="AZ7" s="78">
        <v>117145.090759749</v>
      </c>
      <c r="BA7" s="78">
        <v>19</v>
      </c>
      <c r="BB7" s="78">
        <v>21.09</v>
      </c>
      <c r="BC7" s="78">
        <v>26222</v>
      </c>
      <c r="BD7" s="78">
        <v>1</v>
      </c>
      <c r="BE7" s="78">
        <v>0</v>
      </c>
      <c r="BF7" s="78">
        <v>0</v>
      </c>
      <c r="BG7" s="78">
        <v>0</v>
      </c>
      <c r="BH7" s="78">
        <v>0</v>
      </c>
      <c r="BI7" s="78">
        <v>0</v>
      </c>
      <c r="BJ7" s="78">
        <v>0</v>
      </c>
      <c r="BK7" s="78">
        <v>0</v>
      </c>
      <c r="BL7" s="78">
        <v>0</v>
      </c>
      <c r="BM7" s="78">
        <v>6205.4040000000005</v>
      </c>
      <c r="BN7" s="78">
        <v>464</v>
      </c>
      <c r="BO7" s="78">
        <v>415</v>
      </c>
      <c r="BP7" s="78">
        <v>60063.519999999997</v>
      </c>
      <c r="BQ7" s="78">
        <v>11614.74</v>
      </c>
      <c r="BR7" s="78">
        <v>1440.0555288282701</v>
      </c>
      <c r="BS7" s="78">
        <v>2809</v>
      </c>
      <c r="BT7" s="78">
        <v>2164</v>
      </c>
      <c r="BU7" s="78">
        <v>2078.3333333333298</v>
      </c>
      <c r="BV7" s="78">
        <f t="shared" si="4"/>
        <v>10583</v>
      </c>
      <c r="BW7" s="78">
        <v>4249</v>
      </c>
      <c r="BX7" s="78">
        <v>23998.167480096501</v>
      </c>
      <c r="BY7" s="78">
        <v>30.812999999999999</v>
      </c>
      <c r="BZ7" s="78">
        <v>198177</v>
      </c>
      <c r="CA7" s="78">
        <v>20627</v>
      </c>
      <c r="CB7" s="78">
        <v>4230</v>
      </c>
      <c r="CC7" s="78">
        <v>7234</v>
      </c>
      <c r="CD7" s="78">
        <v>4263</v>
      </c>
      <c r="CE7" s="78">
        <v>2353</v>
      </c>
      <c r="CF7" s="78">
        <v>3106.0226487958198</v>
      </c>
      <c r="CG7" s="78">
        <v>1620.4300447031101</v>
      </c>
      <c r="CH7" s="78">
        <v>663.36557860491996</v>
      </c>
      <c r="CI7" s="78">
        <v>7738.0591999999997</v>
      </c>
      <c r="CJ7" s="78">
        <v>4036.9904000000001</v>
      </c>
      <c r="CK7" s="78">
        <v>1652.6479999999999</v>
      </c>
      <c r="CL7" s="78">
        <v>190351</v>
      </c>
    </row>
    <row r="8" spans="1:90" x14ac:dyDescent="0.35">
      <c r="A8" s="72">
        <v>1966</v>
      </c>
      <c r="B8" s="72" t="s">
        <v>147</v>
      </c>
      <c r="C8" s="72">
        <v>1</v>
      </c>
      <c r="D8" s="78">
        <v>3240000000</v>
      </c>
      <c r="E8" s="78">
        <v>1351700000</v>
      </c>
      <c r="F8" s="78">
        <v>1444100000</v>
      </c>
      <c r="G8" s="78">
        <v>47834</v>
      </c>
      <c r="H8" s="78">
        <v>12</v>
      </c>
      <c r="I8" s="78">
        <f t="shared" si="2"/>
        <v>1444.1</v>
      </c>
      <c r="J8" s="78">
        <v>9038</v>
      </c>
      <c r="K8" s="78">
        <v>11574</v>
      </c>
      <c r="L8" s="78">
        <v>3544</v>
      </c>
      <c r="M8" s="78">
        <v>7315</v>
      </c>
      <c r="N8" s="78">
        <f t="shared" si="3"/>
        <v>5007</v>
      </c>
      <c r="O8" s="78">
        <v>1040.3333333333301</v>
      </c>
      <c r="P8" s="78">
        <v>57</v>
      </c>
      <c r="Q8" s="78">
        <v>3972.3333333333298</v>
      </c>
      <c r="R8" s="78">
        <v>7571</v>
      </c>
      <c r="S8" s="78">
        <v>745</v>
      </c>
      <c r="T8" s="78">
        <v>0</v>
      </c>
      <c r="U8" s="78">
        <v>1502</v>
      </c>
      <c r="V8" s="78">
        <v>22379</v>
      </c>
      <c r="W8" s="78">
        <v>40860</v>
      </c>
      <c r="X8" s="78">
        <v>5900</v>
      </c>
      <c r="Y8" s="78">
        <v>0</v>
      </c>
      <c r="Z8" s="78">
        <v>998.4</v>
      </c>
      <c r="AA8" s="78">
        <v>0</v>
      </c>
      <c r="AB8" s="399">
        <f>IF((J8-'[2]Basisgegevens aanvullend'!D8*1.1)&lt;=0,0,J8-'[2]Basisgegevens aanvullend'!D8*1.1)</f>
        <v>0</v>
      </c>
      <c r="AC8" s="399">
        <v>0</v>
      </c>
      <c r="AD8" s="78">
        <v>47699</v>
      </c>
      <c r="AE8" s="78">
        <v>52468.9</v>
      </c>
      <c r="AF8" s="78">
        <v>2034</v>
      </c>
      <c r="AG8" s="78">
        <v>10000</v>
      </c>
      <c r="AH8" s="78">
        <v>309</v>
      </c>
      <c r="AI8" s="78">
        <v>271</v>
      </c>
      <c r="AJ8" s="78">
        <v>352.26</v>
      </c>
      <c r="AK8" s="78">
        <v>298.10000000000002</v>
      </c>
      <c r="AL8" s="78">
        <v>580</v>
      </c>
      <c r="AM8" s="78">
        <v>23080</v>
      </c>
      <c r="AN8" s="78">
        <v>26311.200000000001</v>
      </c>
      <c r="AO8" s="78">
        <v>0</v>
      </c>
      <c r="AP8" s="78">
        <v>0</v>
      </c>
      <c r="AQ8" s="78">
        <v>0</v>
      </c>
      <c r="AR8" s="78">
        <v>0</v>
      </c>
      <c r="AS8" s="78">
        <v>1523</v>
      </c>
      <c r="AT8" s="78">
        <v>0</v>
      </c>
      <c r="AU8" s="400">
        <v>3.790589E-3</v>
      </c>
      <c r="AV8" s="400">
        <v>8.1829699999999995E-4</v>
      </c>
      <c r="AW8" s="78">
        <v>9555.1200000000008</v>
      </c>
      <c r="AX8" s="78">
        <v>0</v>
      </c>
      <c r="AY8" s="78">
        <v>10696.4</v>
      </c>
      <c r="AZ8" s="78">
        <v>10292.201701083801</v>
      </c>
      <c r="BA8" s="78">
        <v>41</v>
      </c>
      <c r="BB8" s="78">
        <v>45.1</v>
      </c>
      <c r="BC8" s="78">
        <v>4854</v>
      </c>
      <c r="BD8" s="78">
        <v>1</v>
      </c>
      <c r="BE8" s="78">
        <v>0</v>
      </c>
      <c r="BF8" s="78">
        <v>0</v>
      </c>
      <c r="BG8" s="78">
        <v>0</v>
      </c>
      <c r="BH8" s="78">
        <v>0</v>
      </c>
      <c r="BI8" s="78">
        <v>0</v>
      </c>
      <c r="BJ8" s="78">
        <v>0</v>
      </c>
      <c r="BK8" s="78">
        <v>0</v>
      </c>
      <c r="BL8" s="78">
        <v>0</v>
      </c>
      <c r="BM8" s="78">
        <v>1075.5219999999999</v>
      </c>
      <c r="BN8" s="78">
        <v>146</v>
      </c>
      <c r="BO8" s="78">
        <v>84</v>
      </c>
      <c r="BP8" s="78">
        <v>12548.3</v>
      </c>
      <c r="BQ8" s="78">
        <v>2691.7</v>
      </c>
      <c r="BR8" s="78">
        <v>416.787861476817</v>
      </c>
      <c r="BS8" s="78">
        <v>572</v>
      </c>
      <c r="BT8" s="78">
        <v>264.66666666666703</v>
      </c>
      <c r="BU8" s="78">
        <v>228</v>
      </c>
      <c r="BV8" s="78">
        <f t="shared" si="4"/>
        <v>2932</v>
      </c>
      <c r="BW8" s="78">
        <v>1006</v>
      </c>
      <c r="BX8" s="78">
        <v>9424.3817476621807</v>
      </c>
      <c r="BY8" s="78">
        <v>2.8079999999999998</v>
      </c>
      <c r="BZ8" s="78">
        <v>36260</v>
      </c>
      <c r="CA8" s="78">
        <v>6861</v>
      </c>
      <c r="CB8" s="78">
        <v>1169</v>
      </c>
      <c r="CC8" s="78">
        <v>1535</v>
      </c>
      <c r="CD8" s="78">
        <v>1233</v>
      </c>
      <c r="CE8" s="78">
        <v>616</v>
      </c>
      <c r="CF8" s="78">
        <v>943.69367417677699</v>
      </c>
      <c r="CG8" s="78">
        <v>551.03032928942798</v>
      </c>
      <c r="CH8" s="78">
        <v>182.88132582322399</v>
      </c>
      <c r="CI8" s="78">
        <v>2365.9650000000001</v>
      </c>
      <c r="CJ8" s="78">
        <v>1381.5060000000001</v>
      </c>
      <c r="CK8" s="78">
        <v>458.5077</v>
      </c>
      <c r="CL8" s="78">
        <v>85796</v>
      </c>
    </row>
    <row r="9" spans="1:90" x14ac:dyDescent="0.35">
      <c r="A9" s="72">
        <v>1952</v>
      </c>
      <c r="B9" s="72" t="s">
        <v>203</v>
      </c>
      <c r="C9" s="72">
        <v>1</v>
      </c>
      <c r="D9" s="78">
        <v>4164000000</v>
      </c>
      <c r="E9" s="78">
        <v>770350000</v>
      </c>
      <c r="F9" s="78">
        <v>811650000</v>
      </c>
      <c r="G9" s="78">
        <v>60726</v>
      </c>
      <c r="H9" s="78">
        <v>9</v>
      </c>
      <c r="I9" s="78">
        <f t="shared" si="2"/>
        <v>811.65</v>
      </c>
      <c r="J9" s="78">
        <v>10823</v>
      </c>
      <c r="K9" s="78">
        <v>13827</v>
      </c>
      <c r="L9" s="78">
        <v>4435</v>
      </c>
      <c r="M9" s="78">
        <v>10071</v>
      </c>
      <c r="N9" s="78">
        <f t="shared" si="3"/>
        <v>7167.6</v>
      </c>
      <c r="O9" s="78">
        <v>1738.3333333333301</v>
      </c>
      <c r="P9" s="78">
        <v>114</v>
      </c>
      <c r="Q9" s="78">
        <v>6272.3333333333303</v>
      </c>
      <c r="R9" s="78">
        <v>9802</v>
      </c>
      <c r="S9" s="78">
        <v>3750</v>
      </c>
      <c r="T9" s="78">
        <v>0</v>
      </c>
      <c r="U9" s="78">
        <v>2193</v>
      </c>
      <c r="V9" s="78">
        <v>29011</v>
      </c>
      <c r="W9" s="78">
        <v>57130</v>
      </c>
      <c r="X9" s="78">
        <v>42010</v>
      </c>
      <c r="Y9" s="78">
        <v>405.9</v>
      </c>
      <c r="Z9" s="78">
        <v>1204.8</v>
      </c>
      <c r="AA9" s="78">
        <v>0</v>
      </c>
      <c r="AB9" s="399">
        <f>IF((J9-'[2]Basisgegevens aanvullend'!D9*1.1)&lt;=0,0,J9-'[2]Basisgegevens aanvullend'!D9*1.1)</f>
        <v>0</v>
      </c>
      <c r="AC9" s="399">
        <v>0</v>
      </c>
      <c r="AD9" s="78">
        <v>27785</v>
      </c>
      <c r="AE9" s="78">
        <v>27785</v>
      </c>
      <c r="AF9" s="78">
        <v>1792</v>
      </c>
      <c r="AG9" s="78">
        <v>0</v>
      </c>
      <c r="AH9" s="78">
        <v>391</v>
      </c>
      <c r="AI9" s="78">
        <v>171</v>
      </c>
      <c r="AJ9" s="78">
        <v>391</v>
      </c>
      <c r="AK9" s="78">
        <v>172.71</v>
      </c>
      <c r="AL9" s="78">
        <v>561</v>
      </c>
      <c r="AM9" s="78">
        <v>29034</v>
      </c>
      <c r="AN9" s="78">
        <v>29034</v>
      </c>
      <c r="AO9" s="78">
        <v>0</v>
      </c>
      <c r="AP9" s="78">
        <v>0</v>
      </c>
      <c r="AQ9" s="78">
        <v>0</v>
      </c>
      <c r="AR9" s="78">
        <v>0</v>
      </c>
      <c r="AS9" s="78">
        <v>3173</v>
      </c>
      <c r="AT9" s="78">
        <v>0</v>
      </c>
      <c r="AU9" s="400">
        <v>3.4819299999999998E-3</v>
      </c>
      <c r="AV9" s="400">
        <v>3.2047080000000001E-3</v>
      </c>
      <c r="AW9" s="78">
        <v>24853.103999999999</v>
      </c>
      <c r="AX9" s="78">
        <v>0</v>
      </c>
      <c r="AY9" s="78">
        <v>8408</v>
      </c>
      <c r="AZ9" s="78">
        <v>17583.171518409599</v>
      </c>
      <c r="BA9" s="78">
        <v>22</v>
      </c>
      <c r="BB9" s="78">
        <v>22.22</v>
      </c>
      <c r="BC9" s="78">
        <v>5448</v>
      </c>
      <c r="BD9" s="78">
        <v>1</v>
      </c>
      <c r="BE9" s="78">
        <v>0</v>
      </c>
      <c r="BF9" s="78">
        <v>0</v>
      </c>
      <c r="BG9" s="78">
        <v>0</v>
      </c>
      <c r="BH9" s="78">
        <v>0</v>
      </c>
      <c r="BI9" s="78">
        <v>0</v>
      </c>
      <c r="BJ9" s="78">
        <v>0</v>
      </c>
      <c r="BK9" s="78">
        <v>0</v>
      </c>
      <c r="BL9" s="78">
        <v>0</v>
      </c>
      <c r="BM9" s="78">
        <v>1688.3879999999999</v>
      </c>
      <c r="BN9" s="78">
        <v>245</v>
      </c>
      <c r="BO9" s="78">
        <v>193</v>
      </c>
      <c r="BP9" s="78">
        <v>15596</v>
      </c>
      <c r="BQ9" s="78">
        <v>3346.92</v>
      </c>
      <c r="BR9" s="78">
        <v>471.51545218352697</v>
      </c>
      <c r="BS9" s="78">
        <v>850</v>
      </c>
      <c r="BT9" s="78">
        <v>454.66666666666703</v>
      </c>
      <c r="BU9" s="78">
        <v>428.33333333333297</v>
      </c>
      <c r="BV9" s="78">
        <f t="shared" si="4"/>
        <v>4534</v>
      </c>
      <c r="BW9" s="78">
        <v>1609</v>
      </c>
      <c r="BX9" s="78">
        <v>13527.5437827524</v>
      </c>
      <c r="BY9" s="78">
        <v>5.5049999999999999</v>
      </c>
      <c r="BZ9" s="78">
        <v>46899</v>
      </c>
      <c r="CA9" s="78">
        <v>7975</v>
      </c>
      <c r="CB9" s="78">
        <v>1417</v>
      </c>
      <c r="CC9" s="78">
        <v>1770</v>
      </c>
      <c r="CD9" s="78">
        <v>1476</v>
      </c>
      <c r="CE9" s="78">
        <v>696</v>
      </c>
      <c r="CF9" s="78">
        <v>1242.2457532548001</v>
      </c>
      <c r="CG9" s="78">
        <v>761.34457532548095</v>
      </c>
      <c r="CH9" s="78">
        <v>244.64736515809</v>
      </c>
      <c r="CI9" s="78">
        <v>2858.1759999999999</v>
      </c>
      <c r="CJ9" s="78">
        <v>1751.712</v>
      </c>
      <c r="CK9" s="78">
        <v>562.88800000000003</v>
      </c>
      <c r="CL9" s="78">
        <v>153208</v>
      </c>
    </row>
    <row r="10" spans="1:90" x14ac:dyDescent="0.35">
      <c r="A10" s="72">
        <v>1895</v>
      </c>
      <c r="B10" s="72" t="s">
        <v>227</v>
      </c>
      <c r="C10" s="72">
        <v>1</v>
      </c>
      <c r="D10" s="78">
        <v>2479200000</v>
      </c>
      <c r="E10" s="78">
        <v>502250000</v>
      </c>
      <c r="F10" s="78">
        <v>538650000</v>
      </c>
      <c r="G10" s="78">
        <v>38277</v>
      </c>
      <c r="H10" s="78">
        <v>6</v>
      </c>
      <c r="I10" s="78">
        <f t="shared" si="2"/>
        <v>538.65</v>
      </c>
      <c r="J10" s="78">
        <v>6427</v>
      </c>
      <c r="K10" s="78">
        <v>9641</v>
      </c>
      <c r="L10" s="78">
        <v>3115</v>
      </c>
      <c r="M10" s="78">
        <v>7300</v>
      </c>
      <c r="N10" s="78">
        <f t="shared" si="3"/>
        <v>5413.8</v>
      </c>
      <c r="O10" s="78">
        <v>1346</v>
      </c>
      <c r="P10" s="78">
        <v>108</v>
      </c>
      <c r="Q10" s="78">
        <v>4546</v>
      </c>
      <c r="R10" s="78">
        <v>6821</v>
      </c>
      <c r="S10" s="78">
        <v>735</v>
      </c>
      <c r="T10" s="78">
        <v>0</v>
      </c>
      <c r="U10" s="78">
        <v>1364</v>
      </c>
      <c r="V10" s="78">
        <v>18850</v>
      </c>
      <c r="W10" s="78">
        <v>39140</v>
      </c>
      <c r="X10" s="78">
        <v>27680</v>
      </c>
      <c r="Y10" s="78">
        <v>1170.28</v>
      </c>
      <c r="Z10" s="78">
        <v>1516</v>
      </c>
      <c r="AA10" s="78">
        <v>0</v>
      </c>
      <c r="AB10" s="399">
        <f>IF((J10-'[2]Basisgegevens aanvullend'!D10*1.1)&lt;=0,0,J10-'[2]Basisgegevens aanvullend'!D10*1.1)</f>
        <v>0</v>
      </c>
      <c r="AC10" s="399">
        <v>0</v>
      </c>
      <c r="AD10" s="78">
        <v>22641</v>
      </c>
      <c r="AE10" s="78">
        <v>24678.69</v>
      </c>
      <c r="AF10" s="78">
        <v>1409</v>
      </c>
      <c r="AG10" s="78">
        <v>5546</v>
      </c>
      <c r="AH10" s="78">
        <v>261</v>
      </c>
      <c r="AI10" s="78">
        <v>132</v>
      </c>
      <c r="AJ10" s="78">
        <v>271.44</v>
      </c>
      <c r="AK10" s="78">
        <v>143.88</v>
      </c>
      <c r="AL10" s="78">
        <v>393</v>
      </c>
      <c r="AM10" s="78">
        <v>18862</v>
      </c>
      <c r="AN10" s="78">
        <v>19616.48</v>
      </c>
      <c r="AO10" s="78">
        <v>10</v>
      </c>
      <c r="AP10" s="78">
        <v>0</v>
      </c>
      <c r="AQ10" s="78">
        <v>0</v>
      </c>
      <c r="AR10" s="78">
        <v>0</v>
      </c>
      <c r="AS10" s="78">
        <v>3452</v>
      </c>
      <c r="AT10" s="78">
        <v>2903</v>
      </c>
      <c r="AU10" s="400">
        <v>3.3216859999999999E-3</v>
      </c>
      <c r="AV10" s="400">
        <v>1.6622340000000001E-3</v>
      </c>
      <c r="AW10" s="78">
        <v>15674.322</v>
      </c>
      <c r="AX10" s="78">
        <v>0</v>
      </c>
      <c r="AY10" s="78">
        <v>6221.72</v>
      </c>
      <c r="AZ10" s="78">
        <v>11952.7691351351</v>
      </c>
      <c r="BA10" s="78">
        <v>23</v>
      </c>
      <c r="BB10" s="78">
        <v>25.07</v>
      </c>
      <c r="BC10" s="78">
        <v>3352</v>
      </c>
      <c r="BD10" s="78">
        <v>1</v>
      </c>
      <c r="BE10" s="78">
        <v>0</v>
      </c>
      <c r="BF10" s="78">
        <v>0</v>
      </c>
      <c r="BG10" s="78">
        <v>0</v>
      </c>
      <c r="BH10" s="78">
        <v>0</v>
      </c>
      <c r="BI10" s="78">
        <v>0</v>
      </c>
      <c r="BJ10" s="78">
        <v>0</v>
      </c>
      <c r="BK10" s="78">
        <v>0</v>
      </c>
      <c r="BL10" s="78">
        <v>0</v>
      </c>
      <c r="BM10" s="78">
        <v>1041.174</v>
      </c>
      <c r="BN10" s="78">
        <v>199</v>
      </c>
      <c r="BO10" s="78">
        <v>75</v>
      </c>
      <c r="BP10" s="78">
        <v>9464</v>
      </c>
      <c r="BQ10" s="78">
        <v>1895.67</v>
      </c>
      <c r="BR10" s="78">
        <v>259.32021444362601</v>
      </c>
      <c r="BS10" s="78">
        <v>499</v>
      </c>
      <c r="BT10" s="78">
        <v>343</v>
      </c>
      <c r="BU10" s="78">
        <v>295</v>
      </c>
      <c r="BV10" s="78">
        <f t="shared" si="4"/>
        <v>3200</v>
      </c>
      <c r="BW10" s="78">
        <v>998</v>
      </c>
      <c r="BX10" s="78">
        <v>9762.2628919887993</v>
      </c>
      <c r="BY10" s="78">
        <v>4.4080000000000004</v>
      </c>
      <c r="BZ10" s="78">
        <v>28636</v>
      </c>
      <c r="CA10" s="78">
        <v>5457</v>
      </c>
      <c r="CB10" s="78">
        <v>1069</v>
      </c>
      <c r="CC10" s="78">
        <v>1212</v>
      </c>
      <c r="CD10" s="78">
        <v>1103</v>
      </c>
      <c r="CE10" s="78">
        <v>537</v>
      </c>
      <c r="CF10" s="78">
        <v>989.65021736825395</v>
      </c>
      <c r="CG10" s="78">
        <v>628.29011769695705</v>
      </c>
      <c r="CH10" s="78">
        <v>210.09975612342299</v>
      </c>
      <c r="CI10" s="78">
        <v>2155</v>
      </c>
      <c r="CJ10" s="78">
        <v>1368.125</v>
      </c>
      <c r="CK10" s="78">
        <v>457.5</v>
      </c>
      <c r="CL10" s="78">
        <v>43580</v>
      </c>
    </row>
    <row r="11" spans="1:90" x14ac:dyDescent="0.35">
      <c r="A11" s="72">
        <v>765</v>
      </c>
      <c r="B11" s="72" t="s">
        <v>245</v>
      </c>
      <c r="C11" s="72">
        <v>1</v>
      </c>
      <c r="D11" s="78">
        <v>640400000</v>
      </c>
      <c r="E11" s="78">
        <v>76650000</v>
      </c>
      <c r="F11" s="78">
        <v>89600000</v>
      </c>
      <c r="G11" s="78">
        <v>12176</v>
      </c>
      <c r="H11" s="78">
        <v>1</v>
      </c>
      <c r="I11" s="78">
        <f t="shared" si="2"/>
        <v>89.6</v>
      </c>
      <c r="J11" s="78">
        <v>2162</v>
      </c>
      <c r="K11" s="78">
        <v>2862</v>
      </c>
      <c r="L11" s="78">
        <v>916</v>
      </c>
      <c r="M11" s="78">
        <v>2285</v>
      </c>
      <c r="N11" s="78">
        <f t="shared" si="3"/>
        <v>1705.5</v>
      </c>
      <c r="O11" s="78">
        <v>445</v>
      </c>
      <c r="P11" s="78">
        <v>22</v>
      </c>
      <c r="Q11" s="78">
        <v>1703</v>
      </c>
      <c r="R11" s="78">
        <v>1866</v>
      </c>
      <c r="S11" s="78">
        <v>195</v>
      </c>
      <c r="T11" s="78">
        <v>0</v>
      </c>
      <c r="U11" s="78">
        <v>444</v>
      </c>
      <c r="V11" s="78">
        <v>5690</v>
      </c>
      <c r="W11" s="78">
        <v>12440</v>
      </c>
      <c r="X11" s="78">
        <v>7740</v>
      </c>
      <c r="Y11" s="78">
        <v>0</v>
      </c>
      <c r="Z11" s="78">
        <v>183.2</v>
      </c>
      <c r="AA11" s="78">
        <v>0</v>
      </c>
      <c r="AB11" s="399">
        <f>IF((J11-'[2]Basisgegevens aanvullend'!D11*1.1)&lt;=0,0,J11-'[2]Basisgegevens aanvullend'!D11*1.1)</f>
        <v>0</v>
      </c>
      <c r="AC11" s="399">
        <v>0</v>
      </c>
      <c r="AD11" s="78">
        <v>4904</v>
      </c>
      <c r="AE11" s="78">
        <v>4904</v>
      </c>
      <c r="AF11" s="78">
        <v>116</v>
      </c>
      <c r="AG11" s="78">
        <v>0</v>
      </c>
      <c r="AH11" s="78">
        <v>97</v>
      </c>
      <c r="AI11" s="78">
        <v>22</v>
      </c>
      <c r="AJ11" s="78">
        <v>97</v>
      </c>
      <c r="AK11" s="78">
        <v>22</v>
      </c>
      <c r="AL11" s="78">
        <v>120</v>
      </c>
      <c r="AM11" s="78">
        <v>5795</v>
      </c>
      <c r="AN11" s="78">
        <v>5795</v>
      </c>
      <c r="AO11" s="78">
        <v>0</v>
      </c>
      <c r="AP11" s="78">
        <v>0</v>
      </c>
      <c r="AQ11" s="78">
        <v>0</v>
      </c>
      <c r="AR11" s="78">
        <v>0</v>
      </c>
      <c r="AS11" s="78">
        <v>2102</v>
      </c>
      <c r="AT11" s="78">
        <v>0</v>
      </c>
      <c r="AU11" s="400">
        <v>9.2181800000000003E-4</v>
      </c>
      <c r="AV11" s="400">
        <v>3.5157999999999999E-4</v>
      </c>
      <c r="AW11" s="78">
        <v>3088.7350000000001</v>
      </c>
      <c r="AX11" s="78">
        <v>0</v>
      </c>
      <c r="AY11" s="78">
        <v>1467</v>
      </c>
      <c r="AZ11" s="78">
        <v>3558.2055776892398</v>
      </c>
      <c r="BA11" s="78">
        <v>4</v>
      </c>
      <c r="BB11" s="78">
        <v>4</v>
      </c>
      <c r="BC11" s="78">
        <v>882</v>
      </c>
      <c r="BD11" s="78">
        <v>1</v>
      </c>
      <c r="BE11" s="78">
        <v>0</v>
      </c>
      <c r="BF11" s="78">
        <v>0</v>
      </c>
      <c r="BG11" s="78">
        <v>0</v>
      </c>
      <c r="BH11" s="78">
        <v>0</v>
      </c>
      <c r="BI11" s="78">
        <v>0</v>
      </c>
      <c r="BJ11" s="78">
        <v>0</v>
      </c>
      <c r="BK11" s="78">
        <v>0</v>
      </c>
      <c r="BL11" s="78">
        <v>0</v>
      </c>
      <c r="BM11" s="78">
        <v>466.99200000000002</v>
      </c>
      <c r="BN11" s="78">
        <v>84</v>
      </c>
      <c r="BO11" s="78">
        <v>49</v>
      </c>
      <c r="BP11" s="78">
        <v>2783</v>
      </c>
      <c r="BQ11" s="78">
        <v>559.35</v>
      </c>
      <c r="BR11" s="78">
        <v>84.038129449838195</v>
      </c>
      <c r="BS11" s="78">
        <v>164</v>
      </c>
      <c r="BT11" s="78">
        <v>144.666666666667</v>
      </c>
      <c r="BU11" s="78">
        <v>121.666666666667</v>
      </c>
      <c r="BV11" s="78">
        <f t="shared" si="4"/>
        <v>1258</v>
      </c>
      <c r="BW11" s="78">
        <v>318</v>
      </c>
      <c r="BX11" s="78">
        <v>3144.3152246638201</v>
      </c>
      <c r="BY11" s="78">
        <v>1.514</v>
      </c>
      <c r="BZ11" s="78">
        <v>9314</v>
      </c>
      <c r="CA11" s="78">
        <v>1634</v>
      </c>
      <c r="CB11" s="78">
        <v>312</v>
      </c>
      <c r="CC11" s="78">
        <v>353</v>
      </c>
      <c r="CD11" s="78">
        <v>310</v>
      </c>
      <c r="CE11" s="78">
        <v>159</v>
      </c>
      <c r="CF11" s="78">
        <v>301.66307161345998</v>
      </c>
      <c r="CG11" s="78">
        <v>193.06436583261399</v>
      </c>
      <c r="CH11" s="78">
        <v>65.630112165660094</v>
      </c>
      <c r="CI11" s="78">
        <v>686.85249999999996</v>
      </c>
      <c r="CJ11" s="78">
        <v>439.5856</v>
      </c>
      <c r="CK11" s="78">
        <v>149.4323</v>
      </c>
      <c r="CL11" s="78">
        <v>0</v>
      </c>
    </row>
    <row r="12" spans="1:90" x14ac:dyDescent="0.35">
      <c r="A12" s="72">
        <v>37</v>
      </c>
      <c r="B12" s="72" t="s">
        <v>282</v>
      </c>
      <c r="C12" s="72">
        <v>1</v>
      </c>
      <c r="D12" s="78">
        <v>2107600000</v>
      </c>
      <c r="E12" s="78">
        <v>295750000</v>
      </c>
      <c r="F12" s="78">
        <v>334600000</v>
      </c>
      <c r="G12" s="78">
        <v>31754</v>
      </c>
      <c r="H12" s="78">
        <v>3</v>
      </c>
      <c r="I12" s="78">
        <f t="shared" si="2"/>
        <v>334.6</v>
      </c>
      <c r="J12" s="78">
        <v>5544</v>
      </c>
      <c r="K12" s="78">
        <v>8105</v>
      </c>
      <c r="L12" s="78">
        <v>2815</v>
      </c>
      <c r="M12" s="78">
        <v>5894</v>
      </c>
      <c r="N12" s="78">
        <f t="shared" si="3"/>
        <v>4347</v>
      </c>
      <c r="O12" s="78">
        <v>892</v>
      </c>
      <c r="P12" s="78">
        <v>134</v>
      </c>
      <c r="Q12" s="78">
        <v>3897</v>
      </c>
      <c r="R12" s="78">
        <v>5281</v>
      </c>
      <c r="S12" s="78">
        <v>515</v>
      </c>
      <c r="T12" s="78">
        <v>0</v>
      </c>
      <c r="U12" s="78">
        <v>1011</v>
      </c>
      <c r="V12" s="78">
        <v>15226</v>
      </c>
      <c r="W12" s="78">
        <v>35000</v>
      </c>
      <c r="X12" s="78">
        <v>29080</v>
      </c>
      <c r="Y12" s="78">
        <v>1260.06</v>
      </c>
      <c r="Z12" s="78">
        <v>1548.8</v>
      </c>
      <c r="AA12" s="78">
        <v>0</v>
      </c>
      <c r="AB12" s="399">
        <f>IF((J12-'[2]Basisgegevens aanvullend'!D12*1.1)&lt;=0,0,J12-'[2]Basisgegevens aanvullend'!D12*1.1)</f>
        <v>0</v>
      </c>
      <c r="AC12" s="399">
        <v>57.199999999999797</v>
      </c>
      <c r="AD12" s="78">
        <v>11771</v>
      </c>
      <c r="AE12" s="78">
        <v>11771</v>
      </c>
      <c r="AF12" s="78">
        <v>223</v>
      </c>
      <c r="AG12" s="78">
        <v>0</v>
      </c>
      <c r="AH12" s="78">
        <v>212</v>
      </c>
      <c r="AI12" s="78">
        <v>64</v>
      </c>
      <c r="AJ12" s="78">
        <v>212</v>
      </c>
      <c r="AK12" s="78">
        <v>64</v>
      </c>
      <c r="AL12" s="78">
        <v>276</v>
      </c>
      <c r="AM12" s="78">
        <v>15470</v>
      </c>
      <c r="AN12" s="78">
        <v>15470</v>
      </c>
      <c r="AO12" s="78">
        <v>0</v>
      </c>
      <c r="AP12" s="78">
        <v>0</v>
      </c>
      <c r="AQ12" s="78">
        <v>0</v>
      </c>
      <c r="AR12" s="78">
        <v>0</v>
      </c>
      <c r="AS12" s="78">
        <v>3442</v>
      </c>
      <c r="AT12" s="78">
        <v>0</v>
      </c>
      <c r="AU12" s="400">
        <v>2.1908919999999998E-3</v>
      </c>
      <c r="AV12" s="400">
        <v>1.600237E-3</v>
      </c>
      <c r="AW12" s="78">
        <v>12932.92</v>
      </c>
      <c r="AX12" s="78">
        <v>0</v>
      </c>
      <c r="AY12" s="78">
        <v>3256</v>
      </c>
      <c r="AZ12" s="78">
        <v>8620.2287810571997</v>
      </c>
      <c r="BA12" s="78">
        <v>13</v>
      </c>
      <c r="BB12" s="78">
        <v>13</v>
      </c>
      <c r="BC12" s="78">
        <v>2917</v>
      </c>
      <c r="BD12" s="78">
        <v>1</v>
      </c>
      <c r="BE12" s="78">
        <v>0</v>
      </c>
      <c r="BF12" s="78">
        <v>0</v>
      </c>
      <c r="BG12" s="78">
        <v>0</v>
      </c>
      <c r="BH12" s="78">
        <v>0</v>
      </c>
      <c r="BI12" s="78">
        <v>0</v>
      </c>
      <c r="BJ12" s="78">
        <v>0</v>
      </c>
      <c r="BK12" s="78">
        <v>0</v>
      </c>
      <c r="BL12" s="78">
        <v>0</v>
      </c>
      <c r="BM12" s="78">
        <v>920.30399999999997</v>
      </c>
      <c r="BN12" s="78">
        <v>150</v>
      </c>
      <c r="BO12" s="78">
        <v>79</v>
      </c>
      <c r="BP12" s="78">
        <v>7594.08</v>
      </c>
      <c r="BQ12" s="78">
        <v>1509.5</v>
      </c>
      <c r="BR12" s="78">
        <v>221.50532862190801</v>
      </c>
      <c r="BS12" s="78">
        <v>369</v>
      </c>
      <c r="BT12" s="78">
        <v>230.333333333333</v>
      </c>
      <c r="BU12" s="78">
        <v>200</v>
      </c>
      <c r="BV12" s="78">
        <f t="shared" si="4"/>
        <v>3005</v>
      </c>
      <c r="BW12" s="78">
        <v>856</v>
      </c>
      <c r="BX12" s="78">
        <v>8829.5882320267592</v>
      </c>
      <c r="BY12" s="78">
        <v>2.9550000000000001</v>
      </c>
      <c r="BZ12" s="78">
        <v>23649</v>
      </c>
      <c r="CA12" s="78">
        <v>4276</v>
      </c>
      <c r="CB12" s="78">
        <v>1014</v>
      </c>
      <c r="CC12" s="78">
        <v>933</v>
      </c>
      <c r="CD12" s="78">
        <v>998</v>
      </c>
      <c r="CE12" s="78">
        <v>553</v>
      </c>
      <c r="CF12" s="78">
        <v>746.88597285067897</v>
      </c>
      <c r="CG12" s="78">
        <v>553.84208144796401</v>
      </c>
      <c r="CH12" s="78">
        <v>211.87058823529401</v>
      </c>
      <c r="CI12" s="78">
        <v>1675.6032</v>
      </c>
      <c r="CJ12" s="78">
        <v>1242.5183999999999</v>
      </c>
      <c r="CK12" s="78">
        <v>475.32159999999999</v>
      </c>
      <c r="CL12" s="78">
        <v>0</v>
      </c>
    </row>
    <row r="13" spans="1:90" x14ac:dyDescent="0.35">
      <c r="A13" s="72">
        <v>47</v>
      </c>
      <c r="B13" s="72" t="s">
        <v>310</v>
      </c>
      <c r="C13" s="72">
        <v>1</v>
      </c>
      <c r="D13" s="78">
        <v>1633200000</v>
      </c>
      <c r="E13" s="78">
        <v>325500000</v>
      </c>
      <c r="F13" s="78">
        <v>348250000</v>
      </c>
      <c r="G13" s="78">
        <v>27417</v>
      </c>
      <c r="H13" s="78">
        <v>1</v>
      </c>
      <c r="I13" s="78">
        <f t="shared" si="2"/>
        <v>348.25</v>
      </c>
      <c r="J13" s="78">
        <v>4993</v>
      </c>
      <c r="K13" s="78">
        <v>6391</v>
      </c>
      <c r="L13" s="78">
        <v>2033</v>
      </c>
      <c r="M13" s="78">
        <v>4803</v>
      </c>
      <c r="N13" s="78">
        <f t="shared" si="3"/>
        <v>3507.8999999999996</v>
      </c>
      <c r="O13" s="78">
        <v>884.66666666666697</v>
      </c>
      <c r="P13" s="78">
        <v>56</v>
      </c>
      <c r="Q13" s="78">
        <v>3125.6666666666702</v>
      </c>
      <c r="R13" s="78">
        <v>4429</v>
      </c>
      <c r="S13" s="78">
        <v>1510</v>
      </c>
      <c r="T13" s="78">
        <v>0</v>
      </c>
      <c r="U13" s="78">
        <v>1051</v>
      </c>
      <c r="V13" s="78">
        <v>12999</v>
      </c>
      <c r="W13" s="78">
        <v>30920</v>
      </c>
      <c r="X13" s="78">
        <v>29240</v>
      </c>
      <c r="Y13" s="78">
        <v>936.4</v>
      </c>
      <c r="Z13" s="78">
        <v>1497.6</v>
      </c>
      <c r="AA13" s="78">
        <v>0</v>
      </c>
      <c r="AB13" s="399">
        <f>IF((J13-'[2]Basisgegevens aanvullend'!D13*1.1)&lt;=0,0,J13-'[2]Basisgegevens aanvullend'!D13*1.1)</f>
        <v>0</v>
      </c>
      <c r="AC13" s="399">
        <v>0</v>
      </c>
      <c r="AD13" s="78">
        <v>7596</v>
      </c>
      <c r="AE13" s="78">
        <v>7596</v>
      </c>
      <c r="AF13" s="78">
        <v>272</v>
      </c>
      <c r="AG13" s="78">
        <v>0</v>
      </c>
      <c r="AH13" s="78">
        <v>187</v>
      </c>
      <c r="AI13" s="78">
        <v>58</v>
      </c>
      <c r="AJ13" s="78">
        <v>187</v>
      </c>
      <c r="AK13" s="78">
        <v>58</v>
      </c>
      <c r="AL13" s="78">
        <v>246</v>
      </c>
      <c r="AM13" s="78">
        <v>12951</v>
      </c>
      <c r="AN13" s="78">
        <v>12951</v>
      </c>
      <c r="AO13" s="78">
        <v>0</v>
      </c>
      <c r="AP13" s="78">
        <v>0</v>
      </c>
      <c r="AQ13" s="78">
        <v>0</v>
      </c>
      <c r="AR13" s="78">
        <v>0</v>
      </c>
      <c r="AS13" s="78">
        <v>3654</v>
      </c>
      <c r="AT13" s="78">
        <v>0</v>
      </c>
      <c r="AU13" s="400">
        <v>1.8379760000000001E-3</v>
      </c>
      <c r="AV13" s="400">
        <v>1.366882E-3</v>
      </c>
      <c r="AW13" s="78">
        <v>13041.656999999999</v>
      </c>
      <c r="AX13" s="78">
        <v>0</v>
      </c>
      <c r="AY13" s="78">
        <v>3280</v>
      </c>
      <c r="AZ13" s="78">
        <v>11429.557702084399</v>
      </c>
      <c r="BA13" s="78">
        <v>6</v>
      </c>
      <c r="BB13" s="78">
        <v>6</v>
      </c>
      <c r="BC13" s="78">
        <v>2283</v>
      </c>
      <c r="BD13" s="78">
        <v>1</v>
      </c>
      <c r="BE13" s="78">
        <v>0</v>
      </c>
      <c r="BF13" s="78">
        <v>0</v>
      </c>
      <c r="BG13" s="78">
        <v>0</v>
      </c>
      <c r="BH13" s="78">
        <v>0</v>
      </c>
      <c r="BI13" s="78">
        <v>0</v>
      </c>
      <c r="BJ13" s="78">
        <v>0</v>
      </c>
      <c r="BK13" s="78">
        <v>0</v>
      </c>
      <c r="BL13" s="78">
        <v>0</v>
      </c>
      <c r="BM13" s="78">
        <v>813.85900000000004</v>
      </c>
      <c r="BN13" s="78">
        <v>161</v>
      </c>
      <c r="BO13" s="78">
        <v>74</v>
      </c>
      <c r="BP13" s="78">
        <v>6971.8</v>
      </c>
      <c r="BQ13" s="78">
        <v>1466.76</v>
      </c>
      <c r="BR13" s="78">
        <v>265.80113352615098</v>
      </c>
      <c r="BS13" s="78">
        <v>383</v>
      </c>
      <c r="BT13" s="78">
        <v>243</v>
      </c>
      <c r="BU13" s="78">
        <v>227.333333333333</v>
      </c>
      <c r="BV13" s="78">
        <f t="shared" si="4"/>
        <v>2241.0000000000032</v>
      </c>
      <c r="BW13" s="78">
        <v>636</v>
      </c>
      <c r="BX13" s="78">
        <v>6343.5553111305899</v>
      </c>
      <c r="BY13" s="78">
        <v>2.8690000000000002</v>
      </c>
      <c r="BZ13" s="78">
        <v>21026</v>
      </c>
      <c r="CA13" s="78">
        <v>3666</v>
      </c>
      <c r="CB13" s="78">
        <v>692</v>
      </c>
      <c r="CC13" s="78">
        <v>814</v>
      </c>
      <c r="CD13" s="78">
        <v>700</v>
      </c>
      <c r="CE13" s="78">
        <v>334</v>
      </c>
      <c r="CF13" s="78">
        <v>625.68519805420397</v>
      </c>
      <c r="CG13" s="78">
        <v>385.703775770211</v>
      </c>
      <c r="CH13" s="78">
        <v>130.01250868658801</v>
      </c>
      <c r="CI13" s="78">
        <v>1370.2919999999999</v>
      </c>
      <c r="CJ13" s="78">
        <v>844.71680000000003</v>
      </c>
      <c r="CK13" s="78">
        <v>284.73599999999999</v>
      </c>
      <c r="CL13" s="78">
        <v>23814</v>
      </c>
    </row>
    <row r="14" spans="1:90" x14ac:dyDescent="0.35">
      <c r="A14" s="72">
        <v>1969</v>
      </c>
      <c r="B14" s="72" t="s">
        <v>336</v>
      </c>
      <c r="C14" s="72">
        <v>1</v>
      </c>
      <c r="D14" s="78">
        <v>4970400000</v>
      </c>
      <c r="E14" s="78">
        <v>793450000</v>
      </c>
      <c r="F14" s="78">
        <v>884100000</v>
      </c>
      <c r="G14" s="78">
        <v>63678</v>
      </c>
      <c r="H14" s="78">
        <v>11</v>
      </c>
      <c r="I14" s="78">
        <f t="shared" si="2"/>
        <v>884.1</v>
      </c>
      <c r="J14" s="78">
        <v>13326</v>
      </c>
      <c r="K14" s="78">
        <v>13403</v>
      </c>
      <c r="L14" s="78">
        <v>4357</v>
      </c>
      <c r="M14" s="78">
        <v>7923</v>
      </c>
      <c r="N14" s="78">
        <f t="shared" si="3"/>
        <v>5143.2</v>
      </c>
      <c r="O14" s="78">
        <v>930</v>
      </c>
      <c r="P14" s="78">
        <v>64</v>
      </c>
      <c r="Q14" s="78">
        <v>4093</v>
      </c>
      <c r="R14" s="78">
        <v>7779</v>
      </c>
      <c r="S14" s="78">
        <v>860</v>
      </c>
      <c r="T14" s="78">
        <v>0</v>
      </c>
      <c r="U14" s="78">
        <v>1688</v>
      </c>
      <c r="V14" s="78">
        <v>27658</v>
      </c>
      <c r="W14" s="78">
        <v>56060</v>
      </c>
      <c r="X14" s="78">
        <v>20450</v>
      </c>
      <c r="Y14" s="78">
        <v>0</v>
      </c>
      <c r="Z14" s="78">
        <v>1686.4</v>
      </c>
      <c r="AA14" s="78">
        <v>0</v>
      </c>
      <c r="AB14" s="399">
        <f>IF((J14-'[2]Basisgegevens aanvullend'!D14*1.1)&lt;=0,0,J14-'[2]Basisgegevens aanvullend'!D14*1.1)</f>
        <v>0</v>
      </c>
      <c r="AC14" s="399">
        <v>0</v>
      </c>
      <c r="AD14" s="78">
        <v>36260</v>
      </c>
      <c r="AE14" s="78">
        <v>38798.199999999997</v>
      </c>
      <c r="AF14" s="78">
        <v>627</v>
      </c>
      <c r="AG14" s="78">
        <v>0</v>
      </c>
      <c r="AH14" s="78">
        <v>383</v>
      </c>
      <c r="AI14" s="78">
        <v>272</v>
      </c>
      <c r="AJ14" s="78">
        <v>398.32</v>
      </c>
      <c r="AK14" s="78">
        <v>293.76</v>
      </c>
      <c r="AL14" s="78">
        <v>655</v>
      </c>
      <c r="AM14" s="78">
        <v>27798</v>
      </c>
      <c r="AN14" s="78">
        <v>28909.919999999998</v>
      </c>
      <c r="AO14" s="78">
        <v>0</v>
      </c>
      <c r="AP14" s="78">
        <v>0</v>
      </c>
      <c r="AQ14" s="78">
        <v>0</v>
      </c>
      <c r="AR14" s="78">
        <v>0</v>
      </c>
      <c r="AS14" s="78">
        <v>0</v>
      </c>
      <c r="AT14" s="78">
        <v>0</v>
      </c>
      <c r="AU14" s="400">
        <v>2.0676449999999999E-3</v>
      </c>
      <c r="AV14" s="400">
        <v>5.6926500000000001E-4</v>
      </c>
      <c r="AW14" s="78">
        <v>13231.848</v>
      </c>
      <c r="AX14" s="78">
        <v>0</v>
      </c>
      <c r="AY14" s="78">
        <v>8196.2000000000007</v>
      </c>
      <c r="AZ14" s="78">
        <v>14415.0820028736</v>
      </c>
      <c r="BA14" s="78">
        <v>40</v>
      </c>
      <c r="BB14" s="78">
        <v>43.2</v>
      </c>
      <c r="BC14" s="78">
        <v>7028</v>
      </c>
      <c r="BD14" s="78">
        <v>1</v>
      </c>
      <c r="BE14" s="78">
        <v>0</v>
      </c>
      <c r="BF14" s="78">
        <v>0</v>
      </c>
      <c r="BG14" s="78">
        <v>0</v>
      </c>
      <c r="BH14" s="78">
        <v>0</v>
      </c>
      <c r="BI14" s="78">
        <v>0</v>
      </c>
      <c r="BJ14" s="78">
        <v>0</v>
      </c>
      <c r="BK14" s="78">
        <v>0</v>
      </c>
      <c r="BL14" s="78">
        <v>0</v>
      </c>
      <c r="BM14" s="78">
        <v>1132.71</v>
      </c>
      <c r="BN14" s="78">
        <v>124</v>
      </c>
      <c r="BO14" s="78">
        <v>98</v>
      </c>
      <c r="BP14" s="78">
        <v>16502.54</v>
      </c>
      <c r="BQ14" s="78">
        <v>4240.92</v>
      </c>
      <c r="BR14" s="78">
        <v>576.51247364750395</v>
      </c>
      <c r="BS14" s="78">
        <v>624</v>
      </c>
      <c r="BT14" s="78">
        <v>251.333333333333</v>
      </c>
      <c r="BU14" s="78">
        <v>206</v>
      </c>
      <c r="BV14" s="78">
        <f t="shared" si="4"/>
        <v>3163</v>
      </c>
      <c r="BW14" s="78">
        <v>1071</v>
      </c>
      <c r="BX14" s="78">
        <v>10526.211002226501</v>
      </c>
      <c r="BY14" s="78">
        <v>2.0640000000000001</v>
      </c>
      <c r="BZ14" s="78">
        <v>50275</v>
      </c>
      <c r="CA14" s="78">
        <v>7616</v>
      </c>
      <c r="CB14" s="78">
        <v>1430</v>
      </c>
      <c r="CC14" s="78">
        <v>1532</v>
      </c>
      <c r="CD14" s="78">
        <v>1338</v>
      </c>
      <c r="CE14" s="78">
        <v>684</v>
      </c>
      <c r="CF14" s="78">
        <v>870.70649687027799</v>
      </c>
      <c r="CG14" s="78">
        <v>553.58135117634401</v>
      </c>
      <c r="CH14" s="78">
        <v>182.06017699115</v>
      </c>
      <c r="CI14" s="78">
        <v>2346.8822</v>
      </c>
      <c r="CJ14" s="78">
        <v>1492.1104</v>
      </c>
      <c r="CK14" s="78">
        <v>490.7208</v>
      </c>
      <c r="CL14" s="78">
        <v>140841</v>
      </c>
    </row>
    <row r="15" spans="1:90" x14ac:dyDescent="0.35">
      <c r="A15" s="72">
        <v>1950</v>
      </c>
      <c r="B15" s="72" t="s">
        <v>339</v>
      </c>
      <c r="C15" s="72">
        <v>1</v>
      </c>
      <c r="D15" s="78">
        <v>1813600000</v>
      </c>
      <c r="E15" s="78">
        <v>342650000</v>
      </c>
      <c r="F15" s="78">
        <v>394450000</v>
      </c>
      <c r="G15" s="78">
        <v>26215</v>
      </c>
      <c r="H15" s="78">
        <v>6</v>
      </c>
      <c r="I15" s="78">
        <f t="shared" si="2"/>
        <v>394.45</v>
      </c>
      <c r="J15" s="78">
        <v>4601</v>
      </c>
      <c r="K15" s="78">
        <v>7007</v>
      </c>
      <c r="L15" s="78">
        <v>2135</v>
      </c>
      <c r="M15" s="78">
        <v>4160</v>
      </c>
      <c r="N15" s="78">
        <f t="shared" si="3"/>
        <v>2920.5</v>
      </c>
      <c r="O15" s="78">
        <v>480.33333333333297</v>
      </c>
      <c r="P15" s="78">
        <v>34</v>
      </c>
      <c r="Q15" s="78">
        <v>2588.3333333333298</v>
      </c>
      <c r="R15" s="78">
        <v>3660</v>
      </c>
      <c r="S15" s="78">
        <v>1005</v>
      </c>
      <c r="T15" s="78">
        <v>0</v>
      </c>
      <c r="U15" s="78">
        <v>687</v>
      </c>
      <c r="V15" s="78">
        <v>13252</v>
      </c>
      <c r="W15" s="78">
        <v>23980</v>
      </c>
      <c r="X15" s="78">
        <v>10020</v>
      </c>
      <c r="Y15" s="78">
        <v>0</v>
      </c>
      <c r="Z15" s="78">
        <v>961.6</v>
      </c>
      <c r="AA15" s="78">
        <v>0</v>
      </c>
      <c r="AB15" s="399">
        <f>IF((J15-'[2]Basisgegevens aanvullend'!D15*1.1)&lt;=0,0,J15-'[2]Basisgegevens aanvullend'!D15*1.1)</f>
        <v>0</v>
      </c>
      <c r="AC15" s="399">
        <v>0</v>
      </c>
      <c r="AD15" s="78">
        <v>27575</v>
      </c>
      <c r="AE15" s="78">
        <v>27575</v>
      </c>
      <c r="AF15" s="78">
        <v>490</v>
      </c>
      <c r="AG15" s="78">
        <v>0</v>
      </c>
      <c r="AH15" s="78">
        <v>171</v>
      </c>
      <c r="AI15" s="78">
        <v>153</v>
      </c>
      <c r="AJ15" s="78">
        <v>171</v>
      </c>
      <c r="AK15" s="78">
        <v>153</v>
      </c>
      <c r="AL15" s="78">
        <v>324</v>
      </c>
      <c r="AM15" s="78">
        <v>12395</v>
      </c>
      <c r="AN15" s="78">
        <v>12395</v>
      </c>
      <c r="AO15" s="78">
        <v>0</v>
      </c>
      <c r="AP15" s="78">
        <v>0</v>
      </c>
      <c r="AQ15" s="78">
        <v>0</v>
      </c>
      <c r="AR15" s="78">
        <v>5300</v>
      </c>
      <c r="AS15" s="78">
        <v>0</v>
      </c>
      <c r="AT15" s="78">
        <v>0</v>
      </c>
      <c r="AU15" s="400">
        <v>2.134805E-3</v>
      </c>
      <c r="AV15" s="400">
        <v>4.9666000000000001E-4</v>
      </c>
      <c r="AW15" s="78">
        <v>3544.97</v>
      </c>
      <c r="AX15" s="78">
        <v>0</v>
      </c>
      <c r="AY15" s="78">
        <v>6011</v>
      </c>
      <c r="AZ15" s="78">
        <v>5685.7546766435098</v>
      </c>
      <c r="BA15" s="78">
        <v>29</v>
      </c>
      <c r="BB15" s="78">
        <v>29</v>
      </c>
      <c r="BC15" s="78">
        <v>2658</v>
      </c>
      <c r="BD15" s="78">
        <v>1</v>
      </c>
      <c r="BE15" s="78">
        <v>0</v>
      </c>
      <c r="BF15" s="78">
        <v>0</v>
      </c>
      <c r="BG15" s="78">
        <v>0</v>
      </c>
      <c r="BH15" s="78">
        <v>0</v>
      </c>
      <c r="BI15" s="78">
        <v>0</v>
      </c>
      <c r="BJ15" s="78">
        <v>0</v>
      </c>
      <c r="BK15" s="78">
        <v>0</v>
      </c>
      <c r="BL15" s="78">
        <v>0</v>
      </c>
      <c r="BM15" s="78">
        <v>671.74599999999998</v>
      </c>
      <c r="BN15" s="78">
        <v>164</v>
      </c>
      <c r="BO15" s="78">
        <v>136</v>
      </c>
      <c r="BP15" s="78">
        <v>6201.25</v>
      </c>
      <c r="BQ15" s="78">
        <v>1130.48</v>
      </c>
      <c r="BR15" s="78">
        <v>111.767557806913</v>
      </c>
      <c r="BS15" s="78">
        <v>246</v>
      </c>
      <c r="BT15" s="78">
        <v>140.333333333333</v>
      </c>
      <c r="BU15" s="78">
        <v>116.666666666667</v>
      </c>
      <c r="BV15" s="78">
        <f t="shared" si="4"/>
        <v>2107.9999999999968</v>
      </c>
      <c r="BW15" s="78">
        <v>513</v>
      </c>
      <c r="BX15" s="78">
        <v>6046.20812186686</v>
      </c>
      <c r="BY15" s="78">
        <v>1.544</v>
      </c>
      <c r="BZ15" s="78">
        <v>19208</v>
      </c>
      <c r="CA15" s="78">
        <v>4057</v>
      </c>
      <c r="CB15" s="78">
        <v>815</v>
      </c>
      <c r="CC15" s="78">
        <v>768</v>
      </c>
      <c r="CD15" s="78">
        <v>672</v>
      </c>
      <c r="CE15" s="78">
        <v>413</v>
      </c>
      <c r="CF15" s="78">
        <v>586.22057281161801</v>
      </c>
      <c r="CG15" s="78">
        <v>348.009560306575</v>
      </c>
      <c r="CH15" s="78">
        <v>137.36599435256201</v>
      </c>
      <c r="CI15" s="78">
        <v>1475.8815999999999</v>
      </c>
      <c r="CJ15" s="78">
        <v>876.15639999999996</v>
      </c>
      <c r="CK15" s="78">
        <v>345.8356</v>
      </c>
      <c r="CL15" s="78">
        <v>32059</v>
      </c>
    </row>
    <row r="16" spans="1:90" x14ac:dyDescent="0.35">
      <c r="A16" s="72">
        <v>59</v>
      </c>
      <c r="B16" s="72" t="s">
        <v>14</v>
      </c>
      <c r="C16" s="72">
        <v>2</v>
      </c>
      <c r="D16" s="78">
        <v>1942400000</v>
      </c>
      <c r="E16" s="78">
        <v>260050000</v>
      </c>
      <c r="F16" s="78">
        <v>291200000</v>
      </c>
      <c r="G16" s="78">
        <v>27900</v>
      </c>
      <c r="H16" s="78">
        <v>5</v>
      </c>
      <c r="I16" s="78">
        <f t="shared" si="2"/>
        <v>291.2</v>
      </c>
      <c r="J16" s="78">
        <v>5900</v>
      </c>
      <c r="K16" s="78">
        <v>5726</v>
      </c>
      <c r="L16" s="78">
        <v>1809</v>
      </c>
      <c r="M16" s="78">
        <v>4210</v>
      </c>
      <c r="N16" s="78">
        <f t="shared" si="3"/>
        <v>2985.5</v>
      </c>
      <c r="O16" s="78">
        <v>590</v>
      </c>
      <c r="P16" s="78">
        <v>48</v>
      </c>
      <c r="Q16" s="78">
        <v>2077</v>
      </c>
      <c r="R16" s="78">
        <v>3650</v>
      </c>
      <c r="S16" s="78">
        <v>225</v>
      </c>
      <c r="T16" s="78">
        <v>0</v>
      </c>
      <c r="U16" s="78">
        <v>837</v>
      </c>
      <c r="V16" s="78">
        <v>12085</v>
      </c>
      <c r="W16" s="78">
        <v>27540</v>
      </c>
      <c r="X16" s="78">
        <v>10200</v>
      </c>
      <c r="Y16" s="78">
        <v>0</v>
      </c>
      <c r="Z16" s="78">
        <v>1114.4000000000001</v>
      </c>
      <c r="AA16" s="78">
        <v>0</v>
      </c>
      <c r="AB16" s="399">
        <f>IF((J16-'[2]Basisgegevens aanvullend'!D16*1.1)&lt;=0,0,J16-'[2]Basisgegevens aanvullend'!D16*1.1)</f>
        <v>0</v>
      </c>
      <c r="AC16" s="399">
        <v>0</v>
      </c>
      <c r="AD16" s="78">
        <v>10222</v>
      </c>
      <c r="AE16" s="78">
        <v>10222</v>
      </c>
      <c r="AF16" s="78">
        <v>176</v>
      </c>
      <c r="AG16" s="78">
        <v>0</v>
      </c>
      <c r="AH16" s="78">
        <v>192</v>
      </c>
      <c r="AI16" s="78">
        <v>76</v>
      </c>
      <c r="AJ16" s="78">
        <v>192</v>
      </c>
      <c r="AK16" s="78">
        <v>76</v>
      </c>
      <c r="AL16" s="78">
        <v>268</v>
      </c>
      <c r="AM16" s="78">
        <v>12245</v>
      </c>
      <c r="AN16" s="78">
        <v>12245</v>
      </c>
      <c r="AO16" s="78">
        <v>0</v>
      </c>
      <c r="AP16" s="78">
        <v>0</v>
      </c>
      <c r="AQ16" s="78">
        <v>0</v>
      </c>
      <c r="AR16" s="78">
        <v>0</v>
      </c>
      <c r="AS16" s="78">
        <v>0</v>
      </c>
      <c r="AT16" s="78">
        <v>0</v>
      </c>
      <c r="AU16" s="400">
        <v>7.2742499999999997E-4</v>
      </c>
      <c r="AV16" s="400">
        <v>3.2451499999999999E-4</v>
      </c>
      <c r="AW16" s="78">
        <v>5253.1049999999996</v>
      </c>
      <c r="AX16" s="78">
        <v>0</v>
      </c>
      <c r="AY16" s="78">
        <v>2390</v>
      </c>
      <c r="AZ16" s="78">
        <v>6412.8678592036904</v>
      </c>
      <c r="BA16" s="78">
        <v>13</v>
      </c>
      <c r="BB16" s="78">
        <v>13</v>
      </c>
      <c r="BC16" s="78">
        <v>2902</v>
      </c>
      <c r="BD16" s="78">
        <v>1</v>
      </c>
      <c r="BE16" s="78">
        <v>0</v>
      </c>
      <c r="BF16" s="78">
        <v>0</v>
      </c>
      <c r="BG16" s="78">
        <v>0</v>
      </c>
      <c r="BH16" s="78">
        <v>0</v>
      </c>
      <c r="BI16" s="78">
        <v>0</v>
      </c>
      <c r="BJ16" s="78">
        <v>0</v>
      </c>
      <c r="BK16" s="78">
        <v>0</v>
      </c>
      <c r="BL16" s="78">
        <v>0</v>
      </c>
      <c r="BM16" s="78">
        <v>708</v>
      </c>
      <c r="BN16" s="78">
        <v>110</v>
      </c>
      <c r="BO16" s="78">
        <v>46</v>
      </c>
      <c r="BP16" s="78">
        <v>6159.4</v>
      </c>
      <c r="BQ16" s="78">
        <v>1590.5</v>
      </c>
      <c r="BR16" s="78">
        <v>440.070588235294</v>
      </c>
      <c r="BS16" s="78">
        <v>325</v>
      </c>
      <c r="BT16" s="78">
        <v>150.333333333333</v>
      </c>
      <c r="BU16" s="78">
        <v>132.333333333333</v>
      </c>
      <c r="BV16" s="78">
        <f t="shared" si="4"/>
        <v>1487</v>
      </c>
      <c r="BW16" s="78">
        <v>478</v>
      </c>
      <c r="BX16" s="78">
        <v>5226.5178321301601</v>
      </c>
      <c r="BY16" s="78">
        <v>1.837</v>
      </c>
      <c r="BZ16" s="78">
        <v>22174</v>
      </c>
      <c r="CA16" s="78">
        <v>3350</v>
      </c>
      <c r="CB16" s="78">
        <v>567</v>
      </c>
      <c r="CC16" s="78">
        <v>702</v>
      </c>
      <c r="CD16" s="78">
        <v>631</v>
      </c>
      <c r="CE16" s="78">
        <v>300</v>
      </c>
      <c r="CF16" s="78">
        <v>518.10432829726403</v>
      </c>
      <c r="CG16" s="78">
        <v>314.51980400163302</v>
      </c>
      <c r="CH16" s="78">
        <v>98.256962025316497</v>
      </c>
      <c r="CI16" s="78">
        <v>1339.6</v>
      </c>
      <c r="CJ16" s="78">
        <v>813.21600000000001</v>
      </c>
      <c r="CK16" s="78">
        <v>254.05119999999999</v>
      </c>
      <c r="CL16" s="78">
        <v>0</v>
      </c>
    </row>
    <row r="17" spans="1:90" x14ac:dyDescent="0.35">
      <c r="A17" s="72">
        <v>60</v>
      </c>
      <c r="B17" s="72" t="s">
        <v>23</v>
      </c>
      <c r="C17" s="72">
        <v>2</v>
      </c>
      <c r="D17" s="78">
        <v>902400000</v>
      </c>
      <c r="E17" s="78">
        <v>126700000</v>
      </c>
      <c r="F17" s="78">
        <v>136850000</v>
      </c>
      <c r="G17" s="78">
        <v>3746</v>
      </c>
      <c r="H17" s="78">
        <v>3</v>
      </c>
      <c r="I17" s="78">
        <f t="shared" si="2"/>
        <v>136.85</v>
      </c>
      <c r="J17" s="78">
        <v>680</v>
      </c>
      <c r="K17" s="78">
        <v>887</v>
      </c>
      <c r="L17" s="78">
        <v>314</v>
      </c>
      <c r="M17" s="78">
        <v>551</v>
      </c>
      <c r="N17" s="78">
        <f t="shared" si="3"/>
        <v>185.2</v>
      </c>
      <c r="O17" s="78">
        <v>7.3333333333333304</v>
      </c>
      <c r="P17" s="78">
        <v>9</v>
      </c>
      <c r="Q17" s="78">
        <v>16.3333333333333</v>
      </c>
      <c r="R17" s="78">
        <v>702</v>
      </c>
      <c r="S17" s="78">
        <v>0</v>
      </c>
      <c r="T17" s="78">
        <v>0</v>
      </c>
      <c r="U17" s="78">
        <v>85</v>
      </c>
      <c r="V17" s="78">
        <v>1803</v>
      </c>
      <c r="W17" s="78">
        <v>3600</v>
      </c>
      <c r="X17" s="78">
        <v>240</v>
      </c>
      <c r="Y17" s="78">
        <v>0</v>
      </c>
      <c r="Z17" s="78">
        <v>134.4</v>
      </c>
      <c r="AA17" s="78">
        <v>0</v>
      </c>
      <c r="AB17" s="399">
        <f>IF((J17-'[2]Basisgegevens aanvullend'!D17*1.1)&lt;=0,0,J17-'[2]Basisgegevens aanvullend'!D17*1.1)</f>
        <v>0</v>
      </c>
      <c r="AC17" s="399">
        <v>0</v>
      </c>
      <c r="AD17" s="78">
        <v>5908</v>
      </c>
      <c r="AE17" s="78">
        <v>5908</v>
      </c>
      <c r="AF17" s="78">
        <v>78</v>
      </c>
      <c r="AG17" s="78">
        <v>10000</v>
      </c>
      <c r="AH17" s="78">
        <v>47</v>
      </c>
      <c r="AI17" s="78">
        <v>10</v>
      </c>
      <c r="AJ17" s="78">
        <v>47</v>
      </c>
      <c r="AK17" s="78">
        <v>10</v>
      </c>
      <c r="AL17" s="78">
        <v>57</v>
      </c>
      <c r="AM17" s="78">
        <v>3658</v>
      </c>
      <c r="AN17" s="78">
        <v>3658</v>
      </c>
      <c r="AO17" s="78">
        <v>0</v>
      </c>
      <c r="AP17" s="78">
        <v>0</v>
      </c>
      <c r="AQ17" s="78">
        <v>0</v>
      </c>
      <c r="AR17" s="78">
        <v>0</v>
      </c>
      <c r="AS17" s="78">
        <v>0</v>
      </c>
      <c r="AT17" s="78">
        <v>0</v>
      </c>
      <c r="AU17" s="400">
        <v>2.41883E-4</v>
      </c>
      <c r="AV17" s="400">
        <v>2.4516999999999999E-5</v>
      </c>
      <c r="AW17" s="78">
        <v>932.79</v>
      </c>
      <c r="AX17" s="78">
        <v>0</v>
      </c>
      <c r="AY17" s="78">
        <v>1042</v>
      </c>
      <c r="AZ17" s="78">
        <v>652.07684597393904</v>
      </c>
      <c r="BA17" s="78">
        <v>4</v>
      </c>
      <c r="BB17" s="78">
        <v>4</v>
      </c>
      <c r="BC17" s="78">
        <v>634</v>
      </c>
      <c r="BD17" s="78">
        <v>1</v>
      </c>
      <c r="BE17" s="78">
        <v>0</v>
      </c>
      <c r="BF17" s="78">
        <v>0</v>
      </c>
      <c r="BG17" s="78">
        <v>0</v>
      </c>
      <c r="BH17" s="78">
        <v>0</v>
      </c>
      <c r="BI17" s="78">
        <v>1</v>
      </c>
      <c r="BJ17" s="78">
        <v>2500</v>
      </c>
      <c r="BK17" s="78">
        <v>1246</v>
      </c>
      <c r="BL17" s="78">
        <v>0</v>
      </c>
      <c r="BM17" s="78">
        <v>52.36</v>
      </c>
      <c r="BN17" s="78">
        <v>0</v>
      </c>
      <c r="BO17" s="78">
        <v>3</v>
      </c>
      <c r="BP17" s="78">
        <v>1007.76</v>
      </c>
      <c r="BQ17" s="78">
        <v>192.64</v>
      </c>
      <c r="BR17" s="78">
        <v>33.72</v>
      </c>
      <c r="BS17" s="78">
        <v>24</v>
      </c>
      <c r="BT17" s="78">
        <v>2</v>
      </c>
      <c r="BU17" s="78">
        <v>1</v>
      </c>
      <c r="BV17" s="78">
        <f t="shared" si="4"/>
        <v>8.9999999999999698</v>
      </c>
      <c r="BW17" s="78">
        <v>27</v>
      </c>
      <c r="BX17" s="78">
        <v>506.13339074273398</v>
      </c>
      <c r="BY17" s="78">
        <v>1.7999999999999999E-2</v>
      </c>
      <c r="BZ17" s="78">
        <v>2859</v>
      </c>
      <c r="CA17" s="78">
        <v>487</v>
      </c>
      <c r="CB17" s="78">
        <v>86</v>
      </c>
      <c r="CC17" s="78">
        <v>108</v>
      </c>
      <c r="CD17" s="78">
        <v>106</v>
      </c>
      <c r="CE17" s="78">
        <v>41</v>
      </c>
      <c r="CF17" s="78">
        <v>15.2898851831602</v>
      </c>
      <c r="CG17" s="78">
        <v>11.4420995079278</v>
      </c>
      <c r="CH17" s="78">
        <v>3.0377255330781798</v>
      </c>
      <c r="CI17" s="78">
        <v>171.536</v>
      </c>
      <c r="CJ17" s="78">
        <v>128.36799999999999</v>
      </c>
      <c r="CK17" s="78">
        <v>34.08</v>
      </c>
      <c r="CL17" s="78">
        <v>1985</v>
      </c>
    </row>
    <row r="18" spans="1:90" x14ac:dyDescent="0.35">
      <c r="A18" s="72">
        <v>1891</v>
      </c>
      <c r="B18" s="72" t="s">
        <v>75</v>
      </c>
      <c r="C18" s="72">
        <v>2</v>
      </c>
      <c r="D18" s="78">
        <v>1336800000</v>
      </c>
      <c r="E18" s="78">
        <v>148400000</v>
      </c>
      <c r="F18" s="78">
        <v>180250000</v>
      </c>
      <c r="G18" s="78">
        <v>18943</v>
      </c>
      <c r="H18" s="78">
        <v>3</v>
      </c>
      <c r="I18" s="78">
        <f t="shared" si="2"/>
        <v>180.25</v>
      </c>
      <c r="J18" s="78">
        <v>3780</v>
      </c>
      <c r="K18" s="78">
        <v>4346</v>
      </c>
      <c r="L18" s="78">
        <v>1434</v>
      </c>
      <c r="M18" s="78">
        <v>2844</v>
      </c>
      <c r="N18" s="78">
        <f t="shared" si="3"/>
        <v>2006.3</v>
      </c>
      <c r="O18" s="78">
        <v>446.66666666666703</v>
      </c>
      <c r="P18" s="78">
        <v>65</v>
      </c>
      <c r="Q18" s="78">
        <v>1504.6666666666699</v>
      </c>
      <c r="R18" s="78">
        <v>2341</v>
      </c>
      <c r="S18" s="78">
        <v>175</v>
      </c>
      <c r="T18" s="78">
        <v>0</v>
      </c>
      <c r="U18" s="78">
        <v>448</v>
      </c>
      <c r="V18" s="78">
        <v>8238</v>
      </c>
      <c r="W18" s="78">
        <v>18360</v>
      </c>
      <c r="X18" s="78">
        <v>5760</v>
      </c>
      <c r="Y18" s="78">
        <v>847.7</v>
      </c>
      <c r="Z18" s="78">
        <v>0</v>
      </c>
      <c r="AA18" s="78">
        <v>0</v>
      </c>
      <c r="AB18" s="399">
        <f>IF((J18-'[2]Basisgegevens aanvullend'!D18*1.1)&lt;=0,0,J18-'[2]Basisgegevens aanvullend'!D18*1.1)</f>
        <v>0</v>
      </c>
      <c r="AC18" s="399">
        <v>0</v>
      </c>
      <c r="AD18" s="78">
        <v>8456</v>
      </c>
      <c r="AE18" s="78">
        <v>8456</v>
      </c>
      <c r="AF18" s="78">
        <v>297</v>
      </c>
      <c r="AG18" s="78">
        <v>0</v>
      </c>
      <c r="AH18" s="78">
        <v>115</v>
      </c>
      <c r="AI18" s="78">
        <v>48</v>
      </c>
      <c r="AJ18" s="78">
        <v>115</v>
      </c>
      <c r="AK18" s="78">
        <v>48</v>
      </c>
      <c r="AL18" s="78">
        <v>163</v>
      </c>
      <c r="AM18" s="78">
        <v>8377</v>
      </c>
      <c r="AN18" s="78">
        <v>8377</v>
      </c>
      <c r="AO18" s="78">
        <v>0</v>
      </c>
      <c r="AP18" s="78">
        <v>0</v>
      </c>
      <c r="AQ18" s="78">
        <v>0</v>
      </c>
      <c r="AR18" s="78">
        <v>0</v>
      </c>
      <c r="AS18" s="78">
        <v>573</v>
      </c>
      <c r="AT18" s="78">
        <v>0</v>
      </c>
      <c r="AU18" s="400">
        <v>6.2478900000000005E-4</v>
      </c>
      <c r="AV18" s="400">
        <v>1.8494799999999999E-4</v>
      </c>
      <c r="AW18" s="78">
        <v>3819.9119999999998</v>
      </c>
      <c r="AX18" s="78">
        <v>0</v>
      </c>
      <c r="AY18" s="78">
        <v>2553</v>
      </c>
      <c r="AZ18" s="78">
        <v>5525.13184051182</v>
      </c>
      <c r="BA18" s="78">
        <v>8</v>
      </c>
      <c r="BB18" s="78">
        <v>8</v>
      </c>
      <c r="BC18" s="78">
        <v>1748</v>
      </c>
      <c r="BD18" s="78">
        <v>1</v>
      </c>
      <c r="BE18" s="78">
        <v>0</v>
      </c>
      <c r="BF18" s="78">
        <v>0</v>
      </c>
      <c r="BG18" s="78">
        <v>0</v>
      </c>
      <c r="BH18" s="78">
        <v>0</v>
      </c>
      <c r="BI18" s="78">
        <v>0</v>
      </c>
      <c r="BJ18" s="78">
        <v>0</v>
      </c>
      <c r="BK18" s="78">
        <v>0</v>
      </c>
      <c r="BL18" s="78">
        <v>0</v>
      </c>
      <c r="BM18" s="78">
        <v>430.92</v>
      </c>
      <c r="BN18" s="78">
        <v>58</v>
      </c>
      <c r="BO18" s="78">
        <v>51</v>
      </c>
      <c r="BP18" s="78">
        <v>4239</v>
      </c>
      <c r="BQ18" s="78">
        <v>1014</v>
      </c>
      <c r="BR18" s="78">
        <v>190.711432441585</v>
      </c>
      <c r="BS18" s="78">
        <v>161</v>
      </c>
      <c r="BT18" s="78">
        <v>96</v>
      </c>
      <c r="BU18" s="78">
        <v>91.3333333333333</v>
      </c>
      <c r="BV18" s="78">
        <f t="shared" si="4"/>
        <v>1058.000000000003</v>
      </c>
      <c r="BW18" s="78">
        <v>374</v>
      </c>
      <c r="BX18" s="78">
        <v>3700.4622915125301</v>
      </c>
      <c r="BY18" s="78">
        <v>1.353</v>
      </c>
      <c r="BZ18" s="78">
        <v>14597</v>
      </c>
      <c r="CA18" s="78">
        <v>2409</v>
      </c>
      <c r="CB18" s="78">
        <v>503</v>
      </c>
      <c r="CC18" s="78">
        <v>449</v>
      </c>
      <c r="CD18" s="78">
        <v>467</v>
      </c>
      <c r="CE18" s="78">
        <v>233</v>
      </c>
      <c r="CF18" s="78">
        <v>356.13800883371101</v>
      </c>
      <c r="CG18" s="78">
        <v>235.66899844813199</v>
      </c>
      <c r="CH18" s="78">
        <v>74.005813537065805</v>
      </c>
      <c r="CI18" s="78">
        <v>905.43430000000001</v>
      </c>
      <c r="CJ18" s="78">
        <v>599.1576</v>
      </c>
      <c r="CK18" s="78">
        <v>188.15010000000001</v>
      </c>
      <c r="CL18" s="78">
        <v>25575</v>
      </c>
    </row>
    <row r="19" spans="1:90" x14ac:dyDescent="0.35">
      <c r="A19" s="72">
        <v>1940</v>
      </c>
      <c r="B19" s="72" t="s">
        <v>77</v>
      </c>
      <c r="C19" s="72">
        <v>2</v>
      </c>
      <c r="D19" s="78">
        <v>4952800000</v>
      </c>
      <c r="E19" s="78">
        <v>617400000</v>
      </c>
      <c r="F19" s="78">
        <v>708050000</v>
      </c>
      <c r="G19" s="78">
        <v>51778</v>
      </c>
      <c r="H19" s="78">
        <v>10</v>
      </c>
      <c r="I19" s="78">
        <f t="shared" si="2"/>
        <v>708.05</v>
      </c>
      <c r="J19" s="78">
        <v>10014</v>
      </c>
      <c r="K19" s="78">
        <v>12317</v>
      </c>
      <c r="L19" s="78">
        <v>4061</v>
      </c>
      <c r="M19" s="78">
        <v>6762</v>
      </c>
      <c r="N19" s="78">
        <f t="shared" si="3"/>
        <v>4240</v>
      </c>
      <c r="O19" s="78">
        <v>787.33333333333303</v>
      </c>
      <c r="P19" s="78">
        <v>61</v>
      </c>
      <c r="Q19" s="78">
        <v>2552.3333333333298</v>
      </c>
      <c r="R19" s="78">
        <v>7017</v>
      </c>
      <c r="S19" s="78">
        <v>970</v>
      </c>
      <c r="T19" s="78">
        <v>0</v>
      </c>
      <c r="U19" s="78">
        <v>1284</v>
      </c>
      <c r="V19" s="78">
        <v>23227</v>
      </c>
      <c r="W19" s="78">
        <v>48690</v>
      </c>
      <c r="X19" s="78">
        <v>27590</v>
      </c>
      <c r="Y19" s="78">
        <v>0</v>
      </c>
      <c r="Z19" s="78">
        <v>1016</v>
      </c>
      <c r="AA19" s="78">
        <v>0</v>
      </c>
      <c r="AB19" s="399">
        <f>IF((J19-'[2]Basisgegevens aanvullend'!D19*1.1)&lt;=0,0,J19-'[2]Basisgegevens aanvullend'!D19*1.1)</f>
        <v>0</v>
      </c>
      <c r="AC19" s="399">
        <v>0</v>
      </c>
      <c r="AD19" s="78">
        <v>35105</v>
      </c>
      <c r="AE19" s="78">
        <v>35105</v>
      </c>
      <c r="AF19" s="78">
        <v>6711</v>
      </c>
      <c r="AG19" s="78">
        <v>10000</v>
      </c>
      <c r="AH19" s="78">
        <v>342</v>
      </c>
      <c r="AI19" s="78">
        <v>211</v>
      </c>
      <c r="AJ19" s="78">
        <v>342</v>
      </c>
      <c r="AK19" s="78">
        <v>211</v>
      </c>
      <c r="AL19" s="78">
        <v>554</v>
      </c>
      <c r="AM19" s="78">
        <v>25220</v>
      </c>
      <c r="AN19" s="78">
        <v>25220</v>
      </c>
      <c r="AO19" s="78">
        <v>5</v>
      </c>
      <c r="AP19" s="78">
        <v>0</v>
      </c>
      <c r="AQ19" s="78">
        <v>0</v>
      </c>
      <c r="AR19" s="78">
        <v>1450</v>
      </c>
      <c r="AS19" s="78">
        <v>1818</v>
      </c>
      <c r="AT19" s="78">
        <v>0</v>
      </c>
      <c r="AU19" s="400">
        <v>1.7896570000000001E-3</v>
      </c>
      <c r="AV19" s="400">
        <v>5.3733600000000002E-4</v>
      </c>
      <c r="AW19" s="78">
        <v>14022.32</v>
      </c>
      <c r="AX19" s="78">
        <v>0</v>
      </c>
      <c r="AY19" s="78">
        <v>14217</v>
      </c>
      <c r="AZ19" s="78">
        <v>17603.9751769658</v>
      </c>
      <c r="BA19" s="78">
        <v>43</v>
      </c>
      <c r="BB19" s="78">
        <v>43</v>
      </c>
      <c r="BC19" s="78">
        <v>6842</v>
      </c>
      <c r="BD19" s="78">
        <v>1</v>
      </c>
      <c r="BE19" s="78">
        <v>0</v>
      </c>
      <c r="BF19" s="78">
        <v>0</v>
      </c>
      <c r="BG19" s="78">
        <v>0</v>
      </c>
      <c r="BH19" s="78">
        <v>0</v>
      </c>
      <c r="BI19" s="78">
        <v>0</v>
      </c>
      <c r="BJ19" s="78">
        <v>0</v>
      </c>
      <c r="BK19" s="78">
        <v>0</v>
      </c>
      <c r="BL19" s="78">
        <v>0</v>
      </c>
      <c r="BM19" s="78">
        <v>881.23199999999997</v>
      </c>
      <c r="BN19" s="78">
        <v>125</v>
      </c>
      <c r="BO19" s="78">
        <v>106</v>
      </c>
      <c r="BP19" s="78">
        <v>14291.2</v>
      </c>
      <c r="BQ19" s="78">
        <v>3235.44</v>
      </c>
      <c r="BR19" s="78">
        <v>337.89857904363703</v>
      </c>
      <c r="BS19" s="78">
        <v>501</v>
      </c>
      <c r="BT19" s="78">
        <v>207.666666666667</v>
      </c>
      <c r="BU19" s="78">
        <v>174.666666666667</v>
      </c>
      <c r="BV19" s="78">
        <f t="shared" si="4"/>
        <v>1764.9999999999968</v>
      </c>
      <c r="BW19" s="78">
        <v>580</v>
      </c>
      <c r="BX19" s="78">
        <v>7985.32357768986</v>
      </c>
      <c r="BY19" s="78">
        <v>1.502</v>
      </c>
      <c r="BZ19" s="78">
        <v>39461</v>
      </c>
      <c r="CA19" s="78">
        <v>6914</v>
      </c>
      <c r="CB19" s="78">
        <v>1342</v>
      </c>
      <c r="CC19" s="78">
        <v>1272</v>
      </c>
      <c r="CD19" s="78">
        <v>1247</v>
      </c>
      <c r="CE19" s="78">
        <v>658</v>
      </c>
      <c r="CF19" s="78">
        <v>709.30055511498801</v>
      </c>
      <c r="CG19" s="78">
        <v>470.40126883425899</v>
      </c>
      <c r="CH19" s="78">
        <v>156.68834258525001</v>
      </c>
      <c r="CI19" s="78">
        <v>2032.2923000000001</v>
      </c>
      <c r="CJ19" s="78">
        <v>1347.7965999999999</v>
      </c>
      <c r="CK19" s="78">
        <v>448.94439999999997</v>
      </c>
      <c r="CL19" s="78">
        <v>38648</v>
      </c>
    </row>
    <row r="20" spans="1:90" x14ac:dyDescent="0.35">
      <c r="A20" s="72">
        <v>72</v>
      </c>
      <c r="B20" s="72" t="s">
        <v>132</v>
      </c>
      <c r="C20" s="72">
        <v>2</v>
      </c>
      <c r="D20" s="78">
        <v>1137200000</v>
      </c>
      <c r="E20" s="78">
        <v>272300000</v>
      </c>
      <c r="F20" s="78">
        <v>284900000</v>
      </c>
      <c r="G20" s="78">
        <v>15807</v>
      </c>
      <c r="H20" s="78">
        <v>1</v>
      </c>
      <c r="I20" s="78">
        <f t="shared" si="2"/>
        <v>284.89999999999998</v>
      </c>
      <c r="J20" s="78">
        <v>2905</v>
      </c>
      <c r="K20" s="78">
        <v>4115</v>
      </c>
      <c r="L20" s="78">
        <v>1394</v>
      </c>
      <c r="M20" s="78">
        <v>2881</v>
      </c>
      <c r="N20" s="78">
        <f t="shared" si="3"/>
        <v>2082.9</v>
      </c>
      <c r="O20" s="78">
        <v>513.33333333333303</v>
      </c>
      <c r="P20" s="78">
        <v>19</v>
      </c>
      <c r="Q20" s="78">
        <v>1209.3333333333301</v>
      </c>
      <c r="R20" s="78">
        <v>2988</v>
      </c>
      <c r="S20" s="78">
        <v>370</v>
      </c>
      <c r="T20" s="78">
        <v>0</v>
      </c>
      <c r="U20" s="78">
        <v>566</v>
      </c>
      <c r="V20" s="78">
        <v>7809</v>
      </c>
      <c r="W20" s="78">
        <v>17280</v>
      </c>
      <c r="X20" s="78">
        <v>16700</v>
      </c>
      <c r="Y20" s="78">
        <v>0</v>
      </c>
      <c r="Z20" s="78">
        <v>981.6</v>
      </c>
      <c r="AA20" s="78">
        <v>0</v>
      </c>
      <c r="AB20" s="399">
        <f>IF((J20-'[2]Basisgegevens aanvullend'!D20*1.1)&lt;=0,0,J20-'[2]Basisgegevens aanvullend'!D20*1.1)</f>
        <v>0</v>
      </c>
      <c r="AC20" s="399">
        <v>0</v>
      </c>
      <c r="AD20" s="78">
        <v>2494</v>
      </c>
      <c r="AE20" s="78">
        <v>2518.94</v>
      </c>
      <c r="AF20" s="78">
        <v>169</v>
      </c>
      <c r="AG20" s="78">
        <v>10000</v>
      </c>
      <c r="AH20" s="78">
        <v>94</v>
      </c>
      <c r="AI20" s="78">
        <v>28</v>
      </c>
      <c r="AJ20" s="78">
        <v>94.94</v>
      </c>
      <c r="AK20" s="78">
        <v>28.28</v>
      </c>
      <c r="AL20" s="78">
        <v>123</v>
      </c>
      <c r="AM20" s="78">
        <v>7981</v>
      </c>
      <c r="AN20" s="78">
        <v>8060.81</v>
      </c>
      <c r="AO20" s="78">
        <v>0</v>
      </c>
      <c r="AP20" s="78">
        <v>45</v>
      </c>
      <c r="AQ20" s="78">
        <v>0</v>
      </c>
      <c r="AR20" s="78">
        <v>6000</v>
      </c>
      <c r="AS20" s="78">
        <v>2541</v>
      </c>
      <c r="AT20" s="78">
        <v>2541</v>
      </c>
      <c r="AU20" s="400">
        <v>1.659235E-3</v>
      </c>
      <c r="AV20" s="400">
        <v>7.3000799999999998E-4</v>
      </c>
      <c r="AW20" s="78">
        <v>8667.366</v>
      </c>
      <c r="AX20" s="78">
        <v>0</v>
      </c>
      <c r="AY20" s="78">
        <v>1309.97</v>
      </c>
      <c r="AZ20" s="78">
        <v>7991.5277168606799</v>
      </c>
      <c r="BA20" s="78">
        <v>2</v>
      </c>
      <c r="BB20" s="78">
        <v>2.02</v>
      </c>
      <c r="BC20" s="78">
        <v>1767</v>
      </c>
      <c r="BD20" s="78">
        <v>1</v>
      </c>
      <c r="BE20" s="78">
        <v>0</v>
      </c>
      <c r="BF20" s="78">
        <v>0</v>
      </c>
      <c r="BG20" s="78">
        <v>0</v>
      </c>
      <c r="BH20" s="78">
        <v>0</v>
      </c>
      <c r="BI20" s="78">
        <v>0</v>
      </c>
      <c r="BJ20" s="78">
        <v>0</v>
      </c>
      <c r="BK20" s="78">
        <v>0</v>
      </c>
      <c r="BL20" s="78">
        <v>0</v>
      </c>
      <c r="BM20" s="78">
        <v>444.46499999999997</v>
      </c>
      <c r="BN20" s="78">
        <v>46</v>
      </c>
      <c r="BO20" s="78">
        <v>25</v>
      </c>
      <c r="BP20" s="78">
        <v>4085.64</v>
      </c>
      <c r="BQ20" s="78">
        <v>789</v>
      </c>
      <c r="BR20" s="78">
        <v>168.78376404494401</v>
      </c>
      <c r="BS20" s="78">
        <v>208</v>
      </c>
      <c r="BT20" s="78">
        <v>122.333333333333</v>
      </c>
      <c r="BU20" s="78">
        <v>116.666666666667</v>
      </c>
      <c r="BV20" s="78">
        <f t="shared" si="4"/>
        <v>695.99999999999704</v>
      </c>
      <c r="BW20" s="78">
        <v>195</v>
      </c>
      <c r="BX20" s="78">
        <v>3304.1274977738199</v>
      </c>
      <c r="BY20" s="78">
        <v>1.538</v>
      </c>
      <c r="BZ20" s="78">
        <v>11692</v>
      </c>
      <c r="CA20" s="78">
        <v>2315</v>
      </c>
      <c r="CB20" s="78">
        <v>406</v>
      </c>
      <c r="CC20" s="78">
        <v>592</v>
      </c>
      <c r="CD20" s="78">
        <v>453</v>
      </c>
      <c r="CE20" s="78">
        <v>190</v>
      </c>
      <c r="CF20" s="78">
        <v>384.42697656935201</v>
      </c>
      <c r="CG20" s="78">
        <v>255.50170404711201</v>
      </c>
      <c r="CH20" s="78">
        <v>72.553088585390299</v>
      </c>
      <c r="CI20" s="78">
        <v>873.78359999999998</v>
      </c>
      <c r="CJ20" s="78">
        <v>580.74279999999999</v>
      </c>
      <c r="CK20" s="78">
        <v>164.90960000000001</v>
      </c>
      <c r="CL20" s="78">
        <v>13230</v>
      </c>
    </row>
    <row r="21" spans="1:90" x14ac:dyDescent="0.35">
      <c r="A21" s="72">
        <v>74</v>
      </c>
      <c r="B21" s="72" t="s">
        <v>137</v>
      </c>
      <c r="C21" s="72">
        <v>2</v>
      </c>
      <c r="D21" s="78">
        <v>4480400000</v>
      </c>
      <c r="E21" s="78">
        <v>821450000</v>
      </c>
      <c r="F21" s="78">
        <v>851200000</v>
      </c>
      <c r="G21" s="78">
        <v>50650</v>
      </c>
      <c r="H21" s="78">
        <v>5</v>
      </c>
      <c r="I21" s="78">
        <f t="shared" si="2"/>
        <v>851.2</v>
      </c>
      <c r="J21" s="78">
        <v>9831</v>
      </c>
      <c r="K21" s="78">
        <v>11281</v>
      </c>
      <c r="L21" s="78">
        <v>3721</v>
      </c>
      <c r="M21" s="78">
        <v>7789</v>
      </c>
      <c r="N21" s="78">
        <f t="shared" si="3"/>
        <v>5380.9</v>
      </c>
      <c r="O21" s="78">
        <v>1257.3333333333301</v>
      </c>
      <c r="P21" s="78">
        <v>88</v>
      </c>
      <c r="Q21" s="78">
        <v>3604.3333333333298</v>
      </c>
      <c r="R21" s="78">
        <v>8300</v>
      </c>
      <c r="S21" s="78">
        <v>1730</v>
      </c>
      <c r="T21" s="78">
        <v>0</v>
      </c>
      <c r="U21" s="78">
        <v>1668</v>
      </c>
      <c r="V21" s="78">
        <v>23677</v>
      </c>
      <c r="W21" s="78">
        <v>53210</v>
      </c>
      <c r="X21" s="78">
        <v>53850</v>
      </c>
      <c r="Y21" s="78">
        <v>944.42</v>
      </c>
      <c r="Z21" s="78">
        <v>2956</v>
      </c>
      <c r="AA21" s="78">
        <v>0</v>
      </c>
      <c r="AB21" s="399">
        <f>IF((J21-'[2]Basisgegevens aanvullend'!D21*1.1)&lt;=0,0,J21-'[2]Basisgegevens aanvullend'!D21*1.1)</f>
        <v>0</v>
      </c>
      <c r="AC21" s="399">
        <v>0</v>
      </c>
      <c r="AD21" s="78">
        <v>18983</v>
      </c>
      <c r="AE21" s="78">
        <v>18983</v>
      </c>
      <c r="AF21" s="78">
        <v>833</v>
      </c>
      <c r="AG21" s="78">
        <v>0</v>
      </c>
      <c r="AH21" s="78">
        <v>309</v>
      </c>
      <c r="AI21" s="78">
        <v>155</v>
      </c>
      <c r="AJ21" s="78">
        <v>309</v>
      </c>
      <c r="AK21" s="78">
        <v>155</v>
      </c>
      <c r="AL21" s="78">
        <v>465</v>
      </c>
      <c r="AM21" s="78">
        <v>24081</v>
      </c>
      <c r="AN21" s="78">
        <v>24081</v>
      </c>
      <c r="AO21" s="78">
        <v>9</v>
      </c>
      <c r="AP21" s="78">
        <v>0</v>
      </c>
      <c r="AQ21" s="78">
        <v>0</v>
      </c>
      <c r="AR21" s="78">
        <v>2300</v>
      </c>
      <c r="AS21" s="78">
        <v>2234</v>
      </c>
      <c r="AT21" s="78">
        <v>1600</v>
      </c>
      <c r="AU21" s="400">
        <v>2.0498500000000002E-3</v>
      </c>
      <c r="AV21" s="400">
        <v>1.6584799999999999E-3</v>
      </c>
      <c r="AW21" s="78">
        <v>26296.452000000001</v>
      </c>
      <c r="AX21" s="78">
        <v>0</v>
      </c>
      <c r="AY21" s="78">
        <v>9447</v>
      </c>
      <c r="AZ21" s="78">
        <v>24402.278461849</v>
      </c>
      <c r="BA21" s="78">
        <v>23</v>
      </c>
      <c r="BB21" s="78">
        <v>23</v>
      </c>
      <c r="BC21" s="78">
        <v>5987</v>
      </c>
      <c r="BD21" s="78">
        <v>1</v>
      </c>
      <c r="BE21" s="78">
        <v>0</v>
      </c>
      <c r="BF21" s="78">
        <v>0</v>
      </c>
      <c r="BG21" s="78">
        <v>0</v>
      </c>
      <c r="BH21" s="78">
        <v>0</v>
      </c>
      <c r="BI21" s="78">
        <v>0</v>
      </c>
      <c r="BJ21" s="78">
        <v>0</v>
      </c>
      <c r="BK21" s="78">
        <v>0</v>
      </c>
      <c r="BL21" s="78">
        <v>0</v>
      </c>
      <c r="BM21" s="78">
        <v>1051.9169999999999</v>
      </c>
      <c r="BN21" s="78">
        <v>119</v>
      </c>
      <c r="BO21" s="78">
        <v>109</v>
      </c>
      <c r="BP21" s="78">
        <v>14235.2</v>
      </c>
      <c r="BQ21" s="78">
        <v>3252.6</v>
      </c>
      <c r="BR21" s="78">
        <v>379.742065405831</v>
      </c>
      <c r="BS21" s="78">
        <v>652</v>
      </c>
      <c r="BT21" s="78">
        <v>299.33333333333297</v>
      </c>
      <c r="BU21" s="78">
        <v>282.66666666666703</v>
      </c>
      <c r="BV21" s="78">
        <f t="shared" si="4"/>
        <v>2347</v>
      </c>
      <c r="BW21" s="78">
        <v>882</v>
      </c>
      <c r="BX21" s="78">
        <v>8205.2739191571109</v>
      </c>
      <c r="BY21" s="78">
        <v>3.8239999999999998</v>
      </c>
      <c r="BZ21" s="78">
        <v>39369</v>
      </c>
      <c r="CA21" s="78">
        <v>6152</v>
      </c>
      <c r="CB21" s="78">
        <v>1408</v>
      </c>
      <c r="CC21" s="78">
        <v>1351</v>
      </c>
      <c r="CD21" s="78">
        <v>1252</v>
      </c>
      <c r="CE21" s="78">
        <v>712</v>
      </c>
      <c r="CF21" s="78">
        <v>866.76263859474295</v>
      </c>
      <c r="CG21" s="78">
        <v>575.60725883476596</v>
      </c>
      <c r="CH21" s="78">
        <v>217.86377226859301</v>
      </c>
      <c r="CI21" s="78">
        <v>1951.5248999999999</v>
      </c>
      <c r="CJ21" s="78">
        <v>1295.9856</v>
      </c>
      <c r="CK21" s="78">
        <v>490.52249999999998</v>
      </c>
      <c r="CL21" s="78">
        <v>22867</v>
      </c>
    </row>
    <row r="22" spans="1:90" x14ac:dyDescent="0.35">
      <c r="A22" s="72">
        <v>80</v>
      </c>
      <c r="B22" s="72" t="s">
        <v>178</v>
      </c>
      <c r="C22" s="72">
        <v>2</v>
      </c>
      <c r="D22" s="78">
        <v>9168800000</v>
      </c>
      <c r="E22" s="78">
        <v>1901200000</v>
      </c>
      <c r="F22" s="78">
        <v>1946350000</v>
      </c>
      <c r="G22" s="78">
        <v>124481</v>
      </c>
      <c r="H22" s="78">
        <v>5</v>
      </c>
      <c r="I22" s="78">
        <f t="shared" si="2"/>
        <v>1946.35</v>
      </c>
      <c r="J22" s="78">
        <v>22413</v>
      </c>
      <c r="K22" s="78">
        <v>23715</v>
      </c>
      <c r="L22" s="78">
        <v>7334</v>
      </c>
      <c r="M22" s="78">
        <v>21798</v>
      </c>
      <c r="N22" s="78">
        <f t="shared" si="3"/>
        <v>15258.8</v>
      </c>
      <c r="O22" s="78">
        <v>5680</v>
      </c>
      <c r="P22" s="78">
        <v>127</v>
      </c>
      <c r="Q22" s="78">
        <v>11361</v>
      </c>
      <c r="R22" s="78">
        <v>29609</v>
      </c>
      <c r="S22" s="78">
        <v>5495</v>
      </c>
      <c r="T22" s="78">
        <v>0</v>
      </c>
      <c r="U22" s="78">
        <v>4744</v>
      </c>
      <c r="V22" s="78">
        <v>65396</v>
      </c>
      <c r="W22" s="78">
        <v>137010</v>
      </c>
      <c r="X22" s="78">
        <v>213850</v>
      </c>
      <c r="Y22" s="78">
        <v>3651.04</v>
      </c>
      <c r="Z22" s="78">
        <v>5736.8</v>
      </c>
      <c r="AA22" s="78">
        <v>0</v>
      </c>
      <c r="AB22" s="399">
        <f>IF((J22-'[2]Basisgegevens aanvullend'!D22*1.1)&lt;=0,0,J22-'[2]Basisgegevens aanvullend'!D22*1.1)</f>
        <v>0</v>
      </c>
      <c r="AC22" s="399">
        <v>0</v>
      </c>
      <c r="AD22" s="78">
        <v>23809</v>
      </c>
      <c r="AE22" s="78">
        <v>25951.81</v>
      </c>
      <c r="AF22" s="78">
        <v>1753</v>
      </c>
      <c r="AG22" s="78">
        <v>0</v>
      </c>
      <c r="AH22" s="78">
        <v>680</v>
      </c>
      <c r="AI22" s="78">
        <v>120</v>
      </c>
      <c r="AJ22" s="78">
        <v>768.4</v>
      </c>
      <c r="AK22" s="78">
        <v>129.6</v>
      </c>
      <c r="AL22" s="78">
        <v>800</v>
      </c>
      <c r="AM22" s="78">
        <v>65392</v>
      </c>
      <c r="AN22" s="78">
        <v>73892.960000000006</v>
      </c>
      <c r="AO22" s="78">
        <v>0</v>
      </c>
      <c r="AP22" s="78">
        <v>44</v>
      </c>
      <c r="AQ22" s="78">
        <v>0</v>
      </c>
      <c r="AR22" s="78">
        <v>7250</v>
      </c>
      <c r="AS22" s="78">
        <v>15191</v>
      </c>
      <c r="AT22" s="78">
        <v>12319</v>
      </c>
      <c r="AU22" s="400">
        <v>1.8086992E-2</v>
      </c>
      <c r="AV22" s="400">
        <v>2.1799709E-2</v>
      </c>
      <c r="AW22" s="78">
        <v>140462.016</v>
      </c>
      <c r="AX22" s="78">
        <v>0</v>
      </c>
      <c r="AY22" s="78">
        <v>12715.94</v>
      </c>
      <c r="AZ22" s="78">
        <v>74620.520648619</v>
      </c>
      <c r="BA22" s="78">
        <v>24</v>
      </c>
      <c r="BB22" s="78">
        <v>25.92</v>
      </c>
      <c r="BC22" s="78">
        <v>13174</v>
      </c>
      <c r="BD22" s="78">
        <v>1</v>
      </c>
      <c r="BE22" s="78">
        <v>0</v>
      </c>
      <c r="BF22" s="78">
        <v>0</v>
      </c>
      <c r="BG22" s="78">
        <v>0</v>
      </c>
      <c r="BH22" s="78">
        <v>0</v>
      </c>
      <c r="BI22" s="78">
        <v>0</v>
      </c>
      <c r="BJ22" s="78">
        <v>0</v>
      </c>
      <c r="BK22" s="78">
        <v>0</v>
      </c>
      <c r="BL22" s="78">
        <v>0</v>
      </c>
      <c r="BM22" s="78">
        <v>3698.145</v>
      </c>
      <c r="BN22" s="78">
        <v>189</v>
      </c>
      <c r="BO22" s="78">
        <v>182</v>
      </c>
      <c r="BP22" s="78">
        <v>32976.32</v>
      </c>
      <c r="BQ22" s="78">
        <v>7007</v>
      </c>
      <c r="BR22" s="78">
        <v>1363.93736195884</v>
      </c>
      <c r="BS22" s="78">
        <v>1742</v>
      </c>
      <c r="BT22" s="78">
        <v>1270</v>
      </c>
      <c r="BU22" s="78">
        <v>1154</v>
      </c>
      <c r="BV22" s="78">
        <f t="shared" si="4"/>
        <v>5681</v>
      </c>
      <c r="BW22" s="78">
        <v>2341</v>
      </c>
      <c r="BX22" s="78">
        <v>19676.673668805</v>
      </c>
      <c r="BY22" s="78">
        <v>17.690000000000001</v>
      </c>
      <c r="BZ22" s="78">
        <v>100766</v>
      </c>
      <c r="CA22" s="78">
        <v>13683</v>
      </c>
      <c r="CB22" s="78">
        <v>2698</v>
      </c>
      <c r="CC22" s="78">
        <v>3798</v>
      </c>
      <c r="CD22" s="78">
        <v>2644</v>
      </c>
      <c r="CE22" s="78">
        <v>1455</v>
      </c>
      <c r="CF22" s="78">
        <v>2101.02512845608</v>
      </c>
      <c r="CG22" s="78">
        <v>1208.4861328602899</v>
      </c>
      <c r="CH22" s="78">
        <v>459.92009420112498</v>
      </c>
      <c r="CI22" s="78">
        <v>5070.1523999999999</v>
      </c>
      <c r="CJ22" s="78">
        <v>2916.2948999999999</v>
      </c>
      <c r="CK22" s="78">
        <v>1109.8701000000001</v>
      </c>
      <c r="CL22" s="78">
        <v>116004</v>
      </c>
    </row>
    <row r="23" spans="1:90" x14ac:dyDescent="0.35">
      <c r="A23" s="72">
        <v>1970</v>
      </c>
      <c r="B23" s="72" t="s">
        <v>217</v>
      </c>
      <c r="C23" s="72">
        <v>2</v>
      </c>
      <c r="D23" s="78">
        <v>3048400000</v>
      </c>
      <c r="E23" s="78">
        <v>561400000</v>
      </c>
      <c r="F23" s="78">
        <v>639450000</v>
      </c>
      <c r="G23" s="78">
        <v>45481</v>
      </c>
      <c r="H23" s="78">
        <v>9</v>
      </c>
      <c r="I23" s="78">
        <f t="shared" si="2"/>
        <v>639.45000000000005</v>
      </c>
      <c r="J23" s="78">
        <v>9351</v>
      </c>
      <c r="K23" s="78">
        <v>9825</v>
      </c>
      <c r="L23" s="78">
        <v>3296</v>
      </c>
      <c r="M23" s="78">
        <v>7108</v>
      </c>
      <c r="N23" s="78">
        <f t="shared" si="3"/>
        <v>4977.1000000000004</v>
      </c>
      <c r="O23" s="78">
        <v>955</v>
      </c>
      <c r="P23" s="78">
        <v>110</v>
      </c>
      <c r="Q23" s="78">
        <v>3465</v>
      </c>
      <c r="R23" s="78">
        <v>6548</v>
      </c>
      <c r="S23" s="78">
        <v>440</v>
      </c>
      <c r="T23" s="78">
        <v>0</v>
      </c>
      <c r="U23" s="78">
        <v>1271</v>
      </c>
      <c r="V23" s="78">
        <v>20277</v>
      </c>
      <c r="W23" s="78">
        <v>42430</v>
      </c>
      <c r="X23" s="78">
        <v>17680</v>
      </c>
      <c r="Y23" s="78">
        <v>817.74</v>
      </c>
      <c r="Z23" s="78">
        <v>2041.6</v>
      </c>
      <c r="AA23" s="78">
        <v>0</v>
      </c>
      <c r="AB23" s="399">
        <f>IF((J23-'[2]Basisgegevens aanvullend'!D23*1.1)&lt;=0,0,J23-'[2]Basisgegevens aanvullend'!D23*1.1)</f>
        <v>0</v>
      </c>
      <c r="AC23" s="399">
        <v>0</v>
      </c>
      <c r="AD23" s="78">
        <v>37629</v>
      </c>
      <c r="AE23" s="78">
        <v>40639.32</v>
      </c>
      <c r="AF23" s="78">
        <v>1794</v>
      </c>
      <c r="AG23" s="78">
        <v>10000</v>
      </c>
      <c r="AH23" s="78">
        <v>286</v>
      </c>
      <c r="AI23" s="78">
        <v>200</v>
      </c>
      <c r="AJ23" s="78">
        <v>306.02</v>
      </c>
      <c r="AK23" s="78">
        <v>216</v>
      </c>
      <c r="AL23" s="78">
        <v>486</v>
      </c>
      <c r="AM23" s="78">
        <v>21309</v>
      </c>
      <c r="AN23" s="78">
        <v>22800.63</v>
      </c>
      <c r="AO23" s="78">
        <v>22</v>
      </c>
      <c r="AP23" s="78">
        <v>0</v>
      </c>
      <c r="AQ23" s="78">
        <v>0</v>
      </c>
      <c r="AR23" s="78">
        <v>5350</v>
      </c>
      <c r="AS23" s="78">
        <v>1908</v>
      </c>
      <c r="AT23" s="78">
        <v>1331</v>
      </c>
      <c r="AU23" s="400">
        <v>2.6534929999999998E-3</v>
      </c>
      <c r="AV23" s="400">
        <v>6.45726E-4</v>
      </c>
      <c r="AW23" s="78">
        <v>9866.0669999999991</v>
      </c>
      <c r="AX23" s="78">
        <v>0</v>
      </c>
      <c r="AY23" s="78">
        <v>10409.040000000001</v>
      </c>
      <c r="AZ23" s="78">
        <v>13727.986978159999</v>
      </c>
      <c r="BA23" s="78">
        <v>38</v>
      </c>
      <c r="BB23" s="78">
        <v>41.04</v>
      </c>
      <c r="BC23" s="78">
        <v>4779</v>
      </c>
      <c r="BD23" s="78">
        <v>1</v>
      </c>
      <c r="BE23" s="78">
        <v>0</v>
      </c>
      <c r="BF23" s="78">
        <v>0</v>
      </c>
      <c r="BG23" s="78">
        <v>0</v>
      </c>
      <c r="BH23" s="78">
        <v>0</v>
      </c>
      <c r="BI23" s="78">
        <v>0</v>
      </c>
      <c r="BJ23" s="78">
        <v>0</v>
      </c>
      <c r="BK23" s="78">
        <v>0</v>
      </c>
      <c r="BL23" s="78">
        <v>0</v>
      </c>
      <c r="BM23" s="78">
        <v>1103.4179999999999</v>
      </c>
      <c r="BN23" s="78">
        <v>130</v>
      </c>
      <c r="BO23" s="78">
        <v>72</v>
      </c>
      <c r="BP23" s="78">
        <v>10822.35</v>
      </c>
      <c r="BQ23" s="78">
        <v>2485.23</v>
      </c>
      <c r="BR23" s="78">
        <v>519.08009404434097</v>
      </c>
      <c r="BS23" s="78">
        <v>500</v>
      </c>
      <c r="BT23" s="78">
        <v>213.666666666667</v>
      </c>
      <c r="BU23" s="78">
        <v>192.666666666667</v>
      </c>
      <c r="BV23" s="78">
        <f t="shared" si="4"/>
        <v>2510</v>
      </c>
      <c r="BW23" s="78">
        <v>951</v>
      </c>
      <c r="BX23" s="78">
        <v>8434.5594507827009</v>
      </c>
      <c r="BY23" s="78">
        <v>2.7090000000000001</v>
      </c>
      <c r="BZ23" s="78">
        <v>35656</v>
      </c>
      <c r="CA23" s="78">
        <v>5458</v>
      </c>
      <c r="CB23" s="78">
        <v>1071</v>
      </c>
      <c r="CC23" s="78">
        <v>1171</v>
      </c>
      <c r="CD23" s="78">
        <v>1069</v>
      </c>
      <c r="CE23" s="78">
        <v>490</v>
      </c>
      <c r="CF23" s="78">
        <v>805.10881317753103</v>
      </c>
      <c r="CG23" s="78">
        <v>533.46925712140398</v>
      </c>
      <c r="CH23" s="78">
        <v>163.96471913276099</v>
      </c>
      <c r="CI23" s="78">
        <v>2044.7603999999999</v>
      </c>
      <c r="CJ23" s="78">
        <v>1354.8688</v>
      </c>
      <c r="CK23" s="78">
        <v>416.4264</v>
      </c>
      <c r="CL23" s="78">
        <v>12281</v>
      </c>
    </row>
    <row r="24" spans="1:90" x14ac:dyDescent="0.35">
      <c r="A24" s="72">
        <v>85</v>
      </c>
      <c r="B24" s="72" t="s">
        <v>234</v>
      </c>
      <c r="C24" s="72">
        <v>2</v>
      </c>
      <c r="D24" s="78">
        <v>2099200000</v>
      </c>
      <c r="E24" s="78">
        <v>274750000</v>
      </c>
      <c r="F24" s="78">
        <v>320250000</v>
      </c>
      <c r="G24" s="78">
        <v>25464</v>
      </c>
      <c r="H24" s="78">
        <v>5</v>
      </c>
      <c r="I24" s="78">
        <f t="shared" si="2"/>
        <v>320.25</v>
      </c>
      <c r="J24" s="78">
        <v>4551</v>
      </c>
      <c r="K24" s="78">
        <v>6272</v>
      </c>
      <c r="L24" s="78">
        <v>1970</v>
      </c>
      <c r="M24" s="78">
        <v>4005</v>
      </c>
      <c r="N24" s="78">
        <f t="shared" si="3"/>
        <v>2774.8999999999996</v>
      </c>
      <c r="O24" s="78">
        <v>530</v>
      </c>
      <c r="P24" s="78">
        <v>50</v>
      </c>
      <c r="Q24" s="78">
        <v>2029</v>
      </c>
      <c r="R24" s="78">
        <v>3746</v>
      </c>
      <c r="S24" s="78">
        <v>290</v>
      </c>
      <c r="T24" s="78">
        <v>0</v>
      </c>
      <c r="U24" s="78">
        <v>805</v>
      </c>
      <c r="V24" s="78">
        <v>11931</v>
      </c>
      <c r="W24" s="78">
        <v>23920</v>
      </c>
      <c r="X24" s="78">
        <v>9160</v>
      </c>
      <c r="Y24" s="78">
        <v>232.46</v>
      </c>
      <c r="Z24" s="78">
        <v>1052.8</v>
      </c>
      <c r="AA24" s="78">
        <v>0</v>
      </c>
      <c r="AB24" s="399">
        <f>IF((J24-'[2]Basisgegevens aanvullend'!D24*1.1)&lt;=0,0,J24-'[2]Basisgegevens aanvullend'!D24*1.1)</f>
        <v>0</v>
      </c>
      <c r="AC24" s="399">
        <v>0</v>
      </c>
      <c r="AD24" s="78">
        <v>22333</v>
      </c>
      <c r="AE24" s="78">
        <v>22333</v>
      </c>
      <c r="AF24" s="78">
        <v>278</v>
      </c>
      <c r="AG24" s="78">
        <v>0</v>
      </c>
      <c r="AH24" s="78">
        <v>163</v>
      </c>
      <c r="AI24" s="78">
        <v>143</v>
      </c>
      <c r="AJ24" s="78">
        <v>163</v>
      </c>
      <c r="AK24" s="78">
        <v>143</v>
      </c>
      <c r="AL24" s="78">
        <v>306</v>
      </c>
      <c r="AM24" s="78">
        <v>12301</v>
      </c>
      <c r="AN24" s="78">
        <v>12301</v>
      </c>
      <c r="AO24" s="78">
        <v>0</v>
      </c>
      <c r="AP24" s="78">
        <v>0</v>
      </c>
      <c r="AQ24" s="78">
        <v>0</v>
      </c>
      <c r="AR24" s="78">
        <v>0</v>
      </c>
      <c r="AS24" s="78">
        <v>0</v>
      </c>
      <c r="AT24" s="78">
        <v>0</v>
      </c>
      <c r="AU24" s="400">
        <v>8.7427000000000002E-4</v>
      </c>
      <c r="AV24" s="400">
        <v>3.0192000000000001E-4</v>
      </c>
      <c r="AW24" s="78">
        <v>5929.0820000000003</v>
      </c>
      <c r="AX24" s="78">
        <v>0</v>
      </c>
      <c r="AY24" s="78">
        <v>4821</v>
      </c>
      <c r="AZ24" s="78">
        <v>5429.3018442351104</v>
      </c>
      <c r="BA24" s="78">
        <v>18</v>
      </c>
      <c r="BB24" s="78">
        <v>18</v>
      </c>
      <c r="BC24" s="78">
        <v>2799</v>
      </c>
      <c r="BD24" s="78">
        <v>1</v>
      </c>
      <c r="BE24" s="78">
        <v>0</v>
      </c>
      <c r="BF24" s="78">
        <v>0</v>
      </c>
      <c r="BG24" s="78">
        <v>0</v>
      </c>
      <c r="BH24" s="78">
        <v>0</v>
      </c>
      <c r="BI24" s="78">
        <v>0</v>
      </c>
      <c r="BJ24" s="78">
        <v>0</v>
      </c>
      <c r="BK24" s="78">
        <v>0</v>
      </c>
      <c r="BL24" s="78">
        <v>0</v>
      </c>
      <c r="BM24" s="78">
        <v>541.56899999999996</v>
      </c>
      <c r="BN24" s="78">
        <v>94</v>
      </c>
      <c r="BO24" s="78">
        <v>51</v>
      </c>
      <c r="BP24" s="78">
        <v>6445.56</v>
      </c>
      <c r="BQ24" s="78">
        <v>1359.6</v>
      </c>
      <c r="BR24" s="78">
        <v>165.72451020408201</v>
      </c>
      <c r="BS24" s="78">
        <v>318</v>
      </c>
      <c r="BT24" s="78">
        <v>133</v>
      </c>
      <c r="BU24" s="78">
        <v>123.333333333333</v>
      </c>
      <c r="BV24" s="78">
        <f t="shared" si="4"/>
        <v>1499</v>
      </c>
      <c r="BW24" s="78">
        <v>644</v>
      </c>
      <c r="BX24" s="78">
        <v>4832.7710581491201</v>
      </c>
      <c r="BY24" s="78">
        <v>1.5029999999999999</v>
      </c>
      <c r="BZ24" s="78">
        <v>19192</v>
      </c>
      <c r="CA24" s="78">
        <v>3553</v>
      </c>
      <c r="CB24" s="78">
        <v>749</v>
      </c>
      <c r="CC24" s="78">
        <v>764</v>
      </c>
      <c r="CD24" s="78">
        <v>597</v>
      </c>
      <c r="CE24" s="78">
        <v>394</v>
      </c>
      <c r="CF24" s="78">
        <v>501.92281115356502</v>
      </c>
      <c r="CG24" s="78">
        <v>304.08626940899097</v>
      </c>
      <c r="CH24" s="78">
        <v>121.363807820502</v>
      </c>
      <c r="CI24" s="78">
        <v>1242.2175</v>
      </c>
      <c r="CJ24" s="78">
        <v>752.58839999999998</v>
      </c>
      <c r="CK24" s="78">
        <v>300.36540000000002</v>
      </c>
      <c r="CL24" s="78">
        <v>42827</v>
      </c>
    </row>
    <row r="25" spans="1:90" x14ac:dyDescent="0.35">
      <c r="A25" s="72">
        <v>86</v>
      </c>
      <c r="B25" s="72" t="s">
        <v>237</v>
      </c>
      <c r="C25" s="72">
        <v>2</v>
      </c>
      <c r="D25" s="78">
        <v>2499200000</v>
      </c>
      <c r="E25" s="78">
        <v>318500000</v>
      </c>
      <c r="F25" s="78">
        <v>376950000</v>
      </c>
      <c r="G25" s="78">
        <v>29812</v>
      </c>
      <c r="H25" s="78">
        <v>5</v>
      </c>
      <c r="I25" s="78">
        <f t="shared" si="2"/>
        <v>376.95</v>
      </c>
      <c r="J25" s="78">
        <v>5863</v>
      </c>
      <c r="K25" s="78">
        <v>6562</v>
      </c>
      <c r="L25" s="78">
        <v>2075</v>
      </c>
      <c r="M25" s="78">
        <v>3988</v>
      </c>
      <c r="N25" s="78">
        <f t="shared" si="3"/>
        <v>2631.3999999999996</v>
      </c>
      <c r="O25" s="78">
        <v>546.33333333333303</v>
      </c>
      <c r="P25" s="78">
        <v>44</v>
      </c>
      <c r="Q25" s="78">
        <v>1954.3333333333301</v>
      </c>
      <c r="R25" s="78">
        <v>3876</v>
      </c>
      <c r="S25" s="78">
        <v>345</v>
      </c>
      <c r="T25" s="78">
        <v>0</v>
      </c>
      <c r="U25" s="78">
        <v>807</v>
      </c>
      <c r="V25" s="78">
        <v>13265</v>
      </c>
      <c r="W25" s="78">
        <v>25480</v>
      </c>
      <c r="X25" s="78">
        <v>8170</v>
      </c>
      <c r="Y25" s="78">
        <v>705.84</v>
      </c>
      <c r="Z25" s="78">
        <v>385.6</v>
      </c>
      <c r="AA25" s="78">
        <v>0</v>
      </c>
      <c r="AB25" s="399">
        <f>IF((J25-'[2]Basisgegevens aanvullend'!D25*1.1)&lt;=0,0,J25-'[2]Basisgegevens aanvullend'!D25*1.1)</f>
        <v>0</v>
      </c>
      <c r="AC25" s="399">
        <v>0</v>
      </c>
      <c r="AD25" s="78">
        <v>22447</v>
      </c>
      <c r="AE25" s="78">
        <v>22447</v>
      </c>
      <c r="AF25" s="78">
        <v>318</v>
      </c>
      <c r="AG25" s="78">
        <v>0</v>
      </c>
      <c r="AH25" s="78">
        <v>167</v>
      </c>
      <c r="AI25" s="78">
        <v>150</v>
      </c>
      <c r="AJ25" s="78">
        <v>167</v>
      </c>
      <c r="AK25" s="78">
        <v>150</v>
      </c>
      <c r="AL25" s="78">
        <v>317</v>
      </c>
      <c r="AM25" s="78">
        <v>13566</v>
      </c>
      <c r="AN25" s="78">
        <v>13566</v>
      </c>
      <c r="AO25" s="78">
        <v>0</v>
      </c>
      <c r="AP25" s="78">
        <v>0</v>
      </c>
      <c r="AQ25" s="78">
        <v>0</v>
      </c>
      <c r="AR25" s="78">
        <v>0</v>
      </c>
      <c r="AS25" s="78">
        <v>652</v>
      </c>
      <c r="AT25" s="78">
        <v>0</v>
      </c>
      <c r="AU25" s="400">
        <v>9.7859300000000004E-4</v>
      </c>
      <c r="AV25" s="400">
        <v>3.2858300000000002E-4</v>
      </c>
      <c r="AW25" s="78">
        <v>5589.192</v>
      </c>
      <c r="AX25" s="78">
        <v>0</v>
      </c>
      <c r="AY25" s="78">
        <v>5959</v>
      </c>
      <c r="AZ25" s="78">
        <v>7803.6331210191101</v>
      </c>
      <c r="BA25" s="78">
        <v>22</v>
      </c>
      <c r="BB25" s="78">
        <v>22</v>
      </c>
      <c r="BC25" s="78">
        <v>3460</v>
      </c>
      <c r="BD25" s="78">
        <v>1</v>
      </c>
      <c r="BE25" s="78">
        <v>0</v>
      </c>
      <c r="BF25" s="78">
        <v>0</v>
      </c>
      <c r="BG25" s="78">
        <v>0</v>
      </c>
      <c r="BH25" s="78">
        <v>0</v>
      </c>
      <c r="BI25" s="78">
        <v>0</v>
      </c>
      <c r="BJ25" s="78">
        <v>0</v>
      </c>
      <c r="BK25" s="78">
        <v>0</v>
      </c>
      <c r="BL25" s="78">
        <v>0</v>
      </c>
      <c r="BM25" s="78">
        <v>574.57399999999996</v>
      </c>
      <c r="BN25" s="78">
        <v>112</v>
      </c>
      <c r="BO25" s="78">
        <v>48</v>
      </c>
      <c r="BP25" s="78">
        <v>7821.92</v>
      </c>
      <c r="BQ25" s="78">
        <v>1822.51</v>
      </c>
      <c r="BR25" s="78">
        <v>255.97265987599599</v>
      </c>
      <c r="BS25" s="78">
        <v>319</v>
      </c>
      <c r="BT25" s="78">
        <v>139</v>
      </c>
      <c r="BU25" s="78">
        <v>115.666666666667</v>
      </c>
      <c r="BV25" s="78">
        <f t="shared" si="4"/>
        <v>1407.999999999997</v>
      </c>
      <c r="BW25" s="78">
        <v>614</v>
      </c>
      <c r="BX25" s="78">
        <v>4179.1144008340898</v>
      </c>
      <c r="BY25" s="78">
        <v>1.284</v>
      </c>
      <c r="BZ25" s="78">
        <v>23250</v>
      </c>
      <c r="CA25" s="78">
        <v>3719</v>
      </c>
      <c r="CB25" s="78">
        <v>768</v>
      </c>
      <c r="CC25" s="78">
        <v>756</v>
      </c>
      <c r="CD25" s="78">
        <v>657</v>
      </c>
      <c r="CE25" s="78">
        <v>380</v>
      </c>
      <c r="CF25" s="78">
        <v>445.35562435500498</v>
      </c>
      <c r="CG25" s="78">
        <v>275.24374170720898</v>
      </c>
      <c r="CH25" s="78">
        <v>103.580097302079</v>
      </c>
      <c r="CI25" s="78">
        <v>1145.0152</v>
      </c>
      <c r="CJ25" s="78">
        <v>707.65530000000001</v>
      </c>
      <c r="CK25" s="78">
        <v>266.30579999999998</v>
      </c>
      <c r="CL25" s="78">
        <v>121910</v>
      </c>
    </row>
    <row r="26" spans="1:90" x14ac:dyDescent="0.35">
      <c r="A26" s="72">
        <v>88</v>
      </c>
      <c r="B26" s="72" t="s">
        <v>268</v>
      </c>
      <c r="C26" s="72">
        <v>2</v>
      </c>
      <c r="D26" s="78">
        <v>301200000</v>
      </c>
      <c r="E26" s="78">
        <v>35000000</v>
      </c>
      <c r="F26" s="78">
        <v>38150000</v>
      </c>
      <c r="G26" s="78">
        <v>931</v>
      </c>
      <c r="H26" s="78">
        <v>1</v>
      </c>
      <c r="I26" s="78">
        <f t="shared" si="2"/>
        <v>38.15</v>
      </c>
      <c r="J26" s="78">
        <v>113</v>
      </c>
      <c r="K26" s="78">
        <v>276</v>
      </c>
      <c r="L26" s="78">
        <v>102</v>
      </c>
      <c r="M26" s="78">
        <v>215</v>
      </c>
      <c r="N26" s="78">
        <f t="shared" si="3"/>
        <v>79.099999999999994</v>
      </c>
      <c r="O26" s="78">
        <v>9</v>
      </c>
      <c r="P26" s="78">
        <v>1</v>
      </c>
      <c r="Q26" s="78">
        <v>11</v>
      </c>
      <c r="R26" s="78">
        <v>283</v>
      </c>
      <c r="S26" s="78">
        <v>0</v>
      </c>
      <c r="T26" s="78">
        <v>0</v>
      </c>
      <c r="U26" s="78">
        <v>22</v>
      </c>
      <c r="V26" s="78">
        <v>539</v>
      </c>
      <c r="W26" s="78">
        <v>910</v>
      </c>
      <c r="X26" s="78">
        <v>20</v>
      </c>
      <c r="Y26" s="78">
        <v>0</v>
      </c>
      <c r="Z26" s="78">
        <v>18.399999999999999</v>
      </c>
      <c r="AA26" s="78">
        <v>0</v>
      </c>
      <c r="AB26" s="399">
        <f>IF((J26-'[2]Basisgegevens aanvullend'!D26*1.1)&lt;=0,0,J26-'[2]Basisgegevens aanvullend'!D26*1.1)</f>
        <v>0</v>
      </c>
      <c r="AC26" s="399">
        <v>0</v>
      </c>
      <c r="AD26" s="78">
        <v>4048</v>
      </c>
      <c r="AE26" s="78">
        <v>4048</v>
      </c>
      <c r="AF26" s="78">
        <v>43</v>
      </c>
      <c r="AG26" s="78">
        <v>10000</v>
      </c>
      <c r="AH26" s="78">
        <v>12</v>
      </c>
      <c r="AI26" s="78">
        <v>3</v>
      </c>
      <c r="AJ26" s="78">
        <v>12</v>
      </c>
      <c r="AK26" s="78">
        <v>3</v>
      </c>
      <c r="AL26" s="78">
        <v>15</v>
      </c>
      <c r="AM26" s="78">
        <v>1359</v>
      </c>
      <c r="AN26" s="78">
        <v>1359</v>
      </c>
      <c r="AO26" s="78">
        <v>0</v>
      </c>
      <c r="AP26" s="78">
        <v>0</v>
      </c>
      <c r="AQ26" s="78">
        <v>0</v>
      </c>
      <c r="AR26" s="78">
        <v>0</v>
      </c>
      <c r="AS26" s="78">
        <v>0</v>
      </c>
      <c r="AT26" s="78">
        <v>0</v>
      </c>
      <c r="AU26" s="400">
        <v>1.3294199999999999E-4</v>
      </c>
      <c r="AV26" s="400">
        <v>1.8851E-5</v>
      </c>
      <c r="AW26" s="78">
        <v>430.803</v>
      </c>
      <c r="AX26" s="78">
        <v>0</v>
      </c>
      <c r="AY26" s="78">
        <v>357</v>
      </c>
      <c r="AZ26" s="78">
        <v>81.243461256416495</v>
      </c>
      <c r="BA26" s="78">
        <v>1</v>
      </c>
      <c r="BB26" s="78">
        <v>1</v>
      </c>
      <c r="BC26" s="78">
        <v>169</v>
      </c>
      <c r="BD26" s="78">
        <v>1</v>
      </c>
      <c r="BE26" s="78">
        <v>0</v>
      </c>
      <c r="BF26" s="78">
        <v>0</v>
      </c>
      <c r="BG26" s="78">
        <v>0</v>
      </c>
      <c r="BH26" s="78">
        <v>0</v>
      </c>
      <c r="BI26" s="78">
        <v>1</v>
      </c>
      <c r="BJ26" s="78">
        <v>931</v>
      </c>
      <c r="BK26" s="78">
        <v>0</v>
      </c>
      <c r="BL26" s="78">
        <v>0</v>
      </c>
      <c r="BM26" s="78">
        <v>5.085</v>
      </c>
      <c r="BN26" s="78">
        <v>6</v>
      </c>
      <c r="BO26" s="78">
        <v>0</v>
      </c>
      <c r="BP26" s="78">
        <v>332.32</v>
      </c>
      <c r="BQ26" s="78">
        <v>-23.45</v>
      </c>
      <c r="BR26" s="78">
        <v>4.0841428571428597</v>
      </c>
      <c r="BS26" s="78">
        <v>4</v>
      </c>
      <c r="BT26" s="78">
        <v>1</v>
      </c>
      <c r="BU26" s="78">
        <v>1</v>
      </c>
      <c r="BV26" s="78">
        <f t="shared" si="4"/>
        <v>2</v>
      </c>
      <c r="BW26" s="78">
        <v>5</v>
      </c>
      <c r="BX26" s="78">
        <v>172.397212249208</v>
      </c>
      <c r="BY26" s="78">
        <v>7.0000000000000001E-3</v>
      </c>
      <c r="BZ26" s="78">
        <v>655</v>
      </c>
      <c r="CA26" s="78">
        <v>148</v>
      </c>
      <c r="CB26" s="78">
        <v>26</v>
      </c>
      <c r="CC26" s="78">
        <v>54</v>
      </c>
      <c r="CD26" s="78">
        <v>35</v>
      </c>
      <c r="CE26" s="78">
        <v>15</v>
      </c>
      <c r="CF26" s="78">
        <v>6.3442972774098596</v>
      </c>
      <c r="CG26" s="78">
        <v>4.1325239146431203</v>
      </c>
      <c r="CH26" s="78">
        <v>1.3387049300956599</v>
      </c>
      <c r="CI26" s="78">
        <v>55.7971</v>
      </c>
      <c r="CJ26" s="78">
        <v>36.344900000000003</v>
      </c>
      <c r="CK26" s="78">
        <v>11.7737</v>
      </c>
      <c r="CL26" s="78">
        <v>0</v>
      </c>
    </row>
    <row r="27" spans="1:90" x14ac:dyDescent="0.35">
      <c r="A27" s="72">
        <v>90</v>
      </c>
      <c r="B27" s="72" t="s">
        <v>278</v>
      </c>
      <c r="C27" s="72">
        <v>2</v>
      </c>
      <c r="D27" s="78">
        <v>4290400000</v>
      </c>
      <c r="E27" s="78">
        <v>836500000</v>
      </c>
      <c r="F27" s="78">
        <v>893550000</v>
      </c>
      <c r="G27" s="78">
        <v>56040</v>
      </c>
      <c r="H27" s="78">
        <v>4</v>
      </c>
      <c r="I27" s="78">
        <f t="shared" si="2"/>
        <v>893.55</v>
      </c>
      <c r="J27" s="78">
        <v>11038</v>
      </c>
      <c r="K27" s="78">
        <v>12142</v>
      </c>
      <c r="L27" s="78">
        <v>4188</v>
      </c>
      <c r="M27" s="78">
        <v>8910</v>
      </c>
      <c r="N27" s="78">
        <f t="shared" si="3"/>
        <v>6281.7999999999993</v>
      </c>
      <c r="O27" s="78">
        <v>1682.6666666666699</v>
      </c>
      <c r="P27" s="78">
        <v>101</v>
      </c>
      <c r="Q27" s="78">
        <v>4966.6666666666697</v>
      </c>
      <c r="R27" s="78">
        <v>9158</v>
      </c>
      <c r="S27" s="78">
        <v>1405</v>
      </c>
      <c r="T27" s="78">
        <v>0</v>
      </c>
      <c r="U27" s="78">
        <v>1982</v>
      </c>
      <c r="V27" s="78">
        <v>26559</v>
      </c>
      <c r="W27" s="78">
        <v>63490</v>
      </c>
      <c r="X27" s="78">
        <v>79680</v>
      </c>
      <c r="Y27" s="78">
        <v>4155.34</v>
      </c>
      <c r="Z27" s="78">
        <v>3734.4</v>
      </c>
      <c r="AA27" s="78">
        <v>0</v>
      </c>
      <c r="AB27" s="399">
        <f>IF((J27-'[2]Basisgegevens aanvullend'!D27*1.1)&lt;=0,0,J27-'[2]Basisgegevens aanvullend'!D27*1.1)</f>
        <v>0</v>
      </c>
      <c r="AC27" s="399">
        <v>0</v>
      </c>
      <c r="AD27" s="78">
        <v>11702</v>
      </c>
      <c r="AE27" s="78">
        <v>11702</v>
      </c>
      <c r="AF27" s="78">
        <v>915</v>
      </c>
      <c r="AG27" s="78">
        <v>0</v>
      </c>
      <c r="AH27" s="78">
        <v>336</v>
      </c>
      <c r="AI27" s="78">
        <v>85</v>
      </c>
      <c r="AJ27" s="78">
        <v>336</v>
      </c>
      <c r="AK27" s="78">
        <v>85</v>
      </c>
      <c r="AL27" s="78">
        <v>421</v>
      </c>
      <c r="AM27" s="78">
        <v>26282</v>
      </c>
      <c r="AN27" s="78">
        <v>26282</v>
      </c>
      <c r="AO27" s="78">
        <v>0</v>
      </c>
      <c r="AP27" s="78">
        <v>0</v>
      </c>
      <c r="AQ27" s="78">
        <v>0</v>
      </c>
      <c r="AR27" s="78">
        <v>0</v>
      </c>
      <c r="AS27" s="78">
        <v>1709</v>
      </c>
      <c r="AT27" s="78">
        <v>0</v>
      </c>
      <c r="AU27" s="400">
        <v>1.34285E-3</v>
      </c>
      <c r="AV27" s="400">
        <v>2.3469250000000001E-3</v>
      </c>
      <c r="AW27" s="78">
        <v>35244.161999999997</v>
      </c>
      <c r="AX27" s="78">
        <v>0</v>
      </c>
      <c r="AY27" s="78">
        <v>5540</v>
      </c>
      <c r="AZ27" s="78">
        <v>24606.610129190802</v>
      </c>
      <c r="BA27" s="78">
        <v>9</v>
      </c>
      <c r="BB27" s="78">
        <v>9</v>
      </c>
      <c r="BC27" s="78">
        <v>5352</v>
      </c>
      <c r="BD27" s="78">
        <v>1</v>
      </c>
      <c r="BE27" s="78">
        <v>0</v>
      </c>
      <c r="BF27" s="78">
        <v>0</v>
      </c>
      <c r="BG27" s="78">
        <v>0</v>
      </c>
      <c r="BH27" s="78">
        <v>0</v>
      </c>
      <c r="BI27" s="78">
        <v>0</v>
      </c>
      <c r="BJ27" s="78">
        <v>0</v>
      </c>
      <c r="BK27" s="78">
        <v>0</v>
      </c>
      <c r="BL27" s="78">
        <v>0</v>
      </c>
      <c r="BM27" s="78">
        <v>1434.94</v>
      </c>
      <c r="BN27" s="78">
        <v>155</v>
      </c>
      <c r="BO27" s="78">
        <v>152</v>
      </c>
      <c r="BP27" s="78">
        <v>14280.78</v>
      </c>
      <c r="BQ27" s="78">
        <v>3222.18</v>
      </c>
      <c r="BR27" s="78">
        <v>719.84387588820505</v>
      </c>
      <c r="BS27" s="78">
        <v>767</v>
      </c>
      <c r="BT27" s="78">
        <v>429</v>
      </c>
      <c r="BU27" s="78">
        <v>393.66666666666703</v>
      </c>
      <c r="BV27" s="78">
        <f t="shared" si="4"/>
        <v>3284</v>
      </c>
      <c r="BW27" s="78">
        <v>1415</v>
      </c>
      <c r="BX27" s="78">
        <v>9417.5145146927898</v>
      </c>
      <c r="BY27" s="78">
        <v>5.2519999999999998</v>
      </c>
      <c r="BZ27" s="78">
        <v>43898</v>
      </c>
      <c r="CA27" s="78">
        <v>6560</v>
      </c>
      <c r="CB27" s="78">
        <v>1394</v>
      </c>
      <c r="CC27" s="78">
        <v>1577</v>
      </c>
      <c r="CD27" s="78">
        <v>1381</v>
      </c>
      <c r="CE27" s="78">
        <v>691</v>
      </c>
      <c r="CF27" s="78">
        <v>992.39150749562396</v>
      </c>
      <c r="CG27" s="78">
        <v>691.47125028536595</v>
      </c>
      <c r="CH27" s="78">
        <v>237.10317327448399</v>
      </c>
      <c r="CI27" s="78">
        <v>2297.7168000000001</v>
      </c>
      <c r="CJ27" s="78">
        <v>1600.9862000000001</v>
      </c>
      <c r="CK27" s="78">
        <v>548.97280000000001</v>
      </c>
      <c r="CL27" s="78">
        <v>181197</v>
      </c>
    </row>
    <row r="28" spans="1:90" x14ac:dyDescent="0.35">
      <c r="A28" s="72">
        <v>1900</v>
      </c>
      <c r="B28" s="72" t="s">
        <v>289</v>
      </c>
      <c r="C28" s="72">
        <v>2</v>
      </c>
      <c r="D28" s="78">
        <v>7500400000</v>
      </c>
      <c r="E28" s="78">
        <v>1235500000</v>
      </c>
      <c r="F28" s="78">
        <v>1373050000</v>
      </c>
      <c r="G28" s="78">
        <v>89999</v>
      </c>
      <c r="H28" s="78">
        <v>12</v>
      </c>
      <c r="I28" s="78">
        <f t="shared" si="2"/>
        <v>1373.05</v>
      </c>
      <c r="J28" s="78">
        <v>17682</v>
      </c>
      <c r="K28" s="78">
        <v>20707</v>
      </c>
      <c r="L28" s="78">
        <v>6935</v>
      </c>
      <c r="M28" s="78">
        <v>13582</v>
      </c>
      <c r="N28" s="78">
        <f t="shared" si="3"/>
        <v>9176.2999999999993</v>
      </c>
      <c r="O28" s="78">
        <v>2190.6666666666702</v>
      </c>
      <c r="P28" s="78">
        <v>106</v>
      </c>
      <c r="Q28" s="78">
        <v>6003.6666666666697</v>
      </c>
      <c r="R28" s="78">
        <v>14208</v>
      </c>
      <c r="S28" s="78">
        <v>1570</v>
      </c>
      <c r="T28" s="78">
        <v>0</v>
      </c>
      <c r="U28" s="78">
        <v>2633</v>
      </c>
      <c r="V28" s="78">
        <v>41774</v>
      </c>
      <c r="W28" s="78">
        <v>89870</v>
      </c>
      <c r="X28" s="78">
        <v>76700</v>
      </c>
      <c r="Y28" s="78">
        <v>2418.64</v>
      </c>
      <c r="Z28" s="78">
        <v>4101.6000000000004</v>
      </c>
      <c r="AA28" s="78">
        <v>0</v>
      </c>
      <c r="AB28" s="399">
        <f>IF((J28-'[2]Basisgegevens aanvullend'!D28*1.1)&lt;=0,0,J28-'[2]Basisgegevens aanvullend'!D28*1.1)</f>
        <v>0</v>
      </c>
      <c r="AC28" s="399">
        <v>0</v>
      </c>
      <c r="AD28" s="78">
        <v>52261</v>
      </c>
      <c r="AE28" s="78">
        <v>55919.27</v>
      </c>
      <c r="AF28" s="78">
        <v>5319</v>
      </c>
      <c r="AG28" s="78">
        <v>10000</v>
      </c>
      <c r="AH28" s="78">
        <v>587</v>
      </c>
      <c r="AI28" s="78">
        <v>304</v>
      </c>
      <c r="AJ28" s="78">
        <v>616.35</v>
      </c>
      <c r="AK28" s="78">
        <v>325.27999999999997</v>
      </c>
      <c r="AL28" s="78">
        <v>891</v>
      </c>
      <c r="AM28" s="78">
        <v>44057</v>
      </c>
      <c r="AN28" s="78">
        <v>46259.85</v>
      </c>
      <c r="AO28" s="78">
        <v>80</v>
      </c>
      <c r="AP28" s="78">
        <v>0</v>
      </c>
      <c r="AQ28" s="78">
        <v>0</v>
      </c>
      <c r="AR28" s="78">
        <v>24250</v>
      </c>
      <c r="AS28" s="78">
        <v>6774</v>
      </c>
      <c r="AT28" s="78">
        <v>6250</v>
      </c>
      <c r="AU28" s="400">
        <v>5.2280449999999997E-3</v>
      </c>
      <c r="AV28" s="400">
        <v>3.1836270000000001E-3</v>
      </c>
      <c r="AW28" s="78">
        <v>37272.222000000002</v>
      </c>
      <c r="AX28" s="78">
        <v>0</v>
      </c>
      <c r="AY28" s="78">
        <v>21658.94</v>
      </c>
      <c r="AZ28" s="78">
        <v>34632.828107676301</v>
      </c>
      <c r="BA28" s="78">
        <v>65</v>
      </c>
      <c r="BB28" s="78">
        <v>69.55</v>
      </c>
      <c r="BC28" s="78">
        <v>11185</v>
      </c>
      <c r="BD28" s="78">
        <v>1</v>
      </c>
      <c r="BE28" s="78">
        <v>0</v>
      </c>
      <c r="BF28" s="78">
        <v>0</v>
      </c>
      <c r="BG28" s="78">
        <v>0</v>
      </c>
      <c r="BH28" s="78">
        <v>0</v>
      </c>
      <c r="BI28" s="78">
        <v>0</v>
      </c>
      <c r="BJ28" s="78">
        <v>0</v>
      </c>
      <c r="BK28" s="78">
        <v>0</v>
      </c>
      <c r="BL28" s="78">
        <v>0</v>
      </c>
      <c r="BM28" s="78">
        <v>1962.702</v>
      </c>
      <c r="BN28" s="78">
        <v>265</v>
      </c>
      <c r="BO28" s="78">
        <v>200</v>
      </c>
      <c r="BP28" s="78">
        <v>24517.119999999999</v>
      </c>
      <c r="BQ28" s="78">
        <v>5576.68</v>
      </c>
      <c r="BR28" s="78">
        <v>665.02966327223396</v>
      </c>
      <c r="BS28" s="78">
        <v>1041</v>
      </c>
      <c r="BT28" s="78">
        <v>575</v>
      </c>
      <c r="BU28" s="78">
        <v>498</v>
      </c>
      <c r="BV28" s="78">
        <f t="shared" si="4"/>
        <v>3812.9999999999995</v>
      </c>
      <c r="BW28" s="78">
        <v>1448</v>
      </c>
      <c r="BX28" s="78">
        <v>14097.4396795093</v>
      </c>
      <c r="BY28" s="78">
        <v>6.2930000000000001</v>
      </c>
      <c r="BZ28" s="78">
        <v>69292</v>
      </c>
      <c r="CA28" s="78">
        <v>11576</v>
      </c>
      <c r="CB28" s="78">
        <v>2196</v>
      </c>
      <c r="CC28" s="78">
        <v>2582</v>
      </c>
      <c r="CD28" s="78">
        <v>2232</v>
      </c>
      <c r="CE28" s="78">
        <v>1096</v>
      </c>
      <c r="CF28" s="78">
        <v>1515.0465578682199</v>
      </c>
      <c r="CG28" s="78">
        <v>995.173556982999</v>
      </c>
      <c r="CH28" s="78">
        <v>322.42123612592798</v>
      </c>
      <c r="CI28" s="78">
        <v>3755.5662000000002</v>
      </c>
      <c r="CJ28" s="78">
        <v>2466.8814000000002</v>
      </c>
      <c r="CK28" s="78">
        <v>799.23239999999998</v>
      </c>
      <c r="CL28" s="78">
        <v>93663</v>
      </c>
    </row>
    <row r="29" spans="1:90" x14ac:dyDescent="0.35">
      <c r="A29" s="72">
        <v>93</v>
      </c>
      <c r="B29" s="72" t="s">
        <v>291</v>
      </c>
      <c r="C29" s="72">
        <v>2</v>
      </c>
      <c r="D29" s="78">
        <v>940800000</v>
      </c>
      <c r="E29" s="78">
        <v>151550000</v>
      </c>
      <c r="F29" s="78">
        <v>172550000</v>
      </c>
      <c r="G29" s="78">
        <v>4870</v>
      </c>
      <c r="H29" s="78">
        <v>2</v>
      </c>
      <c r="I29" s="78">
        <f t="shared" si="2"/>
        <v>172.55</v>
      </c>
      <c r="J29" s="78">
        <v>698</v>
      </c>
      <c r="K29" s="78">
        <v>1173</v>
      </c>
      <c r="L29" s="78">
        <v>379</v>
      </c>
      <c r="M29" s="78">
        <v>606</v>
      </c>
      <c r="N29" s="78">
        <f t="shared" si="3"/>
        <v>210.5</v>
      </c>
      <c r="O29" s="78">
        <v>24</v>
      </c>
      <c r="P29" s="78">
        <v>1</v>
      </c>
      <c r="Q29" s="78">
        <v>35</v>
      </c>
      <c r="R29" s="78">
        <v>1184</v>
      </c>
      <c r="S29" s="78">
        <v>45</v>
      </c>
      <c r="T29" s="78">
        <v>0</v>
      </c>
      <c r="U29" s="78">
        <v>129</v>
      </c>
      <c r="V29" s="78">
        <v>2634</v>
      </c>
      <c r="W29" s="78">
        <v>4880</v>
      </c>
      <c r="X29" s="78">
        <v>1510</v>
      </c>
      <c r="Y29" s="78">
        <v>0</v>
      </c>
      <c r="Z29" s="78">
        <v>99.2</v>
      </c>
      <c r="AA29" s="78">
        <v>0</v>
      </c>
      <c r="AB29" s="399">
        <f>IF((J29-'[2]Basisgegevens aanvullend'!D29*1.1)&lt;=0,0,J29-'[2]Basisgegevens aanvullend'!D29*1.1)</f>
        <v>0</v>
      </c>
      <c r="AC29" s="399">
        <v>0</v>
      </c>
      <c r="AD29" s="78">
        <v>8523</v>
      </c>
      <c r="AE29" s="78">
        <v>8523</v>
      </c>
      <c r="AF29" s="78">
        <v>187</v>
      </c>
      <c r="AG29" s="78">
        <v>10000</v>
      </c>
      <c r="AH29" s="78">
        <v>43</v>
      </c>
      <c r="AI29" s="78">
        <v>7</v>
      </c>
      <c r="AJ29" s="78">
        <v>43</v>
      </c>
      <c r="AK29" s="78">
        <v>7</v>
      </c>
      <c r="AL29" s="78">
        <v>50</v>
      </c>
      <c r="AM29" s="78">
        <v>3955</v>
      </c>
      <c r="AN29" s="78">
        <v>3955</v>
      </c>
      <c r="AO29" s="78">
        <v>0</v>
      </c>
      <c r="AP29" s="78">
        <v>0</v>
      </c>
      <c r="AQ29" s="78">
        <v>0</v>
      </c>
      <c r="AR29" s="78">
        <v>0</v>
      </c>
      <c r="AS29" s="78">
        <v>513</v>
      </c>
      <c r="AT29" s="78">
        <v>0</v>
      </c>
      <c r="AU29" s="400">
        <v>2.8645599999999998E-4</v>
      </c>
      <c r="AV29" s="400">
        <v>5.3303000000000001E-5</v>
      </c>
      <c r="AW29" s="78">
        <v>988.75</v>
      </c>
      <c r="AX29" s="78">
        <v>0</v>
      </c>
      <c r="AY29" s="78">
        <v>781</v>
      </c>
      <c r="AZ29" s="78">
        <v>436.67853042479902</v>
      </c>
      <c r="BA29" s="78">
        <v>8</v>
      </c>
      <c r="BB29" s="78">
        <v>8</v>
      </c>
      <c r="BC29" s="78">
        <v>899</v>
      </c>
      <c r="BD29" s="78">
        <v>1</v>
      </c>
      <c r="BE29" s="78">
        <v>0</v>
      </c>
      <c r="BF29" s="78">
        <v>0</v>
      </c>
      <c r="BG29" s="78">
        <v>0</v>
      </c>
      <c r="BH29" s="78">
        <v>0</v>
      </c>
      <c r="BI29" s="78">
        <v>1</v>
      </c>
      <c r="BJ29" s="78">
        <v>2500</v>
      </c>
      <c r="BK29" s="78">
        <v>2370</v>
      </c>
      <c r="BL29" s="78">
        <v>0</v>
      </c>
      <c r="BM29" s="78">
        <v>53.746000000000002</v>
      </c>
      <c r="BN29" s="78">
        <v>5</v>
      </c>
      <c r="BO29" s="78">
        <v>0</v>
      </c>
      <c r="BP29" s="78">
        <v>1442.1</v>
      </c>
      <c r="BQ29" s="78">
        <v>278.24</v>
      </c>
      <c r="BR29" s="78">
        <v>6.6730696095076398</v>
      </c>
      <c r="BS29" s="78">
        <v>44</v>
      </c>
      <c r="BT29" s="78">
        <v>1.3333333333333299</v>
      </c>
      <c r="BU29" s="78">
        <v>1.3333333333333299</v>
      </c>
      <c r="BV29" s="78">
        <f t="shared" si="4"/>
        <v>11</v>
      </c>
      <c r="BW29" s="78">
        <v>23</v>
      </c>
      <c r="BX29" s="78">
        <v>722.76857610474599</v>
      </c>
      <c r="BY29" s="78">
        <v>2.5000000000000001E-2</v>
      </c>
      <c r="BZ29" s="78">
        <v>3697</v>
      </c>
      <c r="CA29" s="78">
        <v>664</v>
      </c>
      <c r="CB29" s="78">
        <v>130</v>
      </c>
      <c r="CC29" s="78">
        <v>165</v>
      </c>
      <c r="CD29" s="78">
        <v>128</v>
      </c>
      <c r="CE29" s="78">
        <v>61</v>
      </c>
      <c r="CF29" s="78">
        <v>22.992667509481699</v>
      </c>
      <c r="CG29" s="78">
        <v>13.9446270543616</v>
      </c>
      <c r="CH29" s="78">
        <v>4.8433628318584097</v>
      </c>
      <c r="CI29" s="78">
        <v>185.71680000000001</v>
      </c>
      <c r="CJ29" s="78">
        <v>112.63379999999999</v>
      </c>
      <c r="CK29" s="78">
        <v>39.120899999999999</v>
      </c>
      <c r="CL29" s="78">
        <v>2381</v>
      </c>
    </row>
    <row r="30" spans="1:90" x14ac:dyDescent="0.35">
      <c r="A30" s="72">
        <v>737</v>
      </c>
      <c r="B30" s="72" t="s">
        <v>300</v>
      </c>
      <c r="C30" s="72">
        <v>2</v>
      </c>
      <c r="D30" s="78">
        <v>2510400000</v>
      </c>
      <c r="E30" s="78">
        <v>274750000</v>
      </c>
      <c r="F30" s="78">
        <v>322700000</v>
      </c>
      <c r="G30" s="78">
        <v>32060</v>
      </c>
      <c r="H30" s="78">
        <v>7</v>
      </c>
      <c r="I30" s="78">
        <f t="shared" si="2"/>
        <v>322.7</v>
      </c>
      <c r="J30" s="78">
        <v>6334</v>
      </c>
      <c r="K30" s="78">
        <v>7686</v>
      </c>
      <c r="L30" s="78">
        <v>2634</v>
      </c>
      <c r="M30" s="78">
        <v>4244</v>
      </c>
      <c r="N30" s="78">
        <f t="shared" si="3"/>
        <v>2763.6</v>
      </c>
      <c r="O30" s="78">
        <v>505.33333333333297</v>
      </c>
      <c r="P30" s="78">
        <v>55</v>
      </c>
      <c r="Q30" s="78">
        <v>1879.3333333333301</v>
      </c>
      <c r="R30" s="78">
        <v>4242</v>
      </c>
      <c r="S30" s="78">
        <v>345</v>
      </c>
      <c r="T30" s="78">
        <v>0</v>
      </c>
      <c r="U30" s="78">
        <v>837</v>
      </c>
      <c r="V30" s="78">
        <v>14524</v>
      </c>
      <c r="W30" s="78">
        <v>28890</v>
      </c>
      <c r="X30" s="78">
        <v>10830</v>
      </c>
      <c r="Y30" s="78">
        <v>0</v>
      </c>
      <c r="Z30" s="78">
        <v>1077.5999999999999</v>
      </c>
      <c r="AA30" s="78">
        <v>0</v>
      </c>
      <c r="AB30" s="399">
        <f>IF((J30-'[2]Basisgegevens aanvullend'!D30*1.1)&lt;=0,0,J30-'[2]Basisgegevens aanvullend'!D30*1.1)</f>
        <v>0</v>
      </c>
      <c r="AC30" s="399">
        <v>337.2</v>
      </c>
      <c r="AD30" s="78">
        <v>14859</v>
      </c>
      <c r="AE30" s="78">
        <v>14859</v>
      </c>
      <c r="AF30" s="78">
        <v>1282</v>
      </c>
      <c r="AG30" s="78">
        <v>0</v>
      </c>
      <c r="AH30" s="78">
        <v>194</v>
      </c>
      <c r="AI30" s="78">
        <v>96</v>
      </c>
      <c r="AJ30" s="78">
        <v>194</v>
      </c>
      <c r="AK30" s="78">
        <v>96</v>
      </c>
      <c r="AL30" s="78">
        <v>289</v>
      </c>
      <c r="AM30" s="78">
        <v>14804</v>
      </c>
      <c r="AN30" s="78">
        <v>14804</v>
      </c>
      <c r="AO30" s="78">
        <v>0</v>
      </c>
      <c r="AP30" s="78">
        <v>0</v>
      </c>
      <c r="AQ30" s="78">
        <v>0</v>
      </c>
      <c r="AR30" s="78">
        <v>0</v>
      </c>
      <c r="AS30" s="78">
        <v>846</v>
      </c>
      <c r="AT30" s="78">
        <v>0</v>
      </c>
      <c r="AU30" s="400">
        <v>9.1896899999999995E-4</v>
      </c>
      <c r="AV30" s="400">
        <v>3.2087899999999999E-4</v>
      </c>
      <c r="AW30" s="78">
        <v>7076.3119999999999</v>
      </c>
      <c r="AX30" s="78">
        <v>0</v>
      </c>
      <c r="AY30" s="78">
        <v>5972</v>
      </c>
      <c r="AZ30" s="78">
        <v>11861.8623381451</v>
      </c>
      <c r="BA30" s="78">
        <v>24</v>
      </c>
      <c r="BB30" s="78">
        <v>24</v>
      </c>
      <c r="BC30" s="78">
        <v>3137</v>
      </c>
      <c r="BD30" s="78">
        <v>1</v>
      </c>
      <c r="BE30" s="78">
        <v>0</v>
      </c>
      <c r="BF30" s="78">
        <v>0</v>
      </c>
      <c r="BG30" s="78">
        <v>0</v>
      </c>
      <c r="BH30" s="78">
        <v>0</v>
      </c>
      <c r="BI30" s="78">
        <v>0</v>
      </c>
      <c r="BJ30" s="78">
        <v>0</v>
      </c>
      <c r="BK30" s="78">
        <v>0</v>
      </c>
      <c r="BL30" s="78">
        <v>0</v>
      </c>
      <c r="BM30" s="78">
        <v>557.39200000000005</v>
      </c>
      <c r="BN30" s="78">
        <v>53</v>
      </c>
      <c r="BO30" s="78">
        <v>112</v>
      </c>
      <c r="BP30" s="78">
        <v>8323.4500000000007</v>
      </c>
      <c r="BQ30" s="78">
        <v>1935.46</v>
      </c>
      <c r="BR30" s="78">
        <v>345.32457772183801</v>
      </c>
      <c r="BS30" s="78">
        <v>322</v>
      </c>
      <c r="BT30" s="78">
        <v>123</v>
      </c>
      <c r="BU30" s="78">
        <v>104.666666666667</v>
      </c>
      <c r="BV30" s="78">
        <f t="shared" si="4"/>
        <v>1373.999999999997</v>
      </c>
      <c r="BW30" s="78">
        <v>489</v>
      </c>
      <c r="BX30" s="78">
        <v>5346.0940222138997</v>
      </c>
      <c r="BY30" s="78">
        <v>1.3939999999999999</v>
      </c>
      <c r="BZ30" s="78">
        <v>24374</v>
      </c>
      <c r="CA30" s="78">
        <v>4242</v>
      </c>
      <c r="CB30" s="78">
        <v>810</v>
      </c>
      <c r="CC30" s="78">
        <v>776</v>
      </c>
      <c r="CD30" s="78">
        <v>803</v>
      </c>
      <c r="CE30" s="78">
        <v>429</v>
      </c>
      <c r="CF30" s="78">
        <v>478.08562550661998</v>
      </c>
      <c r="CG30" s="78">
        <v>330.98235611996802</v>
      </c>
      <c r="CH30" s="78">
        <v>113.500999729803</v>
      </c>
      <c r="CI30" s="78">
        <v>1310.9758999999999</v>
      </c>
      <c r="CJ30" s="78">
        <v>907.59870000000001</v>
      </c>
      <c r="CK30" s="78">
        <v>311.23520000000002</v>
      </c>
      <c r="CL30" s="78">
        <v>45240</v>
      </c>
    </row>
    <row r="31" spans="1:90" x14ac:dyDescent="0.35">
      <c r="A31" s="72">
        <v>96</v>
      </c>
      <c r="B31" s="72" t="s">
        <v>319</v>
      </c>
      <c r="C31" s="72">
        <v>2</v>
      </c>
      <c r="D31" s="78">
        <v>337200000</v>
      </c>
      <c r="E31" s="78">
        <v>60900000</v>
      </c>
      <c r="F31" s="78">
        <v>63350000</v>
      </c>
      <c r="G31" s="78">
        <v>1194</v>
      </c>
      <c r="H31" s="78">
        <v>1</v>
      </c>
      <c r="I31" s="78">
        <f t="shared" si="2"/>
        <v>63.35</v>
      </c>
      <c r="J31" s="78">
        <v>151</v>
      </c>
      <c r="K31" s="78">
        <v>218</v>
      </c>
      <c r="L31" s="78">
        <v>70</v>
      </c>
      <c r="M31" s="78">
        <v>232</v>
      </c>
      <c r="N31" s="78">
        <f t="shared" si="3"/>
        <v>117.19999999999999</v>
      </c>
      <c r="O31" s="78">
        <v>8.3333333333333304</v>
      </c>
      <c r="P31" s="78">
        <v>0</v>
      </c>
      <c r="Q31" s="78">
        <v>10.3333333333333</v>
      </c>
      <c r="R31" s="78">
        <v>385</v>
      </c>
      <c r="S31" s="78">
        <v>0</v>
      </c>
      <c r="T31" s="78">
        <v>0</v>
      </c>
      <c r="U31" s="78">
        <v>27</v>
      </c>
      <c r="V31" s="78">
        <v>706</v>
      </c>
      <c r="W31" s="78">
        <v>1180</v>
      </c>
      <c r="X31" s="78">
        <v>210</v>
      </c>
      <c r="Y31" s="78">
        <v>0</v>
      </c>
      <c r="Z31" s="78">
        <v>18.399999999999999</v>
      </c>
      <c r="AA31" s="78">
        <v>0</v>
      </c>
      <c r="AB31" s="399">
        <f>IF((J31-'[2]Basisgegevens aanvullend'!D31*1.1)&lt;=0,0,J31-'[2]Basisgegevens aanvullend'!D31*1.1)</f>
        <v>0</v>
      </c>
      <c r="AC31" s="399">
        <v>0</v>
      </c>
      <c r="AD31" s="78">
        <v>3917</v>
      </c>
      <c r="AE31" s="78">
        <v>3917</v>
      </c>
      <c r="AF31" s="78">
        <v>69</v>
      </c>
      <c r="AG31" s="78">
        <v>10000</v>
      </c>
      <c r="AH31" s="78">
        <v>11</v>
      </c>
      <c r="AI31" s="78">
        <v>1</v>
      </c>
      <c r="AJ31" s="78">
        <v>11</v>
      </c>
      <c r="AK31" s="78">
        <v>1</v>
      </c>
      <c r="AL31" s="78">
        <v>13</v>
      </c>
      <c r="AM31" s="78">
        <v>1148</v>
      </c>
      <c r="AN31" s="78">
        <v>1148</v>
      </c>
      <c r="AO31" s="78">
        <v>0</v>
      </c>
      <c r="AP31" s="78">
        <v>0</v>
      </c>
      <c r="AQ31" s="78">
        <v>0</v>
      </c>
      <c r="AR31" s="78">
        <v>0</v>
      </c>
      <c r="AS31" s="78">
        <v>0</v>
      </c>
      <c r="AT31" s="78">
        <v>0</v>
      </c>
      <c r="AU31" s="400">
        <v>1.06192E-4</v>
      </c>
      <c r="AV31" s="400">
        <v>1.7237000000000001E-5</v>
      </c>
      <c r="AW31" s="78">
        <v>244.524</v>
      </c>
      <c r="AX31" s="78">
        <v>0</v>
      </c>
      <c r="AY31" s="78">
        <v>392</v>
      </c>
      <c r="AZ31" s="78">
        <v>117.42298043151</v>
      </c>
      <c r="BA31" s="78">
        <v>2</v>
      </c>
      <c r="BB31" s="78">
        <v>2</v>
      </c>
      <c r="BC31" s="78">
        <v>240</v>
      </c>
      <c r="BD31" s="78">
        <v>1</v>
      </c>
      <c r="BE31" s="78">
        <v>0</v>
      </c>
      <c r="BF31" s="78">
        <v>0</v>
      </c>
      <c r="BG31" s="78">
        <v>0</v>
      </c>
      <c r="BH31" s="78">
        <v>0</v>
      </c>
      <c r="BI31" s="78">
        <v>1</v>
      </c>
      <c r="BJ31" s="78">
        <v>1194</v>
      </c>
      <c r="BK31" s="78">
        <v>0</v>
      </c>
      <c r="BL31" s="78">
        <v>0</v>
      </c>
      <c r="BM31" s="78">
        <v>12.231</v>
      </c>
      <c r="BN31" s="78">
        <v>0</v>
      </c>
      <c r="BO31" s="78">
        <v>0</v>
      </c>
      <c r="BP31" s="78">
        <v>442.88</v>
      </c>
      <c r="BQ31" s="78">
        <v>-30.45</v>
      </c>
      <c r="BR31" s="78">
        <v>3.01752459016393</v>
      </c>
      <c r="BS31" s="78">
        <v>8</v>
      </c>
      <c r="BT31" s="78">
        <v>1.3333333333333299</v>
      </c>
      <c r="BU31" s="78">
        <v>1.3333333333333299</v>
      </c>
      <c r="BV31" s="78">
        <f t="shared" si="4"/>
        <v>1.9999999999999698</v>
      </c>
      <c r="BW31" s="78">
        <v>4</v>
      </c>
      <c r="BX31" s="78">
        <v>159.613506493507</v>
      </c>
      <c r="BY31" s="78">
        <v>7.0000000000000001E-3</v>
      </c>
      <c r="BZ31" s="78">
        <v>976</v>
      </c>
      <c r="CA31" s="78">
        <v>131</v>
      </c>
      <c r="CB31" s="78">
        <v>17</v>
      </c>
      <c r="CC31" s="78">
        <v>33</v>
      </c>
      <c r="CD31" s="78">
        <v>29</v>
      </c>
      <c r="CE31" s="78">
        <v>8</v>
      </c>
      <c r="CF31" s="78">
        <v>8.8818815331010406</v>
      </c>
      <c r="CG31" s="78">
        <v>5.3087108013937296</v>
      </c>
      <c r="CH31" s="78">
        <v>1.4292682926829301</v>
      </c>
      <c r="CI31" s="78">
        <v>41.177100000000003</v>
      </c>
      <c r="CJ31" s="78">
        <v>24.611599999999999</v>
      </c>
      <c r="CK31" s="78">
        <v>6.6261999999999999</v>
      </c>
      <c r="CL31" s="78">
        <v>0</v>
      </c>
    </row>
    <row r="32" spans="1:90" x14ac:dyDescent="0.35">
      <c r="A32" s="72">
        <v>1949</v>
      </c>
      <c r="B32" s="72" t="s">
        <v>325</v>
      </c>
      <c r="C32" s="72">
        <v>2</v>
      </c>
      <c r="D32" s="78">
        <v>2986800000</v>
      </c>
      <c r="E32" s="78">
        <v>434000000</v>
      </c>
      <c r="F32" s="78">
        <v>518350000</v>
      </c>
      <c r="G32" s="78">
        <v>46149</v>
      </c>
      <c r="H32" s="78">
        <v>11</v>
      </c>
      <c r="I32" s="78">
        <f t="shared" si="2"/>
        <v>518.35</v>
      </c>
      <c r="J32" s="78">
        <v>8905</v>
      </c>
      <c r="K32" s="78">
        <v>10469</v>
      </c>
      <c r="L32" s="78">
        <v>3243</v>
      </c>
      <c r="M32" s="78">
        <v>6851</v>
      </c>
      <c r="N32" s="78">
        <f t="shared" si="3"/>
        <v>4700.6000000000004</v>
      </c>
      <c r="O32" s="78">
        <v>1010.33333333333</v>
      </c>
      <c r="P32" s="78">
        <v>34</v>
      </c>
      <c r="Q32" s="78">
        <v>3085.3333333333298</v>
      </c>
      <c r="R32" s="78">
        <v>6905</v>
      </c>
      <c r="S32" s="78">
        <v>705</v>
      </c>
      <c r="T32" s="78">
        <v>0</v>
      </c>
      <c r="U32" s="78">
        <v>1335</v>
      </c>
      <c r="V32" s="78">
        <v>21277</v>
      </c>
      <c r="W32" s="78">
        <v>39750</v>
      </c>
      <c r="X32" s="78">
        <v>18220</v>
      </c>
      <c r="Y32" s="78">
        <v>298.92</v>
      </c>
      <c r="Z32" s="78">
        <v>1304</v>
      </c>
      <c r="AA32" s="78">
        <v>0</v>
      </c>
      <c r="AB32" s="399">
        <f>IF((J32-'[2]Basisgegevens aanvullend'!D32*1.1)&lt;=0,0,J32-'[2]Basisgegevens aanvullend'!D32*1.1)</f>
        <v>0</v>
      </c>
      <c r="AC32" s="399">
        <v>0</v>
      </c>
      <c r="AD32" s="78">
        <v>28478</v>
      </c>
      <c r="AE32" s="78">
        <v>28762.78</v>
      </c>
      <c r="AF32" s="78">
        <v>401</v>
      </c>
      <c r="AG32" s="78">
        <v>2647</v>
      </c>
      <c r="AH32" s="78">
        <v>301</v>
      </c>
      <c r="AI32" s="78">
        <v>174</v>
      </c>
      <c r="AJ32" s="78">
        <v>304.01</v>
      </c>
      <c r="AK32" s="78">
        <v>175.74</v>
      </c>
      <c r="AL32" s="78">
        <v>475</v>
      </c>
      <c r="AM32" s="78">
        <v>21504</v>
      </c>
      <c r="AN32" s="78">
        <v>21719.040000000001</v>
      </c>
      <c r="AO32" s="78">
        <v>22</v>
      </c>
      <c r="AP32" s="78">
        <v>0</v>
      </c>
      <c r="AQ32" s="78">
        <v>0</v>
      </c>
      <c r="AR32" s="78">
        <v>5850</v>
      </c>
      <c r="AS32" s="78">
        <v>2975</v>
      </c>
      <c r="AT32" s="78">
        <v>1787</v>
      </c>
      <c r="AU32" s="400">
        <v>2.8373890000000001E-3</v>
      </c>
      <c r="AV32" s="400">
        <v>5.9854500000000002E-4</v>
      </c>
      <c r="AW32" s="78">
        <v>10192.896000000001</v>
      </c>
      <c r="AX32" s="78">
        <v>0</v>
      </c>
      <c r="AY32" s="78">
        <v>7175.04</v>
      </c>
      <c r="AZ32" s="78">
        <v>11540.046521693999</v>
      </c>
      <c r="BA32" s="78">
        <v>34</v>
      </c>
      <c r="BB32" s="78">
        <v>34.340000000000003</v>
      </c>
      <c r="BC32" s="78">
        <v>4958</v>
      </c>
      <c r="BD32" s="78">
        <v>1</v>
      </c>
      <c r="BE32" s="78">
        <v>0</v>
      </c>
      <c r="BF32" s="78">
        <v>0</v>
      </c>
      <c r="BG32" s="78">
        <v>0</v>
      </c>
      <c r="BH32" s="78">
        <v>0</v>
      </c>
      <c r="BI32" s="78">
        <v>0</v>
      </c>
      <c r="BJ32" s="78">
        <v>0</v>
      </c>
      <c r="BK32" s="78">
        <v>0</v>
      </c>
      <c r="BL32" s="78">
        <v>0</v>
      </c>
      <c r="BM32" s="78">
        <v>899.40499999999997</v>
      </c>
      <c r="BN32" s="78">
        <v>82</v>
      </c>
      <c r="BO32" s="78">
        <v>92</v>
      </c>
      <c r="BP32" s="78">
        <v>11646.24</v>
      </c>
      <c r="BQ32" s="78">
        <v>2632.85</v>
      </c>
      <c r="BR32" s="78">
        <v>426.952752677131</v>
      </c>
      <c r="BS32" s="78">
        <v>499</v>
      </c>
      <c r="BT32" s="78">
        <v>275.66666666666703</v>
      </c>
      <c r="BU32" s="78">
        <v>229.666666666667</v>
      </c>
      <c r="BV32" s="78">
        <f t="shared" si="4"/>
        <v>2075</v>
      </c>
      <c r="BW32" s="78">
        <v>631</v>
      </c>
      <c r="BX32" s="78">
        <v>8321.8392015621594</v>
      </c>
      <c r="BY32" s="78">
        <v>2.8839999999999999</v>
      </c>
      <c r="BZ32" s="78">
        <v>35680</v>
      </c>
      <c r="CA32" s="78">
        <v>6165</v>
      </c>
      <c r="CB32" s="78">
        <v>1061</v>
      </c>
      <c r="CC32" s="78">
        <v>1292</v>
      </c>
      <c r="CD32" s="78">
        <v>998</v>
      </c>
      <c r="CE32" s="78">
        <v>513</v>
      </c>
      <c r="CF32" s="78">
        <v>842.89032738095204</v>
      </c>
      <c r="CG32" s="78">
        <v>486.58554687499998</v>
      </c>
      <c r="CH32" s="78">
        <v>157.604752604167</v>
      </c>
      <c r="CI32" s="78">
        <v>2171.3136</v>
      </c>
      <c r="CJ32" s="78">
        <v>1253.4606000000001</v>
      </c>
      <c r="CK32" s="78">
        <v>405.99509999999998</v>
      </c>
      <c r="CL32" s="78">
        <v>29526</v>
      </c>
    </row>
    <row r="33" spans="1:90" x14ac:dyDescent="0.35">
      <c r="A33" s="72">
        <v>98</v>
      </c>
      <c r="B33" s="72" t="s">
        <v>341</v>
      </c>
      <c r="C33" s="72">
        <v>2</v>
      </c>
      <c r="D33" s="78">
        <v>2091200000</v>
      </c>
      <c r="E33" s="78">
        <v>303100000</v>
      </c>
      <c r="F33" s="78">
        <v>352100000</v>
      </c>
      <c r="G33" s="78">
        <v>26130</v>
      </c>
      <c r="H33" s="78">
        <v>2</v>
      </c>
      <c r="I33" s="78">
        <f t="shared" si="2"/>
        <v>352.1</v>
      </c>
      <c r="J33" s="78">
        <v>4788</v>
      </c>
      <c r="K33" s="78">
        <v>6378</v>
      </c>
      <c r="L33" s="78">
        <v>2120</v>
      </c>
      <c r="M33" s="78">
        <v>4038</v>
      </c>
      <c r="N33" s="78">
        <f t="shared" si="3"/>
        <v>2828.7</v>
      </c>
      <c r="O33" s="78">
        <v>462.33333333333297</v>
      </c>
      <c r="P33" s="78">
        <v>55</v>
      </c>
      <c r="Q33" s="78">
        <v>1821.3333333333301</v>
      </c>
      <c r="R33" s="78">
        <v>3683</v>
      </c>
      <c r="S33" s="78">
        <v>485</v>
      </c>
      <c r="T33" s="78">
        <v>0</v>
      </c>
      <c r="U33" s="78">
        <v>729</v>
      </c>
      <c r="V33" s="78">
        <v>11964</v>
      </c>
      <c r="W33" s="78">
        <v>25980</v>
      </c>
      <c r="X33" s="78">
        <v>17340</v>
      </c>
      <c r="Y33" s="78">
        <v>104.94</v>
      </c>
      <c r="Z33" s="78">
        <v>977.6</v>
      </c>
      <c r="AA33" s="78">
        <v>0</v>
      </c>
      <c r="AB33" s="399">
        <f>IF((J33-'[2]Basisgegevens aanvullend'!D33*1.1)&lt;=0,0,J33-'[2]Basisgegevens aanvullend'!D33*1.1)</f>
        <v>0</v>
      </c>
      <c r="AC33" s="399">
        <v>0</v>
      </c>
      <c r="AD33" s="78">
        <v>22014</v>
      </c>
      <c r="AE33" s="78">
        <v>22014</v>
      </c>
      <c r="AF33" s="78">
        <v>831</v>
      </c>
      <c r="AG33" s="78">
        <v>0</v>
      </c>
      <c r="AH33" s="78">
        <v>158</v>
      </c>
      <c r="AI33" s="78">
        <v>155</v>
      </c>
      <c r="AJ33" s="78">
        <v>158</v>
      </c>
      <c r="AK33" s="78">
        <v>155</v>
      </c>
      <c r="AL33" s="78">
        <v>312</v>
      </c>
      <c r="AM33" s="78">
        <v>12093</v>
      </c>
      <c r="AN33" s="78">
        <v>12093</v>
      </c>
      <c r="AO33" s="78">
        <v>0</v>
      </c>
      <c r="AP33" s="78">
        <v>0</v>
      </c>
      <c r="AQ33" s="78">
        <v>0</v>
      </c>
      <c r="AR33" s="78">
        <v>0</v>
      </c>
      <c r="AS33" s="78">
        <v>1042</v>
      </c>
      <c r="AT33" s="78">
        <v>0</v>
      </c>
      <c r="AU33" s="400">
        <v>1.20327E-3</v>
      </c>
      <c r="AV33" s="400">
        <v>4.1712299999999998E-4</v>
      </c>
      <c r="AW33" s="78">
        <v>8211.1470000000008</v>
      </c>
      <c r="AX33" s="78">
        <v>0</v>
      </c>
      <c r="AY33" s="78">
        <v>7571</v>
      </c>
      <c r="AZ33" s="78">
        <v>8659.6730137885806</v>
      </c>
      <c r="BA33" s="78">
        <v>19</v>
      </c>
      <c r="BB33" s="78">
        <v>19</v>
      </c>
      <c r="BC33" s="78">
        <v>3042</v>
      </c>
      <c r="BD33" s="78">
        <v>1</v>
      </c>
      <c r="BE33" s="78">
        <v>0</v>
      </c>
      <c r="BF33" s="78">
        <v>0</v>
      </c>
      <c r="BG33" s="78">
        <v>0</v>
      </c>
      <c r="BH33" s="78">
        <v>0</v>
      </c>
      <c r="BI33" s="78">
        <v>0</v>
      </c>
      <c r="BJ33" s="78">
        <v>0</v>
      </c>
      <c r="BK33" s="78">
        <v>0</v>
      </c>
      <c r="BL33" s="78">
        <v>0</v>
      </c>
      <c r="BM33" s="78">
        <v>574.55999999999995</v>
      </c>
      <c r="BN33" s="78">
        <v>75</v>
      </c>
      <c r="BO33" s="78">
        <v>46</v>
      </c>
      <c r="BP33" s="78">
        <v>6642.74</v>
      </c>
      <c r="BQ33" s="78">
        <v>1492.26</v>
      </c>
      <c r="BR33" s="78">
        <v>175.43930830248499</v>
      </c>
      <c r="BS33" s="78">
        <v>299</v>
      </c>
      <c r="BT33" s="78">
        <v>112.666666666667</v>
      </c>
      <c r="BU33" s="78">
        <v>105</v>
      </c>
      <c r="BV33" s="78">
        <f t="shared" si="4"/>
        <v>1358.999999999997</v>
      </c>
      <c r="BW33" s="78">
        <v>435</v>
      </c>
      <c r="BX33" s="78">
        <v>5212.4076406575596</v>
      </c>
      <c r="BY33" s="78">
        <v>1.107</v>
      </c>
      <c r="BZ33" s="78">
        <v>19752</v>
      </c>
      <c r="CA33" s="78">
        <v>3476</v>
      </c>
      <c r="CB33" s="78">
        <v>782</v>
      </c>
      <c r="CC33" s="78">
        <v>691</v>
      </c>
      <c r="CD33" s="78">
        <v>660</v>
      </c>
      <c r="CE33" s="78">
        <v>362</v>
      </c>
      <c r="CF33" s="78">
        <v>502.67727611014601</v>
      </c>
      <c r="CG33" s="78">
        <v>336.59962788389998</v>
      </c>
      <c r="CH33" s="78">
        <v>118.59347556437601</v>
      </c>
      <c r="CI33" s="78">
        <v>1189.2565999999999</v>
      </c>
      <c r="CJ33" s="78">
        <v>796.34259999999995</v>
      </c>
      <c r="CK33" s="78">
        <v>280.57380000000001</v>
      </c>
      <c r="CL33" s="78">
        <v>22756</v>
      </c>
    </row>
    <row r="34" spans="1:90" x14ac:dyDescent="0.35">
      <c r="A34" s="72">
        <v>1680</v>
      </c>
      <c r="B34" s="72" t="s">
        <v>0</v>
      </c>
      <c r="C34" s="72">
        <v>3</v>
      </c>
      <c r="D34" s="78">
        <v>2447200000</v>
      </c>
      <c r="E34" s="78">
        <v>218400000</v>
      </c>
      <c r="F34" s="78">
        <v>270200000</v>
      </c>
      <c r="G34" s="78">
        <v>25399</v>
      </c>
      <c r="H34" s="78">
        <v>6</v>
      </c>
      <c r="I34" s="78">
        <f t="shared" si="2"/>
        <v>270.2</v>
      </c>
      <c r="J34" s="78">
        <v>4265</v>
      </c>
      <c r="K34" s="78">
        <v>6882</v>
      </c>
      <c r="L34" s="78">
        <v>2119</v>
      </c>
      <c r="M34" s="78">
        <v>3194</v>
      </c>
      <c r="N34" s="78">
        <f t="shared" si="3"/>
        <v>1879.6999999999998</v>
      </c>
      <c r="O34" s="78">
        <v>352</v>
      </c>
      <c r="P34" s="78">
        <v>32</v>
      </c>
      <c r="Q34" s="78">
        <v>1637</v>
      </c>
      <c r="R34" s="78">
        <v>3226</v>
      </c>
      <c r="S34" s="78">
        <v>255</v>
      </c>
      <c r="T34" s="78">
        <v>0</v>
      </c>
      <c r="U34" s="78">
        <v>580</v>
      </c>
      <c r="V34" s="78">
        <v>11659</v>
      </c>
      <c r="W34" s="78">
        <v>19490</v>
      </c>
      <c r="X34" s="78">
        <v>3010</v>
      </c>
      <c r="Y34" s="78">
        <v>0</v>
      </c>
      <c r="Z34" s="78">
        <v>179.2</v>
      </c>
      <c r="AA34" s="78">
        <v>0</v>
      </c>
      <c r="AB34" s="399">
        <f>IF((J34-'[2]Basisgegevens aanvullend'!D34*1.1)&lt;=0,0,J34-'[2]Basisgegevens aanvullend'!D34*1.1)</f>
        <v>0</v>
      </c>
      <c r="AC34" s="399">
        <v>77.7</v>
      </c>
      <c r="AD34" s="78">
        <v>27601</v>
      </c>
      <c r="AE34" s="78">
        <v>27601</v>
      </c>
      <c r="AF34" s="78">
        <v>286</v>
      </c>
      <c r="AG34" s="78">
        <v>0</v>
      </c>
      <c r="AH34" s="78">
        <v>171</v>
      </c>
      <c r="AI34" s="78">
        <v>98</v>
      </c>
      <c r="AJ34" s="78">
        <v>171</v>
      </c>
      <c r="AK34" s="78">
        <v>98</v>
      </c>
      <c r="AL34" s="78">
        <v>270</v>
      </c>
      <c r="AM34" s="78">
        <v>13143</v>
      </c>
      <c r="AN34" s="78">
        <v>13143</v>
      </c>
      <c r="AO34" s="78">
        <v>0</v>
      </c>
      <c r="AP34" s="78">
        <v>0</v>
      </c>
      <c r="AQ34" s="78">
        <v>0</v>
      </c>
      <c r="AR34" s="78">
        <v>0</v>
      </c>
      <c r="AS34" s="78">
        <v>0</v>
      </c>
      <c r="AT34" s="78">
        <v>0</v>
      </c>
      <c r="AU34" s="400">
        <v>7.2006299999999995E-4</v>
      </c>
      <c r="AV34" s="400">
        <v>1.80125E-4</v>
      </c>
      <c r="AW34" s="78">
        <v>3693.183</v>
      </c>
      <c r="AX34" s="78">
        <v>0</v>
      </c>
      <c r="AY34" s="78">
        <v>3342</v>
      </c>
      <c r="AZ34" s="78">
        <v>3043.8361243590198</v>
      </c>
      <c r="BA34" s="78">
        <v>33</v>
      </c>
      <c r="BB34" s="78">
        <v>33</v>
      </c>
      <c r="BC34" s="78">
        <v>2916</v>
      </c>
      <c r="BD34" s="78">
        <v>1</v>
      </c>
      <c r="BE34" s="78">
        <v>0</v>
      </c>
      <c r="BF34" s="78">
        <v>0</v>
      </c>
      <c r="BG34" s="78">
        <v>0</v>
      </c>
      <c r="BH34" s="78">
        <v>0</v>
      </c>
      <c r="BI34" s="78">
        <v>0</v>
      </c>
      <c r="BJ34" s="78">
        <v>0</v>
      </c>
      <c r="BK34" s="78">
        <v>0</v>
      </c>
      <c r="BL34" s="78">
        <v>0</v>
      </c>
      <c r="BM34" s="78">
        <v>332.67</v>
      </c>
      <c r="BN34" s="78">
        <v>36</v>
      </c>
      <c r="BO34" s="78">
        <v>42</v>
      </c>
      <c r="BP34" s="78">
        <v>7819</v>
      </c>
      <c r="BQ34" s="78">
        <v>1612.69</v>
      </c>
      <c r="BR34" s="78">
        <v>88.791721863598099</v>
      </c>
      <c r="BS34" s="78">
        <v>190</v>
      </c>
      <c r="BT34" s="78">
        <v>85.6666666666667</v>
      </c>
      <c r="BU34" s="78">
        <v>63.3333333333333</v>
      </c>
      <c r="BV34" s="78">
        <f t="shared" si="4"/>
        <v>1285</v>
      </c>
      <c r="BW34" s="78">
        <v>452</v>
      </c>
      <c r="BX34" s="78">
        <v>4265.8740970721201</v>
      </c>
      <c r="BY34" s="78">
        <v>0.74299999999999999</v>
      </c>
      <c r="BZ34" s="78">
        <v>18517</v>
      </c>
      <c r="CA34" s="78">
        <v>4024</v>
      </c>
      <c r="CB34" s="78">
        <v>739</v>
      </c>
      <c r="CC34" s="78">
        <v>701</v>
      </c>
      <c r="CD34" s="78">
        <v>573</v>
      </c>
      <c r="CE34" s="78">
        <v>364</v>
      </c>
      <c r="CF34" s="78">
        <v>344.24696796773901</v>
      </c>
      <c r="CG34" s="78">
        <v>203.08711861827601</v>
      </c>
      <c r="CH34" s="78">
        <v>74.655968956859198</v>
      </c>
      <c r="CI34" s="78">
        <v>1007.8108999999999</v>
      </c>
      <c r="CJ34" s="78">
        <v>594.55399999999997</v>
      </c>
      <c r="CK34" s="78">
        <v>218.56139999999999</v>
      </c>
      <c r="CL34" s="78">
        <v>101570</v>
      </c>
    </row>
    <row r="35" spans="1:90" x14ac:dyDescent="0.35">
      <c r="A35" s="72">
        <v>106</v>
      </c>
      <c r="B35" s="72" t="s">
        <v>30</v>
      </c>
      <c r="C35" s="72">
        <v>3</v>
      </c>
      <c r="D35" s="78">
        <v>5390400000</v>
      </c>
      <c r="E35" s="78">
        <v>831600000</v>
      </c>
      <c r="F35" s="78">
        <v>860300000</v>
      </c>
      <c r="G35" s="78">
        <v>68836</v>
      </c>
      <c r="H35" s="78">
        <v>1</v>
      </c>
      <c r="I35" s="78">
        <f t="shared" si="2"/>
        <v>860.3</v>
      </c>
      <c r="J35" s="78">
        <v>13481</v>
      </c>
      <c r="K35" s="78">
        <v>14276</v>
      </c>
      <c r="L35" s="78">
        <v>4387</v>
      </c>
      <c r="M35" s="78">
        <v>10763</v>
      </c>
      <c r="N35" s="78">
        <f t="shared" si="3"/>
        <v>7412.2999999999993</v>
      </c>
      <c r="O35" s="78">
        <v>1957.3333333333301</v>
      </c>
      <c r="P35" s="78">
        <v>121</v>
      </c>
      <c r="Q35" s="78">
        <v>6505.3333333333303</v>
      </c>
      <c r="R35" s="78">
        <v>12324</v>
      </c>
      <c r="S35" s="78">
        <v>2215</v>
      </c>
      <c r="T35" s="78">
        <v>0</v>
      </c>
      <c r="U35" s="78">
        <v>2642</v>
      </c>
      <c r="V35" s="78">
        <v>33776</v>
      </c>
      <c r="W35" s="78">
        <v>77840</v>
      </c>
      <c r="X35" s="78">
        <v>107610</v>
      </c>
      <c r="Y35" s="78">
        <v>2454.2600000000002</v>
      </c>
      <c r="Z35" s="78">
        <v>3956.8</v>
      </c>
      <c r="AA35" s="78">
        <v>0</v>
      </c>
      <c r="AB35" s="399">
        <f>IF((J35-'[2]Basisgegevens aanvullend'!D35*1.1)&lt;=0,0,J35-'[2]Basisgegevens aanvullend'!D35*1.1)</f>
        <v>0</v>
      </c>
      <c r="AC35" s="399">
        <v>0</v>
      </c>
      <c r="AD35" s="78">
        <v>8184</v>
      </c>
      <c r="AE35" s="78">
        <v>8184</v>
      </c>
      <c r="AF35" s="78">
        <v>161</v>
      </c>
      <c r="AG35" s="78">
        <v>0</v>
      </c>
      <c r="AH35" s="78">
        <v>363</v>
      </c>
      <c r="AI35" s="78">
        <v>42</v>
      </c>
      <c r="AJ35" s="78">
        <v>363</v>
      </c>
      <c r="AK35" s="78">
        <v>42</v>
      </c>
      <c r="AL35" s="78">
        <v>405</v>
      </c>
      <c r="AM35" s="78">
        <v>33507</v>
      </c>
      <c r="AN35" s="78">
        <v>33507</v>
      </c>
      <c r="AO35" s="78">
        <v>11</v>
      </c>
      <c r="AP35" s="78">
        <v>0</v>
      </c>
      <c r="AQ35" s="78">
        <v>0</v>
      </c>
      <c r="AR35" s="78">
        <v>0</v>
      </c>
      <c r="AS35" s="78">
        <v>3666</v>
      </c>
      <c r="AT35" s="78">
        <v>3666</v>
      </c>
      <c r="AU35" s="400">
        <v>1.1645659999999999E-3</v>
      </c>
      <c r="AV35" s="400">
        <v>3.1044890000000002E-3</v>
      </c>
      <c r="AW35" s="78">
        <v>53008.074000000001</v>
      </c>
      <c r="AX35" s="78">
        <v>0</v>
      </c>
      <c r="AY35" s="78">
        <v>1901</v>
      </c>
      <c r="AZ35" s="78">
        <v>15680.915038945501</v>
      </c>
      <c r="BA35" s="78">
        <v>3</v>
      </c>
      <c r="BB35" s="78">
        <v>3</v>
      </c>
      <c r="BC35" s="78">
        <v>5963</v>
      </c>
      <c r="BD35" s="78">
        <v>1</v>
      </c>
      <c r="BE35" s="78">
        <v>0</v>
      </c>
      <c r="BF35" s="78">
        <v>0</v>
      </c>
      <c r="BG35" s="78">
        <v>0</v>
      </c>
      <c r="BH35" s="78">
        <v>0</v>
      </c>
      <c r="BI35" s="78">
        <v>0</v>
      </c>
      <c r="BJ35" s="78">
        <v>0</v>
      </c>
      <c r="BK35" s="78">
        <v>0</v>
      </c>
      <c r="BL35" s="78">
        <v>0</v>
      </c>
      <c r="BM35" s="78">
        <v>1846.8969999999999</v>
      </c>
      <c r="BN35" s="78">
        <v>164</v>
      </c>
      <c r="BO35" s="78">
        <v>210</v>
      </c>
      <c r="BP35" s="78">
        <v>18698.87</v>
      </c>
      <c r="BQ35" s="78">
        <v>4118.3999999999996</v>
      </c>
      <c r="BR35" s="78">
        <v>760.21347652720499</v>
      </c>
      <c r="BS35" s="78">
        <v>961</v>
      </c>
      <c r="BT35" s="78">
        <v>499.66666666666703</v>
      </c>
      <c r="BU35" s="78">
        <v>428.33333333333297</v>
      </c>
      <c r="BV35" s="78">
        <f t="shared" si="4"/>
        <v>4548</v>
      </c>
      <c r="BW35" s="78">
        <v>1619</v>
      </c>
      <c r="BX35" s="78">
        <v>11749.57338037</v>
      </c>
      <c r="BY35" s="78">
        <v>5.859</v>
      </c>
      <c r="BZ35" s="78">
        <v>54560</v>
      </c>
      <c r="CA35" s="78">
        <v>8250</v>
      </c>
      <c r="CB35" s="78">
        <v>1639</v>
      </c>
      <c r="CC35" s="78">
        <v>2102</v>
      </c>
      <c r="CD35" s="78">
        <v>1558</v>
      </c>
      <c r="CE35" s="78">
        <v>820</v>
      </c>
      <c r="CF35" s="78">
        <v>1158.51061270779</v>
      </c>
      <c r="CG35" s="78">
        <v>676.92237442922396</v>
      </c>
      <c r="CH35" s="78">
        <v>249.753385859671</v>
      </c>
      <c r="CI35" s="78">
        <v>2727.4295999999999</v>
      </c>
      <c r="CJ35" s="78">
        <v>1593.6479999999999</v>
      </c>
      <c r="CK35" s="78">
        <v>587.98320000000001</v>
      </c>
      <c r="CL35" s="78">
        <v>257748</v>
      </c>
    </row>
    <row r="36" spans="1:90" x14ac:dyDescent="0.35">
      <c r="A36" s="72">
        <v>1681</v>
      </c>
      <c r="B36" s="72" t="s">
        <v>55</v>
      </c>
      <c r="C36" s="72">
        <v>3</v>
      </c>
      <c r="D36" s="78">
        <v>2025200000</v>
      </c>
      <c r="E36" s="78">
        <v>291900000</v>
      </c>
      <c r="F36" s="78">
        <v>344050000</v>
      </c>
      <c r="G36" s="78">
        <v>25598</v>
      </c>
      <c r="H36" s="78">
        <v>5</v>
      </c>
      <c r="I36" s="78">
        <f t="shared" si="2"/>
        <v>344.05</v>
      </c>
      <c r="J36" s="78">
        <v>4335</v>
      </c>
      <c r="K36" s="78">
        <v>6432</v>
      </c>
      <c r="L36" s="78">
        <v>1993</v>
      </c>
      <c r="M36" s="78">
        <v>3480</v>
      </c>
      <c r="N36" s="78">
        <f t="shared" si="3"/>
        <v>2262.6999999999998</v>
      </c>
      <c r="O36" s="78">
        <v>455.66666666666703</v>
      </c>
      <c r="P36" s="78">
        <v>29</v>
      </c>
      <c r="Q36" s="78">
        <v>2066.6666666666702</v>
      </c>
      <c r="R36" s="78">
        <v>3143</v>
      </c>
      <c r="S36" s="78">
        <v>255</v>
      </c>
      <c r="T36" s="78">
        <v>0</v>
      </c>
      <c r="U36" s="78">
        <v>625</v>
      </c>
      <c r="V36" s="78">
        <v>11513</v>
      </c>
      <c r="W36" s="78">
        <v>20810</v>
      </c>
      <c r="X36" s="78">
        <v>3740</v>
      </c>
      <c r="Y36" s="78">
        <v>0</v>
      </c>
      <c r="Z36" s="78">
        <v>148</v>
      </c>
      <c r="AA36" s="78">
        <v>0</v>
      </c>
      <c r="AB36" s="399">
        <f>IF((J36-'[2]Basisgegevens aanvullend'!D36*1.1)&lt;=0,0,J36-'[2]Basisgegevens aanvullend'!D36*1.1)</f>
        <v>0</v>
      </c>
      <c r="AC36" s="399">
        <v>0</v>
      </c>
      <c r="AD36" s="78">
        <v>27482</v>
      </c>
      <c r="AE36" s="78">
        <v>27482</v>
      </c>
      <c r="AF36" s="78">
        <v>307</v>
      </c>
      <c r="AG36" s="78">
        <v>0</v>
      </c>
      <c r="AH36" s="78">
        <v>169</v>
      </c>
      <c r="AI36" s="78">
        <v>114</v>
      </c>
      <c r="AJ36" s="78">
        <v>169</v>
      </c>
      <c r="AK36" s="78">
        <v>114</v>
      </c>
      <c r="AL36" s="78">
        <v>284</v>
      </c>
      <c r="AM36" s="78">
        <v>12173</v>
      </c>
      <c r="AN36" s="78">
        <v>12173</v>
      </c>
      <c r="AO36" s="78">
        <v>0</v>
      </c>
      <c r="AP36" s="78">
        <v>0</v>
      </c>
      <c r="AQ36" s="78">
        <v>0</v>
      </c>
      <c r="AR36" s="78">
        <v>0</v>
      </c>
      <c r="AS36" s="78">
        <v>2246</v>
      </c>
      <c r="AT36" s="78">
        <v>0</v>
      </c>
      <c r="AU36" s="400">
        <v>8.34062E-4</v>
      </c>
      <c r="AV36" s="400">
        <v>2.5033100000000001E-4</v>
      </c>
      <c r="AW36" s="78">
        <v>3213.672</v>
      </c>
      <c r="AX36" s="78">
        <v>0</v>
      </c>
      <c r="AY36" s="78">
        <v>5626</v>
      </c>
      <c r="AZ36" s="78">
        <v>5182.4228291770096</v>
      </c>
      <c r="BA36" s="78">
        <v>37</v>
      </c>
      <c r="BB36" s="78">
        <v>37</v>
      </c>
      <c r="BC36" s="78">
        <v>2850</v>
      </c>
      <c r="BD36" s="78">
        <v>1</v>
      </c>
      <c r="BE36" s="78">
        <v>0</v>
      </c>
      <c r="BF36" s="78">
        <v>0</v>
      </c>
      <c r="BG36" s="78">
        <v>0</v>
      </c>
      <c r="BH36" s="78">
        <v>0</v>
      </c>
      <c r="BI36" s="78">
        <v>0</v>
      </c>
      <c r="BJ36" s="78">
        <v>0</v>
      </c>
      <c r="BK36" s="78">
        <v>0</v>
      </c>
      <c r="BL36" s="78">
        <v>0</v>
      </c>
      <c r="BM36" s="78">
        <v>468.18</v>
      </c>
      <c r="BN36" s="78">
        <v>96</v>
      </c>
      <c r="BO36" s="78">
        <v>31</v>
      </c>
      <c r="BP36" s="78">
        <v>6981.2</v>
      </c>
      <c r="BQ36" s="78">
        <v>1422.49</v>
      </c>
      <c r="BR36" s="78">
        <v>115.67806504961401</v>
      </c>
      <c r="BS36" s="78">
        <v>217</v>
      </c>
      <c r="BT36" s="78">
        <v>119.333333333333</v>
      </c>
      <c r="BU36" s="78">
        <v>100</v>
      </c>
      <c r="BV36" s="78">
        <f t="shared" si="4"/>
        <v>1611.0000000000032</v>
      </c>
      <c r="BW36" s="78">
        <v>428</v>
      </c>
      <c r="BX36" s="78">
        <v>5090.6759325482199</v>
      </c>
      <c r="BY36" s="78">
        <v>1.343</v>
      </c>
      <c r="BZ36" s="78">
        <v>19166</v>
      </c>
      <c r="CA36" s="78">
        <v>3803</v>
      </c>
      <c r="CB36" s="78">
        <v>636</v>
      </c>
      <c r="CC36" s="78">
        <v>592</v>
      </c>
      <c r="CD36" s="78">
        <v>539</v>
      </c>
      <c r="CE36" s="78">
        <v>322</v>
      </c>
      <c r="CF36" s="78">
        <v>422.31614228209997</v>
      </c>
      <c r="CG36" s="78">
        <v>250.75020947999701</v>
      </c>
      <c r="CH36" s="78">
        <v>84.760634190421399</v>
      </c>
      <c r="CI36" s="78">
        <v>1163.0368000000001</v>
      </c>
      <c r="CJ36" s="78">
        <v>690.55309999999997</v>
      </c>
      <c r="CK36" s="78">
        <v>233.4264</v>
      </c>
      <c r="CL36" s="78">
        <v>0</v>
      </c>
    </row>
    <row r="37" spans="1:90" x14ac:dyDescent="0.35">
      <c r="A37" s="72">
        <v>109</v>
      </c>
      <c r="B37" s="72" t="s">
        <v>70</v>
      </c>
      <c r="C37" s="72">
        <v>3</v>
      </c>
      <c r="D37" s="78">
        <v>2732400000</v>
      </c>
      <c r="E37" s="78">
        <v>558600000</v>
      </c>
      <c r="F37" s="78">
        <v>620200000</v>
      </c>
      <c r="G37" s="78">
        <v>35317</v>
      </c>
      <c r="H37" s="78">
        <v>8</v>
      </c>
      <c r="I37" s="78">
        <f t="shared" si="2"/>
        <v>620.20000000000005</v>
      </c>
      <c r="J37" s="78">
        <v>6315</v>
      </c>
      <c r="K37" s="78">
        <v>8793</v>
      </c>
      <c r="L37" s="78">
        <v>2795</v>
      </c>
      <c r="M37" s="78">
        <v>5158</v>
      </c>
      <c r="N37" s="78">
        <f t="shared" si="3"/>
        <v>3421.3</v>
      </c>
      <c r="O37" s="78">
        <v>722.66666666666697</v>
      </c>
      <c r="P37" s="78">
        <v>44</v>
      </c>
      <c r="Q37" s="78">
        <v>2689.6666666666702</v>
      </c>
      <c r="R37" s="78">
        <v>4943</v>
      </c>
      <c r="S37" s="78">
        <v>610</v>
      </c>
      <c r="T37" s="78">
        <v>0</v>
      </c>
      <c r="U37" s="78">
        <v>989</v>
      </c>
      <c r="V37" s="78">
        <v>16212</v>
      </c>
      <c r="W37" s="78">
        <v>32290</v>
      </c>
      <c r="X37" s="78">
        <v>17990</v>
      </c>
      <c r="Y37" s="78">
        <v>116.82</v>
      </c>
      <c r="Z37" s="78">
        <v>1045.5999999999999</v>
      </c>
      <c r="AA37" s="78">
        <v>0</v>
      </c>
      <c r="AB37" s="399">
        <f>IF((J37-'[2]Basisgegevens aanvullend'!D37*1.1)&lt;=0,0,J37-'[2]Basisgegevens aanvullend'!D37*1.1)</f>
        <v>0</v>
      </c>
      <c r="AC37" s="399">
        <v>0</v>
      </c>
      <c r="AD37" s="78">
        <v>29614</v>
      </c>
      <c r="AE37" s="78">
        <v>29614</v>
      </c>
      <c r="AF37" s="78">
        <v>355</v>
      </c>
      <c r="AG37" s="78">
        <v>0</v>
      </c>
      <c r="AH37" s="78">
        <v>237</v>
      </c>
      <c r="AI37" s="78">
        <v>179</v>
      </c>
      <c r="AJ37" s="78">
        <v>237</v>
      </c>
      <c r="AK37" s="78">
        <v>179</v>
      </c>
      <c r="AL37" s="78">
        <v>416</v>
      </c>
      <c r="AM37" s="78">
        <v>17367</v>
      </c>
      <c r="AN37" s="78">
        <v>17367</v>
      </c>
      <c r="AO37" s="78">
        <v>9</v>
      </c>
      <c r="AP37" s="78">
        <v>0</v>
      </c>
      <c r="AQ37" s="78">
        <v>0</v>
      </c>
      <c r="AR37" s="78">
        <v>3250</v>
      </c>
      <c r="AS37" s="78">
        <v>917</v>
      </c>
      <c r="AT37" s="78">
        <v>917</v>
      </c>
      <c r="AU37" s="400">
        <v>1.014834E-3</v>
      </c>
      <c r="AV37" s="400">
        <v>5.4257000000000003E-4</v>
      </c>
      <c r="AW37" s="78">
        <v>8648.7659999999996</v>
      </c>
      <c r="AX37" s="78">
        <v>0</v>
      </c>
      <c r="AY37" s="78">
        <v>4559</v>
      </c>
      <c r="AZ37" s="78">
        <v>5372.5584103573701</v>
      </c>
      <c r="BA37" s="78">
        <v>27</v>
      </c>
      <c r="BB37" s="78">
        <v>27</v>
      </c>
      <c r="BC37" s="78">
        <v>3773</v>
      </c>
      <c r="BD37" s="78">
        <v>1</v>
      </c>
      <c r="BE37" s="78">
        <v>0</v>
      </c>
      <c r="BF37" s="78">
        <v>0</v>
      </c>
      <c r="BG37" s="78">
        <v>0</v>
      </c>
      <c r="BH37" s="78">
        <v>0</v>
      </c>
      <c r="BI37" s="78">
        <v>0</v>
      </c>
      <c r="BJ37" s="78">
        <v>0</v>
      </c>
      <c r="BK37" s="78">
        <v>0</v>
      </c>
      <c r="BL37" s="78">
        <v>0</v>
      </c>
      <c r="BM37" s="78">
        <v>833.58</v>
      </c>
      <c r="BN37" s="78">
        <v>140</v>
      </c>
      <c r="BO37" s="78">
        <v>127</v>
      </c>
      <c r="BP37" s="78">
        <v>9646.58</v>
      </c>
      <c r="BQ37" s="78">
        <v>1985.88</v>
      </c>
      <c r="BR37" s="78">
        <v>217.20260277938601</v>
      </c>
      <c r="BS37" s="78">
        <v>374</v>
      </c>
      <c r="BT37" s="78">
        <v>220.333333333333</v>
      </c>
      <c r="BU37" s="78">
        <v>170.666666666667</v>
      </c>
      <c r="BV37" s="78">
        <f t="shared" si="4"/>
        <v>1967.0000000000032</v>
      </c>
      <c r="BW37" s="78">
        <v>483</v>
      </c>
      <c r="BX37" s="78">
        <v>7030.34127886223</v>
      </c>
      <c r="BY37" s="78">
        <v>2.1749999999999998</v>
      </c>
      <c r="BZ37" s="78">
        <v>26524</v>
      </c>
      <c r="CA37" s="78">
        <v>4996</v>
      </c>
      <c r="CB37" s="78">
        <v>1002</v>
      </c>
      <c r="CC37" s="78">
        <v>938</v>
      </c>
      <c r="CD37" s="78">
        <v>939</v>
      </c>
      <c r="CE37" s="78">
        <v>528</v>
      </c>
      <c r="CF37" s="78">
        <v>608.13917775090704</v>
      </c>
      <c r="CG37" s="78">
        <v>376.46711003627598</v>
      </c>
      <c r="CH37" s="78">
        <v>141.64304140035699</v>
      </c>
      <c r="CI37" s="78">
        <v>1566.6524999999999</v>
      </c>
      <c r="CJ37" s="78">
        <v>969.83249999999998</v>
      </c>
      <c r="CK37" s="78">
        <v>364.89249999999998</v>
      </c>
      <c r="CL37" s="78">
        <v>7938</v>
      </c>
    </row>
    <row r="38" spans="1:90" x14ac:dyDescent="0.35">
      <c r="A38" s="72">
        <v>1690</v>
      </c>
      <c r="B38" s="72" t="s">
        <v>79</v>
      </c>
      <c r="C38" s="72">
        <v>3</v>
      </c>
      <c r="D38" s="78">
        <v>2357200000</v>
      </c>
      <c r="E38" s="78">
        <v>263900000</v>
      </c>
      <c r="F38" s="78">
        <v>313950000</v>
      </c>
      <c r="G38" s="78">
        <v>24374</v>
      </c>
      <c r="H38" s="78">
        <v>5</v>
      </c>
      <c r="I38" s="78">
        <f t="shared" si="2"/>
        <v>313.95</v>
      </c>
      <c r="J38" s="78">
        <v>4470</v>
      </c>
      <c r="K38" s="78">
        <v>5980</v>
      </c>
      <c r="L38" s="78">
        <v>1875</v>
      </c>
      <c r="M38" s="78">
        <v>2833</v>
      </c>
      <c r="N38" s="78">
        <f t="shared" si="3"/>
        <v>1711.8999999999999</v>
      </c>
      <c r="O38" s="78">
        <v>219.333333333333</v>
      </c>
      <c r="P38" s="78">
        <v>23</v>
      </c>
      <c r="Q38" s="78">
        <v>1189.3333333333301</v>
      </c>
      <c r="R38" s="78">
        <v>2909</v>
      </c>
      <c r="S38" s="78">
        <v>225</v>
      </c>
      <c r="T38" s="78">
        <v>0</v>
      </c>
      <c r="U38" s="78">
        <v>506</v>
      </c>
      <c r="V38" s="78">
        <v>10673</v>
      </c>
      <c r="W38" s="78">
        <v>19970</v>
      </c>
      <c r="X38" s="78">
        <v>5010</v>
      </c>
      <c r="Y38" s="78">
        <v>0</v>
      </c>
      <c r="Z38" s="78">
        <v>0</v>
      </c>
      <c r="AA38" s="78">
        <v>0</v>
      </c>
      <c r="AB38" s="399">
        <f>IF((J38-'[2]Basisgegevens aanvullend'!D38*1.1)&lt;=0,0,J38-'[2]Basisgegevens aanvullend'!D38*1.1)</f>
        <v>0</v>
      </c>
      <c r="AC38" s="399">
        <v>0</v>
      </c>
      <c r="AD38" s="78">
        <v>22438</v>
      </c>
      <c r="AE38" s="78">
        <v>22438</v>
      </c>
      <c r="AF38" s="78">
        <v>197</v>
      </c>
      <c r="AG38" s="78">
        <v>0</v>
      </c>
      <c r="AH38" s="78">
        <v>130</v>
      </c>
      <c r="AI38" s="78">
        <v>160</v>
      </c>
      <c r="AJ38" s="78">
        <v>130</v>
      </c>
      <c r="AK38" s="78">
        <v>160</v>
      </c>
      <c r="AL38" s="78">
        <v>290</v>
      </c>
      <c r="AM38" s="78">
        <v>11211</v>
      </c>
      <c r="AN38" s="78">
        <v>11211</v>
      </c>
      <c r="AO38" s="78">
        <v>0</v>
      </c>
      <c r="AP38" s="78">
        <v>0</v>
      </c>
      <c r="AQ38" s="78">
        <v>0</v>
      </c>
      <c r="AR38" s="78">
        <v>0</v>
      </c>
      <c r="AS38" s="78">
        <v>0</v>
      </c>
      <c r="AT38" s="78">
        <v>0</v>
      </c>
      <c r="AU38" s="400">
        <v>6.6255100000000005E-4</v>
      </c>
      <c r="AV38" s="400">
        <v>1.5210399999999999E-4</v>
      </c>
      <c r="AW38" s="78">
        <v>3486.6210000000001</v>
      </c>
      <c r="AX38" s="78">
        <v>0</v>
      </c>
      <c r="AY38" s="78">
        <v>2751</v>
      </c>
      <c r="AZ38" s="78">
        <v>2962.35361166335</v>
      </c>
      <c r="BA38" s="78">
        <v>22</v>
      </c>
      <c r="BB38" s="78">
        <v>22</v>
      </c>
      <c r="BC38" s="78">
        <v>3309</v>
      </c>
      <c r="BD38" s="78">
        <v>1</v>
      </c>
      <c r="BE38" s="78">
        <v>0</v>
      </c>
      <c r="BF38" s="78">
        <v>0</v>
      </c>
      <c r="BG38" s="78">
        <v>0</v>
      </c>
      <c r="BH38" s="78">
        <v>0</v>
      </c>
      <c r="BI38" s="78">
        <v>0</v>
      </c>
      <c r="BJ38" s="78">
        <v>0</v>
      </c>
      <c r="BK38" s="78">
        <v>0</v>
      </c>
      <c r="BL38" s="78">
        <v>0</v>
      </c>
      <c r="BM38" s="78">
        <v>344.19</v>
      </c>
      <c r="BN38" s="78">
        <v>52</v>
      </c>
      <c r="BO38" s="78">
        <v>31</v>
      </c>
      <c r="BP38" s="78">
        <v>6974.08</v>
      </c>
      <c r="BQ38" s="78">
        <v>1595.27</v>
      </c>
      <c r="BR38" s="78">
        <v>94.248729096990004</v>
      </c>
      <c r="BS38" s="78">
        <v>207</v>
      </c>
      <c r="BT38" s="78">
        <v>62</v>
      </c>
      <c r="BU38" s="78">
        <v>39.6666666666667</v>
      </c>
      <c r="BV38" s="78">
        <f t="shared" si="4"/>
        <v>969.99999999999704</v>
      </c>
      <c r="BW38" s="78">
        <v>287</v>
      </c>
      <c r="BX38" s="78">
        <v>3970.5676777640801</v>
      </c>
      <c r="BY38" s="78">
        <v>0.33200000000000002</v>
      </c>
      <c r="BZ38" s="78">
        <v>18394</v>
      </c>
      <c r="CA38" s="78">
        <v>3357</v>
      </c>
      <c r="CB38" s="78">
        <v>748</v>
      </c>
      <c r="CC38" s="78">
        <v>574</v>
      </c>
      <c r="CD38" s="78">
        <v>551</v>
      </c>
      <c r="CE38" s="78">
        <v>346</v>
      </c>
      <c r="CF38" s="78">
        <v>309.06124342163901</v>
      </c>
      <c r="CG38" s="78">
        <v>191.33089822495799</v>
      </c>
      <c r="CH38" s="78">
        <v>77.570707341004393</v>
      </c>
      <c r="CI38" s="78">
        <v>893.39359999999999</v>
      </c>
      <c r="CJ38" s="78">
        <v>553.07420000000002</v>
      </c>
      <c r="CK38" s="78">
        <v>224.2312</v>
      </c>
      <c r="CL38" s="78">
        <v>7665</v>
      </c>
    </row>
    <row r="39" spans="1:90" x14ac:dyDescent="0.35">
      <c r="A39" s="72">
        <v>114</v>
      </c>
      <c r="B39" s="72" t="s">
        <v>104</v>
      </c>
      <c r="C39" s="72">
        <v>3</v>
      </c>
      <c r="D39" s="78">
        <v>7280800000</v>
      </c>
      <c r="E39" s="78">
        <v>1264200000</v>
      </c>
      <c r="F39" s="78">
        <v>1319850000</v>
      </c>
      <c r="G39" s="78">
        <v>107024</v>
      </c>
      <c r="H39" s="78">
        <v>11</v>
      </c>
      <c r="I39" s="78">
        <f t="shared" si="2"/>
        <v>1319.85</v>
      </c>
      <c r="J39" s="78">
        <v>18985</v>
      </c>
      <c r="K39" s="78">
        <v>25175</v>
      </c>
      <c r="L39" s="78">
        <v>8051</v>
      </c>
      <c r="M39" s="78">
        <v>17717</v>
      </c>
      <c r="N39" s="78">
        <f t="shared" si="3"/>
        <v>12699.099999999999</v>
      </c>
      <c r="O39" s="78">
        <v>3347.6666666666702</v>
      </c>
      <c r="P39" s="78">
        <v>268</v>
      </c>
      <c r="Q39" s="78">
        <v>11721.666666666701</v>
      </c>
      <c r="R39" s="78">
        <v>16759</v>
      </c>
      <c r="S39" s="78">
        <v>2700</v>
      </c>
      <c r="T39" s="78">
        <v>0</v>
      </c>
      <c r="U39" s="78">
        <v>3797</v>
      </c>
      <c r="V39" s="78">
        <v>50408</v>
      </c>
      <c r="W39" s="78">
        <v>111840</v>
      </c>
      <c r="X39" s="78">
        <v>116170</v>
      </c>
      <c r="Y39" s="78">
        <v>2999.78</v>
      </c>
      <c r="Z39" s="78">
        <v>4664.8</v>
      </c>
      <c r="AA39" s="78">
        <v>0</v>
      </c>
      <c r="AB39" s="399">
        <f>IF((J39-'[2]Basisgegevens aanvullend'!D39*1.1)&lt;=0,0,J39-'[2]Basisgegevens aanvullend'!D39*1.1)</f>
        <v>0</v>
      </c>
      <c r="AC39" s="399">
        <v>0</v>
      </c>
      <c r="AD39" s="78">
        <v>33610</v>
      </c>
      <c r="AE39" s="78">
        <v>33610</v>
      </c>
      <c r="AF39" s="78">
        <v>1016</v>
      </c>
      <c r="AG39" s="78">
        <v>0</v>
      </c>
      <c r="AH39" s="78">
        <v>676</v>
      </c>
      <c r="AI39" s="78">
        <v>222</v>
      </c>
      <c r="AJ39" s="78">
        <v>676</v>
      </c>
      <c r="AK39" s="78">
        <v>222</v>
      </c>
      <c r="AL39" s="78">
        <v>898</v>
      </c>
      <c r="AM39" s="78">
        <v>50179</v>
      </c>
      <c r="AN39" s="78">
        <v>50179</v>
      </c>
      <c r="AO39" s="78">
        <v>0</v>
      </c>
      <c r="AP39" s="78">
        <v>0</v>
      </c>
      <c r="AQ39" s="78">
        <v>0</v>
      </c>
      <c r="AR39" s="78">
        <v>0</v>
      </c>
      <c r="AS39" s="78">
        <v>4532</v>
      </c>
      <c r="AT39" s="78">
        <v>0</v>
      </c>
      <c r="AU39" s="400">
        <v>3.3168020000000002E-3</v>
      </c>
      <c r="AV39" s="400">
        <v>3.4152969999999999E-3</v>
      </c>
      <c r="AW39" s="78">
        <v>42852.866000000002</v>
      </c>
      <c r="AX39" s="78">
        <v>0</v>
      </c>
      <c r="AY39" s="78">
        <v>13216</v>
      </c>
      <c r="AZ39" s="78">
        <v>40848.760584531898</v>
      </c>
      <c r="BA39" s="78">
        <v>29</v>
      </c>
      <c r="BB39" s="78">
        <v>29</v>
      </c>
      <c r="BC39" s="78">
        <v>9818</v>
      </c>
      <c r="BD39" s="78">
        <v>1</v>
      </c>
      <c r="BE39" s="78">
        <v>0</v>
      </c>
      <c r="BF39" s="78">
        <v>0</v>
      </c>
      <c r="BG39" s="78">
        <v>0</v>
      </c>
      <c r="BH39" s="78">
        <v>0</v>
      </c>
      <c r="BI39" s="78">
        <v>0</v>
      </c>
      <c r="BJ39" s="78">
        <v>0</v>
      </c>
      <c r="BK39" s="78">
        <v>0</v>
      </c>
      <c r="BL39" s="78">
        <v>0</v>
      </c>
      <c r="BM39" s="78">
        <v>3132.5250000000001</v>
      </c>
      <c r="BN39" s="78">
        <v>587</v>
      </c>
      <c r="BO39" s="78">
        <v>335</v>
      </c>
      <c r="BP39" s="78">
        <v>26704.15</v>
      </c>
      <c r="BQ39" s="78">
        <v>5600.4</v>
      </c>
      <c r="BR39" s="78">
        <v>773.53524922118402</v>
      </c>
      <c r="BS39" s="78">
        <v>1446</v>
      </c>
      <c r="BT39" s="78">
        <v>891</v>
      </c>
      <c r="BU39" s="78">
        <v>844.66666666666697</v>
      </c>
      <c r="BV39" s="78">
        <f t="shared" si="4"/>
        <v>8374.0000000000309</v>
      </c>
      <c r="BW39" s="78">
        <v>2068</v>
      </c>
      <c r="BX39" s="78">
        <v>23396.993253120101</v>
      </c>
      <c r="BY39" s="78">
        <v>10.96</v>
      </c>
      <c r="BZ39" s="78">
        <v>81849</v>
      </c>
      <c r="CA39" s="78">
        <v>14379</v>
      </c>
      <c r="CB39" s="78">
        <v>2745</v>
      </c>
      <c r="CC39" s="78">
        <v>2996</v>
      </c>
      <c r="CD39" s="78">
        <v>2758</v>
      </c>
      <c r="CE39" s="78">
        <v>1388</v>
      </c>
      <c r="CF39" s="78">
        <v>2262.2462564020798</v>
      </c>
      <c r="CG39" s="78">
        <v>1413.4293927738699</v>
      </c>
      <c r="CH39" s="78">
        <v>490.46126467247302</v>
      </c>
      <c r="CI39" s="78">
        <v>5257.0258999999996</v>
      </c>
      <c r="CJ39" s="78">
        <v>3284.5385000000001</v>
      </c>
      <c r="CK39" s="78">
        <v>1139.7378000000001</v>
      </c>
      <c r="CL39" s="78">
        <v>93536</v>
      </c>
    </row>
    <row r="40" spans="1:90" x14ac:dyDescent="0.35">
      <c r="A40" s="72">
        <v>118</v>
      </c>
      <c r="B40" s="72" t="s">
        <v>156</v>
      </c>
      <c r="C40" s="72">
        <v>3</v>
      </c>
      <c r="D40" s="78">
        <v>3967600000</v>
      </c>
      <c r="E40" s="78">
        <v>706300000</v>
      </c>
      <c r="F40" s="78">
        <v>773500000</v>
      </c>
      <c r="G40" s="78">
        <v>55603</v>
      </c>
      <c r="H40" s="78">
        <v>4</v>
      </c>
      <c r="I40" s="78">
        <f t="shared" si="2"/>
        <v>773.5</v>
      </c>
      <c r="J40" s="78">
        <v>11025</v>
      </c>
      <c r="K40" s="78">
        <v>12302</v>
      </c>
      <c r="L40" s="78">
        <v>4050</v>
      </c>
      <c r="M40" s="78">
        <v>8840</v>
      </c>
      <c r="N40" s="78">
        <f t="shared" si="3"/>
        <v>6252.6</v>
      </c>
      <c r="O40" s="78">
        <v>1215</v>
      </c>
      <c r="P40" s="78">
        <v>110</v>
      </c>
      <c r="Q40" s="78">
        <v>4884</v>
      </c>
      <c r="R40" s="78">
        <v>8476</v>
      </c>
      <c r="S40" s="78">
        <v>1260</v>
      </c>
      <c r="T40" s="78">
        <v>0</v>
      </c>
      <c r="U40" s="78">
        <v>1810</v>
      </c>
      <c r="V40" s="78">
        <v>25706</v>
      </c>
      <c r="W40" s="78">
        <v>60390</v>
      </c>
      <c r="X40" s="78">
        <v>68080</v>
      </c>
      <c r="Y40" s="78">
        <v>1619.7</v>
      </c>
      <c r="Z40" s="78">
        <v>2629.6</v>
      </c>
      <c r="AA40" s="78">
        <v>0</v>
      </c>
      <c r="AB40" s="399">
        <f>IF((J40-'[2]Basisgegevens aanvullend'!D40*1.1)&lt;=0,0,J40-'[2]Basisgegevens aanvullend'!D40*1.1)</f>
        <v>0</v>
      </c>
      <c r="AC40" s="399">
        <v>0</v>
      </c>
      <c r="AD40" s="78">
        <v>12757</v>
      </c>
      <c r="AE40" s="78">
        <v>12757</v>
      </c>
      <c r="AF40" s="78">
        <v>168</v>
      </c>
      <c r="AG40" s="78">
        <v>0</v>
      </c>
      <c r="AH40" s="78">
        <v>345</v>
      </c>
      <c r="AI40" s="78">
        <v>103</v>
      </c>
      <c r="AJ40" s="78">
        <v>345</v>
      </c>
      <c r="AK40" s="78">
        <v>103</v>
      </c>
      <c r="AL40" s="78">
        <v>448</v>
      </c>
      <c r="AM40" s="78">
        <v>25874</v>
      </c>
      <c r="AN40" s="78">
        <v>25874</v>
      </c>
      <c r="AO40" s="78">
        <v>0</v>
      </c>
      <c r="AP40" s="78">
        <v>0</v>
      </c>
      <c r="AQ40" s="78">
        <v>0</v>
      </c>
      <c r="AR40" s="78">
        <v>0</v>
      </c>
      <c r="AS40" s="78">
        <v>1516</v>
      </c>
      <c r="AT40" s="78">
        <v>0</v>
      </c>
      <c r="AU40" s="400">
        <v>9.8067399999999996E-4</v>
      </c>
      <c r="AV40" s="400">
        <v>1.7514430000000001E-3</v>
      </c>
      <c r="AW40" s="78">
        <v>31411.036</v>
      </c>
      <c r="AX40" s="78">
        <v>0</v>
      </c>
      <c r="AY40" s="78">
        <v>3482</v>
      </c>
      <c r="AZ40" s="78">
        <v>14979.469709864599</v>
      </c>
      <c r="BA40" s="78">
        <v>17</v>
      </c>
      <c r="BB40" s="78">
        <v>17</v>
      </c>
      <c r="BC40" s="78">
        <v>5284</v>
      </c>
      <c r="BD40" s="78">
        <v>1</v>
      </c>
      <c r="BE40" s="78">
        <v>0</v>
      </c>
      <c r="BF40" s="78">
        <v>0</v>
      </c>
      <c r="BG40" s="78">
        <v>0</v>
      </c>
      <c r="BH40" s="78">
        <v>0</v>
      </c>
      <c r="BI40" s="78">
        <v>0</v>
      </c>
      <c r="BJ40" s="78">
        <v>0</v>
      </c>
      <c r="BK40" s="78">
        <v>0</v>
      </c>
      <c r="BL40" s="78">
        <v>0</v>
      </c>
      <c r="BM40" s="78">
        <v>1444.2750000000001</v>
      </c>
      <c r="BN40" s="78">
        <v>361</v>
      </c>
      <c r="BO40" s="78">
        <v>183</v>
      </c>
      <c r="BP40" s="78">
        <v>13668.48</v>
      </c>
      <c r="BQ40" s="78">
        <v>3003.9</v>
      </c>
      <c r="BR40" s="78">
        <v>438.68377944325499</v>
      </c>
      <c r="BS40" s="78">
        <v>695</v>
      </c>
      <c r="BT40" s="78">
        <v>343.33333333333297</v>
      </c>
      <c r="BU40" s="78">
        <v>323.33333333333297</v>
      </c>
      <c r="BV40" s="78">
        <f t="shared" si="4"/>
        <v>3669</v>
      </c>
      <c r="BW40" s="78">
        <v>1104</v>
      </c>
      <c r="BX40" s="78">
        <v>11219.7488170344</v>
      </c>
      <c r="BY40" s="78">
        <v>3.5590000000000002</v>
      </c>
      <c r="BZ40" s="78">
        <v>43301</v>
      </c>
      <c r="CA40" s="78">
        <v>6747</v>
      </c>
      <c r="CB40" s="78">
        <v>1505</v>
      </c>
      <c r="CC40" s="78">
        <v>1436</v>
      </c>
      <c r="CD40" s="78">
        <v>1301</v>
      </c>
      <c r="CE40" s="78">
        <v>716</v>
      </c>
      <c r="CF40" s="78">
        <v>1006.2544021025</v>
      </c>
      <c r="CG40" s="78">
        <v>667.69474375821301</v>
      </c>
      <c r="CH40" s="78">
        <v>244.31392904073601</v>
      </c>
      <c r="CI40" s="78">
        <v>2406.7919999999999</v>
      </c>
      <c r="CJ40" s="78">
        <v>1597.0139999999999</v>
      </c>
      <c r="CK40" s="78">
        <v>584.35799999999995</v>
      </c>
      <c r="CL40" s="78">
        <v>50145</v>
      </c>
    </row>
    <row r="41" spans="1:90" x14ac:dyDescent="0.35">
      <c r="A41" s="72">
        <v>119</v>
      </c>
      <c r="B41" s="72" t="s">
        <v>199</v>
      </c>
      <c r="C41" s="72">
        <v>3</v>
      </c>
      <c r="D41" s="78">
        <v>2882000000</v>
      </c>
      <c r="E41" s="78">
        <v>519400000</v>
      </c>
      <c r="F41" s="78">
        <v>553700000</v>
      </c>
      <c r="G41" s="78">
        <v>34386</v>
      </c>
      <c r="H41" s="78">
        <v>2</v>
      </c>
      <c r="I41" s="78">
        <f t="shared" si="2"/>
        <v>553.70000000000005</v>
      </c>
      <c r="J41" s="78">
        <v>6858</v>
      </c>
      <c r="K41" s="78">
        <v>7005</v>
      </c>
      <c r="L41" s="78">
        <v>2171</v>
      </c>
      <c r="M41" s="78">
        <v>4992</v>
      </c>
      <c r="N41" s="78">
        <f t="shared" si="3"/>
        <v>3349.8999999999996</v>
      </c>
      <c r="O41" s="78">
        <v>703.33333333333303</v>
      </c>
      <c r="P41" s="78">
        <v>45</v>
      </c>
      <c r="Q41" s="78">
        <v>2684.3333333333298</v>
      </c>
      <c r="R41" s="78">
        <v>5831</v>
      </c>
      <c r="S41" s="78">
        <v>1140</v>
      </c>
      <c r="T41" s="78">
        <v>0</v>
      </c>
      <c r="U41" s="78">
        <v>1230</v>
      </c>
      <c r="V41" s="78">
        <v>16337</v>
      </c>
      <c r="W41" s="78">
        <v>38690</v>
      </c>
      <c r="X41" s="78">
        <v>40350</v>
      </c>
      <c r="Y41" s="78">
        <v>854.78</v>
      </c>
      <c r="Z41" s="78">
        <v>2650.4</v>
      </c>
      <c r="AA41" s="78">
        <v>0</v>
      </c>
      <c r="AB41" s="399">
        <f>IF((J41-'[2]Basisgegevens aanvullend'!D41*1.1)&lt;=0,0,J41-'[2]Basisgegevens aanvullend'!D41*1.1)</f>
        <v>0</v>
      </c>
      <c r="AC41" s="399">
        <v>0</v>
      </c>
      <c r="AD41" s="78">
        <v>5548</v>
      </c>
      <c r="AE41" s="78">
        <v>5548</v>
      </c>
      <c r="AF41" s="78">
        <v>155</v>
      </c>
      <c r="AG41" s="78">
        <v>0</v>
      </c>
      <c r="AH41" s="78">
        <v>192</v>
      </c>
      <c r="AI41" s="78">
        <v>49</v>
      </c>
      <c r="AJ41" s="78">
        <v>192</v>
      </c>
      <c r="AK41" s="78">
        <v>49</v>
      </c>
      <c r="AL41" s="78">
        <v>242</v>
      </c>
      <c r="AM41" s="78">
        <v>16421</v>
      </c>
      <c r="AN41" s="78">
        <v>16421</v>
      </c>
      <c r="AO41" s="78">
        <v>17</v>
      </c>
      <c r="AP41" s="78">
        <v>0</v>
      </c>
      <c r="AQ41" s="78">
        <v>0</v>
      </c>
      <c r="AR41" s="78">
        <v>2550</v>
      </c>
      <c r="AS41" s="78">
        <v>2928</v>
      </c>
      <c r="AT41" s="78">
        <v>2928</v>
      </c>
      <c r="AU41" s="400">
        <v>1.105413E-3</v>
      </c>
      <c r="AV41" s="400">
        <v>1.3186529999999999E-3</v>
      </c>
      <c r="AW41" s="78">
        <v>21133.827000000001</v>
      </c>
      <c r="AX41" s="78">
        <v>0</v>
      </c>
      <c r="AY41" s="78">
        <v>1788</v>
      </c>
      <c r="AZ41" s="78">
        <v>10780.6712256707</v>
      </c>
      <c r="BA41" s="78">
        <v>5</v>
      </c>
      <c r="BB41" s="78">
        <v>5</v>
      </c>
      <c r="BC41" s="78">
        <v>3629</v>
      </c>
      <c r="BD41" s="78">
        <v>1</v>
      </c>
      <c r="BE41" s="78">
        <v>0</v>
      </c>
      <c r="BF41" s="78">
        <v>0</v>
      </c>
      <c r="BG41" s="78">
        <v>0</v>
      </c>
      <c r="BH41" s="78">
        <v>0</v>
      </c>
      <c r="BI41" s="78">
        <v>0</v>
      </c>
      <c r="BJ41" s="78">
        <v>0</v>
      </c>
      <c r="BK41" s="78">
        <v>0</v>
      </c>
      <c r="BL41" s="78">
        <v>0</v>
      </c>
      <c r="BM41" s="78">
        <v>747.52200000000005</v>
      </c>
      <c r="BN41" s="78">
        <v>131</v>
      </c>
      <c r="BO41" s="78">
        <v>69</v>
      </c>
      <c r="BP41" s="78">
        <v>9585.5400000000009</v>
      </c>
      <c r="BQ41" s="78">
        <v>2275.04</v>
      </c>
      <c r="BR41" s="78">
        <v>391.32519641814298</v>
      </c>
      <c r="BS41" s="78">
        <v>475</v>
      </c>
      <c r="BT41" s="78">
        <v>189.333333333333</v>
      </c>
      <c r="BU41" s="78">
        <v>174.333333333333</v>
      </c>
      <c r="BV41" s="78">
        <f t="shared" si="4"/>
        <v>1980.9999999999968</v>
      </c>
      <c r="BW41" s="78">
        <v>633</v>
      </c>
      <c r="BX41" s="78">
        <v>5523.4539976415099</v>
      </c>
      <c r="BY41" s="78">
        <v>1.651</v>
      </c>
      <c r="BZ41" s="78">
        <v>27381</v>
      </c>
      <c r="CA41" s="78">
        <v>4058</v>
      </c>
      <c r="CB41" s="78">
        <v>776</v>
      </c>
      <c r="CC41" s="78">
        <v>928</v>
      </c>
      <c r="CD41" s="78">
        <v>719</v>
      </c>
      <c r="CE41" s="78">
        <v>380</v>
      </c>
      <c r="CF41" s="78">
        <v>518.57047682845098</v>
      </c>
      <c r="CG41" s="78">
        <v>303.55344985080097</v>
      </c>
      <c r="CH41" s="78">
        <v>108.93652030936001</v>
      </c>
      <c r="CI41" s="78">
        <v>1301.2498000000001</v>
      </c>
      <c r="CJ41" s="78">
        <v>761.70719999999994</v>
      </c>
      <c r="CK41" s="78">
        <v>273.3546</v>
      </c>
      <c r="CL41" s="78">
        <v>89751</v>
      </c>
    </row>
    <row r="42" spans="1:90" x14ac:dyDescent="0.35">
      <c r="A42" s="72">
        <v>1731</v>
      </c>
      <c r="B42" s="72" t="s">
        <v>201</v>
      </c>
      <c r="C42" s="72">
        <v>3</v>
      </c>
      <c r="D42" s="78">
        <v>2815600000</v>
      </c>
      <c r="E42" s="78">
        <v>475300000</v>
      </c>
      <c r="F42" s="78">
        <v>566300000</v>
      </c>
      <c r="G42" s="78">
        <v>33381</v>
      </c>
      <c r="H42" s="78">
        <v>6</v>
      </c>
      <c r="I42" s="78">
        <f t="shared" si="2"/>
        <v>566.29999999999995</v>
      </c>
      <c r="J42" s="78">
        <v>5891</v>
      </c>
      <c r="K42" s="78">
        <v>8126</v>
      </c>
      <c r="L42" s="78">
        <v>2527</v>
      </c>
      <c r="M42" s="78">
        <v>4244</v>
      </c>
      <c r="N42" s="78">
        <f t="shared" si="3"/>
        <v>2626.3</v>
      </c>
      <c r="O42" s="78">
        <v>412.66666666666703</v>
      </c>
      <c r="P42" s="78">
        <v>37</v>
      </c>
      <c r="Q42" s="78">
        <v>2069.6666666666702</v>
      </c>
      <c r="R42" s="78">
        <v>4441</v>
      </c>
      <c r="S42" s="78">
        <v>340</v>
      </c>
      <c r="T42" s="78">
        <v>0</v>
      </c>
      <c r="U42" s="78">
        <v>818</v>
      </c>
      <c r="V42" s="78">
        <v>15136</v>
      </c>
      <c r="W42" s="78">
        <v>29890</v>
      </c>
      <c r="X42" s="78">
        <v>12030</v>
      </c>
      <c r="Y42" s="78">
        <v>0</v>
      </c>
      <c r="Z42" s="78">
        <v>514.4</v>
      </c>
      <c r="AA42" s="78">
        <v>0</v>
      </c>
      <c r="AB42" s="399">
        <f>IF((J42-'[2]Basisgegevens aanvullend'!D42*1.1)&lt;=0,0,J42-'[2]Basisgegevens aanvullend'!D42*1.1)</f>
        <v>0</v>
      </c>
      <c r="AC42" s="399">
        <v>0</v>
      </c>
      <c r="AD42" s="78">
        <v>34077</v>
      </c>
      <c r="AE42" s="78">
        <v>34077</v>
      </c>
      <c r="AF42" s="78">
        <v>511</v>
      </c>
      <c r="AG42" s="78">
        <v>0</v>
      </c>
      <c r="AH42" s="78">
        <v>219</v>
      </c>
      <c r="AI42" s="78">
        <v>189</v>
      </c>
      <c r="AJ42" s="78">
        <v>219</v>
      </c>
      <c r="AK42" s="78">
        <v>189</v>
      </c>
      <c r="AL42" s="78">
        <v>408</v>
      </c>
      <c r="AM42" s="78">
        <v>16177</v>
      </c>
      <c r="AN42" s="78">
        <v>16177</v>
      </c>
      <c r="AO42" s="78">
        <v>0</v>
      </c>
      <c r="AP42" s="78">
        <v>0</v>
      </c>
      <c r="AQ42" s="78">
        <v>0</v>
      </c>
      <c r="AR42" s="78">
        <v>0</v>
      </c>
      <c r="AS42" s="78">
        <v>1001</v>
      </c>
      <c r="AT42" s="78">
        <v>0</v>
      </c>
      <c r="AU42" s="400">
        <v>7.2021599999999998E-4</v>
      </c>
      <c r="AV42" s="400">
        <v>2.6642899999999999E-4</v>
      </c>
      <c r="AW42" s="78">
        <v>6486.9769999999999</v>
      </c>
      <c r="AX42" s="78">
        <v>0</v>
      </c>
      <c r="AY42" s="78">
        <v>5105</v>
      </c>
      <c r="AZ42" s="78">
        <v>4926.8533884584303</v>
      </c>
      <c r="BA42" s="78">
        <v>30</v>
      </c>
      <c r="BB42" s="78">
        <v>30</v>
      </c>
      <c r="BC42" s="78">
        <v>3752</v>
      </c>
      <c r="BD42" s="78">
        <v>1</v>
      </c>
      <c r="BE42" s="78">
        <v>0</v>
      </c>
      <c r="BF42" s="78">
        <v>0</v>
      </c>
      <c r="BG42" s="78">
        <v>0</v>
      </c>
      <c r="BH42" s="78">
        <v>0</v>
      </c>
      <c r="BI42" s="78">
        <v>0</v>
      </c>
      <c r="BJ42" s="78">
        <v>0</v>
      </c>
      <c r="BK42" s="78">
        <v>0</v>
      </c>
      <c r="BL42" s="78">
        <v>0</v>
      </c>
      <c r="BM42" s="78">
        <v>547.86300000000006</v>
      </c>
      <c r="BN42" s="78">
        <v>43</v>
      </c>
      <c r="BO42" s="78">
        <v>44</v>
      </c>
      <c r="BP42" s="78">
        <v>9349.76</v>
      </c>
      <c r="BQ42" s="78">
        <v>2003.24</v>
      </c>
      <c r="BR42" s="78">
        <v>176.36674798927601</v>
      </c>
      <c r="BS42" s="78">
        <v>318</v>
      </c>
      <c r="BT42" s="78">
        <v>111.666666666667</v>
      </c>
      <c r="BU42" s="78">
        <v>84.6666666666667</v>
      </c>
      <c r="BV42" s="78">
        <f t="shared" si="4"/>
        <v>1657.0000000000032</v>
      </c>
      <c r="BW42" s="78">
        <v>459</v>
      </c>
      <c r="BX42" s="78">
        <v>5827.0139159258697</v>
      </c>
      <c r="BY42" s="78">
        <v>0.95299999999999996</v>
      </c>
      <c r="BZ42" s="78">
        <v>25255</v>
      </c>
      <c r="CA42" s="78">
        <v>4747</v>
      </c>
      <c r="CB42" s="78">
        <v>852</v>
      </c>
      <c r="CC42" s="78">
        <v>834</v>
      </c>
      <c r="CD42" s="78">
        <v>770</v>
      </c>
      <c r="CE42" s="78">
        <v>429</v>
      </c>
      <c r="CF42" s="78">
        <v>467.39925202447898</v>
      </c>
      <c r="CG42" s="78">
        <v>281.348698769858</v>
      </c>
      <c r="CH42" s="78">
        <v>99.681535513383196</v>
      </c>
      <c r="CI42" s="78">
        <v>1374.7225000000001</v>
      </c>
      <c r="CJ42" s="78">
        <v>827.50750000000005</v>
      </c>
      <c r="CK42" s="78">
        <v>293.185</v>
      </c>
      <c r="CL42" s="78">
        <v>26385</v>
      </c>
    </row>
    <row r="43" spans="1:90" x14ac:dyDescent="0.35">
      <c r="A43" s="72">
        <v>1699</v>
      </c>
      <c r="B43" s="72" t="s">
        <v>219</v>
      </c>
      <c r="C43" s="72">
        <v>3</v>
      </c>
      <c r="D43" s="78">
        <v>3138400000</v>
      </c>
      <c r="E43" s="78">
        <v>542150000</v>
      </c>
      <c r="F43" s="78">
        <v>562450000</v>
      </c>
      <c r="G43" s="78">
        <v>31214</v>
      </c>
      <c r="H43" s="78">
        <v>3</v>
      </c>
      <c r="I43" s="78">
        <f t="shared" si="2"/>
        <v>562.45000000000005</v>
      </c>
      <c r="J43" s="78">
        <v>5617</v>
      </c>
      <c r="K43" s="78">
        <v>8636</v>
      </c>
      <c r="L43" s="78">
        <v>3059</v>
      </c>
      <c r="M43" s="78">
        <v>4584</v>
      </c>
      <c r="N43" s="78">
        <f t="shared" si="3"/>
        <v>3074.8999999999996</v>
      </c>
      <c r="O43" s="78">
        <v>517</v>
      </c>
      <c r="P43" s="78">
        <v>29</v>
      </c>
      <c r="Q43" s="78">
        <v>1826</v>
      </c>
      <c r="R43" s="78">
        <v>4352</v>
      </c>
      <c r="S43" s="78">
        <v>415</v>
      </c>
      <c r="T43" s="78">
        <v>0</v>
      </c>
      <c r="U43" s="78">
        <v>875</v>
      </c>
      <c r="V43" s="78">
        <v>14511</v>
      </c>
      <c r="W43" s="78">
        <v>27680</v>
      </c>
      <c r="X43" s="78">
        <v>13170</v>
      </c>
      <c r="Y43" s="78">
        <v>698.72</v>
      </c>
      <c r="Z43" s="78">
        <v>476.8</v>
      </c>
      <c r="AA43" s="78">
        <v>0</v>
      </c>
      <c r="AB43" s="399">
        <f>IF((J43-'[2]Basisgegevens aanvullend'!D43*1.1)&lt;=0,0,J43-'[2]Basisgegevens aanvullend'!D43*1.1)</f>
        <v>0</v>
      </c>
      <c r="AC43" s="399">
        <v>80.099999999999895</v>
      </c>
      <c r="AD43" s="78">
        <v>19907</v>
      </c>
      <c r="AE43" s="78">
        <v>19907</v>
      </c>
      <c r="AF43" s="78">
        <v>622</v>
      </c>
      <c r="AG43" s="78">
        <v>0</v>
      </c>
      <c r="AH43" s="78">
        <v>198</v>
      </c>
      <c r="AI43" s="78">
        <v>100</v>
      </c>
      <c r="AJ43" s="78">
        <v>198</v>
      </c>
      <c r="AK43" s="78">
        <v>100</v>
      </c>
      <c r="AL43" s="78">
        <v>297</v>
      </c>
      <c r="AM43" s="78">
        <v>15091</v>
      </c>
      <c r="AN43" s="78">
        <v>15091</v>
      </c>
      <c r="AO43" s="78">
        <v>0</v>
      </c>
      <c r="AP43" s="78">
        <v>0</v>
      </c>
      <c r="AQ43" s="78">
        <v>0</v>
      </c>
      <c r="AR43" s="78">
        <v>0</v>
      </c>
      <c r="AS43" s="78">
        <v>0</v>
      </c>
      <c r="AT43" s="78">
        <v>0</v>
      </c>
      <c r="AU43" s="400">
        <v>6.55228E-4</v>
      </c>
      <c r="AV43" s="400">
        <v>3.3366E-4</v>
      </c>
      <c r="AW43" s="78">
        <v>10292.062</v>
      </c>
      <c r="AX43" s="78">
        <v>0</v>
      </c>
      <c r="AY43" s="78">
        <v>4634</v>
      </c>
      <c r="AZ43" s="78">
        <v>7298.3194505333904</v>
      </c>
      <c r="BA43" s="78">
        <v>18</v>
      </c>
      <c r="BB43" s="78">
        <v>18</v>
      </c>
      <c r="BC43" s="78">
        <v>3435</v>
      </c>
      <c r="BD43" s="78">
        <v>1</v>
      </c>
      <c r="BE43" s="78">
        <v>0</v>
      </c>
      <c r="BF43" s="78">
        <v>0</v>
      </c>
      <c r="BG43" s="78">
        <v>0</v>
      </c>
      <c r="BH43" s="78">
        <v>0</v>
      </c>
      <c r="BI43" s="78">
        <v>0</v>
      </c>
      <c r="BJ43" s="78">
        <v>0</v>
      </c>
      <c r="BK43" s="78">
        <v>0</v>
      </c>
      <c r="BL43" s="78">
        <v>0</v>
      </c>
      <c r="BM43" s="78">
        <v>617.87</v>
      </c>
      <c r="BN43" s="78">
        <v>61</v>
      </c>
      <c r="BO43" s="78">
        <v>95</v>
      </c>
      <c r="BP43" s="78">
        <v>9486.68</v>
      </c>
      <c r="BQ43" s="78">
        <v>1927.58</v>
      </c>
      <c r="BR43" s="78">
        <v>211.57366666666701</v>
      </c>
      <c r="BS43" s="78">
        <v>329</v>
      </c>
      <c r="BT43" s="78">
        <v>143.666666666667</v>
      </c>
      <c r="BU43" s="78">
        <v>114.666666666667</v>
      </c>
      <c r="BV43" s="78">
        <f t="shared" si="4"/>
        <v>1309</v>
      </c>
      <c r="BW43" s="78">
        <v>422</v>
      </c>
      <c r="BX43" s="78">
        <v>5603.6385934150303</v>
      </c>
      <c r="BY43" s="78">
        <v>1.036</v>
      </c>
      <c r="BZ43" s="78">
        <v>22578</v>
      </c>
      <c r="CA43" s="78">
        <v>4552</v>
      </c>
      <c r="CB43" s="78">
        <v>1025</v>
      </c>
      <c r="CC43" s="78">
        <v>916</v>
      </c>
      <c r="CD43" s="78">
        <v>895</v>
      </c>
      <c r="CE43" s="78">
        <v>465</v>
      </c>
      <c r="CF43" s="78">
        <v>575.206593333775</v>
      </c>
      <c r="CG43" s="78">
        <v>420.962388178384</v>
      </c>
      <c r="CH43" s="78">
        <v>145.89015969783301</v>
      </c>
      <c r="CI43" s="78">
        <v>1257.0818999999999</v>
      </c>
      <c r="CJ43" s="78">
        <v>919.98979999999995</v>
      </c>
      <c r="CK43" s="78">
        <v>318.83479999999997</v>
      </c>
      <c r="CL43" s="78">
        <v>3969</v>
      </c>
    </row>
    <row r="44" spans="1:90" x14ac:dyDescent="0.35">
      <c r="A44" s="72">
        <v>1730</v>
      </c>
      <c r="B44" s="72" t="s">
        <v>299</v>
      </c>
      <c r="C44" s="72">
        <v>3</v>
      </c>
      <c r="D44" s="78">
        <v>3586000000</v>
      </c>
      <c r="E44" s="78">
        <v>379750000</v>
      </c>
      <c r="F44" s="78">
        <v>413700000</v>
      </c>
      <c r="G44" s="78">
        <v>33978</v>
      </c>
      <c r="H44" s="78">
        <v>5</v>
      </c>
      <c r="I44" s="78">
        <f t="shared" si="2"/>
        <v>413.7</v>
      </c>
      <c r="J44" s="78">
        <v>7016</v>
      </c>
      <c r="K44" s="78">
        <v>8411</v>
      </c>
      <c r="L44" s="78">
        <v>2768</v>
      </c>
      <c r="M44" s="78">
        <v>3790</v>
      </c>
      <c r="N44" s="78">
        <f t="shared" si="3"/>
        <v>2206.3999999999996</v>
      </c>
      <c r="O44" s="78">
        <v>411.66666666666703</v>
      </c>
      <c r="P44" s="78">
        <v>24</v>
      </c>
      <c r="Q44" s="78">
        <v>1840.6666666666699</v>
      </c>
      <c r="R44" s="78">
        <v>4287</v>
      </c>
      <c r="S44" s="78">
        <v>475</v>
      </c>
      <c r="T44" s="78">
        <v>0</v>
      </c>
      <c r="U44" s="78">
        <v>916</v>
      </c>
      <c r="V44" s="78">
        <v>15389</v>
      </c>
      <c r="W44" s="78">
        <v>28670</v>
      </c>
      <c r="X44" s="78">
        <v>9160</v>
      </c>
      <c r="Y44" s="78">
        <v>154.45439999999999</v>
      </c>
      <c r="Z44" s="78">
        <v>0</v>
      </c>
      <c r="AA44" s="78">
        <v>0</v>
      </c>
      <c r="AB44" s="399">
        <f>IF((J44-'[2]Basisgegevens aanvullend'!D44*1.1)&lt;=0,0,J44-'[2]Basisgegevens aanvullend'!D44*1.1)</f>
        <v>0</v>
      </c>
      <c r="AC44" s="399">
        <v>0</v>
      </c>
      <c r="AD44" s="78">
        <v>14217</v>
      </c>
      <c r="AE44" s="78">
        <v>14217</v>
      </c>
      <c r="AF44" s="78">
        <v>553</v>
      </c>
      <c r="AG44" s="78">
        <v>0</v>
      </c>
      <c r="AH44" s="78">
        <v>208</v>
      </c>
      <c r="AI44" s="78">
        <v>76</v>
      </c>
      <c r="AJ44" s="78">
        <v>208</v>
      </c>
      <c r="AK44" s="78">
        <v>76</v>
      </c>
      <c r="AL44" s="78">
        <v>284</v>
      </c>
      <c r="AM44" s="78">
        <v>15836</v>
      </c>
      <c r="AN44" s="78">
        <v>15836</v>
      </c>
      <c r="AO44" s="78">
        <v>0</v>
      </c>
      <c r="AP44" s="78">
        <v>0</v>
      </c>
      <c r="AQ44" s="78">
        <v>0</v>
      </c>
      <c r="AR44" s="78">
        <v>0</v>
      </c>
      <c r="AS44" s="78">
        <v>0</v>
      </c>
      <c r="AT44" s="78">
        <v>0</v>
      </c>
      <c r="AU44" s="400">
        <v>6.9887200000000001E-4</v>
      </c>
      <c r="AV44" s="400">
        <v>3.02849E-4</v>
      </c>
      <c r="AW44" s="78">
        <v>8076.36</v>
      </c>
      <c r="AX44" s="78">
        <v>0</v>
      </c>
      <c r="AY44" s="78">
        <v>3391</v>
      </c>
      <c r="AZ44" s="78">
        <v>7883.7241706161103</v>
      </c>
      <c r="BA44" s="78">
        <v>19</v>
      </c>
      <c r="BB44" s="78">
        <v>19</v>
      </c>
      <c r="BC44" s="78">
        <v>3928</v>
      </c>
      <c r="BD44" s="78">
        <v>1</v>
      </c>
      <c r="BE44" s="78">
        <v>0</v>
      </c>
      <c r="BF44" s="78">
        <v>0</v>
      </c>
      <c r="BG44" s="78">
        <v>0</v>
      </c>
      <c r="BH44" s="78">
        <v>0</v>
      </c>
      <c r="BI44" s="78">
        <v>0</v>
      </c>
      <c r="BJ44" s="78">
        <v>0</v>
      </c>
      <c r="BK44" s="78">
        <v>0</v>
      </c>
      <c r="BL44" s="78">
        <v>0</v>
      </c>
      <c r="BM44" s="78">
        <v>505.15199999999999</v>
      </c>
      <c r="BN44" s="78">
        <v>28</v>
      </c>
      <c r="BO44" s="78">
        <v>29</v>
      </c>
      <c r="BP44" s="78">
        <v>10668.58</v>
      </c>
      <c r="BQ44" s="78">
        <v>2793.71</v>
      </c>
      <c r="BR44" s="78">
        <v>218.19432659409</v>
      </c>
      <c r="BS44" s="78">
        <v>304</v>
      </c>
      <c r="BT44" s="78">
        <v>117.666666666667</v>
      </c>
      <c r="BU44" s="78">
        <v>90.3333333333333</v>
      </c>
      <c r="BV44" s="78">
        <f t="shared" si="4"/>
        <v>1429.000000000003</v>
      </c>
      <c r="BW44" s="78">
        <v>546</v>
      </c>
      <c r="BX44" s="78">
        <v>5302.7618756455304</v>
      </c>
      <c r="BY44" s="78">
        <v>0.99</v>
      </c>
      <c r="BZ44" s="78">
        <v>25567</v>
      </c>
      <c r="CA44" s="78">
        <v>4556</v>
      </c>
      <c r="CB44" s="78">
        <v>1087</v>
      </c>
      <c r="CC44" s="78">
        <v>842</v>
      </c>
      <c r="CD44" s="78">
        <v>855</v>
      </c>
      <c r="CE44" s="78">
        <v>513</v>
      </c>
      <c r="CF44" s="78">
        <v>385.93887345289198</v>
      </c>
      <c r="CG44" s="78">
        <v>258.45364991159403</v>
      </c>
      <c r="CH44" s="78">
        <v>104.217428643597</v>
      </c>
      <c r="CI44" s="78">
        <v>1014.374</v>
      </c>
      <c r="CJ44" s="78">
        <v>679.30100000000004</v>
      </c>
      <c r="CK44" s="78">
        <v>273.91759999999999</v>
      </c>
      <c r="CL44" s="78">
        <v>92998</v>
      </c>
    </row>
    <row r="45" spans="1:90" x14ac:dyDescent="0.35">
      <c r="A45" s="72">
        <v>1701</v>
      </c>
      <c r="B45" s="72" t="s">
        <v>337</v>
      </c>
      <c r="C45" s="72">
        <v>3</v>
      </c>
      <c r="D45" s="78">
        <v>2105200000</v>
      </c>
      <c r="E45" s="78">
        <v>233800000</v>
      </c>
      <c r="F45" s="78">
        <v>288400000</v>
      </c>
      <c r="G45" s="78">
        <v>19661</v>
      </c>
      <c r="H45" s="78">
        <v>4</v>
      </c>
      <c r="I45" s="78">
        <f t="shared" si="2"/>
        <v>288.39999999999998</v>
      </c>
      <c r="J45" s="78">
        <v>3119</v>
      </c>
      <c r="K45" s="78">
        <v>5724</v>
      </c>
      <c r="L45" s="78">
        <v>1867</v>
      </c>
      <c r="M45" s="78">
        <v>2654</v>
      </c>
      <c r="N45" s="78">
        <f t="shared" si="3"/>
        <v>1643.6999999999998</v>
      </c>
      <c r="O45" s="78">
        <v>224.333333333333</v>
      </c>
      <c r="P45" s="78">
        <v>20</v>
      </c>
      <c r="Q45" s="78">
        <v>1269.3333333333301</v>
      </c>
      <c r="R45" s="78">
        <v>2799</v>
      </c>
      <c r="S45" s="78">
        <v>210</v>
      </c>
      <c r="T45" s="78">
        <v>0</v>
      </c>
      <c r="U45" s="78">
        <v>426</v>
      </c>
      <c r="V45" s="78">
        <v>9332</v>
      </c>
      <c r="W45" s="78">
        <v>16590</v>
      </c>
      <c r="X45" s="78">
        <v>2400</v>
      </c>
      <c r="Y45" s="78">
        <v>0</v>
      </c>
      <c r="Z45" s="78">
        <v>175.2</v>
      </c>
      <c r="AA45" s="78">
        <v>0</v>
      </c>
      <c r="AB45" s="399">
        <f>IF((J45-'[2]Basisgegevens aanvullend'!D45*1.1)&lt;=0,0,J45-'[2]Basisgegevens aanvullend'!D45*1.1)</f>
        <v>0</v>
      </c>
      <c r="AC45" s="399">
        <v>0</v>
      </c>
      <c r="AD45" s="78">
        <v>27845</v>
      </c>
      <c r="AE45" s="78">
        <v>27845</v>
      </c>
      <c r="AF45" s="78">
        <v>429</v>
      </c>
      <c r="AG45" s="78">
        <v>0</v>
      </c>
      <c r="AH45" s="78">
        <v>117</v>
      </c>
      <c r="AI45" s="78">
        <v>116</v>
      </c>
      <c r="AJ45" s="78">
        <v>117</v>
      </c>
      <c r="AK45" s="78">
        <v>116</v>
      </c>
      <c r="AL45" s="78">
        <v>233</v>
      </c>
      <c r="AM45" s="78">
        <v>10103</v>
      </c>
      <c r="AN45" s="78">
        <v>10103</v>
      </c>
      <c r="AO45" s="78">
        <v>0</v>
      </c>
      <c r="AP45" s="78">
        <v>0</v>
      </c>
      <c r="AQ45" s="78">
        <v>0</v>
      </c>
      <c r="AR45" s="78">
        <v>0</v>
      </c>
      <c r="AS45" s="78">
        <v>0</v>
      </c>
      <c r="AT45" s="78">
        <v>0</v>
      </c>
      <c r="AU45" s="400">
        <v>5.2342199999999995E-4</v>
      </c>
      <c r="AV45" s="400">
        <v>1.2335100000000001E-4</v>
      </c>
      <c r="AW45" s="78">
        <v>2151.9389999999999</v>
      </c>
      <c r="AX45" s="78">
        <v>0</v>
      </c>
      <c r="AY45" s="78">
        <v>3890</v>
      </c>
      <c r="AZ45" s="78">
        <v>2705.0042441819301</v>
      </c>
      <c r="BA45" s="78">
        <v>29</v>
      </c>
      <c r="BB45" s="78">
        <v>29</v>
      </c>
      <c r="BC45" s="78">
        <v>2683</v>
      </c>
      <c r="BD45" s="78">
        <v>1</v>
      </c>
      <c r="BE45" s="78">
        <v>0</v>
      </c>
      <c r="BF45" s="78">
        <v>0</v>
      </c>
      <c r="BG45" s="78">
        <v>0</v>
      </c>
      <c r="BH45" s="78">
        <v>0</v>
      </c>
      <c r="BI45" s="78">
        <v>0</v>
      </c>
      <c r="BJ45" s="78">
        <v>0</v>
      </c>
      <c r="BK45" s="78">
        <v>0</v>
      </c>
      <c r="BL45" s="78">
        <v>0</v>
      </c>
      <c r="BM45" s="78">
        <v>296.30500000000001</v>
      </c>
      <c r="BN45" s="78">
        <v>40</v>
      </c>
      <c r="BO45" s="78">
        <v>9</v>
      </c>
      <c r="BP45" s="78">
        <v>5889.3</v>
      </c>
      <c r="BQ45" s="78">
        <v>1118.6500000000001</v>
      </c>
      <c r="BR45" s="78">
        <v>58.290105058365697</v>
      </c>
      <c r="BS45" s="78">
        <v>171</v>
      </c>
      <c r="BT45" s="78">
        <v>51.3333333333333</v>
      </c>
      <c r="BU45" s="78">
        <v>42.3333333333333</v>
      </c>
      <c r="BV45" s="78">
        <f t="shared" si="4"/>
        <v>1044.999999999997</v>
      </c>
      <c r="BW45" s="78">
        <v>340</v>
      </c>
      <c r="BX45" s="78">
        <v>3537.96967112025</v>
      </c>
      <c r="BY45" s="78">
        <v>0.47799999999999998</v>
      </c>
      <c r="BZ45" s="78">
        <v>13937</v>
      </c>
      <c r="CA45" s="78">
        <v>3181</v>
      </c>
      <c r="CB45" s="78">
        <v>676</v>
      </c>
      <c r="CC45" s="78">
        <v>622</v>
      </c>
      <c r="CD45" s="78">
        <v>554</v>
      </c>
      <c r="CE45" s="78">
        <v>310</v>
      </c>
      <c r="CF45" s="78">
        <v>320.182282490349</v>
      </c>
      <c r="CG45" s="78">
        <v>202.391646045729</v>
      </c>
      <c r="CH45" s="78">
        <v>74.6766603979016</v>
      </c>
      <c r="CI45" s="78">
        <v>868.67520000000002</v>
      </c>
      <c r="CJ45" s="78">
        <v>549.10159999999996</v>
      </c>
      <c r="CK45" s="78">
        <v>202.6026</v>
      </c>
      <c r="CL45" s="78">
        <v>41975</v>
      </c>
    </row>
    <row r="46" spans="1:90" x14ac:dyDescent="0.35">
      <c r="A46" s="72">
        <v>141</v>
      </c>
      <c r="B46" s="72" t="s">
        <v>18</v>
      </c>
      <c r="C46" s="72">
        <v>4</v>
      </c>
      <c r="D46" s="78">
        <v>5296800000</v>
      </c>
      <c r="E46" s="78">
        <v>1283450000</v>
      </c>
      <c r="F46" s="78">
        <v>1340150000</v>
      </c>
      <c r="G46" s="78">
        <v>73132</v>
      </c>
      <c r="H46" s="78">
        <v>1</v>
      </c>
      <c r="I46" s="78">
        <f t="shared" si="2"/>
        <v>1340.15</v>
      </c>
      <c r="J46" s="78">
        <v>14120</v>
      </c>
      <c r="K46" s="78">
        <v>14691</v>
      </c>
      <c r="L46" s="78">
        <v>4749</v>
      </c>
      <c r="M46" s="78">
        <v>12255</v>
      </c>
      <c r="N46" s="78">
        <f t="shared" si="3"/>
        <v>8848.9</v>
      </c>
      <c r="O46" s="78">
        <v>2564.3333333333298</v>
      </c>
      <c r="P46" s="78">
        <v>131</v>
      </c>
      <c r="Q46" s="78">
        <v>8134.3333333333303</v>
      </c>
      <c r="R46" s="78">
        <v>12106</v>
      </c>
      <c r="S46" s="78">
        <v>7720</v>
      </c>
      <c r="T46" s="78">
        <v>0</v>
      </c>
      <c r="U46" s="78">
        <v>2772</v>
      </c>
      <c r="V46" s="78">
        <v>34259</v>
      </c>
      <c r="W46" s="78">
        <v>83610</v>
      </c>
      <c r="X46" s="78">
        <v>115780</v>
      </c>
      <c r="Y46" s="78">
        <v>3522.92</v>
      </c>
      <c r="Z46" s="78">
        <v>4355.2</v>
      </c>
      <c r="AA46" s="78">
        <v>0</v>
      </c>
      <c r="AB46" s="399">
        <f>IF((J46-'[2]Basisgegevens aanvullend'!D46*1.1)&lt;=0,0,J46-'[2]Basisgegevens aanvullend'!D46*1.1)</f>
        <v>0</v>
      </c>
      <c r="AC46" s="399">
        <v>0</v>
      </c>
      <c r="AD46" s="78">
        <v>6711</v>
      </c>
      <c r="AE46" s="78">
        <v>6711</v>
      </c>
      <c r="AF46" s="78">
        <v>229</v>
      </c>
      <c r="AG46" s="78">
        <v>0</v>
      </c>
      <c r="AH46" s="78">
        <v>411</v>
      </c>
      <c r="AI46" s="78">
        <v>147</v>
      </c>
      <c r="AJ46" s="78">
        <v>411</v>
      </c>
      <c r="AK46" s="78">
        <v>147</v>
      </c>
      <c r="AL46" s="78">
        <v>557</v>
      </c>
      <c r="AM46" s="78">
        <v>34061</v>
      </c>
      <c r="AN46" s="78">
        <v>34061</v>
      </c>
      <c r="AO46" s="78">
        <v>10</v>
      </c>
      <c r="AP46" s="78">
        <v>0</v>
      </c>
      <c r="AQ46" s="78">
        <v>0</v>
      </c>
      <c r="AR46" s="78">
        <v>0</v>
      </c>
      <c r="AS46" s="78">
        <v>7097</v>
      </c>
      <c r="AT46" s="78">
        <v>7097</v>
      </c>
      <c r="AU46" s="400">
        <v>4.3936779999999998E-3</v>
      </c>
      <c r="AV46" s="400">
        <v>6.5105689999999999E-3</v>
      </c>
      <c r="AW46" s="78">
        <v>54701.966</v>
      </c>
      <c r="AX46" s="78">
        <v>0</v>
      </c>
      <c r="AY46" s="78">
        <v>2053</v>
      </c>
      <c r="AZ46" s="78">
        <v>21634.005187319901</v>
      </c>
      <c r="BA46" s="78">
        <v>3</v>
      </c>
      <c r="BB46" s="78">
        <v>3</v>
      </c>
      <c r="BC46" s="78">
        <v>6804</v>
      </c>
      <c r="BD46" s="78">
        <v>1</v>
      </c>
      <c r="BE46" s="78">
        <v>0</v>
      </c>
      <c r="BF46" s="78">
        <v>0</v>
      </c>
      <c r="BG46" s="78">
        <v>0</v>
      </c>
      <c r="BH46" s="78">
        <v>0</v>
      </c>
      <c r="BI46" s="78">
        <v>0</v>
      </c>
      <c r="BJ46" s="78">
        <v>0</v>
      </c>
      <c r="BK46" s="78">
        <v>0</v>
      </c>
      <c r="BL46" s="78">
        <v>0</v>
      </c>
      <c r="BM46" s="78">
        <v>2471</v>
      </c>
      <c r="BN46" s="78">
        <v>421</v>
      </c>
      <c r="BO46" s="78">
        <v>332</v>
      </c>
      <c r="BP46" s="78">
        <v>18082.900000000001</v>
      </c>
      <c r="BQ46" s="78">
        <v>4076.43</v>
      </c>
      <c r="BR46" s="78">
        <v>742.50811523776497</v>
      </c>
      <c r="BS46" s="78">
        <v>1038</v>
      </c>
      <c r="BT46" s="78">
        <v>690.33333333333303</v>
      </c>
      <c r="BU46" s="78">
        <v>639.66666666666697</v>
      </c>
      <c r="BV46" s="78">
        <f t="shared" si="4"/>
        <v>5570</v>
      </c>
      <c r="BW46" s="78">
        <v>1681</v>
      </c>
      <c r="BX46" s="78">
        <v>14357.0679294732</v>
      </c>
      <c r="BY46" s="78">
        <v>8.4260000000000002</v>
      </c>
      <c r="BZ46" s="78">
        <v>58441</v>
      </c>
      <c r="CA46" s="78">
        <v>8308</v>
      </c>
      <c r="CB46" s="78">
        <v>1634</v>
      </c>
      <c r="CC46" s="78">
        <v>2081</v>
      </c>
      <c r="CD46" s="78">
        <v>1716</v>
      </c>
      <c r="CE46" s="78">
        <v>906</v>
      </c>
      <c r="CF46" s="78">
        <v>1373.02006693873</v>
      </c>
      <c r="CG46" s="78">
        <v>882.52585948738999</v>
      </c>
      <c r="CH46" s="78">
        <v>316.95070608613997</v>
      </c>
      <c r="CI46" s="78">
        <v>3054.73</v>
      </c>
      <c r="CJ46" s="78">
        <v>1963.4659999999999</v>
      </c>
      <c r="CK46" s="78">
        <v>705.16</v>
      </c>
      <c r="CL46" s="78">
        <v>125655</v>
      </c>
    </row>
    <row r="47" spans="1:90" x14ac:dyDescent="0.35">
      <c r="A47" s="72">
        <v>147</v>
      </c>
      <c r="B47" s="72" t="s">
        <v>56</v>
      </c>
      <c r="C47" s="72">
        <v>4</v>
      </c>
      <c r="D47" s="78">
        <v>2247200000</v>
      </c>
      <c r="E47" s="78">
        <v>227500000</v>
      </c>
      <c r="F47" s="78">
        <v>243950000</v>
      </c>
      <c r="G47" s="78">
        <v>23668</v>
      </c>
      <c r="H47" s="78">
        <v>1</v>
      </c>
      <c r="I47" s="78">
        <f t="shared" si="2"/>
        <v>243.95</v>
      </c>
      <c r="J47" s="78">
        <v>4973</v>
      </c>
      <c r="K47" s="78">
        <v>5241</v>
      </c>
      <c r="L47" s="78">
        <v>1754</v>
      </c>
      <c r="M47" s="78">
        <v>2691</v>
      </c>
      <c r="N47" s="78">
        <f t="shared" si="3"/>
        <v>1676.5</v>
      </c>
      <c r="O47" s="78">
        <v>293</v>
      </c>
      <c r="P47" s="78">
        <v>43</v>
      </c>
      <c r="Q47" s="78">
        <v>1440</v>
      </c>
      <c r="R47" s="78">
        <v>2716</v>
      </c>
      <c r="S47" s="78">
        <v>580</v>
      </c>
      <c r="T47" s="78">
        <v>0</v>
      </c>
      <c r="U47" s="78">
        <v>597</v>
      </c>
      <c r="V47" s="78">
        <v>10135</v>
      </c>
      <c r="W47" s="78">
        <v>21620</v>
      </c>
      <c r="X47" s="78">
        <v>13590</v>
      </c>
      <c r="Y47" s="78">
        <v>0</v>
      </c>
      <c r="Z47" s="78">
        <v>265.60000000000002</v>
      </c>
      <c r="AA47" s="78">
        <v>0</v>
      </c>
      <c r="AB47" s="399">
        <f>IF((J47-'[2]Basisgegevens aanvullend'!D47*1.1)&lt;=0,0,J47-'[2]Basisgegevens aanvullend'!D47*1.1)</f>
        <v>0</v>
      </c>
      <c r="AC47" s="399">
        <v>0</v>
      </c>
      <c r="AD47" s="78">
        <v>2597</v>
      </c>
      <c r="AE47" s="78">
        <v>2597</v>
      </c>
      <c r="AF47" s="78">
        <v>19</v>
      </c>
      <c r="AG47" s="78">
        <v>0</v>
      </c>
      <c r="AH47" s="78">
        <v>125</v>
      </c>
      <c r="AI47" s="78">
        <v>20</v>
      </c>
      <c r="AJ47" s="78">
        <v>125</v>
      </c>
      <c r="AK47" s="78">
        <v>20</v>
      </c>
      <c r="AL47" s="78">
        <v>145</v>
      </c>
      <c r="AM47" s="78">
        <v>10145</v>
      </c>
      <c r="AN47" s="78">
        <v>10145</v>
      </c>
      <c r="AO47" s="78">
        <v>0</v>
      </c>
      <c r="AP47" s="78">
        <v>0</v>
      </c>
      <c r="AQ47" s="78">
        <v>0</v>
      </c>
      <c r="AR47" s="78">
        <v>0</v>
      </c>
      <c r="AS47" s="78">
        <v>1224</v>
      </c>
      <c r="AT47" s="78">
        <v>0</v>
      </c>
      <c r="AU47" s="400">
        <v>3.2157099999999999E-4</v>
      </c>
      <c r="AV47" s="400">
        <v>1.6967100000000001E-4</v>
      </c>
      <c r="AW47" s="78">
        <v>12549.365</v>
      </c>
      <c r="AX47" s="78">
        <v>0</v>
      </c>
      <c r="AY47" s="78">
        <v>416</v>
      </c>
      <c r="AZ47" s="78">
        <v>3763.7186544342499</v>
      </c>
      <c r="BA47" s="78">
        <v>3</v>
      </c>
      <c r="BB47" s="78">
        <v>3</v>
      </c>
      <c r="BC47" s="78">
        <v>2274</v>
      </c>
      <c r="BD47" s="78">
        <v>1</v>
      </c>
      <c r="BE47" s="78">
        <v>0</v>
      </c>
      <c r="BF47" s="78">
        <v>0</v>
      </c>
      <c r="BG47" s="78">
        <v>0</v>
      </c>
      <c r="BH47" s="78">
        <v>0</v>
      </c>
      <c r="BI47" s="78">
        <v>0</v>
      </c>
      <c r="BJ47" s="78">
        <v>0</v>
      </c>
      <c r="BK47" s="78">
        <v>0</v>
      </c>
      <c r="BL47" s="78">
        <v>0</v>
      </c>
      <c r="BM47" s="78">
        <v>422.70499999999998</v>
      </c>
      <c r="BN47" s="78">
        <v>60</v>
      </c>
      <c r="BO47" s="78">
        <v>26</v>
      </c>
      <c r="BP47" s="78">
        <v>6995.63</v>
      </c>
      <c r="BQ47" s="78">
        <v>1833.79</v>
      </c>
      <c r="BR47" s="78">
        <v>139.394047413793</v>
      </c>
      <c r="BS47" s="78">
        <v>225</v>
      </c>
      <c r="BT47" s="78">
        <v>80</v>
      </c>
      <c r="BU47" s="78">
        <v>58.6666666666667</v>
      </c>
      <c r="BV47" s="78">
        <f t="shared" si="4"/>
        <v>1147</v>
      </c>
      <c r="BW47" s="78">
        <v>358</v>
      </c>
      <c r="BX47" s="78">
        <v>3969.2633013040499</v>
      </c>
      <c r="BY47" s="78">
        <v>0.46600000000000003</v>
      </c>
      <c r="BZ47" s="78">
        <v>18427</v>
      </c>
      <c r="CA47" s="78">
        <v>2944</v>
      </c>
      <c r="CB47" s="78">
        <v>543</v>
      </c>
      <c r="CC47" s="78">
        <v>508</v>
      </c>
      <c r="CD47" s="78">
        <v>544</v>
      </c>
      <c r="CE47" s="78">
        <v>285</v>
      </c>
      <c r="CF47" s="78">
        <v>292.499260719566</v>
      </c>
      <c r="CG47" s="78">
        <v>196.817299162149</v>
      </c>
      <c r="CH47" s="78">
        <v>68.580335140463305</v>
      </c>
      <c r="CI47" s="78">
        <v>754.197</v>
      </c>
      <c r="CJ47" s="78">
        <v>507.48509999999999</v>
      </c>
      <c r="CK47" s="78">
        <v>176.83150000000001</v>
      </c>
      <c r="CL47" s="78">
        <v>0</v>
      </c>
    </row>
    <row r="48" spans="1:90" x14ac:dyDescent="0.35">
      <c r="A48" s="72">
        <v>148</v>
      </c>
      <c r="B48" s="72" t="s">
        <v>74</v>
      </c>
      <c r="C48" s="72">
        <v>4</v>
      </c>
      <c r="D48" s="78">
        <v>3062000000</v>
      </c>
      <c r="E48" s="78">
        <v>399350000</v>
      </c>
      <c r="F48" s="78">
        <v>450800000</v>
      </c>
      <c r="G48" s="78">
        <v>28901</v>
      </c>
      <c r="H48" s="78">
        <v>3</v>
      </c>
      <c r="I48" s="78">
        <f t="shared" si="2"/>
        <v>450.8</v>
      </c>
      <c r="J48" s="78">
        <v>6020</v>
      </c>
      <c r="K48" s="78">
        <v>6222</v>
      </c>
      <c r="L48" s="78">
        <v>2097</v>
      </c>
      <c r="M48" s="78">
        <v>3005</v>
      </c>
      <c r="N48" s="78">
        <f t="shared" si="3"/>
        <v>1764.6</v>
      </c>
      <c r="O48" s="78">
        <v>251.666666666667</v>
      </c>
      <c r="P48" s="78">
        <v>29</v>
      </c>
      <c r="Q48" s="78">
        <v>1329.6666666666699</v>
      </c>
      <c r="R48" s="78">
        <v>3231</v>
      </c>
      <c r="S48" s="78">
        <v>340</v>
      </c>
      <c r="T48" s="78">
        <v>0</v>
      </c>
      <c r="U48" s="78">
        <v>593</v>
      </c>
      <c r="V48" s="78">
        <v>12035</v>
      </c>
      <c r="W48" s="78">
        <v>26730</v>
      </c>
      <c r="X48" s="78">
        <v>11700</v>
      </c>
      <c r="Y48" s="78">
        <v>0</v>
      </c>
      <c r="Z48" s="78">
        <v>207.2</v>
      </c>
      <c r="AA48" s="78">
        <v>0</v>
      </c>
      <c r="AB48" s="399">
        <f>IF((J48-'[2]Basisgegevens aanvullend'!D48*1.1)&lt;=0,0,J48-'[2]Basisgegevens aanvullend'!D48*1.1)</f>
        <v>0</v>
      </c>
      <c r="AC48" s="399">
        <v>22.5</v>
      </c>
      <c r="AD48" s="78">
        <v>16500</v>
      </c>
      <c r="AE48" s="78">
        <v>16500</v>
      </c>
      <c r="AF48" s="78">
        <v>152</v>
      </c>
      <c r="AG48" s="78">
        <v>0</v>
      </c>
      <c r="AH48" s="78">
        <v>170</v>
      </c>
      <c r="AI48" s="78">
        <v>175</v>
      </c>
      <c r="AJ48" s="78">
        <v>170</v>
      </c>
      <c r="AK48" s="78">
        <v>175</v>
      </c>
      <c r="AL48" s="78">
        <v>344</v>
      </c>
      <c r="AM48" s="78">
        <v>12404</v>
      </c>
      <c r="AN48" s="78">
        <v>12404</v>
      </c>
      <c r="AO48" s="78">
        <v>0</v>
      </c>
      <c r="AP48" s="78">
        <v>0</v>
      </c>
      <c r="AQ48" s="78">
        <v>0</v>
      </c>
      <c r="AR48" s="78">
        <v>0</v>
      </c>
      <c r="AS48" s="78">
        <v>0</v>
      </c>
      <c r="AT48" s="78">
        <v>0</v>
      </c>
      <c r="AU48" s="400">
        <v>3.6166699999999998E-4</v>
      </c>
      <c r="AV48" s="400">
        <v>1.35525E-4</v>
      </c>
      <c r="AW48" s="78">
        <v>6338.4440000000004</v>
      </c>
      <c r="AX48" s="78">
        <v>0</v>
      </c>
      <c r="AY48" s="78">
        <v>2285</v>
      </c>
      <c r="AZ48" s="78">
        <v>3965.8170189767002</v>
      </c>
      <c r="BA48" s="78">
        <v>11</v>
      </c>
      <c r="BB48" s="78">
        <v>11</v>
      </c>
      <c r="BC48" s="78">
        <v>3241</v>
      </c>
      <c r="BD48" s="78">
        <v>1</v>
      </c>
      <c r="BE48" s="78">
        <v>0</v>
      </c>
      <c r="BF48" s="78">
        <v>0</v>
      </c>
      <c r="BG48" s="78">
        <v>0</v>
      </c>
      <c r="BH48" s="78">
        <v>0</v>
      </c>
      <c r="BI48" s="78">
        <v>0</v>
      </c>
      <c r="BJ48" s="78">
        <v>0</v>
      </c>
      <c r="BK48" s="78">
        <v>0</v>
      </c>
      <c r="BL48" s="78">
        <v>0</v>
      </c>
      <c r="BM48" s="78">
        <v>355.18</v>
      </c>
      <c r="BN48" s="78">
        <v>102</v>
      </c>
      <c r="BO48" s="78">
        <v>39</v>
      </c>
      <c r="BP48" s="78">
        <v>8017.2</v>
      </c>
      <c r="BQ48" s="78">
        <v>2057.25</v>
      </c>
      <c r="BR48" s="78">
        <v>164.71884555382201</v>
      </c>
      <c r="BS48" s="78">
        <v>220</v>
      </c>
      <c r="BT48" s="78">
        <v>74</v>
      </c>
      <c r="BU48" s="78">
        <v>41</v>
      </c>
      <c r="BV48" s="78">
        <f t="shared" si="4"/>
        <v>1078.000000000003</v>
      </c>
      <c r="BW48" s="78">
        <v>309</v>
      </c>
      <c r="BX48" s="78">
        <v>4221.4244082974801</v>
      </c>
      <c r="BY48" s="78">
        <v>0.15</v>
      </c>
      <c r="BZ48" s="78">
        <v>22679</v>
      </c>
      <c r="CA48" s="78">
        <v>3398</v>
      </c>
      <c r="CB48" s="78">
        <v>727</v>
      </c>
      <c r="CC48" s="78">
        <v>555</v>
      </c>
      <c r="CD48" s="78">
        <v>619</v>
      </c>
      <c r="CE48" s="78">
        <v>388</v>
      </c>
      <c r="CF48" s="78">
        <v>292.20319251854198</v>
      </c>
      <c r="CG48" s="78">
        <v>200.87191228635899</v>
      </c>
      <c r="CH48" s="78">
        <v>78.670090293453697</v>
      </c>
      <c r="CI48" s="78">
        <v>914.64620000000002</v>
      </c>
      <c r="CJ48" s="78">
        <v>628.7636</v>
      </c>
      <c r="CK48" s="78">
        <v>246.2509</v>
      </c>
      <c r="CL48" s="78">
        <v>0</v>
      </c>
    </row>
    <row r="49" spans="1:90" x14ac:dyDescent="0.35">
      <c r="A49" s="72">
        <v>150</v>
      </c>
      <c r="B49" s="72" t="s">
        <v>84</v>
      </c>
      <c r="C49" s="72">
        <v>4</v>
      </c>
      <c r="D49" s="78">
        <v>8960400000</v>
      </c>
      <c r="E49" s="78">
        <v>1364650000</v>
      </c>
      <c r="F49" s="78">
        <v>1434300000</v>
      </c>
      <c r="G49" s="78">
        <v>101236</v>
      </c>
      <c r="H49" s="78">
        <v>2</v>
      </c>
      <c r="I49" s="78">
        <f t="shared" si="2"/>
        <v>1434.3</v>
      </c>
      <c r="J49" s="78">
        <v>19662</v>
      </c>
      <c r="K49" s="78">
        <v>18666</v>
      </c>
      <c r="L49" s="78">
        <v>5803</v>
      </c>
      <c r="M49" s="78">
        <v>14987</v>
      </c>
      <c r="N49" s="78">
        <f t="shared" si="3"/>
        <v>10313.799999999999</v>
      </c>
      <c r="O49" s="78">
        <v>2706.6666666666702</v>
      </c>
      <c r="P49" s="78">
        <v>172</v>
      </c>
      <c r="Q49" s="78">
        <v>9121.6666666666697</v>
      </c>
      <c r="R49" s="78">
        <v>18410</v>
      </c>
      <c r="S49" s="78">
        <v>9300</v>
      </c>
      <c r="T49" s="78">
        <v>0</v>
      </c>
      <c r="U49" s="78">
        <v>3632</v>
      </c>
      <c r="V49" s="78">
        <v>48746</v>
      </c>
      <c r="W49" s="78">
        <v>112160</v>
      </c>
      <c r="X49" s="78">
        <v>149910</v>
      </c>
      <c r="Y49" s="78">
        <v>1690.4</v>
      </c>
      <c r="Z49" s="78">
        <v>3772.8</v>
      </c>
      <c r="AA49" s="78">
        <v>0</v>
      </c>
      <c r="AB49" s="399">
        <f>IF((J49-'[2]Basisgegevens aanvullend'!D49*1.1)&lt;=0,0,J49-'[2]Basisgegevens aanvullend'!D49*1.1)</f>
        <v>0</v>
      </c>
      <c r="AC49" s="399">
        <v>0</v>
      </c>
      <c r="AD49" s="78">
        <v>13049</v>
      </c>
      <c r="AE49" s="78">
        <v>13049</v>
      </c>
      <c r="AF49" s="78">
        <v>385</v>
      </c>
      <c r="AG49" s="78">
        <v>0</v>
      </c>
      <c r="AH49" s="78">
        <v>465</v>
      </c>
      <c r="AI49" s="78">
        <v>123</v>
      </c>
      <c r="AJ49" s="78">
        <v>465</v>
      </c>
      <c r="AK49" s="78">
        <v>123</v>
      </c>
      <c r="AL49" s="78">
        <v>588</v>
      </c>
      <c r="AM49" s="78">
        <v>46732</v>
      </c>
      <c r="AN49" s="78">
        <v>46732</v>
      </c>
      <c r="AO49" s="78">
        <v>35</v>
      </c>
      <c r="AP49" s="78">
        <v>0</v>
      </c>
      <c r="AQ49" s="78">
        <v>0</v>
      </c>
      <c r="AR49" s="78">
        <v>3700</v>
      </c>
      <c r="AS49" s="78">
        <v>8739</v>
      </c>
      <c r="AT49" s="78">
        <v>8234</v>
      </c>
      <c r="AU49" s="400">
        <v>5.5691309999999997E-3</v>
      </c>
      <c r="AV49" s="400">
        <v>6.7474800000000001E-3</v>
      </c>
      <c r="AW49" s="78">
        <v>85519.56</v>
      </c>
      <c r="AX49" s="78">
        <v>0</v>
      </c>
      <c r="AY49" s="78">
        <v>2865</v>
      </c>
      <c r="AZ49" s="78">
        <v>21590.0803930326</v>
      </c>
      <c r="BA49" s="78">
        <v>8</v>
      </c>
      <c r="BB49" s="78">
        <v>8</v>
      </c>
      <c r="BC49" s="78">
        <v>10671</v>
      </c>
      <c r="BD49" s="78">
        <v>1</v>
      </c>
      <c r="BE49" s="78">
        <v>0</v>
      </c>
      <c r="BF49" s="78">
        <v>0</v>
      </c>
      <c r="BG49" s="78">
        <v>0</v>
      </c>
      <c r="BH49" s="78">
        <v>0</v>
      </c>
      <c r="BI49" s="78">
        <v>0</v>
      </c>
      <c r="BJ49" s="78">
        <v>0</v>
      </c>
      <c r="BK49" s="78">
        <v>0</v>
      </c>
      <c r="BL49" s="78">
        <v>0</v>
      </c>
      <c r="BM49" s="78">
        <v>2634.7080000000001</v>
      </c>
      <c r="BN49" s="78">
        <v>358</v>
      </c>
      <c r="BO49" s="78">
        <v>406</v>
      </c>
      <c r="BP49" s="78">
        <v>28134</v>
      </c>
      <c r="BQ49" s="78">
        <v>6597.97</v>
      </c>
      <c r="BR49" s="78">
        <v>1114.80592694901</v>
      </c>
      <c r="BS49" s="78">
        <v>1345</v>
      </c>
      <c r="BT49" s="78">
        <v>717.33333333333303</v>
      </c>
      <c r="BU49" s="78">
        <v>684.66666666666697</v>
      </c>
      <c r="BV49" s="78">
        <f t="shared" si="4"/>
        <v>6415</v>
      </c>
      <c r="BW49" s="78">
        <v>1956</v>
      </c>
      <c r="BX49" s="78">
        <v>16632.660986705599</v>
      </c>
      <c r="BY49" s="78">
        <v>7.3049999999999997</v>
      </c>
      <c r="BZ49" s="78">
        <v>82570</v>
      </c>
      <c r="CA49" s="78">
        <v>10622</v>
      </c>
      <c r="CB49" s="78">
        <v>2241</v>
      </c>
      <c r="CC49" s="78">
        <v>2702</v>
      </c>
      <c r="CD49" s="78">
        <v>2034</v>
      </c>
      <c r="CE49" s="78">
        <v>1141</v>
      </c>
      <c r="CF49" s="78">
        <v>1497.6771120431399</v>
      </c>
      <c r="CG49" s="78">
        <v>895.38403235470298</v>
      </c>
      <c r="CH49" s="78">
        <v>347.60410425404399</v>
      </c>
      <c r="CI49" s="78">
        <v>3414.0365999999999</v>
      </c>
      <c r="CJ49" s="78">
        <v>2041.0767000000001</v>
      </c>
      <c r="CK49" s="78">
        <v>792.38250000000005</v>
      </c>
      <c r="CL49" s="78">
        <v>68583</v>
      </c>
    </row>
    <row r="50" spans="1:90" x14ac:dyDescent="0.35">
      <c r="A50" s="72">
        <v>1774</v>
      </c>
      <c r="B50" s="72" t="s">
        <v>86</v>
      </c>
      <c r="C50" s="72">
        <v>4</v>
      </c>
      <c r="D50" s="78">
        <v>2500000000</v>
      </c>
      <c r="E50" s="78">
        <v>424550000</v>
      </c>
      <c r="F50" s="78">
        <v>512050000</v>
      </c>
      <c r="G50" s="78">
        <v>26606</v>
      </c>
      <c r="H50" s="78">
        <v>5</v>
      </c>
      <c r="I50" s="78">
        <f t="shared" si="2"/>
        <v>512.04999999999995</v>
      </c>
      <c r="J50" s="78">
        <v>5071</v>
      </c>
      <c r="K50" s="78">
        <v>5947</v>
      </c>
      <c r="L50" s="78">
        <v>1935</v>
      </c>
      <c r="M50" s="78">
        <v>2881</v>
      </c>
      <c r="N50" s="78">
        <f t="shared" si="3"/>
        <v>1760.2</v>
      </c>
      <c r="O50" s="78">
        <v>191.666666666667</v>
      </c>
      <c r="P50" s="78">
        <v>38</v>
      </c>
      <c r="Q50" s="78">
        <v>1246.6666666666699</v>
      </c>
      <c r="R50" s="78">
        <v>2699</v>
      </c>
      <c r="S50" s="78">
        <v>280</v>
      </c>
      <c r="T50" s="78">
        <v>0</v>
      </c>
      <c r="U50" s="78">
        <v>523</v>
      </c>
      <c r="V50" s="78">
        <v>10888</v>
      </c>
      <c r="W50" s="78">
        <v>21470</v>
      </c>
      <c r="X50" s="78">
        <v>8450</v>
      </c>
      <c r="Y50" s="78">
        <v>0</v>
      </c>
      <c r="Z50" s="78">
        <v>224.8</v>
      </c>
      <c r="AA50" s="78">
        <v>0</v>
      </c>
      <c r="AB50" s="399">
        <f>IF((J50-'[2]Basisgegevens aanvullend'!D50*1.1)&lt;=0,0,J50-'[2]Basisgegevens aanvullend'!D50*1.1)</f>
        <v>0</v>
      </c>
      <c r="AC50" s="399">
        <v>0</v>
      </c>
      <c r="AD50" s="78">
        <v>17570</v>
      </c>
      <c r="AE50" s="78">
        <v>17570</v>
      </c>
      <c r="AF50" s="78">
        <v>113</v>
      </c>
      <c r="AG50" s="78">
        <v>0</v>
      </c>
      <c r="AH50" s="78">
        <v>160</v>
      </c>
      <c r="AI50" s="78">
        <v>165</v>
      </c>
      <c r="AJ50" s="78">
        <v>160</v>
      </c>
      <c r="AK50" s="78">
        <v>165</v>
      </c>
      <c r="AL50" s="78">
        <v>325</v>
      </c>
      <c r="AM50" s="78">
        <v>11208</v>
      </c>
      <c r="AN50" s="78">
        <v>11208</v>
      </c>
      <c r="AO50" s="78">
        <v>6</v>
      </c>
      <c r="AP50" s="78">
        <v>0</v>
      </c>
      <c r="AQ50" s="78">
        <v>0</v>
      </c>
      <c r="AR50" s="78">
        <v>0</v>
      </c>
      <c r="AS50" s="78">
        <v>0</v>
      </c>
      <c r="AT50" s="78">
        <v>0</v>
      </c>
      <c r="AU50" s="400">
        <v>2.8437999999999998E-4</v>
      </c>
      <c r="AV50" s="400">
        <v>1.4677399999999999E-4</v>
      </c>
      <c r="AW50" s="78">
        <v>5278.9679999999998</v>
      </c>
      <c r="AX50" s="78">
        <v>0</v>
      </c>
      <c r="AY50" s="78">
        <v>1971</v>
      </c>
      <c r="AZ50" s="78">
        <v>2965.5842334445501</v>
      </c>
      <c r="BA50" s="78">
        <v>11</v>
      </c>
      <c r="BB50" s="78">
        <v>11</v>
      </c>
      <c r="BC50" s="78">
        <v>3242</v>
      </c>
      <c r="BD50" s="78">
        <v>1</v>
      </c>
      <c r="BE50" s="78">
        <v>0</v>
      </c>
      <c r="BF50" s="78">
        <v>0</v>
      </c>
      <c r="BG50" s="78">
        <v>0</v>
      </c>
      <c r="BH50" s="78">
        <v>0</v>
      </c>
      <c r="BI50" s="78">
        <v>0</v>
      </c>
      <c r="BJ50" s="78">
        <v>0</v>
      </c>
      <c r="BK50" s="78">
        <v>0</v>
      </c>
      <c r="BL50" s="78">
        <v>0</v>
      </c>
      <c r="BM50" s="78">
        <v>299.18900000000002</v>
      </c>
      <c r="BN50" s="78">
        <v>46</v>
      </c>
      <c r="BO50" s="78">
        <v>36</v>
      </c>
      <c r="BP50" s="78">
        <v>7311.5</v>
      </c>
      <c r="BQ50" s="78">
        <v>1897.12</v>
      </c>
      <c r="BR50" s="78">
        <v>51.640821403260098</v>
      </c>
      <c r="BS50" s="78">
        <v>233</v>
      </c>
      <c r="BT50" s="78">
        <v>58.6666666666667</v>
      </c>
      <c r="BU50" s="78">
        <v>36.3333333333333</v>
      </c>
      <c r="BV50" s="78">
        <f t="shared" si="4"/>
        <v>1055.000000000003</v>
      </c>
      <c r="BW50" s="78">
        <v>302</v>
      </c>
      <c r="BX50" s="78">
        <v>4248.83572351763</v>
      </c>
      <c r="BY50" s="78">
        <v>0.13100000000000001</v>
      </c>
      <c r="BZ50" s="78">
        <v>20659</v>
      </c>
      <c r="CA50" s="78">
        <v>3242</v>
      </c>
      <c r="CB50" s="78">
        <v>770</v>
      </c>
      <c r="CC50" s="78">
        <v>525</v>
      </c>
      <c r="CD50" s="78">
        <v>567</v>
      </c>
      <c r="CE50" s="78">
        <v>255</v>
      </c>
      <c r="CF50" s="78">
        <v>308.60037473233399</v>
      </c>
      <c r="CG50" s="78">
        <v>194.11199143469</v>
      </c>
      <c r="CH50" s="78">
        <v>67.530870806566696</v>
      </c>
      <c r="CI50" s="78">
        <v>837.28650000000005</v>
      </c>
      <c r="CJ50" s="78">
        <v>526.65959999999995</v>
      </c>
      <c r="CK50" s="78">
        <v>183.22300000000001</v>
      </c>
      <c r="CL50" s="78">
        <v>10662</v>
      </c>
    </row>
    <row r="51" spans="1:90" x14ac:dyDescent="0.35">
      <c r="A51" s="72">
        <v>153</v>
      </c>
      <c r="B51" s="72" t="s">
        <v>106</v>
      </c>
      <c r="C51" s="72">
        <v>4</v>
      </c>
      <c r="D51" s="78">
        <v>12600800000</v>
      </c>
      <c r="E51" s="78">
        <v>2397150000</v>
      </c>
      <c r="F51" s="78">
        <v>2469600000</v>
      </c>
      <c r="G51" s="78">
        <v>159732</v>
      </c>
      <c r="H51" s="78">
        <v>2</v>
      </c>
      <c r="I51" s="78">
        <f t="shared" si="2"/>
        <v>2469.6</v>
      </c>
      <c r="J51" s="78">
        <v>28308</v>
      </c>
      <c r="K51" s="78">
        <v>28720</v>
      </c>
      <c r="L51" s="78">
        <v>9314</v>
      </c>
      <c r="M51" s="78">
        <v>27673</v>
      </c>
      <c r="N51" s="78">
        <f t="shared" si="3"/>
        <v>19738.2</v>
      </c>
      <c r="O51" s="78">
        <v>6136.6666666666697</v>
      </c>
      <c r="P51" s="78">
        <v>281</v>
      </c>
      <c r="Q51" s="78">
        <v>17475.666666666701</v>
      </c>
      <c r="R51" s="78">
        <v>36725</v>
      </c>
      <c r="S51" s="78">
        <v>15835</v>
      </c>
      <c r="T51" s="78">
        <v>0</v>
      </c>
      <c r="U51" s="78">
        <v>5871</v>
      </c>
      <c r="V51" s="78">
        <v>82322</v>
      </c>
      <c r="W51" s="78">
        <v>167970</v>
      </c>
      <c r="X51" s="78">
        <v>249830</v>
      </c>
      <c r="Y51" s="78">
        <v>5556.835</v>
      </c>
      <c r="Z51" s="78">
        <v>5805.6</v>
      </c>
      <c r="AA51" s="78">
        <v>0</v>
      </c>
      <c r="AB51" s="399">
        <f>IF((J51-'[2]Basisgegevens aanvullend'!D51*1.1)&lt;=0,0,J51-'[2]Basisgegevens aanvullend'!D51*1.1)</f>
        <v>0</v>
      </c>
      <c r="AC51" s="399">
        <v>0</v>
      </c>
      <c r="AD51" s="78">
        <v>14069</v>
      </c>
      <c r="AE51" s="78">
        <v>14069</v>
      </c>
      <c r="AF51" s="78">
        <v>204</v>
      </c>
      <c r="AG51" s="78">
        <v>0</v>
      </c>
      <c r="AH51" s="78">
        <v>779</v>
      </c>
      <c r="AI51" s="78">
        <v>137</v>
      </c>
      <c r="AJ51" s="78">
        <v>779</v>
      </c>
      <c r="AK51" s="78">
        <v>137</v>
      </c>
      <c r="AL51" s="78">
        <v>916</v>
      </c>
      <c r="AM51" s="78">
        <v>79348</v>
      </c>
      <c r="AN51" s="78">
        <v>79348</v>
      </c>
      <c r="AO51" s="78">
        <v>9</v>
      </c>
      <c r="AP51" s="78">
        <v>0</v>
      </c>
      <c r="AQ51" s="78">
        <v>0</v>
      </c>
      <c r="AR51" s="78">
        <v>0</v>
      </c>
      <c r="AS51" s="78">
        <v>15963</v>
      </c>
      <c r="AT51" s="78">
        <v>11523</v>
      </c>
      <c r="AU51" s="400">
        <v>1.0740938E-2</v>
      </c>
      <c r="AV51" s="400">
        <v>1.8027844000000001E-2</v>
      </c>
      <c r="AW51" s="78">
        <v>173534.076</v>
      </c>
      <c r="AX51" s="78">
        <v>0</v>
      </c>
      <c r="AY51" s="78">
        <v>2054</v>
      </c>
      <c r="AZ51" s="78">
        <v>22986.725145379402</v>
      </c>
      <c r="BA51" s="78">
        <v>9</v>
      </c>
      <c r="BB51" s="78">
        <v>9</v>
      </c>
      <c r="BC51" s="78">
        <v>14888</v>
      </c>
      <c r="BD51" s="78">
        <v>1</v>
      </c>
      <c r="BE51" s="78">
        <v>0</v>
      </c>
      <c r="BF51" s="78">
        <v>0</v>
      </c>
      <c r="BG51" s="78">
        <v>0</v>
      </c>
      <c r="BH51" s="78">
        <v>0</v>
      </c>
      <c r="BI51" s="78">
        <v>0</v>
      </c>
      <c r="BJ51" s="78">
        <v>0</v>
      </c>
      <c r="BK51" s="78">
        <v>0</v>
      </c>
      <c r="BL51" s="78">
        <v>0</v>
      </c>
      <c r="BM51" s="78">
        <v>5774.8320000000003</v>
      </c>
      <c r="BN51" s="78">
        <v>600</v>
      </c>
      <c r="BO51" s="78">
        <v>590</v>
      </c>
      <c r="BP51" s="78">
        <v>38209.919999999998</v>
      </c>
      <c r="BQ51" s="78">
        <v>8205.39</v>
      </c>
      <c r="BR51" s="78">
        <v>1128.7917200622101</v>
      </c>
      <c r="BS51" s="78">
        <v>2309</v>
      </c>
      <c r="BT51" s="78">
        <v>1645</v>
      </c>
      <c r="BU51" s="78">
        <v>1475.3333333333301</v>
      </c>
      <c r="BV51" s="78">
        <f t="shared" si="4"/>
        <v>11339.000000000031</v>
      </c>
      <c r="BW51" s="78">
        <v>3775</v>
      </c>
      <c r="BX51" s="78">
        <v>25408.8345928339</v>
      </c>
      <c r="BY51" s="78">
        <v>19.631</v>
      </c>
      <c r="BZ51" s="78">
        <v>131012</v>
      </c>
      <c r="CA51" s="78">
        <v>16243</v>
      </c>
      <c r="CB51" s="78">
        <v>3163</v>
      </c>
      <c r="CC51" s="78">
        <v>4227</v>
      </c>
      <c r="CD51" s="78">
        <v>3433</v>
      </c>
      <c r="CE51" s="78">
        <v>1591</v>
      </c>
      <c r="CF51" s="78">
        <v>2598.4931844532898</v>
      </c>
      <c r="CG51" s="78">
        <v>1631.3343197055999</v>
      </c>
      <c r="CH51" s="78">
        <v>540.04678378787105</v>
      </c>
      <c r="CI51" s="78">
        <v>6196.5672000000004</v>
      </c>
      <c r="CJ51" s="78">
        <v>3890.2055999999998</v>
      </c>
      <c r="CK51" s="78">
        <v>1287.8371999999999</v>
      </c>
      <c r="CL51" s="78">
        <v>219182</v>
      </c>
    </row>
    <row r="52" spans="1:90" x14ac:dyDescent="0.35">
      <c r="A52" s="72">
        <v>158</v>
      </c>
      <c r="B52" s="72" t="s">
        <v>124</v>
      </c>
      <c r="C52" s="72">
        <v>4</v>
      </c>
      <c r="D52" s="78">
        <v>2194000000</v>
      </c>
      <c r="E52" s="78">
        <v>317100000</v>
      </c>
      <c r="F52" s="78">
        <v>368550000</v>
      </c>
      <c r="G52" s="78">
        <v>24229</v>
      </c>
      <c r="H52" s="78">
        <v>1</v>
      </c>
      <c r="I52" s="78">
        <f t="shared" si="2"/>
        <v>368.55</v>
      </c>
      <c r="J52" s="78">
        <v>4449</v>
      </c>
      <c r="K52" s="78">
        <v>6009</v>
      </c>
      <c r="L52" s="78">
        <v>2097</v>
      </c>
      <c r="M52" s="78">
        <v>2994</v>
      </c>
      <c r="N52" s="78">
        <f t="shared" si="3"/>
        <v>1898.7</v>
      </c>
      <c r="O52" s="78">
        <v>315.66666666666703</v>
      </c>
      <c r="P52" s="78">
        <v>38</v>
      </c>
      <c r="Q52" s="78">
        <v>1472.6666666666699</v>
      </c>
      <c r="R52" s="78">
        <v>3020</v>
      </c>
      <c r="S52" s="78">
        <v>925</v>
      </c>
      <c r="T52" s="78">
        <v>0</v>
      </c>
      <c r="U52" s="78">
        <v>592</v>
      </c>
      <c r="V52" s="78">
        <v>10632</v>
      </c>
      <c r="W52" s="78">
        <v>23610</v>
      </c>
      <c r="X52" s="78">
        <v>18010</v>
      </c>
      <c r="Y52" s="78">
        <v>0</v>
      </c>
      <c r="Z52" s="78">
        <v>1131.2</v>
      </c>
      <c r="AA52" s="78">
        <v>0</v>
      </c>
      <c r="AB52" s="399">
        <f>IF((J52-'[2]Basisgegevens aanvullend'!D52*1.1)&lt;=0,0,J52-'[2]Basisgegevens aanvullend'!D52*1.1)</f>
        <v>0</v>
      </c>
      <c r="AC52" s="399">
        <v>0</v>
      </c>
      <c r="AD52" s="78">
        <v>10475</v>
      </c>
      <c r="AE52" s="78">
        <v>10475</v>
      </c>
      <c r="AF52" s="78">
        <v>75</v>
      </c>
      <c r="AG52" s="78">
        <v>0</v>
      </c>
      <c r="AH52" s="78">
        <v>160</v>
      </c>
      <c r="AI52" s="78">
        <v>99</v>
      </c>
      <c r="AJ52" s="78">
        <v>160</v>
      </c>
      <c r="AK52" s="78">
        <v>99</v>
      </c>
      <c r="AL52" s="78">
        <v>258</v>
      </c>
      <c r="AM52" s="78">
        <v>10953</v>
      </c>
      <c r="AN52" s="78">
        <v>10953</v>
      </c>
      <c r="AO52" s="78">
        <v>0</v>
      </c>
      <c r="AP52" s="78">
        <v>0</v>
      </c>
      <c r="AQ52" s="78">
        <v>0</v>
      </c>
      <c r="AR52" s="78">
        <v>0</v>
      </c>
      <c r="AS52" s="78">
        <v>0</v>
      </c>
      <c r="AT52" s="78">
        <v>0</v>
      </c>
      <c r="AU52" s="400">
        <v>3.3804199999999999E-4</v>
      </c>
      <c r="AV52" s="400">
        <v>2.4523999999999998E-4</v>
      </c>
      <c r="AW52" s="78">
        <v>11434.932000000001</v>
      </c>
      <c r="AX52" s="78">
        <v>0</v>
      </c>
      <c r="AY52" s="78">
        <v>1818</v>
      </c>
      <c r="AZ52" s="78">
        <v>4175.19639810427</v>
      </c>
      <c r="BA52" s="78">
        <v>6</v>
      </c>
      <c r="BB52" s="78">
        <v>6</v>
      </c>
      <c r="BC52" s="78">
        <v>2618</v>
      </c>
      <c r="BD52" s="78">
        <v>1</v>
      </c>
      <c r="BE52" s="78">
        <v>0</v>
      </c>
      <c r="BF52" s="78">
        <v>0</v>
      </c>
      <c r="BG52" s="78">
        <v>0</v>
      </c>
      <c r="BH52" s="78">
        <v>0</v>
      </c>
      <c r="BI52" s="78">
        <v>0</v>
      </c>
      <c r="BJ52" s="78">
        <v>0</v>
      </c>
      <c r="BK52" s="78">
        <v>0</v>
      </c>
      <c r="BL52" s="78">
        <v>0</v>
      </c>
      <c r="BM52" s="78">
        <v>400.41</v>
      </c>
      <c r="BN52" s="78">
        <v>29</v>
      </c>
      <c r="BO52" s="78">
        <v>22</v>
      </c>
      <c r="BP52" s="78">
        <v>6660.55</v>
      </c>
      <c r="BQ52" s="78">
        <v>1632.18</v>
      </c>
      <c r="BR52" s="78">
        <v>60.6437516778523</v>
      </c>
      <c r="BS52" s="78">
        <v>239</v>
      </c>
      <c r="BT52" s="78">
        <v>91</v>
      </c>
      <c r="BU52" s="78">
        <v>66.3333333333333</v>
      </c>
      <c r="BV52" s="78">
        <f t="shared" si="4"/>
        <v>1157.000000000003</v>
      </c>
      <c r="BW52" s="78">
        <v>324</v>
      </c>
      <c r="BX52" s="78">
        <v>3951.30729793098</v>
      </c>
      <c r="BY52" s="78">
        <v>0.54600000000000004</v>
      </c>
      <c r="BZ52" s="78">
        <v>18220</v>
      </c>
      <c r="CA52" s="78">
        <v>3242</v>
      </c>
      <c r="CB52" s="78">
        <v>670</v>
      </c>
      <c r="CC52" s="78">
        <v>617</v>
      </c>
      <c r="CD52" s="78">
        <v>639</v>
      </c>
      <c r="CE52" s="78">
        <v>276</v>
      </c>
      <c r="CF52" s="78">
        <v>340.97899205697098</v>
      </c>
      <c r="CG52" s="78">
        <v>239.91607778690801</v>
      </c>
      <c r="CH52" s="78">
        <v>73.847000821692703</v>
      </c>
      <c r="CI52" s="78">
        <v>930.98109999999997</v>
      </c>
      <c r="CJ52" s="78">
        <v>655.04719999999998</v>
      </c>
      <c r="CK52" s="78">
        <v>201.6258</v>
      </c>
      <c r="CL52" s="78">
        <v>26592</v>
      </c>
    </row>
    <row r="53" spans="1:90" x14ac:dyDescent="0.35">
      <c r="A53" s="72">
        <v>160</v>
      </c>
      <c r="B53" s="72" t="s">
        <v>129</v>
      </c>
      <c r="C53" s="72">
        <v>4</v>
      </c>
      <c r="D53" s="78">
        <v>4638800000</v>
      </c>
      <c r="E53" s="78">
        <v>947100000</v>
      </c>
      <c r="F53" s="78">
        <v>1042650000</v>
      </c>
      <c r="G53" s="78">
        <v>61357</v>
      </c>
      <c r="H53" s="78">
        <v>8</v>
      </c>
      <c r="I53" s="78">
        <f t="shared" si="2"/>
        <v>1042.6500000000001</v>
      </c>
      <c r="J53" s="78">
        <v>12956</v>
      </c>
      <c r="K53" s="78">
        <v>11715</v>
      </c>
      <c r="L53" s="78">
        <v>3722</v>
      </c>
      <c r="M53" s="78">
        <v>7231</v>
      </c>
      <c r="N53" s="78">
        <f t="shared" si="3"/>
        <v>4555.8999999999996</v>
      </c>
      <c r="O53" s="78">
        <v>808.66666666666697</v>
      </c>
      <c r="P53" s="78">
        <v>116</v>
      </c>
      <c r="Q53" s="78">
        <v>4015.6666666666702</v>
      </c>
      <c r="R53" s="78">
        <v>6964</v>
      </c>
      <c r="S53" s="78">
        <v>890</v>
      </c>
      <c r="T53" s="78">
        <v>0</v>
      </c>
      <c r="U53" s="78">
        <v>1436</v>
      </c>
      <c r="V53" s="78">
        <v>25844</v>
      </c>
      <c r="W53" s="78">
        <v>59960</v>
      </c>
      <c r="X53" s="78">
        <v>41660</v>
      </c>
      <c r="Y53" s="78">
        <v>1064.76</v>
      </c>
      <c r="Z53" s="78">
        <v>3094.4</v>
      </c>
      <c r="AA53" s="78">
        <v>0</v>
      </c>
      <c r="AB53" s="399">
        <f>IF((J53-'[2]Basisgegevens aanvullend'!D53*1.1)&lt;=0,0,J53-'[2]Basisgegevens aanvullend'!D53*1.1)</f>
        <v>0</v>
      </c>
      <c r="AC53" s="399">
        <v>0</v>
      </c>
      <c r="AD53" s="78">
        <v>31215</v>
      </c>
      <c r="AE53" s="78">
        <v>31215</v>
      </c>
      <c r="AF53" s="78">
        <v>500</v>
      </c>
      <c r="AG53" s="78">
        <v>0</v>
      </c>
      <c r="AH53" s="78">
        <v>358</v>
      </c>
      <c r="AI53" s="78">
        <v>306</v>
      </c>
      <c r="AJ53" s="78">
        <v>358</v>
      </c>
      <c r="AK53" s="78">
        <v>306</v>
      </c>
      <c r="AL53" s="78">
        <v>664</v>
      </c>
      <c r="AM53" s="78">
        <v>26751</v>
      </c>
      <c r="AN53" s="78">
        <v>26751</v>
      </c>
      <c r="AO53" s="78">
        <v>0</v>
      </c>
      <c r="AP53" s="78">
        <v>0</v>
      </c>
      <c r="AQ53" s="78">
        <v>0</v>
      </c>
      <c r="AR53" s="78">
        <v>0</v>
      </c>
      <c r="AS53" s="78">
        <v>1013</v>
      </c>
      <c r="AT53" s="78">
        <v>0</v>
      </c>
      <c r="AU53" s="400">
        <v>1.019977E-3</v>
      </c>
      <c r="AV53" s="400">
        <v>5.1633199999999999E-4</v>
      </c>
      <c r="AW53" s="78">
        <v>15114.315000000001</v>
      </c>
      <c r="AX53" s="78">
        <v>0</v>
      </c>
      <c r="AY53" s="78">
        <v>5176</v>
      </c>
      <c r="AZ53" s="78">
        <v>10013.6790793</v>
      </c>
      <c r="BA53" s="78">
        <v>25</v>
      </c>
      <c r="BB53" s="78">
        <v>25</v>
      </c>
      <c r="BC53" s="78">
        <v>6253</v>
      </c>
      <c r="BD53" s="78">
        <v>1</v>
      </c>
      <c r="BE53" s="78">
        <v>0</v>
      </c>
      <c r="BF53" s="78">
        <v>0</v>
      </c>
      <c r="BG53" s="78">
        <v>0</v>
      </c>
      <c r="BH53" s="78">
        <v>0</v>
      </c>
      <c r="BI53" s="78">
        <v>0</v>
      </c>
      <c r="BJ53" s="78">
        <v>0</v>
      </c>
      <c r="BK53" s="78">
        <v>0</v>
      </c>
      <c r="BL53" s="78">
        <v>0</v>
      </c>
      <c r="BM53" s="78">
        <v>1062.3920000000001</v>
      </c>
      <c r="BN53" s="78">
        <v>312</v>
      </c>
      <c r="BO53" s="78">
        <v>206</v>
      </c>
      <c r="BP53" s="78">
        <v>14773.2</v>
      </c>
      <c r="BQ53" s="78">
        <v>3800.19</v>
      </c>
      <c r="BR53" s="78">
        <v>469.80843519000501</v>
      </c>
      <c r="BS53" s="78">
        <v>597</v>
      </c>
      <c r="BT53" s="78">
        <v>214</v>
      </c>
      <c r="BU53" s="78">
        <v>165.333333333333</v>
      </c>
      <c r="BV53" s="78">
        <f t="shared" si="4"/>
        <v>3207.0000000000032</v>
      </c>
      <c r="BW53" s="78">
        <v>1184</v>
      </c>
      <c r="BX53" s="78">
        <v>9672.7174260024894</v>
      </c>
      <c r="BY53" s="78">
        <v>1.825</v>
      </c>
      <c r="BZ53" s="78">
        <v>49642</v>
      </c>
      <c r="CA53" s="78">
        <v>6690</v>
      </c>
      <c r="CB53" s="78">
        <v>1303</v>
      </c>
      <c r="CC53" s="78">
        <v>1153</v>
      </c>
      <c r="CD53" s="78">
        <v>1175</v>
      </c>
      <c r="CE53" s="78">
        <v>620</v>
      </c>
      <c r="CF53" s="78">
        <v>690.42722141228398</v>
      </c>
      <c r="CG53" s="78">
        <v>430.70805203543802</v>
      </c>
      <c r="CH53" s="78">
        <v>154.12842510560401</v>
      </c>
      <c r="CI53" s="78">
        <v>2129.9715999999999</v>
      </c>
      <c r="CJ53" s="78">
        <v>1328.7366</v>
      </c>
      <c r="CK53" s="78">
        <v>475.48700000000002</v>
      </c>
      <c r="CL53" s="78">
        <v>103844</v>
      </c>
    </row>
    <row r="54" spans="1:90" x14ac:dyDescent="0.35">
      <c r="A54" s="72">
        <v>163</v>
      </c>
      <c r="B54" s="72" t="s">
        <v>142</v>
      </c>
      <c r="C54" s="72">
        <v>4</v>
      </c>
      <c r="D54" s="78">
        <v>3342800000</v>
      </c>
      <c r="E54" s="78">
        <v>424200000</v>
      </c>
      <c r="F54" s="78">
        <v>467950000</v>
      </c>
      <c r="G54" s="78">
        <v>35932</v>
      </c>
      <c r="H54" s="78">
        <v>2</v>
      </c>
      <c r="I54" s="78">
        <f t="shared" si="2"/>
        <v>467.95</v>
      </c>
      <c r="J54" s="78">
        <v>7106</v>
      </c>
      <c r="K54" s="78">
        <v>8123</v>
      </c>
      <c r="L54" s="78">
        <v>2585</v>
      </c>
      <c r="M54" s="78">
        <v>4433</v>
      </c>
      <c r="N54" s="78">
        <f t="shared" si="3"/>
        <v>2865.3</v>
      </c>
      <c r="O54" s="78">
        <v>395.66666666666703</v>
      </c>
      <c r="P54" s="78">
        <v>54</v>
      </c>
      <c r="Q54" s="78">
        <v>2147.6666666666702</v>
      </c>
      <c r="R54" s="78">
        <v>4158</v>
      </c>
      <c r="S54" s="78">
        <v>430</v>
      </c>
      <c r="T54" s="78">
        <v>0</v>
      </c>
      <c r="U54" s="78">
        <v>850</v>
      </c>
      <c r="V54" s="78">
        <v>15385</v>
      </c>
      <c r="W54" s="78">
        <v>36780</v>
      </c>
      <c r="X54" s="78">
        <v>35720</v>
      </c>
      <c r="Y54" s="78">
        <v>1095.52</v>
      </c>
      <c r="Z54" s="78">
        <v>1220</v>
      </c>
      <c r="AA54" s="78">
        <v>0</v>
      </c>
      <c r="AB54" s="399">
        <f>IF((J54-'[2]Basisgegevens aanvullend'!D54*1.1)&lt;=0,0,J54-'[2]Basisgegevens aanvullend'!D54*1.1)</f>
        <v>0</v>
      </c>
      <c r="AC54" s="399">
        <v>0</v>
      </c>
      <c r="AD54" s="78">
        <v>13791</v>
      </c>
      <c r="AE54" s="78">
        <v>13791</v>
      </c>
      <c r="AF54" s="78">
        <v>108</v>
      </c>
      <c r="AG54" s="78">
        <v>0</v>
      </c>
      <c r="AH54" s="78">
        <v>212</v>
      </c>
      <c r="AI54" s="78">
        <v>118</v>
      </c>
      <c r="AJ54" s="78">
        <v>212</v>
      </c>
      <c r="AK54" s="78">
        <v>118</v>
      </c>
      <c r="AL54" s="78">
        <v>330</v>
      </c>
      <c r="AM54" s="78">
        <v>15677</v>
      </c>
      <c r="AN54" s="78">
        <v>15677</v>
      </c>
      <c r="AO54" s="78">
        <v>0</v>
      </c>
      <c r="AP54" s="78">
        <v>0</v>
      </c>
      <c r="AQ54" s="78">
        <v>0</v>
      </c>
      <c r="AR54" s="78">
        <v>0</v>
      </c>
      <c r="AS54" s="78">
        <v>1341</v>
      </c>
      <c r="AT54" s="78">
        <v>0</v>
      </c>
      <c r="AU54" s="400">
        <v>6.3890099999999999E-4</v>
      </c>
      <c r="AV54" s="400">
        <v>2.7189E-4</v>
      </c>
      <c r="AW54" s="78">
        <v>12823.786</v>
      </c>
      <c r="AX54" s="78">
        <v>0</v>
      </c>
      <c r="AY54" s="78">
        <v>1650</v>
      </c>
      <c r="AZ54" s="78">
        <v>4265.6162313835503</v>
      </c>
      <c r="BA54" s="78">
        <v>9</v>
      </c>
      <c r="BB54" s="78">
        <v>9</v>
      </c>
      <c r="BC54" s="78">
        <v>3396</v>
      </c>
      <c r="BD54" s="78">
        <v>1</v>
      </c>
      <c r="BE54" s="78">
        <v>0</v>
      </c>
      <c r="BF54" s="78">
        <v>0</v>
      </c>
      <c r="BG54" s="78">
        <v>0</v>
      </c>
      <c r="BH54" s="78">
        <v>0</v>
      </c>
      <c r="BI54" s="78">
        <v>0</v>
      </c>
      <c r="BJ54" s="78">
        <v>0</v>
      </c>
      <c r="BK54" s="78">
        <v>0</v>
      </c>
      <c r="BL54" s="78">
        <v>0</v>
      </c>
      <c r="BM54" s="78">
        <v>596.904</v>
      </c>
      <c r="BN54" s="78">
        <v>117</v>
      </c>
      <c r="BO54" s="78">
        <v>33</v>
      </c>
      <c r="BP54" s="78">
        <v>9159.26</v>
      </c>
      <c r="BQ54" s="78">
        <v>2359.48</v>
      </c>
      <c r="BR54" s="78">
        <v>267.58523355847802</v>
      </c>
      <c r="BS54" s="78">
        <v>317</v>
      </c>
      <c r="BT54" s="78">
        <v>112.666666666667</v>
      </c>
      <c r="BU54" s="78">
        <v>92</v>
      </c>
      <c r="BV54" s="78">
        <f t="shared" si="4"/>
        <v>1752.0000000000032</v>
      </c>
      <c r="BW54" s="78">
        <v>512</v>
      </c>
      <c r="BX54" s="78">
        <v>6460.9569707094297</v>
      </c>
      <c r="BY54" s="78">
        <v>0.69099999999999995</v>
      </c>
      <c r="BZ54" s="78">
        <v>27809</v>
      </c>
      <c r="CA54" s="78">
        <v>4652</v>
      </c>
      <c r="CB54" s="78">
        <v>886</v>
      </c>
      <c r="CC54" s="78">
        <v>809</v>
      </c>
      <c r="CD54" s="78">
        <v>803</v>
      </c>
      <c r="CE54" s="78">
        <v>431</v>
      </c>
      <c r="CF54" s="78">
        <v>506.45827007718299</v>
      </c>
      <c r="CG54" s="78">
        <v>313.45215921413501</v>
      </c>
      <c r="CH54" s="78">
        <v>111.855814250175</v>
      </c>
      <c r="CI54" s="78">
        <v>1381.8977</v>
      </c>
      <c r="CJ54" s="78">
        <v>855.27049999999997</v>
      </c>
      <c r="CK54" s="78">
        <v>305.20440000000002</v>
      </c>
      <c r="CL54" s="78">
        <v>37469</v>
      </c>
    </row>
    <row r="55" spans="1:90" x14ac:dyDescent="0.35">
      <c r="A55" s="72">
        <v>164</v>
      </c>
      <c r="B55" s="72" t="s">
        <v>146</v>
      </c>
      <c r="C55" s="72">
        <v>4</v>
      </c>
      <c r="D55" s="78">
        <v>6812000000</v>
      </c>
      <c r="E55" s="78">
        <v>1340850000</v>
      </c>
      <c r="F55" s="78">
        <v>1390900000</v>
      </c>
      <c r="G55" s="78">
        <v>81049</v>
      </c>
      <c r="H55" s="78">
        <v>1</v>
      </c>
      <c r="I55" s="78">
        <f t="shared" si="2"/>
        <v>1390.9</v>
      </c>
      <c r="J55" s="78">
        <v>14810</v>
      </c>
      <c r="K55" s="78">
        <v>16530</v>
      </c>
      <c r="L55" s="78">
        <v>5309</v>
      </c>
      <c r="M55" s="78">
        <v>12992</v>
      </c>
      <c r="N55" s="78">
        <f t="shared" si="3"/>
        <v>9058.5</v>
      </c>
      <c r="O55" s="78">
        <v>2159.6666666666702</v>
      </c>
      <c r="P55" s="78">
        <v>162</v>
      </c>
      <c r="Q55" s="78">
        <v>7084.6666666666697</v>
      </c>
      <c r="R55" s="78">
        <v>15198</v>
      </c>
      <c r="S55" s="78">
        <v>6795</v>
      </c>
      <c r="T55" s="78">
        <v>0</v>
      </c>
      <c r="U55" s="78">
        <v>2787</v>
      </c>
      <c r="V55" s="78">
        <v>39261</v>
      </c>
      <c r="W55" s="78">
        <v>89300</v>
      </c>
      <c r="X55" s="78">
        <v>115910</v>
      </c>
      <c r="Y55" s="78">
        <v>3626.8</v>
      </c>
      <c r="Z55" s="78">
        <v>4730.3999999999996</v>
      </c>
      <c r="AA55" s="78">
        <v>0</v>
      </c>
      <c r="AB55" s="399">
        <f>IF((J55-'[2]Basisgegevens aanvullend'!D55*1.1)&lt;=0,0,J55-'[2]Basisgegevens aanvullend'!D55*1.1)</f>
        <v>0</v>
      </c>
      <c r="AC55" s="399">
        <v>0</v>
      </c>
      <c r="AD55" s="78">
        <v>6081</v>
      </c>
      <c r="AE55" s="78">
        <v>6081</v>
      </c>
      <c r="AF55" s="78">
        <v>102</v>
      </c>
      <c r="AG55" s="78">
        <v>0</v>
      </c>
      <c r="AH55" s="78">
        <v>467</v>
      </c>
      <c r="AI55" s="78">
        <v>60</v>
      </c>
      <c r="AJ55" s="78">
        <v>467</v>
      </c>
      <c r="AK55" s="78">
        <v>60</v>
      </c>
      <c r="AL55" s="78">
        <v>527</v>
      </c>
      <c r="AM55" s="78">
        <v>39335</v>
      </c>
      <c r="AN55" s="78">
        <v>39335</v>
      </c>
      <c r="AO55" s="78">
        <v>0</v>
      </c>
      <c r="AP55" s="78">
        <v>0</v>
      </c>
      <c r="AQ55" s="78">
        <v>0</v>
      </c>
      <c r="AR55" s="78">
        <v>0</v>
      </c>
      <c r="AS55" s="78">
        <v>6759</v>
      </c>
      <c r="AT55" s="78">
        <v>0</v>
      </c>
      <c r="AU55" s="400">
        <v>4.4883340000000001E-3</v>
      </c>
      <c r="AV55" s="400">
        <v>7.1095209999999997E-3</v>
      </c>
      <c r="AW55" s="78">
        <v>72573.074999999997</v>
      </c>
      <c r="AX55" s="78">
        <v>0</v>
      </c>
      <c r="AY55" s="78">
        <v>1020</v>
      </c>
      <c r="AZ55" s="78">
        <v>13370.5288694808</v>
      </c>
      <c r="BA55" s="78">
        <v>3</v>
      </c>
      <c r="BB55" s="78">
        <v>3</v>
      </c>
      <c r="BC55" s="78">
        <v>8610</v>
      </c>
      <c r="BD55" s="78">
        <v>1</v>
      </c>
      <c r="BE55" s="78">
        <v>0</v>
      </c>
      <c r="BF55" s="78">
        <v>0</v>
      </c>
      <c r="BG55" s="78">
        <v>0</v>
      </c>
      <c r="BH55" s="78">
        <v>0</v>
      </c>
      <c r="BI55" s="78">
        <v>0</v>
      </c>
      <c r="BJ55" s="78">
        <v>0</v>
      </c>
      <c r="BK55" s="78">
        <v>0</v>
      </c>
      <c r="BL55" s="78">
        <v>0</v>
      </c>
      <c r="BM55" s="78">
        <v>2073.4</v>
      </c>
      <c r="BN55" s="78">
        <v>225</v>
      </c>
      <c r="BO55" s="78">
        <v>208</v>
      </c>
      <c r="BP55" s="78">
        <v>22932.6</v>
      </c>
      <c r="BQ55" s="78">
        <v>4813.6499999999996</v>
      </c>
      <c r="BR55" s="78">
        <v>511.56467292026701</v>
      </c>
      <c r="BS55" s="78">
        <v>984</v>
      </c>
      <c r="BT55" s="78">
        <v>529</v>
      </c>
      <c r="BU55" s="78">
        <v>434.66666666666703</v>
      </c>
      <c r="BV55" s="78">
        <f t="shared" si="4"/>
        <v>4925</v>
      </c>
      <c r="BW55" s="78">
        <v>1704</v>
      </c>
      <c r="BX55" s="78">
        <v>12597.0563076165</v>
      </c>
      <c r="BY55" s="78">
        <v>6.2249999999999996</v>
      </c>
      <c r="BZ55" s="78">
        <v>64519</v>
      </c>
      <c r="CA55" s="78">
        <v>9221</v>
      </c>
      <c r="CB55" s="78">
        <v>2000</v>
      </c>
      <c r="CC55" s="78">
        <v>2220</v>
      </c>
      <c r="CD55" s="78">
        <v>1906</v>
      </c>
      <c r="CE55" s="78">
        <v>1055</v>
      </c>
      <c r="CF55" s="78">
        <v>1359.6385915850999</v>
      </c>
      <c r="CG55" s="78">
        <v>855.99197915342597</v>
      </c>
      <c r="CH55" s="78">
        <v>338.29761027075102</v>
      </c>
      <c r="CI55" s="78">
        <v>3074.8031999999998</v>
      </c>
      <c r="CJ55" s="78">
        <v>1935.8136</v>
      </c>
      <c r="CK55" s="78">
        <v>765.05520000000001</v>
      </c>
      <c r="CL55" s="78">
        <v>41789</v>
      </c>
    </row>
    <row r="56" spans="1:90" x14ac:dyDescent="0.35">
      <c r="A56" s="72">
        <v>1735</v>
      </c>
      <c r="B56" s="72" t="s">
        <v>154</v>
      </c>
      <c r="C56" s="72">
        <v>4</v>
      </c>
      <c r="D56" s="78">
        <v>2984000000</v>
      </c>
      <c r="E56" s="78">
        <v>583800000</v>
      </c>
      <c r="F56" s="78">
        <v>584500000</v>
      </c>
      <c r="G56" s="78">
        <v>35040</v>
      </c>
      <c r="H56" s="78">
        <v>5</v>
      </c>
      <c r="I56" s="78">
        <f t="shared" si="2"/>
        <v>584.5</v>
      </c>
      <c r="J56" s="78">
        <v>6298</v>
      </c>
      <c r="K56" s="78">
        <v>8946</v>
      </c>
      <c r="L56" s="78">
        <v>3129</v>
      </c>
      <c r="M56" s="78">
        <v>4153</v>
      </c>
      <c r="N56" s="78">
        <f t="shared" si="3"/>
        <v>2567.1999999999998</v>
      </c>
      <c r="O56" s="78">
        <v>413.33333333333297</v>
      </c>
      <c r="P56" s="78">
        <v>48</v>
      </c>
      <c r="Q56" s="78">
        <v>1904.3333333333301</v>
      </c>
      <c r="R56" s="78">
        <v>4635</v>
      </c>
      <c r="S56" s="78">
        <v>685</v>
      </c>
      <c r="T56" s="78">
        <v>0</v>
      </c>
      <c r="U56" s="78">
        <v>790</v>
      </c>
      <c r="V56" s="78">
        <v>15475</v>
      </c>
      <c r="W56" s="78">
        <v>30230</v>
      </c>
      <c r="X56" s="78">
        <v>13210</v>
      </c>
      <c r="Y56" s="78">
        <v>0</v>
      </c>
      <c r="Z56" s="78">
        <v>436.8</v>
      </c>
      <c r="AA56" s="78">
        <v>0</v>
      </c>
      <c r="AB56" s="399">
        <f>IF((J56-'[2]Basisgegevens aanvullend'!D56*1.1)&lt;=0,0,J56-'[2]Basisgegevens aanvullend'!D56*1.1)</f>
        <v>0</v>
      </c>
      <c r="AC56" s="399">
        <v>0</v>
      </c>
      <c r="AD56" s="78">
        <v>21233</v>
      </c>
      <c r="AE56" s="78">
        <v>21233</v>
      </c>
      <c r="AF56" s="78">
        <v>308</v>
      </c>
      <c r="AG56" s="78">
        <v>0</v>
      </c>
      <c r="AH56" s="78">
        <v>209</v>
      </c>
      <c r="AI56" s="78">
        <v>235</v>
      </c>
      <c r="AJ56" s="78">
        <v>209</v>
      </c>
      <c r="AK56" s="78">
        <v>235</v>
      </c>
      <c r="AL56" s="78">
        <v>444</v>
      </c>
      <c r="AM56" s="78">
        <v>15858</v>
      </c>
      <c r="AN56" s="78">
        <v>15858</v>
      </c>
      <c r="AO56" s="78">
        <v>17</v>
      </c>
      <c r="AP56" s="78">
        <v>0</v>
      </c>
      <c r="AQ56" s="78">
        <v>0</v>
      </c>
      <c r="AR56" s="78">
        <v>0</v>
      </c>
      <c r="AS56" s="78">
        <v>1469</v>
      </c>
      <c r="AT56" s="78">
        <v>1469</v>
      </c>
      <c r="AU56" s="400">
        <v>7.7573300000000002E-4</v>
      </c>
      <c r="AV56" s="400">
        <v>3.3383000000000002E-4</v>
      </c>
      <c r="AW56" s="78">
        <v>9641.6640000000007</v>
      </c>
      <c r="AX56" s="78">
        <v>0</v>
      </c>
      <c r="AY56" s="78">
        <v>2671</v>
      </c>
      <c r="AZ56" s="78">
        <v>4344.8233601039901</v>
      </c>
      <c r="BA56" s="78">
        <v>9</v>
      </c>
      <c r="BB56" s="78">
        <v>9</v>
      </c>
      <c r="BC56" s="78">
        <v>4478</v>
      </c>
      <c r="BD56" s="78">
        <v>1</v>
      </c>
      <c r="BE56" s="78">
        <v>0</v>
      </c>
      <c r="BF56" s="78">
        <v>0</v>
      </c>
      <c r="BG56" s="78">
        <v>0</v>
      </c>
      <c r="BH56" s="78">
        <v>0</v>
      </c>
      <c r="BI56" s="78">
        <v>0</v>
      </c>
      <c r="BJ56" s="78">
        <v>0</v>
      </c>
      <c r="BK56" s="78">
        <v>0</v>
      </c>
      <c r="BL56" s="78">
        <v>0</v>
      </c>
      <c r="BM56" s="78">
        <v>440.86</v>
      </c>
      <c r="BN56" s="78">
        <v>86</v>
      </c>
      <c r="BO56" s="78">
        <v>59</v>
      </c>
      <c r="BP56" s="78">
        <v>10501.4</v>
      </c>
      <c r="BQ56" s="78">
        <v>2324.2399999999998</v>
      </c>
      <c r="BR56" s="78">
        <v>171.30344027433799</v>
      </c>
      <c r="BS56" s="78">
        <v>270</v>
      </c>
      <c r="BT56" s="78">
        <v>111.333333333333</v>
      </c>
      <c r="BU56" s="78">
        <v>78.3333333333333</v>
      </c>
      <c r="BV56" s="78">
        <f t="shared" si="4"/>
        <v>1490.999999999997</v>
      </c>
      <c r="BW56" s="78">
        <v>405</v>
      </c>
      <c r="BX56" s="78">
        <v>6346.12555044693</v>
      </c>
      <c r="BY56" s="78">
        <v>0.60299999999999998</v>
      </c>
      <c r="BZ56" s="78">
        <v>26094</v>
      </c>
      <c r="CA56" s="78">
        <v>4690</v>
      </c>
      <c r="CB56" s="78">
        <v>1127</v>
      </c>
      <c r="CC56" s="78">
        <v>829</v>
      </c>
      <c r="CD56" s="78">
        <v>984</v>
      </c>
      <c r="CE56" s="78">
        <v>567</v>
      </c>
      <c r="CF56" s="78">
        <v>453.93043258922899</v>
      </c>
      <c r="CG56" s="78">
        <v>340.124050952201</v>
      </c>
      <c r="CH56" s="78">
        <v>127.242981460462</v>
      </c>
      <c r="CI56" s="78">
        <v>1194.7844</v>
      </c>
      <c r="CJ56" s="78">
        <v>895.23609999999996</v>
      </c>
      <c r="CK56" s="78">
        <v>334.91460000000001</v>
      </c>
      <c r="CL56" s="78">
        <v>31752</v>
      </c>
    </row>
    <row r="57" spans="1:90" x14ac:dyDescent="0.35">
      <c r="A57" s="72">
        <v>166</v>
      </c>
      <c r="B57" s="72" t="s">
        <v>164</v>
      </c>
      <c r="C57" s="72">
        <v>4</v>
      </c>
      <c r="D57" s="78">
        <v>4438400000</v>
      </c>
      <c r="E57" s="78">
        <v>739900000</v>
      </c>
      <c r="F57" s="78">
        <v>812350000</v>
      </c>
      <c r="G57" s="78">
        <v>54474</v>
      </c>
      <c r="H57" s="78">
        <v>1</v>
      </c>
      <c r="I57" s="78">
        <f t="shared" si="2"/>
        <v>812.35</v>
      </c>
      <c r="J57" s="78">
        <v>12588</v>
      </c>
      <c r="K57" s="78">
        <v>9442</v>
      </c>
      <c r="L57" s="78">
        <v>3069</v>
      </c>
      <c r="M57" s="78">
        <v>6871</v>
      </c>
      <c r="N57" s="78">
        <f t="shared" si="3"/>
        <v>4573.1000000000004</v>
      </c>
      <c r="O57" s="78">
        <v>831.33333333333303</v>
      </c>
      <c r="P57" s="78">
        <v>94</v>
      </c>
      <c r="Q57" s="78">
        <v>3553.3333333333298</v>
      </c>
      <c r="R57" s="78">
        <v>7136</v>
      </c>
      <c r="S57" s="78">
        <v>1695</v>
      </c>
      <c r="T57" s="78">
        <v>0</v>
      </c>
      <c r="U57" s="78">
        <v>1412</v>
      </c>
      <c r="V57" s="78">
        <v>23128</v>
      </c>
      <c r="W57" s="78">
        <v>56630</v>
      </c>
      <c r="X57" s="78">
        <v>64700</v>
      </c>
      <c r="Y57" s="78">
        <v>1423.28</v>
      </c>
      <c r="Z57" s="78">
        <v>3222.4</v>
      </c>
      <c r="AA57" s="78">
        <v>0</v>
      </c>
      <c r="AB57" s="399">
        <f>IF((J57-'[2]Basisgegevens aanvullend'!D57*1.1)&lt;=0,0,J57-'[2]Basisgegevens aanvullend'!D57*1.1)</f>
        <v>0</v>
      </c>
      <c r="AC57" s="399">
        <v>0</v>
      </c>
      <c r="AD57" s="78">
        <v>14051</v>
      </c>
      <c r="AE57" s="78">
        <v>14051</v>
      </c>
      <c r="AF57" s="78">
        <v>2128</v>
      </c>
      <c r="AG57" s="78">
        <v>0</v>
      </c>
      <c r="AH57" s="78">
        <v>271</v>
      </c>
      <c r="AI57" s="78">
        <v>112</v>
      </c>
      <c r="AJ57" s="78">
        <v>276.42</v>
      </c>
      <c r="AK57" s="78">
        <v>112</v>
      </c>
      <c r="AL57" s="78">
        <v>383</v>
      </c>
      <c r="AM57" s="78">
        <v>22979</v>
      </c>
      <c r="AN57" s="78">
        <v>23438.58</v>
      </c>
      <c r="AO57" s="78">
        <v>36</v>
      </c>
      <c r="AP57" s="78">
        <v>0</v>
      </c>
      <c r="AQ57" s="78">
        <v>0</v>
      </c>
      <c r="AR57" s="78">
        <v>5700</v>
      </c>
      <c r="AS57" s="78">
        <v>4545</v>
      </c>
      <c r="AT57" s="78">
        <v>3052</v>
      </c>
      <c r="AU57" s="400">
        <v>2.5566830000000001E-3</v>
      </c>
      <c r="AV57" s="400">
        <v>2.1632019999999999E-3</v>
      </c>
      <c r="AW57" s="78">
        <v>33917.004000000001</v>
      </c>
      <c r="AX57" s="78">
        <v>0</v>
      </c>
      <c r="AY57" s="78">
        <v>5768</v>
      </c>
      <c r="AZ57" s="78">
        <v>19804.442054515101</v>
      </c>
      <c r="BA57" s="78">
        <v>10</v>
      </c>
      <c r="BB57" s="78">
        <v>10</v>
      </c>
      <c r="BC57" s="78">
        <v>5481</v>
      </c>
      <c r="BD57" s="78">
        <v>1</v>
      </c>
      <c r="BE57" s="78">
        <v>0</v>
      </c>
      <c r="BF57" s="78">
        <v>0</v>
      </c>
      <c r="BG57" s="78">
        <v>0</v>
      </c>
      <c r="BH57" s="78">
        <v>0</v>
      </c>
      <c r="BI57" s="78">
        <v>0</v>
      </c>
      <c r="BJ57" s="78">
        <v>0</v>
      </c>
      <c r="BK57" s="78">
        <v>0</v>
      </c>
      <c r="BL57" s="78">
        <v>0</v>
      </c>
      <c r="BM57" s="78">
        <v>1082.568</v>
      </c>
      <c r="BN57" s="78">
        <v>222</v>
      </c>
      <c r="BO57" s="78">
        <v>92</v>
      </c>
      <c r="BP57" s="78">
        <v>12962.42</v>
      </c>
      <c r="BQ57" s="78">
        <v>3597.44</v>
      </c>
      <c r="BR57" s="78">
        <v>522.12739267015695</v>
      </c>
      <c r="BS57" s="78">
        <v>560</v>
      </c>
      <c r="BT57" s="78">
        <v>219.666666666667</v>
      </c>
      <c r="BU57" s="78">
        <v>190</v>
      </c>
      <c r="BV57" s="78">
        <f t="shared" si="4"/>
        <v>2721.9999999999968</v>
      </c>
      <c r="BW57" s="78">
        <v>1030</v>
      </c>
      <c r="BX57" s="78">
        <v>7281.4385625655896</v>
      </c>
      <c r="BY57" s="78">
        <v>1.7649999999999999</v>
      </c>
      <c r="BZ57" s="78">
        <v>45032</v>
      </c>
      <c r="CA57" s="78">
        <v>5346</v>
      </c>
      <c r="CB57" s="78">
        <v>1027</v>
      </c>
      <c r="CC57" s="78">
        <v>1072</v>
      </c>
      <c r="CD57" s="78">
        <v>995</v>
      </c>
      <c r="CE57" s="78">
        <v>498</v>
      </c>
      <c r="CF57" s="78">
        <v>654.74994560250695</v>
      </c>
      <c r="CG57" s="78">
        <v>418.12450933461002</v>
      </c>
      <c r="CH57" s="78">
        <v>140.50257191348601</v>
      </c>
      <c r="CI57" s="78">
        <v>1773.9680000000001</v>
      </c>
      <c r="CJ57" s="78">
        <v>1132.8592000000001</v>
      </c>
      <c r="CK57" s="78">
        <v>380.67520000000002</v>
      </c>
      <c r="CL57" s="78">
        <v>67719</v>
      </c>
    </row>
    <row r="58" spans="1:90" x14ac:dyDescent="0.35">
      <c r="A58" s="72">
        <v>168</v>
      </c>
      <c r="B58" s="72" t="s">
        <v>191</v>
      </c>
      <c r="C58" s="72">
        <v>4</v>
      </c>
      <c r="D58" s="78">
        <v>2017200000</v>
      </c>
      <c r="E58" s="78">
        <v>242200000</v>
      </c>
      <c r="F58" s="78">
        <v>273000000</v>
      </c>
      <c r="G58" s="78">
        <v>22888</v>
      </c>
      <c r="H58" s="78">
        <v>3</v>
      </c>
      <c r="I58" s="78">
        <f t="shared" si="2"/>
        <v>273</v>
      </c>
      <c r="J58" s="78">
        <v>4229</v>
      </c>
      <c r="K58" s="78">
        <v>5510</v>
      </c>
      <c r="L58" s="78">
        <v>1804</v>
      </c>
      <c r="M58" s="78">
        <v>2904</v>
      </c>
      <c r="N58" s="78">
        <f t="shared" si="3"/>
        <v>1881.9</v>
      </c>
      <c r="O58" s="78">
        <v>293.66666666666703</v>
      </c>
      <c r="P58" s="78">
        <v>55</v>
      </c>
      <c r="Q58" s="78">
        <v>1811.6666666666699</v>
      </c>
      <c r="R58" s="78">
        <v>2607</v>
      </c>
      <c r="S58" s="78">
        <v>470</v>
      </c>
      <c r="T58" s="78">
        <v>0</v>
      </c>
      <c r="U58" s="78">
        <v>607</v>
      </c>
      <c r="V58" s="78">
        <v>10004</v>
      </c>
      <c r="W58" s="78">
        <v>18530</v>
      </c>
      <c r="X58" s="78">
        <v>6960</v>
      </c>
      <c r="Y58" s="78">
        <v>69.2</v>
      </c>
      <c r="Z58" s="78">
        <v>423.2</v>
      </c>
      <c r="AA58" s="78">
        <v>0</v>
      </c>
      <c r="AB58" s="399">
        <f>IF((J58-'[2]Basisgegevens aanvullend'!D58*1.1)&lt;=0,0,J58-'[2]Basisgegevens aanvullend'!D58*1.1)</f>
        <v>0</v>
      </c>
      <c r="AC58" s="399">
        <v>0</v>
      </c>
      <c r="AD58" s="78">
        <v>9874</v>
      </c>
      <c r="AE58" s="78">
        <v>9874</v>
      </c>
      <c r="AF58" s="78">
        <v>88</v>
      </c>
      <c r="AG58" s="78">
        <v>0</v>
      </c>
      <c r="AH58" s="78">
        <v>121</v>
      </c>
      <c r="AI58" s="78">
        <v>71</v>
      </c>
      <c r="AJ58" s="78">
        <v>121</v>
      </c>
      <c r="AK58" s="78">
        <v>71</v>
      </c>
      <c r="AL58" s="78">
        <v>192</v>
      </c>
      <c r="AM58" s="78">
        <v>10221</v>
      </c>
      <c r="AN58" s="78">
        <v>10221</v>
      </c>
      <c r="AO58" s="78">
        <v>0</v>
      </c>
      <c r="AP58" s="78">
        <v>0</v>
      </c>
      <c r="AQ58" s="78">
        <v>0</v>
      </c>
      <c r="AR58" s="78">
        <v>0</v>
      </c>
      <c r="AS58" s="78">
        <v>0</v>
      </c>
      <c r="AT58" s="78">
        <v>0</v>
      </c>
      <c r="AU58" s="400">
        <v>3.5065999999999998E-4</v>
      </c>
      <c r="AV58" s="400">
        <v>2.22866E-4</v>
      </c>
      <c r="AW58" s="78">
        <v>7635.0870000000004</v>
      </c>
      <c r="AX58" s="78">
        <v>0</v>
      </c>
      <c r="AY58" s="78">
        <v>1454</v>
      </c>
      <c r="AZ58" s="78">
        <v>3340.6095161614098</v>
      </c>
      <c r="BA58" s="78">
        <v>7</v>
      </c>
      <c r="BB58" s="78">
        <v>7</v>
      </c>
      <c r="BC58" s="78">
        <v>2182</v>
      </c>
      <c r="BD58" s="78">
        <v>1</v>
      </c>
      <c r="BE58" s="78">
        <v>0</v>
      </c>
      <c r="BF58" s="78">
        <v>0</v>
      </c>
      <c r="BG58" s="78">
        <v>0</v>
      </c>
      <c r="BH58" s="78">
        <v>0</v>
      </c>
      <c r="BI58" s="78">
        <v>0</v>
      </c>
      <c r="BJ58" s="78">
        <v>0</v>
      </c>
      <c r="BK58" s="78">
        <v>0</v>
      </c>
      <c r="BL58" s="78">
        <v>0</v>
      </c>
      <c r="BM58" s="78">
        <v>431.358</v>
      </c>
      <c r="BN58" s="78">
        <v>86</v>
      </c>
      <c r="BO58" s="78">
        <v>19</v>
      </c>
      <c r="BP58" s="78">
        <v>5784.02</v>
      </c>
      <c r="BQ58" s="78">
        <v>1402.2</v>
      </c>
      <c r="BR58" s="78">
        <v>69.566929102344204</v>
      </c>
      <c r="BS58" s="78">
        <v>248</v>
      </c>
      <c r="BT58" s="78">
        <v>97.6666666666667</v>
      </c>
      <c r="BU58" s="78">
        <v>87</v>
      </c>
      <c r="BV58" s="78">
        <f t="shared" si="4"/>
        <v>1518.000000000003</v>
      </c>
      <c r="BW58" s="78">
        <v>565</v>
      </c>
      <c r="BX58" s="78">
        <v>4217.8175514702598</v>
      </c>
      <c r="BY58" s="78">
        <v>0.44900000000000001</v>
      </c>
      <c r="BZ58" s="78">
        <v>17378</v>
      </c>
      <c r="CA58" s="78">
        <v>3212</v>
      </c>
      <c r="CB58" s="78">
        <v>494</v>
      </c>
      <c r="CC58" s="78">
        <v>525</v>
      </c>
      <c r="CD58" s="78">
        <v>527</v>
      </c>
      <c r="CE58" s="78">
        <v>254</v>
      </c>
      <c r="CF58" s="78">
        <v>352.40745523921299</v>
      </c>
      <c r="CG58" s="78">
        <v>221.313354857646</v>
      </c>
      <c r="CH58" s="78">
        <v>66.651775755796905</v>
      </c>
      <c r="CI58" s="78">
        <v>971.35500000000002</v>
      </c>
      <c r="CJ58" s="78">
        <v>610.01499999999999</v>
      </c>
      <c r="CK58" s="78">
        <v>183.715</v>
      </c>
      <c r="CL58" s="78">
        <v>111519</v>
      </c>
    </row>
    <row r="59" spans="1:90" x14ac:dyDescent="0.35">
      <c r="A59" s="72">
        <v>173</v>
      </c>
      <c r="B59" s="72" t="s">
        <v>229</v>
      </c>
      <c r="C59" s="72">
        <v>4</v>
      </c>
      <c r="D59" s="78">
        <v>2935600000</v>
      </c>
      <c r="E59" s="78">
        <v>522200000</v>
      </c>
      <c r="F59" s="78">
        <v>533400000</v>
      </c>
      <c r="G59" s="78">
        <v>31701</v>
      </c>
      <c r="H59" s="78">
        <v>1</v>
      </c>
      <c r="I59" s="78">
        <f t="shared" si="2"/>
        <v>533.4</v>
      </c>
      <c r="J59" s="78">
        <v>6119</v>
      </c>
      <c r="K59" s="78">
        <v>7551</v>
      </c>
      <c r="L59" s="78">
        <v>2479</v>
      </c>
      <c r="M59" s="78">
        <v>4492</v>
      </c>
      <c r="N59" s="78">
        <f t="shared" si="3"/>
        <v>3019.6</v>
      </c>
      <c r="O59" s="78">
        <v>514</v>
      </c>
      <c r="P59" s="78">
        <v>53</v>
      </c>
      <c r="Q59" s="78">
        <v>2310</v>
      </c>
      <c r="R59" s="78">
        <v>4834</v>
      </c>
      <c r="S59" s="78">
        <v>1590</v>
      </c>
      <c r="T59" s="78">
        <v>0</v>
      </c>
      <c r="U59" s="78">
        <v>948</v>
      </c>
      <c r="V59" s="78">
        <v>14496</v>
      </c>
      <c r="W59" s="78">
        <v>33130</v>
      </c>
      <c r="X59" s="78">
        <v>29860</v>
      </c>
      <c r="Y59" s="78">
        <v>835.56</v>
      </c>
      <c r="Z59" s="78">
        <v>3003.2</v>
      </c>
      <c r="AA59" s="78">
        <v>0</v>
      </c>
      <c r="AB59" s="399">
        <f>IF((J59-'[2]Basisgegevens aanvullend'!D59*1.1)&lt;=0,0,J59-'[2]Basisgegevens aanvullend'!D59*1.1)</f>
        <v>0</v>
      </c>
      <c r="AC59" s="399">
        <v>0</v>
      </c>
      <c r="AD59" s="78">
        <v>2155</v>
      </c>
      <c r="AE59" s="78">
        <v>2155</v>
      </c>
      <c r="AF59" s="78">
        <v>40</v>
      </c>
      <c r="AG59" s="78">
        <v>0</v>
      </c>
      <c r="AH59" s="78">
        <v>215</v>
      </c>
      <c r="AI59" s="78">
        <v>20</v>
      </c>
      <c r="AJ59" s="78">
        <v>215</v>
      </c>
      <c r="AK59" s="78">
        <v>20</v>
      </c>
      <c r="AL59" s="78">
        <v>235</v>
      </c>
      <c r="AM59" s="78">
        <v>14724</v>
      </c>
      <c r="AN59" s="78">
        <v>14724</v>
      </c>
      <c r="AO59" s="78">
        <v>8</v>
      </c>
      <c r="AP59" s="78">
        <v>0</v>
      </c>
      <c r="AQ59" s="78">
        <v>0</v>
      </c>
      <c r="AR59" s="78">
        <v>0</v>
      </c>
      <c r="AS59" s="78">
        <v>2091</v>
      </c>
      <c r="AT59" s="78">
        <v>2091</v>
      </c>
      <c r="AU59" s="400">
        <v>6.3914199999999999E-4</v>
      </c>
      <c r="AV59" s="400">
        <v>7.6082799999999996E-4</v>
      </c>
      <c r="AW59" s="78">
        <v>21703.175999999999</v>
      </c>
      <c r="AX59" s="78">
        <v>0</v>
      </c>
      <c r="AY59" s="78">
        <v>324</v>
      </c>
      <c r="AZ59" s="78">
        <v>4679.3275626423701</v>
      </c>
      <c r="BA59" s="78">
        <v>3</v>
      </c>
      <c r="BB59" s="78">
        <v>3</v>
      </c>
      <c r="BC59" s="78">
        <v>3341</v>
      </c>
      <c r="BD59" s="78">
        <v>1</v>
      </c>
      <c r="BE59" s="78">
        <v>0</v>
      </c>
      <c r="BF59" s="78">
        <v>0</v>
      </c>
      <c r="BG59" s="78">
        <v>0</v>
      </c>
      <c r="BH59" s="78">
        <v>0</v>
      </c>
      <c r="BI59" s="78">
        <v>0</v>
      </c>
      <c r="BJ59" s="78">
        <v>0</v>
      </c>
      <c r="BK59" s="78">
        <v>0</v>
      </c>
      <c r="BL59" s="78">
        <v>0</v>
      </c>
      <c r="BM59" s="78">
        <v>642.495</v>
      </c>
      <c r="BN59" s="78">
        <v>102</v>
      </c>
      <c r="BO59" s="78">
        <v>79</v>
      </c>
      <c r="BP59" s="78">
        <v>9013.1200000000008</v>
      </c>
      <c r="BQ59" s="78">
        <v>2171</v>
      </c>
      <c r="BR59" s="78">
        <v>152.14309664209699</v>
      </c>
      <c r="BS59" s="78">
        <v>378</v>
      </c>
      <c r="BT59" s="78">
        <v>145</v>
      </c>
      <c r="BU59" s="78">
        <v>115.333333333333</v>
      </c>
      <c r="BV59" s="78">
        <f t="shared" si="4"/>
        <v>1796</v>
      </c>
      <c r="BW59" s="78">
        <v>518</v>
      </c>
      <c r="BX59" s="78">
        <v>5558.0109837919299</v>
      </c>
      <c r="BY59" s="78">
        <v>1.119</v>
      </c>
      <c r="BZ59" s="78">
        <v>24150</v>
      </c>
      <c r="CA59" s="78">
        <v>4229</v>
      </c>
      <c r="CB59" s="78">
        <v>843</v>
      </c>
      <c r="CC59" s="78">
        <v>892</v>
      </c>
      <c r="CD59" s="78">
        <v>800</v>
      </c>
      <c r="CE59" s="78">
        <v>450</v>
      </c>
      <c r="CF59" s="78">
        <v>537.30997011681598</v>
      </c>
      <c r="CG59" s="78">
        <v>348.02099972833503</v>
      </c>
      <c r="CH59" s="78">
        <v>124.48364574843799</v>
      </c>
      <c r="CI59" s="78">
        <v>1251.05</v>
      </c>
      <c r="CJ59" s="78">
        <v>810.3175</v>
      </c>
      <c r="CK59" s="78">
        <v>289.84249999999997</v>
      </c>
      <c r="CL59" s="78">
        <v>40377</v>
      </c>
    </row>
    <row r="60" spans="1:90" x14ac:dyDescent="0.35">
      <c r="A60" s="72">
        <v>1773</v>
      </c>
      <c r="B60" s="72" t="s">
        <v>230</v>
      </c>
      <c r="C60" s="72">
        <v>4</v>
      </c>
      <c r="D60" s="78">
        <v>1727600000</v>
      </c>
      <c r="E60" s="78">
        <v>167650000</v>
      </c>
      <c r="F60" s="78">
        <v>208950000</v>
      </c>
      <c r="G60" s="78">
        <v>18361</v>
      </c>
      <c r="H60" s="78">
        <v>2</v>
      </c>
      <c r="I60" s="78">
        <f t="shared" si="2"/>
        <v>208.95</v>
      </c>
      <c r="J60" s="78">
        <v>3429</v>
      </c>
      <c r="K60" s="78">
        <v>4056</v>
      </c>
      <c r="L60" s="78">
        <v>1219</v>
      </c>
      <c r="M60" s="78">
        <v>2116</v>
      </c>
      <c r="N60" s="78">
        <f t="shared" si="3"/>
        <v>1311.5</v>
      </c>
      <c r="O60" s="78">
        <v>196</v>
      </c>
      <c r="P60" s="78">
        <v>9</v>
      </c>
      <c r="Q60" s="78">
        <v>1179</v>
      </c>
      <c r="R60" s="78">
        <v>2146</v>
      </c>
      <c r="S60" s="78">
        <v>395</v>
      </c>
      <c r="T60" s="78">
        <v>0</v>
      </c>
      <c r="U60" s="78">
        <v>436</v>
      </c>
      <c r="V60" s="78">
        <v>8037</v>
      </c>
      <c r="W60" s="78">
        <v>15420</v>
      </c>
      <c r="X60" s="78">
        <v>4000</v>
      </c>
      <c r="Y60" s="78">
        <v>0</v>
      </c>
      <c r="Z60" s="78">
        <v>272</v>
      </c>
      <c r="AA60" s="78">
        <v>0</v>
      </c>
      <c r="AB60" s="399">
        <f>IF((J60-'[2]Basisgegevens aanvullend'!D60*1.1)&lt;=0,0,J60-'[2]Basisgegevens aanvullend'!D60*1.1)</f>
        <v>0</v>
      </c>
      <c r="AC60" s="399">
        <v>0</v>
      </c>
      <c r="AD60" s="78">
        <v>11366</v>
      </c>
      <c r="AE60" s="78">
        <v>11366</v>
      </c>
      <c r="AF60" s="78">
        <v>470</v>
      </c>
      <c r="AG60" s="78">
        <v>0</v>
      </c>
      <c r="AH60" s="78">
        <v>84</v>
      </c>
      <c r="AI60" s="78">
        <v>95</v>
      </c>
      <c r="AJ60" s="78">
        <v>84</v>
      </c>
      <c r="AK60" s="78">
        <v>95</v>
      </c>
      <c r="AL60" s="78">
        <v>179</v>
      </c>
      <c r="AM60" s="78">
        <v>8045</v>
      </c>
      <c r="AN60" s="78">
        <v>8045</v>
      </c>
      <c r="AO60" s="78">
        <v>0</v>
      </c>
      <c r="AP60" s="78">
        <v>0</v>
      </c>
      <c r="AQ60" s="78">
        <v>0</v>
      </c>
      <c r="AR60" s="78">
        <v>0</v>
      </c>
      <c r="AS60" s="78">
        <v>526</v>
      </c>
      <c r="AT60" s="78">
        <v>0</v>
      </c>
      <c r="AU60" s="400">
        <v>3.7635300000000001E-4</v>
      </c>
      <c r="AV60" s="400">
        <v>1.6223E-4</v>
      </c>
      <c r="AW60" s="78">
        <v>3805.2849999999999</v>
      </c>
      <c r="AX60" s="78">
        <v>0</v>
      </c>
      <c r="AY60" s="78">
        <v>2918</v>
      </c>
      <c r="AZ60" s="78">
        <v>4526.6473470767196</v>
      </c>
      <c r="BA60" s="78">
        <v>8</v>
      </c>
      <c r="BB60" s="78">
        <v>8</v>
      </c>
      <c r="BC60" s="78">
        <v>1946</v>
      </c>
      <c r="BD60" s="78">
        <v>1</v>
      </c>
      <c r="BE60" s="78">
        <v>0</v>
      </c>
      <c r="BF60" s="78">
        <v>0</v>
      </c>
      <c r="BG60" s="78">
        <v>0</v>
      </c>
      <c r="BH60" s="78">
        <v>0</v>
      </c>
      <c r="BI60" s="78">
        <v>0</v>
      </c>
      <c r="BJ60" s="78">
        <v>0</v>
      </c>
      <c r="BK60" s="78">
        <v>0</v>
      </c>
      <c r="BL60" s="78">
        <v>0</v>
      </c>
      <c r="BM60" s="78">
        <v>264.03300000000002</v>
      </c>
      <c r="BN60" s="78">
        <v>32</v>
      </c>
      <c r="BO60" s="78">
        <v>27</v>
      </c>
      <c r="BP60" s="78">
        <v>5051.6400000000003</v>
      </c>
      <c r="BQ60" s="78">
        <v>1250.04</v>
      </c>
      <c r="BR60" s="78">
        <v>127.810424460432</v>
      </c>
      <c r="BS60" s="78">
        <v>166</v>
      </c>
      <c r="BT60" s="78">
        <v>56.3333333333333</v>
      </c>
      <c r="BU60" s="78">
        <v>40</v>
      </c>
      <c r="BV60" s="78">
        <f t="shared" si="4"/>
        <v>983</v>
      </c>
      <c r="BW60" s="78">
        <v>384</v>
      </c>
      <c r="BX60" s="78">
        <v>3246.03004383081</v>
      </c>
      <c r="BY60" s="78">
        <v>0.22</v>
      </c>
      <c r="BZ60" s="78">
        <v>14305</v>
      </c>
      <c r="CA60" s="78">
        <v>2363</v>
      </c>
      <c r="CB60" s="78">
        <v>474</v>
      </c>
      <c r="CC60" s="78">
        <v>404</v>
      </c>
      <c r="CD60" s="78">
        <v>361</v>
      </c>
      <c r="CE60" s="78">
        <v>211</v>
      </c>
      <c r="CF60" s="78">
        <v>232.79328775637001</v>
      </c>
      <c r="CG60" s="78">
        <v>132.37265382224999</v>
      </c>
      <c r="CH60" s="78">
        <v>49.069173399627097</v>
      </c>
      <c r="CI60" s="78">
        <v>647.02679999999998</v>
      </c>
      <c r="CJ60" s="78">
        <v>367.91719999999998</v>
      </c>
      <c r="CK60" s="78">
        <v>136.38310000000001</v>
      </c>
      <c r="CL60" s="78">
        <v>41245</v>
      </c>
    </row>
    <row r="61" spans="1:90" x14ac:dyDescent="0.35">
      <c r="A61" s="72">
        <v>175</v>
      </c>
      <c r="B61" s="72" t="s">
        <v>231</v>
      </c>
      <c r="C61" s="72">
        <v>4</v>
      </c>
      <c r="D61" s="78">
        <v>1735600000</v>
      </c>
      <c r="E61" s="78">
        <v>346850000</v>
      </c>
      <c r="F61" s="78">
        <v>390250000</v>
      </c>
      <c r="G61" s="78">
        <v>18295</v>
      </c>
      <c r="H61" s="78">
        <v>1</v>
      </c>
      <c r="I61" s="78">
        <f t="shared" si="2"/>
        <v>390.25</v>
      </c>
      <c r="J61" s="78">
        <v>3652</v>
      </c>
      <c r="K61" s="78">
        <v>4181</v>
      </c>
      <c r="L61" s="78">
        <v>1308</v>
      </c>
      <c r="M61" s="78">
        <v>2164</v>
      </c>
      <c r="N61" s="78">
        <f t="shared" si="3"/>
        <v>1287.4000000000001</v>
      </c>
      <c r="O61" s="78">
        <v>200.333333333333</v>
      </c>
      <c r="P61" s="78">
        <v>40</v>
      </c>
      <c r="Q61" s="78">
        <v>1089.3333333333301</v>
      </c>
      <c r="R61" s="78">
        <v>2338</v>
      </c>
      <c r="S61" s="78">
        <v>155</v>
      </c>
      <c r="T61" s="78">
        <v>0</v>
      </c>
      <c r="U61" s="78">
        <v>370</v>
      </c>
      <c r="V61" s="78">
        <v>7974</v>
      </c>
      <c r="W61" s="78">
        <v>17670</v>
      </c>
      <c r="X61" s="78">
        <v>12320</v>
      </c>
      <c r="Y61" s="78">
        <v>1315.74</v>
      </c>
      <c r="Z61" s="78">
        <v>1064</v>
      </c>
      <c r="AA61" s="78">
        <v>0</v>
      </c>
      <c r="AB61" s="399">
        <f>IF((J61-'[2]Basisgegevens aanvullend'!D61*1.1)&lt;=0,0,J61-'[2]Basisgegevens aanvullend'!D61*1.1)</f>
        <v>0</v>
      </c>
      <c r="AC61" s="399">
        <v>366.4</v>
      </c>
      <c r="AD61" s="78">
        <v>17979</v>
      </c>
      <c r="AE61" s="78">
        <v>17979</v>
      </c>
      <c r="AF61" s="78">
        <v>222</v>
      </c>
      <c r="AG61" s="78">
        <v>0</v>
      </c>
      <c r="AH61" s="78">
        <v>104</v>
      </c>
      <c r="AI61" s="78">
        <v>124</v>
      </c>
      <c r="AJ61" s="78">
        <v>104</v>
      </c>
      <c r="AK61" s="78">
        <v>124</v>
      </c>
      <c r="AL61" s="78">
        <v>228</v>
      </c>
      <c r="AM61" s="78">
        <v>8766</v>
      </c>
      <c r="AN61" s="78">
        <v>8766</v>
      </c>
      <c r="AO61" s="78">
        <v>5</v>
      </c>
      <c r="AP61" s="78">
        <v>0</v>
      </c>
      <c r="AQ61" s="78">
        <v>0</v>
      </c>
      <c r="AR61" s="78">
        <v>0</v>
      </c>
      <c r="AS61" s="78">
        <v>0</v>
      </c>
      <c r="AT61" s="78">
        <v>0</v>
      </c>
      <c r="AU61" s="400">
        <v>2.7506699999999999E-4</v>
      </c>
      <c r="AV61" s="400">
        <v>1.7006200000000001E-4</v>
      </c>
      <c r="AW61" s="78">
        <v>4444.3620000000001</v>
      </c>
      <c r="AX61" s="78">
        <v>0</v>
      </c>
      <c r="AY61" s="78">
        <v>2614</v>
      </c>
      <c r="AZ61" s="78">
        <v>2627.5001373550899</v>
      </c>
      <c r="BA61" s="78">
        <v>14</v>
      </c>
      <c r="BB61" s="78">
        <v>14</v>
      </c>
      <c r="BC61" s="78">
        <v>2221</v>
      </c>
      <c r="BD61" s="78">
        <v>1</v>
      </c>
      <c r="BE61" s="78">
        <v>0</v>
      </c>
      <c r="BF61" s="78">
        <v>0</v>
      </c>
      <c r="BG61" s="78">
        <v>0</v>
      </c>
      <c r="BH61" s="78">
        <v>0</v>
      </c>
      <c r="BI61" s="78">
        <v>0</v>
      </c>
      <c r="BJ61" s="78">
        <v>0</v>
      </c>
      <c r="BK61" s="78">
        <v>0</v>
      </c>
      <c r="BL61" s="78">
        <v>0</v>
      </c>
      <c r="BM61" s="78">
        <v>292.16000000000003</v>
      </c>
      <c r="BN61" s="78">
        <v>79</v>
      </c>
      <c r="BO61" s="78">
        <v>28</v>
      </c>
      <c r="BP61" s="78">
        <v>5128.18</v>
      </c>
      <c r="BQ61" s="78">
        <v>1123.01</v>
      </c>
      <c r="BR61" s="78">
        <v>106.046438210766</v>
      </c>
      <c r="BS61" s="78">
        <v>150</v>
      </c>
      <c r="BT61" s="78">
        <v>59.6666666666667</v>
      </c>
      <c r="BU61" s="78">
        <v>40.3333333333333</v>
      </c>
      <c r="BV61" s="78">
        <f t="shared" si="4"/>
        <v>888.99999999999704</v>
      </c>
      <c r="BW61" s="78">
        <v>329</v>
      </c>
      <c r="BX61" s="78">
        <v>2591.4310289299801</v>
      </c>
      <c r="BY61" s="78">
        <v>0.41199999999999998</v>
      </c>
      <c r="BZ61" s="78">
        <v>14114</v>
      </c>
      <c r="CA61" s="78">
        <v>2419</v>
      </c>
      <c r="CB61" s="78">
        <v>454</v>
      </c>
      <c r="CC61" s="78">
        <v>403</v>
      </c>
      <c r="CD61" s="78">
        <v>387</v>
      </c>
      <c r="CE61" s="78">
        <v>213</v>
      </c>
      <c r="CF61" s="78">
        <v>211.33568332192601</v>
      </c>
      <c r="CG61" s="78">
        <v>128.79874515172301</v>
      </c>
      <c r="CH61" s="78">
        <v>45.8212183436003</v>
      </c>
      <c r="CI61" s="78">
        <v>657.76689999999996</v>
      </c>
      <c r="CJ61" s="78">
        <v>400.87670000000003</v>
      </c>
      <c r="CK61" s="78">
        <v>142.61519999999999</v>
      </c>
      <c r="CL61" s="78">
        <v>0</v>
      </c>
    </row>
    <row r="62" spans="1:90" x14ac:dyDescent="0.35">
      <c r="A62" s="72">
        <v>177</v>
      </c>
      <c r="B62" s="72" t="s">
        <v>249</v>
      </c>
      <c r="C62" s="72">
        <v>4</v>
      </c>
      <c r="D62" s="78">
        <v>3583600000</v>
      </c>
      <c r="E62" s="78">
        <v>529900000</v>
      </c>
      <c r="F62" s="78">
        <v>602350000</v>
      </c>
      <c r="G62" s="78">
        <v>37911</v>
      </c>
      <c r="H62" s="78">
        <v>4</v>
      </c>
      <c r="I62" s="78">
        <f t="shared" si="2"/>
        <v>602.35</v>
      </c>
      <c r="J62" s="78">
        <v>7251</v>
      </c>
      <c r="K62" s="78">
        <v>8543</v>
      </c>
      <c r="L62" s="78">
        <v>2671</v>
      </c>
      <c r="M62" s="78">
        <v>4550</v>
      </c>
      <c r="N62" s="78">
        <f t="shared" si="3"/>
        <v>2884.5</v>
      </c>
      <c r="O62" s="78">
        <v>375</v>
      </c>
      <c r="P62" s="78">
        <v>18</v>
      </c>
      <c r="Q62" s="78">
        <v>2140</v>
      </c>
      <c r="R62" s="78">
        <v>4566</v>
      </c>
      <c r="S62" s="78">
        <v>630</v>
      </c>
      <c r="T62" s="78">
        <v>0</v>
      </c>
      <c r="U62" s="78">
        <v>815</v>
      </c>
      <c r="V62" s="78">
        <v>16457</v>
      </c>
      <c r="W62" s="78">
        <v>34880</v>
      </c>
      <c r="X62" s="78">
        <v>21720</v>
      </c>
      <c r="Y62" s="78">
        <v>826.2</v>
      </c>
      <c r="Z62" s="78">
        <v>1917.6</v>
      </c>
      <c r="AA62" s="78">
        <v>0</v>
      </c>
      <c r="AB62" s="399">
        <f>IF((J62-'[2]Basisgegevens aanvullend'!D62*1.1)&lt;=0,0,J62-'[2]Basisgegevens aanvullend'!D62*1.1)</f>
        <v>0</v>
      </c>
      <c r="AC62" s="399">
        <v>0</v>
      </c>
      <c r="AD62" s="78">
        <v>17095</v>
      </c>
      <c r="AE62" s="78">
        <v>17095</v>
      </c>
      <c r="AF62" s="78">
        <v>134</v>
      </c>
      <c r="AG62" s="78">
        <v>0</v>
      </c>
      <c r="AH62" s="78">
        <v>211</v>
      </c>
      <c r="AI62" s="78">
        <v>188</v>
      </c>
      <c r="AJ62" s="78">
        <v>211</v>
      </c>
      <c r="AK62" s="78">
        <v>188</v>
      </c>
      <c r="AL62" s="78">
        <v>399</v>
      </c>
      <c r="AM62" s="78">
        <v>16655</v>
      </c>
      <c r="AN62" s="78">
        <v>16655</v>
      </c>
      <c r="AO62" s="78">
        <v>0</v>
      </c>
      <c r="AP62" s="78">
        <v>0</v>
      </c>
      <c r="AQ62" s="78">
        <v>0</v>
      </c>
      <c r="AR62" s="78">
        <v>0</v>
      </c>
      <c r="AS62" s="78">
        <v>532</v>
      </c>
      <c r="AT62" s="78">
        <v>0</v>
      </c>
      <c r="AU62" s="400">
        <v>4.2256800000000001E-4</v>
      </c>
      <c r="AV62" s="400">
        <v>2.2431099999999999E-4</v>
      </c>
      <c r="AW62" s="78">
        <v>11075.575000000001</v>
      </c>
      <c r="AX62" s="78">
        <v>0</v>
      </c>
      <c r="AY62" s="78">
        <v>2224</v>
      </c>
      <c r="AZ62" s="78">
        <v>4893.7294097161803</v>
      </c>
      <c r="BA62" s="78">
        <v>14</v>
      </c>
      <c r="BB62" s="78">
        <v>14</v>
      </c>
      <c r="BC62" s="78">
        <v>3960</v>
      </c>
      <c r="BD62" s="78">
        <v>1</v>
      </c>
      <c r="BE62" s="78">
        <v>0</v>
      </c>
      <c r="BF62" s="78">
        <v>0</v>
      </c>
      <c r="BG62" s="78">
        <v>0</v>
      </c>
      <c r="BH62" s="78">
        <v>0</v>
      </c>
      <c r="BI62" s="78">
        <v>0</v>
      </c>
      <c r="BJ62" s="78">
        <v>0</v>
      </c>
      <c r="BK62" s="78">
        <v>0</v>
      </c>
      <c r="BL62" s="78">
        <v>0</v>
      </c>
      <c r="BM62" s="78">
        <v>558.327</v>
      </c>
      <c r="BN62" s="78">
        <v>62</v>
      </c>
      <c r="BO62" s="78">
        <v>71</v>
      </c>
      <c r="BP62" s="78">
        <v>10454.4</v>
      </c>
      <c r="BQ62" s="78">
        <v>2458.88</v>
      </c>
      <c r="BR62" s="78">
        <v>258.88125761288097</v>
      </c>
      <c r="BS62" s="78">
        <v>337</v>
      </c>
      <c r="BT62" s="78">
        <v>114.333333333333</v>
      </c>
      <c r="BU62" s="78">
        <v>88</v>
      </c>
      <c r="BV62" s="78">
        <f t="shared" si="4"/>
        <v>1765</v>
      </c>
      <c r="BW62" s="78">
        <v>579</v>
      </c>
      <c r="BX62" s="78">
        <v>6207.1421340687302</v>
      </c>
      <c r="BY62" s="78">
        <v>0.45400000000000001</v>
      </c>
      <c r="BZ62" s="78">
        <v>29368</v>
      </c>
      <c r="CA62" s="78">
        <v>4858</v>
      </c>
      <c r="CB62" s="78">
        <v>1014</v>
      </c>
      <c r="CC62" s="78">
        <v>811</v>
      </c>
      <c r="CD62" s="78">
        <v>807</v>
      </c>
      <c r="CE62" s="78">
        <v>494</v>
      </c>
      <c r="CF62" s="78">
        <v>501.73500450315203</v>
      </c>
      <c r="CG62" s="78">
        <v>312.610177123987</v>
      </c>
      <c r="CH62" s="78">
        <v>121.580246172321</v>
      </c>
      <c r="CI62" s="78">
        <v>1335.8067000000001</v>
      </c>
      <c r="CJ62" s="78">
        <v>832.28549999999996</v>
      </c>
      <c r="CK62" s="78">
        <v>323.69220000000001</v>
      </c>
      <c r="CL62" s="78">
        <v>55646</v>
      </c>
    </row>
    <row r="63" spans="1:90" x14ac:dyDescent="0.35">
      <c r="A63" s="72">
        <v>1742</v>
      </c>
      <c r="B63" s="72" t="s">
        <v>257</v>
      </c>
      <c r="C63" s="72">
        <v>4</v>
      </c>
      <c r="D63" s="78">
        <v>3287600000</v>
      </c>
      <c r="E63" s="78">
        <v>556500000</v>
      </c>
      <c r="F63" s="78">
        <v>590800000</v>
      </c>
      <c r="G63" s="78">
        <v>38204</v>
      </c>
      <c r="H63" s="78">
        <v>2</v>
      </c>
      <c r="I63" s="78">
        <f t="shared" si="2"/>
        <v>590.79999999999995</v>
      </c>
      <c r="J63" s="78">
        <v>9106</v>
      </c>
      <c r="K63" s="78">
        <v>7321</v>
      </c>
      <c r="L63" s="78">
        <v>2413</v>
      </c>
      <c r="M63" s="78">
        <v>3876</v>
      </c>
      <c r="N63" s="78">
        <f t="shared" si="3"/>
        <v>2298.3000000000002</v>
      </c>
      <c r="O63" s="78">
        <v>360</v>
      </c>
      <c r="P63" s="78">
        <v>57</v>
      </c>
      <c r="Q63" s="78">
        <v>1964</v>
      </c>
      <c r="R63" s="78">
        <v>3763</v>
      </c>
      <c r="S63" s="78">
        <v>1290</v>
      </c>
      <c r="T63" s="78">
        <v>0</v>
      </c>
      <c r="U63" s="78">
        <v>757</v>
      </c>
      <c r="V63" s="78">
        <v>14905</v>
      </c>
      <c r="W63" s="78">
        <v>39650</v>
      </c>
      <c r="X63" s="78">
        <v>34570</v>
      </c>
      <c r="Y63" s="78">
        <v>534.6</v>
      </c>
      <c r="Z63" s="78">
        <v>2912</v>
      </c>
      <c r="AA63" s="78">
        <v>0</v>
      </c>
      <c r="AB63" s="399">
        <f>IF((J63-'[2]Basisgegevens aanvullend'!D63*1.1)&lt;=0,0,J63-'[2]Basisgegevens aanvullend'!D63*1.1)</f>
        <v>0</v>
      </c>
      <c r="AC63" s="399">
        <v>0</v>
      </c>
      <c r="AD63" s="78">
        <v>9410</v>
      </c>
      <c r="AE63" s="78">
        <v>9410</v>
      </c>
      <c r="AF63" s="78">
        <v>27</v>
      </c>
      <c r="AG63" s="78">
        <v>0</v>
      </c>
      <c r="AH63" s="78">
        <v>235</v>
      </c>
      <c r="AI63" s="78">
        <v>77</v>
      </c>
      <c r="AJ63" s="78">
        <v>235</v>
      </c>
      <c r="AK63" s="78">
        <v>77</v>
      </c>
      <c r="AL63" s="78">
        <v>312</v>
      </c>
      <c r="AM63" s="78">
        <v>15777</v>
      </c>
      <c r="AN63" s="78">
        <v>15777</v>
      </c>
      <c r="AO63" s="78">
        <v>8</v>
      </c>
      <c r="AP63" s="78">
        <v>0</v>
      </c>
      <c r="AQ63" s="78">
        <v>0</v>
      </c>
      <c r="AR63" s="78">
        <v>0</v>
      </c>
      <c r="AS63" s="78">
        <v>1782</v>
      </c>
      <c r="AT63" s="78">
        <v>1782</v>
      </c>
      <c r="AU63" s="400">
        <v>4.26606E-4</v>
      </c>
      <c r="AV63" s="400">
        <v>2.66956E-4</v>
      </c>
      <c r="AW63" s="78">
        <v>17275.814999999999</v>
      </c>
      <c r="AX63" s="78">
        <v>0</v>
      </c>
      <c r="AY63" s="78">
        <v>936</v>
      </c>
      <c r="AZ63" s="78">
        <v>3789.2279326057001</v>
      </c>
      <c r="BA63" s="78">
        <v>9</v>
      </c>
      <c r="BB63" s="78">
        <v>9</v>
      </c>
      <c r="BC63" s="78">
        <v>3810</v>
      </c>
      <c r="BD63" s="78">
        <v>1</v>
      </c>
      <c r="BE63" s="78">
        <v>0</v>
      </c>
      <c r="BF63" s="78">
        <v>0</v>
      </c>
      <c r="BG63" s="78">
        <v>0</v>
      </c>
      <c r="BH63" s="78">
        <v>0</v>
      </c>
      <c r="BI63" s="78">
        <v>0</v>
      </c>
      <c r="BJ63" s="78">
        <v>0</v>
      </c>
      <c r="BK63" s="78">
        <v>0</v>
      </c>
      <c r="BL63" s="78">
        <v>0</v>
      </c>
      <c r="BM63" s="78">
        <v>546.36</v>
      </c>
      <c r="BN63" s="78">
        <v>138</v>
      </c>
      <c r="BO63" s="78">
        <v>40</v>
      </c>
      <c r="BP63" s="78">
        <v>9385.35</v>
      </c>
      <c r="BQ63" s="78">
        <v>2652.89</v>
      </c>
      <c r="BR63" s="78">
        <v>436.27079487179498</v>
      </c>
      <c r="BS63" s="78">
        <v>293</v>
      </c>
      <c r="BT63" s="78">
        <v>126.666666666667</v>
      </c>
      <c r="BU63" s="78">
        <v>83.3333333333333</v>
      </c>
      <c r="BV63" s="78">
        <f t="shared" si="4"/>
        <v>1604</v>
      </c>
      <c r="BW63" s="78">
        <v>505</v>
      </c>
      <c r="BX63" s="78">
        <v>5777.8433884275901</v>
      </c>
      <c r="BY63" s="78">
        <v>0.55600000000000005</v>
      </c>
      <c r="BZ63" s="78">
        <v>30883</v>
      </c>
      <c r="CA63" s="78">
        <v>3937</v>
      </c>
      <c r="CB63" s="78">
        <v>971</v>
      </c>
      <c r="CC63" s="78">
        <v>665</v>
      </c>
      <c r="CD63" s="78">
        <v>738</v>
      </c>
      <c r="CE63" s="78">
        <v>463</v>
      </c>
      <c r="CF63" s="78">
        <v>342.62544209925801</v>
      </c>
      <c r="CG63" s="78">
        <v>239.34251758889499</v>
      </c>
      <c r="CH63" s="78">
        <v>98.330005704506604</v>
      </c>
      <c r="CI63" s="78">
        <v>1123.08</v>
      </c>
      <c r="CJ63" s="78">
        <v>784.53250000000003</v>
      </c>
      <c r="CK63" s="78">
        <v>322.3125</v>
      </c>
      <c r="CL63" s="78">
        <v>18888</v>
      </c>
    </row>
    <row r="64" spans="1:90" x14ac:dyDescent="0.35">
      <c r="A64" s="72">
        <v>180</v>
      </c>
      <c r="B64" s="72" t="s">
        <v>283</v>
      </c>
      <c r="C64" s="72">
        <v>4</v>
      </c>
      <c r="D64" s="78">
        <v>1325200000</v>
      </c>
      <c r="E64" s="78">
        <v>308350000</v>
      </c>
      <c r="F64" s="78">
        <v>356300000</v>
      </c>
      <c r="G64" s="78">
        <v>17261</v>
      </c>
      <c r="H64" s="78">
        <v>2</v>
      </c>
      <c r="I64" s="78">
        <f t="shared" si="2"/>
        <v>356.3</v>
      </c>
      <c r="J64" s="78">
        <v>4655</v>
      </c>
      <c r="K64" s="78">
        <v>2706</v>
      </c>
      <c r="L64" s="78">
        <v>848</v>
      </c>
      <c r="M64" s="78">
        <v>1408</v>
      </c>
      <c r="N64" s="78">
        <f t="shared" si="3"/>
        <v>780.4</v>
      </c>
      <c r="O64" s="78">
        <v>116</v>
      </c>
      <c r="P64" s="78">
        <v>20</v>
      </c>
      <c r="Q64" s="78">
        <v>599</v>
      </c>
      <c r="R64" s="78">
        <v>1472</v>
      </c>
      <c r="S64" s="78">
        <v>155</v>
      </c>
      <c r="T64" s="78">
        <v>0</v>
      </c>
      <c r="U64" s="78">
        <v>266</v>
      </c>
      <c r="V64" s="78">
        <v>6098</v>
      </c>
      <c r="W64" s="78">
        <v>16230</v>
      </c>
      <c r="X64" s="78">
        <v>10300</v>
      </c>
      <c r="Y64" s="78">
        <v>0</v>
      </c>
      <c r="Z64" s="78">
        <v>303.2</v>
      </c>
      <c r="AA64" s="78">
        <v>0</v>
      </c>
      <c r="AB64" s="399">
        <f>IF((J64-'[2]Basisgegevens aanvullend'!D64*1.1)&lt;=0,0,J64-'[2]Basisgegevens aanvullend'!D64*1.1)</f>
        <v>0</v>
      </c>
      <c r="AC64" s="399">
        <v>0</v>
      </c>
      <c r="AD64" s="78">
        <v>13398</v>
      </c>
      <c r="AE64" s="78">
        <v>13398</v>
      </c>
      <c r="AF64" s="78">
        <v>171</v>
      </c>
      <c r="AG64" s="78">
        <v>0</v>
      </c>
      <c r="AH64" s="78">
        <v>125</v>
      </c>
      <c r="AI64" s="78">
        <v>87</v>
      </c>
      <c r="AJ64" s="78">
        <v>125</v>
      </c>
      <c r="AK64" s="78">
        <v>87</v>
      </c>
      <c r="AL64" s="78">
        <v>211</v>
      </c>
      <c r="AM64" s="78">
        <v>6276</v>
      </c>
      <c r="AN64" s="78">
        <v>6276</v>
      </c>
      <c r="AO64" s="78">
        <v>0</v>
      </c>
      <c r="AP64" s="78">
        <v>0</v>
      </c>
      <c r="AQ64" s="78">
        <v>0</v>
      </c>
      <c r="AR64" s="78">
        <v>0</v>
      </c>
      <c r="AS64" s="78">
        <v>660</v>
      </c>
      <c r="AT64" s="78">
        <v>0</v>
      </c>
      <c r="AU64" s="400">
        <v>3.6141800000000001E-4</v>
      </c>
      <c r="AV64" s="400">
        <v>4.5343000000000003E-5</v>
      </c>
      <c r="AW64" s="78">
        <v>2234.2559999999999</v>
      </c>
      <c r="AX64" s="78">
        <v>0</v>
      </c>
      <c r="AY64" s="78">
        <v>2581</v>
      </c>
      <c r="AZ64" s="78">
        <v>3283.2663423981098</v>
      </c>
      <c r="BA64" s="78">
        <v>6</v>
      </c>
      <c r="BB64" s="78">
        <v>6</v>
      </c>
      <c r="BC64" s="78">
        <v>2061</v>
      </c>
      <c r="BD64" s="78">
        <v>1</v>
      </c>
      <c r="BE64" s="78">
        <v>0</v>
      </c>
      <c r="BF64" s="78">
        <v>0</v>
      </c>
      <c r="BG64" s="78">
        <v>0</v>
      </c>
      <c r="BH64" s="78">
        <v>0</v>
      </c>
      <c r="BI64" s="78">
        <v>0</v>
      </c>
      <c r="BJ64" s="78">
        <v>0</v>
      </c>
      <c r="BK64" s="78">
        <v>0</v>
      </c>
      <c r="BL64" s="78">
        <v>0</v>
      </c>
      <c r="BM64" s="78">
        <v>307.23</v>
      </c>
      <c r="BN64" s="78">
        <v>229</v>
      </c>
      <c r="BO64" s="78">
        <v>32</v>
      </c>
      <c r="BP64" s="78">
        <v>3850.88</v>
      </c>
      <c r="BQ64" s="78">
        <v>1139.04</v>
      </c>
      <c r="BR64" s="78">
        <v>89.305810810810797</v>
      </c>
      <c r="BS64" s="78">
        <v>102</v>
      </c>
      <c r="BT64" s="78">
        <v>41.6666666666667</v>
      </c>
      <c r="BU64" s="78">
        <v>23.3333333333333</v>
      </c>
      <c r="BV64" s="78">
        <f t="shared" si="4"/>
        <v>483</v>
      </c>
      <c r="BW64" s="78">
        <v>171</v>
      </c>
      <c r="BX64" s="78">
        <v>1254.02750656168</v>
      </c>
      <c r="BY64" s="78">
        <v>8.4000000000000005E-2</v>
      </c>
      <c r="BZ64" s="78">
        <v>14555</v>
      </c>
      <c r="CA64" s="78">
        <v>1582</v>
      </c>
      <c r="CB64" s="78">
        <v>276</v>
      </c>
      <c r="CC64" s="78">
        <v>213</v>
      </c>
      <c r="CD64" s="78">
        <v>267</v>
      </c>
      <c r="CE64" s="78">
        <v>157</v>
      </c>
      <c r="CF64" s="78">
        <v>114.523326959847</v>
      </c>
      <c r="CG64" s="78">
        <v>74.110643722115995</v>
      </c>
      <c r="CH64" s="78">
        <v>27.853664754620802</v>
      </c>
      <c r="CI64" s="78">
        <v>447.51389999999998</v>
      </c>
      <c r="CJ64" s="78">
        <v>289.59640000000002</v>
      </c>
      <c r="CK64" s="78">
        <v>108.8416</v>
      </c>
      <c r="CL64" s="78">
        <v>312</v>
      </c>
    </row>
    <row r="65" spans="1:90" x14ac:dyDescent="0.35">
      <c r="A65" s="72">
        <v>1708</v>
      </c>
      <c r="B65" s="72" t="s">
        <v>286</v>
      </c>
      <c r="C65" s="72">
        <v>4</v>
      </c>
      <c r="D65" s="78">
        <v>3868000000</v>
      </c>
      <c r="E65" s="78">
        <v>587650000</v>
      </c>
      <c r="F65" s="78">
        <v>656950000</v>
      </c>
      <c r="G65" s="78">
        <v>44341</v>
      </c>
      <c r="H65" s="78">
        <v>8</v>
      </c>
      <c r="I65" s="78">
        <f t="shared" si="2"/>
        <v>656.95</v>
      </c>
      <c r="J65" s="78">
        <v>8418</v>
      </c>
      <c r="K65" s="78">
        <v>10128</v>
      </c>
      <c r="L65" s="78">
        <v>3271</v>
      </c>
      <c r="M65" s="78">
        <v>6422</v>
      </c>
      <c r="N65" s="78">
        <f t="shared" si="3"/>
        <v>4306.6000000000004</v>
      </c>
      <c r="O65" s="78">
        <v>730.33333333333303</v>
      </c>
      <c r="P65" s="78">
        <v>83</v>
      </c>
      <c r="Q65" s="78">
        <v>2965.3333333333298</v>
      </c>
      <c r="R65" s="78">
        <v>6533</v>
      </c>
      <c r="S65" s="78">
        <v>830</v>
      </c>
      <c r="T65" s="78">
        <v>0</v>
      </c>
      <c r="U65" s="78">
        <v>1198</v>
      </c>
      <c r="V65" s="78">
        <v>20113</v>
      </c>
      <c r="W65" s="78">
        <v>42510</v>
      </c>
      <c r="X65" s="78">
        <v>28480</v>
      </c>
      <c r="Y65" s="78">
        <v>520.74</v>
      </c>
      <c r="Z65" s="78">
        <v>1342.4</v>
      </c>
      <c r="AA65" s="78">
        <v>0</v>
      </c>
      <c r="AB65" s="399">
        <f>IF((J65-'[2]Basisgegevens aanvullend'!D65*1.1)&lt;=0,0,J65-'[2]Basisgegevens aanvullend'!D65*1.1)</f>
        <v>0</v>
      </c>
      <c r="AC65" s="399">
        <v>0</v>
      </c>
      <c r="AD65" s="78">
        <v>28826</v>
      </c>
      <c r="AE65" s="78">
        <v>28826</v>
      </c>
      <c r="AF65" s="78">
        <v>3333</v>
      </c>
      <c r="AG65" s="78">
        <v>0</v>
      </c>
      <c r="AH65" s="78">
        <v>269</v>
      </c>
      <c r="AI65" s="78">
        <v>164</v>
      </c>
      <c r="AJ65" s="78">
        <v>269</v>
      </c>
      <c r="AK65" s="78">
        <v>164</v>
      </c>
      <c r="AL65" s="78">
        <v>432</v>
      </c>
      <c r="AM65" s="78">
        <v>21154</v>
      </c>
      <c r="AN65" s="78">
        <v>21154</v>
      </c>
      <c r="AO65" s="78">
        <v>27</v>
      </c>
      <c r="AP65" s="78">
        <v>0</v>
      </c>
      <c r="AQ65" s="78">
        <v>0</v>
      </c>
      <c r="AR65" s="78">
        <v>5750</v>
      </c>
      <c r="AS65" s="78">
        <v>1650</v>
      </c>
      <c r="AT65" s="78">
        <v>1650</v>
      </c>
      <c r="AU65" s="400">
        <v>1.4218099999999999E-3</v>
      </c>
      <c r="AV65" s="400">
        <v>8.3077599999999998E-4</v>
      </c>
      <c r="AW65" s="78">
        <v>12523.168</v>
      </c>
      <c r="AX65" s="78">
        <v>0</v>
      </c>
      <c r="AY65" s="78">
        <v>15683</v>
      </c>
      <c r="AZ65" s="78">
        <v>21665.167853478</v>
      </c>
      <c r="BA65" s="78">
        <v>34</v>
      </c>
      <c r="BB65" s="78">
        <v>34</v>
      </c>
      <c r="BC65" s="78">
        <v>5326</v>
      </c>
      <c r="BD65" s="78">
        <v>1</v>
      </c>
      <c r="BE65" s="78">
        <v>0</v>
      </c>
      <c r="BF65" s="78">
        <v>0</v>
      </c>
      <c r="BG65" s="78">
        <v>0</v>
      </c>
      <c r="BH65" s="78">
        <v>0</v>
      </c>
      <c r="BI65" s="78">
        <v>0</v>
      </c>
      <c r="BJ65" s="78">
        <v>0</v>
      </c>
      <c r="BK65" s="78">
        <v>0</v>
      </c>
      <c r="BL65" s="78">
        <v>0</v>
      </c>
      <c r="BM65" s="78">
        <v>959.65200000000004</v>
      </c>
      <c r="BN65" s="78">
        <v>137</v>
      </c>
      <c r="BO65" s="78">
        <v>57</v>
      </c>
      <c r="BP65" s="78">
        <v>11954.78</v>
      </c>
      <c r="BQ65" s="78">
        <v>2588.94</v>
      </c>
      <c r="BR65" s="78">
        <v>320.90127707152698</v>
      </c>
      <c r="BS65" s="78">
        <v>493</v>
      </c>
      <c r="BT65" s="78">
        <v>198</v>
      </c>
      <c r="BU65" s="78">
        <v>163.333333333333</v>
      </c>
      <c r="BV65" s="78">
        <f t="shared" si="4"/>
        <v>2234.9999999999968</v>
      </c>
      <c r="BW65" s="78">
        <v>662</v>
      </c>
      <c r="BX65" s="78">
        <v>7830.8501128586304</v>
      </c>
      <c r="BY65" s="78">
        <v>1.6990000000000001</v>
      </c>
      <c r="BZ65" s="78">
        <v>34213</v>
      </c>
      <c r="CA65" s="78">
        <v>5709</v>
      </c>
      <c r="CB65" s="78">
        <v>1148</v>
      </c>
      <c r="CC65" s="78">
        <v>1133</v>
      </c>
      <c r="CD65" s="78">
        <v>1076</v>
      </c>
      <c r="CE65" s="78">
        <v>597</v>
      </c>
      <c r="CF65" s="78">
        <v>722.31335917556999</v>
      </c>
      <c r="CG65" s="78">
        <v>461.31963694809502</v>
      </c>
      <c r="CH65" s="78">
        <v>169.584844473858</v>
      </c>
      <c r="CI65" s="78">
        <v>1864.1192000000001</v>
      </c>
      <c r="CJ65" s="78">
        <v>1190.5563999999999</v>
      </c>
      <c r="CK65" s="78">
        <v>437.65820000000002</v>
      </c>
      <c r="CL65" s="78">
        <v>15876</v>
      </c>
    </row>
    <row r="66" spans="1:90" x14ac:dyDescent="0.35">
      <c r="A66" s="72">
        <v>183</v>
      </c>
      <c r="B66" s="72" t="s">
        <v>297</v>
      </c>
      <c r="C66" s="72">
        <v>4</v>
      </c>
      <c r="D66" s="78">
        <v>1919600000</v>
      </c>
      <c r="E66" s="78">
        <v>349650000</v>
      </c>
      <c r="F66" s="78">
        <v>445200000</v>
      </c>
      <c r="G66" s="78">
        <v>21315</v>
      </c>
      <c r="H66" s="78">
        <v>4</v>
      </c>
      <c r="I66" s="78">
        <f t="shared" si="2"/>
        <v>445.2</v>
      </c>
      <c r="J66" s="78">
        <v>4290</v>
      </c>
      <c r="K66" s="78">
        <v>4246</v>
      </c>
      <c r="L66" s="78">
        <v>1348</v>
      </c>
      <c r="M66" s="78">
        <v>2107</v>
      </c>
      <c r="N66" s="78">
        <f t="shared" si="3"/>
        <v>1223.4000000000001</v>
      </c>
      <c r="O66" s="78">
        <v>132</v>
      </c>
      <c r="P66" s="78">
        <v>28</v>
      </c>
      <c r="Q66" s="78">
        <v>1026</v>
      </c>
      <c r="R66" s="78">
        <v>2117</v>
      </c>
      <c r="S66" s="78">
        <v>130</v>
      </c>
      <c r="T66" s="78">
        <v>0</v>
      </c>
      <c r="U66" s="78">
        <v>378</v>
      </c>
      <c r="V66" s="78">
        <v>8434</v>
      </c>
      <c r="W66" s="78">
        <v>15460</v>
      </c>
      <c r="X66" s="78">
        <v>2990</v>
      </c>
      <c r="Y66" s="78">
        <v>0</v>
      </c>
      <c r="Z66" s="78">
        <v>508.8</v>
      </c>
      <c r="AA66" s="78">
        <v>0</v>
      </c>
      <c r="AB66" s="399">
        <f>IF((J66-'[2]Basisgegevens aanvullend'!D66*1.1)&lt;=0,0,J66-'[2]Basisgegevens aanvullend'!D66*1.1)</f>
        <v>0</v>
      </c>
      <c r="AC66" s="399">
        <v>0</v>
      </c>
      <c r="AD66" s="78">
        <v>14703</v>
      </c>
      <c r="AE66" s="78">
        <v>14703</v>
      </c>
      <c r="AF66" s="78">
        <v>42</v>
      </c>
      <c r="AG66" s="78">
        <v>0</v>
      </c>
      <c r="AH66" s="78">
        <v>120</v>
      </c>
      <c r="AI66" s="78">
        <v>175</v>
      </c>
      <c r="AJ66" s="78">
        <v>120</v>
      </c>
      <c r="AK66" s="78">
        <v>175</v>
      </c>
      <c r="AL66" s="78">
        <v>295</v>
      </c>
      <c r="AM66" s="78">
        <v>8836</v>
      </c>
      <c r="AN66" s="78">
        <v>8836</v>
      </c>
      <c r="AO66" s="78">
        <v>0</v>
      </c>
      <c r="AP66" s="78">
        <v>0</v>
      </c>
      <c r="AQ66" s="78">
        <v>0</v>
      </c>
      <c r="AR66" s="78">
        <v>0</v>
      </c>
      <c r="AS66" s="78">
        <v>0</v>
      </c>
      <c r="AT66" s="78">
        <v>0</v>
      </c>
      <c r="AU66" s="400">
        <v>1.32812E-4</v>
      </c>
      <c r="AV66" s="400">
        <v>6.4517999999999995E-5</v>
      </c>
      <c r="AW66" s="78">
        <v>2615.4560000000001</v>
      </c>
      <c r="AX66" s="78">
        <v>0</v>
      </c>
      <c r="AY66" s="78">
        <v>1093</v>
      </c>
      <c r="AZ66" s="78">
        <v>1580.01322482197</v>
      </c>
      <c r="BA66" s="78">
        <v>11</v>
      </c>
      <c r="BB66" s="78">
        <v>11</v>
      </c>
      <c r="BC66" s="78">
        <v>2639</v>
      </c>
      <c r="BD66" s="78">
        <v>1</v>
      </c>
      <c r="BE66" s="78">
        <v>0</v>
      </c>
      <c r="BF66" s="78">
        <v>0</v>
      </c>
      <c r="BG66" s="78">
        <v>0</v>
      </c>
      <c r="BH66" s="78">
        <v>0</v>
      </c>
      <c r="BI66" s="78">
        <v>0</v>
      </c>
      <c r="BJ66" s="78">
        <v>0</v>
      </c>
      <c r="BK66" s="78">
        <v>0</v>
      </c>
      <c r="BL66" s="78">
        <v>0</v>
      </c>
      <c r="BM66" s="78">
        <v>231.66</v>
      </c>
      <c r="BN66" s="78">
        <v>36</v>
      </c>
      <c r="BO66" s="78">
        <v>21</v>
      </c>
      <c r="BP66" s="78">
        <v>5675.94</v>
      </c>
      <c r="BQ66" s="78">
        <v>1524.9</v>
      </c>
      <c r="BR66" s="78">
        <v>64.252776203965993</v>
      </c>
      <c r="BS66" s="78">
        <v>175</v>
      </c>
      <c r="BT66" s="78">
        <v>34.6666666666667</v>
      </c>
      <c r="BU66" s="78">
        <v>25.6666666666667</v>
      </c>
      <c r="BV66" s="78">
        <f t="shared" si="4"/>
        <v>894</v>
      </c>
      <c r="BW66" s="78">
        <v>227</v>
      </c>
      <c r="BX66" s="78">
        <v>3159.9299647473599</v>
      </c>
      <c r="BY66" s="78">
        <v>0.108</v>
      </c>
      <c r="BZ66" s="78">
        <v>17069</v>
      </c>
      <c r="CA66" s="78">
        <v>2410</v>
      </c>
      <c r="CB66" s="78">
        <v>488</v>
      </c>
      <c r="CC66" s="78">
        <v>347</v>
      </c>
      <c r="CD66" s="78">
        <v>452</v>
      </c>
      <c r="CE66" s="78">
        <v>263</v>
      </c>
      <c r="CF66" s="78">
        <v>198.54635581711199</v>
      </c>
      <c r="CG66" s="78">
        <v>129.04128564961499</v>
      </c>
      <c r="CH66" s="78">
        <v>49.7058171118153</v>
      </c>
      <c r="CI66" s="78">
        <v>638.56020000000001</v>
      </c>
      <c r="CJ66" s="78">
        <v>415.01960000000003</v>
      </c>
      <c r="CK66" s="78">
        <v>159.86269999999999</v>
      </c>
      <c r="CL66" s="78">
        <v>7938</v>
      </c>
    </row>
    <row r="67" spans="1:90" x14ac:dyDescent="0.35">
      <c r="A67" s="72">
        <v>1700</v>
      </c>
      <c r="B67" s="72" t="s">
        <v>298</v>
      </c>
      <c r="C67" s="72">
        <v>4</v>
      </c>
      <c r="D67" s="78">
        <v>2651600000</v>
      </c>
      <c r="E67" s="78">
        <v>368200000</v>
      </c>
      <c r="F67" s="78">
        <v>424200000</v>
      </c>
      <c r="G67" s="78">
        <v>33699</v>
      </c>
      <c r="H67" s="78">
        <v>4</v>
      </c>
      <c r="I67" s="78">
        <f t="shared" si="2"/>
        <v>424.2</v>
      </c>
      <c r="J67" s="78">
        <v>7392</v>
      </c>
      <c r="K67" s="78">
        <v>6572</v>
      </c>
      <c r="L67" s="78">
        <v>2114</v>
      </c>
      <c r="M67" s="78">
        <v>4089</v>
      </c>
      <c r="N67" s="78">
        <f t="shared" si="3"/>
        <v>2686.8</v>
      </c>
      <c r="O67" s="78">
        <v>472.33333333333297</v>
      </c>
      <c r="P67" s="78">
        <v>86</v>
      </c>
      <c r="Q67" s="78">
        <v>2632.3333333333298</v>
      </c>
      <c r="R67" s="78">
        <v>3502</v>
      </c>
      <c r="S67" s="78">
        <v>305</v>
      </c>
      <c r="T67" s="78">
        <v>0</v>
      </c>
      <c r="U67" s="78">
        <v>855</v>
      </c>
      <c r="V67" s="78">
        <v>13627</v>
      </c>
      <c r="W67" s="78">
        <v>32110</v>
      </c>
      <c r="X67" s="78">
        <v>14470</v>
      </c>
      <c r="Y67" s="78">
        <v>219.78</v>
      </c>
      <c r="Z67" s="78">
        <v>887.2</v>
      </c>
      <c r="AA67" s="78">
        <v>0</v>
      </c>
      <c r="AB67" s="399">
        <f>IF((J67-'[2]Basisgegevens aanvullend'!D67*1.1)&lt;=0,0,J67-'[2]Basisgegevens aanvullend'!D67*1.1)</f>
        <v>0</v>
      </c>
      <c r="AC67" s="399">
        <v>150.9</v>
      </c>
      <c r="AD67" s="78">
        <v>10605</v>
      </c>
      <c r="AE67" s="78">
        <v>10605</v>
      </c>
      <c r="AF67" s="78">
        <v>208</v>
      </c>
      <c r="AG67" s="78">
        <v>0</v>
      </c>
      <c r="AH67" s="78">
        <v>224</v>
      </c>
      <c r="AI67" s="78">
        <v>86</v>
      </c>
      <c r="AJ67" s="78">
        <v>224</v>
      </c>
      <c r="AK67" s="78">
        <v>86</v>
      </c>
      <c r="AL67" s="78">
        <v>310</v>
      </c>
      <c r="AM67" s="78">
        <v>14022</v>
      </c>
      <c r="AN67" s="78">
        <v>14022</v>
      </c>
      <c r="AO67" s="78">
        <v>0</v>
      </c>
      <c r="AP67" s="78">
        <v>0</v>
      </c>
      <c r="AQ67" s="78">
        <v>0</v>
      </c>
      <c r="AR67" s="78">
        <v>0</v>
      </c>
      <c r="AS67" s="78">
        <v>1038</v>
      </c>
      <c r="AT67" s="78">
        <v>0</v>
      </c>
      <c r="AU67" s="400">
        <v>5.0626600000000001E-4</v>
      </c>
      <c r="AV67" s="400">
        <v>2.1592700000000001E-4</v>
      </c>
      <c r="AW67" s="78">
        <v>8357.1119999999992</v>
      </c>
      <c r="AX67" s="78">
        <v>0</v>
      </c>
      <c r="AY67" s="78">
        <v>2728</v>
      </c>
      <c r="AZ67" s="78">
        <v>8501.8840284842299</v>
      </c>
      <c r="BA67" s="78">
        <v>9</v>
      </c>
      <c r="BB67" s="78">
        <v>9</v>
      </c>
      <c r="BC67" s="78">
        <v>3070</v>
      </c>
      <c r="BD67" s="78">
        <v>1</v>
      </c>
      <c r="BE67" s="78">
        <v>0</v>
      </c>
      <c r="BF67" s="78">
        <v>0</v>
      </c>
      <c r="BG67" s="78">
        <v>0</v>
      </c>
      <c r="BH67" s="78">
        <v>0</v>
      </c>
      <c r="BI67" s="78">
        <v>0</v>
      </c>
      <c r="BJ67" s="78">
        <v>0</v>
      </c>
      <c r="BK67" s="78">
        <v>0</v>
      </c>
      <c r="BL67" s="78">
        <v>0</v>
      </c>
      <c r="BM67" s="78">
        <v>694.84799999999996</v>
      </c>
      <c r="BN67" s="78">
        <v>313</v>
      </c>
      <c r="BO67" s="78">
        <v>67</v>
      </c>
      <c r="BP67" s="78">
        <v>7686.74</v>
      </c>
      <c r="BQ67" s="78">
        <v>2037.42</v>
      </c>
      <c r="BR67" s="78">
        <v>336.15139920948599</v>
      </c>
      <c r="BS67" s="78">
        <v>359</v>
      </c>
      <c r="BT67" s="78">
        <v>149</v>
      </c>
      <c r="BU67" s="78">
        <v>140.666666666667</v>
      </c>
      <c r="BV67" s="78">
        <f t="shared" si="4"/>
        <v>2159.9999999999968</v>
      </c>
      <c r="BW67" s="78">
        <v>609</v>
      </c>
      <c r="BX67" s="78">
        <v>6539.3017858518797</v>
      </c>
      <c r="BY67" s="78">
        <v>1.02</v>
      </c>
      <c r="BZ67" s="78">
        <v>27127</v>
      </c>
      <c r="CA67" s="78">
        <v>3817</v>
      </c>
      <c r="CB67" s="78">
        <v>641</v>
      </c>
      <c r="CC67" s="78">
        <v>663</v>
      </c>
      <c r="CD67" s="78">
        <v>669</v>
      </c>
      <c r="CE67" s="78">
        <v>328</v>
      </c>
      <c r="CF67" s="78">
        <v>438.985793752674</v>
      </c>
      <c r="CG67" s="78">
        <v>281.86298673513102</v>
      </c>
      <c r="CH67" s="78">
        <v>84.693025246041898</v>
      </c>
      <c r="CI67" s="78">
        <v>1279.0653</v>
      </c>
      <c r="CJ67" s="78">
        <v>821.25930000000005</v>
      </c>
      <c r="CK67" s="78">
        <v>246.76859999999999</v>
      </c>
      <c r="CL67" s="78">
        <v>3969</v>
      </c>
    </row>
    <row r="68" spans="1:90" x14ac:dyDescent="0.35">
      <c r="A68" s="72">
        <v>189</v>
      </c>
      <c r="B68" s="72" t="s">
        <v>343</v>
      </c>
      <c r="C68" s="72">
        <v>4</v>
      </c>
      <c r="D68" s="78">
        <v>2329200000</v>
      </c>
      <c r="E68" s="78">
        <v>280350000</v>
      </c>
      <c r="F68" s="78">
        <v>311500000</v>
      </c>
      <c r="G68" s="78">
        <v>24538</v>
      </c>
      <c r="H68" s="78">
        <v>2</v>
      </c>
      <c r="I68" s="78">
        <f t="shared" si="2"/>
        <v>311.5</v>
      </c>
      <c r="J68" s="78">
        <v>5165</v>
      </c>
      <c r="K68" s="78">
        <v>5309</v>
      </c>
      <c r="L68" s="78">
        <v>1756</v>
      </c>
      <c r="M68" s="78">
        <v>2424</v>
      </c>
      <c r="N68" s="78">
        <f t="shared" si="3"/>
        <v>1379.7</v>
      </c>
      <c r="O68" s="78">
        <v>192</v>
      </c>
      <c r="P68" s="78">
        <v>36</v>
      </c>
      <c r="Q68" s="78">
        <v>1144</v>
      </c>
      <c r="R68" s="78">
        <v>2462</v>
      </c>
      <c r="S68" s="78">
        <v>320</v>
      </c>
      <c r="T68" s="78">
        <v>0</v>
      </c>
      <c r="U68" s="78">
        <v>537</v>
      </c>
      <c r="V68" s="78">
        <v>9862</v>
      </c>
      <c r="W68" s="78">
        <v>21610</v>
      </c>
      <c r="X68" s="78">
        <v>10670</v>
      </c>
      <c r="Y68" s="78">
        <v>0</v>
      </c>
      <c r="Z68" s="78">
        <v>545.6</v>
      </c>
      <c r="AA68" s="78">
        <v>0</v>
      </c>
      <c r="AB68" s="399">
        <f>IF((J68-'[2]Basisgegevens aanvullend'!D68*1.1)&lt;=0,0,J68-'[2]Basisgegevens aanvullend'!D68*1.1)</f>
        <v>0</v>
      </c>
      <c r="AC68" s="399">
        <v>525.79999999999995</v>
      </c>
      <c r="AD68" s="78">
        <v>9459</v>
      </c>
      <c r="AE68" s="78">
        <v>9459</v>
      </c>
      <c r="AF68" s="78">
        <v>80</v>
      </c>
      <c r="AG68" s="78">
        <v>0</v>
      </c>
      <c r="AH68" s="78">
        <v>141</v>
      </c>
      <c r="AI68" s="78">
        <v>98</v>
      </c>
      <c r="AJ68" s="78">
        <v>141</v>
      </c>
      <c r="AK68" s="78">
        <v>98</v>
      </c>
      <c r="AL68" s="78">
        <v>239</v>
      </c>
      <c r="AM68" s="78">
        <v>10443</v>
      </c>
      <c r="AN68" s="78">
        <v>10443</v>
      </c>
      <c r="AO68" s="78">
        <v>0</v>
      </c>
      <c r="AP68" s="78">
        <v>0</v>
      </c>
      <c r="AQ68" s="78">
        <v>0</v>
      </c>
      <c r="AR68" s="78">
        <v>0</v>
      </c>
      <c r="AS68" s="78">
        <v>0</v>
      </c>
      <c r="AT68" s="78">
        <v>0</v>
      </c>
      <c r="AU68" s="400">
        <v>2.53959E-4</v>
      </c>
      <c r="AV68" s="400">
        <v>1.17432E-4</v>
      </c>
      <c r="AW68" s="78">
        <v>7424.973</v>
      </c>
      <c r="AX68" s="78">
        <v>0</v>
      </c>
      <c r="AY68" s="78">
        <v>1601</v>
      </c>
      <c r="AZ68" s="78">
        <v>4118.3916553097797</v>
      </c>
      <c r="BA68" s="78">
        <v>9</v>
      </c>
      <c r="BB68" s="78">
        <v>9</v>
      </c>
      <c r="BC68" s="78">
        <v>2756</v>
      </c>
      <c r="BD68" s="78">
        <v>1</v>
      </c>
      <c r="BE68" s="78">
        <v>0</v>
      </c>
      <c r="BF68" s="78">
        <v>0</v>
      </c>
      <c r="BG68" s="78">
        <v>0</v>
      </c>
      <c r="BH68" s="78">
        <v>0</v>
      </c>
      <c r="BI68" s="78">
        <v>0</v>
      </c>
      <c r="BJ68" s="78">
        <v>0</v>
      </c>
      <c r="BK68" s="78">
        <v>0</v>
      </c>
      <c r="BL68" s="78">
        <v>0</v>
      </c>
      <c r="BM68" s="78">
        <v>356.38499999999999</v>
      </c>
      <c r="BN68" s="78">
        <v>52</v>
      </c>
      <c r="BO68" s="78">
        <v>13</v>
      </c>
      <c r="BP68" s="78">
        <v>6976.08</v>
      </c>
      <c r="BQ68" s="78">
        <v>1800.64</v>
      </c>
      <c r="BR68" s="78">
        <v>95.004696969696994</v>
      </c>
      <c r="BS68" s="78">
        <v>215</v>
      </c>
      <c r="BT68" s="78">
        <v>61</v>
      </c>
      <c r="BU68" s="78">
        <v>42</v>
      </c>
      <c r="BV68" s="78">
        <f t="shared" si="4"/>
        <v>952</v>
      </c>
      <c r="BW68" s="78">
        <v>214</v>
      </c>
      <c r="BX68" s="78">
        <v>3804.7450805857802</v>
      </c>
      <c r="BY68" s="78">
        <v>0.159</v>
      </c>
      <c r="BZ68" s="78">
        <v>19229</v>
      </c>
      <c r="CA68" s="78">
        <v>2975</v>
      </c>
      <c r="CB68" s="78">
        <v>578</v>
      </c>
      <c r="CC68" s="78">
        <v>472</v>
      </c>
      <c r="CD68" s="78">
        <v>481</v>
      </c>
      <c r="CE68" s="78">
        <v>288</v>
      </c>
      <c r="CF68" s="78">
        <v>230.01605860384899</v>
      </c>
      <c r="CG68" s="78">
        <v>153.12384372306801</v>
      </c>
      <c r="CH68" s="78">
        <v>53.507469118069501</v>
      </c>
      <c r="CI68" s="78">
        <v>716.07330000000002</v>
      </c>
      <c r="CJ68" s="78">
        <v>476.69670000000002</v>
      </c>
      <c r="CK68" s="78">
        <v>166.57650000000001</v>
      </c>
      <c r="CL68" s="78">
        <v>0</v>
      </c>
    </row>
    <row r="69" spans="1:90" x14ac:dyDescent="0.35">
      <c r="A69" s="72">
        <v>1896</v>
      </c>
      <c r="B69" s="72" t="s">
        <v>363</v>
      </c>
      <c r="C69" s="72">
        <v>4</v>
      </c>
      <c r="D69" s="78">
        <v>1639200000</v>
      </c>
      <c r="E69" s="78">
        <v>464450000</v>
      </c>
      <c r="F69" s="78">
        <v>502950000</v>
      </c>
      <c r="G69" s="78">
        <v>22823</v>
      </c>
      <c r="H69" s="78">
        <v>3</v>
      </c>
      <c r="I69" s="78">
        <f t="shared" si="2"/>
        <v>502.95</v>
      </c>
      <c r="J69" s="78">
        <v>5616</v>
      </c>
      <c r="K69" s="78">
        <v>3953</v>
      </c>
      <c r="L69" s="78">
        <v>1213</v>
      </c>
      <c r="M69" s="78">
        <v>2304</v>
      </c>
      <c r="N69" s="78">
        <f t="shared" si="3"/>
        <v>1399.6999999999998</v>
      </c>
      <c r="O69" s="78">
        <v>206</v>
      </c>
      <c r="P69" s="78">
        <v>34</v>
      </c>
      <c r="Q69" s="78">
        <v>1020</v>
      </c>
      <c r="R69" s="78">
        <v>2204</v>
      </c>
      <c r="S69" s="78">
        <v>240</v>
      </c>
      <c r="T69" s="78">
        <v>0</v>
      </c>
      <c r="U69" s="78">
        <v>449</v>
      </c>
      <c r="V69" s="78">
        <v>8895</v>
      </c>
      <c r="W69" s="78">
        <v>20390</v>
      </c>
      <c r="X69" s="78">
        <v>7280</v>
      </c>
      <c r="Y69" s="78">
        <v>0</v>
      </c>
      <c r="Z69" s="78">
        <v>425.6</v>
      </c>
      <c r="AA69" s="78">
        <v>0</v>
      </c>
      <c r="AB69" s="399">
        <f>IF((J69-'[2]Basisgegevens aanvullend'!D69*1.1)&lt;=0,0,J69-'[2]Basisgegevens aanvullend'!D69*1.1)</f>
        <v>0</v>
      </c>
      <c r="AC69" s="399">
        <v>0</v>
      </c>
      <c r="AD69" s="78">
        <v>8227</v>
      </c>
      <c r="AE69" s="78">
        <v>8309.27</v>
      </c>
      <c r="AF69" s="78">
        <v>559</v>
      </c>
      <c r="AG69" s="78">
        <v>0</v>
      </c>
      <c r="AH69" s="78">
        <v>158</v>
      </c>
      <c r="AI69" s="78">
        <v>77</v>
      </c>
      <c r="AJ69" s="78">
        <v>161.16</v>
      </c>
      <c r="AK69" s="78">
        <v>77.77</v>
      </c>
      <c r="AL69" s="78">
        <v>235</v>
      </c>
      <c r="AM69" s="78">
        <v>9043</v>
      </c>
      <c r="AN69" s="78">
        <v>9223.86</v>
      </c>
      <c r="AO69" s="78">
        <v>23</v>
      </c>
      <c r="AP69" s="78">
        <v>0</v>
      </c>
      <c r="AQ69" s="78">
        <v>0</v>
      </c>
      <c r="AR69" s="78">
        <v>4550</v>
      </c>
      <c r="AS69" s="78">
        <v>1380</v>
      </c>
      <c r="AT69" s="78">
        <v>1380</v>
      </c>
      <c r="AU69" s="400">
        <v>4.0715899999999998E-4</v>
      </c>
      <c r="AV69" s="400">
        <v>1.6422E-4</v>
      </c>
      <c r="AW69" s="78">
        <v>6556.1750000000002</v>
      </c>
      <c r="AX69" s="78">
        <v>0</v>
      </c>
      <c r="AY69" s="78">
        <v>2916.88</v>
      </c>
      <c r="AZ69" s="78">
        <v>7739.7141475074004</v>
      </c>
      <c r="BA69" s="78">
        <v>4</v>
      </c>
      <c r="BB69" s="78">
        <v>4.04</v>
      </c>
      <c r="BC69" s="78">
        <v>2392</v>
      </c>
      <c r="BD69" s="78">
        <v>1</v>
      </c>
      <c r="BE69" s="78">
        <v>0</v>
      </c>
      <c r="BF69" s="78">
        <v>0</v>
      </c>
      <c r="BG69" s="78">
        <v>0</v>
      </c>
      <c r="BH69" s="78">
        <v>0</v>
      </c>
      <c r="BI69" s="78">
        <v>0</v>
      </c>
      <c r="BJ69" s="78">
        <v>0</v>
      </c>
      <c r="BK69" s="78">
        <v>0</v>
      </c>
      <c r="BL69" s="78">
        <v>0</v>
      </c>
      <c r="BM69" s="78">
        <v>308.88</v>
      </c>
      <c r="BN69" s="78">
        <v>161</v>
      </c>
      <c r="BO69" s="78">
        <v>34</v>
      </c>
      <c r="BP69" s="78">
        <v>5690.52</v>
      </c>
      <c r="BQ69" s="78">
        <v>1654.93</v>
      </c>
      <c r="BR69" s="78">
        <v>199.60347009013901</v>
      </c>
      <c r="BS69" s="78">
        <v>196</v>
      </c>
      <c r="BT69" s="78">
        <v>75</v>
      </c>
      <c r="BU69" s="78">
        <v>57.6666666666667</v>
      </c>
      <c r="BV69" s="78">
        <f t="shared" si="4"/>
        <v>814</v>
      </c>
      <c r="BW69" s="78">
        <v>323</v>
      </c>
      <c r="BX69" s="78">
        <v>2802.7468988318301</v>
      </c>
      <c r="BY69" s="78">
        <v>0.188</v>
      </c>
      <c r="BZ69" s="78">
        <v>18870</v>
      </c>
      <c r="CA69" s="78">
        <v>2361</v>
      </c>
      <c r="CB69" s="78">
        <v>379</v>
      </c>
      <c r="CC69" s="78">
        <v>401</v>
      </c>
      <c r="CD69" s="78">
        <v>354</v>
      </c>
      <c r="CE69" s="78">
        <v>179</v>
      </c>
      <c r="CF69" s="78">
        <v>221.80361605661801</v>
      </c>
      <c r="CG69" s="78">
        <v>129.55312396328699</v>
      </c>
      <c r="CH69" s="78">
        <v>39.9339378524826</v>
      </c>
      <c r="CI69" s="78">
        <v>672.36360000000002</v>
      </c>
      <c r="CJ69" s="78">
        <v>392.72039999999998</v>
      </c>
      <c r="CK69" s="78">
        <v>121.0536</v>
      </c>
      <c r="CL69" s="78">
        <v>0</v>
      </c>
    </row>
    <row r="70" spans="1:90" x14ac:dyDescent="0.35">
      <c r="A70" s="72">
        <v>193</v>
      </c>
      <c r="B70" s="72" t="s">
        <v>365</v>
      </c>
      <c r="C70" s="72">
        <v>4</v>
      </c>
      <c r="D70" s="78">
        <v>12910400000</v>
      </c>
      <c r="E70" s="78">
        <v>2714250000</v>
      </c>
      <c r="F70" s="78">
        <v>2754850000</v>
      </c>
      <c r="G70" s="78">
        <v>129840</v>
      </c>
      <c r="H70" s="78">
        <v>1</v>
      </c>
      <c r="I70" s="78">
        <f t="shared" ref="I70:I133" si="5">F70/1000000</f>
        <v>2754.85</v>
      </c>
      <c r="J70" s="78">
        <v>27028</v>
      </c>
      <c r="K70" s="78">
        <v>21024</v>
      </c>
      <c r="L70" s="78">
        <v>6537</v>
      </c>
      <c r="M70" s="78">
        <v>18474</v>
      </c>
      <c r="N70" s="78">
        <f t="shared" ref="N70:N133" si="6">IF(M70-0.1*AM70&lt;=0,0,M70-0.1*AM70)</f>
        <v>12407.599999999999</v>
      </c>
      <c r="O70" s="78">
        <v>3483</v>
      </c>
      <c r="P70" s="78">
        <v>150</v>
      </c>
      <c r="Q70" s="78">
        <v>10350</v>
      </c>
      <c r="R70" s="78">
        <v>25174</v>
      </c>
      <c r="S70" s="78">
        <v>7205</v>
      </c>
      <c r="T70" s="78">
        <v>0</v>
      </c>
      <c r="U70" s="78">
        <v>4328</v>
      </c>
      <c r="V70" s="78">
        <v>62823</v>
      </c>
      <c r="W70" s="78">
        <v>144770</v>
      </c>
      <c r="X70" s="78">
        <v>244550</v>
      </c>
      <c r="Y70" s="78">
        <v>7612.6336000000001</v>
      </c>
      <c r="Z70" s="78">
        <v>7888.8</v>
      </c>
      <c r="AA70" s="78">
        <v>0</v>
      </c>
      <c r="AB70" s="399">
        <f>IF((J70-'[2]Basisgegevens aanvullend'!D70*1.1)&lt;=0,0,J70-'[2]Basisgegevens aanvullend'!D70*1.1)</f>
        <v>0</v>
      </c>
      <c r="AC70" s="399">
        <v>0</v>
      </c>
      <c r="AD70" s="78">
        <v>11062</v>
      </c>
      <c r="AE70" s="78">
        <v>11062</v>
      </c>
      <c r="AF70" s="78">
        <v>875</v>
      </c>
      <c r="AG70" s="78">
        <v>0</v>
      </c>
      <c r="AH70" s="78">
        <v>571</v>
      </c>
      <c r="AI70" s="78">
        <v>121</v>
      </c>
      <c r="AJ70" s="78">
        <v>571</v>
      </c>
      <c r="AK70" s="78">
        <v>121</v>
      </c>
      <c r="AL70" s="78">
        <v>692</v>
      </c>
      <c r="AM70" s="78">
        <v>60664</v>
      </c>
      <c r="AN70" s="78">
        <v>60664</v>
      </c>
      <c r="AO70" s="78">
        <v>0</v>
      </c>
      <c r="AP70" s="78">
        <v>41</v>
      </c>
      <c r="AQ70" s="78">
        <v>0</v>
      </c>
      <c r="AR70" s="78">
        <v>4550</v>
      </c>
      <c r="AS70" s="78">
        <v>9313</v>
      </c>
      <c r="AT70" s="78">
        <v>9313</v>
      </c>
      <c r="AU70" s="400">
        <v>5.7861910000000004E-3</v>
      </c>
      <c r="AV70" s="400">
        <v>7.03815E-3</v>
      </c>
      <c r="AW70" s="78">
        <v>126241.784</v>
      </c>
      <c r="AX70" s="78">
        <v>0</v>
      </c>
      <c r="AY70" s="78">
        <v>5310</v>
      </c>
      <c r="AZ70" s="78">
        <v>57757.426489067599</v>
      </c>
      <c r="BA70" s="78">
        <v>3</v>
      </c>
      <c r="BB70" s="78">
        <v>3</v>
      </c>
      <c r="BC70" s="78">
        <v>14509</v>
      </c>
      <c r="BD70" s="78">
        <v>1</v>
      </c>
      <c r="BE70" s="78">
        <v>0</v>
      </c>
      <c r="BF70" s="78">
        <v>0</v>
      </c>
      <c r="BG70" s="78">
        <v>0</v>
      </c>
      <c r="BH70" s="78">
        <v>0</v>
      </c>
      <c r="BI70" s="78">
        <v>0</v>
      </c>
      <c r="BJ70" s="78">
        <v>0</v>
      </c>
      <c r="BK70" s="78">
        <v>0</v>
      </c>
      <c r="BL70" s="78">
        <v>0</v>
      </c>
      <c r="BM70" s="78">
        <v>3108.22</v>
      </c>
      <c r="BN70" s="78">
        <v>301</v>
      </c>
      <c r="BO70" s="78">
        <v>254</v>
      </c>
      <c r="BP70" s="78">
        <v>37088</v>
      </c>
      <c r="BQ70" s="78">
        <v>9026.17</v>
      </c>
      <c r="BR70" s="78">
        <v>1535.5608473975201</v>
      </c>
      <c r="BS70" s="78">
        <v>1680</v>
      </c>
      <c r="BT70" s="78">
        <v>874.33333333333303</v>
      </c>
      <c r="BU70" s="78">
        <v>797.66666666666697</v>
      </c>
      <c r="BV70" s="78">
        <f t="shared" ref="BV70:BV133" si="7">Q70-O70</f>
        <v>6867</v>
      </c>
      <c r="BW70" s="78">
        <v>2792</v>
      </c>
      <c r="BX70" s="78">
        <v>16161.6737659112</v>
      </c>
      <c r="BY70" s="78">
        <v>9.1929999999999996</v>
      </c>
      <c r="BZ70" s="78">
        <v>108816</v>
      </c>
      <c r="CA70" s="78">
        <v>12060</v>
      </c>
      <c r="CB70" s="78">
        <v>2427</v>
      </c>
      <c r="CC70" s="78">
        <v>3208</v>
      </c>
      <c r="CD70" s="78">
        <v>2345</v>
      </c>
      <c r="CE70" s="78">
        <v>1277</v>
      </c>
      <c r="CF70" s="78">
        <v>1610.05913226955</v>
      </c>
      <c r="CG70" s="78">
        <v>937.76945140445696</v>
      </c>
      <c r="CH70" s="78">
        <v>353.83667413952298</v>
      </c>
      <c r="CI70" s="78">
        <v>3693.5423999999998</v>
      </c>
      <c r="CJ70" s="78">
        <v>2151.2820000000002</v>
      </c>
      <c r="CK70" s="78">
        <v>811.71600000000001</v>
      </c>
      <c r="CL70" s="78">
        <v>160063</v>
      </c>
    </row>
    <row r="71" spans="1:90" x14ac:dyDescent="0.35">
      <c r="A71" s="72">
        <v>197</v>
      </c>
      <c r="B71" s="72" t="s">
        <v>13</v>
      </c>
      <c r="C71" s="72">
        <v>5</v>
      </c>
      <c r="D71" s="78">
        <v>2221200000</v>
      </c>
      <c r="E71" s="78">
        <v>324800000</v>
      </c>
      <c r="F71" s="78">
        <v>354200000</v>
      </c>
      <c r="G71" s="78">
        <v>27120</v>
      </c>
      <c r="H71" s="78">
        <v>3</v>
      </c>
      <c r="I71" s="78">
        <f t="shared" si="5"/>
        <v>354.2</v>
      </c>
      <c r="J71" s="78">
        <v>5202</v>
      </c>
      <c r="K71" s="78">
        <v>6197</v>
      </c>
      <c r="L71" s="78">
        <v>2027</v>
      </c>
      <c r="M71" s="78">
        <v>3758</v>
      </c>
      <c r="N71" s="78">
        <f t="shared" si="6"/>
        <v>2510</v>
      </c>
      <c r="O71" s="78">
        <v>283.66666666666703</v>
      </c>
      <c r="P71" s="78">
        <v>35</v>
      </c>
      <c r="Q71" s="78">
        <v>1799.6666666666699</v>
      </c>
      <c r="R71" s="78">
        <v>3480</v>
      </c>
      <c r="S71" s="78">
        <v>575</v>
      </c>
      <c r="T71" s="78">
        <v>0</v>
      </c>
      <c r="U71" s="78">
        <v>660</v>
      </c>
      <c r="V71" s="78">
        <v>12008</v>
      </c>
      <c r="W71" s="78">
        <v>26740</v>
      </c>
      <c r="X71" s="78">
        <v>17540</v>
      </c>
      <c r="Y71" s="78">
        <v>146.52000000000001</v>
      </c>
      <c r="Z71" s="78">
        <v>1175.2</v>
      </c>
      <c r="AA71" s="78">
        <v>0</v>
      </c>
      <c r="AB71" s="399">
        <f>IF((J71-'[2]Basisgegevens aanvullend'!D71*1.1)&lt;=0,0,J71-'[2]Basisgegevens aanvullend'!D71*1.1)</f>
        <v>0</v>
      </c>
      <c r="AC71" s="399">
        <v>0</v>
      </c>
      <c r="AD71" s="78">
        <v>9653</v>
      </c>
      <c r="AE71" s="78">
        <v>9653</v>
      </c>
      <c r="AF71" s="78">
        <v>52</v>
      </c>
      <c r="AG71" s="78">
        <v>0</v>
      </c>
      <c r="AH71" s="78">
        <v>165</v>
      </c>
      <c r="AI71" s="78">
        <v>112</v>
      </c>
      <c r="AJ71" s="78">
        <v>165</v>
      </c>
      <c r="AK71" s="78">
        <v>112</v>
      </c>
      <c r="AL71" s="78">
        <v>277</v>
      </c>
      <c r="AM71" s="78">
        <v>12480</v>
      </c>
      <c r="AN71" s="78">
        <v>12480</v>
      </c>
      <c r="AO71" s="78">
        <v>5</v>
      </c>
      <c r="AP71" s="78">
        <v>0</v>
      </c>
      <c r="AQ71" s="78">
        <v>0</v>
      </c>
      <c r="AR71" s="78">
        <v>0</v>
      </c>
      <c r="AS71" s="78">
        <v>996</v>
      </c>
      <c r="AT71" s="78">
        <v>0</v>
      </c>
      <c r="AU71" s="400">
        <v>6.4835299999999995E-4</v>
      </c>
      <c r="AV71" s="400">
        <v>1.9834099999999999E-4</v>
      </c>
      <c r="AW71" s="78">
        <v>9659.52</v>
      </c>
      <c r="AX71" s="78">
        <v>0</v>
      </c>
      <c r="AY71" s="78">
        <v>945</v>
      </c>
      <c r="AZ71" s="78">
        <v>2640.7418856259701</v>
      </c>
      <c r="BA71" s="78">
        <v>11</v>
      </c>
      <c r="BB71" s="78">
        <v>11</v>
      </c>
      <c r="BC71" s="78">
        <v>2716</v>
      </c>
      <c r="BD71" s="78">
        <v>1</v>
      </c>
      <c r="BE71" s="78">
        <v>0</v>
      </c>
      <c r="BF71" s="78">
        <v>0</v>
      </c>
      <c r="BG71" s="78">
        <v>0</v>
      </c>
      <c r="BH71" s="78">
        <v>0</v>
      </c>
      <c r="BI71" s="78">
        <v>0</v>
      </c>
      <c r="BJ71" s="78">
        <v>0</v>
      </c>
      <c r="BK71" s="78">
        <v>0</v>
      </c>
      <c r="BL71" s="78">
        <v>0</v>
      </c>
      <c r="BM71" s="78">
        <v>390.15</v>
      </c>
      <c r="BN71" s="78">
        <v>106</v>
      </c>
      <c r="BO71" s="78">
        <v>25</v>
      </c>
      <c r="BP71" s="78">
        <v>7036.35</v>
      </c>
      <c r="BQ71" s="78">
        <v>1603.7</v>
      </c>
      <c r="BR71" s="78">
        <v>154.877205298013</v>
      </c>
      <c r="BS71" s="78">
        <v>253</v>
      </c>
      <c r="BT71" s="78">
        <v>77</v>
      </c>
      <c r="BU71" s="78">
        <v>59</v>
      </c>
      <c r="BV71" s="78">
        <f t="shared" si="7"/>
        <v>1516.000000000003</v>
      </c>
      <c r="BW71" s="78">
        <v>396</v>
      </c>
      <c r="BX71" s="78">
        <v>4786.3035138822297</v>
      </c>
      <c r="BY71" s="78">
        <v>0.34499999999999997</v>
      </c>
      <c r="BZ71" s="78">
        <v>20923</v>
      </c>
      <c r="CA71" s="78">
        <v>3484</v>
      </c>
      <c r="CB71" s="78">
        <v>686</v>
      </c>
      <c r="CC71" s="78">
        <v>659</v>
      </c>
      <c r="CD71" s="78">
        <v>641</v>
      </c>
      <c r="CE71" s="78">
        <v>356</v>
      </c>
      <c r="CF71" s="78">
        <v>423.5625</v>
      </c>
      <c r="CG71" s="78">
        <v>280.967147435897</v>
      </c>
      <c r="CH71" s="78">
        <v>96.337339743589794</v>
      </c>
      <c r="CI71" s="78">
        <v>1087.3278</v>
      </c>
      <c r="CJ71" s="78">
        <v>721.27110000000005</v>
      </c>
      <c r="CK71" s="78">
        <v>247.30770000000001</v>
      </c>
      <c r="CL71" s="78">
        <v>18250</v>
      </c>
    </row>
    <row r="72" spans="1:90" x14ac:dyDescent="0.35">
      <c r="A72" s="72">
        <v>200</v>
      </c>
      <c r="B72" s="72" t="s">
        <v>27</v>
      </c>
      <c r="C72" s="72">
        <v>5</v>
      </c>
      <c r="D72" s="78">
        <v>16312400000</v>
      </c>
      <c r="E72" s="78">
        <v>2729300000</v>
      </c>
      <c r="F72" s="78">
        <v>2900800000</v>
      </c>
      <c r="G72" s="78">
        <v>164781</v>
      </c>
      <c r="H72" s="78">
        <v>4</v>
      </c>
      <c r="I72" s="78">
        <f t="shared" si="5"/>
        <v>2900.8</v>
      </c>
      <c r="J72" s="78">
        <v>31243</v>
      </c>
      <c r="K72" s="78">
        <v>35190</v>
      </c>
      <c r="L72" s="78">
        <v>11014</v>
      </c>
      <c r="M72" s="78">
        <v>23375</v>
      </c>
      <c r="N72" s="78">
        <f t="shared" si="6"/>
        <v>15543.5</v>
      </c>
      <c r="O72" s="78">
        <v>3327</v>
      </c>
      <c r="P72" s="78">
        <v>138</v>
      </c>
      <c r="Q72" s="78">
        <v>12834</v>
      </c>
      <c r="R72" s="78">
        <v>27126</v>
      </c>
      <c r="S72" s="78">
        <v>8940</v>
      </c>
      <c r="T72" s="78">
        <v>0</v>
      </c>
      <c r="U72" s="78">
        <v>5346</v>
      </c>
      <c r="V72" s="78">
        <v>78192</v>
      </c>
      <c r="W72" s="78">
        <v>172250</v>
      </c>
      <c r="X72" s="78">
        <v>260580</v>
      </c>
      <c r="Y72" s="78">
        <v>4609.8599999999997</v>
      </c>
      <c r="Z72" s="78">
        <v>8522.4</v>
      </c>
      <c r="AA72" s="78">
        <v>0</v>
      </c>
      <c r="AB72" s="399">
        <f>IF((J72-'[2]Basisgegevens aanvullend'!D72*1.1)&lt;=0,0,J72-'[2]Basisgegevens aanvullend'!D72*1.1)</f>
        <v>0</v>
      </c>
      <c r="AC72" s="399">
        <v>0</v>
      </c>
      <c r="AD72" s="78">
        <v>33983</v>
      </c>
      <c r="AE72" s="78">
        <v>33983</v>
      </c>
      <c r="AF72" s="78">
        <v>132</v>
      </c>
      <c r="AG72" s="78">
        <v>0</v>
      </c>
      <c r="AH72" s="78">
        <v>844</v>
      </c>
      <c r="AI72" s="78">
        <v>184</v>
      </c>
      <c r="AJ72" s="78">
        <v>844</v>
      </c>
      <c r="AK72" s="78">
        <v>184</v>
      </c>
      <c r="AL72" s="78">
        <v>1028</v>
      </c>
      <c r="AM72" s="78">
        <v>78315</v>
      </c>
      <c r="AN72" s="78">
        <v>78315</v>
      </c>
      <c r="AO72" s="78">
        <v>0</v>
      </c>
      <c r="AP72" s="78">
        <v>0</v>
      </c>
      <c r="AQ72" s="78">
        <v>0</v>
      </c>
      <c r="AR72" s="78">
        <v>0</v>
      </c>
      <c r="AS72" s="78">
        <v>11306</v>
      </c>
      <c r="AT72" s="78">
        <v>0</v>
      </c>
      <c r="AU72" s="400">
        <v>3.582399E-3</v>
      </c>
      <c r="AV72" s="400">
        <v>4.7824729999999998E-3</v>
      </c>
      <c r="AW72" s="78">
        <v>138617.54999999999</v>
      </c>
      <c r="AX72" s="78">
        <v>0</v>
      </c>
      <c r="AY72" s="78">
        <v>2448</v>
      </c>
      <c r="AZ72" s="78">
        <v>11824.2382529679</v>
      </c>
      <c r="BA72" s="78">
        <v>26</v>
      </c>
      <c r="BB72" s="78">
        <v>26</v>
      </c>
      <c r="BC72" s="78">
        <v>18054</v>
      </c>
      <c r="BD72" s="78">
        <v>1</v>
      </c>
      <c r="BE72" s="78">
        <v>0</v>
      </c>
      <c r="BF72" s="78">
        <v>0</v>
      </c>
      <c r="BG72" s="78">
        <v>0</v>
      </c>
      <c r="BH72" s="78">
        <v>0</v>
      </c>
      <c r="BI72" s="78">
        <v>0</v>
      </c>
      <c r="BJ72" s="78">
        <v>0</v>
      </c>
      <c r="BK72" s="78">
        <v>0</v>
      </c>
      <c r="BL72" s="78">
        <v>0</v>
      </c>
      <c r="BM72" s="78">
        <v>3530.4589999999998</v>
      </c>
      <c r="BN72" s="78">
        <v>491</v>
      </c>
      <c r="BO72" s="78">
        <v>335</v>
      </c>
      <c r="BP72" s="78">
        <v>49038.66</v>
      </c>
      <c r="BQ72" s="78">
        <v>10953.18</v>
      </c>
      <c r="BR72" s="78">
        <v>1245.77882827079</v>
      </c>
      <c r="BS72" s="78">
        <v>2013</v>
      </c>
      <c r="BT72" s="78">
        <v>916.66666666666697</v>
      </c>
      <c r="BU72" s="78">
        <v>852</v>
      </c>
      <c r="BV72" s="78">
        <f t="shared" si="7"/>
        <v>9507</v>
      </c>
      <c r="BW72" s="78">
        <v>3189</v>
      </c>
      <c r="BX72" s="78">
        <v>30700.255991649301</v>
      </c>
      <c r="BY72" s="78">
        <v>8.3360000000000003</v>
      </c>
      <c r="BZ72" s="78">
        <v>129591</v>
      </c>
      <c r="CA72" s="78">
        <v>20200</v>
      </c>
      <c r="CB72" s="78">
        <v>3976</v>
      </c>
      <c r="CC72" s="78">
        <v>4514</v>
      </c>
      <c r="CD72" s="78">
        <v>3600</v>
      </c>
      <c r="CE72" s="78">
        <v>2002</v>
      </c>
      <c r="CF72" s="78">
        <v>2460.6820277086099</v>
      </c>
      <c r="CG72" s="78">
        <v>1498.2810636531999</v>
      </c>
      <c r="CH72" s="78">
        <v>547.98702036646898</v>
      </c>
      <c r="CI72" s="78">
        <v>5569.1815999999999</v>
      </c>
      <c r="CJ72" s="78">
        <v>3391.0108</v>
      </c>
      <c r="CK72" s="78">
        <v>1240.2411999999999</v>
      </c>
      <c r="CL72" s="78">
        <v>489092</v>
      </c>
    </row>
    <row r="73" spans="1:90" x14ac:dyDescent="0.35">
      <c r="A73" s="72">
        <v>202</v>
      </c>
      <c r="B73" s="72" t="s">
        <v>29</v>
      </c>
      <c r="C73" s="72">
        <v>5</v>
      </c>
      <c r="D73" s="78">
        <v>14413200000</v>
      </c>
      <c r="E73" s="78">
        <v>2613100000</v>
      </c>
      <c r="F73" s="78">
        <v>2628150000</v>
      </c>
      <c r="G73" s="78">
        <v>162424</v>
      </c>
      <c r="H73" s="78">
        <v>1</v>
      </c>
      <c r="I73" s="78">
        <f t="shared" si="5"/>
        <v>2628.15</v>
      </c>
      <c r="J73" s="78">
        <v>29939</v>
      </c>
      <c r="K73" s="78">
        <v>25339</v>
      </c>
      <c r="L73" s="78">
        <v>7377</v>
      </c>
      <c r="M73" s="78">
        <v>29698</v>
      </c>
      <c r="N73" s="78">
        <f t="shared" si="6"/>
        <v>21686.2</v>
      </c>
      <c r="O73" s="78">
        <v>7394</v>
      </c>
      <c r="P73" s="78">
        <v>183</v>
      </c>
      <c r="Q73" s="78">
        <v>17990</v>
      </c>
      <c r="R73" s="78">
        <v>39734</v>
      </c>
      <c r="S73" s="78">
        <v>20145</v>
      </c>
      <c r="T73" s="78">
        <v>0</v>
      </c>
      <c r="U73" s="78">
        <v>6708</v>
      </c>
      <c r="V73" s="78">
        <v>85802</v>
      </c>
      <c r="W73" s="78">
        <v>192830</v>
      </c>
      <c r="X73" s="78">
        <v>337520</v>
      </c>
      <c r="Y73" s="78">
        <v>7072.1360000000004</v>
      </c>
      <c r="Z73" s="78">
        <v>6689.6</v>
      </c>
      <c r="AA73" s="78">
        <v>0</v>
      </c>
      <c r="AB73" s="399">
        <f>IF((J73-'[2]Basisgegevens aanvullend'!D73*1.1)&lt;=0,0,J73-'[2]Basisgegevens aanvullend'!D73*1.1)</f>
        <v>0</v>
      </c>
      <c r="AC73" s="399">
        <v>0</v>
      </c>
      <c r="AD73" s="78">
        <v>9768</v>
      </c>
      <c r="AE73" s="78">
        <v>9768</v>
      </c>
      <c r="AF73" s="78">
        <v>386</v>
      </c>
      <c r="AG73" s="78">
        <v>0</v>
      </c>
      <c r="AH73" s="78">
        <v>624</v>
      </c>
      <c r="AI73" s="78">
        <v>51</v>
      </c>
      <c r="AJ73" s="78">
        <v>630.24</v>
      </c>
      <c r="AK73" s="78">
        <v>51</v>
      </c>
      <c r="AL73" s="78">
        <v>674</v>
      </c>
      <c r="AM73" s="78">
        <v>80118</v>
      </c>
      <c r="AN73" s="78">
        <v>80919.179999999993</v>
      </c>
      <c r="AO73" s="78">
        <v>18</v>
      </c>
      <c r="AP73" s="78">
        <v>0</v>
      </c>
      <c r="AQ73" s="78">
        <v>0</v>
      </c>
      <c r="AR73" s="78">
        <v>0</v>
      </c>
      <c r="AS73" s="78">
        <v>18048</v>
      </c>
      <c r="AT73" s="78">
        <v>18048</v>
      </c>
      <c r="AU73" s="400">
        <v>1.6613725999999999E-2</v>
      </c>
      <c r="AV73" s="400">
        <v>2.0141675000000001E-2</v>
      </c>
      <c r="AW73" s="78">
        <v>179384.20199999999</v>
      </c>
      <c r="AX73" s="78">
        <v>0</v>
      </c>
      <c r="AY73" s="78">
        <v>2340</v>
      </c>
      <c r="AZ73" s="78">
        <v>37654.726807169602</v>
      </c>
      <c r="BA73" s="78">
        <v>6</v>
      </c>
      <c r="BB73" s="78">
        <v>6</v>
      </c>
      <c r="BC73" s="78">
        <v>20086</v>
      </c>
      <c r="BD73" s="78">
        <v>1</v>
      </c>
      <c r="BE73" s="78">
        <v>0</v>
      </c>
      <c r="BF73" s="78">
        <v>0</v>
      </c>
      <c r="BG73" s="78">
        <v>0</v>
      </c>
      <c r="BH73" s="78">
        <v>0</v>
      </c>
      <c r="BI73" s="78">
        <v>0</v>
      </c>
      <c r="BJ73" s="78">
        <v>0</v>
      </c>
      <c r="BK73" s="78">
        <v>0</v>
      </c>
      <c r="BL73" s="78">
        <v>0</v>
      </c>
      <c r="BM73" s="78">
        <v>5778.2269999999999</v>
      </c>
      <c r="BN73" s="78">
        <v>569</v>
      </c>
      <c r="BO73" s="78">
        <v>642</v>
      </c>
      <c r="BP73" s="78">
        <v>44419.86</v>
      </c>
      <c r="BQ73" s="78">
        <v>9693.6</v>
      </c>
      <c r="BR73" s="78">
        <v>1577.7528826405901</v>
      </c>
      <c r="BS73" s="78">
        <v>2459</v>
      </c>
      <c r="BT73" s="78">
        <v>1774.6666666666699</v>
      </c>
      <c r="BU73" s="78">
        <v>1674.3333333333301</v>
      </c>
      <c r="BV73" s="78">
        <f t="shared" si="7"/>
        <v>10596</v>
      </c>
      <c r="BW73" s="78">
        <v>3971</v>
      </c>
      <c r="BX73" s="78">
        <v>21812.741488955598</v>
      </c>
      <c r="BY73" s="78">
        <v>22.898</v>
      </c>
      <c r="BZ73" s="78">
        <v>137085</v>
      </c>
      <c r="CA73" s="78">
        <v>15213</v>
      </c>
      <c r="CB73" s="78">
        <v>2749</v>
      </c>
      <c r="CC73" s="78">
        <v>4960</v>
      </c>
      <c r="CD73" s="78">
        <v>2939</v>
      </c>
      <c r="CE73" s="78">
        <v>1295</v>
      </c>
      <c r="CF73" s="78">
        <v>2802.0612396714801</v>
      </c>
      <c r="CG73" s="78">
        <v>1432.9706532864</v>
      </c>
      <c r="CH73" s="78">
        <v>476.93507576324902</v>
      </c>
      <c r="CI73" s="78">
        <v>5630.4528</v>
      </c>
      <c r="CJ73" s="78">
        <v>2879.4065999999998</v>
      </c>
      <c r="CK73" s="78">
        <v>958.35180000000003</v>
      </c>
      <c r="CL73" s="78">
        <v>392735</v>
      </c>
    </row>
    <row r="74" spans="1:90" x14ac:dyDescent="0.35">
      <c r="A74" s="72">
        <v>203</v>
      </c>
      <c r="B74" s="72" t="s">
        <v>35</v>
      </c>
      <c r="C74" s="72">
        <v>5</v>
      </c>
      <c r="D74" s="78">
        <v>6154400000</v>
      </c>
      <c r="E74" s="78">
        <v>1400700000</v>
      </c>
      <c r="F74" s="78">
        <v>1481550000</v>
      </c>
      <c r="G74" s="78">
        <v>59992</v>
      </c>
      <c r="H74" s="78">
        <v>7</v>
      </c>
      <c r="I74" s="78">
        <f t="shared" si="5"/>
        <v>1481.55</v>
      </c>
      <c r="J74" s="78">
        <v>15313</v>
      </c>
      <c r="K74" s="78">
        <v>9988</v>
      </c>
      <c r="L74" s="78">
        <v>3254</v>
      </c>
      <c r="M74" s="78">
        <v>5707</v>
      </c>
      <c r="N74" s="78">
        <f t="shared" si="6"/>
        <v>3017.8999999999996</v>
      </c>
      <c r="O74" s="78">
        <v>523</v>
      </c>
      <c r="P74" s="78">
        <v>74</v>
      </c>
      <c r="Q74" s="78">
        <v>2564</v>
      </c>
      <c r="R74" s="78">
        <v>6297</v>
      </c>
      <c r="S74" s="78">
        <v>1660</v>
      </c>
      <c r="T74" s="78">
        <v>0</v>
      </c>
      <c r="U74" s="78">
        <v>1154</v>
      </c>
      <c r="V74" s="78">
        <v>23487</v>
      </c>
      <c r="W74" s="78">
        <v>56810</v>
      </c>
      <c r="X74" s="78">
        <v>34120</v>
      </c>
      <c r="Y74" s="78">
        <v>2359.08</v>
      </c>
      <c r="Z74" s="78">
        <v>3796</v>
      </c>
      <c r="AA74" s="78">
        <v>0</v>
      </c>
      <c r="AB74" s="399">
        <f>IF((J74-'[2]Basisgegevens aanvullend'!D74*1.1)&lt;=0,0,J74-'[2]Basisgegevens aanvullend'!D74*1.1)</f>
        <v>0</v>
      </c>
      <c r="AC74" s="399">
        <v>0</v>
      </c>
      <c r="AD74" s="78">
        <v>17586</v>
      </c>
      <c r="AE74" s="78">
        <v>17586</v>
      </c>
      <c r="AF74" s="78">
        <v>80</v>
      </c>
      <c r="AG74" s="78">
        <v>0</v>
      </c>
      <c r="AH74" s="78">
        <v>374</v>
      </c>
      <c r="AI74" s="78">
        <v>261</v>
      </c>
      <c r="AJ74" s="78">
        <v>374</v>
      </c>
      <c r="AK74" s="78">
        <v>261</v>
      </c>
      <c r="AL74" s="78">
        <v>636</v>
      </c>
      <c r="AM74" s="78">
        <v>26891</v>
      </c>
      <c r="AN74" s="78">
        <v>26891</v>
      </c>
      <c r="AO74" s="78">
        <v>0</v>
      </c>
      <c r="AP74" s="78">
        <v>0</v>
      </c>
      <c r="AQ74" s="78">
        <v>0</v>
      </c>
      <c r="AR74" s="78">
        <v>0</v>
      </c>
      <c r="AS74" s="78">
        <v>920</v>
      </c>
      <c r="AT74" s="78">
        <v>0</v>
      </c>
      <c r="AU74" s="400">
        <v>4.0559299999999999E-4</v>
      </c>
      <c r="AV74" s="400">
        <v>1.9817000000000001E-4</v>
      </c>
      <c r="AW74" s="78">
        <v>23798.535</v>
      </c>
      <c r="AX74" s="78">
        <v>0</v>
      </c>
      <c r="AY74" s="78">
        <v>1228</v>
      </c>
      <c r="AZ74" s="78">
        <v>4170.1673270689498</v>
      </c>
      <c r="BA74" s="78">
        <v>19</v>
      </c>
      <c r="BB74" s="78">
        <v>19</v>
      </c>
      <c r="BC74" s="78">
        <v>8267</v>
      </c>
      <c r="BD74" s="78">
        <v>1</v>
      </c>
      <c r="BE74" s="78">
        <v>0</v>
      </c>
      <c r="BF74" s="78">
        <v>0</v>
      </c>
      <c r="BG74" s="78">
        <v>0</v>
      </c>
      <c r="BH74" s="78">
        <v>0</v>
      </c>
      <c r="BI74" s="78">
        <v>0</v>
      </c>
      <c r="BJ74" s="78">
        <v>0</v>
      </c>
      <c r="BK74" s="78">
        <v>0</v>
      </c>
      <c r="BL74" s="78">
        <v>0</v>
      </c>
      <c r="BM74" s="78">
        <v>964.71900000000005</v>
      </c>
      <c r="BN74" s="78">
        <v>799</v>
      </c>
      <c r="BO74" s="78">
        <v>107</v>
      </c>
      <c r="BP74" s="78">
        <v>15649.89</v>
      </c>
      <c r="BQ74" s="78">
        <v>4570.8</v>
      </c>
      <c r="BR74" s="78">
        <v>687.48035904853703</v>
      </c>
      <c r="BS74" s="78">
        <v>497</v>
      </c>
      <c r="BT74" s="78">
        <v>170.333333333333</v>
      </c>
      <c r="BU74" s="78">
        <v>133</v>
      </c>
      <c r="BV74" s="78">
        <f t="shared" si="7"/>
        <v>2041</v>
      </c>
      <c r="BW74" s="78">
        <v>698</v>
      </c>
      <c r="BX74" s="78">
        <v>7101.8863058122597</v>
      </c>
      <c r="BY74" s="78">
        <v>0.36899999999999999</v>
      </c>
      <c r="BZ74" s="78">
        <v>50004</v>
      </c>
      <c r="CA74" s="78">
        <v>5453</v>
      </c>
      <c r="CB74" s="78">
        <v>1281</v>
      </c>
      <c r="CC74" s="78">
        <v>988</v>
      </c>
      <c r="CD74" s="78">
        <v>978</v>
      </c>
      <c r="CE74" s="78">
        <v>572</v>
      </c>
      <c r="CF74" s="78">
        <v>370.57401361050199</v>
      </c>
      <c r="CG74" s="78">
        <v>247.46084191737</v>
      </c>
      <c r="CH74" s="78">
        <v>94.383024060094499</v>
      </c>
      <c r="CI74" s="78">
        <v>1432.0773999999999</v>
      </c>
      <c r="CJ74" s="78">
        <v>956.30849999999998</v>
      </c>
      <c r="CK74" s="78">
        <v>364.74169999999998</v>
      </c>
      <c r="CL74" s="78">
        <v>11907</v>
      </c>
    </row>
    <row r="75" spans="1:90" x14ac:dyDescent="0.35">
      <c r="A75" s="72">
        <v>1945</v>
      </c>
      <c r="B75" s="72" t="s">
        <v>40</v>
      </c>
      <c r="C75" s="72">
        <v>5</v>
      </c>
      <c r="D75" s="78">
        <v>3445600000</v>
      </c>
      <c r="E75" s="78">
        <v>343000000</v>
      </c>
      <c r="F75" s="78">
        <v>383250000</v>
      </c>
      <c r="G75" s="78">
        <v>35010</v>
      </c>
      <c r="H75" s="78">
        <v>5</v>
      </c>
      <c r="I75" s="78">
        <f t="shared" si="5"/>
        <v>383.25</v>
      </c>
      <c r="J75" s="78">
        <v>5817</v>
      </c>
      <c r="K75" s="78">
        <v>8864</v>
      </c>
      <c r="L75" s="78">
        <v>2812</v>
      </c>
      <c r="M75" s="78">
        <v>5160</v>
      </c>
      <c r="N75" s="78">
        <f t="shared" si="6"/>
        <v>3500.3999999999996</v>
      </c>
      <c r="O75" s="78">
        <v>711.33333333333303</v>
      </c>
      <c r="P75" s="78">
        <v>22</v>
      </c>
      <c r="Q75" s="78">
        <v>2732.3333333333298</v>
      </c>
      <c r="R75" s="78">
        <v>5467</v>
      </c>
      <c r="S75" s="78">
        <v>710</v>
      </c>
      <c r="T75" s="78">
        <v>0</v>
      </c>
      <c r="U75" s="78">
        <v>1049</v>
      </c>
      <c r="V75" s="78">
        <v>16726</v>
      </c>
      <c r="W75" s="78">
        <v>26960</v>
      </c>
      <c r="X75" s="78">
        <v>7650</v>
      </c>
      <c r="Y75" s="78">
        <v>2042.08</v>
      </c>
      <c r="Z75" s="78">
        <v>654.4</v>
      </c>
      <c r="AA75" s="78">
        <v>0</v>
      </c>
      <c r="AB75" s="399">
        <f>IF((J75-'[2]Basisgegevens aanvullend'!D75*1.1)&lt;=0,0,J75-'[2]Basisgegevens aanvullend'!D75*1.1)</f>
        <v>0</v>
      </c>
      <c r="AC75" s="399">
        <v>0</v>
      </c>
      <c r="AD75" s="78">
        <v>8631</v>
      </c>
      <c r="AE75" s="78">
        <v>8631</v>
      </c>
      <c r="AF75" s="78">
        <v>697</v>
      </c>
      <c r="AG75" s="78">
        <v>0</v>
      </c>
      <c r="AH75" s="78">
        <v>187</v>
      </c>
      <c r="AI75" s="78">
        <v>49</v>
      </c>
      <c r="AJ75" s="78">
        <v>187</v>
      </c>
      <c r="AK75" s="78">
        <v>49</v>
      </c>
      <c r="AL75" s="78">
        <v>236</v>
      </c>
      <c r="AM75" s="78">
        <v>16596</v>
      </c>
      <c r="AN75" s="78">
        <v>16596</v>
      </c>
      <c r="AO75" s="78">
        <v>0</v>
      </c>
      <c r="AP75" s="78">
        <v>0</v>
      </c>
      <c r="AQ75" s="78">
        <v>0</v>
      </c>
      <c r="AR75" s="78">
        <v>0</v>
      </c>
      <c r="AS75" s="78">
        <v>1067</v>
      </c>
      <c r="AT75" s="78">
        <v>0</v>
      </c>
      <c r="AU75" s="400">
        <v>3.8512900000000001E-4</v>
      </c>
      <c r="AV75" s="400">
        <v>2.6932900000000001E-4</v>
      </c>
      <c r="AW75" s="78">
        <v>10837.188</v>
      </c>
      <c r="AX75" s="78">
        <v>0</v>
      </c>
      <c r="AY75" s="78">
        <v>1892</v>
      </c>
      <c r="AZ75" s="78">
        <v>7281.2392795883397</v>
      </c>
      <c r="BA75" s="78">
        <v>12</v>
      </c>
      <c r="BB75" s="78">
        <v>12</v>
      </c>
      <c r="BC75" s="78">
        <v>3844</v>
      </c>
      <c r="BD75" s="78">
        <v>1</v>
      </c>
      <c r="BE75" s="78">
        <v>0</v>
      </c>
      <c r="BF75" s="78">
        <v>0</v>
      </c>
      <c r="BG75" s="78">
        <v>0</v>
      </c>
      <c r="BH75" s="78">
        <v>0</v>
      </c>
      <c r="BI75" s="78">
        <v>0</v>
      </c>
      <c r="BJ75" s="78">
        <v>0</v>
      </c>
      <c r="BK75" s="78">
        <v>0</v>
      </c>
      <c r="BL75" s="78">
        <v>0</v>
      </c>
      <c r="BM75" s="78">
        <v>517.71299999999997</v>
      </c>
      <c r="BN75" s="78">
        <v>67</v>
      </c>
      <c r="BO75" s="78">
        <v>58</v>
      </c>
      <c r="BP75" s="78">
        <v>10151.68</v>
      </c>
      <c r="BQ75" s="78">
        <v>2216.5</v>
      </c>
      <c r="BR75" s="78">
        <v>191.109731707317</v>
      </c>
      <c r="BS75" s="78">
        <v>350</v>
      </c>
      <c r="BT75" s="78">
        <v>184.333333333333</v>
      </c>
      <c r="BU75" s="78">
        <v>155.666666666667</v>
      </c>
      <c r="BV75" s="78">
        <f t="shared" si="7"/>
        <v>2020.9999999999968</v>
      </c>
      <c r="BW75" s="78">
        <v>692</v>
      </c>
      <c r="BX75" s="78">
        <v>6842.4779835391</v>
      </c>
      <c r="BY75" s="78">
        <v>1.98</v>
      </c>
      <c r="BZ75" s="78">
        <v>26146</v>
      </c>
      <c r="CA75" s="78">
        <v>4992</v>
      </c>
      <c r="CB75" s="78">
        <v>1060</v>
      </c>
      <c r="CC75" s="78">
        <v>1119</v>
      </c>
      <c r="CD75" s="78">
        <v>929</v>
      </c>
      <c r="CE75" s="78">
        <v>494</v>
      </c>
      <c r="CF75" s="78">
        <v>662.49436008676798</v>
      </c>
      <c r="CG75" s="78">
        <v>403.48669558929902</v>
      </c>
      <c r="CH75" s="78">
        <v>145.32270426608801</v>
      </c>
      <c r="CI75" s="78">
        <v>1461.1931999999999</v>
      </c>
      <c r="CJ75" s="78">
        <v>889.92759999999998</v>
      </c>
      <c r="CK75" s="78">
        <v>320.52280000000002</v>
      </c>
      <c r="CL75" s="78">
        <v>160408</v>
      </c>
    </row>
    <row r="76" spans="1:90" x14ac:dyDescent="0.35">
      <c r="A76" s="72">
        <v>1859</v>
      </c>
      <c r="B76" s="72" t="s">
        <v>45</v>
      </c>
      <c r="C76" s="72">
        <v>5</v>
      </c>
      <c r="D76" s="78">
        <v>4027200000</v>
      </c>
      <c r="E76" s="78">
        <v>615300000</v>
      </c>
      <c r="F76" s="78">
        <v>732550000</v>
      </c>
      <c r="G76" s="78">
        <v>43846</v>
      </c>
      <c r="H76" s="78">
        <v>5</v>
      </c>
      <c r="I76" s="78">
        <f t="shared" si="5"/>
        <v>732.55</v>
      </c>
      <c r="J76" s="78">
        <v>7702</v>
      </c>
      <c r="K76" s="78">
        <v>11115</v>
      </c>
      <c r="L76" s="78">
        <v>3685</v>
      </c>
      <c r="M76" s="78">
        <v>5719</v>
      </c>
      <c r="N76" s="78">
        <f t="shared" si="6"/>
        <v>3695.2</v>
      </c>
      <c r="O76" s="78">
        <v>534.33333333333303</v>
      </c>
      <c r="P76" s="78">
        <v>107</v>
      </c>
      <c r="Q76" s="78">
        <v>2790.3333333333298</v>
      </c>
      <c r="R76" s="78">
        <v>5730</v>
      </c>
      <c r="S76" s="78">
        <v>680</v>
      </c>
      <c r="T76" s="78">
        <v>0</v>
      </c>
      <c r="U76" s="78">
        <v>1024</v>
      </c>
      <c r="V76" s="78">
        <v>19577</v>
      </c>
      <c r="W76" s="78">
        <v>42230</v>
      </c>
      <c r="X76" s="78">
        <v>18810</v>
      </c>
      <c r="Y76" s="78">
        <v>2020.98</v>
      </c>
      <c r="Z76" s="78">
        <v>1037.5999999999999</v>
      </c>
      <c r="AA76" s="78">
        <v>0</v>
      </c>
      <c r="AB76" s="399">
        <f>IF((J76-'[2]Basisgegevens aanvullend'!D76*1.1)&lt;=0,0,J76-'[2]Basisgegevens aanvullend'!D76*1.1)</f>
        <v>0</v>
      </c>
      <c r="AC76" s="399">
        <v>0</v>
      </c>
      <c r="AD76" s="78">
        <v>25805</v>
      </c>
      <c r="AE76" s="78">
        <v>25805</v>
      </c>
      <c r="AF76" s="78">
        <v>217</v>
      </c>
      <c r="AG76" s="78">
        <v>0</v>
      </c>
      <c r="AH76" s="78">
        <v>264</v>
      </c>
      <c r="AI76" s="78">
        <v>275</v>
      </c>
      <c r="AJ76" s="78">
        <v>264</v>
      </c>
      <c r="AK76" s="78">
        <v>275</v>
      </c>
      <c r="AL76" s="78">
        <v>539</v>
      </c>
      <c r="AM76" s="78">
        <v>20238</v>
      </c>
      <c r="AN76" s="78">
        <v>20238</v>
      </c>
      <c r="AO76" s="78">
        <v>5</v>
      </c>
      <c r="AP76" s="78">
        <v>0</v>
      </c>
      <c r="AQ76" s="78">
        <v>0</v>
      </c>
      <c r="AR76" s="78">
        <v>1750</v>
      </c>
      <c r="AS76" s="78">
        <v>1204</v>
      </c>
      <c r="AT76" s="78">
        <v>524</v>
      </c>
      <c r="AU76" s="400">
        <v>7.9470400000000003E-4</v>
      </c>
      <c r="AV76" s="400">
        <v>2.69938E-4</v>
      </c>
      <c r="AW76" s="78">
        <v>13276.128000000001</v>
      </c>
      <c r="AX76" s="78">
        <v>0</v>
      </c>
      <c r="AY76" s="78">
        <v>3436</v>
      </c>
      <c r="AZ76" s="78">
        <v>5789.5187149335197</v>
      </c>
      <c r="BA76" s="78">
        <v>23</v>
      </c>
      <c r="BB76" s="78">
        <v>23</v>
      </c>
      <c r="BC76" s="78">
        <v>4914</v>
      </c>
      <c r="BD76" s="78">
        <v>1</v>
      </c>
      <c r="BE76" s="78">
        <v>0</v>
      </c>
      <c r="BF76" s="78">
        <v>0</v>
      </c>
      <c r="BG76" s="78">
        <v>0</v>
      </c>
      <c r="BH76" s="78">
        <v>0</v>
      </c>
      <c r="BI76" s="78">
        <v>0</v>
      </c>
      <c r="BJ76" s="78">
        <v>0</v>
      </c>
      <c r="BK76" s="78">
        <v>0</v>
      </c>
      <c r="BL76" s="78">
        <v>0</v>
      </c>
      <c r="BM76" s="78">
        <v>585.35199999999998</v>
      </c>
      <c r="BN76" s="78">
        <v>154</v>
      </c>
      <c r="BO76" s="78">
        <v>59</v>
      </c>
      <c r="BP76" s="78">
        <v>12138.88</v>
      </c>
      <c r="BQ76" s="78">
        <v>2625.08</v>
      </c>
      <c r="BR76" s="78">
        <v>174.319271855176</v>
      </c>
      <c r="BS76" s="78">
        <v>387</v>
      </c>
      <c r="BT76" s="78">
        <v>141</v>
      </c>
      <c r="BU76" s="78">
        <v>123.666666666667</v>
      </c>
      <c r="BV76" s="78">
        <f t="shared" si="7"/>
        <v>2255.9999999999968</v>
      </c>
      <c r="BW76" s="78">
        <v>634</v>
      </c>
      <c r="BX76" s="78">
        <v>8713.03318078954</v>
      </c>
      <c r="BY76" s="78">
        <v>1.105</v>
      </c>
      <c r="BZ76" s="78">
        <v>32731</v>
      </c>
      <c r="CA76" s="78">
        <v>6242</v>
      </c>
      <c r="CB76" s="78">
        <v>1188</v>
      </c>
      <c r="CC76" s="78">
        <v>1071</v>
      </c>
      <c r="CD76" s="78">
        <v>1154</v>
      </c>
      <c r="CE76" s="78">
        <v>597</v>
      </c>
      <c r="CF76" s="78">
        <v>681.41547583753299</v>
      </c>
      <c r="CG76" s="78">
        <v>459.75460025694201</v>
      </c>
      <c r="CH76" s="78">
        <v>154.10360707579801</v>
      </c>
      <c r="CI76" s="78">
        <v>1829.0532000000001</v>
      </c>
      <c r="CJ76" s="78">
        <v>1234.0717999999999</v>
      </c>
      <c r="CK76" s="78">
        <v>413.64440000000002</v>
      </c>
      <c r="CL76" s="78">
        <v>3952</v>
      </c>
    </row>
    <row r="77" spans="1:90" x14ac:dyDescent="0.35">
      <c r="A77" s="72">
        <v>209</v>
      </c>
      <c r="B77" s="72" t="s">
        <v>48</v>
      </c>
      <c r="C77" s="72">
        <v>5</v>
      </c>
      <c r="D77" s="78">
        <v>2605200000</v>
      </c>
      <c r="E77" s="78">
        <v>234500000</v>
      </c>
      <c r="F77" s="78">
        <v>248150000</v>
      </c>
      <c r="G77" s="78">
        <v>26157</v>
      </c>
      <c r="H77" s="78">
        <v>3</v>
      </c>
      <c r="I77" s="78">
        <f t="shared" si="5"/>
        <v>248.15</v>
      </c>
      <c r="J77" s="78">
        <v>4841</v>
      </c>
      <c r="K77" s="78">
        <v>5309</v>
      </c>
      <c r="L77" s="78">
        <v>1557</v>
      </c>
      <c r="M77" s="78">
        <v>2993</v>
      </c>
      <c r="N77" s="78">
        <f t="shared" si="6"/>
        <v>1839.1</v>
      </c>
      <c r="O77" s="78">
        <v>368</v>
      </c>
      <c r="P77" s="78">
        <v>25</v>
      </c>
      <c r="Q77" s="78">
        <v>1569</v>
      </c>
      <c r="R77" s="78">
        <v>3321</v>
      </c>
      <c r="S77" s="78">
        <v>695</v>
      </c>
      <c r="T77" s="78">
        <v>0</v>
      </c>
      <c r="U77" s="78">
        <v>760</v>
      </c>
      <c r="V77" s="78">
        <v>11532</v>
      </c>
      <c r="W77" s="78">
        <v>22220</v>
      </c>
      <c r="X77" s="78">
        <v>9290</v>
      </c>
      <c r="Y77" s="78">
        <v>166.32</v>
      </c>
      <c r="Z77" s="78">
        <v>0</v>
      </c>
      <c r="AA77" s="78">
        <v>0</v>
      </c>
      <c r="AB77" s="399">
        <f>IF((J77-'[2]Basisgegevens aanvullend'!D77*1.1)&lt;=0,0,J77-'[2]Basisgegevens aanvullend'!D77*1.1)</f>
        <v>0</v>
      </c>
      <c r="AC77" s="399">
        <v>0</v>
      </c>
      <c r="AD77" s="78">
        <v>4337</v>
      </c>
      <c r="AE77" s="78">
        <v>4380.37</v>
      </c>
      <c r="AF77" s="78">
        <v>372</v>
      </c>
      <c r="AG77" s="78">
        <v>0</v>
      </c>
      <c r="AH77" s="78">
        <v>132</v>
      </c>
      <c r="AI77" s="78">
        <v>40</v>
      </c>
      <c r="AJ77" s="78">
        <v>133.32</v>
      </c>
      <c r="AK77" s="78">
        <v>40</v>
      </c>
      <c r="AL77" s="78">
        <v>172</v>
      </c>
      <c r="AM77" s="78">
        <v>11539</v>
      </c>
      <c r="AN77" s="78">
        <v>11654.39</v>
      </c>
      <c r="AO77" s="78">
        <v>0</v>
      </c>
      <c r="AP77" s="78">
        <v>0</v>
      </c>
      <c r="AQ77" s="78">
        <v>0</v>
      </c>
      <c r="AR77" s="78">
        <v>0</v>
      </c>
      <c r="AS77" s="78">
        <v>0</v>
      </c>
      <c r="AT77" s="78">
        <v>0</v>
      </c>
      <c r="AU77" s="400">
        <v>1.41142E-4</v>
      </c>
      <c r="AV77" s="400">
        <v>8.6934000000000005E-5</v>
      </c>
      <c r="AW77" s="78">
        <v>11539</v>
      </c>
      <c r="AX77" s="78">
        <v>0</v>
      </c>
      <c r="AY77" s="78">
        <v>1419.05</v>
      </c>
      <c r="AZ77" s="78">
        <v>7949.6949861966496</v>
      </c>
      <c r="BA77" s="78">
        <v>6</v>
      </c>
      <c r="BB77" s="78">
        <v>6</v>
      </c>
      <c r="BC77" s="78">
        <v>2829</v>
      </c>
      <c r="BD77" s="78">
        <v>1</v>
      </c>
      <c r="BE77" s="78">
        <v>0</v>
      </c>
      <c r="BF77" s="78">
        <v>0</v>
      </c>
      <c r="BG77" s="78">
        <v>0</v>
      </c>
      <c r="BH77" s="78">
        <v>0</v>
      </c>
      <c r="BI77" s="78">
        <v>0</v>
      </c>
      <c r="BJ77" s="78">
        <v>0</v>
      </c>
      <c r="BK77" s="78">
        <v>0</v>
      </c>
      <c r="BL77" s="78">
        <v>0</v>
      </c>
      <c r="BM77" s="78">
        <v>445.37200000000001</v>
      </c>
      <c r="BN77" s="78">
        <v>42</v>
      </c>
      <c r="BO77" s="78">
        <v>39</v>
      </c>
      <c r="BP77" s="78">
        <v>8047.85</v>
      </c>
      <c r="BQ77" s="78">
        <v>1949.94</v>
      </c>
      <c r="BR77" s="78">
        <v>178.54038722793601</v>
      </c>
      <c r="BS77" s="78">
        <v>286</v>
      </c>
      <c r="BT77" s="78">
        <v>106.333333333333</v>
      </c>
      <c r="BU77" s="78">
        <v>94.6666666666667</v>
      </c>
      <c r="BV77" s="78">
        <f t="shared" si="7"/>
        <v>1201</v>
      </c>
      <c r="BW77" s="78">
        <v>260</v>
      </c>
      <c r="BX77" s="78">
        <v>4444.5683429895698</v>
      </c>
      <c r="BY77" s="78">
        <v>0.61899999999999999</v>
      </c>
      <c r="BZ77" s="78">
        <v>20848</v>
      </c>
      <c r="CA77" s="78">
        <v>3247</v>
      </c>
      <c r="CB77" s="78">
        <v>505</v>
      </c>
      <c r="CC77" s="78">
        <v>615</v>
      </c>
      <c r="CD77" s="78">
        <v>496</v>
      </c>
      <c r="CE77" s="78">
        <v>238</v>
      </c>
      <c r="CF77" s="78">
        <v>325.77523182251502</v>
      </c>
      <c r="CG77" s="78">
        <v>167.35029031978499</v>
      </c>
      <c r="CH77" s="78">
        <v>54.986523962215102</v>
      </c>
      <c r="CI77" s="78">
        <v>848.26</v>
      </c>
      <c r="CJ77" s="78">
        <v>435.75</v>
      </c>
      <c r="CK77" s="78">
        <v>143.17500000000001</v>
      </c>
      <c r="CL77" s="78">
        <v>15876</v>
      </c>
    </row>
    <row r="78" spans="1:90" x14ac:dyDescent="0.35">
      <c r="A78" s="72">
        <v>1876</v>
      </c>
      <c r="B78" s="72" t="s">
        <v>62</v>
      </c>
      <c r="C78" s="72">
        <v>5</v>
      </c>
      <c r="D78" s="78">
        <v>3732800000</v>
      </c>
      <c r="E78" s="78">
        <v>462700000</v>
      </c>
      <c r="F78" s="78">
        <v>550900000</v>
      </c>
      <c r="G78" s="78">
        <v>36087</v>
      </c>
      <c r="H78" s="78">
        <v>6</v>
      </c>
      <c r="I78" s="78">
        <f t="shared" si="5"/>
        <v>550.9</v>
      </c>
      <c r="J78" s="78">
        <v>6082</v>
      </c>
      <c r="K78" s="78">
        <v>9623</v>
      </c>
      <c r="L78" s="78">
        <v>3080</v>
      </c>
      <c r="M78" s="78">
        <v>4337</v>
      </c>
      <c r="N78" s="78">
        <f t="shared" si="6"/>
        <v>2670.5</v>
      </c>
      <c r="O78" s="78">
        <v>308.33333333333297</v>
      </c>
      <c r="P78" s="78">
        <v>50</v>
      </c>
      <c r="Q78" s="78">
        <v>1905.3333333333301</v>
      </c>
      <c r="R78" s="78">
        <v>4417</v>
      </c>
      <c r="S78" s="78">
        <v>365</v>
      </c>
      <c r="T78" s="78">
        <v>0</v>
      </c>
      <c r="U78" s="78">
        <v>774</v>
      </c>
      <c r="V78" s="78">
        <v>15987</v>
      </c>
      <c r="W78" s="78">
        <v>28680</v>
      </c>
      <c r="X78" s="78">
        <v>6780</v>
      </c>
      <c r="Y78" s="78">
        <v>0</v>
      </c>
      <c r="Z78" s="78">
        <v>268.8</v>
      </c>
      <c r="AA78" s="78">
        <v>0</v>
      </c>
      <c r="AB78" s="399">
        <f>IF((J78-'[2]Basisgegevens aanvullend'!D78*1.1)&lt;=0,0,J78-'[2]Basisgegevens aanvullend'!D78*1.1)</f>
        <v>0</v>
      </c>
      <c r="AC78" s="399">
        <v>0</v>
      </c>
      <c r="AD78" s="78">
        <v>28348</v>
      </c>
      <c r="AE78" s="78">
        <v>28348</v>
      </c>
      <c r="AF78" s="78">
        <v>294</v>
      </c>
      <c r="AG78" s="78">
        <v>0</v>
      </c>
      <c r="AH78" s="78">
        <v>189</v>
      </c>
      <c r="AI78" s="78">
        <v>263</v>
      </c>
      <c r="AJ78" s="78">
        <v>189</v>
      </c>
      <c r="AK78" s="78">
        <v>263</v>
      </c>
      <c r="AL78" s="78">
        <v>452</v>
      </c>
      <c r="AM78" s="78">
        <v>16665</v>
      </c>
      <c r="AN78" s="78">
        <v>16665</v>
      </c>
      <c r="AO78" s="78">
        <v>0</v>
      </c>
      <c r="AP78" s="78">
        <v>0</v>
      </c>
      <c r="AQ78" s="78">
        <v>0</v>
      </c>
      <c r="AR78" s="78">
        <v>0</v>
      </c>
      <c r="AS78" s="78">
        <v>0</v>
      </c>
      <c r="AT78" s="78">
        <v>0</v>
      </c>
      <c r="AU78" s="400">
        <v>6.80644E-4</v>
      </c>
      <c r="AV78" s="400">
        <v>1.5694299999999999E-4</v>
      </c>
      <c r="AW78" s="78">
        <v>6299.37</v>
      </c>
      <c r="AX78" s="78">
        <v>0</v>
      </c>
      <c r="AY78" s="78">
        <v>3508</v>
      </c>
      <c r="AZ78" s="78">
        <v>4419.8448432371997</v>
      </c>
      <c r="BA78" s="78">
        <v>24</v>
      </c>
      <c r="BB78" s="78">
        <v>24</v>
      </c>
      <c r="BC78" s="78">
        <v>4935</v>
      </c>
      <c r="BD78" s="78">
        <v>1</v>
      </c>
      <c r="BE78" s="78">
        <v>0</v>
      </c>
      <c r="BF78" s="78">
        <v>0</v>
      </c>
      <c r="BG78" s="78">
        <v>0</v>
      </c>
      <c r="BH78" s="78">
        <v>0</v>
      </c>
      <c r="BI78" s="78">
        <v>0</v>
      </c>
      <c r="BJ78" s="78">
        <v>0</v>
      </c>
      <c r="BK78" s="78">
        <v>0</v>
      </c>
      <c r="BL78" s="78">
        <v>0</v>
      </c>
      <c r="BM78" s="78">
        <v>474.39600000000002</v>
      </c>
      <c r="BN78" s="78">
        <v>85</v>
      </c>
      <c r="BO78" s="78">
        <v>24</v>
      </c>
      <c r="BP78" s="78">
        <v>10732.26</v>
      </c>
      <c r="BQ78" s="78">
        <v>2203.08</v>
      </c>
      <c r="BR78" s="78">
        <v>129.58894668943299</v>
      </c>
      <c r="BS78" s="78">
        <v>295</v>
      </c>
      <c r="BT78" s="78">
        <v>87.6666666666667</v>
      </c>
      <c r="BU78" s="78">
        <v>63.3333333333333</v>
      </c>
      <c r="BV78" s="78">
        <f t="shared" si="7"/>
        <v>1596.999999999997</v>
      </c>
      <c r="BW78" s="78">
        <v>428</v>
      </c>
      <c r="BX78" s="78">
        <v>7346.9148467618897</v>
      </c>
      <c r="BY78" s="78">
        <v>0.224</v>
      </c>
      <c r="BZ78" s="78">
        <v>26464</v>
      </c>
      <c r="CA78" s="78">
        <v>5480</v>
      </c>
      <c r="CB78" s="78">
        <v>1063</v>
      </c>
      <c r="CC78" s="78">
        <v>927</v>
      </c>
      <c r="CD78" s="78">
        <v>978</v>
      </c>
      <c r="CE78" s="78">
        <v>561</v>
      </c>
      <c r="CF78" s="78">
        <v>531.53606360636104</v>
      </c>
      <c r="CG78" s="78">
        <v>339.240834083408</v>
      </c>
      <c r="CH78" s="78">
        <v>125.953375337534</v>
      </c>
      <c r="CI78" s="78">
        <v>1425.9783</v>
      </c>
      <c r="CJ78" s="78">
        <v>910.09829999999999</v>
      </c>
      <c r="CK78" s="78">
        <v>337.90140000000002</v>
      </c>
      <c r="CL78" s="78">
        <v>12822</v>
      </c>
    </row>
    <row r="79" spans="1:90" x14ac:dyDescent="0.35">
      <c r="A79" s="72">
        <v>213</v>
      </c>
      <c r="B79" s="72" t="s">
        <v>63</v>
      </c>
      <c r="C79" s="72">
        <v>5</v>
      </c>
      <c r="D79" s="78">
        <v>2106400000</v>
      </c>
      <c r="E79" s="78">
        <v>227500000</v>
      </c>
      <c r="F79" s="78">
        <v>255150000</v>
      </c>
      <c r="G79" s="78">
        <v>20884</v>
      </c>
      <c r="H79" s="78">
        <v>2</v>
      </c>
      <c r="I79" s="78">
        <f t="shared" si="5"/>
        <v>255.15</v>
      </c>
      <c r="J79" s="78">
        <v>3484</v>
      </c>
      <c r="K79" s="78">
        <v>5406</v>
      </c>
      <c r="L79" s="78">
        <v>1833</v>
      </c>
      <c r="M79" s="78">
        <v>2511</v>
      </c>
      <c r="N79" s="78">
        <f t="shared" si="6"/>
        <v>1518.6999999999998</v>
      </c>
      <c r="O79" s="78">
        <v>286.66666666666703</v>
      </c>
      <c r="P79" s="78">
        <v>42</v>
      </c>
      <c r="Q79" s="78">
        <v>1380.6666666666699</v>
      </c>
      <c r="R79" s="78">
        <v>2646</v>
      </c>
      <c r="S79" s="78">
        <v>875</v>
      </c>
      <c r="T79" s="78">
        <v>0</v>
      </c>
      <c r="U79" s="78">
        <v>565</v>
      </c>
      <c r="V79" s="78">
        <v>9489</v>
      </c>
      <c r="W79" s="78">
        <v>18380</v>
      </c>
      <c r="X79" s="78">
        <v>5370</v>
      </c>
      <c r="Y79" s="78">
        <v>262.95999999999998</v>
      </c>
      <c r="Z79" s="78">
        <v>0</v>
      </c>
      <c r="AA79" s="78">
        <v>0</v>
      </c>
      <c r="AB79" s="399">
        <f>IF((J79-'[2]Basisgegevens aanvullend'!D79*1.1)&lt;=0,0,J79-'[2]Basisgegevens aanvullend'!D79*1.1)</f>
        <v>0</v>
      </c>
      <c r="AC79" s="399">
        <v>0</v>
      </c>
      <c r="AD79" s="78">
        <v>8362</v>
      </c>
      <c r="AE79" s="78">
        <v>8362</v>
      </c>
      <c r="AF79" s="78">
        <v>140</v>
      </c>
      <c r="AG79" s="78">
        <v>0</v>
      </c>
      <c r="AH79" s="78">
        <v>121</v>
      </c>
      <c r="AI79" s="78">
        <v>61</v>
      </c>
      <c r="AJ79" s="78">
        <v>121</v>
      </c>
      <c r="AK79" s="78">
        <v>61</v>
      </c>
      <c r="AL79" s="78">
        <v>182</v>
      </c>
      <c r="AM79" s="78">
        <v>9923</v>
      </c>
      <c r="AN79" s="78">
        <v>9923</v>
      </c>
      <c r="AO79" s="78">
        <v>0</v>
      </c>
      <c r="AP79" s="78">
        <v>0</v>
      </c>
      <c r="AQ79" s="78">
        <v>0</v>
      </c>
      <c r="AR79" s="78">
        <v>0</v>
      </c>
      <c r="AS79" s="78">
        <v>509</v>
      </c>
      <c r="AT79" s="78">
        <v>0</v>
      </c>
      <c r="AU79" s="400">
        <v>3.5796299999999999E-4</v>
      </c>
      <c r="AV79" s="400">
        <v>1.11223E-4</v>
      </c>
      <c r="AW79" s="78">
        <v>7630.7870000000003</v>
      </c>
      <c r="AX79" s="78">
        <v>0</v>
      </c>
      <c r="AY79" s="78">
        <v>1338</v>
      </c>
      <c r="AZ79" s="78">
        <v>3286.6139731827798</v>
      </c>
      <c r="BA79" s="78">
        <v>7</v>
      </c>
      <c r="BB79" s="78">
        <v>7</v>
      </c>
      <c r="BC79" s="78">
        <v>2251</v>
      </c>
      <c r="BD79" s="78">
        <v>1</v>
      </c>
      <c r="BE79" s="78">
        <v>0</v>
      </c>
      <c r="BF79" s="78">
        <v>0</v>
      </c>
      <c r="BG79" s="78">
        <v>0</v>
      </c>
      <c r="BH79" s="78">
        <v>0</v>
      </c>
      <c r="BI79" s="78">
        <v>0</v>
      </c>
      <c r="BJ79" s="78">
        <v>0</v>
      </c>
      <c r="BK79" s="78">
        <v>0</v>
      </c>
      <c r="BL79" s="78">
        <v>0</v>
      </c>
      <c r="BM79" s="78">
        <v>313.56</v>
      </c>
      <c r="BN79" s="78">
        <v>67</v>
      </c>
      <c r="BO79" s="78">
        <v>34</v>
      </c>
      <c r="BP79" s="78">
        <v>6281.76</v>
      </c>
      <c r="BQ79" s="78">
        <v>1277.44</v>
      </c>
      <c r="BR79" s="78">
        <v>147.02296510862399</v>
      </c>
      <c r="BS79" s="78">
        <v>196</v>
      </c>
      <c r="BT79" s="78">
        <v>78.6666666666667</v>
      </c>
      <c r="BU79" s="78">
        <v>64.3333333333333</v>
      </c>
      <c r="BV79" s="78">
        <f t="shared" si="7"/>
        <v>1094.000000000003</v>
      </c>
      <c r="BW79" s="78">
        <v>335</v>
      </c>
      <c r="BX79" s="78">
        <v>4682.3044446588801</v>
      </c>
      <c r="BY79" s="78">
        <v>0.52800000000000002</v>
      </c>
      <c r="BZ79" s="78">
        <v>15478</v>
      </c>
      <c r="CA79" s="78">
        <v>2937</v>
      </c>
      <c r="CB79" s="78">
        <v>636</v>
      </c>
      <c r="CC79" s="78">
        <v>503</v>
      </c>
      <c r="CD79" s="78">
        <v>547</v>
      </c>
      <c r="CE79" s="78">
        <v>304</v>
      </c>
      <c r="CF79" s="78">
        <v>267.83482817696301</v>
      </c>
      <c r="CG79" s="78">
        <v>187.025234304142</v>
      </c>
      <c r="CH79" s="78">
        <v>69.177909906278302</v>
      </c>
      <c r="CI79" s="78">
        <v>752.32500000000005</v>
      </c>
      <c r="CJ79" s="78">
        <v>525.33780000000002</v>
      </c>
      <c r="CK79" s="78">
        <v>194.31479999999999</v>
      </c>
      <c r="CL79" s="78">
        <v>70080</v>
      </c>
    </row>
    <row r="80" spans="1:90" x14ac:dyDescent="0.35">
      <c r="A80" s="72">
        <v>214</v>
      </c>
      <c r="B80" s="72" t="s">
        <v>67</v>
      </c>
      <c r="C80" s="72">
        <v>5</v>
      </c>
      <c r="D80" s="78">
        <v>2924400000</v>
      </c>
      <c r="E80" s="78">
        <v>298900000</v>
      </c>
      <c r="F80" s="78">
        <v>337050000</v>
      </c>
      <c r="G80" s="78">
        <v>27009</v>
      </c>
      <c r="H80" s="78">
        <v>8</v>
      </c>
      <c r="I80" s="78">
        <f t="shared" si="5"/>
        <v>337.05</v>
      </c>
      <c r="J80" s="78">
        <v>5127</v>
      </c>
      <c r="K80" s="78">
        <v>5621</v>
      </c>
      <c r="L80" s="78">
        <v>1670</v>
      </c>
      <c r="M80" s="78">
        <v>2785</v>
      </c>
      <c r="N80" s="78">
        <f t="shared" si="6"/>
        <v>1649.8999999999999</v>
      </c>
      <c r="O80" s="78">
        <v>211.666666666667</v>
      </c>
      <c r="P80" s="78">
        <v>10</v>
      </c>
      <c r="Q80" s="78">
        <v>1208.6666666666699</v>
      </c>
      <c r="R80" s="78">
        <v>2950</v>
      </c>
      <c r="S80" s="78">
        <v>375</v>
      </c>
      <c r="T80" s="78">
        <v>0</v>
      </c>
      <c r="U80" s="78">
        <v>674</v>
      </c>
      <c r="V80" s="78">
        <v>11404</v>
      </c>
      <c r="W80" s="78">
        <v>17810</v>
      </c>
      <c r="X80" s="78">
        <v>1040</v>
      </c>
      <c r="Y80" s="78">
        <v>0</v>
      </c>
      <c r="Z80" s="78">
        <v>0</v>
      </c>
      <c r="AA80" s="78">
        <v>0</v>
      </c>
      <c r="AB80" s="399">
        <f>IF((J80-'[2]Basisgegevens aanvullend'!D80*1.1)&lt;=0,0,J80-'[2]Basisgegevens aanvullend'!D80*1.1)</f>
        <v>0</v>
      </c>
      <c r="AC80" s="399">
        <v>0</v>
      </c>
      <c r="AD80" s="78">
        <v>13359</v>
      </c>
      <c r="AE80" s="78">
        <v>15229.26</v>
      </c>
      <c r="AF80" s="78">
        <v>933</v>
      </c>
      <c r="AG80" s="78">
        <v>0</v>
      </c>
      <c r="AH80" s="78">
        <v>158</v>
      </c>
      <c r="AI80" s="78">
        <v>119</v>
      </c>
      <c r="AJ80" s="78">
        <v>170.64</v>
      </c>
      <c r="AK80" s="78">
        <v>136.85</v>
      </c>
      <c r="AL80" s="78">
        <v>277</v>
      </c>
      <c r="AM80" s="78">
        <v>11351</v>
      </c>
      <c r="AN80" s="78">
        <v>12259.08</v>
      </c>
      <c r="AO80" s="78">
        <v>6</v>
      </c>
      <c r="AP80" s="78">
        <v>0</v>
      </c>
      <c r="AQ80" s="78">
        <v>0</v>
      </c>
      <c r="AR80" s="78">
        <v>1150</v>
      </c>
      <c r="AS80" s="78">
        <v>0</v>
      </c>
      <c r="AT80" s="78">
        <v>0</v>
      </c>
      <c r="AU80" s="400">
        <v>3.7707300000000001E-4</v>
      </c>
      <c r="AV80" s="400">
        <v>8.2724000000000003E-5</v>
      </c>
      <c r="AW80" s="78">
        <v>3314.4920000000002</v>
      </c>
      <c r="AX80" s="78">
        <v>0</v>
      </c>
      <c r="AY80" s="78">
        <v>3708.42</v>
      </c>
      <c r="AZ80" s="78">
        <v>9675.2769143576807</v>
      </c>
      <c r="BA80" s="78">
        <v>21</v>
      </c>
      <c r="BB80" s="78">
        <v>24.15</v>
      </c>
      <c r="BC80" s="78">
        <v>3956</v>
      </c>
      <c r="BD80" s="78">
        <v>1</v>
      </c>
      <c r="BE80" s="78">
        <v>0</v>
      </c>
      <c r="BF80" s="78">
        <v>0</v>
      </c>
      <c r="BG80" s="78">
        <v>0</v>
      </c>
      <c r="BH80" s="78">
        <v>0</v>
      </c>
      <c r="BI80" s="78">
        <v>0</v>
      </c>
      <c r="BJ80" s="78">
        <v>0</v>
      </c>
      <c r="BK80" s="78">
        <v>0</v>
      </c>
      <c r="BL80" s="78">
        <v>0</v>
      </c>
      <c r="BM80" s="78">
        <v>420.41399999999999</v>
      </c>
      <c r="BN80" s="78">
        <v>105</v>
      </c>
      <c r="BO80" s="78">
        <v>32</v>
      </c>
      <c r="BP80" s="78">
        <v>8540.1200000000008</v>
      </c>
      <c r="BQ80" s="78">
        <v>2050.56</v>
      </c>
      <c r="BR80" s="78">
        <v>148.13744549538899</v>
      </c>
      <c r="BS80" s="78">
        <v>263</v>
      </c>
      <c r="BT80" s="78">
        <v>70.3333333333333</v>
      </c>
      <c r="BU80" s="78">
        <v>50.3333333333333</v>
      </c>
      <c r="BV80" s="78">
        <f t="shared" si="7"/>
        <v>997.00000000000296</v>
      </c>
      <c r="BW80" s="78">
        <v>208</v>
      </c>
      <c r="BX80" s="78">
        <v>4499.43343975476</v>
      </c>
      <c r="BY80" s="78">
        <v>0.13500000000000001</v>
      </c>
      <c r="BZ80" s="78">
        <v>21388</v>
      </c>
      <c r="CA80" s="78">
        <v>3489</v>
      </c>
      <c r="CB80" s="78">
        <v>462</v>
      </c>
      <c r="CC80" s="78">
        <v>591</v>
      </c>
      <c r="CD80" s="78">
        <v>496</v>
      </c>
      <c r="CE80" s="78">
        <v>208</v>
      </c>
      <c r="CF80" s="78">
        <v>305.96771209585103</v>
      </c>
      <c r="CG80" s="78">
        <v>165.70222887851301</v>
      </c>
      <c r="CH80" s="78">
        <v>44.187261034270101</v>
      </c>
      <c r="CI80" s="78">
        <v>791.90099999999995</v>
      </c>
      <c r="CJ80" s="78">
        <v>428.86799999999999</v>
      </c>
      <c r="CK80" s="78">
        <v>114.3648</v>
      </c>
      <c r="CL80" s="78">
        <v>0</v>
      </c>
    </row>
    <row r="81" spans="1:90" x14ac:dyDescent="0.35">
      <c r="A81" s="72">
        <v>216</v>
      </c>
      <c r="B81" s="72" t="s">
        <v>73</v>
      </c>
      <c r="C81" s="72">
        <v>5</v>
      </c>
      <c r="D81" s="78">
        <v>2638800000</v>
      </c>
      <c r="E81" s="78">
        <v>351750000</v>
      </c>
      <c r="F81" s="78">
        <v>363300000</v>
      </c>
      <c r="G81" s="78">
        <v>29121</v>
      </c>
      <c r="H81" s="78">
        <v>1</v>
      </c>
      <c r="I81" s="78">
        <f t="shared" si="5"/>
        <v>363.3</v>
      </c>
      <c r="J81" s="78">
        <v>5941</v>
      </c>
      <c r="K81" s="78">
        <v>5501</v>
      </c>
      <c r="L81" s="78">
        <v>1645</v>
      </c>
      <c r="M81" s="78">
        <v>3504</v>
      </c>
      <c r="N81" s="78">
        <f t="shared" si="6"/>
        <v>2205.3000000000002</v>
      </c>
      <c r="O81" s="78">
        <v>489.33333333333297</v>
      </c>
      <c r="P81" s="78">
        <v>39</v>
      </c>
      <c r="Q81" s="78">
        <v>1760.3333333333301</v>
      </c>
      <c r="R81" s="78">
        <v>4275</v>
      </c>
      <c r="S81" s="78">
        <v>3185</v>
      </c>
      <c r="T81" s="78">
        <v>0</v>
      </c>
      <c r="U81" s="78">
        <v>946</v>
      </c>
      <c r="V81" s="78">
        <v>13008</v>
      </c>
      <c r="W81" s="78">
        <v>30570</v>
      </c>
      <c r="X81" s="78">
        <v>15710</v>
      </c>
      <c r="Y81" s="78">
        <v>581.1</v>
      </c>
      <c r="Z81" s="78">
        <v>3210.4</v>
      </c>
      <c r="AA81" s="78">
        <v>0</v>
      </c>
      <c r="AB81" s="399">
        <f>IF((J81-'[2]Basisgegevens aanvullend'!D81*1.1)&lt;=0,0,J81-'[2]Basisgegevens aanvullend'!D81*1.1)</f>
        <v>0</v>
      </c>
      <c r="AC81" s="399">
        <v>0</v>
      </c>
      <c r="AD81" s="78">
        <v>2929</v>
      </c>
      <c r="AE81" s="78">
        <v>3836.99</v>
      </c>
      <c r="AF81" s="78">
        <v>186</v>
      </c>
      <c r="AG81" s="78">
        <v>0</v>
      </c>
      <c r="AH81" s="78">
        <v>162</v>
      </c>
      <c r="AI81" s="78">
        <v>23</v>
      </c>
      <c r="AJ81" s="78">
        <v>208.98</v>
      </c>
      <c r="AK81" s="78">
        <v>30.36</v>
      </c>
      <c r="AL81" s="78">
        <v>185</v>
      </c>
      <c r="AM81" s="78">
        <v>12987</v>
      </c>
      <c r="AN81" s="78">
        <v>16753.23</v>
      </c>
      <c r="AO81" s="78">
        <v>17</v>
      </c>
      <c r="AP81" s="78">
        <v>0</v>
      </c>
      <c r="AQ81" s="78">
        <v>0</v>
      </c>
      <c r="AR81" s="78">
        <v>3100</v>
      </c>
      <c r="AS81" s="78">
        <v>1899</v>
      </c>
      <c r="AT81" s="78">
        <v>1899</v>
      </c>
      <c r="AU81" s="400">
        <v>4.32459E-4</v>
      </c>
      <c r="AV81" s="400">
        <v>3.9749700000000002E-4</v>
      </c>
      <c r="AW81" s="78">
        <v>19207.773000000001</v>
      </c>
      <c r="AX81" s="78">
        <v>0</v>
      </c>
      <c r="AY81" s="78">
        <v>1539.25</v>
      </c>
      <c r="AZ81" s="78">
        <v>29110.436041733501</v>
      </c>
      <c r="BA81" s="78">
        <v>1</v>
      </c>
      <c r="BB81" s="78">
        <v>1.32</v>
      </c>
      <c r="BC81" s="78">
        <v>3530</v>
      </c>
      <c r="BD81" s="78">
        <v>1</v>
      </c>
      <c r="BE81" s="78">
        <v>0</v>
      </c>
      <c r="BF81" s="78">
        <v>0</v>
      </c>
      <c r="BG81" s="78">
        <v>0</v>
      </c>
      <c r="BH81" s="78">
        <v>0</v>
      </c>
      <c r="BI81" s="78">
        <v>0</v>
      </c>
      <c r="BJ81" s="78">
        <v>0</v>
      </c>
      <c r="BK81" s="78">
        <v>0</v>
      </c>
      <c r="BL81" s="78">
        <v>0</v>
      </c>
      <c r="BM81" s="78">
        <v>629.74599999999998</v>
      </c>
      <c r="BN81" s="78">
        <v>50</v>
      </c>
      <c r="BO81" s="78">
        <v>137</v>
      </c>
      <c r="BP81" s="78">
        <v>8799.57</v>
      </c>
      <c r="BQ81" s="78">
        <v>2201.1</v>
      </c>
      <c r="BR81" s="78">
        <v>266.883191539618</v>
      </c>
      <c r="BS81" s="78">
        <v>347</v>
      </c>
      <c r="BT81" s="78">
        <v>144</v>
      </c>
      <c r="BU81" s="78">
        <v>101.333333333333</v>
      </c>
      <c r="BV81" s="78">
        <f t="shared" si="7"/>
        <v>1270.999999999997</v>
      </c>
      <c r="BW81" s="78">
        <v>323</v>
      </c>
      <c r="BX81" s="78">
        <v>4539.2754757382099</v>
      </c>
      <c r="BY81" s="78">
        <v>1.024</v>
      </c>
      <c r="BZ81" s="78">
        <v>23620</v>
      </c>
      <c r="CA81" s="78">
        <v>3303</v>
      </c>
      <c r="CB81" s="78">
        <v>553</v>
      </c>
      <c r="CC81" s="78">
        <v>790</v>
      </c>
      <c r="CD81" s="78">
        <v>610</v>
      </c>
      <c r="CE81" s="78">
        <v>280</v>
      </c>
      <c r="CF81" s="78">
        <v>359.99353199353197</v>
      </c>
      <c r="CG81" s="78">
        <v>203.93973203973201</v>
      </c>
      <c r="CH81" s="78">
        <v>66.564841764841802</v>
      </c>
      <c r="CI81" s="78">
        <v>919.44399999999996</v>
      </c>
      <c r="CJ81" s="78">
        <v>520.87369999999999</v>
      </c>
      <c r="CK81" s="78">
        <v>170.0104</v>
      </c>
      <c r="CL81" s="78">
        <v>19845</v>
      </c>
    </row>
    <row r="82" spans="1:90" x14ac:dyDescent="0.35">
      <c r="A82" s="72">
        <v>221</v>
      </c>
      <c r="B82" s="72" t="s">
        <v>87</v>
      </c>
      <c r="C82" s="72">
        <v>5</v>
      </c>
      <c r="D82" s="78">
        <v>966000000</v>
      </c>
      <c r="E82" s="78">
        <v>93800000</v>
      </c>
      <c r="F82" s="78">
        <v>99400000</v>
      </c>
      <c r="G82" s="78">
        <v>11064</v>
      </c>
      <c r="H82" s="78">
        <v>1</v>
      </c>
      <c r="I82" s="78">
        <f t="shared" si="5"/>
        <v>99.4</v>
      </c>
      <c r="J82" s="78">
        <v>1732</v>
      </c>
      <c r="K82" s="78">
        <v>2990</v>
      </c>
      <c r="L82" s="78">
        <v>945</v>
      </c>
      <c r="M82" s="78">
        <v>1936</v>
      </c>
      <c r="N82" s="78">
        <f t="shared" si="6"/>
        <v>1403.3</v>
      </c>
      <c r="O82" s="78">
        <v>267.33333333333297</v>
      </c>
      <c r="P82" s="78">
        <v>18</v>
      </c>
      <c r="Q82" s="78">
        <v>1111.3333333333301</v>
      </c>
      <c r="R82" s="78">
        <v>1903</v>
      </c>
      <c r="S82" s="78">
        <v>930</v>
      </c>
      <c r="T82" s="78">
        <v>0</v>
      </c>
      <c r="U82" s="78">
        <v>420</v>
      </c>
      <c r="V82" s="78">
        <v>5360</v>
      </c>
      <c r="W82" s="78">
        <v>10890</v>
      </c>
      <c r="X82" s="78">
        <v>4470</v>
      </c>
      <c r="Y82" s="78">
        <v>0</v>
      </c>
      <c r="Z82" s="78">
        <v>0</v>
      </c>
      <c r="AA82" s="78">
        <v>0</v>
      </c>
      <c r="AB82" s="399">
        <f>IF((J82-'[2]Basisgegevens aanvullend'!D82*1.1)&lt;=0,0,J82-'[2]Basisgegevens aanvullend'!D82*1.1)</f>
        <v>0</v>
      </c>
      <c r="AC82" s="399">
        <v>0</v>
      </c>
      <c r="AD82" s="78">
        <v>1158</v>
      </c>
      <c r="AE82" s="78">
        <v>1158</v>
      </c>
      <c r="AF82" s="78">
        <v>137</v>
      </c>
      <c r="AG82" s="78">
        <v>0</v>
      </c>
      <c r="AH82" s="78">
        <v>51</v>
      </c>
      <c r="AI82" s="78">
        <v>11</v>
      </c>
      <c r="AJ82" s="78">
        <v>51</v>
      </c>
      <c r="AK82" s="78">
        <v>11</v>
      </c>
      <c r="AL82" s="78">
        <v>62</v>
      </c>
      <c r="AM82" s="78">
        <v>5327</v>
      </c>
      <c r="AN82" s="78">
        <v>5327</v>
      </c>
      <c r="AO82" s="78">
        <v>18</v>
      </c>
      <c r="AP82" s="78">
        <v>0</v>
      </c>
      <c r="AQ82" s="78">
        <v>0</v>
      </c>
      <c r="AR82" s="78">
        <v>7400</v>
      </c>
      <c r="AS82" s="78">
        <v>1178</v>
      </c>
      <c r="AT82" s="78">
        <v>1178</v>
      </c>
      <c r="AU82" s="400">
        <v>3.1146199999999998E-4</v>
      </c>
      <c r="AV82" s="400">
        <v>1.8726699999999999E-4</v>
      </c>
      <c r="AW82" s="78">
        <v>4597.201</v>
      </c>
      <c r="AX82" s="78">
        <v>0</v>
      </c>
      <c r="AY82" s="78">
        <v>605</v>
      </c>
      <c r="AZ82" s="78">
        <v>5168.8957528957499</v>
      </c>
      <c r="BA82" s="78">
        <v>1</v>
      </c>
      <c r="BB82" s="78">
        <v>1</v>
      </c>
      <c r="BC82" s="78">
        <v>1082</v>
      </c>
      <c r="BD82" s="78">
        <v>1</v>
      </c>
      <c r="BE82" s="78">
        <v>0</v>
      </c>
      <c r="BF82" s="78">
        <v>0</v>
      </c>
      <c r="BG82" s="78">
        <v>0</v>
      </c>
      <c r="BH82" s="78">
        <v>0</v>
      </c>
      <c r="BI82" s="78">
        <v>0</v>
      </c>
      <c r="BJ82" s="78">
        <v>0</v>
      </c>
      <c r="BK82" s="78">
        <v>0</v>
      </c>
      <c r="BL82" s="78">
        <v>0</v>
      </c>
      <c r="BM82" s="78">
        <v>306.56400000000002</v>
      </c>
      <c r="BN82" s="78">
        <v>59</v>
      </c>
      <c r="BO82" s="78">
        <v>33</v>
      </c>
      <c r="BP82" s="78">
        <v>3150</v>
      </c>
      <c r="BQ82" s="78">
        <v>564.29999999999995</v>
      </c>
      <c r="BR82" s="78">
        <v>96.858769230769198</v>
      </c>
      <c r="BS82" s="78">
        <v>152</v>
      </c>
      <c r="BT82" s="78">
        <v>64.6666666666667</v>
      </c>
      <c r="BU82" s="78">
        <v>62.6666666666667</v>
      </c>
      <c r="BV82" s="78">
        <f t="shared" si="7"/>
        <v>843.99999999999704</v>
      </c>
      <c r="BW82" s="78">
        <v>229</v>
      </c>
      <c r="BX82" s="78">
        <v>2513.80632301165</v>
      </c>
      <c r="BY82" s="78">
        <v>0.72599999999999998</v>
      </c>
      <c r="BZ82" s="78">
        <v>8074</v>
      </c>
      <c r="CA82" s="78">
        <v>1801</v>
      </c>
      <c r="CB82" s="78">
        <v>244</v>
      </c>
      <c r="CC82" s="78">
        <v>445</v>
      </c>
      <c r="CD82" s="78">
        <v>355</v>
      </c>
      <c r="CE82" s="78">
        <v>134</v>
      </c>
      <c r="CF82" s="78">
        <v>301.10229021963602</v>
      </c>
      <c r="CG82" s="78">
        <v>180.18719729679</v>
      </c>
      <c r="CH82" s="78">
        <v>49.261704524122401</v>
      </c>
      <c r="CI82" s="78">
        <v>616.30560000000003</v>
      </c>
      <c r="CJ82" s="78">
        <v>368.81279999999998</v>
      </c>
      <c r="CK82" s="78">
        <v>100.8304</v>
      </c>
      <c r="CL82" s="78">
        <v>6205</v>
      </c>
    </row>
    <row r="83" spans="1:90" x14ac:dyDescent="0.35">
      <c r="A83" s="72">
        <v>222</v>
      </c>
      <c r="B83" s="72" t="s">
        <v>88</v>
      </c>
      <c r="C83" s="72">
        <v>5</v>
      </c>
      <c r="D83" s="78">
        <v>4992400000</v>
      </c>
      <c r="E83" s="78">
        <v>835100000</v>
      </c>
      <c r="F83" s="78">
        <v>854700000</v>
      </c>
      <c r="G83" s="78">
        <v>58270</v>
      </c>
      <c r="H83" s="78">
        <v>3</v>
      </c>
      <c r="I83" s="78">
        <f t="shared" si="5"/>
        <v>854.7</v>
      </c>
      <c r="J83" s="78">
        <v>10955</v>
      </c>
      <c r="K83" s="78">
        <v>12461</v>
      </c>
      <c r="L83" s="78">
        <v>3857</v>
      </c>
      <c r="M83" s="78">
        <v>8570</v>
      </c>
      <c r="N83" s="78">
        <f t="shared" si="6"/>
        <v>5854.5</v>
      </c>
      <c r="O83" s="78">
        <v>1161.6666666666699</v>
      </c>
      <c r="P83" s="78">
        <v>137</v>
      </c>
      <c r="Q83" s="78">
        <v>5278.6666666666697</v>
      </c>
      <c r="R83" s="78">
        <v>9226</v>
      </c>
      <c r="S83" s="78">
        <v>2545</v>
      </c>
      <c r="T83" s="78">
        <v>0</v>
      </c>
      <c r="U83" s="78">
        <v>1826</v>
      </c>
      <c r="V83" s="78">
        <v>27398</v>
      </c>
      <c r="W83" s="78">
        <v>63570</v>
      </c>
      <c r="X83" s="78">
        <v>65390</v>
      </c>
      <c r="Y83" s="78">
        <v>3718.58</v>
      </c>
      <c r="Z83" s="78">
        <v>3742.4</v>
      </c>
      <c r="AA83" s="78">
        <v>0</v>
      </c>
      <c r="AB83" s="399">
        <f>IF((J83-'[2]Basisgegevens aanvullend'!D83*1.1)&lt;=0,0,J83-'[2]Basisgegevens aanvullend'!D83*1.1)</f>
        <v>0</v>
      </c>
      <c r="AC83" s="399">
        <v>0</v>
      </c>
      <c r="AD83" s="78">
        <v>7899</v>
      </c>
      <c r="AE83" s="78">
        <v>7899</v>
      </c>
      <c r="AF83" s="78">
        <v>66</v>
      </c>
      <c r="AG83" s="78">
        <v>0</v>
      </c>
      <c r="AH83" s="78">
        <v>364</v>
      </c>
      <c r="AI83" s="78">
        <v>77</v>
      </c>
      <c r="AJ83" s="78">
        <v>364</v>
      </c>
      <c r="AK83" s="78">
        <v>77</v>
      </c>
      <c r="AL83" s="78">
        <v>440</v>
      </c>
      <c r="AM83" s="78">
        <v>27155</v>
      </c>
      <c r="AN83" s="78">
        <v>27155</v>
      </c>
      <c r="AO83" s="78">
        <v>10</v>
      </c>
      <c r="AP83" s="78">
        <v>0</v>
      </c>
      <c r="AQ83" s="78">
        <v>0</v>
      </c>
      <c r="AR83" s="78">
        <v>0</v>
      </c>
      <c r="AS83" s="78">
        <v>1667</v>
      </c>
      <c r="AT83" s="78">
        <v>1667</v>
      </c>
      <c r="AU83" s="400">
        <v>7.53153E-4</v>
      </c>
      <c r="AV83" s="400">
        <v>1.0983119999999999E-3</v>
      </c>
      <c r="AW83" s="78">
        <v>31336.87</v>
      </c>
      <c r="AX83" s="78">
        <v>0</v>
      </c>
      <c r="AY83" s="78">
        <v>1119</v>
      </c>
      <c r="AZ83" s="78">
        <v>8186.3314500941597</v>
      </c>
      <c r="BA83" s="78">
        <v>7</v>
      </c>
      <c r="BB83" s="78">
        <v>7</v>
      </c>
      <c r="BC83" s="78">
        <v>6466</v>
      </c>
      <c r="BD83" s="78">
        <v>1</v>
      </c>
      <c r="BE83" s="78">
        <v>0</v>
      </c>
      <c r="BF83" s="78">
        <v>0</v>
      </c>
      <c r="BG83" s="78">
        <v>0</v>
      </c>
      <c r="BH83" s="78">
        <v>0</v>
      </c>
      <c r="BI83" s="78">
        <v>0</v>
      </c>
      <c r="BJ83" s="78">
        <v>0</v>
      </c>
      <c r="BK83" s="78">
        <v>0</v>
      </c>
      <c r="BL83" s="78">
        <v>0</v>
      </c>
      <c r="BM83" s="78">
        <v>1237.915</v>
      </c>
      <c r="BN83" s="78">
        <v>194</v>
      </c>
      <c r="BO83" s="78">
        <v>142</v>
      </c>
      <c r="BP83" s="78">
        <v>16188.2</v>
      </c>
      <c r="BQ83" s="78">
        <v>3631.45</v>
      </c>
      <c r="BR83" s="78">
        <v>516.59162084765205</v>
      </c>
      <c r="BS83" s="78">
        <v>714</v>
      </c>
      <c r="BT83" s="78">
        <v>316.33333333333297</v>
      </c>
      <c r="BU83" s="78">
        <v>275.33333333333297</v>
      </c>
      <c r="BV83" s="78">
        <f t="shared" si="7"/>
        <v>4117</v>
      </c>
      <c r="BW83" s="78">
        <v>1478</v>
      </c>
      <c r="BX83" s="78">
        <v>10814.8059102429</v>
      </c>
      <c r="BY83" s="78">
        <v>3.0209999999999999</v>
      </c>
      <c r="BZ83" s="78">
        <v>45809</v>
      </c>
      <c r="CA83" s="78">
        <v>7253</v>
      </c>
      <c r="CB83" s="78">
        <v>1351</v>
      </c>
      <c r="CC83" s="78">
        <v>1595</v>
      </c>
      <c r="CD83" s="78">
        <v>1342</v>
      </c>
      <c r="CE83" s="78">
        <v>673</v>
      </c>
      <c r="CF83" s="78">
        <v>977.29510219112501</v>
      </c>
      <c r="CG83" s="78">
        <v>573.915632480206</v>
      </c>
      <c r="CH83" s="78">
        <v>205.89385011968301</v>
      </c>
      <c r="CI83" s="78">
        <v>2241.1152000000002</v>
      </c>
      <c r="CJ83" s="78">
        <v>1316.0927999999999</v>
      </c>
      <c r="CK83" s="78">
        <v>472.15199999999999</v>
      </c>
      <c r="CL83" s="78">
        <v>135697</v>
      </c>
    </row>
    <row r="84" spans="1:90" x14ac:dyDescent="0.35">
      <c r="A84" s="72">
        <v>225</v>
      </c>
      <c r="B84" s="72" t="s">
        <v>94</v>
      </c>
      <c r="C84" s="72">
        <v>5</v>
      </c>
      <c r="D84" s="78">
        <v>1733200000</v>
      </c>
      <c r="E84" s="78">
        <v>217000000</v>
      </c>
      <c r="F84" s="78">
        <v>251650000</v>
      </c>
      <c r="G84" s="78">
        <v>18991</v>
      </c>
      <c r="H84" s="78">
        <v>4</v>
      </c>
      <c r="I84" s="78">
        <f t="shared" si="5"/>
        <v>251.65</v>
      </c>
      <c r="J84" s="78">
        <v>3539</v>
      </c>
      <c r="K84" s="78">
        <v>3859</v>
      </c>
      <c r="L84" s="78">
        <v>1211</v>
      </c>
      <c r="M84" s="78">
        <v>2363</v>
      </c>
      <c r="N84" s="78">
        <f t="shared" si="6"/>
        <v>1517.6</v>
      </c>
      <c r="O84" s="78">
        <v>259.66666666666703</v>
      </c>
      <c r="P84" s="78">
        <v>17</v>
      </c>
      <c r="Q84" s="78">
        <v>1361.6666666666699</v>
      </c>
      <c r="R84" s="78">
        <v>2277</v>
      </c>
      <c r="S84" s="78">
        <v>855</v>
      </c>
      <c r="T84" s="78">
        <v>0</v>
      </c>
      <c r="U84" s="78">
        <v>553</v>
      </c>
      <c r="V84" s="78">
        <v>8441</v>
      </c>
      <c r="W84" s="78">
        <v>17320</v>
      </c>
      <c r="X84" s="78">
        <v>5850</v>
      </c>
      <c r="Y84" s="78">
        <v>758.48</v>
      </c>
      <c r="Z84" s="78">
        <v>1214.4000000000001</v>
      </c>
      <c r="AA84" s="78">
        <v>0</v>
      </c>
      <c r="AB84" s="399">
        <f>IF((J84-'[2]Basisgegevens aanvullend'!D84*1.1)&lt;=0,0,J84-'[2]Basisgegevens aanvullend'!D84*1.1)</f>
        <v>0</v>
      </c>
      <c r="AC84" s="399">
        <v>0</v>
      </c>
      <c r="AD84" s="78">
        <v>3739</v>
      </c>
      <c r="AE84" s="78">
        <v>3776.39</v>
      </c>
      <c r="AF84" s="78">
        <v>506</v>
      </c>
      <c r="AG84" s="78">
        <v>0</v>
      </c>
      <c r="AH84" s="78">
        <v>111</v>
      </c>
      <c r="AI84" s="78">
        <v>37</v>
      </c>
      <c r="AJ84" s="78">
        <v>113.22</v>
      </c>
      <c r="AK84" s="78">
        <v>37.369999999999997</v>
      </c>
      <c r="AL84" s="78">
        <v>148</v>
      </c>
      <c r="AM84" s="78">
        <v>8454</v>
      </c>
      <c r="AN84" s="78">
        <v>8623.08</v>
      </c>
      <c r="AO84" s="78">
        <v>0</v>
      </c>
      <c r="AP84" s="78">
        <v>0</v>
      </c>
      <c r="AQ84" s="78">
        <v>0</v>
      </c>
      <c r="AR84" s="78">
        <v>0</v>
      </c>
      <c r="AS84" s="78">
        <v>0</v>
      </c>
      <c r="AT84" s="78">
        <v>0</v>
      </c>
      <c r="AU84" s="400">
        <v>1.5596300000000001E-4</v>
      </c>
      <c r="AV84" s="400">
        <v>8.2058999999999995E-5</v>
      </c>
      <c r="AW84" s="78">
        <v>6780.1080000000002</v>
      </c>
      <c r="AX84" s="78">
        <v>0</v>
      </c>
      <c r="AY84" s="78">
        <v>1322.09</v>
      </c>
      <c r="AZ84" s="78">
        <v>5968.9003792697304</v>
      </c>
      <c r="BA84" s="78">
        <v>5</v>
      </c>
      <c r="BB84" s="78">
        <v>5.05</v>
      </c>
      <c r="BC84" s="78">
        <v>2163</v>
      </c>
      <c r="BD84" s="78">
        <v>1</v>
      </c>
      <c r="BE84" s="78">
        <v>0</v>
      </c>
      <c r="BF84" s="78">
        <v>0</v>
      </c>
      <c r="BG84" s="78">
        <v>0</v>
      </c>
      <c r="BH84" s="78">
        <v>0</v>
      </c>
      <c r="BI84" s="78">
        <v>0</v>
      </c>
      <c r="BJ84" s="78">
        <v>0</v>
      </c>
      <c r="BK84" s="78">
        <v>0</v>
      </c>
      <c r="BL84" s="78">
        <v>0</v>
      </c>
      <c r="BM84" s="78">
        <v>343.28300000000002</v>
      </c>
      <c r="BN84" s="78">
        <v>69</v>
      </c>
      <c r="BO84" s="78">
        <v>46</v>
      </c>
      <c r="BP84" s="78">
        <v>5100.16</v>
      </c>
      <c r="BQ84" s="78">
        <v>1332.5</v>
      </c>
      <c r="BR84" s="78">
        <v>145.19007291323001</v>
      </c>
      <c r="BS84" s="78">
        <v>200</v>
      </c>
      <c r="BT84" s="78">
        <v>83</v>
      </c>
      <c r="BU84" s="78">
        <v>68</v>
      </c>
      <c r="BV84" s="78">
        <f t="shared" si="7"/>
        <v>1102.000000000003</v>
      </c>
      <c r="BW84" s="78">
        <v>443</v>
      </c>
      <c r="BX84" s="78">
        <v>3291.1445144245999</v>
      </c>
      <c r="BY84" s="78">
        <v>0.53300000000000003</v>
      </c>
      <c r="BZ84" s="78">
        <v>15132</v>
      </c>
      <c r="CA84" s="78">
        <v>2279</v>
      </c>
      <c r="CB84" s="78">
        <v>369</v>
      </c>
      <c r="CC84" s="78">
        <v>420</v>
      </c>
      <c r="CD84" s="78">
        <v>350</v>
      </c>
      <c r="CE84" s="78">
        <v>190</v>
      </c>
      <c r="CF84" s="78">
        <v>248.62502957180001</v>
      </c>
      <c r="CG84" s="78">
        <v>144.50768866808599</v>
      </c>
      <c r="CH84" s="78">
        <v>45.416702152827099</v>
      </c>
      <c r="CI84" s="78">
        <v>638.62350000000004</v>
      </c>
      <c r="CJ84" s="78">
        <v>371.18549999999999</v>
      </c>
      <c r="CK84" s="78">
        <v>116.6583</v>
      </c>
      <c r="CL84" s="78">
        <v>124465</v>
      </c>
    </row>
    <row r="85" spans="1:90" x14ac:dyDescent="0.35">
      <c r="A85" s="72">
        <v>226</v>
      </c>
      <c r="B85" s="72" t="s">
        <v>95</v>
      </c>
      <c r="C85" s="72">
        <v>5</v>
      </c>
      <c r="D85" s="78">
        <v>2218800000</v>
      </c>
      <c r="E85" s="78">
        <v>530250000</v>
      </c>
      <c r="F85" s="78">
        <v>539350000</v>
      </c>
      <c r="G85" s="78">
        <v>25066</v>
      </c>
      <c r="H85" s="78">
        <v>1</v>
      </c>
      <c r="I85" s="78">
        <f t="shared" si="5"/>
        <v>539.35</v>
      </c>
      <c r="J85" s="78">
        <v>4595</v>
      </c>
      <c r="K85" s="78">
        <v>4973</v>
      </c>
      <c r="L85" s="78">
        <v>1470</v>
      </c>
      <c r="M85" s="78">
        <v>2853</v>
      </c>
      <c r="N85" s="78">
        <f t="shared" si="6"/>
        <v>1773</v>
      </c>
      <c r="O85" s="78">
        <v>428.66666666666703</v>
      </c>
      <c r="P85" s="78">
        <v>28</v>
      </c>
      <c r="Q85" s="78">
        <v>1688.6666666666699</v>
      </c>
      <c r="R85" s="78">
        <v>3028</v>
      </c>
      <c r="S85" s="78">
        <v>755</v>
      </c>
      <c r="T85" s="78">
        <v>0</v>
      </c>
      <c r="U85" s="78">
        <v>812</v>
      </c>
      <c r="V85" s="78">
        <v>10914</v>
      </c>
      <c r="W85" s="78">
        <v>24880</v>
      </c>
      <c r="X85" s="78">
        <v>15610</v>
      </c>
      <c r="Y85" s="78">
        <v>0</v>
      </c>
      <c r="Z85" s="78">
        <v>1517.6</v>
      </c>
      <c r="AA85" s="78">
        <v>0</v>
      </c>
      <c r="AB85" s="399">
        <f>IF((J85-'[2]Basisgegevens aanvullend'!D85*1.1)&lt;=0,0,J85-'[2]Basisgegevens aanvullend'!D85*1.1)</f>
        <v>0</v>
      </c>
      <c r="AC85" s="399">
        <v>0</v>
      </c>
      <c r="AD85" s="78">
        <v>3393</v>
      </c>
      <c r="AE85" s="78">
        <v>3393</v>
      </c>
      <c r="AF85" s="78">
        <v>126</v>
      </c>
      <c r="AG85" s="78">
        <v>0</v>
      </c>
      <c r="AH85" s="78">
        <v>134</v>
      </c>
      <c r="AI85" s="78">
        <v>55</v>
      </c>
      <c r="AJ85" s="78">
        <v>134</v>
      </c>
      <c r="AK85" s="78">
        <v>55</v>
      </c>
      <c r="AL85" s="78">
        <v>189</v>
      </c>
      <c r="AM85" s="78">
        <v>10800</v>
      </c>
      <c r="AN85" s="78">
        <v>10800</v>
      </c>
      <c r="AO85" s="78">
        <v>0</v>
      </c>
      <c r="AP85" s="78">
        <v>0</v>
      </c>
      <c r="AQ85" s="78">
        <v>0</v>
      </c>
      <c r="AR85" s="78">
        <v>0</v>
      </c>
      <c r="AS85" s="78">
        <v>0</v>
      </c>
      <c r="AT85" s="78">
        <v>0</v>
      </c>
      <c r="AU85" s="400">
        <v>6.6382000000000002E-5</v>
      </c>
      <c r="AV85" s="400">
        <v>4.9979999999999999E-5</v>
      </c>
      <c r="AW85" s="78">
        <v>12528</v>
      </c>
      <c r="AX85" s="78">
        <v>0</v>
      </c>
      <c r="AY85" s="78">
        <v>833</v>
      </c>
      <c r="AZ85" s="78">
        <v>5933.49758454106</v>
      </c>
      <c r="BA85" s="78">
        <v>5</v>
      </c>
      <c r="BB85" s="78">
        <v>5</v>
      </c>
      <c r="BC85" s="78">
        <v>2592</v>
      </c>
      <c r="BD85" s="78">
        <v>1</v>
      </c>
      <c r="BE85" s="78">
        <v>0</v>
      </c>
      <c r="BF85" s="78">
        <v>0</v>
      </c>
      <c r="BG85" s="78">
        <v>0</v>
      </c>
      <c r="BH85" s="78">
        <v>0</v>
      </c>
      <c r="BI85" s="78">
        <v>0</v>
      </c>
      <c r="BJ85" s="78">
        <v>0</v>
      </c>
      <c r="BK85" s="78">
        <v>0</v>
      </c>
      <c r="BL85" s="78">
        <v>0</v>
      </c>
      <c r="BM85" s="78">
        <v>413.55</v>
      </c>
      <c r="BN85" s="78">
        <v>51</v>
      </c>
      <c r="BO85" s="78">
        <v>23</v>
      </c>
      <c r="BP85" s="78">
        <v>7400.25</v>
      </c>
      <c r="BQ85" s="78">
        <v>1749.8</v>
      </c>
      <c r="BR85" s="78">
        <v>166.04504303131699</v>
      </c>
      <c r="BS85" s="78">
        <v>281</v>
      </c>
      <c r="BT85" s="78">
        <v>111</v>
      </c>
      <c r="BU85" s="78">
        <v>100</v>
      </c>
      <c r="BV85" s="78">
        <f t="shared" si="7"/>
        <v>1260.000000000003</v>
      </c>
      <c r="BW85" s="78">
        <v>330</v>
      </c>
      <c r="BX85" s="78">
        <v>4563.95534824485</v>
      </c>
      <c r="BY85" s="78">
        <v>0.84899999999999998</v>
      </c>
      <c r="BZ85" s="78">
        <v>20093</v>
      </c>
      <c r="CA85" s="78">
        <v>2992</v>
      </c>
      <c r="CB85" s="78">
        <v>511</v>
      </c>
      <c r="CC85" s="78">
        <v>609</v>
      </c>
      <c r="CD85" s="78">
        <v>492</v>
      </c>
      <c r="CE85" s="78">
        <v>260</v>
      </c>
      <c r="CF85" s="78">
        <v>305.84249999999997</v>
      </c>
      <c r="CG85" s="78">
        <v>167.12166666666701</v>
      </c>
      <c r="CH85" s="78">
        <v>60.413333333333298</v>
      </c>
      <c r="CI85" s="78">
        <v>829.59389999999996</v>
      </c>
      <c r="CJ85" s="78">
        <v>453.31540000000001</v>
      </c>
      <c r="CK85" s="78">
        <v>163.87039999999999</v>
      </c>
      <c r="CL85" s="78">
        <v>0</v>
      </c>
    </row>
    <row r="86" spans="1:90" x14ac:dyDescent="0.35">
      <c r="A86" s="72">
        <v>228</v>
      </c>
      <c r="B86" s="72" t="s">
        <v>98</v>
      </c>
      <c r="C86" s="72">
        <v>5</v>
      </c>
      <c r="D86" s="78">
        <v>11820400000</v>
      </c>
      <c r="E86" s="78">
        <v>2175250000</v>
      </c>
      <c r="F86" s="78">
        <v>2346050000</v>
      </c>
      <c r="G86" s="78">
        <v>118530</v>
      </c>
      <c r="H86" s="78">
        <v>6</v>
      </c>
      <c r="I86" s="78">
        <f t="shared" si="5"/>
        <v>2346.0500000000002</v>
      </c>
      <c r="J86" s="78">
        <v>25657</v>
      </c>
      <c r="K86" s="78">
        <v>22163</v>
      </c>
      <c r="L86" s="78">
        <v>6844</v>
      </c>
      <c r="M86" s="78">
        <v>13411</v>
      </c>
      <c r="N86" s="78">
        <f t="shared" si="6"/>
        <v>8228.2999999999993</v>
      </c>
      <c r="O86" s="78">
        <v>1670.3333333333301</v>
      </c>
      <c r="P86" s="78">
        <v>139</v>
      </c>
      <c r="Q86" s="78">
        <v>7015.3333333333303</v>
      </c>
      <c r="R86" s="78">
        <v>17194</v>
      </c>
      <c r="S86" s="78">
        <v>6440</v>
      </c>
      <c r="T86" s="78">
        <v>0</v>
      </c>
      <c r="U86" s="78">
        <v>2760</v>
      </c>
      <c r="V86" s="78">
        <v>51696</v>
      </c>
      <c r="W86" s="78">
        <v>123010</v>
      </c>
      <c r="X86" s="78">
        <v>140410</v>
      </c>
      <c r="Y86" s="78">
        <v>2858.68</v>
      </c>
      <c r="Z86" s="78">
        <v>3660.8</v>
      </c>
      <c r="AA86" s="78">
        <v>0</v>
      </c>
      <c r="AB86" s="399">
        <f>IF((J86-'[2]Basisgegevens aanvullend'!D86*1.1)&lt;=0,0,J86-'[2]Basisgegevens aanvullend'!D86*1.1)</f>
        <v>0</v>
      </c>
      <c r="AC86" s="399">
        <v>0</v>
      </c>
      <c r="AD86" s="78">
        <v>31815</v>
      </c>
      <c r="AE86" s="78">
        <v>31815</v>
      </c>
      <c r="AF86" s="78">
        <v>47</v>
      </c>
      <c r="AG86" s="78">
        <v>0</v>
      </c>
      <c r="AH86" s="78">
        <v>589</v>
      </c>
      <c r="AI86" s="78">
        <v>306</v>
      </c>
      <c r="AJ86" s="78">
        <v>589</v>
      </c>
      <c r="AK86" s="78">
        <v>306</v>
      </c>
      <c r="AL86" s="78">
        <v>895</v>
      </c>
      <c r="AM86" s="78">
        <v>51827</v>
      </c>
      <c r="AN86" s="78">
        <v>51827</v>
      </c>
      <c r="AO86" s="78">
        <v>0</v>
      </c>
      <c r="AP86" s="78">
        <v>0</v>
      </c>
      <c r="AQ86" s="78">
        <v>0</v>
      </c>
      <c r="AR86" s="78">
        <v>0</v>
      </c>
      <c r="AS86" s="78">
        <v>3234</v>
      </c>
      <c r="AT86" s="78">
        <v>0</v>
      </c>
      <c r="AU86" s="400">
        <v>1.106171E-3</v>
      </c>
      <c r="AV86" s="400">
        <v>1.8963160000000001E-3</v>
      </c>
      <c r="AW86" s="78">
        <v>81264.736000000004</v>
      </c>
      <c r="AX86" s="78">
        <v>0</v>
      </c>
      <c r="AY86" s="78">
        <v>1673</v>
      </c>
      <c r="AZ86" s="78">
        <v>6223.7364258364196</v>
      </c>
      <c r="BA86" s="78">
        <v>24</v>
      </c>
      <c r="BB86" s="78">
        <v>24</v>
      </c>
      <c r="BC86" s="78">
        <v>14269</v>
      </c>
      <c r="BD86" s="78">
        <v>1</v>
      </c>
      <c r="BE86" s="78">
        <v>0</v>
      </c>
      <c r="BF86" s="78">
        <v>0</v>
      </c>
      <c r="BG86" s="78">
        <v>0</v>
      </c>
      <c r="BH86" s="78">
        <v>0</v>
      </c>
      <c r="BI86" s="78">
        <v>0</v>
      </c>
      <c r="BJ86" s="78">
        <v>0</v>
      </c>
      <c r="BK86" s="78">
        <v>0</v>
      </c>
      <c r="BL86" s="78">
        <v>0</v>
      </c>
      <c r="BM86" s="78">
        <v>2540.0430000000001</v>
      </c>
      <c r="BN86" s="78">
        <v>584</v>
      </c>
      <c r="BO86" s="78">
        <v>438</v>
      </c>
      <c r="BP86" s="78">
        <v>32534.45</v>
      </c>
      <c r="BQ86" s="78">
        <v>8296.32</v>
      </c>
      <c r="BR86" s="78">
        <v>1270.80165112026</v>
      </c>
      <c r="BS86" s="78">
        <v>1107</v>
      </c>
      <c r="BT86" s="78">
        <v>494.66666666666703</v>
      </c>
      <c r="BU86" s="78">
        <v>364.33333333333297</v>
      </c>
      <c r="BV86" s="78">
        <f t="shared" si="7"/>
        <v>5345</v>
      </c>
      <c r="BW86" s="78">
        <v>1894</v>
      </c>
      <c r="BX86" s="78">
        <v>15741.480015363</v>
      </c>
      <c r="BY86" s="78">
        <v>3.3690000000000002</v>
      </c>
      <c r="BZ86" s="78">
        <v>96367</v>
      </c>
      <c r="CA86" s="78">
        <v>12576</v>
      </c>
      <c r="CB86" s="78">
        <v>2743</v>
      </c>
      <c r="CC86" s="78">
        <v>2543</v>
      </c>
      <c r="CD86" s="78">
        <v>2262</v>
      </c>
      <c r="CE86" s="78">
        <v>1405</v>
      </c>
      <c r="CF86" s="78">
        <v>1223.59982441584</v>
      </c>
      <c r="CG86" s="78">
        <v>749.21079167229402</v>
      </c>
      <c r="CH86" s="78">
        <v>313.401589904876</v>
      </c>
      <c r="CI86" s="78">
        <v>3371.8125</v>
      </c>
      <c r="CJ86" s="78">
        <v>2064.5625</v>
      </c>
      <c r="CK86" s="78">
        <v>863.625</v>
      </c>
      <c r="CL86" s="78">
        <v>187158</v>
      </c>
    </row>
    <row r="87" spans="1:90" x14ac:dyDescent="0.35">
      <c r="A87" s="72">
        <v>230</v>
      </c>
      <c r="B87" s="72" t="s">
        <v>103</v>
      </c>
      <c r="C87" s="72">
        <v>5</v>
      </c>
      <c r="D87" s="78">
        <v>2182400000</v>
      </c>
      <c r="E87" s="78">
        <v>307650000</v>
      </c>
      <c r="F87" s="78">
        <v>339850000</v>
      </c>
      <c r="G87" s="78">
        <v>23429</v>
      </c>
      <c r="H87" s="78">
        <v>3</v>
      </c>
      <c r="I87" s="78">
        <f t="shared" si="5"/>
        <v>339.85</v>
      </c>
      <c r="J87" s="78">
        <v>5159</v>
      </c>
      <c r="K87" s="78">
        <v>4630</v>
      </c>
      <c r="L87" s="78">
        <v>1492</v>
      </c>
      <c r="M87" s="78">
        <v>2517</v>
      </c>
      <c r="N87" s="78">
        <f t="shared" si="6"/>
        <v>1508.6999999999998</v>
      </c>
      <c r="O87" s="78">
        <v>222.666666666667</v>
      </c>
      <c r="P87" s="78">
        <v>29</v>
      </c>
      <c r="Q87" s="78">
        <v>1347.6666666666699</v>
      </c>
      <c r="R87" s="78">
        <v>2569</v>
      </c>
      <c r="S87" s="78">
        <v>275</v>
      </c>
      <c r="T87" s="78">
        <v>0</v>
      </c>
      <c r="U87" s="78">
        <v>534</v>
      </c>
      <c r="V87" s="78">
        <v>9713</v>
      </c>
      <c r="W87" s="78">
        <v>21970</v>
      </c>
      <c r="X87" s="78">
        <v>8760</v>
      </c>
      <c r="Y87" s="78">
        <v>0</v>
      </c>
      <c r="Z87" s="78">
        <v>1580.8</v>
      </c>
      <c r="AA87" s="78">
        <v>0</v>
      </c>
      <c r="AB87" s="399">
        <f>IF((J87-'[2]Basisgegevens aanvullend'!D87*1.1)&lt;=0,0,J87-'[2]Basisgegevens aanvullend'!D87*1.1)</f>
        <v>0</v>
      </c>
      <c r="AC87" s="399">
        <v>0</v>
      </c>
      <c r="AD87" s="78">
        <v>6382</v>
      </c>
      <c r="AE87" s="78">
        <v>6382</v>
      </c>
      <c r="AF87" s="78">
        <v>209</v>
      </c>
      <c r="AG87" s="78">
        <v>0</v>
      </c>
      <c r="AH87" s="78">
        <v>129</v>
      </c>
      <c r="AI87" s="78">
        <v>37</v>
      </c>
      <c r="AJ87" s="78">
        <v>129</v>
      </c>
      <c r="AK87" s="78">
        <v>37</v>
      </c>
      <c r="AL87" s="78">
        <v>165</v>
      </c>
      <c r="AM87" s="78">
        <v>10083</v>
      </c>
      <c r="AN87" s="78">
        <v>10083</v>
      </c>
      <c r="AO87" s="78">
        <v>9</v>
      </c>
      <c r="AP87" s="78">
        <v>0</v>
      </c>
      <c r="AQ87" s="78">
        <v>0</v>
      </c>
      <c r="AR87" s="78">
        <v>2500</v>
      </c>
      <c r="AS87" s="78">
        <v>579</v>
      </c>
      <c r="AT87" s="78">
        <v>579</v>
      </c>
      <c r="AU87" s="400">
        <v>3.3823700000000002E-4</v>
      </c>
      <c r="AV87" s="400">
        <v>1.12794E-4</v>
      </c>
      <c r="AW87" s="78">
        <v>6886.6890000000003</v>
      </c>
      <c r="AX87" s="78">
        <v>0</v>
      </c>
      <c r="AY87" s="78">
        <v>615</v>
      </c>
      <c r="AZ87" s="78">
        <v>2186.1379153390999</v>
      </c>
      <c r="BA87" s="78">
        <v>6</v>
      </c>
      <c r="BB87" s="78">
        <v>6</v>
      </c>
      <c r="BC87" s="78">
        <v>2331</v>
      </c>
      <c r="BD87" s="78">
        <v>1</v>
      </c>
      <c r="BE87" s="78">
        <v>0</v>
      </c>
      <c r="BF87" s="78">
        <v>0</v>
      </c>
      <c r="BG87" s="78">
        <v>0</v>
      </c>
      <c r="BH87" s="78">
        <v>0</v>
      </c>
      <c r="BI87" s="78">
        <v>0</v>
      </c>
      <c r="BJ87" s="78">
        <v>0</v>
      </c>
      <c r="BK87" s="78">
        <v>0</v>
      </c>
      <c r="BL87" s="78">
        <v>0</v>
      </c>
      <c r="BM87" s="78">
        <v>392.084</v>
      </c>
      <c r="BN87" s="78">
        <v>130</v>
      </c>
      <c r="BO87" s="78">
        <v>43</v>
      </c>
      <c r="BP87" s="78">
        <v>5882.31</v>
      </c>
      <c r="BQ87" s="78">
        <v>1527.14</v>
      </c>
      <c r="BR87" s="78">
        <v>323.91671273123001</v>
      </c>
      <c r="BS87" s="78">
        <v>229</v>
      </c>
      <c r="BT87" s="78">
        <v>79.3333333333333</v>
      </c>
      <c r="BU87" s="78">
        <v>67</v>
      </c>
      <c r="BV87" s="78">
        <f t="shared" si="7"/>
        <v>1125.000000000003</v>
      </c>
      <c r="BW87" s="78">
        <v>351</v>
      </c>
      <c r="BX87" s="78">
        <v>3733.3855066707001</v>
      </c>
      <c r="BY87" s="78">
        <v>0.27700000000000002</v>
      </c>
      <c r="BZ87" s="78">
        <v>18799</v>
      </c>
      <c r="CA87" s="78">
        <v>2634</v>
      </c>
      <c r="CB87" s="78">
        <v>504</v>
      </c>
      <c r="CC87" s="78">
        <v>480</v>
      </c>
      <c r="CD87" s="78">
        <v>439</v>
      </c>
      <c r="CE87" s="78">
        <v>219</v>
      </c>
      <c r="CF87" s="78">
        <v>236.56200535554899</v>
      </c>
      <c r="CG87" s="78">
        <v>151.72288009521</v>
      </c>
      <c r="CH87" s="78">
        <v>48.479500148765297</v>
      </c>
      <c r="CI87" s="78">
        <v>774.84810000000004</v>
      </c>
      <c r="CJ87" s="78">
        <v>496.96140000000003</v>
      </c>
      <c r="CK87" s="78">
        <v>158.79239999999999</v>
      </c>
      <c r="CL87" s="78">
        <v>11907</v>
      </c>
    </row>
    <row r="88" spans="1:90" x14ac:dyDescent="0.35">
      <c r="A88" s="72">
        <v>232</v>
      </c>
      <c r="B88" s="72" t="s">
        <v>107</v>
      </c>
      <c r="C88" s="72">
        <v>5</v>
      </c>
      <c r="D88" s="78">
        <v>3777600000</v>
      </c>
      <c r="E88" s="78">
        <v>430150000</v>
      </c>
      <c r="F88" s="78">
        <v>473200000</v>
      </c>
      <c r="G88" s="78">
        <v>33198</v>
      </c>
      <c r="H88" s="78">
        <v>4</v>
      </c>
      <c r="I88" s="78">
        <f t="shared" si="5"/>
        <v>473.2</v>
      </c>
      <c r="J88" s="78">
        <v>5962</v>
      </c>
      <c r="K88" s="78">
        <v>8520</v>
      </c>
      <c r="L88" s="78">
        <v>2852</v>
      </c>
      <c r="M88" s="78">
        <v>4155</v>
      </c>
      <c r="N88" s="78">
        <f t="shared" si="6"/>
        <v>2599.1999999999998</v>
      </c>
      <c r="O88" s="78">
        <v>403</v>
      </c>
      <c r="P88" s="78">
        <v>38</v>
      </c>
      <c r="Q88" s="78">
        <v>2105</v>
      </c>
      <c r="R88" s="78">
        <v>4387</v>
      </c>
      <c r="S88" s="78">
        <v>1275</v>
      </c>
      <c r="T88" s="78">
        <v>0</v>
      </c>
      <c r="U88" s="78">
        <v>804</v>
      </c>
      <c r="V88" s="78">
        <v>14770</v>
      </c>
      <c r="W88" s="78">
        <v>30210</v>
      </c>
      <c r="X88" s="78">
        <v>13420</v>
      </c>
      <c r="Y88" s="78">
        <v>178.58</v>
      </c>
      <c r="Z88" s="78">
        <v>790.4</v>
      </c>
      <c r="AA88" s="78">
        <v>0</v>
      </c>
      <c r="AB88" s="399">
        <f>IF((J88-'[2]Basisgegevens aanvullend'!D88*1.1)&lt;=0,0,J88-'[2]Basisgegevens aanvullend'!D88*1.1)</f>
        <v>0</v>
      </c>
      <c r="AC88" s="399">
        <v>0</v>
      </c>
      <c r="AD88" s="78">
        <v>15609</v>
      </c>
      <c r="AE88" s="78">
        <v>15609</v>
      </c>
      <c r="AF88" s="78">
        <v>128</v>
      </c>
      <c r="AG88" s="78">
        <v>0</v>
      </c>
      <c r="AH88" s="78">
        <v>182</v>
      </c>
      <c r="AI88" s="78">
        <v>112</v>
      </c>
      <c r="AJ88" s="78">
        <v>182</v>
      </c>
      <c r="AK88" s="78">
        <v>112</v>
      </c>
      <c r="AL88" s="78">
        <v>294</v>
      </c>
      <c r="AM88" s="78">
        <v>15558</v>
      </c>
      <c r="AN88" s="78">
        <v>15558</v>
      </c>
      <c r="AO88" s="78">
        <v>0</v>
      </c>
      <c r="AP88" s="78">
        <v>0</v>
      </c>
      <c r="AQ88" s="78">
        <v>0</v>
      </c>
      <c r="AR88" s="78">
        <v>0</v>
      </c>
      <c r="AS88" s="78">
        <v>604</v>
      </c>
      <c r="AT88" s="78">
        <v>0</v>
      </c>
      <c r="AU88" s="400">
        <v>5.4474500000000002E-4</v>
      </c>
      <c r="AV88" s="400">
        <v>3.8825200000000001E-4</v>
      </c>
      <c r="AW88" s="78">
        <v>11590.71</v>
      </c>
      <c r="AX88" s="78">
        <v>0</v>
      </c>
      <c r="AY88" s="78">
        <v>1655</v>
      </c>
      <c r="AZ88" s="78">
        <v>3491.3064751858701</v>
      </c>
      <c r="BA88" s="78">
        <v>13</v>
      </c>
      <c r="BB88" s="78">
        <v>13</v>
      </c>
      <c r="BC88" s="78">
        <v>3725</v>
      </c>
      <c r="BD88" s="78">
        <v>1</v>
      </c>
      <c r="BE88" s="78">
        <v>0</v>
      </c>
      <c r="BF88" s="78">
        <v>0</v>
      </c>
      <c r="BG88" s="78">
        <v>0</v>
      </c>
      <c r="BH88" s="78">
        <v>0</v>
      </c>
      <c r="BI88" s="78">
        <v>0</v>
      </c>
      <c r="BJ88" s="78">
        <v>0</v>
      </c>
      <c r="BK88" s="78">
        <v>0</v>
      </c>
      <c r="BL88" s="78">
        <v>0</v>
      </c>
      <c r="BM88" s="78">
        <v>566.39</v>
      </c>
      <c r="BN88" s="78">
        <v>88</v>
      </c>
      <c r="BO88" s="78">
        <v>75</v>
      </c>
      <c r="BP88" s="78">
        <v>10002.299999999999</v>
      </c>
      <c r="BQ88" s="78">
        <v>2104.6999999999998</v>
      </c>
      <c r="BR88" s="78">
        <v>217.020222222222</v>
      </c>
      <c r="BS88" s="78">
        <v>277</v>
      </c>
      <c r="BT88" s="78">
        <v>126.333333333333</v>
      </c>
      <c r="BU88" s="78">
        <v>99.3333333333333</v>
      </c>
      <c r="BV88" s="78">
        <f t="shared" si="7"/>
        <v>1702</v>
      </c>
      <c r="BW88" s="78">
        <v>466</v>
      </c>
      <c r="BX88" s="78">
        <v>7201.9788028211497</v>
      </c>
      <c r="BY88" s="78">
        <v>0.69899999999999995</v>
      </c>
      <c r="BZ88" s="78">
        <v>24678</v>
      </c>
      <c r="CA88" s="78">
        <v>4663</v>
      </c>
      <c r="CB88" s="78">
        <v>1005</v>
      </c>
      <c r="CC88" s="78">
        <v>867</v>
      </c>
      <c r="CD88" s="78">
        <v>807</v>
      </c>
      <c r="CE88" s="78">
        <v>505</v>
      </c>
      <c r="CF88" s="78">
        <v>460.93281912842298</v>
      </c>
      <c r="CG88" s="78">
        <v>321.43339760894702</v>
      </c>
      <c r="CH88" s="78">
        <v>118.44920940995</v>
      </c>
      <c r="CI88" s="78">
        <v>1175.6098999999999</v>
      </c>
      <c r="CJ88" s="78">
        <v>819.81640000000004</v>
      </c>
      <c r="CK88" s="78">
        <v>302.10489999999999</v>
      </c>
      <c r="CL88" s="78">
        <v>25550</v>
      </c>
    </row>
    <row r="89" spans="1:90" x14ac:dyDescent="0.35">
      <c r="A89" s="72">
        <v>233</v>
      </c>
      <c r="B89" s="72" t="s">
        <v>108</v>
      </c>
      <c r="C89" s="72">
        <v>5</v>
      </c>
      <c r="D89" s="78">
        <v>3002800000</v>
      </c>
      <c r="E89" s="78">
        <v>436100000</v>
      </c>
      <c r="F89" s="78">
        <v>499800000</v>
      </c>
      <c r="G89" s="78">
        <v>27016</v>
      </c>
      <c r="H89" s="78">
        <v>1</v>
      </c>
      <c r="I89" s="78">
        <f t="shared" si="5"/>
        <v>499.8</v>
      </c>
      <c r="J89" s="78">
        <v>5147</v>
      </c>
      <c r="K89" s="78">
        <v>6398</v>
      </c>
      <c r="L89" s="78">
        <v>2107</v>
      </c>
      <c r="M89" s="78">
        <v>3374</v>
      </c>
      <c r="N89" s="78">
        <f t="shared" si="6"/>
        <v>1843.3999999999999</v>
      </c>
      <c r="O89" s="78">
        <v>330.33333333333297</v>
      </c>
      <c r="P89" s="78">
        <v>51</v>
      </c>
      <c r="Q89" s="78">
        <v>2132.3333333333298</v>
      </c>
      <c r="R89" s="78">
        <v>3835</v>
      </c>
      <c r="S89" s="78">
        <v>690</v>
      </c>
      <c r="T89" s="78">
        <v>0</v>
      </c>
      <c r="U89" s="78">
        <v>642</v>
      </c>
      <c r="V89" s="78">
        <v>12624</v>
      </c>
      <c r="W89" s="78">
        <v>26920</v>
      </c>
      <c r="X89" s="78">
        <v>16070</v>
      </c>
      <c r="Y89" s="78">
        <v>1166.02</v>
      </c>
      <c r="Z89" s="78">
        <v>2086.4</v>
      </c>
      <c r="AA89" s="78">
        <v>0</v>
      </c>
      <c r="AB89" s="399">
        <f>IF((J89-'[2]Basisgegevens aanvullend'!D89*1.1)&lt;=0,0,J89-'[2]Basisgegevens aanvullend'!D89*1.1)</f>
        <v>0</v>
      </c>
      <c r="AC89" s="399">
        <v>185.8</v>
      </c>
      <c r="AD89" s="78">
        <v>8562</v>
      </c>
      <c r="AE89" s="78">
        <v>8562</v>
      </c>
      <c r="AF89" s="78">
        <v>170</v>
      </c>
      <c r="AG89" s="78">
        <v>0</v>
      </c>
      <c r="AH89" s="78">
        <v>193</v>
      </c>
      <c r="AI89" s="78">
        <v>37</v>
      </c>
      <c r="AJ89" s="78">
        <v>193</v>
      </c>
      <c r="AK89" s="78">
        <v>37</v>
      </c>
      <c r="AL89" s="78">
        <v>230</v>
      </c>
      <c r="AM89" s="78">
        <v>15306</v>
      </c>
      <c r="AN89" s="78">
        <v>15306</v>
      </c>
      <c r="AO89" s="78">
        <v>0</v>
      </c>
      <c r="AP89" s="78">
        <v>0</v>
      </c>
      <c r="AQ89" s="78">
        <v>0</v>
      </c>
      <c r="AR89" s="78">
        <v>0</v>
      </c>
      <c r="AS89" s="78">
        <v>645</v>
      </c>
      <c r="AT89" s="78">
        <v>0</v>
      </c>
      <c r="AU89" s="400">
        <v>2.2730600000000001E-4</v>
      </c>
      <c r="AV89" s="400">
        <v>1.7026500000000001E-4</v>
      </c>
      <c r="AW89" s="78">
        <v>13943.766</v>
      </c>
      <c r="AX89" s="78">
        <v>0</v>
      </c>
      <c r="AY89" s="78">
        <v>282</v>
      </c>
      <c r="AZ89" s="78">
        <v>872.48190563444803</v>
      </c>
      <c r="BA89" s="78">
        <v>9</v>
      </c>
      <c r="BB89" s="78">
        <v>9</v>
      </c>
      <c r="BC89" s="78">
        <v>3304</v>
      </c>
      <c r="BD89" s="78">
        <v>1</v>
      </c>
      <c r="BE89" s="78">
        <v>0</v>
      </c>
      <c r="BF89" s="78">
        <v>0</v>
      </c>
      <c r="BG89" s="78">
        <v>0</v>
      </c>
      <c r="BH89" s="78">
        <v>0</v>
      </c>
      <c r="BI89" s="78">
        <v>0</v>
      </c>
      <c r="BJ89" s="78">
        <v>0</v>
      </c>
      <c r="BK89" s="78">
        <v>0</v>
      </c>
      <c r="BL89" s="78">
        <v>0</v>
      </c>
      <c r="BM89" s="78">
        <v>427.20100000000002</v>
      </c>
      <c r="BN89" s="78">
        <v>63</v>
      </c>
      <c r="BO89" s="78">
        <v>46</v>
      </c>
      <c r="BP89" s="78">
        <v>7780.44</v>
      </c>
      <c r="BQ89" s="78">
        <v>1812.63</v>
      </c>
      <c r="BR89" s="78">
        <v>231.27563736263701</v>
      </c>
      <c r="BS89" s="78">
        <v>245</v>
      </c>
      <c r="BT89" s="78">
        <v>90.3333333333333</v>
      </c>
      <c r="BU89" s="78">
        <v>68</v>
      </c>
      <c r="BV89" s="78">
        <f t="shared" si="7"/>
        <v>1801.9999999999968</v>
      </c>
      <c r="BW89" s="78">
        <v>822</v>
      </c>
      <c r="BX89" s="78">
        <v>4772.4532227488198</v>
      </c>
      <c r="BY89" s="78">
        <v>0.61199999999999999</v>
      </c>
      <c r="BZ89" s="78">
        <v>20618</v>
      </c>
      <c r="CA89" s="78">
        <v>3488</v>
      </c>
      <c r="CB89" s="78">
        <v>803</v>
      </c>
      <c r="CC89" s="78">
        <v>701</v>
      </c>
      <c r="CD89" s="78">
        <v>616</v>
      </c>
      <c r="CE89" s="78">
        <v>367</v>
      </c>
      <c r="CF89" s="78">
        <v>248.701228276493</v>
      </c>
      <c r="CG89" s="78">
        <v>162.10743499281301</v>
      </c>
      <c r="CH89" s="78">
        <v>62.626943682216101</v>
      </c>
      <c r="CI89" s="78">
        <v>812.57749999999999</v>
      </c>
      <c r="CJ89" s="78">
        <v>529.65099999999995</v>
      </c>
      <c r="CK89" s="78">
        <v>204.62</v>
      </c>
      <c r="CL89" s="78">
        <v>450229</v>
      </c>
    </row>
    <row r="90" spans="1:90" x14ac:dyDescent="0.35">
      <c r="A90" s="72">
        <v>243</v>
      </c>
      <c r="B90" s="72" t="s">
        <v>130</v>
      </c>
      <c r="C90" s="72">
        <v>5</v>
      </c>
      <c r="D90" s="78">
        <v>4785200000</v>
      </c>
      <c r="E90" s="78">
        <v>679700000</v>
      </c>
      <c r="F90" s="78">
        <v>698600000</v>
      </c>
      <c r="G90" s="78">
        <v>48726</v>
      </c>
      <c r="H90" s="78">
        <v>1</v>
      </c>
      <c r="I90" s="78">
        <f t="shared" si="5"/>
        <v>698.6</v>
      </c>
      <c r="J90" s="78">
        <v>10330</v>
      </c>
      <c r="K90" s="78">
        <v>9176</v>
      </c>
      <c r="L90" s="78">
        <v>2796</v>
      </c>
      <c r="M90" s="78">
        <v>5932</v>
      </c>
      <c r="N90" s="78">
        <f t="shared" si="6"/>
        <v>3804.5</v>
      </c>
      <c r="O90" s="78">
        <v>832.33333333333303</v>
      </c>
      <c r="P90" s="78">
        <v>65</v>
      </c>
      <c r="Q90" s="78">
        <v>3359.3333333333298</v>
      </c>
      <c r="R90" s="78">
        <v>6950</v>
      </c>
      <c r="S90" s="78">
        <v>4305</v>
      </c>
      <c r="T90" s="78">
        <v>0</v>
      </c>
      <c r="U90" s="78">
        <v>1504</v>
      </c>
      <c r="V90" s="78">
        <v>21680</v>
      </c>
      <c r="W90" s="78">
        <v>52180</v>
      </c>
      <c r="X90" s="78">
        <v>48600</v>
      </c>
      <c r="Y90" s="78">
        <v>1361.48</v>
      </c>
      <c r="Z90" s="78">
        <v>3018.4</v>
      </c>
      <c r="AA90" s="78">
        <v>0</v>
      </c>
      <c r="AB90" s="399">
        <f>IF((J90-'[2]Basisgegevens aanvullend'!D90*1.1)&lt;=0,0,J90-'[2]Basisgegevens aanvullend'!D90*1.1)</f>
        <v>0</v>
      </c>
      <c r="AC90" s="399">
        <v>0</v>
      </c>
      <c r="AD90" s="78">
        <v>3895</v>
      </c>
      <c r="AE90" s="78">
        <v>3895</v>
      </c>
      <c r="AF90" s="78">
        <v>932</v>
      </c>
      <c r="AG90" s="78">
        <v>0</v>
      </c>
      <c r="AH90" s="78">
        <v>254</v>
      </c>
      <c r="AI90" s="78">
        <v>33</v>
      </c>
      <c r="AJ90" s="78">
        <v>254</v>
      </c>
      <c r="AK90" s="78">
        <v>33</v>
      </c>
      <c r="AL90" s="78">
        <v>286</v>
      </c>
      <c r="AM90" s="78">
        <v>21275</v>
      </c>
      <c r="AN90" s="78">
        <v>21275</v>
      </c>
      <c r="AO90" s="78">
        <v>19</v>
      </c>
      <c r="AP90" s="78">
        <v>0</v>
      </c>
      <c r="AQ90" s="78">
        <v>0</v>
      </c>
      <c r="AR90" s="78">
        <v>1650</v>
      </c>
      <c r="AS90" s="78">
        <v>1443</v>
      </c>
      <c r="AT90" s="78">
        <v>1443</v>
      </c>
      <c r="AU90" s="400">
        <v>4.2419799999999998E-4</v>
      </c>
      <c r="AV90" s="400">
        <v>5.6964699999999995E-4</v>
      </c>
      <c r="AW90" s="78">
        <v>32997.525000000001</v>
      </c>
      <c r="AX90" s="78">
        <v>0</v>
      </c>
      <c r="AY90" s="78">
        <v>726</v>
      </c>
      <c r="AZ90" s="78">
        <v>7328.5842137973896</v>
      </c>
      <c r="BA90" s="78">
        <v>2</v>
      </c>
      <c r="BB90" s="78">
        <v>2</v>
      </c>
      <c r="BC90" s="78">
        <v>5415</v>
      </c>
      <c r="BD90" s="78">
        <v>1</v>
      </c>
      <c r="BE90" s="78">
        <v>0</v>
      </c>
      <c r="BF90" s="78">
        <v>0</v>
      </c>
      <c r="BG90" s="78">
        <v>0</v>
      </c>
      <c r="BH90" s="78">
        <v>0</v>
      </c>
      <c r="BI90" s="78">
        <v>0</v>
      </c>
      <c r="BJ90" s="78">
        <v>0</v>
      </c>
      <c r="BK90" s="78">
        <v>0</v>
      </c>
      <c r="BL90" s="78">
        <v>0</v>
      </c>
      <c r="BM90" s="78">
        <v>1125.97</v>
      </c>
      <c r="BN90" s="78">
        <v>161</v>
      </c>
      <c r="BO90" s="78">
        <v>197</v>
      </c>
      <c r="BP90" s="78">
        <v>13713.48</v>
      </c>
      <c r="BQ90" s="78">
        <v>3433.08</v>
      </c>
      <c r="BR90" s="78">
        <v>568.728201606634</v>
      </c>
      <c r="BS90" s="78">
        <v>599</v>
      </c>
      <c r="BT90" s="78">
        <v>258.66666666666703</v>
      </c>
      <c r="BU90" s="78">
        <v>212</v>
      </c>
      <c r="BV90" s="78">
        <f t="shared" si="7"/>
        <v>2526.9999999999968</v>
      </c>
      <c r="BW90" s="78">
        <v>717</v>
      </c>
      <c r="BX90" s="78">
        <v>8456.4680530425103</v>
      </c>
      <c r="BY90" s="78">
        <v>1.821</v>
      </c>
      <c r="BZ90" s="78">
        <v>39550</v>
      </c>
      <c r="CA90" s="78">
        <v>5356</v>
      </c>
      <c r="CB90" s="78">
        <v>1024</v>
      </c>
      <c r="CC90" s="78">
        <v>1168</v>
      </c>
      <c r="CD90" s="78">
        <v>970</v>
      </c>
      <c r="CE90" s="78">
        <v>534</v>
      </c>
      <c r="CF90" s="78">
        <v>596.02343125734399</v>
      </c>
      <c r="CG90" s="78">
        <v>349.06622796709797</v>
      </c>
      <c r="CH90" s="78">
        <v>132.33043478260899</v>
      </c>
      <c r="CI90" s="78">
        <v>1536.8462999999999</v>
      </c>
      <c r="CJ90" s="78">
        <v>900.06719999999996</v>
      </c>
      <c r="CK90" s="78">
        <v>341.214</v>
      </c>
      <c r="CL90" s="78">
        <v>36543</v>
      </c>
    </row>
    <row r="91" spans="1:90" x14ac:dyDescent="0.35">
      <c r="A91" s="72">
        <v>244</v>
      </c>
      <c r="B91" s="72" t="s">
        <v>133</v>
      </c>
      <c r="C91" s="72">
        <v>5</v>
      </c>
      <c r="D91" s="78">
        <v>1342800000</v>
      </c>
      <c r="E91" s="78">
        <v>89950000</v>
      </c>
      <c r="F91" s="78">
        <v>95900000</v>
      </c>
      <c r="G91" s="78">
        <v>12228</v>
      </c>
      <c r="H91" s="78">
        <v>1</v>
      </c>
      <c r="I91" s="78">
        <f t="shared" si="5"/>
        <v>95.9</v>
      </c>
      <c r="J91" s="78">
        <v>2612</v>
      </c>
      <c r="K91" s="78">
        <v>2755</v>
      </c>
      <c r="L91" s="78">
        <v>887</v>
      </c>
      <c r="M91" s="78">
        <v>1348</v>
      </c>
      <c r="N91" s="78">
        <f t="shared" si="6"/>
        <v>807.19999999999993</v>
      </c>
      <c r="O91" s="78">
        <v>105</v>
      </c>
      <c r="P91" s="78">
        <v>13</v>
      </c>
      <c r="Q91" s="78">
        <v>555</v>
      </c>
      <c r="R91" s="78">
        <v>1485</v>
      </c>
      <c r="S91" s="78">
        <v>195</v>
      </c>
      <c r="T91" s="78">
        <v>0</v>
      </c>
      <c r="U91" s="78">
        <v>276</v>
      </c>
      <c r="V91" s="78">
        <v>5208</v>
      </c>
      <c r="W91" s="78">
        <v>10020</v>
      </c>
      <c r="X91" s="78">
        <v>3070</v>
      </c>
      <c r="Y91" s="78">
        <v>0</v>
      </c>
      <c r="Z91" s="78">
        <v>0</v>
      </c>
      <c r="AA91" s="78">
        <v>0</v>
      </c>
      <c r="AB91" s="399">
        <f>IF((J91-'[2]Basisgegevens aanvullend'!D91*1.1)&lt;=0,0,J91-'[2]Basisgegevens aanvullend'!D91*1.1)</f>
        <v>0</v>
      </c>
      <c r="AC91" s="399">
        <v>0</v>
      </c>
      <c r="AD91" s="78">
        <v>2308</v>
      </c>
      <c r="AE91" s="78">
        <v>2308</v>
      </c>
      <c r="AF91" s="78">
        <v>108</v>
      </c>
      <c r="AG91" s="78">
        <v>0</v>
      </c>
      <c r="AH91" s="78">
        <v>65</v>
      </c>
      <c r="AI91" s="78">
        <v>12</v>
      </c>
      <c r="AJ91" s="78">
        <v>65</v>
      </c>
      <c r="AK91" s="78">
        <v>12</v>
      </c>
      <c r="AL91" s="78">
        <v>77</v>
      </c>
      <c r="AM91" s="78">
        <v>5408</v>
      </c>
      <c r="AN91" s="78">
        <v>5408</v>
      </c>
      <c r="AO91" s="78">
        <v>7</v>
      </c>
      <c r="AP91" s="78">
        <v>0</v>
      </c>
      <c r="AQ91" s="78">
        <v>0</v>
      </c>
      <c r="AR91" s="78">
        <v>1000</v>
      </c>
      <c r="AS91" s="78">
        <v>652</v>
      </c>
      <c r="AT91" s="78">
        <v>652</v>
      </c>
      <c r="AU91" s="400">
        <v>2.59323E-4</v>
      </c>
      <c r="AV91" s="400">
        <v>1.18373E-4</v>
      </c>
      <c r="AW91" s="78">
        <v>4445.3760000000002</v>
      </c>
      <c r="AX91" s="78">
        <v>0</v>
      </c>
      <c r="AY91" s="78">
        <v>621</v>
      </c>
      <c r="AZ91" s="78">
        <v>3143.0413907284801</v>
      </c>
      <c r="BA91" s="78">
        <v>2</v>
      </c>
      <c r="BB91" s="78">
        <v>2</v>
      </c>
      <c r="BC91" s="78">
        <v>1288</v>
      </c>
      <c r="BD91" s="78">
        <v>1</v>
      </c>
      <c r="BE91" s="78">
        <v>0</v>
      </c>
      <c r="BF91" s="78">
        <v>0</v>
      </c>
      <c r="BG91" s="78">
        <v>0</v>
      </c>
      <c r="BH91" s="78">
        <v>0</v>
      </c>
      <c r="BI91" s="78">
        <v>0</v>
      </c>
      <c r="BJ91" s="78">
        <v>0</v>
      </c>
      <c r="BK91" s="78">
        <v>0</v>
      </c>
      <c r="BL91" s="78">
        <v>0</v>
      </c>
      <c r="BM91" s="78">
        <v>206.34800000000001</v>
      </c>
      <c r="BN91" s="78">
        <v>28</v>
      </c>
      <c r="BO91" s="78">
        <v>21</v>
      </c>
      <c r="BP91" s="78">
        <v>3666.96</v>
      </c>
      <c r="BQ91" s="78">
        <v>921.4</v>
      </c>
      <c r="BR91" s="78">
        <v>110.65811714589999</v>
      </c>
      <c r="BS91" s="78">
        <v>110</v>
      </c>
      <c r="BT91" s="78">
        <v>28.6666666666667</v>
      </c>
      <c r="BU91" s="78">
        <v>16.3333333333333</v>
      </c>
      <c r="BV91" s="78">
        <f t="shared" si="7"/>
        <v>450</v>
      </c>
      <c r="BW91" s="78">
        <v>121</v>
      </c>
      <c r="BX91" s="78">
        <v>1907.88449176837</v>
      </c>
      <c r="BY91" s="78">
        <v>7.0000000000000007E-2</v>
      </c>
      <c r="BZ91" s="78">
        <v>9473</v>
      </c>
      <c r="CA91" s="78">
        <v>1532</v>
      </c>
      <c r="CB91" s="78">
        <v>336</v>
      </c>
      <c r="CC91" s="78">
        <v>289</v>
      </c>
      <c r="CD91" s="78">
        <v>286</v>
      </c>
      <c r="CE91" s="78">
        <v>174</v>
      </c>
      <c r="CF91" s="78">
        <v>139.70769230769201</v>
      </c>
      <c r="CG91" s="78">
        <v>91.347337278106494</v>
      </c>
      <c r="CH91" s="78">
        <v>36.4195266272189</v>
      </c>
      <c r="CI91" s="78">
        <v>378.23759999999999</v>
      </c>
      <c r="CJ91" s="78">
        <v>247.3092</v>
      </c>
      <c r="CK91" s="78">
        <v>98.600399999999993</v>
      </c>
      <c r="CL91" s="78">
        <v>0</v>
      </c>
    </row>
    <row r="92" spans="1:90" x14ac:dyDescent="0.35">
      <c r="A92" s="72">
        <v>246</v>
      </c>
      <c r="B92" s="72" t="s">
        <v>136</v>
      </c>
      <c r="C92" s="72">
        <v>5</v>
      </c>
      <c r="D92" s="78">
        <v>1975600000</v>
      </c>
      <c r="E92" s="78">
        <v>176400000</v>
      </c>
      <c r="F92" s="78">
        <v>194600000</v>
      </c>
      <c r="G92" s="78">
        <v>18776</v>
      </c>
      <c r="H92" s="78">
        <v>2</v>
      </c>
      <c r="I92" s="78">
        <f t="shared" si="5"/>
        <v>194.6</v>
      </c>
      <c r="J92" s="78">
        <v>3688</v>
      </c>
      <c r="K92" s="78">
        <v>4470</v>
      </c>
      <c r="L92" s="78">
        <v>1458</v>
      </c>
      <c r="M92" s="78">
        <v>2170</v>
      </c>
      <c r="N92" s="78">
        <f t="shared" si="6"/>
        <v>1359.3</v>
      </c>
      <c r="O92" s="78">
        <v>162.666666666667</v>
      </c>
      <c r="P92" s="78">
        <v>30</v>
      </c>
      <c r="Q92" s="78">
        <v>1018.66666666667</v>
      </c>
      <c r="R92" s="78">
        <v>2062</v>
      </c>
      <c r="S92" s="78">
        <v>225</v>
      </c>
      <c r="T92" s="78">
        <v>0</v>
      </c>
      <c r="U92" s="78">
        <v>384</v>
      </c>
      <c r="V92" s="78">
        <v>8053</v>
      </c>
      <c r="W92" s="78">
        <v>16610</v>
      </c>
      <c r="X92" s="78">
        <v>5560</v>
      </c>
      <c r="Y92" s="78">
        <v>269.88</v>
      </c>
      <c r="Z92" s="78">
        <v>752.8</v>
      </c>
      <c r="AA92" s="78">
        <v>0</v>
      </c>
      <c r="AB92" s="399">
        <f>IF((J92-'[2]Basisgegevens aanvullend'!D92*1.1)&lt;=0,0,J92-'[2]Basisgegevens aanvullend'!D92*1.1)</f>
        <v>0</v>
      </c>
      <c r="AC92" s="399">
        <v>0</v>
      </c>
      <c r="AD92" s="78">
        <v>7854</v>
      </c>
      <c r="AE92" s="78">
        <v>7854</v>
      </c>
      <c r="AF92" s="78">
        <v>188</v>
      </c>
      <c r="AG92" s="78">
        <v>0</v>
      </c>
      <c r="AH92" s="78">
        <v>106</v>
      </c>
      <c r="AI92" s="78">
        <v>49</v>
      </c>
      <c r="AJ92" s="78">
        <v>106</v>
      </c>
      <c r="AK92" s="78">
        <v>49</v>
      </c>
      <c r="AL92" s="78">
        <v>154</v>
      </c>
      <c r="AM92" s="78">
        <v>8107</v>
      </c>
      <c r="AN92" s="78">
        <v>8107</v>
      </c>
      <c r="AO92" s="78">
        <v>0</v>
      </c>
      <c r="AP92" s="78">
        <v>0</v>
      </c>
      <c r="AQ92" s="78">
        <v>0</v>
      </c>
      <c r="AR92" s="78">
        <v>0</v>
      </c>
      <c r="AS92" s="78">
        <v>0</v>
      </c>
      <c r="AT92" s="78">
        <v>0</v>
      </c>
      <c r="AU92" s="400">
        <v>3.13064E-4</v>
      </c>
      <c r="AV92" s="400">
        <v>1.0768999999999999E-4</v>
      </c>
      <c r="AW92" s="78">
        <v>4985.8050000000003</v>
      </c>
      <c r="AX92" s="78">
        <v>0</v>
      </c>
      <c r="AY92" s="78">
        <v>1504</v>
      </c>
      <c r="AZ92" s="78">
        <v>3511.4528724197999</v>
      </c>
      <c r="BA92" s="78">
        <v>8</v>
      </c>
      <c r="BB92" s="78">
        <v>8</v>
      </c>
      <c r="BC92" s="78">
        <v>1881</v>
      </c>
      <c r="BD92" s="78">
        <v>1</v>
      </c>
      <c r="BE92" s="78">
        <v>0</v>
      </c>
      <c r="BF92" s="78">
        <v>0</v>
      </c>
      <c r="BG92" s="78">
        <v>0</v>
      </c>
      <c r="BH92" s="78">
        <v>0</v>
      </c>
      <c r="BI92" s="78">
        <v>0</v>
      </c>
      <c r="BJ92" s="78">
        <v>0</v>
      </c>
      <c r="BK92" s="78">
        <v>0</v>
      </c>
      <c r="BL92" s="78">
        <v>0</v>
      </c>
      <c r="BM92" s="78">
        <v>276.60000000000002</v>
      </c>
      <c r="BN92" s="78">
        <v>74</v>
      </c>
      <c r="BO92" s="78">
        <v>26</v>
      </c>
      <c r="BP92" s="78">
        <v>5356.47</v>
      </c>
      <c r="BQ92" s="78">
        <v>1236.48</v>
      </c>
      <c r="BR92" s="78">
        <v>144.09732374100699</v>
      </c>
      <c r="BS92" s="78">
        <v>161</v>
      </c>
      <c r="BT92" s="78">
        <v>58.6666666666667</v>
      </c>
      <c r="BU92" s="78">
        <v>38</v>
      </c>
      <c r="BV92" s="78">
        <f t="shared" si="7"/>
        <v>856.00000000000307</v>
      </c>
      <c r="BW92" s="78">
        <v>187</v>
      </c>
      <c r="BX92" s="78">
        <v>3543.6126913766202</v>
      </c>
      <c r="BY92" s="78">
        <v>0.17100000000000001</v>
      </c>
      <c r="BZ92" s="78">
        <v>14306</v>
      </c>
      <c r="CA92" s="78">
        <v>2494</v>
      </c>
      <c r="CB92" s="78">
        <v>518</v>
      </c>
      <c r="CC92" s="78">
        <v>390</v>
      </c>
      <c r="CD92" s="78">
        <v>414</v>
      </c>
      <c r="CE92" s="78">
        <v>236</v>
      </c>
      <c r="CF92" s="78">
        <v>245.13341556679401</v>
      </c>
      <c r="CG92" s="78">
        <v>164.316516590601</v>
      </c>
      <c r="CH92" s="78">
        <v>58.013790551375401</v>
      </c>
      <c r="CI92" s="78">
        <v>639.625</v>
      </c>
      <c r="CJ92" s="78">
        <v>428.75</v>
      </c>
      <c r="CK92" s="78">
        <v>151.375</v>
      </c>
      <c r="CL92" s="78">
        <v>32236</v>
      </c>
    </row>
    <row r="93" spans="1:90" x14ac:dyDescent="0.35">
      <c r="A93" s="72">
        <v>252</v>
      </c>
      <c r="B93" s="72" t="s">
        <v>148</v>
      </c>
      <c r="C93" s="72">
        <v>5</v>
      </c>
      <c r="D93" s="78">
        <v>1804400000</v>
      </c>
      <c r="E93" s="78">
        <v>139300000</v>
      </c>
      <c r="F93" s="78">
        <v>154700000</v>
      </c>
      <c r="G93" s="78">
        <v>16569</v>
      </c>
      <c r="H93" s="78">
        <v>2</v>
      </c>
      <c r="I93" s="78">
        <f t="shared" si="5"/>
        <v>154.69999999999999</v>
      </c>
      <c r="J93" s="78">
        <v>3025</v>
      </c>
      <c r="K93" s="78">
        <v>4073</v>
      </c>
      <c r="L93" s="78">
        <v>1408</v>
      </c>
      <c r="M93" s="78">
        <v>1787</v>
      </c>
      <c r="N93" s="78">
        <f t="shared" si="6"/>
        <v>1045.1999999999998</v>
      </c>
      <c r="O93" s="78">
        <v>235.333333333333</v>
      </c>
      <c r="P93" s="78">
        <v>9</v>
      </c>
      <c r="Q93" s="78">
        <v>932.33333333333303</v>
      </c>
      <c r="R93" s="78">
        <v>2245</v>
      </c>
      <c r="S93" s="78">
        <v>365</v>
      </c>
      <c r="T93" s="78">
        <v>0</v>
      </c>
      <c r="U93" s="78">
        <v>440</v>
      </c>
      <c r="V93" s="78">
        <v>7446</v>
      </c>
      <c r="W93" s="78">
        <v>13510</v>
      </c>
      <c r="X93" s="78">
        <v>3470</v>
      </c>
      <c r="Y93" s="78">
        <v>0</v>
      </c>
      <c r="Z93" s="78">
        <v>0</v>
      </c>
      <c r="AA93" s="78">
        <v>0</v>
      </c>
      <c r="AB93" s="399">
        <f>IF((J93-'[2]Basisgegevens aanvullend'!D93*1.1)&lt;=0,0,J93-'[2]Basisgegevens aanvullend'!D93*1.1)</f>
        <v>0</v>
      </c>
      <c r="AC93" s="399">
        <v>0</v>
      </c>
      <c r="AD93" s="78">
        <v>3970</v>
      </c>
      <c r="AE93" s="78">
        <v>3970</v>
      </c>
      <c r="AF93" s="78">
        <v>184</v>
      </c>
      <c r="AG93" s="78">
        <v>0</v>
      </c>
      <c r="AH93" s="78">
        <v>91</v>
      </c>
      <c r="AI93" s="78">
        <v>33</v>
      </c>
      <c r="AJ93" s="78">
        <v>91</v>
      </c>
      <c r="AK93" s="78">
        <v>33</v>
      </c>
      <c r="AL93" s="78">
        <v>124</v>
      </c>
      <c r="AM93" s="78">
        <v>7418</v>
      </c>
      <c r="AN93" s="78">
        <v>7418</v>
      </c>
      <c r="AO93" s="78">
        <v>0</v>
      </c>
      <c r="AP93" s="78">
        <v>0</v>
      </c>
      <c r="AQ93" s="78">
        <v>0</v>
      </c>
      <c r="AR93" s="78">
        <v>0</v>
      </c>
      <c r="AS93" s="78">
        <v>0</v>
      </c>
      <c r="AT93" s="78">
        <v>0</v>
      </c>
      <c r="AU93" s="400">
        <v>8.7250999999999995E-5</v>
      </c>
      <c r="AV93" s="400">
        <v>4.4721000000000001E-5</v>
      </c>
      <c r="AW93" s="78">
        <v>5919.5640000000003</v>
      </c>
      <c r="AX93" s="78">
        <v>0</v>
      </c>
      <c r="AY93" s="78">
        <v>667</v>
      </c>
      <c r="AZ93" s="78">
        <v>2660.4532980260001</v>
      </c>
      <c r="BA93" s="78">
        <v>5</v>
      </c>
      <c r="BB93" s="78">
        <v>5</v>
      </c>
      <c r="BC93" s="78">
        <v>1935</v>
      </c>
      <c r="BD93" s="78">
        <v>1</v>
      </c>
      <c r="BE93" s="78">
        <v>0</v>
      </c>
      <c r="BF93" s="78">
        <v>0</v>
      </c>
      <c r="BG93" s="78">
        <v>0</v>
      </c>
      <c r="BH93" s="78">
        <v>0</v>
      </c>
      <c r="BI93" s="78">
        <v>0</v>
      </c>
      <c r="BJ93" s="78">
        <v>0</v>
      </c>
      <c r="BK93" s="78">
        <v>0</v>
      </c>
      <c r="BL93" s="78">
        <v>0</v>
      </c>
      <c r="BM93" s="78">
        <v>223.85</v>
      </c>
      <c r="BN93" s="78">
        <v>15</v>
      </c>
      <c r="BO93" s="78">
        <v>14</v>
      </c>
      <c r="BP93" s="78">
        <v>5706.96</v>
      </c>
      <c r="BQ93" s="78">
        <v>1304.3800000000001</v>
      </c>
      <c r="BR93" s="78">
        <v>91.419838455476693</v>
      </c>
      <c r="BS93" s="78">
        <v>155</v>
      </c>
      <c r="BT93" s="78">
        <v>63</v>
      </c>
      <c r="BU93" s="78">
        <v>54.6666666666667</v>
      </c>
      <c r="BV93" s="78">
        <f t="shared" si="7"/>
        <v>697</v>
      </c>
      <c r="BW93" s="78">
        <v>232</v>
      </c>
      <c r="BX93" s="78">
        <v>2819.08635468579</v>
      </c>
      <c r="BY93" s="78">
        <v>0.41199999999999998</v>
      </c>
      <c r="BZ93" s="78">
        <v>12496</v>
      </c>
      <c r="CA93" s="78">
        <v>2221</v>
      </c>
      <c r="CB93" s="78">
        <v>444</v>
      </c>
      <c r="CC93" s="78">
        <v>427</v>
      </c>
      <c r="CD93" s="78">
        <v>446</v>
      </c>
      <c r="CE93" s="78">
        <v>214</v>
      </c>
      <c r="CF93" s="78">
        <v>189.08848746292799</v>
      </c>
      <c r="CG93" s="78">
        <v>135.40539228902699</v>
      </c>
      <c r="CH93" s="78">
        <v>44.2427608519817</v>
      </c>
      <c r="CI93" s="78">
        <v>452.79079999999999</v>
      </c>
      <c r="CJ93" s="78">
        <v>324.2414</v>
      </c>
      <c r="CK93" s="78">
        <v>105.9436</v>
      </c>
      <c r="CL93" s="78">
        <v>14965</v>
      </c>
    </row>
    <row r="94" spans="1:90" x14ac:dyDescent="0.35">
      <c r="A94" s="72">
        <v>1705</v>
      </c>
      <c r="B94" s="72" t="s">
        <v>185</v>
      </c>
      <c r="C94" s="72">
        <v>5</v>
      </c>
      <c r="D94" s="78">
        <v>4680800000</v>
      </c>
      <c r="E94" s="78">
        <v>417900000</v>
      </c>
      <c r="F94" s="78">
        <v>439950000</v>
      </c>
      <c r="G94" s="78">
        <v>46822</v>
      </c>
      <c r="H94" s="78">
        <v>4</v>
      </c>
      <c r="I94" s="78">
        <f t="shared" si="5"/>
        <v>439.95</v>
      </c>
      <c r="J94" s="78">
        <v>9188</v>
      </c>
      <c r="K94" s="78">
        <v>10464</v>
      </c>
      <c r="L94" s="78">
        <v>3136</v>
      </c>
      <c r="M94" s="78">
        <v>5422</v>
      </c>
      <c r="N94" s="78">
        <f t="shared" si="6"/>
        <v>3407.8</v>
      </c>
      <c r="O94" s="78">
        <v>491.33333333333297</v>
      </c>
      <c r="P94" s="78">
        <v>52</v>
      </c>
      <c r="Q94" s="78">
        <v>2546.3333333333298</v>
      </c>
      <c r="R94" s="78">
        <v>5496</v>
      </c>
      <c r="S94" s="78">
        <v>810</v>
      </c>
      <c r="T94" s="78">
        <v>0</v>
      </c>
      <c r="U94" s="78">
        <v>1316</v>
      </c>
      <c r="V94" s="78">
        <v>20401</v>
      </c>
      <c r="W94" s="78">
        <v>39060</v>
      </c>
      <c r="X94" s="78">
        <v>12840</v>
      </c>
      <c r="Y94" s="78">
        <v>643.5</v>
      </c>
      <c r="Z94" s="78">
        <v>1799.2</v>
      </c>
      <c r="AA94" s="78">
        <v>0</v>
      </c>
      <c r="AB94" s="399">
        <f>IF((J94-'[2]Basisgegevens aanvullend'!D94*1.1)&lt;=0,0,J94-'[2]Basisgegevens aanvullend'!D94*1.1)</f>
        <v>0</v>
      </c>
      <c r="AC94" s="399">
        <v>0</v>
      </c>
      <c r="AD94" s="78">
        <v>6189</v>
      </c>
      <c r="AE94" s="78">
        <v>6250.89</v>
      </c>
      <c r="AF94" s="78">
        <v>725</v>
      </c>
      <c r="AG94" s="78">
        <v>0</v>
      </c>
      <c r="AH94" s="78">
        <v>244</v>
      </c>
      <c r="AI94" s="78">
        <v>54</v>
      </c>
      <c r="AJ94" s="78">
        <v>244</v>
      </c>
      <c r="AK94" s="78">
        <v>54.54</v>
      </c>
      <c r="AL94" s="78">
        <v>298</v>
      </c>
      <c r="AM94" s="78">
        <v>20142</v>
      </c>
      <c r="AN94" s="78">
        <v>20142</v>
      </c>
      <c r="AO94" s="78">
        <v>5</v>
      </c>
      <c r="AP94" s="78">
        <v>0</v>
      </c>
      <c r="AQ94" s="78">
        <v>0</v>
      </c>
      <c r="AR94" s="78">
        <v>0</v>
      </c>
      <c r="AS94" s="78">
        <v>0</v>
      </c>
      <c r="AT94" s="78">
        <v>0</v>
      </c>
      <c r="AU94" s="400">
        <v>2.5615399999999997E-4</v>
      </c>
      <c r="AV94" s="400">
        <v>2.4022599999999999E-4</v>
      </c>
      <c r="AW94" s="78">
        <v>19437.03</v>
      </c>
      <c r="AX94" s="78">
        <v>0</v>
      </c>
      <c r="AY94" s="78">
        <v>2135.14</v>
      </c>
      <c r="AZ94" s="78">
        <v>14514.007353196401</v>
      </c>
      <c r="BA94" s="78">
        <v>6</v>
      </c>
      <c r="BB94" s="78">
        <v>6.06</v>
      </c>
      <c r="BC94" s="78">
        <v>4788</v>
      </c>
      <c r="BD94" s="78">
        <v>1</v>
      </c>
      <c r="BE94" s="78">
        <v>0</v>
      </c>
      <c r="BF94" s="78">
        <v>0</v>
      </c>
      <c r="BG94" s="78">
        <v>0</v>
      </c>
      <c r="BH94" s="78">
        <v>0</v>
      </c>
      <c r="BI94" s="78">
        <v>0</v>
      </c>
      <c r="BJ94" s="78">
        <v>0</v>
      </c>
      <c r="BK94" s="78">
        <v>0</v>
      </c>
      <c r="BL94" s="78">
        <v>0</v>
      </c>
      <c r="BM94" s="78">
        <v>679.91200000000003</v>
      </c>
      <c r="BN94" s="78">
        <v>94</v>
      </c>
      <c r="BO94" s="78">
        <v>69</v>
      </c>
      <c r="BP94" s="78">
        <v>13466.04</v>
      </c>
      <c r="BQ94" s="78">
        <v>3537.6</v>
      </c>
      <c r="BR94" s="78">
        <v>396.40180079681301</v>
      </c>
      <c r="BS94" s="78">
        <v>457</v>
      </c>
      <c r="BT94" s="78">
        <v>146</v>
      </c>
      <c r="BU94" s="78">
        <v>101</v>
      </c>
      <c r="BV94" s="78">
        <f t="shared" si="7"/>
        <v>2054.9999999999968</v>
      </c>
      <c r="BW94" s="78">
        <v>553</v>
      </c>
      <c r="BX94" s="78">
        <v>8788.3610943971198</v>
      </c>
      <c r="BY94" s="78">
        <v>0.67900000000000005</v>
      </c>
      <c r="BZ94" s="78">
        <v>36358</v>
      </c>
      <c r="CA94" s="78">
        <v>6365</v>
      </c>
      <c r="CB94" s="78">
        <v>963</v>
      </c>
      <c r="CC94" s="78">
        <v>1134</v>
      </c>
      <c r="CD94" s="78">
        <v>971</v>
      </c>
      <c r="CE94" s="78">
        <v>493</v>
      </c>
      <c r="CF94" s="78">
        <v>652.89942408896798</v>
      </c>
      <c r="CG94" s="78">
        <v>364.770966140403</v>
      </c>
      <c r="CH94" s="78">
        <v>119.108886902989</v>
      </c>
      <c r="CI94" s="78">
        <v>1703.3625999999999</v>
      </c>
      <c r="CJ94" s="78">
        <v>951.65840000000003</v>
      </c>
      <c r="CK94" s="78">
        <v>310.74560000000002</v>
      </c>
      <c r="CL94" s="78">
        <v>42932</v>
      </c>
    </row>
    <row r="95" spans="1:90" x14ac:dyDescent="0.35">
      <c r="A95" s="72">
        <v>262</v>
      </c>
      <c r="B95" s="72" t="s">
        <v>187</v>
      </c>
      <c r="C95" s="72">
        <v>5</v>
      </c>
      <c r="D95" s="78">
        <v>4098000000</v>
      </c>
      <c r="E95" s="78">
        <v>438550000</v>
      </c>
      <c r="F95" s="78">
        <v>528500000</v>
      </c>
      <c r="G95" s="78">
        <v>33948</v>
      </c>
      <c r="H95" s="78">
        <v>6</v>
      </c>
      <c r="I95" s="78">
        <f t="shared" si="5"/>
        <v>528.5</v>
      </c>
      <c r="J95" s="78">
        <v>5956</v>
      </c>
      <c r="K95" s="78">
        <v>9677</v>
      </c>
      <c r="L95" s="78">
        <v>3255</v>
      </c>
      <c r="M95" s="78">
        <v>4065</v>
      </c>
      <c r="N95" s="78">
        <f t="shared" si="6"/>
        <v>2402.1999999999998</v>
      </c>
      <c r="O95" s="78">
        <v>405.66666666666703</v>
      </c>
      <c r="P95" s="78">
        <v>41</v>
      </c>
      <c r="Q95" s="78">
        <v>1769.6666666666699</v>
      </c>
      <c r="R95" s="78">
        <v>4665</v>
      </c>
      <c r="S95" s="78">
        <v>1025</v>
      </c>
      <c r="T95" s="78">
        <v>0</v>
      </c>
      <c r="U95" s="78">
        <v>746</v>
      </c>
      <c r="V95" s="78">
        <v>15649</v>
      </c>
      <c r="W95" s="78">
        <v>27910</v>
      </c>
      <c r="X95" s="78">
        <v>12160</v>
      </c>
      <c r="Y95" s="78">
        <v>380.6</v>
      </c>
      <c r="Z95" s="78">
        <v>1132.8</v>
      </c>
      <c r="AA95" s="78">
        <v>0</v>
      </c>
      <c r="AB95" s="399">
        <f>IF((J95-'[2]Basisgegevens aanvullend'!D95*1.1)&lt;=0,0,J95-'[2]Basisgegevens aanvullend'!D95*1.1)</f>
        <v>0</v>
      </c>
      <c r="AC95" s="399">
        <v>54.199999999999797</v>
      </c>
      <c r="AD95" s="78">
        <v>21303</v>
      </c>
      <c r="AE95" s="78">
        <v>21303</v>
      </c>
      <c r="AF95" s="78">
        <v>291</v>
      </c>
      <c r="AG95" s="78">
        <v>0</v>
      </c>
      <c r="AH95" s="78">
        <v>187</v>
      </c>
      <c r="AI95" s="78">
        <v>192</v>
      </c>
      <c r="AJ95" s="78">
        <v>187</v>
      </c>
      <c r="AK95" s="78">
        <v>192</v>
      </c>
      <c r="AL95" s="78">
        <v>378</v>
      </c>
      <c r="AM95" s="78">
        <v>16628</v>
      </c>
      <c r="AN95" s="78">
        <v>16628</v>
      </c>
      <c r="AO95" s="78">
        <v>7</v>
      </c>
      <c r="AP95" s="78">
        <v>0</v>
      </c>
      <c r="AQ95" s="78">
        <v>0</v>
      </c>
      <c r="AR95" s="78">
        <v>0</v>
      </c>
      <c r="AS95" s="78">
        <v>1361</v>
      </c>
      <c r="AT95" s="78">
        <v>1361</v>
      </c>
      <c r="AU95" s="400">
        <v>5.8622500000000001E-4</v>
      </c>
      <c r="AV95" s="400">
        <v>1.8063199999999999E-4</v>
      </c>
      <c r="AW95" s="78">
        <v>9893.66</v>
      </c>
      <c r="AX95" s="78">
        <v>0</v>
      </c>
      <c r="AY95" s="78">
        <v>2770</v>
      </c>
      <c r="AZ95" s="78">
        <v>4354.72631286469</v>
      </c>
      <c r="BA95" s="78">
        <v>21</v>
      </c>
      <c r="BB95" s="78">
        <v>21</v>
      </c>
      <c r="BC95" s="78">
        <v>4598</v>
      </c>
      <c r="BD95" s="78">
        <v>1</v>
      </c>
      <c r="BE95" s="78">
        <v>0</v>
      </c>
      <c r="BF95" s="78">
        <v>0</v>
      </c>
      <c r="BG95" s="78">
        <v>0</v>
      </c>
      <c r="BH95" s="78">
        <v>0</v>
      </c>
      <c r="BI95" s="78">
        <v>0</v>
      </c>
      <c r="BJ95" s="78">
        <v>0</v>
      </c>
      <c r="BK95" s="78">
        <v>0</v>
      </c>
      <c r="BL95" s="78">
        <v>0</v>
      </c>
      <c r="BM95" s="78">
        <v>536.04</v>
      </c>
      <c r="BN95" s="78">
        <v>63</v>
      </c>
      <c r="BO95" s="78">
        <v>45</v>
      </c>
      <c r="BP95" s="78">
        <v>11520.74</v>
      </c>
      <c r="BQ95" s="78">
        <v>2355.71</v>
      </c>
      <c r="BR95" s="78">
        <v>148.48520487075399</v>
      </c>
      <c r="BS95" s="78">
        <v>306</v>
      </c>
      <c r="BT95" s="78">
        <v>110.666666666667</v>
      </c>
      <c r="BU95" s="78">
        <v>89.6666666666667</v>
      </c>
      <c r="BV95" s="78">
        <f t="shared" si="7"/>
        <v>1364.000000000003</v>
      </c>
      <c r="BW95" s="78">
        <v>411</v>
      </c>
      <c r="BX95" s="78">
        <v>6242.7925215689802</v>
      </c>
      <c r="BY95" s="78">
        <v>0.73099999999999998</v>
      </c>
      <c r="BZ95" s="78">
        <v>24271</v>
      </c>
      <c r="CA95" s="78">
        <v>5175</v>
      </c>
      <c r="CB95" s="78">
        <v>1247</v>
      </c>
      <c r="CC95" s="78">
        <v>922</v>
      </c>
      <c r="CD95" s="78">
        <v>976</v>
      </c>
      <c r="CE95" s="78">
        <v>611</v>
      </c>
      <c r="CF95" s="78">
        <v>447.703740678374</v>
      </c>
      <c r="CG95" s="78">
        <v>313.20481116189598</v>
      </c>
      <c r="CH95" s="78">
        <v>128.286841472216</v>
      </c>
      <c r="CI95" s="78">
        <v>1114.4004</v>
      </c>
      <c r="CJ95" s="78">
        <v>779.61279999999999</v>
      </c>
      <c r="CK95" s="78">
        <v>319.32479999999998</v>
      </c>
      <c r="CL95" s="78">
        <v>84565</v>
      </c>
    </row>
    <row r="96" spans="1:90" x14ac:dyDescent="0.35">
      <c r="A96" s="72">
        <v>263</v>
      </c>
      <c r="B96" s="72" t="s">
        <v>192</v>
      </c>
      <c r="C96" s="72">
        <v>5</v>
      </c>
      <c r="D96" s="78">
        <v>2359600000</v>
      </c>
      <c r="E96" s="78">
        <v>339500000</v>
      </c>
      <c r="F96" s="78">
        <v>390600000</v>
      </c>
      <c r="G96" s="78">
        <v>25452</v>
      </c>
      <c r="H96" s="78">
        <v>5</v>
      </c>
      <c r="I96" s="78">
        <f t="shared" si="5"/>
        <v>390.6</v>
      </c>
      <c r="J96" s="78">
        <v>4737</v>
      </c>
      <c r="K96" s="78">
        <v>4875</v>
      </c>
      <c r="L96" s="78">
        <v>1411</v>
      </c>
      <c r="M96" s="78">
        <v>2891</v>
      </c>
      <c r="N96" s="78">
        <f t="shared" si="6"/>
        <v>1852.2</v>
      </c>
      <c r="O96" s="78">
        <v>225.666666666667</v>
      </c>
      <c r="P96" s="78">
        <v>32</v>
      </c>
      <c r="Q96" s="78">
        <v>1267.6666666666699</v>
      </c>
      <c r="R96" s="78">
        <v>3449</v>
      </c>
      <c r="S96" s="78">
        <v>495</v>
      </c>
      <c r="T96" s="78">
        <v>0</v>
      </c>
      <c r="U96" s="78">
        <v>632</v>
      </c>
      <c r="V96" s="78">
        <v>11148</v>
      </c>
      <c r="W96" s="78">
        <v>18480</v>
      </c>
      <c r="X96" s="78">
        <v>1720</v>
      </c>
      <c r="Y96" s="78">
        <v>0</v>
      </c>
      <c r="Z96" s="78">
        <v>0</v>
      </c>
      <c r="AA96" s="78">
        <v>0</v>
      </c>
      <c r="AB96" s="399">
        <f>IF((J96-'[2]Basisgegevens aanvullend'!D96*1.1)&lt;=0,0,J96-'[2]Basisgegevens aanvullend'!D96*1.1)</f>
        <v>0</v>
      </c>
      <c r="AC96" s="399">
        <v>0</v>
      </c>
      <c r="AD96" s="78">
        <v>6586</v>
      </c>
      <c r="AE96" s="78">
        <v>6981.16</v>
      </c>
      <c r="AF96" s="78">
        <v>960</v>
      </c>
      <c r="AG96" s="78">
        <v>0</v>
      </c>
      <c r="AH96" s="78">
        <v>178</v>
      </c>
      <c r="AI96" s="78">
        <v>101</v>
      </c>
      <c r="AJ96" s="78">
        <v>186.9</v>
      </c>
      <c r="AK96" s="78">
        <v>107.06</v>
      </c>
      <c r="AL96" s="78">
        <v>279</v>
      </c>
      <c r="AM96" s="78">
        <v>10388</v>
      </c>
      <c r="AN96" s="78">
        <v>10907.4</v>
      </c>
      <c r="AO96" s="78">
        <v>0</v>
      </c>
      <c r="AP96" s="78">
        <v>0</v>
      </c>
      <c r="AQ96" s="78">
        <v>0</v>
      </c>
      <c r="AR96" s="78">
        <v>0</v>
      </c>
      <c r="AS96" s="78">
        <v>0</v>
      </c>
      <c r="AT96" s="78">
        <v>0</v>
      </c>
      <c r="AU96" s="400">
        <v>2.398E-4</v>
      </c>
      <c r="AV96" s="400">
        <v>1.0381E-4</v>
      </c>
      <c r="AW96" s="78">
        <v>4996.6279999999997</v>
      </c>
      <c r="AX96" s="78">
        <v>0</v>
      </c>
      <c r="AY96" s="78">
        <v>2276.88</v>
      </c>
      <c r="AZ96" s="78">
        <v>7872.7832282003701</v>
      </c>
      <c r="BA96" s="78">
        <v>14</v>
      </c>
      <c r="BB96" s="78">
        <v>14.84</v>
      </c>
      <c r="BC96" s="78">
        <v>3794</v>
      </c>
      <c r="BD96" s="78">
        <v>1</v>
      </c>
      <c r="BE96" s="78">
        <v>0</v>
      </c>
      <c r="BF96" s="78">
        <v>0</v>
      </c>
      <c r="BG96" s="78">
        <v>0</v>
      </c>
      <c r="BH96" s="78">
        <v>0</v>
      </c>
      <c r="BI96" s="78">
        <v>0</v>
      </c>
      <c r="BJ96" s="78">
        <v>0</v>
      </c>
      <c r="BK96" s="78">
        <v>0</v>
      </c>
      <c r="BL96" s="78">
        <v>0</v>
      </c>
      <c r="BM96" s="78">
        <v>383.697</v>
      </c>
      <c r="BN96" s="78">
        <v>103</v>
      </c>
      <c r="BO96" s="78">
        <v>66</v>
      </c>
      <c r="BP96" s="78">
        <v>7768.11</v>
      </c>
      <c r="BQ96" s="78">
        <v>1838.2</v>
      </c>
      <c r="BR96" s="78">
        <v>166.606375314861</v>
      </c>
      <c r="BS96" s="78">
        <v>258</v>
      </c>
      <c r="BT96" s="78">
        <v>66.3333333333333</v>
      </c>
      <c r="BU96" s="78">
        <v>55.3333333333333</v>
      </c>
      <c r="BV96" s="78">
        <f t="shared" si="7"/>
        <v>1042.000000000003</v>
      </c>
      <c r="BW96" s="78">
        <v>190</v>
      </c>
      <c r="BX96" s="78">
        <v>3915.3168517778699</v>
      </c>
      <c r="BY96" s="78">
        <v>0.13100000000000001</v>
      </c>
      <c r="BZ96" s="78">
        <v>20577</v>
      </c>
      <c r="CA96" s="78">
        <v>2998</v>
      </c>
      <c r="CB96" s="78">
        <v>466</v>
      </c>
      <c r="CC96" s="78">
        <v>542</v>
      </c>
      <c r="CD96" s="78">
        <v>445</v>
      </c>
      <c r="CE96" s="78">
        <v>226</v>
      </c>
      <c r="CF96" s="78">
        <v>325.22264150943403</v>
      </c>
      <c r="CG96" s="78">
        <v>174.55754716981099</v>
      </c>
      <c r="CH96" s="78">
        <v>56.878301886792499</v>
      </c>
      <c r="CI96" s="78">
        <v>763.7088</v>
      </c>
      <c r="CJ96" s="78">
        <v>409.90730000000002</v>
      </c>
      <c r="CK96" s="78">
        <v>133.56530000000001</v>
      </c>
      <c r="CL96" s="78">
        <v>17861</v>
      </c>
    </row>
    <row r="97" spans="1:90" x14ac:dyDescent="0.35">
      <c r="A97" s="72">
        <v>1955</v>
      </c>
      <c r="B97" s="72" t="s">
        <v>207</v>
      </c>
      <c r="C97" s="72">
        <v>5</v>
      </c>
      <c r="D97" s="78">
        <v>2942800000</v>
      </c>
      <c r="E97" s="78">
        <v>385000000</v>
      </c>
      <c r="F97" s="78">
        <v>413700000</v>
      </c>
      <c r="G97" s="78">
        <v>36031</v>
      </c>
      <c r="H97" s="78">
        <v>5</v>
      </c>
      <c r="I97" s="78">
        <f t="shared" si="5"/>
        <v>413.7</v>
      </c>
      <c r="J97" s="78">
        <v>6018</v>
      </c>
      <c r="K97" s="78">
        <v>8701</v>
      </c>
      <c r="L97" s="78">
        <v>2881</v>
      </c>
      <c r="M97" s="78">
        <v>4965</v>
      </c>
      <c r="N97" s="78">
        <f t="shared" si="6"/>
        <v>3331.6</v>
      </c>
      <c r="O97" s="78">
        <v>351.33333333333297</v>
      </c>
      <c r="P97" s="78">
        <v>51</v>
      </c>
      <c r="Q97" s="78">
        <v>2693.3333333333298</v>
      </c>
      <c r="R97" s="78">
        <v>4672</v>
      </c>
      <c r="S97" s="78">
        <v>795</v>
      </c>
      <c r="T97" s="78">
        <v>0</v>
      </c>
      <c r="U97" s="78">
        <v>972</v>
      </c>
      <c r="V97" s="78">
        <v>16164</v>
      </c>
      <c r="W97" s="78">
        <v>33300</v>
      </c>
      <c r="X97" s="78">
        <v>16330</v>
      </c>
      <c r="Y97" s="78">
        <v>1221.92</v>
      </c>
      <c r="Z97" s="78">
        <v>338.4</v>
      </c>
      <c r="AA97" s="78">
        <v>0</v>
      </c>
      <c r="AB97" s="399">
        <f>IF((J97-'[2]Basisgegevens aanvullend'!D97*1.1)&lt;=0,0,J97-'[2]Basisgegevens aanvullend'!D97*1.1)</f>
        <v>0</v>
      </c>
      <c r="AC97" s="399">
        <v>0</v>
      </c>
      <c r="AD97" s="78">
        <v>10567</v>
      </c>
      <c r="AE97" s="78">
        <v>10567</v>
      </c>
      <c r="AF97" s="78">
        <v>96</v>
      </c>
      <c r="AG97" s="78">
        <v>0</v>
      </c>
      <c r="AH97" s="78">
        <v>241</v>
      </c>
      <c r="AI97" s="78">
        <v>112</v>
      </c>
      <c r="AJ97" s="78">
        <v>241</v>
      </c>
      <c r="AK97" s="78">
        <v>112</v>
      </c>
      <c r="AL97" s="78">
        <v>352</v>
      </c>
      <c r="AM97" s="78">
        <v>16334</v>
      </c>
      <c r="AN97" s="78">
        <v>16334</v>
      </c>
      <c r="AO97" s="78">
        <v>6</v>
      </c>
      <c r="AP97" s="78">
        <v>0</v>
      </c>
      <c r="AQ97" s="78">
        <v>0</v>
      </c>
      <c r="AR97" s="78">
        <v>0</v>
      </c>
      <c r="AS97" s="78">
        <v>620</v>
      </c>
      <c r="AT97" s="78">
        <v>620</v>
      </c>
      <c r="AU97" s="400">
        <v>4.4074799999999998E-4</v>
      </c>
      <c r="AV97" s="400">
        <v>2.3673499999999999E-4</v>
      </c>
      <c r="AW97" s="78">
        <v>12577.18</v>
      </c>
      <c r="AX97" s="78">
        <v>0</v>
      </c>
      <c r="AY97" s="78">
        <v>571</v>
      </c>
      <c r="AZ97" s="78">
        <v>1929.44771640251</v>
      </c>
      <c r="BA97" s="78">
        <v>10</v>
      </c>
      <c r="BB97" s="78">
        <v>10</v>
      </c>
      <c r="BC97" s="78">
        <v>3684</v>
      </c>
      <c r="BD97" s="78">
        <v>1</v>
      </c>
      <c r="BE97" s="78">
        <v>0</v>
      </c>
      <c r="BF97" s="78">
        <v>0</v>
      </c>
      <c r="BG97" s="78">
        <v>0</v>
      </c>
      <c r="BH97" s="78">
        <v>0</v>
      </c>
      <c r="BI97" s="78">
        <v>0</v>
      </c>
      <c r="BJ97" s="78">
        <v>0</v>
      </c>
      <c r="BK97" s="78">
        <v>0</v>
      </c>
      <c r="BL97" s="78">
        <v>0</v>
      </c>
      <c r="BM97" s="78">
        <v>698.08799999999997</v>
      </c>
      <c r="BN97" s="78">
        <v>136</v>
      </c>
      <c r="BO97" s="78">
        <v>70</v>
      </c>
      <c r="BP97" s="78">
        <v>9758.18</v>
      </c>
      <c r="BQ97" s="78">
        <v>2133.7800000000002</v>
      </c>
      <c r="BR97" s="78">
        <v>185.123997820559</v>
      </c>
      <c r="BS97" s="78">
        <v>343</v>
      </c>
      <c r="BT97" s="78">
        <v>97.6666666666667</v>
      </c>
      <c r="BU97" s="78">
        <v>79.6666666666667</v>
      </c>
      <c r="BV97" s="78">
        <f t="shared" si="7"/>
        <v>2341.9999999999968</v>
      </c>
      <c r="BW97" s="78">
        <v>585</v>
      </c>
      <c r="BX97" s="78">
        <v>7304.7346943989296</v>
      </c>
      <c r="BY97" s="78">
        <v>0.46700000000000003</v>
      </c>
      <c r="BZ97" s="78">
        <v>27330</v>
      </c>
      <c r="CA97" s="78">
        <v>4876</v>
      </c>
      <c r="CB97" s="78">
        <v>944</v>
      </c>
      <c r="CC97" s="78">
        <v>911</v>
      </c>
      <c r="CD97" s="78">
        <v>916</v>
      </c>
      <c r="CE97" s="78">
        <v>454</v>
      </c>
      <c r="CF97" s="78">
        <v>604.76270356312</v>
      </c>
      <c r="CG97" s="78">
        <v>405.07882943553301</v>
      </c>
      <c r="CH97" s="78">
        <v>136.04611240357499</v>
      </c>
      <c r="CI97" s="78">
        <v>1504.7375</v>
      </c>
      <c r="CJ97" s="78">
        <v>1007.895</v>
      </c>
      <c r="CK97" s="78">
        <v>338.5025</v>
      </c>
      <c r="CL97" s="78">
        <v>0</v>
      </c>
    </row>
    <row r="98" spans="1:90" x14ac:dyDescent="0.35">
      <c r="A98" s="72">
        <v>1740</v>
      </c>
      <c r="B98" s="72" t="s">
        <v>210</v>
      </c>
      <c r="C98" s="72">
        <v>5</v>
      </c>
      <c r="D98" s="78">
        <v>2004800000</v>
      </c>
      <c r="E98" s="78">
        <v>303800000</v>
      </c>
      <c r="F98" s="78">
        <v>320250000</v>
      </c>
      <c r="G98" s="78">
        <v>24648</v>
      </c>
      <c r="H98" s="78">
        <v>4</v>
      </c>
      <c r="I98" s="78">
        <f t="shared" si="5"/>
        <v>320.25</v>
      </c>
      <c r="J98" s="78">
        <v>6135</v>
      </c>
      <c r="K98" s="78">
        <v>4269</v>
      </c>
      <c r="L98" s="78">
        <v>1259</v>
      </c>
      <c r="M98" s="78">
        <v>2475</v>
      </c>
      <c r="N98" s="78">
        <f t="shared" si="6"/>
        <v>1559.6999999999998</v>
      </c>
      <c r="O98" s="78">
        <v>247.333333333333</v>
      </c>
      <c r="P98" s="78">
        <v>23</v>
      </c>
      <c r="Q98" s="78">
        <v>1104.3333333333301</v>
      </c>
      <c r="R98" s="78">
        <v>2486</v>
      </c>
      <c r="S98" s="78">
        <v>390</v>
      </c>
      <c r="T98" s="78">
        <v>0</v>
      </c>
      <c r="U98" s="78">
        <v>567</v>
      </c>
      <c r="V98" s="78">
        <v>9524</v>
      </c>
      <c r="W98" s="78">
        <v>19100</v>
      </c>
      <c r="X98" s="78">
        <v>2540</v>
      </c>
      <c r="Y98" s="78">
        <v>196.98</v>
      </c>
      <c r="Z98" s="78">
        <v>1184.8</v>
      </c>
      <c r="AA98" s="78">
        <v>0</v>
      </c>
      <c r="AB98" s="399">
        <f>IF((J98-'[2]Basisgegevens aanvullend'!D98*1.1)&lt;=0,0,J98-'[2]Basisgegevens aanvullend'!D98*1.1)</f>
        <v>0</v>
      </c>
      <c r="AC98" s="399">
        <v>0</v>
      </c>
      <c r="AD98" s="78">
        <v>5989</v>
      </c>
      <c r="AE98" s="78">
        <v>6288.45</v>
      </c>
      <c r="AF98" s="78">
        <v>757</v>
      </c>
      <c r="AG98" s="78">
        <v>0</v>
      </c>
      <c r="AH98" s="78">
        <v>137</v>
      </c>
      <c r="AI98" s="78">
        <v>81</v>
      </c>
      <c r="AJ98" s="78">
        <v>143.85</v>
      </c>
      <c r="AK98" s="78">
        <v>85.05</v>
      </c>
      <c r="AL98" s="78">
        <v>219</v>
      </c>
      <c r="AM98" s="78">
        <v>9153</v>
      </c>
      <c r="AN98" s="78">
        <v>9610.65</v>
      </c>
      <c r="AO98" s="78">
        <v>0</v>
      </c>
      <c r="AP98" s="78">
        <v>0</v>
      </c>
      <c r="AQ98" s="78">
        <v>0</v>
      </c>
      <c r="AR98" s="78">
        <v>0</v>
      </c>
      <c r="AS98" s="78">
        <v>0</v>
      </c>
      <c r="AT98" s="78">
        <v>0</v>
      </c>
      <c r="AU98" s="400">
        <v>1.63664E-4</v>
      </c>
      <c r="AV98" s="400">
        <v>8.3809999999999999E-5</v>
      </c>
      <c r="AW98" s="78">
        <v>4054.779</v>
      </c>
      <c r="AX98" s="78">
        <v>0</v>
      </c>
      <c r="AY98" s="78">
        <v>1968.75</v>
      </c>
      <c r="AZ98" s="78">
        <v>7331.3733175214902</v>
      </c>
      <c r="BA98" s="78">
        <v>11</v>
      </c>
      <c r="BB98" s="78">
        <v>11.55</v>
      </c>
      <c r="BC98" s="78">
        <v>2981</v>
      </c>
      <c r="BD98" s="78">
        <v>1</v>
      </c>
      <c r="BE98" s="78">
        <v>0</v>
      </c>
      <c r="BF98" s="78">
        <v>0</v>
      </c>
      <c r="BG98" s="78">
        <v>0</v>
      </c>
      <c r="BH98" s="78">
        <v>0</v>
      </c>
      <c r="BI98" s="78">
        <v>0</v>
      </c>
      <c r="BJ98" s="78">
        <v>0</v>
      </c>
      <c r="BK98" s="78">
        <v>0</v>
      </c>
      <c r="BL98" s="78">
        <v>0</v>
      </c>
      <c r="BM98" s="78">
        <v>435.58499999999998</v>
      </c>
      <c r="BN98" s="78">
        <v>248</v>
      </c>
      <c r="BO98" s="78">
        <v>69</v>
      </c>
      <c r="BP98" s="78">
        <v>5930.88</v>
      </c>
      <c r="BQ98" s="78">
        <v>1760.8</v>
      </c>
      <c r="BR98" s="78">
        <v>333.47660896130299</v>
      </c>
      <c r="BS98" s="78">
        <v>230</v>
      </c>
      <c r="BT98" s="78">
        <v>86.3333333333333</v>
      </c>
      <c r="BU98" s="78">
        <v>60</v>
      </c>
      <c r="BV98" s="78">
        <f t="shared" si="7"/>
        <v>856.99999999999704</v>
      </c>
      <c r="BW98" s="78">
        <v>241</v>
      </c>
      <c r="BX98" s="78">
        <v>3771.6027511401498</v>
      </c>
      <c r="BY98" s="78">
        <v>0.29799999999999999</v>
      </c>
      <c r="BZ98" s="78">
        <v>20379</v>
      </c>
      <c r="CA98" s="78">
        <v>2573</v>
      </c>
      <c r="CB98" s="78">
        <v>437</v>
      </c>
      <c r="CC98" s="78">
        <v>450</v>
      </c>
      <c r="CD98" s="78">
        <v>377</v>
      </c>
      <c r="CE98" s="78">
        <v>222</v>
      </c>
      <c r="CF98" s="78">
        <v>266.34011799410001</v>
      </c>
      <c r="CG98" s="78">
        <v>147.39872173058001</v>
      </c>
      <c r="CH98" s="78">
        <v>50.098525073746302</v>
      </c>
      <c r="CI98" s="78">
        <v>752.89710000000002</v>
      </c>
      <c r="CJ98" s="78">
        <v>416.6705</v>
      </c>
      <c r="CK98" s="78">
        <v>141.6198</v>
      </c>
      <c r="CL98" s="78">
        <v>23360</v>
      </c>
    </row>
    <row r="99" spans="1:90" x14ac:dyDescent="0.35">
      <c r="A99" s="72">
        <v>267</v>
      </c>
      <c r="B99" s="72" t="s">
        <v>214</v>
      </c>
      <c r="C99" s="72">
        <v>5</v>
      </c>
      <c r="D99" s="78">
        <v>4960400000</v>
      </c>
      <c r="E99" s="78">
        <v>780850000</v>
      </c>
      <c r="F99" s="78">
        <v>805350000</v>
      </c>
      <c r="G99" s="78">
        <v>43600</v>
      </c>
      <c r="H99" s="78">
        <v>3</v>
      </c>
      <c r="I99" s="78">
        <f t="shared" si="5"/>
        <v>805.35</v>
      </c>
      <c r="J99" s="78">
        <v>9624</v>
      </c>
      <c r="K99" s="78">
        <v>8345</v>
      </c>
      <c r="L99" s="78">
        <v>2744</v>
      </c>
      <c r="M99" s="78">
        <v>4517</v>
      </c>
      <c r="N99" s="78">
        <f t="shared" si="6"/>
        <v>2750.3</v>
      </c>
      <c r="O99" s="78">
        <v>442.66666666666703</v>
      </c>
      <c r="P99" s="78">
        <v>49</v>
      </c>
      <c r="Q99" s="78">
        <v>2176.6666666666702</v>
      </c>
      <c r="R99" s="78">
        <v>5013</v>
      </c>
      <c r="S99" s="78">
        <v>1855</v>
      </c>
      <c r="T99" s="78">
        <v>0</v>
      </c>
      <c r="U99" s="78">
        <v>1037</v>
      </c>
      <c r="V99" s="78">
        <v>17963</v>
      </c>
      <c r="W99" s="78">
        <v>38750</v>
      </c>
      <c r="X99" s="78">
        <v>16670</v>
      </c>
      <c r="Y99" s="78">
        <v>748.28</v>
      </c>
      <c r="Z99" s="78">
        <v>2105.6</v>
      </c>
      <c r="AA99" s="78">
        <v>0</v>
      </c>
      <c r="AB99" s="399">
        <f>IF((J99-'[2]Basisgegevens aanvullend'!D99*1.1)&lt;=0,0,J99-'[2]Basisgegevens aanvullend'!D99*1.1)</f>
        <v>0</v>
      </c>
      <c r="AC99" s="399">
        <v>108.6</v>
      </c>
      <c r="AD99" s="78">
        <v>6934</v>
      </c>
      <c r="AE99" s="78">
        <v>6934</v>
      </c>
      <c r="AF99" s="78">
        <v>270</v>
      </c>
      <c r="AG99" s="78">
        <v>0</v>
      </c>
      <c r="AH99" s="78">
        <v>261</v>
      </c>
      <c r="AI99" s="78">
        <v>75</v>
      </c>
      <c r="AJ99" s="78">
        <v>261</v>
      </c>
      <c r="AK99" s="78">
        <v>75</v>
      </c>
      <c r="AL99" s="78">
        <v>335</v>
      </c>
      <c r="AM99" s="78">
        <v>17667</v>
      </c>
      <c r="AN99" s="78">
        <v>17667</v>
      </c>
      <c r="AO99" s="78">
        <v>14</v>
      </c>
      <c r="AP99" s="78">
        <v>0</v>
      </c>
      <c r="AQ99" s="78">
        <v>0</v>
      </c>
      <c r="AR99" s="78">
        <v>0</v>
      </c>
      <c r="AS99" s="78">
        <v>1146</v>
      </c>
      <c r="AT99" s="78">
        <v>1146</v>
      </c>
      <c r="AU99" s="400">
        <v>3.65294E-4</v>
      </c>
      <c r="AV99" s="400">
        <v>2.9211599999999998E-4</v>
      </c>
      <c r="AW99" s="78">
        <v>19734.039000000001</v>
      </c>
      <c r="AX99" s="78">
        <v>0</v>
      </c>
      <c r="AY99" s="78">
        <v>1439</v>
      </c>
      <c r="AZ99" s="78">
        <v>8709.1060521932304</v>
      </c>
      <c r="BA99" s="78">
        <v>10</v>
      </c>
      <c r="BB99" s="78">
        <v>10</v>
      </c>
      <c r="BC99" s="78">
        <v>5549</v>
      </c>
      <c r="BD99" s="78">
        <v>1</v>
      </c>
      <c r="BE99" s="78">
        <v>0</v>
      </c>
      <c r="BF99" s="78">
        <v>0</v>
      </c>
      <c r="BG99" s="78">
        <v>0</v>
      </c>
      <c r="BH99" s="78">
        <v>0</v>
      </c>
      <c r="BI99" s="78">
        <v>0</v>
      </c>
      <c r="BJ99" s="78">
        <v>0</v>
      </c>
      <c r="BK99" s="78">
        <v>0</v>
      </c>
      <c r="BL99" s="78">
        <v>0</v>
      </c>
      <c r="BM99" s="78">
        <v>654.43200000000002</v>
      </c>
      <c r="BN99" s="78">
        <v>166</v>
      </c>
      <c r="BO99" s="78">
        <v>112</v>
      </c>
      <c r="BP99" s="78">
        <v>12503.81</v>
      </c>
      <c r="BQ99" s="78">
        <v>3335.64</v>
      </c>
      <c r="BR99" s="78">
        <v>387.65230611372402</v>
      </c>
      <c r="BS99" s="78">
        <v>400</v>
      </c>
      <c r="BT99" s="78">
        <v>134.666666666667</v>
      </c>
      <c r="BU99" s="78">
        <v>100.666666666667</v>
      </c>
      <c r="BV99" s="78">
        <f t="shared" si="7"/>
        <v>1734.0000000000032</v>
      </c>
      <c r="BW99" s="78">
        <v>477</v>
      </c>
      <c r="BX99" s="78">
        <v>6298.4533135669799</v>
      </c>
      <c r="BY99" s="78">
        <v>0.46899999999999997</v>
      </c>
      <c r="BZ99" s="78">
        <v>35255</v>
      </c>
      <c r="CA99" s="78">
        <v>4685</v>
      </c>
      <c r="CB99" s="78">
        <v>916</v>
      </c>
      <c r="CC99" s="78">
        <v>852</v>
      </c>
      <c r="CD99" s="78">
        <v>884</v>
      </c>
      <c r="CE99" s="78">
        <v>438</v>
      </c>
      <c r="CF99" s="78">
        <v>442.42670515650599</v>
      </c>
      <c r="CG99" s="78">
        <v>294.847353823513</v>
      </c>
      <c r="CH99" s="78">
        <v>100.877024961793</v>
      </c>
      <c r="CI99" s="78">
        <v>1179.43</v>
      </c>
      <c r="CJ99" s="78">
        <v>786.01</v>
      </c>
      <c r="CK99" s="78">
        <v>268.92</v>
      </c>
      <c r="CL99" s="78">
        <v>44254</v>
      </c>
    </row>
    <row r="100" spans="1:90" x14ac:dyDescent="0.35">
      <c r="A100" s="72">
        <v>268</v>
      </c>
      <c r="B100" s="72" t="s">
        <v>215</v>
      </c>
      <c r="C100" s="72">
        <v>5</v>
      </c>
      <c r="D100" s="78">
        <v>18030800000</v>
      </c>
      <c r="E100" s="78">
        <v>3101000000</v>
      </c>
      <c r="F100" s="78">
        <v>3162950000</v>
      </c>
      <c r="G100" s="78">
        <v>177359</v>
      </c>
      <c r="H100" s="78">
        <v>1</v>
      </c>
      <c r="I100" s="78">
        <f t="shared" si="5"/>
        <v>3162.95</v>
      </c>
      <c r="J100" s="78">
        <v>29055</v>
      </c>
      <c r="K100" s="78">
        <v>29037</v>
      </c>
      <c r="L100" s="78">
        <v>8683</v>
      </c>
      <c r="M100" s="78">
        <v>29821</v>
      </c>
      <c r="N100" s="78">
        <f t="shared" si="6"/>
        <v>21153.199999999997</v>
      </c>
      <c r="O100" s="78">
        <v>6973</v>
      </c>
      <c r="P100" s="78">
        <v>163</v>
      </c>
      <c r="Q100" s="78">
        <v>16304</v>
      </c>
      <c r="R100" s="78">
        <v>51234</v>
      </c>
      <c r="S100" s="78">
        <v>14620</v>
      </c>
      <c r="T100" s="78">
        <v>0</v>
      </c>
      <c r="U100" s="78">
        <v>6398</v>
      </c>
      <c r="V100" s="78">
        <v>98609</v>
      </c>
      <c r="W100" s="78">
        <v>210580</v>
      </c>
      <c r="X100" s="78">
        <v>372140</v>
      </c>
      <c r="Y100" s="78">
        <v>5290</v>
      </c>
      <c r="Z100" s="78">
        <v>10888.8</v>
      </c>
      <c r="AA100" s="78">
        <v>0</v>
      </c>
      <c r="AB100" s="399">
        <f>IF((J100-'[2]Basisgegevens aanvullend'!D100*1.1)&lt;=0,0,J100-'[2]Basisgegevens aanvullend'!D100*1.1)</f>
        <v>0</v>
      </c>
      <c r="AC100" s="399">
        <v>0</v>
      </c>
      <c r="AD100" s="78">
        <v>5252</v>
      </c>
      <c r="AE100" s="78">
        <v>5252</v>
      </c>
      <c r="AF100" s="78">
        <v>511</v>
      </c>
      <c r="AG100" s="78">
        <v>0</v>
      </c>
      <c r="AH100" s="78">
        <v>721</v>
      </c>
      <c r="AI100" s="78">
        <v>41</v>
      </c>
      <c r="AJ100" s="78">
        <v>721</v>
      </c>
      <c r="AK100" s="78">
        <v>41</v>
      </c>
      <c r="AL100" s="78">
        <v>762</v>
      </c>
      <c r="AM100" s="78">
        <v>86678</v>
      </c>
      <c r="AN100" s="78">
        <v>86678</v>
      </c>
      <c r="AO100" s="78">
        <v>20</v>
      </c>
      <c r="AP100" s="78">
        <v>0</v>
      </c>
      <c r="AQ100" s="78">
        <v>0</v>
      </c>
      <c r="AR100" s="78">
        <v>0</v>
      </c>
      <c r="AS100" s="78">
        <v>16196</v>
      </c>
      <c r="AT100" s="78">
        <v>14335</v>
      </c>
      <c r="AU100" s="400">
        <v>1.1320648000000001E-2</v>
      </c>
      <c r="AV100" s="400">
        <v>1.4075005999999999E-2</v>
      </c>
      <c r="AW100" s="78">
        <v>208807.302</v>
      </c>
      <c r="AX100" s="78">
        <v>0</v>
      </c>
      <c r="AY100" s="78">
        <v>1740</v>
      </c>
      <c r="AZ100" s="78">
        <v>53549.307652264397</v>
      </c>
      <c r="BA100" s="78">
        <v>2</v>
      </c>
      <c r="BB100" s="78">
        <v>2</v>
      </c>
      <c r="BC100" s="78">
        <v>20094</v>
      </c>
      <c r="BD100" s="78">
        <v>1</v>
      </c>
      <c r="BE100" s="78">
        <v>0</v>
      </c>
      <c r="BF100" s="78">
        <v>0</v>
      </c>
      <c r="BG100" s="78">
        <v>0</v>
      </c>
      <c r="BH100" s="78">
        <v>0</v>
      </c>
      <c r="BI100" s="78">
        <v>0</v>
      </c>
      <c r="BJ100" s="78">
        <v>0</v>
      </c>
      <c r="BK100" s="78">
        <v>0</v>
      </c>
      <c r="BL100" s="78">
        <v>0</v>
      </c>
      <c r="BM100" s="78">
        <v>4968.4049999999997</v>
      </c>
      <c r="BN100" s="78">
        <v>509</v>
      </c>
      <c r="BO100" s="78">
        <v>484</v>
      </c>
      <c r="BP100" s="78">
        <v>47040.49</v>
      </c>
      <c r="BQ100" s="78">
        <v>9910.7999999999993</v>
      </c>
      <c r="BR100" s="78">
        <v>1546.3716666666701</v>
      </c>
      <c r="BS100" s="78">
        <v>2269</v>
      </c>
      <c r="BT100" s="78">
        <v>1600.6666666666699</v>
      </c>
      <c r="BU100" s="78">
        <v>1572.3333333333301</v>
      </c>
      <c r="BV100" s="78">
        <f t="shared" si="7"/>
        <v>9331</v>
      </c>
      <c r="BW100" s="78">
        <v>3322</v>
      </c>
      <c r="BX100" s="78">
        <v>22159.437654607998</v>
      </c>
      <c r="BY100" s="78">
        <v>20.658000000000001</v>
      </c>
      <c r="BZ100" s="78">
        <v>148322</v>
      </c>
      <c r="CA100" s="78">
        <v>17252</v>
      </c>
      <c r="CB100" s="78">
        <v>3102</v>
      </c>
      <c r="CC100" s="78">
        <v>5689</v>
      </c>
      <c r="CD100" s="78">
        <v>3606</v>
      </c>
      <c r="CE100" s="78">
        <v>1658</v>
      </c>
      <c r="CF100" s="78">
        <v>2888.2544821061902</v>
      </c>
      <c r="CG100" s="78">
        <v>1550.8962597198799</v>
      </c>
      <c r="CH100" s="78">
        <v>551.29420152749299</v>
      </c>
      <c r="CI100" s="78">
        <v>6110.4105</v>
      </c>
      <c r="CJ100" s="78">
        <v>3281.0864999999999</v>
      </c>
      <c r="CK100" s="78">
        <v>1166.3217</v>
      </c>
      <c r="CL100" s="78">
        <v>148521</v>
      </c>
    </row>
    <row r="101" spans="1:90" x14ac:dyDescent="0.35">
      <c r="A101" s="72">
        <v>302</v>
      </c>
      <c r="B101" s="72" t="s">
        <v>223</v>
      </c>
      <c r="C101" s="72">
        <v>5</v>
      </c>
      <c r="D101" s="78">
        <v>3005200000</v>
      </c>
      <c r="E101" s="78">
        <v>355950000</v>
      </c>
      <c r="F101" s="78">
        <v>372750000</v>
      </c>
      <c r="G101" s="78">
        <v>28021</v>
      </c>
      <c r="H101" s="78">
        <v>2</v>
      </c>
      <c r="I101" s="78">
        <f t="shared" si="5"/>
        <v>372.75</v>
      </c>
      <c r="J101" s="78">
        <v>6199</v>
      </c>
      <c r="K101" s="78">
        <v>5828</v>
      </c>
      <c r="L101" s="78">
        <v>1886</v>
      </c>
      <c r="M101" s="78">
        <v>3102</v>
      </c>
      <c r="N101" s="78">
        <f t="shared" si="6"/>
        <v>1830.1</v>
      </c>
      <c r="O101" s="78">
        <v>258.33333333333297</v>
      </c>
      <c r="P101" s="78">
        <v>47</v>
      </c>
      <c r="Q101" s="78">
        <v>1573.3333333333301</v>
      </c>
      <c r="R101" s="78">
        <v>3215</v>
      </c>
      <c r="S101" s="78">
        <v>380</v>
      </c>
      <c r="T101" s="78">
        <v>0</v>
      </c>
      <c r="U101" s="78">
        <v>573</v>
      </c>
      <c r="V101" s="78">
        <v>11677</v>
      </c>
      <c r="W101" s="78">
        <v>27320</v>
      </c>
      <c r="X101" s="78">
        <v>16760</v>
      </c>
      <c r="Y101" s="78">
        <v>1165.74</v>
      </c>
      <c r="Z101" s="78">
        <v>382.4</v>
      </c>
      <c r="AA101" s="78">
        <v>0</v>
      </c>
      <c r="AB101" s="399">
        <f>IF((J101-'[2]Basisgegevens aanvullend'!D101*1.1)&lt;=0,0,J101-'[2]Basisgegevens aanvullend'!D101*1.1)</f>
        <v>0</v>
      </c>
      <c r="AC101" s="399">
        <v>81.999999999999901</v>
      </c>
      <c r="AD101" s="78">
        <v>12872</v>
      </c>
      <c r="AE101" s="78">
        <v>12872</v>
      </c>
      <c r="AF101" s="78">
        <v>81</v>
      </c>
      <c r="AG101" s="78">
        <v>0</v>
      </c>
      <c r="AH101" s="78">
        <v>164</v>
      </c>
      <c r="AI101" s="78">
        <v>48</v>
      </c>
      <c r="AJ101" s="78">
        <v>164</v>
      </c>
      <c r="AK101" s="78">
        <v>48</v>
      </c>
      <c r="AL101" s="78">
        <v>212</v>
      </c>
      <c r="AM101" s="78">
        <v>12719</v>
      </c>
      <c r="AN101" s="78">
        <v>12719</v>
      </c>
      <c r="AO101" s="78">
        <v>0</v>
      </c>
      <c r="AP101" s="78">
        <v>0</v>
      </c>
      <c r="AQ101" s="78">
        <v>0</v>
      </c>
      <c r="AR101" s="78">
        <v>0</v>
      </c>
      <c r="AS101" s="78">
        <v>579</v>
      </c>
      <c r="AT101" s="78">
        <v>0</v>
      </c>
      <c r="AU101" s="400">
        <v>2.19574E-4</v>
      </c>
      <c r="AV101" s="400">
        <v>1.6286499999999999E-4</v>
      </c>
      <c r="AW101" s="78">
        <v>10264.233</v>
      </c>
      <c r="AX101" s="78">
        <v>0</v>
      </c>
      <c r="AY101" s="78">
        <v>398</v>
      </c>
      <c r="AZ101" s="78">
        <v>860.98648961630499</v>
      </c>
      <c r="BA101" s="78">
        <v>13</v>
      </c>
      <c r="BB101" s="78">
        <v>13</v>
      </c>
      <c r="BC101" s="78">
        <v>3293</v>
      </c>
      <c r="BD101" s="78">
        <v>1</v>
      </c>
      <c r="BE101" s="78">
        <v>0</v>
      </c>
      <c r="BF101" s="78">
        <v>0</v>
      </c>
      <c r="BG101" s="78">
        <v>0</v>
      </c>
      <c r="BH101" s="78">
        <v>0</v>
      </c>
      <c r="BI101" s="78">
        <v>0</v>
      </c>
      <c r="BJ101" s="78">
        <v>0</v>
      </c>
      <c r="BK101" s="78">
        <v>0</v>
      </c>
      <c r="BL101" s="78">
        <v>0</v>
      </c>
      <c r="BM101" s="78">
        <v>409.13400000000001</v>
      </c>
      <c r="BN101" s="78">
        <v>196</v>
      </c>
      <c r="BO101" s="78">
        <v>45</v>
      </c>
      <c r="BP101" s="78">
        <v>7311.48</v>
      </c>
      <c r="BQ101" s="78">
        <v>1845.74</v>
      </c>
      <c r="BR101" s="78">
        <v>317.87182769876398</v>
      </c>
      <c r="BS101" s="78">
        <v>206</v>
      </c>
      <c r="BT101" s="78">
        <v>78.3333333333333</v>
      </c>
      <c r="BU101" s="78">
        <v>59</v>
      </c>
      <c r="BV101" s="78">
        <f t="shared" si="7"/>
        <v>1314.999999999997</v>
      </c>
      <c r="BW101" s="78">
        <v>479</v>
      </c>
      <c r="BX101" s="78">
        <v>4709.4516706760996</v>
      </c>
      <c r="BY101" s="78">
        <v>0.39400000000000002</v>
      </c>
      <c r="BZ101" s="78">
        <v>22193</v>
      </c>
      <c r="CA101" s="78">
        <v>3209</v>
      </c>
      <c r="CB101" s="78">
        <v>733</v>
      </c>
      <c r="CC101" s="78">
        <v>612</v>
      </c>
      <c r="CD101" s="78">
        <v>579</v>
      </c>
      <c r="CE101" s="78">
        <v>337</v>
      </c>
      <c r="CF101" s="78">
        <v>280.72372828052499</v>
      </c>
      <c r="CG101" s="78">
        <v>184.894920984354</v>
      </c>
      <c r="CH101" s="78">
        <v>69.209694158345798</v>
      </c>
      <c r="CI101" s="78">
        <v>891.8021</v>
      </c>
      <c r="CJ101" s="78">
        <v>587.37350000000004</v>
      </c>
      <c r="CK101" s="78">
        <v>219.86510000000001</v>
      </c>
      <c r="CL101" s="78">
        <v>63145</v>
      </c>
    </row>
    <row r="102" spans="1:90" x14ac:dyDescent="0.35">
      <c r="A102" s="72">
        <v>269</v>
      </c>
      <c r="B102" s="72" t="s">
        <v>228</v>
      </c>
      <c r="C102" s="72">
        <v>5</v>
      </c>
      <c r="D102" s="78">
        <v>2276800000</v>
      </c>
      <c r="E102" s="78">
        <v>287350000</v>
      </c>
      <c r="F102" s="78">
        <v>312200000</v>
      </c>
      <c r="G102" s="78">
        <v>23760</v>
      </c>
      <c r="H102" s="78">
        <v>3</v>
      </c>
      <c r="I102" s="78">
        <f t="shared" si="5"/>
        <v>312.2</v>
      </c>
      <c r="J102" s="78">
        <v>5257</v>
      </c>
      <c r="K102" s="78">
        <v>4604</v>
      </c>
      <c r="L102" s="78">
        <v>1396</v>
      </c>
      <c r="M102" s="78">
        <v>2416</v>
      </c>
      <c r="N102" s="78">
        <f t="shared" si="6"/>
        <v>1418.1</v>
      </c>
      <c r="O102" s="78">
        <v>275.66666666666703</v>
      </c>
      <c r="P102" s="78">
        <v>35</v>
      </c>
      <c r="Q102" s="78">
        <v>1255.6666666666699</v>
      </c>
      <c r="R102" s="78">
        <v>2320</v>
      </c>
      <c r="S102" s="78">
        <v>240</v>
      </c>
      <c r="T102" s="78">
        <v>0</v>
      </c>
      <c r="U102" s="78">
        <v>463</v>
      </c>
      <c r="V102" s="78">
        <v>9514</v>
      </c>
      <c r="W102" s="78">
        <v>20830</v>
      </c>
      <c r="X102" s="78">
        <v>7950</v>
      </c>
      <c r="Y102" s="78">
        <v>0</v>
      </c>
      <c r="Z102" s="78">
        <v>213.6</v>
      </c>
      <c r="AA102" s="78">
        <v>0</v>
      </c>
      <c r="AB102" s="399">
        <f>IF((J102-'[2]Basisgegevens aanvullend'!D102*1.1)&lt;=0,0,J102-'[2]Basisgegevens aanvullend'!D102*1.1)</f>
        <v>0</v>
      </c>
      <c r="AC102" s="399">
        <v>0</v>
      </c>
      <c r="AD102" s="78">
        <v>9772</v>
      </c>
      <c r="AE102" s="78">
        <v>9772</v>
      </c>
      <c r="AF102" s="78">
        <v>111</v>
      </c>
      <c r="AG102" s="78">
        <v>0</v>
      </c>
      <c r="AH102" s="78">
        <v>137</v>
      </c>
      <c r="AI102" s="78">
        <v>63</v>
      </c>
      <c r="AJ102" s="78">
        <v>137</v>
      </c>
      <c r="AK102" s="78">
        <v>63</v>
      </c>
      <c r="AL102" s="78">
        <v>200</v>
      </c>
      <c r="AM102" s="78">
        <v>9979</v>
      </c>
      <c r="AN102" s="78">
        <v>9979</v>
      </c>
      <c r="AO102" s="78">
        <v>0</v>
      </c>
      <c r="AP102" s="78">
        <v>0</v>
      </c>
      <c r="AQ102" s="78">
        <v>0</v>
      </c>
      <c r="AR102" s="78">
        <v>0</v>
      </c>
      <c r="AS102" s="78">
        <v>0</v>
      </c>
      <c r="AT102" s="78">
        <v>0</v>
      </c>
      <c r="AU102" s="400">
        <v>1.9782299999999999E-4</v>
      </c>
      <c r="AV102" s="400">
        <v>9.9681999999999999E-5</v>
      </c>
      <c r="AW102" s="78">
        <v>6536.2449999999999</v>
      </c>
      <c r="AX102" s="78">
        <v>0</v>
      </c>
      <c r="AY102" s="78">
        <v>944</v>
      </c>
      <c r="AZ102" s="78">
        <v>2269.4971162602401</v>
      </c>
      <c r="BA102" s="78">
        <v>9</v>
      </c>
      <c r="BB102" s="78">
        <v>9</v>
      </c>
      <c r="BC102" s="78">
        <v>2573</v>
      </c>
      <c r="BD102" s="78">
        <v>1</v>
      </c>
      <c r="BE102" s="78">
        <v>0</v>
      </c>
      <c r="BF102" s="78">
        <v>0</v>
      </c>
      <c r="BG102" s="78">
        <v>0</v>
      </c>
      <c r="BH102" s="78">
        <v>0</v>
      </c>
      <c r="BI102" s="78">
        <v>0</v>
      </c>
      <c r="BJ102" s="78">
        <v>0</v>
      </c>
      <c r="BK102" s="78">
        <v>0</v>
      </c>
      <c r="BL102" s="78">
        <v>0</v>
      </c>
      <c r="BM102" s="78">
        <v>331.19099999999997</v>
      </c>
      <c r="BN102" s="78">
        <v>166</v>
      </c>
      <c r="BO102" s="78">
        <v>38</v>
      </c>
      <c r="BP102" s="78">
        <v>5730.04</v>
      </c>
      <c r="BQ102" s="78">
        <v>1632.36</v>
      </c>
      <c r="BR102" s="78">
        <v>286.17647950926602</v>
      </c>
      <c r="BS102" s="78">
        <v>172</v>
      </c>
      <c r="BT102" s="78">
        <v>86.6666666666667</v>
      </c>
      <c r="BU102" s="78">
        <v>67</v>
      </c>
      <c r="BV102" s="78">
        <f t="shared" si="7"/>
        <v>980.00000000000296</v>
      </c>
      <c r="BW102" s="78">
        <v>273</v>
      </c>
      <c r="BX102" s="78">
        <v>3708.2722151738099</v>
      </c>
      <c r="BY102" s="78">
        <v>0.41599999999999998</v>
      </c>
      <c r="BZ102" s="78">
        <v>19156</v>
      </c>
      <c r="CA102" s="78">
        <v>2687</v>
      </c>
      <c r="CB102" s="78">
        <v>521</v>
      </c>
      <c r="CC102" s="78">
        <v>427</v>
      </c>
      <c r="CD102" s="78">
        <v>429</v>
      </c>
      <c r="CE102" s="78">
        <v>237</v>
      </c>
      <c r="CF102" s="78">
        <v>229.220893877142</v>
      </c>
      <c r="CG102" s="78">
        <v>134.150355747069</v>
      </c>
      <c r="CH102" s="78">
        <v>52.011684537528801</v>
      </c>
      <c r="CI102" s="78">
        <v>811.50030000000004</v>
      </c>
      <c r="CJ102" s="78">
        <v>474.9264</v>
      </c>
      <c r="CK102" s="78">
        <v>184.13460000000001</v>
      </c>
      <c r="CL102" s="78">
        <v>10584</v>
      </c>
    </row>
    <row r="103" spans="1:90" x14ac:dyDescent="0.35">
      <c r="A103" s="72">
        <v>1586</v>
      </c>
      <c r="B103" s="72" t="s">
        <v>232</v>
      </c>
      <c r="C103" s="72">
        <v>5</v>
      </c>
      <c r="D103" s="78">
        <v>2424800000</v>
      </c>
      <c r="E103" s="78">
        <v>525700000</v>
      </c>
      <c r="F103" s="78">
        <v>574350000</v>
      </c>
      <c r="G103" s="78">
        <v>29574</v>
      </c>
      <c r="H103" s="78">
        <v>3</v>
      </c>
      <c r="I103" s="78">
        <f t="shared" si="5"/>
        <v>574.35</v>
      </c>
      <c r="J103" s="78">
        <v>5536</v>
      </c>
      <c r="K103" s="78">
        <v>6758</v>
      </c>
      <c r="L103" s="78">
        <v>2166</v>
      </c>
      <c r="M103" s="78">
        <v>3799</v>
      </c>
      <c r="N103" s="78">
        <f t="shared" si="6"/>
        <v>2423.3999999999996</v>
      </c>
      <c r="O103" s="78">
        <v>290.66666666666703</v>
      </c>
      <c r="P103" s="78">
        <v>35</v>
      </c>
      <c r="Q103" s="78">
        <v>1728.6666666666699</v>
      </c>
      <c r="R103" s="78">
        <v>3682</v>
      </c>
      <c r="S103" s="78">
        <v>500</v>
      </c>
      <c r="T103" s="78">
        <v>0</v>
      </c>
      <c r="U103" s="78">
        <v>630</v>
      </c>
      <c r="V103" s="78">
        <v>13182</v>
      </c>
      <c r="W103" s="78">
        <v>29260</v>
      </c>
      <c r="X103" s="78">
        <v>17790</v>
      </c>
      <c r="Y103" s="78">
        <v>1097.52</v>
      </c>
      <c r="Z103" s="78">
        <v>1272.8</v>
      </c>
      <c r="AA103" s="78">
        <v>0</v>
      </c>
      <c r="AB103" s="399">
        <f>IF((J103-'[2]Basisgegevens aanvullend'!D103*1.1)&lt;=0,0,J103-'[2]Basisgegevens aanvullend'!D103*1.1)</f>
        <v>0</v>
      </c>
      <c r="AC103" s="399">
        <v>0</v>
      </c>
      <c r="AD103" s="78">
        <v>10990</v>
      </c>
      <c r="AE103" s="78">
        <v>10990</v>
      </c>
      <c r="AF103" s="78">
        <v>54</v>
      </c>
      <c r="AG103" s="78">
        <v>0</v>
      </c>
      <c r="AH103" s="78">
        <v>193</v>
      </c>
      <c r="AI103" s="78">
        <v>147</v>
      </c>
      <c r="AJ103" s="78">
        <v>193</v>
      </c>
      <c r="AK103" s="78">
        <v>147</v>
      </c>
      <c r="AL103" s="78">
        <v>341</v>
      </c>
      <c r="AM103" s="78">
        <v>13756</v>
      </c>
      <c r="AN103" s="78">
        <v>13756</v>
      </c>
      <c r="AO103" s="78">
        <v>9</v>
      </c>
      <c r="AP103" s="78">
        <v>0</v>
      </c>
      <c r="AQ103" s="78">
        <v>0</v>
      </c>
      <c r="AR103" s="78">
        <v>2400</v>
      </c>
      <c r="AS103" s="78">
        <v>718</v>
      </c>
      <c r="AT103" s="78">
        <v>718</v>
      </c>
      <c r="AU103" s="400">
        <v>3.6675899999999998E-4</v>
      </c>
      <c r="AV103" s="400">
        <v>1.6792099999999999E-4</v>
      </c>
      <c r="AW103" s="78">
        <v>10138.172</v>
      </c>
      <c r="AX103" s="78">
        <v>0</v>
      </c>
      <c r="AY103" s="78">
        <v>1249</v>
      </c>
      <c r="AZ103" s="78">
        <v>3344.6148134733799</v>
      </c>
      <c r="BA103" s="78">
        <v>10</v>
      </c>
      <c r="BB103" s="78">
        <v>10</v>
      </c>
      <c r="BC103" s="78">
        <v>3281</v>
      </c>
      <c r="BD103" s="78">
        <v>1</v>
      </c>
      <c r="BE103" s="78">
        <v>0</v>
      </c>
      <c r="BF103" s="78">
        <v>0</v>
      </c>
      <c r="BG103" s="78">
        <v>0</v>
      </c>
      <c r="BH103" s="78">
        <v>0</v>
      </c>
      <c r="BI103" s="78">
        <v>0</v>
      </c>
      <c r="BJ103" s="78">
        <v>0</v>
      </c>
      <c r="BK103" s="78">
        <v>0</v>
      </c>
      <c r="BL103" s="78">
        <v>0</v>
      </c>
      <c r="BM103" s="78">
        <v>365.37599999999998</v>
      </c>
      <c r="BN103" s="78">
        <v>75</v>
      </c>
      <c r="BO103" s="78">
        <v>48</v>
      </c>
      <c r="BP103" s="78">
        <v>8106.8</v>
      </c>
      <c r="BQ103" s="78">
        <v>1870.08</v>
      </c>
      <c r="BR103" s="78">
        <v>114.30624535989099</v>
      </c>
      <c r="BS103" s="78">
        <v>213</v>
      </c>
      <c r="BT103" s="78">
        <v>85.3333333333333</v>
      </c>
      <c r="BU103" s="78">
        <v>64.6666666666667</v>
      </c>
      <c r="BV103" s="78">
        <f t="shared" si="7"/>
        <v>1438.000000000003</v>
      </c>
      <c r="BW103" s="78">
        <v>371</v>
      </c>
      <c r="BX103" s="78">
        <v>5210.4223255814004</v>
      </c>
      <c r="BY103" s="78">
        <v>0.33100000000000002</v>
      </c>
      <c r="BZ103" s="78">
        <v>22816</v>
      </c>
      <c r="CA103" s="78">
        <v>3864</v>
      </c>
      <c r="CB103" s="78">
        <v>728</v>
      </c>
      <c r="CC103" s="78">
        <v>699</v>
      </c>
      <c r="CD103" s="78">
        <v>680</v>
      </c>
      <c r="CE103" s="78">
        <v>339</v>
      </c>
      <c r="CF103" s="78">
        <v>410.65319860424501</v>
      </c>
      <c r="CG103" s="78">
        <v>258.97048560628099</v>
      </c>
      <c r="CH103" s="78">
        <v>81.038383250945003</v>
      </c>
      <c r="CI103" s="78">
        <v>1084.3812</v>
      </c>
      <c r="CJ103" s="78">
        <v>683.84400000000005</v>
      </c>
      <c r="CK103" s="78">
        <v>213.99199999999999</v>
      </c>
      <c r="CL103" s="78">
        <v>19845</v>
      </c>
    </row>
    <row r="104" spans="1:90" x14ac:dyDescent="0.35">
      <c r="A104" s="72">
        <v>1509</v>
      </c>
      <c r="B104" s="72" t="s">
        <v>239</v>
      </c>
      <c r="C104" s="72">
        <v>5</v>
      </c>
      <c r="D104" s="78">
        <v>3194400000</v>
      </c>
      <c r="E104" s="78">
        <v>532700000</v>
      </c>
      <c r="F104" s="78">
        <v>584500000</v>
      </c>
      <c r="G104" s="78">
        <v>39346</v>
      </c>
      <c r="H104" s="78">
        <v>3</v>
      </c>
      <c r="I104" s="78">
        <f t="shared" si="5"/>
        <v>584.5</v>
      </c>
      <c r="J104" s="78">
        <v>6880</v>
      </c>
      <c r="K104" s="78">
        <v>9555</v>
      </c>
      <c r="L104" s="78">
        <v>3069</v>
      </c>
      <c r="M104" s="78">
        <v>5815</v>
      </c>
      <c r="N104" s="78">
        <f t="shared" si="6"/>
        <v>4037.3999999999996</v>
      </c>
      <c r="O104" s="78">
        <v>595.66666666666697</v>
      </c>
      <c r="P104" s="78">
        <v>68</v>
      </c>
      <c r="Q104" s="78">
        <v>2841.6666666666702</v>
      </c>
      <c r="R104" s="78">
        <v>5401</v>
      </c>
      <c r="S104" s="78">
        <v>1835</v>
      </c>
      <c r="T104" s="78">
        <v>0</v>
      </c>
      <c r="U104" s="78">
        <v>1024</v>
      </c>
      <c r="V104" s="78">
        <v>17816</v>
      </c>
      <c r="W104" s="78">
        <v>39630</v>
      </c>
      <c r="X104" s="78">
        <v>25880</v>
      </c>
      <c r="Y104" s="78">
        <v>0</v>
      </c>
      <c r="Z104" s="78">
        <v>1676.8</v>
      </c>
      <c r="AA104" s="78">
        <v>0</v>
      </c>
      <c r="AB104" s="399">
        <f>IF((J104-'[2]Basisgegevens aanvullend'!D104*1.1)&lt;=0,0,J104-'[2]Basisgegevens aanvullend'!D104*1.1)</f>
        <v>0</v>
      </c>
      <c r="AC104" s="399">
        <v>0</v>
      </c>
      <c r="AD104" s="78">
        <v>13598</v>
      </c>
      <c r="AE104" s="78">
        <v>13598</v>
      </c>
      <c r="AF104" s="78">
        <v>197</v>
      </c>
      <c r="AG104" s="78">
        <v>0</v>
      </c>
      <c r="AH104" s="78">
        <v>245</v>
      </c>
      <c r="AI104" s="78">
        <v>164</v>
      </c>
      <c r="AJ104" s="78">
        <v>245</v>
      </c>
      <c r="AK104" s="78">
        <v>164</v>
      </c>
      <c r="AL104" s="78">
        <v>409</v>
      </c>
      <c r="AM104" s="78">
        <v>17776</v>
      </c>
      <c r="AN104" s="78">
        <v>17776</v>
      </c>
      <c r="AO104" s="78">
        <v>0</v>
      </c>
      <c r="AP104" s="78">
        <v>0</v>
      </c>
      <c r="AQ104" s="78">
        <v>0</v>
      </c>
      <c r="AR104" s="78">
        <v>0</v>
      </c>
      <c r="AS104" s="78">
        <v>518</v>
      </c>
      <c r="AT104" s="78">
        <v>0</v>
      </c>
      <c r="AU104" s="400">
        <v>7.8256699999999996E-4</v>
      </c>
      <c r="AV104" s="400">
        <v>2.9898899999999999E-4</v>
      </c>
      <c r="AW104" s="78">
        <v>11536.624</v>
      </c>
      <c r="AX104" s="78">
        <v>0</v>
      </c>
      <c r="AY104" s="78">
        <v>1559</v>
      </c>
      <c r="AZ104" s="78">
        <v>4446.5686118158701</v>
      </c>
      <c r="BA104" s="78">
        <v>11</v>
      </c>
      <c r="BB104" s="78">
        <v>11</v>
      </c>
      <c r="BC104" s="78">
        <v>4105</v>
      </c>
      <c r="BD104" s="78">
        <v>1</v>
      </c>
      <c r="BE104" s="78">
        <v>0</v>
      </c>
      <c r="BF104" s="78">
        <v>0</v>
      </c>
      <c r="BG104" s="78">
        <v>0</v>
      </c>
      <c r="BH104" s="78">
        <v>0</v>
      </c>
      <c r="BI104" s="78">
        <v>0</v>
      </c>
      <c r="BJ104" s="78">
        <v>0</v>
      </c>
      <c r="BK104" s="78">
        <v>0</v>
      </c>
      <c r="BL104" s="78">
        <v>0</v>
      </c>
      <c r="BM104" s="78">
        <v>736.16</v>
      </c>
      <c r="BN104" s="78">
        <v>171</v>
      </c>
      <c r="BO104" s="78">
        <v>107</v>
      </c>
      <c r="BP104" s="78">
        <v>10263</v>
      </c>
      <c r="BQ104" s="78">
        <v>2208.64</v>
      </c>
      <c r="BR104" s="78">
        <v>208.72908166723099</v>
      </c>
      <c r="BS104" s="78">
        <v>393</v>
      </c>
      <c r="BT104" s="78">
        <v>178</v>
      </c>
      <c r="BU104" s="78">
        <v>140.666666666667</v>
      </c>
      <c r="BV104" s="78">
        <f t="shared" si="7"/>
        <v>2246.0000000000032</v>
      </c>
      <c r="BW104" s="78">
        <v>555</v>
      </c>
      <c r="BX104" s="78">
        <v>7484.4507017365704</v>
      </c>
      <c r="BY104" s="78">
        <v>1.2629999999999999</v>
      </c>
      <c r="BZ104" s="78">
        <v>29791</v>
      </c>
      <c r="CA104" s="78">
        <v>5425</v>
      </c>
      <c r="CB104" s="78">
        <v>1061</v>
      </c>
      <c r="CC104" s="78">
        <v>1069</v>
      </c>
      <c r="CD104" s="78">
        <v>989</v>
      </c>
      <c r="CE104" s="78">
        <v>507</v>
      </c>
      <c r="CF104" s="78">
        <v>757.23962646264602</v>
      </c>
      <c r="CG104" s="78">
        <v>473.55867461746197</v>
      </c>
      <c r="CH104" s="78">
        <v>157.17151215121501</v>
      </c>
      <c r="CI104" s="78">
        <v>1767.02</v>
      </c>
      <c r="CJ104" s="78">
        <v>1105.05</v>
      </c>
      <c r="CK104" s="78">
        <v>366.76</v>
      </c>
      <c r="CL104" s="78">
        <v>32943</v>
      </c>
    </row>
    <row r="105" spans="1:90" x14ac:dyDescent="0.35">
      <c r="A105" s="72">
        <v>1734</v>
      </c>
      <c r="B105" s="72" t="s">
        <v>242</v>
      </c>
      <c r="C105" s="72">
        <v>5</v>
      </c>
      <c r="D105" s="78">
        <v>4524000000</v>
      </c>
      <c r="E105" s="78">
        <v>640850000</v>
      </c>
      <c r="F105" s="78">
        <v>682150000</v>
      </c>
      <c r="G105" s="78">
        <v>48214</v>
      </c>
      <c r="H105" s="78">
        <v>6</v>
      </c>
      <c r="I105" s="78">
        <f t="shared" si="5"/>
        <v>682.15</v>
      </c>
      <c r="J105" s="78">
        <v>10286</v>
      </c>
      <c r="K105" s="78">
        <v>9554</v>
      </c>
      <c r="L105" s="78">
        <v>2984</v>
      </c>
      <c r="M105" s="78">
        <v>4941</v>
      </c>
      <c r="N105" s="78">
        <f t="shared" si="6"/>
        <v>2912.8999999999996</v>
      </c>
      <c r="O105" s="78">
        <v>574.66666666666697</v>
      </c>
      <c r="P105" s="78">
        <v>61</v>
      </c>
      <c r="Q105" s="78">
        <v>2635.6666666666702</v>
      </c>
      <c r="R105" s="78">
        <v>5399</v>
      </c>
      <c r="S105" s="78">
        <v>1105</v>
      </c>
      <c r="T105" s="78">
        <v>0</v>
      </c>
      <c r="U105" s="78">
        <v>1487</v>
      </c>
      <c r="V105" s="78">
        <v>20507</v>
      </c>
      <c r="W105" s="78">
        <v>38010</v>
      </c>
      <c r="X105" s="78">
        <v>13540</v>
      </c>
      <c r="Y105" s="78">
        <v>598.58000000000004</v>
      </c>
      <c r="Z105" s="78">
        <v>2329.6</v>
      </c>
      <c r="AA105" s="78">
        <v>0</v>
      </c>
      <c r="AB105" s="399">
        <f>IF((J105-'[2]Basisgegevens aanvullend'!D105*1.1)&lt;=0,0,J105-'[2]Basisgegevens aanvullend'!D105*1.1)</f>
        <v>0</v>
      </c>
      <c r="AC105" s="399">
        <v>409.5</v>
      </c>
      <c r="AD105" s="78">
        <v>10888</v>
      </c>
      <c r="AE105" s="78">
        <v>11105.76</v>
      </c>
      <c r="AF105" s="78">
        <v>620</v>
      </c>
      <c r="AG105" s="78">
        <v>0</v>
      </c>
      <c r="AH105" s="78">
        <v>264</v>
      </c>
      <c r="AI105" s="78">
        <v>115</v>
      </c>
      <c r="AJ105" s="78">
        <v>266.64</v>
      </c>
      <c r="AK105" s="78">
        <v>117.3</v>
      </c>
      <c r="AL105" s="78">
        <v>379</v>
      </c>
      <c r="AM105" s="78">
        <v>20281</v>
      </c>
      <c r="AN105" s="78">
        <v>20483.810000000001</v>
      </c>
      <c r="AO105" s="78">
        <v>0</v>
      </c>
      <c r="AP105" s="78">
        <v>0</v>
      </c>
      <c r="AQ105" s="78">
        <v>0</v>
      </c>
      <c r="AR105" s="78">
        <v>0</v>
      </c>
      <c r="AS105" s="78">
        <v>676</v>
      </c>
      <c r="AT105" s="78">
        <v>0</v>
      </c>
      <c r="AU105" s="400">
        <v>3.1669899999999998E-4</v>
      </c>
      <c r="AV105" s="400">
        <v>2.1105599999999999E-4</v>
      </c>
      <c r="AW105" s="78">
        <v>16407.329000000002</v>
      </c>
      <c r="AX105" s="78">
        <v>0</v>
      </c>
      <c r="AY105" s="78">
        <v>2949.84</v>
      </c>
      <c r="AZ105" s="78">
        <v>12401.4049843587</v>
      </c>
      <c r="BA105" s="78">
        <v>11</v>
      </c>
      <c r="BB105" s="78">
        <v>11.22</v>
      </c>
      <c r="BC105" s="78">
        <v>5789</v>
      </c>
      <c r="BD105" s="78">
        <v>1</v>
      </c>
      <c r="BE105" s="78">
        <v>0</v>
      </c>
      <c r="BF105" s="78">
        <v>0</v>
      </c>
      <c r="BG105" s="78">
        <v>0</v>
      </c>
      <c r="BH105" s="78">
        <v>0</v>
      </c>
      <c r="BI105" s="78">
        <v>0</v>
      </c>
      <c r="BJ105" s="78">
        <v>0</v>
      </c>
      <c r="BK105" s="78">
        <v>0</v>
      </c>
      <c r="BL105" s="78">
        <v>0</v>
      </c>
      <c r="BM105" s="78">
        <v>843.452</v>
      </c>
      <c r="BN105" s="78">
        <v>138</v>
      </c>
      <c r="BO105" s="78">
        <v>81</v>
      </c>
      <c r="BP105" s="78">
        <v>13938.4</v>
      </c>
      <c r="BQ105" s="78">
        <v>3812.97</v>
      </c>
      <c r="BR105" s="78">
        <v>425.66345868233498</v>
      </c>
      <c r="BS105" s="78">
        <v>549</v>
      </c>
      <c r="BT105" s="78">
        <v>177.666666666667</v>
      </c>
      <c r="BU105" s="78">
        <v>144.666666666667</v>
      </c>
      <c r="BV105" s="78">
        <f t="shared" si="7"/>
        <v>2061.0000000000032</v>
      </c>
      <c r="BW105" s="78">
        <v>554</v>
      </c>
      <c r="BX105" s="78">
        <v>7621.9705656911501</v>
      </c>
      <c r="BY105" s="78">
        <v>0.81899999999999995</v>
      </c>
      <c r="BZ105" s="78">
        <v>38660</v>
      </c>
      <c r="CA105" s="78">
        <v>5614</v>
      </c>
      <c r="CB105" s="78">
        <v>956</v>
      </c>
      <c r="CC105" s="78">
        <v>1059</v>
      </c>
      <c r="CD105" s="78">
        <v>921</v>
      </c>
      <c r="CE105" s="78">
        <v>434</v>
      </c>
      <c r="CF105" s="78">
        <v>491.77898525713698</v>
      </c>
      <c r="CG105" s="78">
        <v>294.57905921798698</v>
      </c>
      <c r="CH105" s="78">
        <v>95.368354617622401</v>
      </c>
      <c r="CI105" s="78">
        <v>1446.2976000000001</v>
      </c>
      <c r="CJ105" s="78">
        <v>866.3424</v>
      </c>
      <c r="CK105" s="78">
        <v>280.47359999999998</v>
      </c>
      <c r="CL105" s="78">
        <v>4482</v>
      </c>
    </row>
    <row r="106" spans="1:90" x14ac:dyDescent="0.35">
      <c r="A106" s="72">
        <v>273</v>
      </c>
      <c r="B106" s="72" t="s">
        <v>248</v>
      </c>
      <c r="C106" s="72">
        <v>5</v>
      </c>
      <c r="D106" s="78">
        <v>2934000000</v>
      </c>
      <c r="E106" s="78">
        <v>315000000</v>
      </c>
      <c r="F106" s="78">
        <v>340550000</v>
      </c>
      <c r="G106" s="78">
        <v>24365</v>
      </c>
      <c r="H106" s="78">
        <v>1</v>
      </c>
      <c r="I106" s="78">
        <f t="shared" si="5"/>
        <v>340.55</v>
      </c>
      <c r="J106" s="78">
        <v>5161</v>
      </c>
      <c r="K106" s="78">
        <v>5173</v>
      </c>
      <c r="L106" s="78">
        <v>1758</v>
      </c>
      <c r="M106" s="78">
        <v>2598</v>
      </c>
      <c r="N106" s="78">
        <f t="shared" si="6"/>
        <v>1441.8999999999999</v>
      </c>
      <c r="O106" s="78">
        <v>173.333333333333</v>
      </c>
      <c r="P106" s="78">
        <v>45</v>
      </c>
      <c r="Q106" s="78">
        <v>1102.3333333333301</v>
      </c>
      <c r="R106" s="78">
        <v>2645</v>
      </c>
      <c r="S106" s="78">
        <v>380</v>
      </c>
      <c r="T106" s="78">
        <v>0</v>
      </c>
      <c r="U106" s="78">
        <v>556</v>
      </c>
      <c r="V106" s="78">
        <v>10053</v>
      </c>
      <c r="W106" s="78">
        <v>24000</v>
      </c>
      <c r="X106" s="78">
        <v>12580</v>
      </c>
      <c r="Y106" s="78">
        <v>0</v>
      </c>
      <c r="Z106" s="78">
        <v>387.2</v>
      </c>
      <c r="AA106" s="78">
        <v>0</v>
      </c>
      <c r="AB106" s="399">
        <f>IF((J106-'[2]Basisgegevens aanvullend'!D106*1.1)&lt;=0,0,J106-'[2]Basisgegevens aanvullend'!D106*1.1)</f>
        <v>0</v>
      </c>
      <c r="AC106" s="399">
        <v>0</v>
      </c>
      <c r="AD106" s="78">
        <v>8519</v>
      </c>
      <c r="AE106" s="78">
        <v>8519</v>
      </c>
      <c r="AF106" s="78">
        <v>231</v>
      </c>
      <c r="AG106" s="78">
        <v>0</v>
      </c>
      <c r="AH106" s="78">
        <v>136</v>
      </c>
      <c r="AI106" s="78">
        <v>95</v>
      </c>
      <c r="AJ106" s="78">
        <v>136</v>
      </c>
      <c r="AK106" s="78">
        <v>95</v>
      </c>
      <c r="AL106" s="78">
        <v>232</v>
      </c>
      <c r="AM106" s="78">
        <v>11561</v>
      </c>
      <c r="AN106" s="78">
        <v>11561</v>
      </c>
      <c r="AO106" s="78">
        <v>0</v>
      </c>
      <c r="AP106" s="78">
        <v>0</v>
      </c>
      <c r="AQ106" s="78">
        <v>0</v>
      </c>
      <c r="AR106" s="78">
        <v>0</v>
      </c>
      <c r="AS106" s="78">
        <v>704</v>
      </c>
      <c r="AT106" s="78">
        <v>0</v>
      </c>
      <c r="AU106" s="400">
        <v>2.3672499999999999E-4</v>
      </c>
      <c r="AV106" s="400">
        <v>1.25003E-4</v>
      </c>
      <c r="AW106" s="78">
        <v>10566.754000000001</v>
      </c>
      <c r="AX106" s="78">
        <v>0</v>
      </c>
      <c r="AY106" s="78">
        <v>604</v>
      </c>
      <c r="AZ106" s="78">
        <v>1681.88114285714</v>
      </c>
      <c r="BA106" s="78">
        <v>7</v>
      </c>
      <c r="BB106" s="78">
        <v>7</v>
      </c>
      <c r="BC106" s="78">
        <v>3222</v>
      </c>
      <c r="BD106" s="78">
        <v>1</v>
      </c>
      <c r="BE106" s="78">
        <v>0</v>
      </c>
      <c r="BF106" s="78">
        <v>0</v>
      </c>
      <c r="BG106" s="78">
        <v>0</v>
      </c>
      <c r="BH106" s="78">
        <v>0</v>
      </c>
      <c r="BI106" s="78">
        <v>0</v>
      </c>
      <c r="BJ106" s="78">
        <v>0</v>
      </c>
      <c r="BK106" s="78">
        <v>0</v>
      </c>
      <c r="BL106" s="78">
        <v>0</v>
      </c>
      <c r="BM106" s="78">
        <v>459.32900000000001</v>
      </c>
      <c r="BN106" s="78">
        <v>118</v>
      </c>
      <c r="BO106" s="78">
        <v>48</v>
      </c>
      <c r="BP106" s="78">
        <v>6822.9</v>
      </c>
      <c r="BQ106" s="78">
        <v>1760.09</v>
      </c>
      <c r="BR106" s="78">
        <v>231.647540944252</v>
      </c>
      <c r="BS106" s="78">
        <v>220</v>
      </c>
      <c r="BT106" s="78">
        <v>60</v>
      </c>
      <c r="BU106" s="78">
        <v>35.6666666666667</v>
      </c>
      <c r="BV106" s="78">
        <f t="shared" si="7"/>
        <v>928.99999999999704</v>
      </c>
      <c r="BW106" s="78">
        <v>265</v>
      </c>
      <c r="BX106" s="78">
        <v>4582.1397810218996</v>
      </c>
      <c r="BY106" s="78">
        <v>0.11700000000000001</v>
      </c>
      <c r="BZ106" s="78">
        <v>19192</v>
      </c>
      <c r="CA106" s="78">
        <v>2759</v>
      </c>
      <c r="CB106" s="78">
        <v>656</v>
      </c>
      <c r="CC106" s="78">
        <v>491</v>
      </c>
      <c r="CD106" s="78">
        <v>516</v>
      </c>
      <c r="CE106" s="78">
        <v>303</v>
      </c>
      <c r="CF106" s="78">
        <v>205.789724072312</v>
      </c>
      <c r="CG106" s="78">
        <v>148.29332237695701</v>
      </c>
      <c r="CH106" s="78">
        <v>55.001980797508899</v>
      </c>
      <c r="CI106" s="78">
        <v>709.33500000000004</v>
      </c>
      <c r="CJ106" s="78">
        <v>511.15109999999999</v>
      </c>
      <c r="CK106" s="78">
        <v>189.58590000000001</v>
      </c>
      <c r="CL106" s="78">
        <v>936</v>
      </c>
    </row>
    <row r="107" spans="1:90" x14ac:dyDescent="0.35">
      <c r="A107" s="72">
        <v>274</v>
      </c>
      <c r="B107" s="72" t="s">
        <v>251</v>
      </c>
      <c r="C107" s="72">
        <v>5</v>
      </c>
      <c r="D107" s="78">
        <v>3690800000</v>
      </c>
      <c r="E107" s="78">
        <v>330050000</v>
      </c>
      <c r="F107" s="78">
        <v>337400000</v>
      </c>
      <c r="G107" s="78">
        <v>31417</v>
      </c>
      <c r="H107" s="78">
        <v>3</v>
      </c>
      <c r="I107" s="78">
        <f t="shared" si="5"/>
        <v>337.4</v>
      </c>
      <c r="J107" s="78">
        <v>5441</v>
      </c>
      <c r="K107" s="78">
        <v>8918</v>
      </c>
      <c r="L107" s="78">
        <v>2932</v>
      </c>
      <c r="M107" s="78">
        <v>4270</v>
      </c>
      <c r="N107" s="78">
        <f t="shared" si="6"/>
        <v>2710.6</v>
      </c>
      <c r="O107" s="78">
        <v>545</v>
      </c>
      <c r="P107" s="78">
        <v>38</v>
      </c>
      <c r="Q107" s="78">
        <v>2142</v>
      </c>
      <c r="R107" s="78">
        <v>5484</v>
      </c>
      <c r="S107" s="78">
        <v>860</v>
      </c>
      <c r="T107" s="78">
        <v>0</v>
      </c>
      <c r="U107" s="78">
        <v>952</v>
      </c>
      <c r="V107" s="78">
        <v>15637</v>
      </c>
      <c r="W107" s="78">
        <v>26030</v>
      </c>
      <c r="X107" s="78">
        <v>9460</v>
      </c>
      <c r="Y107" s="78">
        <v>1570.84</v>
      </c>
      <c r="Z107" s="78">
        <v>944.8</v>
      </c>
      <c r="AA107" s="78">
        <v>0</v>
      </c>
      <c r="AB107" s="399">
        <f>IF((J107-'[2]Basisgegevens aanvullend'!D107*1.1)&lt;=0,0,J107-'[2]Basisgegevens aanvullend'!D107*1.1)</f>
        <v>0</v>
      </c>
      <c r="AC107" s="399">
        <v>77.699999999999804</v>
      </c>
      <c r="AD107" s="78">
        <v>4595</v>
      </c>
      <c r="AE107" s="78">
        <v>4595</v>
      </c>
      <c r="AF107" s="78">
        <v>129</v>
      </c>
      <c r="AG107" s="78">
        <v>0</v>
      </c>
      <c r="AH107" s="78">
        <v>153</v>
      </c>
      <c r="AI107" s="78">
        <v>22</v>
      </c>
      <c r="AJ107" s="78">
        <v>153</v>
      </c>
      <c r="AK107" s="78">
        <v>22</v>
      </c>
      <c r="AL107" s="78">
        <v>176</v>
      </c>
      <c r="AM107" s="78">
        <v>15594</v>
      </c>
      <c r="AN107" s="78">
        <v>15594</v>
      </c>
      <c r="AO107" s="78">
        <v>0</v>
      </c>
      <c r="AP107" s="78">
        <v>0</v>
      </c>
      <c r="AQ107" s="78">
        <v>0</v>
      </c>
      <c r="AR107" s="78">
        <v>0</v>
      </c>
      <c r="AS107" s="78">
        <v>4064</v>
      </c>
      <c r="AT107" s="78">
        <v>0</v>
      </c>
      <c r="AU107" s="400">
        <v>7.1116899999999999E-4</v>
      </c>
      <c r="AV107" s="400">
        <v>8.4066399999999997E-4</v>
      </c>
      <c r="AW107" s="78">
        <v>14299.698</v>
      </c>
      <c r="AX107" s="78">
        <v>0</v>
      </c>
      <c r="AY107" s="78">
        <v>410</v>
      </c>
      <c r="AZ107" s="78">
        <v>2726.7082980525001</v>
      </c>
      <c r="BA107" s="78">
        <v>5</v>
      </c>
      <c r="BB107" s="78">
        <v>5</v>
      </c>
      <c r="BC107" s="78">
        <v>4126</v>
      </c>
      <c r="BD107" s="78">
        <v>1</v>
      </c>
      <c r="BE107" s="78">
        <v>0</v>
      </c>
      <c r="BF107" s="78">
        <v>0</v>
      </c>
      <c r="BG107" s="78">
        <v>0</v>
      </c>
      <c r="BH107" s="78">
        <v>0</v>
      </c>
      <c r="BI107" s="78">
        <v>0</v>
      </c>
      <c r="BJ107" s="78">
        <v>0</v>
      </c>
      <c r="BK107" s="78">
        <v>0</v>
      </c>
      <c r="BL107" s="78">
        <v>0</v>
      </c>
      <c r="BM107" s="78">
        <v>609.39200000000005</v>
      </c>
      <c r="BN107" s="78">
        <v>73</v>
      </c>
      <c r="BO107" s="78">
        <v>70</v>
      </c>
      <c r="BP107" s="78">
        <v>11284.35</v>
      </c>
      <c r="BQ107" s="78">
        <v>2354.8200000000002</v>
      </c>
      <c r="BR107" s="78">
        <v>263.99721707259403</v>
      </c>
      <c r="BS107" s="78">
        <v>331</v>
      </c>
      <c r="BT107" s="78">
        <v>152.666666666667</v>
      </c>
      <c r="BU107" s="78">
        <v>115</v>
      </c>
      <c r="BV107" s="78">
        <f t="shared" si="7"/>
        <v>1597</v>
      </c>
      <c r="BW107" s="78">
        <v>536</v>
      </c>
      <c r="BX107" s="78">
        <v>6003.3378287023797</v>
      </c>
      <c r="BY107" s="78">
        <v>1.4750000000000001</v>
      </c>
      <c r="BZ107" s="78">
        <v>22499</v>
      </c>
      <c r="CA107" s="78">
        <v>4675</v>
      </c>
      <c r="CB107" s="78">
        <v>1311</v>
      </c>
      <c r="CC107" s="78">
        <v>1072</v>
      </c>
      <c r="CD107" s="78">
        <v>1074</v>
      </c>
      <c r="CE107" s="78">
        <v>634</v>
      </c>
      <c r="CF107" s="78">
        <v>507.04246505066101</v>
      </c>
      <c r="CG107" s="78">
        <v>355.12093112735698</v>
      </c>
      <c r="CH107" s="78">
        <v>154.87652943439801</v>
      </c>
      <c r="CI107" s="78">
        <v>1002.2812</v>
      </c>
      <c r="CJ107" s="78">
        <v>701.97479999999996</v>
      </c>
      <c r="CK107" s="78">
        <v>306.14760000000001</v>
      </c>
      <c r="CL107" s="78">
        <v>119044</v>
      </c>
    </row>
    <row r="108" spans="1:90" x14ac:dyDescent="0.35">
      <c r="A108" s="72">
        <v>275</v>
      </c>
      <c r="B108" s="72" t="s">
        <v>254</v>
      </c>
      <c r="C108" s="72">
        <v>5</v>
      </c>
      <c r="D108" s="78">
        <v>4134400000</v>
      </c>
      <c r="E108" s="78">
        <v>407750000</v>
      </c>
      <c r="F108" s="78">
        <v>411250000</v>
      </c>
      <c r="G108" s="78">
        <v>43525</v>
      </c>
      <c r="H108" s="78">
        <v>4</v>
      </c>
      <c r="I108" s="78">
        <f t="shared" si="5"/>
        <v>411.25</v>
      </c>
      <c r="J108" s="78">
        <v>7462</v>
      </c>
      <c r="K108" s="78">
        <v>11464</v>
      </c>
      <c r="L108" s="78">
        <v>3961</v>
      </c>
      <c r="M108" s="78">
        <v>7250</v>
      </c>
      <c r="N108" s="78">
        <f t="shared" si="6"/>
        <v>5061.1000000000004</v>
      </c>
      <c r="O108" s="78">
        <v>932.66666666666697</v>
      </c>
      <c r="P108" s="78">
        <v>56</v>
      </c>
      <c r="Q108" s="78">
        <v>3833.6666666666702</v>
      </c>
      <c r="R108" s="78">
        <v>8656</v>
      </c>
      <c r="S108" s="78">
        <v>2035</v>
      </c>
      <c r="T108" s="78">
        <v>0</v>
      </c>
      <c r="U108" s="78">
        <v>1537</v>
      </c>
      <c r="V108" s="78">
        <v>21991</v>
      </c>
      <c r="W108" s="78">
        <v>38640</v>
      </c>
      <c r="X108" s="78">
        <v>15010</v>
      </c>
      <c r="Y108" s="78">
        <v>437.58</v>
      </c>
      <c r="Z108" s="78">
        <v>1469.6</v>
      </c>
      <c r="AA108" s="78">
        <v>0</v>
      </c>
      <c r="AB108" s="399">
        <f>IF((J108-'[2]Basisgegevens aanvullend'!D108*1.1)&lt;=0,0,J108-'[2]Basisgegevens aanvullend'!D108*1.1)</f>
        <v>0</v>
      </c>
      <c r="AC108" s="399">
        <v>444.4</v>
      </c>
      <c r="AD108" s="78">
        <v>8170</v>
      </c>
      <c r="AE108" s="78">
        <v>8170</v>
      </c>
      <c r="AF108" s="78">
        <v>264</v>
      </c>
      <c r="AG108" s="78">
        <v>0</v>
      </c>
      <c r="AH108" s="78">
        <v>224</v>
      </c>
      <c r="AI108" s="78">
        <v>22</v>
      </c>
      <c r="AJ108" s="78">
        <v>224</v>
      </c>
      <c r="AK108" s="78">
        <v>22</v>
      </c>
      <c r="AL108" s="78">
        <v>246</v>
      </c>
      <c r="AM108" s="78">
        <v>21889</v>
      </c>
      <c r="AN108" s="78">
        <v>21889</v>
      </c>
      <c r="AO108" s="78">
        <v>0</v>
      </c>
      <c r="AP108" s="78">
        <v>0</v>
      </c>
      <c r="AQ108" s="78">
        <v>0</v>
      </c>
      <c r="AR108" s="78">
        <v>0</v>
      </c>
      <c r="AS108" s="78">
        <v>5119</v>
      </c>
      <c r="AT108" s="78">
        <v>0</v>
      </c>
      <c r="AU108" s="400">
        <v>1.308678E-3</v>
      </c>
      <c r="AV108" s="400">
        <v>1.0443920000000001E-3</v>
      </c>
      <c r="AW108" s="78">
        <v>31914.162</v>
      </c>
      <c r="AX108" s="78">
        <v>0</v>
      </c>
      <c r="AY108" s="78">
        <v>1129</v>
      </c>
      <c r="AZ108" s="78">
        <v>5826.3842779226898</v>
      </c>
      <c r="BA108" s="78">
        <v>8</v>
      </c>
      <c r="BB108" s="78">
        <v>8</v>
      </c>
      <c r="BC108" s="78">
        <v>4634</v>
      </c>
      <c r="BD108" s="78">
        <v>1</v>
      </c>
      <c r="BE108" s="78">
        <v>0</v>
      </c>
      <c r="BF108" s="78">
        <v>0</v>
      </c>
      <c r="BG108" s="78">
        <v>0</v>
      </c>
      <c r="BH108" s="78">
        <v>0</v>
      </c>
      <c r="BI108" s="78">
        <v>0</v>
      </c>
      <c r="BJ108" s="78">
        <v>0</v>
      </c>
      <c r="BK108" s="78">
        <v>0</v>
      </c>
      <c r="BL108" s="78">
        <v>0</v>
      </c>
      <c r="BM108" s="78">
        <v>1089.452</v>
      </c>
      <c r="BN108" s="78">
        <v>125</v>
      </c>
      <c r="BO108" s="78">
        <v>91</v>
      </c>
      <c r="BP108" s="78">
        <v>13477.76</v>
      </c>
      <c r="BQ108" s="78">
        <v>2690.1</v>
      </c>
      <c r="BR108" s="78">
        <v>386.68340290620898</v>
      </c>
      <c r="BS108" s="78">
        <v>567</v>
      </c>
      <c r="BT108" s="78">
        <v>284.33333333333297</v>
      </c>
      <c r="BU108" s="78">
        <v>252.666666666667</v>
      </c>
      <c r="BV108" s="78">
        <f t="shared" si="7"/>
        <v>2901.0000000000032</v>
      </c>
      <c r="BW108" s="78">
        <v>1073</v>
      </c>
      <c r="BX108" s="78">
        <v>8166.4003793332004</v>
      </c>
      <c r="BY108" s="78">
        <v>2.4900000000000002</v>
      </c>
      <c r="BZ108" s="78">
        <v>32061</v>
      </c>
      <c r="CA108" s="78">
        <v>5764</v>
      </c>
      <c r="CB108" s="78">
        <v>1739</v>
      </c>
      <c r="CC108" s="78">
        <v>1425</v>
      </c>
      <c r="CD108" s="78">
        <v>1479</v>
      </c>
      <c r="CE108" s="78">
        <v>861</v>
      </c>
      <c r="CF108" s="78">
        <v>836.31041619078098</v>
      </c>
      <c r="CG108" s="78">
        <v>643.93821097354805</v>
      </c>
      <c r="CH108" s="78">
        <v>276.303828406962</v>
      </c>
      <c r="CI108" s="78">
        <v>1653.3307</v>
      </c>
      <c r="CJ108" s="78">
        <v>1273.0235</v>
      </c>
      <c r="CK108" s="78">
        <v>546.23450000000003</v>
      </c>
      <c r="CL108" s="78">
        <v>38159</v>
      </c>
    </row>
    <row r="109" spans="1:90" x14ac:dyDescent="0.35">
      <c r="A109" s="72">
        <v>277</v>
      </c>
      <c r="B109" s="72" t="s">
        <v>263</v>
      </c>
      <c r="C109" s="72">
        <v>5</v>
      </c>
      <c r="D109" s="78">
        <v>312400000</v>
      </c>
      <c r="E109" s="78">
        <v>18550000</v>
      </c>
      <c r="F109" s="78">
        <v>18550000</v>
      </c>
      <c r="G109" s="78">
        <v>1726</v>
      </c>
      <c r="H109" s="78">
        <v>1</v>
      </c>
      <c r="I109" s="78">
        <f t="shared" si="5"/>
        <v>18.55</v>
      </c>
      <c r="J109" s="78">
        <v>401</v>
      </c>
      <c r="K109" s="78">
        <v>412</v>
      </c>
      <c r="L109" s="78">
        <v>137</v>
      </c>
      <c r="M109" s="78">
        <v>109</v>
      </c>
      <c r="N109" s="78">
        <f t="shared" si="6"/>
        <v>39</v>
      </c>
      <c r="O109" s="78">
        <v>5</v>
      </c>
      <c r="P109" s="78">
        <v>0</v>
      </c>
      <c r="Q109" s="78">
        <v>7</v>
      </c>
      <c r="R109" s="78">
        <v>141</v>
      </c>
      <c r="S109" s="78">
        <v>35</v>
      </c>
      <c r="T109" s="78">
        <v>0</v>
      </c>
      <c r="U109" s="78">
        <v>27</v>
      </c>
      <c r="V109" s="78">
        <v>693</v>
      </c>
      <c r="W109" s="78">
        <v>960</v>
      </c>
      <c r="X109" s="78">
        <v>40</v>
      </c>
      <c r="Y109" s="78">
        <v>0</v>
      </c>
      <c r="Z109" s="78">
        <v>497.6</v>
      </c>
      <c r="AA109" s="78">
        <v>0</v>
      </c>
      <c r="AB109" s="399">
        <f>IF((J109-'[2]Basisgegevens aanvullend'!D109*1.1)&lt;=0,0,J109-'[2]Basisgegevens aanvullend'!D109*1.1)</f>
        <v>34.699999999999989</v>
      </c>
      <c r="AC109" s="399">
        <v>0</v>
      </c>
      <c r="AD109" s="78">
        <v>2791</v>
      </c>
      <c r="AE109" s="78">
        <v>2791</v>
      </c>
      <c r="AF109" s="78">
        <v>1</v>
      </c>
      <c r="AG109" s="78">
        <v>0</v>
      </c>
      <c r="AH109" s="78">
        <v>10</v>
      </c>
      <c r="AI109" s="78">
        <v>1</v>
      </c>
      <c r="AJ109" s="78">
        <v>10</v>
      </c>
      <c r="AK109" s="78">
        <v>1</v>
      </c>
      <c r="AL109" s="78">
        <v>11</v>
      </c>
      <c r="AM109" s="78">
        <v>700</v>
      </c>
      <c r="AN109" s="78">
        <v>700</v>
      </c>
      <c r="AO109" s="78">
        <v>0</v>
      </c>
      <c r="AP109" s="78">
        <v>0</v>
      </c>
      <c r="AQ109" s="78">
        <v>0</v>
      </c>
      <c r="AR109" s="78">
        <v>0</v>
      </c>
      <c r="AS109" s="78">
        <v>0</v>
      </c>
      <c r="AT109" s="78">
        <v>0</v>
      </c>
      <c r="AU109" s="400">
        <v>7.5129999999999999E-6</v>
      </c>
      <c r="AV109" s="400">
        <v>4.2409999999999997E-6</v>
      </c>
      <c r="AW109" s="78">
        <v>663.6</v>
      </c>
      <c r="AX109" s="78">
        <v>0</v>
      </c>
      <c r="AY109" s="78">
        <v>32</v>
      </c>
      <c r="AZ109" s="78">
        <v>19.782234957020101</v>
      </c>
      <c r="BA109" s="78">
        <v>1</v>
      </c>
      <c r="BB109" s="78">
        <v>1</v>
      </c>
      <c r="BC109" s="78">
        <v>257</v>
      </c>
      <c r="BD109" s="78">
        <v>1</v>
      </c>
      <c r="BE109" s="78">
        <v>0</v>
      </c>
      <c r="BF109" s="78">
        <v>0</v>
      </c>
      <c r="BG109" s="78">
        <v>0</v>
      </c>
      <c r="BH109" s="78">
        <v>0</v>
      </c>
      <c r="BI109" s="78">
        <v>0</v>
      </c>
      <c r="BJ109" s="78">
        <v>0</v>
      </c>
      <c r="BK109" s="78">
        <v>0</v>
      </c>
      <c r="BL109" s="78">
        <v>0</v>
      </c>
      <c r="BM109" s="78">
        <v>8.4209999999999994</v>
      </c>
      <c r="BN109" s="78">
        <v>0</v>
      </c>
      <c r="BO109" s="78">
        <v>1</v>
      </c>
      <c r="BP109" s="78">
        <v>672.21</v>
      </c>
      <c r="BQ109" s="78">
        <v>208.55</v>
      </c>
      <c r="BR109" s="78">
        <v>9.4674758364312304</v>
      </c>
      <c r="BS109" s="78">
        <v>10</v>
      </c>
      <c r="BT109" s="78">
        <v>2</v>
      </c>
      <c r="BU109" s="78">
        <v>0.33333333333333298</v>
      </c>
      <c r="BV109" s="78">
        <f t="shared" si="7"/>
        <v>2</v>
      </c>
      <c r="BW109" s="78">
        <v>5</v>
      </c>
      <c r="BX109" s="78">
        <v>139.295492957747</v>
      </c>
      <c r="BY109" s="78">
        <v>8.0000000000000002E-3</v>
      </c>
      <c r="BZ109" s="78">
        <v>1314</v>
      </c>
      <c r="CA109" s="78">
        <v>214</v>
      </c>
      <c r="CB109" s="78">
        <v>61</v>
      </c>
      <c r="CC109" s="78">
        <v>20</v>
      </c>
      <c r="CD109" s="78">
        <v>33</v>
      </c>
      <c r="CE109" s="78">
        <v>33</v>
      </c>
      <c r="CF109" s="78">
        <v>6.6857142857142904</v>
      </c>
      <c r="CG109" s="78">
        <v>5.1814285714285697</v>
      </c>
      <c r="CH109" s="78">
        <v>2.8414285714285699</v>
      </c>
      <c r="CI109" s="78">
        <v>7.2119999999999997</v>
      </c>
      <c r="CJ109" s="78">
        <v>5.5892999999999997</v>
      </c>
      <c r="CK109" s="78">
        <v>3.0651000000000002</v>
      </c>
      <c r="CL109" s="78">
        <v>0</v>
      </c>
    </row>
    <row r="110" spans="1:90" x14ac:dyDescent="0.35">
      <c r="A110" s="72">
        <v>279</v>
      </c>
      <c r="B110" s="72" t="s">
        <v>266</v>
      </c>
      <c r="C110" s="72">
        <v>5</v>
      </c>
      <c r="D110" s="78">
        <v>1006800000</v>
      </c>
      <c r="E110" s="78">
        <v>119350000</v>
      </c>
      <c r="F110" s="78">
        <v>126350000</v>
      </c>
      <c r="G110" s="78">
        <v>10128</v>
      </c>
      <c r="H110" s="78">
        <v>1</v>
      </c>
      <c r="I110" s="78">
        <f t="shared" si="5"/>
        <v>126.35</v>
      </c>
      <c r="J110" s="78">
        <v>2299</v>
      </c>
      <c r="K110" s="78">
        <v>1975</v>
      </c>
      <c r="L110" s="78">
        <v>668</v>
      </c>
      <c r="M110" s="78">
        <v>1101</v>
      </c>
      <c r="N110" s="78">
        <f t="shared" si="6"/>
        <v>676</v>
      </c>
      <c r="O110" s="78">
        <v>60</v>
      </c>
      <c r="P110" s="78">
        <v>12</v>
      </c>
      <c r="Q110" s="78">
        <v>387</v>
      </c>
      <c r="R110" s="78">
        <v>1202</v>
      </c>
      <c r="S110" s="78">
        <v>180</v>
      </c>
      <c r="T110" s="78">
        <v>0</v>
      </c>
      <c r="U110" s="78">
        <v>206</v>
      </c>
      <c r="V110" s="78">
        <v>4200</v>
      </c>
      <c r="W110" s="78">
        <v>8320</v>
      </c>
      <c r="X110" s="78">
        <v>1470</v>
      </c>
      <c r="Y110" s="78">
        <v>0</v>
      </c>
      <c r="Z110" s="78">
        <v>0</v>
      </c>
      <c r="AA110" s="78">
        <v>0</v>
      </c>
      <c r="AB110" s="399">
        <f>IF((J110-'[2]Basisgegevens aanvullend'!D110*1.1)&lt;=0,0,J110-'[2]Basisgegevens aanvullend'!D110*1.1)</f>
        <v>0</v>
      </c>
      <c r="AC110" s="399">
        <v>0</v>
      </c>
      <c r="AD110" s="78">
        <v>1379</v>
      </c>
      <c r="AE110" s="78">
        <v>1379</v>
      </c>
      <c r="AF110" s="78">
        <v>3</v>
      </c>
      <c r="AG110" s="78">
        <v>0</v>
      </c>
      <c r="AH110" s="78">
        <v>51</v>
      </c>
      <c r="AI110" s="78">
        <v>25</v>
      </c>
      <c r="AJ110" s="78">
        <v>51</v>
      </c>
      <c r="AK110" s="78">
        <v>25</v>
      </c>
      <c r="AL110" s="78">
        <v>76</v>
      </c>
      <c r="AM110" s="78">
        <v>4250</v>
      </c>
      <c r="AN110" s="78">
        <v>4250</v>
      </c>
      <c r="AO110" s="78">
        <v>0</v>
      </c>
      <c r="AP110" s="78">
        <v>0</v>
      </c>
      <c r="AQ110" s="78">
        <v>0</v>
      </c>
      <c r="AR110" s="78">
        <v>0</v>
      </c>
      <c r="AS110" s="78">
        <v>0</v>
      </c>
      <c r="AT110" s="78">
        <v>0</v>
      </c>
      <c r="AU110" s="400">
        <v>7.8214999999999996E-5</v>
      </c>
      <c r="AV110" s="400">
        <v>3.5215000000000001E-5</v>
      </c>
      <c r="AW110" s="78">
        <v>3969.5</v>
      </c>
      <c r="AX110" s="78">
        <v>0</v>
      </c>
      <c r="AY110" s="78">
        <v>178</v>
      </c>
      <c r="AZ110" s="78">
        <v>1304.47467438495</v>
      </c>
      <c r="BA110" s="78">
        <v>2</v>
      </c>
      <c r="BB110" s="78">
        <v>2</v>
      </c>
      <c r="BC110" s="78">
        <v>1194</v>
      </c>
      <c r="BD110" s="78">
        <v>1</v>
      </c>
      <c r="BE110" s="78">
        <v>0</v>
      </c>
      <c r="BF110" s="78">
        <v>0</v>
      </c>
      <c r="BG110" s="78">
        <v>0</v>
      </c>
      <c r="BH110" s="78">
        <v>0</v>
      </c>
      <c r="BI110" s="78">
        <v>0</v>
      </c>
      <c r="BJ110" s="78">
        <v>0</v>
      </c>
      <c r="BK110" s="78">
        <v>0</v>
      </c>
      <c r="BL110" s="78">
        <v>0</v>
      </c>
      <c r="BM110" s="78">
        <v>133.34200000000001</v>
      </c>
      <c r="BN110" s="78">
        <v>59</v>
      </c>
      <c r="BO110" s="78">
        <v>18</v>
      </c>
      <c r="BP110" s="78">
        <v>2781.88</v>
      </c>
      <c r="BQ110" s="78">
        <v>614.52</v>
      </c>
      <c r="BR110" s="78">
        <v>126.045692158134</v>
      </c>
      <c r="BS110" s="78">
        <v>91</v>
      </c>
      <c r="BT110" s="78">
        <v>27</v>
      </c>
      <c r="BU110" s="78">
        <v>21.6666666666667</v>
      </c>
      <c r="BV110" s="78">
        <f t="shared" si="7"/>
        <v>327</v>
      </c>
      <c r="BW110" s="78">
        <v>104</v>
      </c>
      <c r="BX110" s="78">
        <v>1393.5225910931199</v>
      </c>
      <c r="BY110" s="78">
        <v>4.9000000000000002E-2</v>
      </c>
      <c r="BZ110" s="78">
        <v>8153</v>
      </c>
      <c r="CA110" s="78">
        <v>1087</v>
      </c>
      <c r="CB110" s="78">
        <v>220</v>
      </c>
      <c r="CC110" s="78">
        <v>198</v>
      </c>
      <c r="CD110" s="78">
        <v>226</v>
      </c>
      <c r="CE110" s="78">
        <v>120</v>
      </c>
      <c r="CF110" s="78">
        <v>104.18352941176499</v>
      </c>
      <c r="CG110" s="78">
        <v>74.280470588235303</v>
      </c>
      <c r="CH110" s="78">
        <v>26.403764705882399</v>
      </c>
      <c r="CI110" s="78">
        <v>289.11700000000002</v>
      </c>
      <c r="CJ110" s="78">
        <v>206.13380000000001</v>
      </c>
      <c r="CK110" s="78">
        <v>73.272400000000005</v>
      </c>
      <c r="CL110" s="78">
        <v>0</v>
      </c>
    </row>
    <row r="111" spans="1:90" x14ac:dyDescent="0.35">
      <c r="A111" s="72">
        <v>281</v>
      </c>
      <c r="B111" s="72" t="s">
        <v>295</v>
      </c>
      <c r="C111" s="72">
        <v>5</v>
      </c>
      <c r="D111" s="78">
        <v>3395200000</v>
      </c>
      <c r="E111" s="78">
        <v>733250000</v>
      </c>
      <c r="F111" s="78">
        <v>754250000</v>
      </c>
      <c r="G111" s="78">
        <v>41920</v>
      </c>
      <c r="H111" s="78">
        <v>2</v>
      </c>
      <c r="I111" s="78">
        <f t="shared" si="5"/>
        <v>754.25</v>
      </c>
      <c r="J111" s="78">
        <v>7971</v>
      </c>
      <c r="K111" s="78">
        <v>7776</v>
      </c>
      <c r="L111" s="78">
        <v>2372</v>
      </c>
      <c r="M111" s="78">
        <v>5948</v>
      </c>
      <c r="N111" s="78">
        <f t="shared" si="6"/>
        <v>4103.8999999999996</v>
      </c>
      <c r="O111" s="78">
        <v>1031.3333333333301</v>
      </c>
      <c r="P111" s="78">
        <v>112</v>
      </c>
      <c r="Q111" s="78">
        <v>3484.3333333333298</v>
      </c>
      <c r="R111" s="78">
        <v>6827</v>
      </c>
      <c r="S111" s="78">
        <v>5200</v>
      </c>
      <c r="T111" s="78">
        <v>0</v>
      </c>
      <c r="U111" s="78">
        <v>1491</v>
      </c>
      <c r="V111" s="78">
        <v>19334</v>
      </c>
      <c r="W111" s="78">
        <v>49190</v>
      </c>
      <c r="X111" s="78">
        <v>41460</v>
      </c>
      <c r="Y111" s="78">
        <v>2241.48</v>
      </c>
      <c r="Z111" s="78">
        <v>1684</v>
      </c>
      <c r="AA111" s="78">
        <v>0</v>
      </c>
      <c r="AB111" s="399">
        <f>IF((J111-'[2]Basisgegevens aanvullend'!D111*1.1)&lt;=0,0,J111-'[2]Basisgegevens aanvullend'!D111*1.1)</f>
        <v>0</v>
      </c>
      <c r="AC111" s="399">
        <v>0</v>
      </c>
      <c r="AD111" s="78">
        <v>3283</v>
      </c>
      <c r="AE111" s="78">
        <v>3676.96</v>
      </c>
      <c r="AF111" s="78">
        <v>268</v>
      </c>
      <c r="AG111" s="78">
        <v>0</v>
      </c>
      <c r="AH111" s="78">
        <v>225</v>
      </c>
      <c r="AI111" s="78">
        <v>77</v>
      </c>
      <c r="AJ111" s="78">
        <v>256.5</v>
      </c>
      <c r="AK111" s="78">
        <v>84.7</v>
      </c>
      <c r="AL111" s="78">
        <v>302</v>
      </c>
      <c r="AM111" s="78">
        <v>18441</v>
      </c>
      <c r="AN111" s="78">
        <v>21022.74</v>
      </c>
      <c r="AO111" s="78">
        <v>14</v>
      </c>
      <c r="AP111" s="78">
        <v>0</v>
      </c>
      <c r="AQ111" s="78">
        <v>0</v>
      </c>
      <c r="AR111" s="78">
        <v>1500</v>
      </c>
      <c r="AS111" s="78">
        <v>2802</v>
      </c>
      <c r="AT111" s="78">
        <v>2802</v>
      </c>
      <c r="AU111" s="400">
        <v>8.1596399999999997E-4</v>
      </c>
      <c r="AV111" s="400">
        <v>7.2984199999999997E-4</v>
      </c>
      <c r="AW111" s="78">
        <v>26462.834999999999</v>
      </c>
      <c r="AX111" s="78">
        <v>0</v>
      </c>
      <c r="AY111" s="78">
        <v>1326.08</v>
      </c>
      <c r="AZ111" s="78">
        <v>21049.0106448888</v>
      </c>
      <c r="BA111" s="78">
        <v>3</v>
      </c>
      <c r="BB111" s="78">
        <v>3.3</v>
      </c>
      <c r="BC111" s="78">
        <v>4369</v>
      </c>
      <c r="BD111" s="78">
        <v>1</v>
      </c>
      <c r="BE111" s="78">
        <v>0</v>
      </c>
      <c r="BF111" s="78">
        <v>0</v>
      </c>
      <c r="BG111" s="78">
        <v>0</v>
      </c>
      <c r="BH111" s="78">
        <v>0</v>
      </c>
      <c r="BI111" s="78">
        <v>0</v>
      </c>
      <c r="BJ111" s="78">
        <v>0</v>
      </c>
      <c r="BK111" s="78">
        <v>0</v>
      </c>
      <c r="BL111" s="78">
        <v>0</v>
      </c>
      <c r="BM111" s="78">
        <v>1267.3889999999999</v>
      </c>
      <c r="BN111" s="78">
        <v>212</v>
      </c>
      <c r="BO111" s="78">
        <v>272</v>
      </c>
      <c r="BP111" s="78">
        <v>11569.2</v>
      </c>
      <c r="BQ111" s="78">
        <v>2615.8000000000002</v>
      </c>
      <c r="BR111" s="78">
        <v>355.70961570806401</v>
      </c>
      <c r="BS111" s="78">
        <v>568</v>
      </c>
      <c r="BT111" s="78">
        <v>297</v>
      </c>
      <c r="BU111" s="78">
        <v>249.333333333333</v>
      </c>
      <c r="BV111" s="78">
        <f t="shared" si="7"/>
        <v>2453</v>
      </c>
      <c r="BW111" s="78">
        <v>755</v>
      </c>
      <c r="BX111" s="78">
        <v>7539.9323133850403</v>
      </c>
      <c r="BY111" s="78">
        <v>2.9329999999999998</v>
      </c>
      <c r="BZ111" s="78">
        <v>34144</v>
      </c>
      <c r="CA111" s="78">
        <v>4633</v>
      </c>
      <c r="CB111" s="78">
        <v>771</v>
      </c>
      <c r="CC111" s="78">
        <v>1074</v>
      </c>
      <c r="CD111" s="78">
        <v>797</v>
      </c>
      <c r="CE111" s="78">
        <v>342</v>
      </c>
      <c r="CF111" s="78">
        <v>646.484979122607</v>
      </c>
      <c r="CG111" s="78">
        <v>371.42286752345302</v>
      </c>
      <c r="CH111" s="78">
        <v>108.82311696762601</v>
      </c>
      <c r="CI111" s="78">
        <v>1436.232</v>
      </c>
      <c r="CJ111" s="78">
        <v>825.15359999999998</v>
      </c>
      <c r="CK111" s="78">
        <v>241.76159999999999</v>
      </c>
      <c r="CL111" s="78">
        <v>81988</v>
      </c>
    </row>
    <row r="112" spans="1:90" x14ac:dyDescent="0.35">
      <c r="A112" s="72">
        <v>285</v>
      </c>
      <c r="B112" s="72" t="s">
        <v>323</v>
      </c>
      <c r="C112" s="72">
        <v>5</v>
      </c>
      <c r="D112" s="78">
        <v>2730400000</v>
      </c>
      <c r="E112" s="78">
        <v>407400000</v>
      </c>
      <c r="F112" s="78">
        <v>472150000</v>
      </c>
      <c r="G112" s="78">
        <v>24790</v>
      </c>
      <c r="H112" s="78">
        <v>3</v>
      </c>
      <c r="I112" s="78">
        <f t="shared" si="5"/>
        <v>472.15</v>
      </c>
      <c r="J112" s="78">
        <v>4818</v>
      </c>
      <c r="K112" s="78">
        <v>6039</v>
      </c>
      <c r="L112" s="78">
        <v>1860</v>
      </c>
      <c r="M112" s="78">
        <v>2835</v>
      </c>
      <c r="N112" s="78">
        <f t="shared" si="6"/>
        <v>1715.7</v>
      </c>
      <c r="O112" s="78">
        <v>246.666666666667</v>
      </c>
      <c r="P112" s="78">
        <v>24</v>
      </c>
      <c r="Q112" s="78">
        <v>1496.6666666666699</v>
      </c>
      <c r="R112" s="78">
        <v>2834</v>
      </c>
      <c r="S112" s="78">
        <v>470</v>
      </c>
      <c r="T112" s="78">
        <v>0</v>
      </c>
      <c r="U112" s="78">
        <v>512</v>
      </c>
      <c r="V112" s="78">
        <v>10975</v>
      </c>
      <c r="W112" s="78">
        <v>17870</v>
      </c>
      <c r="X112" s="78">
        <v>5990</v>
      </c>
      <c r="Y112" s="78">
        <v>1359.78</v>
      </c>
      <c r="Z112" s="78">
        <v>405.6</v>
      </c>
      <c r="AA112" s="78">
        <v>0</v>
      </c>
      <c r="AB112" s="399">
        <f>IF((J112-'[2]Basisgegevens aanvullend'!D112*1.1)&lt;=0,0,J112-'[2]Basisgegevens aanvullend'!D112*1.1)</f>
        <v>0</v>
      </c>
      <c r="AC112" s="399">
        <v>230.9</v>
      </c>
      <c r="AD112" s="78">
        <v>12293</v>
      </c>
      <c r="AE112" s="78">
        <v>12293</v>
      </c>
      <c r="AF112" s="78">
        <v>354</v>
      </c>
      <c r="AG112" s="78">
        <v>0</v>
      </c>
      <c r="AH112" s="78">
        <v>137</v>
      </c>
      <c r="AI112" s="78">
        <v>127</v>
      </c>
      <c r="AJ112" s="78">
        <v>137</v>
      </c>
      <c r="AK112" s="78">
        <v>127</v>
      </c>
      <c r="AL112" s="78">
        <v>263</v>
      </c>
      <c r="AM112" s="78">
        <v>11193</v>
      </c>
      <c r="AN112" s="78">
        <v>11193</v>
      </c>
      <c r="AO112" s="78">
        <v>0</v>
      </c>
      <c r="AP112" s="78">
        <v>0</v>
      </c>
      <c r="AQ112" s="78">
        <v>0</v>
      </c>
      <c r="AR112" s="78">
        <v>0</v>
      </c>
      <c r="AS112" s="78">
        <v>674</v>
      </c>
      <c r="AT112" s="78">
        <v>0</v>
      </c>
      <c r="AU112" s="400">
        <v>4.4639099999999998E-4</v>
      </c>
      <c r="AV112" s="400">
        <v>1.3076200000000001E-4</v>
      </c>
      <c r="AW112" s="78">
        <v>6514.326</v>
      </c>
      <c r="AX112" s="78">
        <v>0</v>
      </c>
      <c r="AY112" s="78">
        <v>2377</v>
      </c>
      <c r="AZ112" s="78">
        <v>4659.27334545742</v>
      </c>
      <c r="BA112" s="78">
        <v>17</v>
      </c>
      <c r="BB112" s="78">
        <v>17</v>
      </c>
      <c r="BC112" s="78">
        <v>3051</v>
      </c>
      <c r="BD112" s="78">
        <v>1</v>
      </c>
      <c r="BE112" s="78">
        <v>0</v>
      </c>
      <c r="BF112" s="78">
        <v>0</v>
      </c>
      <c r="BG112" s="78">
        <v>0</v>
      </c>
      <c r="BH112" s="78">
        <v>0</v>
      </c>
      <c r="BI112" s="78">
        <v>0</v>
      </c>
      <c r="BJ112" s="78">
        <v>0</v>
      </c>
      <c r="BK112" s="78">
        <v>0</v>
      </c>
      <c r="BL112" s="78">
        <v>0</v>
      </c>
      <c r="BM112" s="78">
        <v>308.35199999999998</v>
      </c>
      <c r="BN112" s="78">
        <v>70</v>
      </c>
      <c r="BO112" s="78">
        <v>25</v>
      </c>
      <c r="BP112" s="78">
        <v>7075.26</v>
      </c>
      <c r="BQ112" s="78">
        <v>1759.38</v>
      </c>
      <c r="BR112" s="78">
        <v>95.145751046609007</v>
      </c>
      <c r="BS112" s="78">
        <v>195</v>
      </c>
      <c r="BT112" s="78">
        <v>71</v>
      </c>
      <c r="BU112" s="78">
        <v>57</v>
      </c>
      <c r="BV112" s="78">
        <f t="shared" si="7"/>
        <v>1250.000000000003</v>
      </c>
      <c r="BW112" s="78">
        <v>525</v>
      </c>
      <c r="BX112" s="78">
        <v>4120.3177093515797</v>
      </c>
      <c r="BY112" s="78">
        <v>0.35499999999999998</v>
      </c>
      <c r="BZ112" s="78">
        <v>18751</v>
      </c>
      <c r="CA112" s="78">
        <v>3506</v>
      </c>
      <c r="CB112" s="78">
        <v>673</v>
      </c>
      <c r="CC112" s="78">
        <v>573</v>
      </c>
      <c r="CD112" s="78">
        <v>553</v>
      </c>
      <c r="CE112" s="78">
        <v>342</v>
      </c>
      <c r="CF112" s="78">
        <v>320.51538461538502</v>
      </c>
      <c r="CG112" s="78">
        <v>191.91069418386499</v>
      </c>
      <c r="CH112" s="78">
        <v>74.802251407129503</v>
      </c>
      <c r="CI112" s="78">
        <v>867.76499999999999</v>
      </c>
      <c r="CJ112" s="78">
        <v>519.58000000000004</v>
      </c>
      <c r="CK112" s="78">
        <v>202.52</v>
      </c>
      <c r="CL112" s="78">
        <v>170409</v>
      </c>
    </row>
    <row r="113" spans="1:90" x14ac:dyDescent="0.35">
      <c r="A113" s="72">
        <v>289</v>
      </c>
      <c r="B113" s="72" t="s">
        <v>329</v>
      </c>
      <c r="C113" s="72">
        <v>5</v>
      </c>
      <c r="D113" s="78">
        <v>3672800000</v>
      </c>
      <c r="E113" s="78">
        <v>685650000</v>
      </c>
      <c r="F113" s="78">
        <v>693000000</v>
      </c>
      <c r="G113" s="78">
        <v>39635</v>
      </c>
      <c r="H113" s="78">
        <v>1</v>
      </c>
      <c r="I113" s="78">
        <f t="shared" si="5"/>
        <v>693</v>
      </c>
      <c r="J113" s="78">
        <v>5887</v>
      </c>
      <c r="K113" s="78">
        <v>6554</v>
      </c>
      <c r="L113" s="78">
        <v>2083</v>
      </c>
      <c r="M113" s="78">
        <v>5033</v>
      </c>
      <c r="N113" s="78">
        <f t="shared" si="6"/>
        <v>3024.3</v>
      </c>
      <c r="O113" s="78">
        <v>664.66666666666697</v>
      </c>
      <c r="P113" s="78">
        <v>33</v>
      </c>
      <c r="Q113" s="78">
        <v>2212.6666666666702</v>
      </c>
      <c r="R113" s="78">
        <v>13482</v>
      </c>
      <c r="S113" s="78">
        <v>1445</v>
      </c>
      <c r="T113" s="78">
        <v>0</v>
      </c>
      <c r="U113" s="78">
        <v>963</v>
      </c>
      <c r="V113" s="78">
        <v>23581</v>
      </c>
      <c r="W113" s="78">
        <v>42280</v>
      </c>
      <c r="X113" s="78">
        <v>36360</v>
      </c>
      <c r="Y113" s="78">
        <v>425.7</v>
      </c>
      <c r="Z113" s="78">
        <v>1422.4</v>
      </c>
      <c r="AA113" s="78">
        <v>0</v>
      </c>
      <c r="AB113" s="399">
        <f>IF((J113-'[2]Basisgegevens aanvullend'!D113*1.1)&lt;=0,0,J113-'[2]Basisgegevens aanvullend'!D113*1.1)</f>
        <v>0</v>
      </c>
      <c r="AC113" s="399">
        <v>0</v>
      </c>
      <c r="AD113" s="78">
        <v>3039</v>
      </c>
      <c r="AE113" s="78">
        <v>3039</v>
      </c>
      <c r="AF113" s="78">
        <v>197</v>
      </c>
      <c r="AG113" s="78">
        <v>0</v>
      </c>
      <c r="AH113" s="78">
        <v>140</v>
      </c>
      <c r="AI113" s="78">
        <v>19</v>
      </c>
      <c r="AJ113" s="78">
        <v>140</v>
      </c>
      <c r="AK113" s="78">
        <v>19</v>
      </c>
      <c r="AL113" s="78">
        <v>160</v>
      </c>
      <c r="AM113" s="78">
        <v>20087</v>
      </c>
      <c r="AN113" s="78">
        <v>20087</v>
      </c>
      <c r="AO113" s="78">
        <v>9</v>
      </c>
      <c r="AP113" s="78">
        <v>0</v>
      </c>
      <c r="AQ113" s="78">
        <v>0</v>
      </c>
      <c r="AR113" s="78">
        <v>1800</v>
      </c>
      <c r="AS113" s="78">
        <v>2670</v>
      </c>
      <c r="AT113" s="78">
        <v>2670</v>
      </c>
      <c r="AU113" s="400">
        <v>5.4911200000000004E-4</v>
      </c>
      <c r="AV113" s="400">
        <v>1.3787420000000001E-3</v>
      </c>
      <c r="AW113" s="78">
        <v>41740.786</v>
      </c>
      <c r="AX113" s="78">
        <v>0</v>
      </c>
      <c r="AY113" s="78">
        <v>831</v>
      </c>
      <c r="AZ113" s="78">
        <v>10178.2092088999</v>
      </c>
      <c r="BA113" s="78">
        <v>3</v>
      </c>
      <c r="BB113" s="78">
        <v>3</v>
      </c>
      <c r="BC113" s="78">
        <v>3906</v>
      </c>
      <c r="BD113" s="78">
        <v>1</v>
      </c>
      <c r="BE113" s="78">
        <v>0</v>
      </c>
      <c r="BF113" s="78">
        <v>0</v>
      </c>
      <c r="BG113" s="78">
        <v>0</v>
      </c>
      <c r="BH113" s="78">
        <v>0</v>
      </c>
      <c r="BI113" s="78">
        <v>0</v>
      </c>
      <c r="BJ113" s="78">
        <v>0</v>
      </c>
      <c r="BK113" s="78">
        <v>0</v>
      </c>
      <c r="BL113" s="78">
        <v>0</v>
      </c>
      <c r="BM113" s="78">
        <v>659.34400000000005</v>
      </c>
      <c r="BN113" s="78">
        <v>64</v>
      </c>
      <c r="BO113" s="78">
        <v>81</v>
      </c>
      <c r="BP113" s="78">
        <v>10583.46</v>
      </c>
      <c r="BQ113" s="78">
        <v>2257.6799999999998</v>
      </c>
      <c r="BR113" s="78">
        <v>265.340306812986</v>
      </c>
      <c r="BS113" s="78">
        <v>347</v>
      </c>
      <c r="BT113" s="78">
        <v>170</v>
      </c>
      <c r="BU113" s="78">
        <v>149.333333333333</v>
      </c>
      <c r="BV113" s="78">
        <f t="shared" si="7"/>
        <v>1548.0000000000032</v>
      </c>
      <c r="BW113" s="78">
        <v>546</v>
      </c>
      <c r="BX113" s="78">
        <v>3609.67888261396</v>
      </c>
      <c r="BY113" s="78">
        <v>0.96199999999999997</v>
      </c>
      <c r="BZ113" s="78">
        <v>33081</v>
      </c>
      <c r="CA113" s="78">
        <v>3614</v>
      </c>
      <c r="CB113" s="78">
        <v>857</v>
      </c>
      <c r="CC113" s="78">
        <v>940</v>
      </c>
      <c r="CD113" s="78">
        <v>733</v>
      </c>
      <c r="CE113" s="78">
        <v>379</v>
      </c>
      <c r="CF113" s="78">
        <v>347.64318713595901</v>
      </c>
      <c r="CG113" s="78">
        <v>208.37512819236301</v>
      </c>
      <c r="CH113" s="78">
        <v>77.387872753522203</v>
      </c>
      <c r="CI113" s="78">
        <v>1046.2079000000001</v>
      </c>
      <c r="CJ113" s="78">
        <v>627.09040000000005</v>
      </c>
      <c r="CK113" s="78">
        <v>232.89340000000001</v>
      </c>
      <c r="CL113" s="78">
        <v>21593</v>
      </c>
    </row>
    <row r="114" spans="1:90" x14ac:dyDescent="0.35">
      <c r="A114" s="72">
        <v>1960</v>
      </c>
      <c r="B114" s="72" t="s">
        <v>334</v>
      </c>
      <c r="C114" s="72">
        <v>5</v>
      </c>
      <c r="D114" s="78">
        <v>4996000000</v>
      </c>
      <c r="E114" s="78">
        <v>819700000</v>
      </c>
      <c r="F114" s="78">
        <v>891800000</v>
      </c>
      <c r="G114" s="78">
        <v>51496</v>
      </c>
      <c r="H114" s="78">
        <v>10</v>
      </c>
      <c r="I114" s="78">
        <f t="shared" si="5"/>
        <v>891.8</v>
      </c>
      <c r="J114" s="78">
        <v>10750</v>
      </c>
      <c r="K114" s="78">
        <v>10132</v>
      </c>
      <c r="L114" s="78">
        <v>3161</v>
      </c>
      <c r="M114" s="78">
        <v>5031</v>
      </c>
      <c r="N114" s="78">
        <f t="shared" si="6"/>
        <v>2923.5</v>
      </c>
      <c r="O114" s="78">
        <v>428.33333333333297</v>
      </c>
      <c r="P114" s="78">
        <v>60</v>
      </c>
      <c r="Q114" s="78">
        <v>2248.3333333333298</v>
      </c>
      <c r="R114" s="78">
        <v>5471</v>
      </c>
      <c r="S114" s="78">
        <v>1105</v>
      </c>
      <c r="T114" s="78">
        <v>0</v>
      </c>
      <c r="U114" s="78">
        <v>1284</v>
      </c>
      <c r="V114" s="78">
        <v>21353</v>
      </c>
      <c r="W114" s="78">
        <v>42880</v>
      </c>
      <c r="X114" s="78">
        <v>10480</v>
      </c>
      <c r="Y114" s="78">
        <v>0</v>
      </c>
      <c r="Z114" s="78">
        <v>1172.8</v>
      </c>
      <c r="AA114" s="78">
        <v>0</v>
      </c>
      <c r="AB114" s="399">
        <f>IF((J114-'[2]Basisgegevens aanvullend'!D114*1.1)&lt;=0,0,J114-'[2]Basisgegevens aanvullend'!D114*1.1)</f>
        <v>0</v>
      </c>
      <c r="AC114" s="399">
        <v>632.20000000000005</v>
      </c>
      <c r="AD114" s="78">
        <v>21552</v>
      </c>
      <c r="AE114" s="78">
        <v>26724.48</v>
      </c>
      <c r="AF114" s="78">
        <v>1360</v>
      </c>
      <c r="AG114" s="78">
        <v>0</v>
      </c>
      <c r="AH114" s="78">
        <v>310</v>
      </c>
      <c r="AI114" s="78">
        <v>211</v>
      </c>
      <c r="AJ114" s="78">
        <v>365.8</v>
      </c>
      <c r="AK114" s="78">
        <v>263.75</v>
      </c>
      <c r="AL114" s="78">
        <v>520</v>
      </c>
      <c r="AM114" s="78">
        <v>21075</v>
      </c>
      <c r="AN114" s="78">
        <v>24868.5</v>
      </c>
      <c r="AO114" s="78">
        <v>12</v>
      </c>
      <c r="AP114" s="78">
        <v>0</v>
      </c>
      <c r="AQ114" s="78">
        <v>0</v>
      </c>
      <c r="AR114" s="78">
        <v>1150</v>
      </c>
      <c r="AS114" s="78">
        <v>0</v>
      </c>
      <c r="AT114" s="78">
        <v>0</v>
      </c>
      <c r="AU114" s="400">
        <v>6.7941200000000001E-4</v>
      </c>
      <c r="AV114" s="400">
        <v>2.02363E-4</v>
      </c>
      <c r="AW114" s="78">
        <v>9652.35</v>
      </c>
      <c r="AX114" s="78">
        <v>0</v>
      </c>
      <c r="AY114" s="78">
        <v>8159.2</v>
      </c>
      <c r="AZ114" s="78">
        <v>30199.599050279299</v>
      </c>
      <c r="BA114" s="78">
        <v>26</v>
      </c>
      <c r="BB114" s="78">
        <v>32.5</v>
      </c>
      <c r="BC114" s="78">
        <v>7235</v>
      </c>
      <c r="BD114" s="78">
        <v>1</v>
      </c>
      <c r="BE114" s="78">
        <v>0</v>
      </c>
      <c r="BF114" s="78">
        <v>0</v>
      </c>
      <c r="BG114" s="78">
        <v>0</v>
      </c>
      <c r="BH114" s="78">
        <v>0</v>
      </c>
      <c r="BI114" s="78">
        <v>0</v>
      </c>
      <c r="BJ114" s="78">
        <v>0</v>
      </c>
      <c r="BK114" s="78">
        <v>0</v>
      </c>
      <c r="BL114" s="78">
        <v>0</v>
      </c>
      <c r="BM114" s="78">
        <v>774</v>
      </c>
      <c r="BN114" s="78">
        <v>334</v>
      </c>
      <c r="BO114" s="78">
        <v>113</v>
      </c>
      <c r="BP114" s="78">
        <v>15979.81</v>
      </c>
      <c r="BQ114" s="78">
        <v>4098.24</v>
      </c>
      <c r="BR114" s="78">
        <v>382.59149926506598</v>
      </c>
      <c r="BS114" s="78">
        <v>525</v>
      </c>
      <c r="BT114" s="78">
        <v>150.666666666667</v>
      </c>
      <c r="BU114" s="78">
        <v>107.333333333333</v>
      </c>
      <c r="BV114" s="78">
        <f t="shared" si="7"/>
        <v>1819.9999999999968</v>
      </c>
      <c r="BW114" s="78">
        <v>439</v>
      </c>
      <c r="BX114" s="78">
        <v>8081.3911250195597</v>
      </c>
      <c r="BY114" s="78">
        <v>0.25600000000000001</v>
      </c>
      <c r="BZ114" s="78">
        <v>41364</v>
      </c>
      <c r="CA114" s="78">
        <v>6020</v>
      </c>
      <c r="CB114" s="78">
        <v>951</v>
      </c>
      <c r="CC114" s="78">
        <v>1044</v>
      </c>
      <c r="CD114" s="78">
        <v>977</v>
      </c>
      <c r="CE114" s="78">
        <v>450</v>
      </c>
      <c r="CF114" s="78">
        <v>503.96562277580102</v>
      </c>
      <c r="CG114" s="78">
        <v>301.85224199288302</v>
      </c>
      <c r="CH114" s="78">
        <v>90.722135231316699</v>
      </c>
      <c r="CI114" s="78">
        <v>1342.3934999999999</v>
      </c>
      <c r="CJ114" s="78">
        <v>804.03200000000004</v>
      </c>
      <c r="CK114" s="78">
        <v>241.65299999999999</v>
      </c>
      <c r="CL114" s="78">
        <v>52879</v>
      </c>
    </row>
    <row r="115" spans="1:90" x14ac:dyDescent="0.35">
      <c r="A115" s="72">
        <v>668</v>
      </c>
      <c r="B115" s="72" t="s">
        <v>335</v>
      </c>
      <c r="C115" s="72">
        <v>5</v>
      </c>
      <c r="D115" s="78">
        <v>1896400000</v>
      </c>
      <c r="E115" s="78">
        <v>238350000</v>
      </c>
      <c r="F115" s="78">
        <v>268800000</v>
      </c>
      <c r="G115" s="78">
        <v>19581</v>
      </c>
      <c r="H115" s="78">
        <v>5</v>
      </c>
      <c r="I115" s="78">
        <f t="shared" si="5"/>
        <v>268.8</v>
      </c>
      <c r="J115" s="78">
        <v>3456</v>
      </c>
      <c r="K115" s="78">
        <v>4224</v>
      </c>
      <c r="L115" s="78">
        <v>1280</v>
      </c>
      <c r="M115" s="78">
        <v>2481</v>
      </c>
      <c r="N115" s="78">
        <f t="shared" si="6"/>
        <v>1630</v>
      </c>
      <c r="O115" s="78">
        <v>190.666666666667</v>
      </c>
      <c r="P115" s="78">
        <v>23</v>
      </c>
      <c r="Q115" s="78">
        <v>1063.6666666666699</v>
      </c>
      <c r="R115" s="78">
        <v>2484</v>
      </c>
      <c r="S115" s="78">
        <v>275</v>
      </c>
      <c r="T115" s="78">
        <v>0</v>
      </c>
      <c r="U115" s="78">
        <v>451</v>
      </c>
      <c r="V115" s="78">
        <v>8724</v>
      </c>
      <c r="W115" s="78">
        <v>14740</v>
      </c>
      <c r="X115" s="78">
        <v>2450</v>
      </c>
      <c r="Y115" s="78">
        <v>0</v>
      </c>
      <c r="Z115" s="78">
        <v>184.8</v>
      </c>
      <c r="AA115" s="78">
        <v>0</v>
      </c>
      <c r="AB115" s="399">
        <f>IF((J115-'[2]Basisgegevens aanvullend'!D115*1.1)&lt;=0,0,J115-'[2]Basisgegevens aanvullend'!D115*1.1)</f>
        <v>0</v>
      </c>
      <c r="AC115" s="399">
        <v>0</v>
      </c>
      <c r="AD115" s="78">
        <v>7599</v>
      </c>
      <c r="AE115" s="78">
        <v>8054.94</v>
      </c>
      <c r="AF115" s="78">
        <v>921</v>
      </c>
      <c r="AG115" s="78">
        <v>0</v>
      </c>
      <c r="AH115" s="78">
        <v>152</v>
      </c>
      <c r="AI115" s="78">
        <v>73</v>
      </c>
      <c r="AJ115" s="78">
        <v>159.6</v>
      </c>
      <c r="AK115" s="78">
        <v>77.38</v>
      </c>
      <c r="AL115" s="78">
        <v>225</v>
      </c>
      <c r="AM115" s="78">
        <v>8510</v>
      </c>
      <c r="AN115" s="78">
        <v>8935.5</v>
      </c>
      <c r="AO115" s="78">
        <v>0</v>
      </c>
      <c r="AP115" s="78">
        <v>0</v>
      </c>
      <c r="AQ115" s="78">
        <v>0</v>
      </c>
      <c r="AR115" s="78">
        <v>0</v>
      </c>
      <c r="AS115" s="78">
        <v>836</v>
      </c>
      <c r="AT115" s="78">
        <v>0</v>
      </c>
      <c r="AU115" s="400">
        <v>2.87903E-4</v>
      </c>
      <c r="AV115" s="400">
        <v>7.3732000000000005E-5</v>
      </c>
      <c r="AW115" s="78">
        <v>3642.28</v>
      </c>
      <c r="AX115" s="78">
        <v>0</v>
      </c>
      <c r="AY115" s="78">
        <v>2441.1799999999998</v>
      </c>
      <c r="AZ115" s="78">
        <v>5727.3505704225399</v>
      </c>
      <c r="BA115" s="78">
        <v>12</v>
      </c>
      <c r="BB115" s="78">
        <v>12.72</v>
      </c>
      <c r="BC115" s="78">
        <v>2688</v>
      </c>
      <c r="BD115" s="78">
        <v>1</v>
      </c>
      <c r="BE115" s="78">
        <v>0</v>
      </c>
      <c r="BF115" s="78">
        <v>0</v>
      </c>
      <c r="BG115" s="78">
        <v>0</v>
      </c>
      <c r="BH115" s="78">
        <v>0</v>
      </c>
      <c r="BI115" s="78">
        <v>0</v>
      </c>
      <c r="BJ115" s="78">
        <v>0</v>
      </c>
      <c r="BK115" s="78">
        <v>0</v>
      </c>
      <c r="BL115" s="78">
        <v>0</v>
      </c>
      <c r="BM115" s="78">
        <v>266.11200000000002</v>
      </c>
      <c r="BN115" s="78">
        <v>100</v>
      </c>
      <c r="BO115" s="78">
        <v>47</v>
      </c>
      <c r="BP115" s="78">
        <v>5741.92</v>
      </c>
      <c r="BQ115" s="78">
        <v>1357.92</v>
      </c>
      <c r="BR115" s="78">
        <v>86.238814814814802</v>
      </c>
      <c r="BS115" s="78">
        <v>181</v>
      </c>
      <c r="BT115" s="78">
        <v>57</v>
      </c>
      <c r="BU115" s="78">
        <v>34</v>
      </c>
      <c r="BV115" s="78">
        <f t="shared" si="7"/>
        <v>873.00000000000296</v>
      </c>
      <c r="BW115" s="78">
        <v>220</v>
      </c>
      <c r="BX115" s="78">
        <v>3277.1322562616401</v>
      </c>
      <c r="BY115" s="78">
        <v>0.23</v>
      </c>
      <c r="BZ115" s="78">
        <v>15357</v>
      </c>
      <c r="CA115" s="78">
        <v>2512</v>
      </c>
      <c r="CB115" s="78">
        <v>432</v>
      </c>
      <c r="CC115" s="78">
        <v>486</v>
      </c>
      <c r="CD115" s="78">
        <v>409</v>
      </c>
      <c r="CE115" s="78">
        <v>204</v>
      </c>
      <c r="CF115" s="78">
        <v>298.60987074030601</v>
      </c>
      <c r="CG115" s="78">
        <v>166.63924794359599</v>
      </c>
      <c r="CH115" s="78">
        <v>54.780258519389001</v>
      </c>
      <c r="CI115" s="78">
        <v>688.14260000000002</v>
      </c>
      <c r="CJ115" s="78">
        <v>384.01799999999997</v>
      </c>
      <c r="CK115" s="78">
        <v>126.24039999999999</v>
      </c>
      <c r="CL115" s="78">
        <v>16136</v>
      </c>
    </row>
    <row r="116" spans="1:90" x14ac:dyDescent="0.35">
      <c r="A116" s="72">
        <v>293</v>
      </c>
      <c r="B116" s="72" t="s">
        <v>338</v>
      </c>
      <c r="C116" s="72">
        <v>5</v>
      </c>
      <c r="D116" s="78">
        <v>1272400000</v>
      </c>
      <c r="E116" s="78">
        <v>77000000</v>
      </c>
      <c r="F116" s="78">
        <v>78050000</v>
      </c>
      <c r="G116" s="78">
        <v>15014</v>
      </c>
      <c r="H116" s="78">
        <v>1</v>
      </c>
      <c r="I116" s="78">
        <f t="shared" si="5"/>
        <v>78.05</v>
      </c>
      <c r="J116" s="78">
        <v>2740</v>
      </c>
      <c r="K116" s="78">
        <v>3149</v>
      </c>
      <c r="L116" s="78">
        <v>807</v>
      </c>
      <c r="M116" s="78">
        <v>2063</v>
      </c>
      <c r="N116" s="78">
        <f t="shared" si="6"/>
        <v>1386.1</v>
      </c>
      <c r="O116" s="78">
        <v>337</v>
      </c>
      <c r="P116" s="78">
        <v>23</v>
      </c>
      <c r="Q116" s="78">
        <v>1282</v>
      </c>
      <c r="R116" s="78">
        <v>2054</v>
      </c>
      <c r="S116" s="78">
        <v>735</v>
      </c>
      <c r="T116" s="78">
        <v>0</v>
      </c>
      <c r="U116" s="78">
        <v>594</v>
      </c>
      <c r="V116" s="78">
        <v>6872</v>
      </c>
      <c r="W116" s="78">
        <v>12740</v>
      </c>
      <c r="X116" s="78">
        <v>4170</v>
      </c>
      <c r="Y116" s="78">
        <v>0</v>
      </c>
      <c r="Z116" s="78">
        <v>0</v>
      </c>
      <c r="AA116" s="78">
        <v>0</v>
      </c>
      <c r="AB116" s="399">
        <f>IF((J116-'[2]Basisgegevens aanvullend'!D116*1.1)&lt;=0,0,J116-'[2]Basisgegevens aanvullend'!D116*1.1)</f>
        <v>0</v>
      </c>
      <c r="AC116" s="399">
        <v>0</v>
      </c>
      <c r="AD116" s="78">
        <v>703</v>
      </c>
      <c r="AE116" s="78">
        <v>703</v>
      </c>
      <c r="AF116" s="78">
        <v>81</v>
      </c>
      <c r="AG116" s="78">
        <v>0</v>
      </c>
      <c r="AH116" s="78">
        <v>64</v>
      </c>
      <c r="AI116" s="78">
        <v>2</v>
      </c>
      <c r="AJ116" s="78">
        <v>64</v>
      </c>
      <c r="AK116" s="78">
        <v>2</v>
      </c>
      <c r="AL116" s="78">
        <v>66</v>
      </c>
      <c r="AM116" s="78">
        <v>6769</v>
      </c>
      <c r="AN116" s="78">
        <v>6769</v>
      </c>
      <c r="AO116" s="78">
        <v>0</v>
      </c>
      <c r="AP116" s="78">
        <v>0</v>
      </c>
      <c r="AQ116" s="78">
        <v>0</v>
      </c>
      <c r="AR116" s="78">
        <v>0</v>
      </c>
      <c r="AS116" s="78">
        <v>0</v>
      </c>
      <c r="AT116" s="78">
        <v>0</v>
      </c>
      <c r="AU116" s="400">
        <v>5.8205000000000003E-5</v>
      </c>
      <c r="AV116" s="400">
        <v>5.3436000000000001E-5</v>
      </c>
      <c r="AW116" s="78">
        <v>7838.5020000000004</v>
      </c>
      <c r="AX116" s="78">
        <v>0</v>
      </c>
      <c r="AY116" s="78">
        <v>426</v>
      </c>
      <c r="AZ116" s="78">
        <v>8158.1173469387804</v>
      </c>
      <c r="BA116" s="78">
        <v>1</v>
      </c>
      <c r="BB116" s="78">
        <v>1</v>
      </c>
      <c r="BC116" s="78">
        <v>1248</v>
      </c>
      <c r="BD116" s="78">
        <v>1</v>
      </c>
      <c r="BE116" s="78">
        <v>0</v>
      </c>
      <c r="BF116" s="78">
        <v>0</v>
      </c>
      <c r="BG116" s="78">
        <v>0</v>
      </c>
      <c r="BH116" s="78">
        <v>0</v>
      </c>
      <c r="BI116" s="78">
        <v>0</v>
      </c>
      <c r="BJ116" s="78">
        <v>0</v>
      </c>
      <c r="BK116" s="78">
        <v>0</v>
      </c>
      <c r="BL116" s="78">
        <v>0</v>
      </c>
      <c r="BM116" s="78">
        <v>460.32</v>
      </c>
      <c r="BN116" s="78">
        <v>53</v>
      </c>
      <c r="BO116" s="78">
        <v>19</v>
      </c>
      <c r="BP116" s="78">
        <v>4238.01</v>
      </c>
      <c r="BQ116" s="78">
        <v>934.8</v>
      </c>
      <c r="BR116" s="78">
        <v>115.993333333333</v>
      </c>
      <c r="BS116" s="78">
        <v>215</v>
      </c>
      <c r="BT116" s="78">
        <v>118.666666666667</v>
      </c>
      <c r="BU116" s="78">
        <v>96.6666666666667</v>
      </c>
      <c r="BV116" s="78">
        <f t="shared" si="7"/>
        <v>945</v>
      </c>
      <c r="BW116" s="78">
        <v>265</v>
      </c>
      <c r="BX116" s="78">
        <v>2732.3053049228502</v>
      </c>
      <c r="BY116" s="78">
        <v>0.92200000000000004</v>
      </c>
      <c r="BZ116" s="78">
        <v>11865</v>
      </c>
      <c r="CA116" s="78">
        <v>2047</v>
      </c>
      <c r="CB116" s="78">
        <v>295</v>
      </c>
      <c r="CC116" s="78">
        <v>427</v>
      </c>
      <c r="CD116" s="78">
        <v>292</v>
      </c>
      <c r="CE116" s="78">
        <v>150</v>
      </c>
      <c r="CF116" s="78">
        <v>268.04622543950398</v>
      </c>
      <c r="CG116" s="78">
        <v>118.972388831437</v>
      </c>
      <c r="CH116" s="78">
        <v>42.797296498744302</v>
      </c>
      <c r="CI116" s="78">
        <v>647.16959999999995</v>
      </c>
      <c r="CJ116" s="78">
        <v>287.24639999999999</v>
      </c>
      <c r="CK116" s="78">
        <v>103.3296</v>
      </c>
      <c r="CL116" s="78">
        <v>0</v>
      </c>
    </row>
    <row r="117" spans="1:90" x14ac:dyDescent="0.35">
      <c r="A117" s="72">
        <v>296</v>
      </c>
      <c r="B117" s="72" t="s">
        <v>344</v>
      </c>
      <c r="C117" s="72">
        <v>5</v>
      </c>
      <c r="D117" s="78">
        <v>4024800000</v>
      </c>
      <c r="E117" s="78">
        <v>564900000</v>
      </c>
      <c r="F117" s="78">
        <v>586250000</v>
      </c>
      <c r="G117" s="78">
        <v>41261</v>
      </c>
      <c r="H117" s="78">
        <v>2</v>
      </c>
      <c r="I117" s="78">
        <f t="shared" si="5"/>
        <v>586.25</v>
      </c>
      <c r="J117" s="78">
        <v>7762</v>
      </c>
      <c r="K117" s="78">
        <v>8954</v>
      </c>
      <c r="L117" s="78">
        <v>2891</v>
      </c>
      <c r="M117" s="78">
        <v>5200</v>
      </c>
      <c r="N117" s="78">
        <f t="shared" si="6"/>
        <v>3366.6</v>
      </c>
      <c r="O117" s="78">
        <v>711.33333333333303</v>
      </c>
      <c r="P117" s="78">
        <v>35</v>
      </c>
      <c r="Q117" s="78">
        <v>2655.3333333333298</v>
      </c>
      <c r="R117" s="78">
        <v>5422</v>
      </c>
      <c r="S117" s="78">
        <v>1175</v>
      </c>
      <c r="T117" s="78">
        <v>0</v>
      </c>
      <c r="U117" s="78">
        <v>1260</v>
      </c>
      <c r="V117" s="78">
        <v>18296</v>
      </c>
      <c r="W117" s="78">
        <v>42140</v>
      </c>
      <c r="X117" s="78">
        <v>32710</v>
      </c>
      <c r="Y117" s="78">
        <v>483.12</v>
      </c>
      <c r="Z117" s="78">
        <v>1737.6</v>
      </c>
      <c r="AA117" s="78">
        <v>0</v>
      </c>
      <c r="AB117" s="399">
        <f>IF((J117-'[2]Basisgegevens aanvullend'!D117*1.1)&lt;=0,0,J117-'[2]Basisgegevens aanvullend'!D117*1.1)</f>
        <v>0</v>
      </c>
      <c r="AC117" s="399">
        <v>0</v>
      </c>
      <c r="AD117" s="78">
        <v>6599</v>
      </c>
      <c r="AE117" s="78">
        <v>6664.99</v>
      </c>
      <c r="AF117" s="78">
        <v>358</v>
      </c>
      <c r="AG117" s="78">
        <v>0</v>
      </c>
      <c r="AH117" s="78">
        <v>250</v>
      </c>
      <c r="AI117" s="78">
        <v>77</v>
      </c>
      <c r="AJ117" s="78">
        <v>250</v>
      </c>
      <c r="AK117" s="78">
        <v>78.540000000000006</v>
      </c>
      <c r="AL117" s="78">
        <v>326</v>
      </c>
      <c r="AM117" s="78">
        <v>18334</v>
      </c>
      <c r="AN117" s="78">
        <v>18334</v>
      </c>
      <c r="AO117" s="78">
        <v>5</v>
      </c>
      <c r="AP117" s="78">
        <v>0</v>
      </c>
      <c r="AQ117" s="78">
        <v>0</v>
      </c>
      <c r="AR117" s="78">
        <v>0</v>
      </c>
      <c r="AS117" s="78">
        <v>0</v>
      </c>
      <c r="AT117" s="78">
        <v>0</v>
      </c>
      <c r="AU117" s="400">
        <v>2.63255E-4</v>
      </c>
      <c r="AV117" s="400">
        <v>2.0608000000000001E-4</v>
      </c>
      <c r="AW117" s="78">
        <v>22624.155999999999</v>
      </c>
      <c r="AX117" s="78">
        <v>0</v>
      </c>
      <c r="AY117" s="78">
        <v>1520.05</v>
      </c>
      <c r="AZ117" s="78">
        <v>9015.2052680753204</v>
      </c>
      <c r="BA117" s="78">
        <v>7</v>
      </c>
      <c r="BB117" s="78">
        <v>7.14</v>
      </c>
      <c r="BC117" s="78">
        <v>4564</v>
      </c>
      <c r="BD117" s="78">
        <v>1</v>
      </c>
      <c r="BE117" s="78">
        <v>0</v>
      </c>
      <c r="BF117" s="78">
        <v>0</v>
      </c>
      <c r="BG117" s="78">
        <v>0</v>
      </c>
      <c r="BH117" s="78">
        <v>0</v>
      </c>
      <c r="BI117" s="78">
        <v>0</v>
      </c>
      <c r="BJ117" s="78">
        <v>0</v>
      </c>
      <c r="BK117" s="78">
        <v>0</v>
      </c>
      <c r="BL117" s="78">
        <v>0</v>
      </c>
      <c r="BM117" s="78">
        <v>737.39</v>
      </c>
      <c r="BN117" s="78">
        <v>83</v>
      </c>
      <c r="BO117" s="78">
        <v>65</v>
      </c>
      <c r="BP117" s="78">
        <v>12312.36</v>
      </c>
      <c r="BQ117" s="78">
        <v>2956.71</v>
      </c>
      <c r="BR117" s="78">
        <v>274.09302677888297</v>
      </c>
      <c r="BS117" s="78">
        <v>476</v>
      </c>
      <c r="BT117" s="78">
        <v>183.333333333333</v>
      </c>
      <c r="BU117" s="78">
        <v>165</v>
      </c>
      <c r="BV117" s="78">
        <f t="shared" si="7"/>
        <v>1943.9999999999968</v>
      </c>
      <c r="BW117" s="78">
        <v>509</v>
      </c>
      <c r="BX117" s="78">
        <v>7236.2821162734099</v>
      </c>
      <c r="BY117" s="78">
        <v>1.3759999999999999</v>
      </c>
      <c r="BZ117" s="78">
        <v>32307</v>
      </c>
      <c r="CA117" s="78">
        <v>5231</v>
      </c>
      <c r="CB117" s="78">
        <v>832</v>
      </c>
      <c r="CC117" s="78">
        <v>1033</v>
      </c>
      <c r="CD117" s="78">
        <v>960</v>
      </c>
      <c r="CE117" s="78">
        <v>415</v>
      </c>
      <c r="CF117" s="78">
        <v>594.76477582633402</v>
      </c>
      <c r="CG117" s="78">
        <v>372.944507472456</v>
      </c>
      <c r="CH117" s="78">
        <v>106.135856877932</v>
      </c>
      <c r="CI117" s="78">
        <v>1404.7543000000001</v>
      </c>
      <c r="CJ117" s="78">
        <v>880.84469999999999</v>
      </c>
      <c r="CK117" s="78">
        <v>250.67859999999999</v>
      </c>
      <c r="CL117" s="78">
        <v>8796</v>
      </c>
    </row>
    <row r="118" spans="1:90" x14ac:dyDescent="0.35">
      <c r="A118" s="72">
        <v>294</v>
      </c>
      <c r="B118" s="72" t="s">
        <v>347</v>
      </c>
      <c r="C118" s="72">
        <v>5</v>
      </c>
      <c r="D118" s="78">
        <v>2338400000</v>
      </c>
      <c r="E118" s="78">
        <v>433300000</v>
      </c>
      <c r="F118" s="78">
        <v>495250000</v>
      </c>
      <c r="G118" s="78">
        <v>29022</v>
      </c>
      <c r="H118" s="78">
        <v>1</v>
      </c>
      <c r="I118" s="78">
        <f t="shared" si="5"/>
        <v>495.25</v>
      </c>
      <c r="J118" s="78">
        <v>5249</v>
      </c>
      <c r="K118" s="78">
        <v>6935</v>
      </c>
      <c r="L118" s="78">
        <v>2231</v>
      </c>
      <c r="M118" s="78">
        <v>4492</v>
      </c>
      <c r="N118" s="78">
        <f t="shared" si="6"/>
        <v>3098.2</v>
      </c>
      <c r="O118" s="78">
        <v>571.33333333333303</v>
      </c>
      <c r="P118" s="78">
        <v>49</v>
      </c>
      <c r="Q118" s="78">
        <v>2223.3333333333298</v>
      </c>
      <c r="R118" s="78">
        <v>4334</v>
      </c>
      <c r="S118" s="78">
        <v>970</v>
      </c>
      <c r="T118" s="78">
        <v>0</v>
      </c>
      <c r="U118" s="78">
        <v>843</v>
      </c>
      <c r="V118" s="78">
        <v>13382</v>
      </c>
      <c r="W118" s="78">
        <v>29690</v>
      </c>
      <c r="X118" s="78">
        <v>28510</v>
      </c>
      <c r="Y118" s="78">
        <v>633.6</v>
      </c>
      <c r="Z118" s="78">
        <v>1227.2</v>
      </c>
      <c r="AA118" s="78">
        <v>0</v>
      </c>
      <c r="AB118" s="399">
        <f>IF((J118-'[2]Basisgegevens aanvullend'!D118*1.1)&lt;=0,0,J118-'[2]Basisgegevens aanvullend'!D118*1.1)</f>
        <v>0</v>
      </c>
      <c r="AC118" s="399">
        <v>0</v>
      </c>
      <c r="AD118" s="78">
        <v>13812</v>
      </c>
      <c r="AE118" s="78">
        <v>13812</v>
      </c>
      <c r="AF118" s="78">
        <v>70</v>
      </c>
      <c r="AG118" s="78">
        <v>0</v>
      </c>
      <c r="AH118" s="78">
        <v>162</v>
      </c>
      <c r="AI118" s="78">
        <v>135</v>
      </c>
      <c r="AJ118" s="78">
        <v>162</v>
      </c>
      <c r="AK118" s="78">
        <v>135</v>
      </c>
      <c r="AL118" s="78">
        <v>296</v>
      </c>
      <c r="AM118" s="78">
        <v>13938</v>
      </c>
      <c r="AN118" s="78">
        <v>13938</v>
      </c>
      <c r="AO118" s="78">
        <v>0</v>
      </c>
      <c r="AP118" s="78">
        <v>0</v>
      </c>
      <c r="AQ118" s="78">
        <v>0</v>
      </c>
      <c r="AR118" s="78">
        <v>0</v>
      </c>
      <c r="AS118" s="78">
        <v>2524</v>
      </c>
      <c r="AT118" s="78">
        <v>0</v>
      </c>
      <c r="AU118" s="400">
        <v>1.009533E-3</v>
      </c>
      <c r="AV118" s="400">
        <v>3.87291E-4</v>
      </c>
      <c r="AW118" s="78">
        <v>16920.732</v>
      </c>
      <c r="AX118" s="78">
        <v>0</v>
      </c>
      <c r="AY118" s="78">
        <v>1312</v>
      </c>
      <c r="AZ118" s="78">
        <v>2742.8946837631502</v>
      </c>
      <c r="BA118" s="78">
        <v>11</v>
      </c>
      <c r="BB118" s="78">
        <v>11</v>
      </c>
      <c r="BC118" s="78">
        <v>3225</v>
      </c>
      <c r="BD118" s="78">
        <v>1</v>
      </c>
      <c r="BE118" s="78">
        <v>0</v>
      </c>
      <c r="BF118" s="78">
        <v>0</v>
      </c>
      <c r="BG118" s="78">
        <v>0</v>
      </c>
      <c r="BH118" s="78">
        <v>0</v>
      </c>
      <c r="BI118" s="78">
        <v>0</v>
      </c>
      <c r="BJ118" s="78">
        <v>0</v>
      </c>
      <c r="BK118" s="78">
        <v>0</v>
      </c>
      <c r="BL118" s="78">
        <v>0</v>
      </c>
      <c r="BM118" s="78">
        <v>608.88400000000001</v>
      </c>
      <c r="BN118" s="78">
        <v>96</v>
      </c>
      <c r="BO118" s="78">
        <v>133</v>
      </c>
      <c r="BP118" s="78">
        <v>7727.4</v>
      </c>
      <c r="BQ118" s="78">
        <v>1667.82</v>
      </c>
      <c r="BR118" s="78">
        <v>209.80183804143101</v>
      </c>
      <c r="BS118" s="78">
        <v>316</v>
      </c>
      <c r="BT118" s="78">
        <v>147.333333333333</v>
      </c>
      <c r="BU118" s="78">
        <v>131.333333333333</v>
      </c>
      <c r="BV118" s="78">
        <f t="shared" si="7"/>
        <v>1651.9999999999968</v>
      </c>
      <c r="BW118" s="78">
        <v>498</v>
      </c>
      <c r="BX118" s="78">
        <v>5562.7209898107703</v>
      </c>
      <c r="BY118" s="78">
        <v>1.516</v>
      </c>
      <c r="BZ118" s="78">
        <v>22087</v>
      </c>
      <c r="CA118" s="78">
        <v>3865</v>
      </c>
      <c r="CB118" s="78">
        <v>839</v>
      </c>
      <c r="CC118" s="78">
        <v>801</v>
      </c>
      <c r="CD118" s="78">
        <v>703</v>
      </c>
      <c r="CE118" s="78">
        <v>410</v>
      </c>
      <c r="CF118" s="78">
        <v>532.59342803845595</v>
      </c>
      <c r="CG118" s="78">
        <v>333.20431912756499</v>
      </c>
      <c r="CH118" s="78">
        <v>126.92439374372201</v>
      </c>
      <c r="CI118" s="78">
        <v>1269.8800000000001</v>
      </c>
      <c r="CJ118" s="78">
        <v>794.47</v>
      </c>
      <c r="CK118" s="78">
        <v>302.63</v>
      </c>
      <c r="CL118" s="78">
        <v>27349</v>
      </c>
    </row>
    <row r="119" spans="1:90" x14ac:dyDescent="0.35">
      <c r="A119" s="72">
        <v>297</v>
      </c>
      <c r="B119" s="72" t="s">
        <v>353</v>
      </c>
      <c r="C119" s="72">
        <v>5</v>
      </c>
      <c r="D119" s="78">
        <v>2694000000</v>
      </c>
      <c r="E119" s="78">
        <v>550550000</v>
      </c>
      <c r="F119" s="78">
        <v>575400000</v>
      </c>
      <c r="G119" s="78">
        <v>29447</v>
      </c>
      <c r="H119" s="78">
        <v>7</v>
      </c>
      <c r="I119" s="78">
        <f t="shared" si="5"/>
        <v>575.4</v>
      </c>
      <c r="J119" s="78">
        <v>6552</v>
      </c>
      <c r="K119" s="78">
        <v>5338</v>
      </c>
      <c r="L119" s="78">
        <v>1674</v>
      </c>
      <c r="M119" s="78">
        <v>3174</v>
      </c>
      <c r="N119" s="78">
        <f t="shared" si="6"/>
        <v>1982.2</v>
      </c>
      <c r="O119" s="78">
        <v>282.66666666666703</v>
      </c>
      <c r="P119" s="78">
        <v>48</v>
      </c>
      <c r="Q119" s="78">
        <v>1415.6666666666699</v>
      </c>
      <c r="R119" s="78">
        <v>3724</v>
      </c>
      <c r="S119" s="78">
        <v>1160</v>
      </c>
      <c r="T119" s="78">
        <v>0</v>
      </c>
      <c r="U119" s="78">
        <v>821</v>
      </c>
      <c r="V119" s="78">
        <v>12372</v>
      </c>
      <c r="W119" s="78">
        <v>25830</v>
      </c>
      <c r="X119" s="78">
        <v>5030</v>
      </c>
      <c r="Y119" s="78">
        <v>386.1</v>
      </c>
      <c r="Z119" s="78">
        <v>1767.2</v>
      </c>
      <c r="AA119" s="78">
        <v>0</v>
      </c>
      <c r="AB119" s="399">
        <f>IF((J119-'[2]Basisgegevens aanvullend'!D119*1.1)&lt;=0,0,J119-'[2]Basisgegevens aanvullend'!D119*1.1)</f>
        <v>0</v>
      </c>
      <c r="AC119" s="399">
        <v>355.5</v>
      </c>
      <c r="AD119" s="78">
        <v>7845</v>
      </c>
      <c r="AE119" s="78">
        <v>8943.2999999999993</v>
      </c>
      <c r="AF119" s="78">
        <v>1060</v>
      </c>
      <c r="AG119" s="78">
        <v>0</v>
      </c>
      <c r="AH119" s="78">
        <v>180</v>
      </c>
      <c r="AI119" s="78">
        <v>87</v>
      </c>
      <c r="AJ119" s="78">
        <v>203.4</v>
      </c>
      <c r="AK119" s="78">
        <v>99.18</v>
      </c>
      <c r="AL119" s="78">
        <v>267</v>
      </c>
      <c r="AM119" s="78">
        <v>11918</v>
      </c>
      <c r="AN119" s="78">
        <v>13467.34</v>
      </c>
      <c r="AO119" s="78">
        <v>21</v>
      </c>
      <c r="AP119" s="78">
        <v>0</v>
      </c>
      <c r="AQ119" s="78">
        <v>0</v>
      </c>
      <c r="AR119" s="78">
        <v>4350</v>
      </c>
      <c r="AS119" s="78">
        <v>906</v>
      </c>
      <c r="AT119" s="78">
        <v>906</v>
      </c>
      <c r="AU119" s="400">
        <v>4.1790700000000002E-4</v>
      </c>
      <c r="AV119" s="400">
        <v>1.6507100000000001E-4</v>
      </c>
      <c r="AW119" s="78">
        <v>8342.6</v>
      </c>
      <c r="AX119" s="78">
        <v>0</v>
      </c>
      <c r="AY119" s="78">
        <v>4021.92</v>
      </c>
      <c r="AZ119" s="78">
        <v>18253.105711398101</v>
      </c>
      <c r="BA119" s="78">
        <v>11</v>
      </c>
      <c r="BB119" s="78">
        <v>12.54</v>
      </c>
      <c r="BC119" s="78">
        <v>3930</v>
      </c>
      <c r="BD119" s="78">
        <v>1</v>
      </c>
      <c r="BE119" s="78">
        <v>0</v>
      </c>
      <c r="BF119" s="78">
        <v>0</v>
      </c>
      <c r="BG119" s="78">
        <v>0</v>
      </c>
      <c r="BH119" s="78">
        <v>0</v>
      </c>
      <c r="BI119" s="78">
        <v>0</v>
      </c>
      <c r="BJ119" s="78">
        <v>0</v>
      </c>
      <c r="BK119" s="78">
        <v>0</v>
      </c>
      <c r="BL119" s="78">
        <v>0</v>
      </c>
      <c r="BM119" s="78">
        <v>491.4</v>
      </c>
      <c r="BN119" s="78">
        <v>180</v>
      </c>
      <c r="BO119" s="78">
        <v>103</v>
      </c>
      <c r="BP119" s="78">
        <v>8725.68</v>
      </c>
      <c r="BQ119" s="78">
        <v>2316.33</v>
      </c>
      <c r="BR119" s="78">
        <v>373.02796497372998</v>
      </c>
      <c r="BS119" s="78">
        <v>311</v>
      </c>
      <c r="BT119" s="78">
        <v>97.3333333333333</v>
      </c>
      <c r="BU119" s="78">
        <v>73</v>
      </c>
      <c r="BV119" s="78">
        <f t="shared" si="7"/>
        <v>1133.000000000003</v>
      </c>
      <c r="BW119" s="78">
        <v>254</v>
      </c>
      <c r="BX119" s="78">
        <v>4376.3986413212797</v>
      </c>
      <c r="BY119" s="78">
        <v>0.27200000000000002</v>
      </c>
      <c r="BZ119" s="78">
        <v>24109</v>
      </c>
      <c r="CA119" s="78">
        <v>3117</v>
      </c>
      <c r="CB119" s="78">
        <v>547</v>
      </c>
      <c r="CC119" s="78">
        <v>605</v>
      </c>
      <c r="CD119" s="78">
        <v>541</v>
      </c>
      <c r="CE119" s="78">
        <v>262</v>
      </c>
      <c r="CF119" s="78">
        <v>319.00147675784501</v>
      </c>
      <c r="CG119" s="78">
        <v>194.76054707165599</v>
      </c>
      <c r="CH119" s="78">
        <v>63.0352240308777</v>
      </c>
      <c r="CI119" s="78">
        <v>781.96860000000004</v>
      </c>
      <c r="CJ119" s="78">
        <v>477.41669999999999</v>
      </c>
      <c r="CK119" s="78">
        <v>154.51830000000001</v>
      </c>
      <c r="CL119" s="78">
        <v>6747</v>
      </c>
    </row>
    <row r="120" spans="1:90" x14ac:dyDescent="0.35">
      <c r="A120" s="72">
        <v>299</v>
      </c>
      <c r="B120" s="72" t="s">
        <v>357</v>
      </c>
      <c r="C120" s="72">
        <v>5</v>
      </c>
      <c r="D120" s="78">
        <v>3727600000</v>
      </c>
      <c r="E120" s="78">
        <v>597450000</v>
      </c>
      <c r="F120" s="78">
        <v>612850000</v>
      </c>
      <c r="G120" s="78">
        <v>44096</v>
      </c>
      <c r="H120" s="78">
        <v>6</v>
      </c>
      <c r="I120" s="78">
        <f t="shared" si="5"/>
        <v>612.85</v>
      </c>
      <c r="J120" s="78">
        <v>7715</v>
      </c>
      <c r="K120" s="78">
        <v>10895</v>
      </c>
      <c r="L120" s="78">
        <v>3424</v>
      </c>
      <c r="M120" s="78">
        <v>6365</v>
      </c>
      <c r="N120" s="78">
        <f t="shared" si="6"/>
        <v>4325.5</v>
      </c>
      <c r="O120" s="78">
        <v>849.33333333333303</v>
      </c>
      <c r="P120" s="78">
        <v>62</v>
      </c>
      <c r="Q120" s="78">
        <v>3392.3333333333298</v>
      </c>
      <c r="R120" s="78">
        <v>6619</v>
      </c>
      <c r="S120" s="78">
        <v>1260</v>
      </c>
      <c r="T120" s="78">
        <v>0</v>
      </c>
      <c r="U120" s="78">
        <v>1406</v>
      </c>
      <c r="V120" s="78">
        <v>20463</v>
      </c>
      <c r="W120" s="78">
        <v>40640</v>
      </c>
      <c r="X120" s="78">
        <v>24990</v>
      </c>
      <c r="Y120" s="78">
        <v>471.24</v>
      </c>
      <c r="Z120" s="78">
        <v>1473.6</v>
      </c>
      <c r="AA120" s="78">
        <v>0</v>
      </c>
      <c r="AB120" s="399">
        <f>IF((J120-'[2]Basisgegevens aanvullend'!D120*1.1)&lt;=0,0,J120-'[2]Basisgegevens aanvullend'!D120*1.1)</f>
        <v>0</v>
      </c>
      <c r="AC120" s="399">
        <v>0</v>
      </c>
      <c r="AD120" s="78">
        <v>9246</v>
      </c>
      <c r="AE120" s="78">
        <v>9246</v>
      </c>
      <c r="AF120" s="78">
        <v>1364</v>
      </c>
      <c r="AG120" s="78">
        <v>0</v>
      </c>
      <c r="AH120" s="78">
        <v>238</v>
      </c>
      <c r="AI120" s="78">
        <v>89</v>
      </c>
      <c r="AJ120" s="78">
        <v>238</v>
      </c>
      <c r="AK120" s="78">
        <v>89</v>
      </c>
      <c r="AL120" s="78">
        <v>328</v>
      </c>
      <c r="AM120" s="78">
        <v>20395</v>
      </c>
      <c r="AN120" s="78">
        <v>20395</v>
      </c>
      <c r="AO120" s="78">
        <v>6</v>
      </c>
      <c r="AP120" s="78">
        <v>0</v>
      </c>
      <c r="AQ120" s="78">
        <v>0</v>
      </c>
      <c r="AR120" s="78">
        <v>0</v>
      </c>
      <c r="AS120" s="78">
        <v>0</v>
      </c>
      <c r="AT120" s="78">
        <v>0</v>
      </c>
      <c r="AU120" s="400">
        <v>4.2519900000000002E-4</v>
      </c>
      <c r="AV120" s="400">
        <v>4.5495600000000001E-4</v>
      </c>
      <c r="AW120" s="78">
        <v>21333.17</v>
      </c>
      <c r="AX120" s="78">
        <v>0</v>
      </c>
      <c r="AY120" s="78">
        <v>3366</v>
      </c>
      <c r="AZ120" s="78">
        <v>13989.3624882187</v>
      </c>
      <c r="BA120" s="78">
        <v>13</v>
      </c>
      <c r="BB120" s="78">
        <v>13</v>
      </c>
      <c r="BC120" s="78">
        <v>4332</v>
      </c>
      <c r="BD120" s="78">
        <v>1</v>
      </c>
      <c r="BE120" s="78">
        <v>0</v>
      </c>
      <c r="BF120" s="78">
        <v>0</v>
      </c>
      <c r="BG120" s="78">
        <v>0</v>
      </c>
      <c r="BH120" s="78">
        <v>0</v>
      </c>
      <c r="BI120" s="78">
        <v>0</v>
      </c>
      <c r="BJ120" s="78">
        <v>0</v>
      </c>
      <c r="BK120" s="78">
        <v>0</v>
      </c>
      <c r="BL120" s="78">
        <v>0</v>
      </c>
      <c r="BM120" s="78">
        <v>918.08500000000004</v>
      </c>
      <c r="BN120" s="78">
        <v>141</v>
      </c>
      <c r="BO120" s="78">
        <v>51</v>
      </c>
      <c r="BP120" s="78">
        <v>12404.96</v>
      </c>
      <c r="BQ120" s="78">
        <v>2613.48</v>
      </c>
      <c r="BR120" s="78">
        <v>267.50638956310701</v>
      </c>
      <c r="BS120" s="78">
        <v>512</v>
      </c>
      <c r="BT120" s="78">
        <v>202.666666666667</v>
      </c>
      <c r="BU120" s="78">
        <v>205</v>
      </c>
      <c r="BV120" s="78">
        <f t="shared" si="7"/>
        <v>2542.9999999999968</v>
      </c>
      <c r="BW120" s="78">
        <v>711</v>
      </c>
      <c r="BX120" s="78">
        <v>8475.5031771428603</v>
      </c>
      <c r="BY120" s="78">
        <v>1.855</v>
      </c>
      <c r="BZ120" s="78">
        <v>33201</v>
      </c>
      <c r="CA120" s="78">
        <v>6382</v>
      </c>
      <c r="CB120" s="78">
        <v>1089</v>
      </c>
      <c r="CC120" s="78">
        <v>1348</v>
      </c>
      <c r="CD120" s="78">
        <v>1126</v>
      </c>
      <c r="CE120" s="78">
        <v>577</v>
      </c>
      <c r="CF120" s="78">
        <v>835.19583231184095</v>
      </c>
      <c r="CG120" s="78">
        <v>505.40164255945098</v>
      </c>
      <c r="CH120" s="78">
        <v>171.153640598186</v>
      </c>
      <c r="CI120" s="78">
        <v>2015.8622</v>
      </c>
      <c r="CJ120" s="78">
        <v>1219.8577</v>
      </c>
      <c r="CK120" s="78">
        <v>413.10329999999999</v>
      </c>
      <c r="CL120" s="78">
        <v>42018</v>
      </c>
    </row>
    <row r="121" spans="1:90" x14ac:dyDescent="0.35">
      <c r="A121" s="72">
        <v>301</v>
      </c>
      <c r="B121" s="72" t="s">
        <v>362</v>
      </c>
      <c r="C121" s="72">
        <v>5</v>
      </c>
      <c r="D121" s="78">
        <v>4204800000</v>
      </c>
      <c r="E121" s="78">
        <v>660100000</v>
      </c>
      <c r="F121" s="78">
        <v>705250000</v>
      </c>
      <c r="G121" s="78">
        <v>48111</v>
      </c>
      <c r="H121" s="78">
        <v>1</v>
      </c>
      <c r="I121" s="78">
        <f t="shared" si="5"/>
        <v>705.25</v>
      </c>
      <c r="J121" s="78">
        <v>8836</v>
      </c>
      <c r="K121" s="78">
        <v>10985</v>
      </c>
      <c r="L121" s="78">
        <v>3216</v>
      </c>
      <c r="M121" s="78">
        <v>7732</v>
      </c>
      <c r="N121" s="78">
        <f t="shared" si="6"/>
        <v>5405.5</v>
      </c>
      <c r="O121" s="78">
        <v>1424</v>
      </c>
      <c r="P121" s="78">
        <v>114</v>
      </c>
      <c r="Q121" s="78">
        <v>4844</v>
      </c>
      <c r="R121" s="78">
        <v>8740</v>
      </c>
      <c r="S121" s="78">
        <v>2765</v>
      </c>
      <c r="T121" s="78">
        <v>0</v>
      </c>
      <c r="U121" s="78">
        <v>1832</v>
      </c>
      <c r="V121" s="78">
        <v>23797</v>
      </c>
      <c r="W121" s="78">
        <v>54660</v>
      </c>
      <c r="X121" s="78">
        <v>60410</v>
      </c>
      <c r="Y121" s="78">
        <v>1201.5999999999999</v>
      </c>
      <c r="Z121" s="78">
        <v>4166.3999999999996</v>
      </c>
      <c r="AA121" s="78">
        <v>0</v>
      </c>
      <c r="AB121" s="399">
        <f>IF((J121-'[2]Basisgegevens aanvullend'!D121*1.1)&lt;=0,0,J121-'[2]Basisgegevens aanvullend'!D121*1.1)</f>
        <v>0</v>
      </c>
      <c r="AC121" s="399">
        <v>0</v>
      </c>
      <c r="AD121" s="78">
        <v>4092</v>
      </c>
      <c r="AE121" s="78">
        <v>4092</v>
      </c>
      <c r="AF121" s="78">
        <v>202</v>
      </c>
      <c r="AG121" s="78">
        <v>0</v>
      </c>
      <c r="AH121" s="78">
        <v>228</v>
      </c>
      <c r="AI121" s="78">
        <v>44</v>
      </c>
      <c r="AJ121" s="78">
        <v>228</v>
      </c>
      <c r="AK121" s="78">
        <v>44</v>
      </c>
      <c r="AL121" s="78">
        <v>272</v>
      </c>
      <c r="AM121" s="78">
        <v>23265</v>
      </c>
      <c r="AN121" s="78">
        <v>23265</v>
      </c>
      <c r="AO121" s="78">
        <v>28</v>
      </c>
      <c r="AP121" s="78">
        <v>0</v>
      </c>
      <c r="AQ121" s="78">
        <v>0</v>
      </c>
      <c r="AR121" s="78">
        <v>5750</v>
      </c>
      <c r="AS121" s="78">
        <v>4318</v>
      </c>
      <c r="AT121" s="78">
        <v>4318</v>
      </c>
      <c r="AU121" s="400">
        <v>1.9470749999999999E-3</v>
      </c>
      <c r="AV121" s="400">
        <v>1.4612200000000001E-3</v>
      </c>
      <c r="AW121" s="78">
        <v>38573.370000000003</v>
      </c>
      <c r="AX121" s="78">
        <v>0</v>
      </c>
      <c r="AY121" s="78">
        <v>1379</v>
      </c>
      <c r="AZ121" s="78">
        <v>15450.6448532837</v>
      </c>
      <c r="BA121" s="78">
        <v>1</v>
      </c>
      <c r="BB121" s="78">
        <v>1</v>
      </c>
      <c r="BC121" s="78">
        <v>5320</v>
      </c>
      <c r="BD121" s="78">
        <v>1</v>
      </c>
      <c r="BE121" s="78">
        <v>0</v>
      </c>
      <c r="BF121" s="78">
        <v>0</v>
      </c>
      <c r="BG121" s="78">
        <v>0</v>
      </c>
      <c r="BH121" s="78">
        <v>0</v>
      </c>
      <c r="BI121" s="78">
        <v>0</v>
      </c>
      <c r="BJ121" s="78">
        <v>0</v>
      </c>
      <c r="BK121" s="78">
        <v>0</v>
      </c>
      <c r="BL121" s="78">
        <v>0</v>
      </c>
      <c r="BM121" s="78">
        <v>1360.7439999999999</v>
      </c>
      <c r="BN121" s="78">
        <v>173</v>
      </c>
      <c r="BO121" s="78">
        <v>150</v>
      </c>
      <c r="BP121" s="78">
        <v>13381.2</v>
      </c>
      <c r="BQ121" s="78">
        <v>2760.45</v>
      </c>
      <c r="BR121" s="78">
        <v>495.48700922640199</v>
      </c>
      <c r="BS121" s="78">
        <v>681</v>
      </c>
      <c r="BT121" s="78">
        <v>387</v>
      </c>
      <c r="BU121" s="78">
        <v>366.33333333333297</v>
      </c>
      <c r="BV121" s="78">
        <f t="shared" si="7"/>
        <v>3420</v>
      </c>
      <c r="BW121" s="78">
        <v>1176</v>
      </c>
      <c r="BX121" s="78">
        <v>9338.2754437351396</v>
      </c>
      <c r="BY121" s="78">
        <v>4.0650000000000004</v>
      </c>
      <c r="BZ121" s="78">
        <v>37126</v>
      </c>
      <c r="CA121" s="78">
        <v>6605</v>
      </c>
      <c r="CB121" s="78">
        <v>1164</v>
      </c>
      <c r="CC121" s="78">
        <v>1762</v>
      </c>
      <c r="CD121" s="78">
        <v>1154</v>
      </c>
      <c r="CE121" s="78">
        <v>599</v>
      </c>
      <c r="CF121" s="78">
        <v>990.02086825703805</v>
      </c>
      <c r="CG121" s="78">
        <v>531.37238340855401</v>
      </c>
      <c r="CH121" s="78">
        <v>192.38143133462299</v>
      </c>
      <c r="CI121" s="78">
        <v>2238.7294000000002</v>
      </c>
      <c r="CJ121" s="78">
        <v>1201.5898</v>
      </c>
      <c r="CK121" s="78">
        <v>435.03120000000001</v>
      </c>
      <c r="CL121" s="78">
        <v>62639</v>
      </c>
    </row>
    <row r="122" spans="1:90" x14ac:dyDescent="0.35">
      <c r="A122" s="72">
        <v>307</v>
      </c>
      <c r="B122" s="72" t="s">
        <v>24</v>
      </c>
      <c r="C122" s="72">
        <v>6</v>
      </c>
      <c r="D122" s="78">
        <v>18406800000</v>
      </c>
      <c r="E122" s="78">
        <v>2505300000</v>
      </c>
      <c r="F122" s="78">
        <v>2574250000</v>
      </c>
      <c r="G122" s="78">
        <v>157462</v>
      </c>
      <c r="H122" s="78">
        <v>1</v>
      </c>
      <c r="I122" s="78">
        <f t="shared" si="5"/>
        <v>2574.25</v>
      </c>
      <c r="J122" s="78">
        <v>34128</v>
      </c>
      <c r="K122" s="78">
        <v>24268</v>
      </c>
      <c r="L122" s="78">
        <v>7220</v>
      </c>
      <c r="M122" s="78">
        <v>19475</v>
      </c>
      <c r="N122" s="78">
        <f t="shared" si="6"/>
        <v>12528.4</v>
      </c>
      <c r="O122" s="78">
        <v>3284.3333333333298</v>
      </c>
      <c r="P122" s="78">
        <v>132</v>
      </c>
      <c r="Q122" s="78">
        <v>11216.333333333299</v>
      </c>
      <c r="R122" s="78">
        <v>25576</v>
      </c>
      <c r="S122" s="78">
        <v>16065</v>
      </c>
      <c r="T122" s="78">
        <v>0</v>
      </c>
      <c r="U122" s="78">
        <v>5423</v>
      </c>
      <c r="V122" s="78">
        <v>71846</v>
      </c>
      <c r="W122" s="78">
        <v>181370</v>
      </c>
      <c r="X122" s="78">
        <v>249440</v>
      </c>
      <c r="Y122" s="78">
        <v>5595.3</v>
      </c>
      <c r="Z122" s="78">
        <v>11608</v>
      </c>
      <c r="AA122" s="78">
        <v>0</v>
      </c>
      <c r="AB122" s="399">
        <f>IF((J122-'[2]Basisgegevens aanvullend'!D122*1.1)&lt;=0,0,J122-'[2]Basisgegevens aanvullend'!D122*1.1)</f>
        <v>0</v>
      </c>
      <c r="AC122" s="399">
        <v>0</v>
      </c>
      <c r="AD122" s="78">
        <v>6252</v>
      </c>
      <c r="AE122" s="78">
        <v>6252</v>
      </c>
      <c r="AF122" s="78">
        <v>134</v>
      </c>
      <c r="AG122" s="78">
        <v>0</v>
      </c>
      <c r="AH122" s="78">
        <v>637</v>
      </c>
      <c r="AI122" s="78">
        <v>40</v>
      </c>
      <c r="AJ122" s="78">
        <v>637</v>
      </c>
      <c r="AK122" s="78">
        <v>40</v>
      </c>
      <c r="AL122" s="78">
        <v>677</v>
      </c>
      <c r="AM122" s="78">
        <v>69466</v>
      </c>
      <c r="AN122" s="78">
        <v>69466</v>
      </c>
      <c r="AO122" s="78">
        <v>40</v>
      </c>
      <c r="AP122" s="78">
        <v>0</v>
      </c>
      <c r="AQ122" s="78">
        <v>0</v>
      </c>
      <c r="AR122" s="78">
        <v>6800</v>
      </c>
      <c r="AS122" s="78">
        <v>8558</v>
      </c>
      <c r="AT122" s="78">
        <v>8558</v>
      </c>
      <c r="AU122" s="400">
        <v>3.2054090000000002E-3</v>
      </c>
      <c r="AV122" s="400">
        <v>4.5012940000000003E-3</v>
      </c>
      <c r="AW122" s="78">
        <v>162619.90599999999</v>
      </c>
      <c r="AX122" s="78">
        <v>0</v>
      </c>
      <c r="AY122" s="78">
        <v>2531</v>
      </c>
      <c r="AZ122" s="78">
        <v>62407.817413091099</v>
      </c>
      <c r="BA122" s="78">
        <v>3</v>
      </c>
      <c r="BB122" s="78">
        <v>3</v>
      </c>
      <c r="BC122" s="78">
        <v>20424</v>
      </c>
      <c r="BD122" s="78">
        <v>1</v>
      </c>
      <c r="BE122" s="78">
        <v>0</v>
      </c>
      <c r="BF122" s="78">
        <v>0</v>
      </c>
      <c r="BG122" s="78">
        <v>0</v>
      </c>
      <c r="BH122" s="78">
        <v>0</v>
      </c>
      <c r="BI122" s="78">
        <v>0</v>
      </c>
      <c r="BJ122" s="78">
        <v>0</v>
      </c>
      <c r="BK122" s="78">
        <v>0</v>
      </c>
      <c r="BL122" s="78">
        <v>0</v>
      </c>
      <c r="BM122" s="78">
        <v>3583.44</v>
      </c>
      <c r="BN122" s="78">
        <v>270</v>
      </c>
      <c r="BO122" s="78">
        <v>459</v>
      </c>
      <c r="BP122" s="78">
        <v>50142.96</v>
      </c>
      <c r="BQ122" s="78">
        <v>13426.81</v>
      </c>
      <c r="BR122" s="78">
        <v>1701.0630285647101</v>
      </c>
      <c r="BS122" s="78">
        <v>2125</v>
      </c>
      <c r="BT122" s="78">
        <v>975.66666666666697</v>
      </c>
      <c r="BU122" s="78">
        <v>885</v>
      </c>
      <c r="BV122" s="78">
        <f t="shared" si="7"/>
        <v>7931.9999999999691</v>
      </c>
      <c r="BW122" s="78">
        <v>1906</v>
      </c>
      <c r="BX122" s="78">
        <v>19515.932949464601</v>
      </c>
      <c r="BY122" s="78">
        <v>7.2060000000000004</v>
      </c>
      <c r="BZ122" s="78">
        <v>133194</v>
      </c>
      <c r="CA122" s="78">
        <v>14208</v>
      </c>
      <c r="CB122" s="78">
        <v>2840</v>
      </c>
      <c r="CC122" s="78">
        <v>3831</v>
      </c>
      <c r="CD122" s="78">
        <v>2806</v>
      </c>
      <c r="CE122" s="78">
        <v>1536</v>
      </c>
      <c r="CF122" s="78">
        <v>1690.2681138974499</v>
      </c>
      <c r="CG122" s="78">
        <v>931.70348659776005</v>
      </c>
      <c r="CH122" s="78">
        <v>369.54325281432602</v>
      </c>
      <c r="CI122" s="78">
        <v>3687.8820000000001</v>
      </c>
      <c r="CJ122" s="78">
        <v>2032.8209999999999</v>
      </c>
      <c r="CK122" s="78">
        <v>806.28150000000005</v>
      </c>
      <c r="CL122" s="78">
        <v>128927</v>
      </c>
    </row>
    <row r="123" spans="1:90" x14ac:dyDescent="0.35">
      <c r="A123" s="72">
        <v>308</v>
      </c>
      <c r="B123" s="72" t="s">
        <v>33</v>
      </c>
      <c r="C123" s="72">
        <v>6</v>
      </c>
      <c r="D123" s="78">
        <v>3547600000</v>
      </c>
      <c r="E123" s="78">
        <v>305200000</v>
      </c>
      <c r="F123" s="78">
        <v>314300000</v>
      </c>
      <c r="G123" s="78">
        <v>24792</v>
      </c>
      <c r="H123" s="78">
        <v>1</v>
      </c>
      <c r="I123" s="78">
        <f t="shared" si="5"/>
        <v>314.3</v>
      </c>
      <c r="J123" s="78">
        <v>4725</v>
      </c>
      <c r="K123" s="78">
        <v>6038</v>
      </c>
      <c r="L123" s="78">
        <v>1947</v>
      </c>
      <c r="M123" s="78">
        <v>3259</v>
      </c>
      <c r="N123" s="78">
        <f t="shared" si="6"/>
        <v>2001.1</v>
      </c>
      <c r="O123" s="78">
        <v>345.33333333333297</v>
      </c>
      <c r="P123" s="78">
        <v>14</v>
      </c>
      <c r="Q123" s="78">
        <v>1859.3333333333301</v>
      </c>
      <c r="R123" s="78">
        <v>4335</v>
      </c>
      <c r="S123" s="78">
        <v>1125</v>
      </c>
      <c r="T123" s="78">
        <v>0</v>
      </c>
      <c r="U123" s="78">
        <v>780</v>
      </c>
      <c r="V123" s="78">
        <v>12235</v>
      </c>
      <c r="W123" s="78">
        <v>21480</v>
      </c>
      <c r="X123" s="78">
        <v>7760</v>
      </c>
      <c r="Y123" s="78">
        <v>0</v>
      </c>
      <c r="Z123" s="78">
        <v>1200</v>
      </c>
      <c r="AA123" s="78">
        <v>0</v>
      </c>
      <c r="AB123" s="399">
        <f>IF((J123-'[2]Basisgegevens aanvullend'!D123*1.1)&lt;=0,0,J123-'[2]Basisgegevens aanvullend'!D123*1.1)</f>
        <v>0</v>
      </c>
      <c r="AC123" s="399">
        <v>19.399999999999899</v>
      </c>
      <c r="AD123" s="78">
        <v>3253</v>
      </c>
      <c r="AE123" s="78">
        <v>3253</v>
      </c>
      <c r="AF123" s="78">
        <v>48</v>
      </c>
      <c r="AG123" s="78">
        <v>0</v>
      </c>
      <c r="AH123" s="78">
        <v>111</v>
      </c>
      <c r="AI123" s="78">
        <v>15</v>
      </c>
      <c r="AJ123" s="78">
        <v>111</v>
      </c>
      <c r="AK123" s="78">
        <v>15</v>
      </c>
      <c r="AL123" s="78">
        <v>126</v>
      </c>
      <c r="AM123" s="78">
        <v>12579</v>
      </c>
      <c r="AN123" s="78">
        <v>12579</v>
      </c>
      <c r="AO123" s="78">
        <v>0</v>
      </c>
      <c r="AP123" s="78">
        <v>0</v>
      </c>
      <c r="AQ123" s="78">
        <v>0</v>
      </c>
      <c r="AR123" s="78">
        <v>0</v>
      </c>
      <c r="AS123" s="78">
        <v>2959</v>
      </c>
      <c r="AT123" s="78">
        <v>0</v>
      </c>
      <c r="AU123" s="400">
        <v>5.3931300000000003E-4</v>
      </c>
      <c r="AV123" s="400">
        <v>3.8862899999999998E-4</v>
      </c>
      <c r="AW123" s="78">
        <v>20352.822</v>
      </c>
      <c r="AX123" s="78">
        <v>0</v>
      </c>
      <c r="AY123" s="78">
        <v>622</v>
      </c>
      <c r="AZ123" s="78">
        <v>4671.5007573462599</v>
      </c>
      <c r="BA123" s="78">
        <v>5</v>
      </c>
      <c r="BB123" s="78">
        <v>5</v>
      </c>
      <c r="BC123" s="78">
        <v>3800</v>
      </c>
      <c r="BD123" s="78">
        <v>1</v>
      </c>
      <c r="BE123" s="78">
        <v>0</v>
      </c>
      <c r="BF123" s="78">
        <v>0</v>
      </c>
      <c r="BG123" s="78">
        <v>0</v>
      </c>
      <c r="BH123" s="78">
        <v>0</v>
      </c>
      <c r="BI123" s="78">
        <v>0</v>
      </c>
      <c r="BJ123" s="78">
        <v>0</v>
      </c>
      <c r="BK123" s="78">
        <v>0</v>
      </c>
      <c r="BL123" s="78">
        <v>0</v>
      </c>
      <c r="BM123" s="78">
        <v>444.15</v>
      </c>
      <c r="BN123" s="78">
        <v>40</v>
      </c>
      <c r="BO123" s="78">
        <v>46</v>
      </c>
      <c r="BP123" s="78">
        <v>8820.35</v>
      </c>
      <c r="BQ123" s="78">
        <v>2198.2800000000002</v>
      </c>
      <c r="BR123" s="78">
        <v>204.22731532524799</v>
      </c>
      <c r="BS123" s="78">
        <v>282</v>
      </c>
      <c r="BT123" s="78">
        <v>86</v>
      </c>
      <c r="BU123" s="78">
        <v>73</v>
      </c>
      <c r="BV123" s="78">
        <f t="shared" si="7"/>
        <v>1513.999999999997</v>
      </c>
      <c r="BW123" s="78">
        <v>766</v>
      </c>
      <c r="BX123" s="78">
        <v>3765.29746179829</v>
      </c>
      <c r="BY123" s="78">
        <v>0.56399999999999995</v>
      </c>
      <c r="BZ123" s="78">
        <v>18754</v>
      </c>
      <c r="CA123" s="78">
        <v>3235</v>
      </c>
      <c r="CB123" s="78">
        <v>856</v>
      </c>
      <c r="CC123" s="78">
        <v>870</v>
      </c>
      <c r="CD123" s="78">
        <v>735</v>
      </c>
      <c r="CE123" s="78">
        <v>433</v>
      </c>
      <c r="CF123" s="78">
        <v>321.02868272517702</v>
      </c>
      <c r="CG123" s="78">
        <v>217.624994037682</v>
      </c>
      <c r="CH123" s="78">
        <v>97.040384768264602</v>
      </c>
      <c r="CI123" s="78">
        <v>643.94380000000001</v>
      </c>
      <c r="CJ123" s="78">
        <v>436.52879999999999</v>
      </c>
      <c r="CK123" s="78">
        <v>194.65100000000001</v>
      </c>
      <c r="CL123" s="78">
        <v>339604</v>
      </c>
    </row>
    <row r="124" spans="1:90" x14ac:dyDescent="0.35">
      <c r="A124" s="72">
        <v>312</v>
      </c>
      <c r="B124" s="72" t="s">
        <v>65</v>
      </c>
      <c r="C124" s="72">
        <v>6</v>
      </c>
      <c r="D124" s="78">
        <v>2057600000</v>
      </c>
      <c r="E124" s="78">
        <v>214900000</v>
      </c>
      <c r="F124" s="78">
        <v>229600000</v>
      </c>
      <c r="G124" s="78">
        <v>15341</v>
      </c>
      <c r="H124" s="78">
        <v>3</v>
      </c>
      <c r="I124" s="78">
        <f t="shared" si="5"/>
        <v>229.6</v>
      </c>
      <c r="J124" s="78">
        <v>3368</v>
      </c>
      <c r="K124" s="78">
        <v>3426</v>
      </c>
      <c r="L124" s="78">
        <v>1176</v>
      </c>
      <c r="M124" s="78">
        <v>1245</v>
      </c>
      <c r="N124" s="78">
        <f t="shared" si="6"/>
        <v>590.4</v>
      </c>
      <c r="O124" s="78">
        <v>113.666666666667</v>
      </c>
      <c r="P124" s="78">
        <v>10</v>
      </c>
      <c r="Q124" s="78">
        <v>599.66666666666697</v>
      </c>
      <c r="R124" s="78">
        <v>2014</v>
      </c>
      <c r="S124" s="78">
        <v>410</v>
      </c>
      <c r="T124" s="78">
        <v>0</v>
      </c>
      <c r="U124" s="78">
        <v>365</v>
      </c>
      <c r="V124" s="78">
        <v>6640</v>
      </c>
      <c r="W124" s="78">
        <v>8500</v>
      </c>
      <c r="X124" s="78">
        <v>620</v>
      </c>
      <c r="Y124" s="78">
        <v>51.9</v>
      </c>
      <c r="Z124" s="78">
        <v>0</v>
      </c>
      <c r="AA124" s="78">
        <v>0</v>
      </c>
      <c r="AB124" s="399">
        <f>IF((J124-'[2]Basisgegevens aanvullend'!D124*1.1)&lt;=0,0,J124-'[2]Basisgegevens aanvullend'!D124*1.1)</f>
        <v>0</v>
      </c>
      <c r="AC124" s="399">
        <v>0</v>
      </c>
      <c r="AD124" s="78">
        <v>3689</v>
      </c>
      <c r="AE124" s="78">
        <v>3762.78</v>
      </c>
      <c r="AF124" s="78">
        <v>68</v>
      </c>
      <c r="AG124" s="78">
        <v>0</v>
      </c>
      <c r="AH124" s="78">
        <v>82</v>
      </c>
      <c r="AI124" s="78">
        <v>31</v>
      </c>
      <c r="AJ124" s="78">
        <v>82</v>
      </c>
      <c r="AK124" s="78">
        <v>31.93</v>
      </c>
      <c r="AL124" s="78">
        <v>113</v>
      </c>
      <c r="AM124" s="78">
        <v>6546</v>
      </c>
      <c r="AN124" s="78">
        <v>6546</v>
      </c>
      <c r="AO124" s="78">
        <v>0</v>
      </c>
      <c r="AP124" s="78">
        <v>0</v>
      </c>
      <c r="AQ124" s="78">
        <v>0</v>
      </c>
      <c r="AR124" s="78">
        <v>0</v>
      </c>
      <c r="AS124" s="78">
        <v>0</v>
      </c>
      <c r="AT124" s="78">
        <v>0</v>
      </c>
      <c r="AU124" s="400">
        <v>4.5543000000000001E-5</v>
      </c>
      <c r="AV124" s="400">
        <v>4.6032999999999998E-5</v>
      </c>
      <c r="AW124" s="78">
        <v>4366.1819999999998</v>
      </c>
      <c r="AX124" s="78">
        <v>0</v>
      </c>
      <c r="AY124" s="78">
        <v>932.28</v>
      </c>
      <c r="AZ124" s="78">
        <v>3923.4086877828099</v>
      </c>
      <c r="BA124" s="78">
        <v>3</v>
      </c>
      <c r="BB124" s="78">
        <v>3.09</v>
      </c>
      <c r="BC124" s="78">
        <v>2181</v>
      </c>
      <c r="BD124" s="78">
        <v>1</v>
      </c>
      <c r="BE124" s="78">
        <v>0</v>
      </c>
      <c r="BF124" s="78">
        <v>0</v>
      </c>
      <c r="BG124" s="78">
        <v>0</v>
      </c>
      <c r="BH124" s="78">
        <v>0</v>
      </c>
      <c r="BI124" s="78">
        <v>0</v>
      </c>
      <c r="BJ124" s="78">
        <v>0</v>
      </c>
      <c r="BK124" s="78">
        <v>0</v>
      </c>
      <c r="BL124" s="78">
        <v>0</v>
      </c>
      <c r="BM124" s="78">
        <v>158.29599999999999</v>
      </c>
      <c r="BN124" s="78">
        <v>14</v>
      </c>
      <c r="BO124" s="78">
        <v>10</v>
      </c>
      <c r="BP124" s="78">
        <v>5729.68</v>
      </c>
      <c r="BQ124" s="78">
        <v>1532.52</v>
      </c>
      <c r="BR124" s="78">
        <v>109.048480400334</v>
      </c>
      <c r="BS124" s="78">
        <v>139</v>
      </c>
      <c r="BT124" s="78">
        <v>30.6666666666667</v>
      </c>
      <c r="BU124" s="78">
        <v>20</v>
      </c>
      <c r="BV124" s="78">
        <f t="shared" si="7"/>
        <v>486</v>
      </c>
      <c r="BW124" s="78">
        <v>116</v>
      </c>
      <c r="BX124" s="78">
        <v>2306.63361727339</v>
      </c>
      <c r="BY124" s="78">
        <v>7.1999999999999995E-2</v>
      </c>
      <c r="BZ124" s="78">
        <v>11915</v>
      </c>
      <c r="CA124" s="78">
        <v>1770</v>
      </c>
      <c r="CB124" s="78">
        <v>480</v>
      </c>
      <c r="CC124" s="78">
        <v>318</v>
      </c>
      <c r="CD124" s="78">
        <v>373</v>
      </c>
      <c r="CE124" s="78">
        <v>239</v>
      </c>
      <c r="CF124" s="78">
        <v>97.858845096242007</v>
      </c>
      <c r="CG124" s="78">
        <v>72.875527039413399</v>
      </c>
      <c r="CH124" s="78">
        <v>32.379101741521502</v>
      </c>
      <c r="CI124" s="78">
        <v>294.3605</v>
      </c>
      <c r="CJ124" s="78">
        <v>219.21039999999999</v>
      </c>
      <c r="CK124" s="78">
        <v>97.396699999999996</v>
      </c>
      <c r="CL124" s="78">
        <v>0</v>
      </c>
    </row>
    <row r="125" spans="1:90" x14ac:dyDescent="0.35">
      <c r="A125" s="72">
        <v>313</v>
      </c>
      <c r="B125" s="72" t="s">
        <v>66</v>
      </c>
      <c r="C125" s="72">
        <v>6</v>
      </c>
      <c r="D125" s="78">
        <v>2304400000</v>
      </c>
      <c r="E125" s="78">
        <v>404250000</v>
      </c>
      <c r="F125" s="78">
        <v>415800000</v>
      </c>
      <c r="G125" s="78">
        <v>22019</v>
      </c>
      <c r="H125" s="78">
        <v>1</v>
      </c>
      <c r="I125" s="78">
        <f t="shared" si="5"/>
        <v>415.8</v>
      </c>
      <c r="J125" s="78">
        <v>5086</v>
      </c>
      <c r="K125" s="78">
        <v>3642</v>
      </c>
      <c r="L125" s="78">
        <v>1193</v>
      </c>
      <c r="M125" s="78">
        <v>2075</v>
      </c>
      <c r="N125" s="78">
        <f t="shared" si="6"/>
        <v>1205.1999999999998</v>
      </c>
      <c r="O125" s="78">
        <v>159.333333333333</v>
      </c>
      <c r="P125" s="78">
        <v>19</v>
      </c>
      <c r="Q125" s="78">
        <v>968.33333333333303</v>
      </c>
      <c r="R125" s="78">
        <v>2223</v>
      </c>
      <c r="S125" s="78">
        <v>670</v>
      </c>
      <c r="T125" s="78">
        <v>0</v>
      </c>
      <c r="U125" s="78">
        <v>439</v>
      </c>
      <c r="V125" s="78">
        <v>8746</v>
      </c>
      <c r="W125" s="78">
        <v>19190</v>
      </c>
      <c r="X125" s="78">
        <v>6510</v>
      </c>
      <c r="Y125" s="78">
        <v>0</v>
      </c>
      <c r="Z125" s="78">
        <v>324.8</v>
      </c>
      <c r="AA125" s="78">
        <v>0</v>
      </c>
      <c r="AB125" s="399">
        <f>IF((J125-'[2]Basisgegevens aanvullend'!D125*1.1)&lt;=0,0,J125-'[2]Basisgegevens aanvullend'!D125*1.1)</f>
        <v>0</v>
      </c>
      <c r="AC125" s="399">
        <v>78.2</v>
      </c>
      <c r="AD125" s="78">
        <v>3039</v>
      </c>
      <c r="AE125" s="78">
        <v>3039</v>
      </c>
      <c r="AF125" s="78">
        <v>442</v>
      </c>
      <c r="AG125" s="78">
        <v>0</v>
      </c>
      <c r="AH125" s="78">
        <v>125</v>
      </c>
      <c r="AI125" s="78">
        <v>21</v>
      </c>
      <c r="AJ125" s="78">
        <v>125</v>
      </c>
      <c r="AK125" s="78">
        <v>21</v>
      </c>
      <c r="AL125" s="78">
        <v>147</v>
      </c>
      <c r="AM125" s="78">
        <v>8698</v>
      </c>
      <c r="AN125" s="78">
        <v>8698</v>
      </c>
      <c r="AO125" s="78">
        <v>0</v>
      </c>
      <c r="AP125" s="78">
        <v>0</v>
      </c>
      <c r="AQ125" s="78">
        <v>0</v>
      </c>
      <c r="AR125" s="78">
        <v>0</v>
      </c>
      <c r="AS125" s="78">
        <v>717</v>
      </c>
      <c r="AT125" s="78">
        <v>0</v>
      </c>
      <c r="AU125" s="400">
        <v>7.5710000000000005E-5</v>
      </c>
      <c r="AV125" s="400">
        <v>4.4685999999999999E-5</v>
      </c>
      <c r="AW125" s="78">
        <v>10298.432000000001</v>
      </c>
      <c r="AX125" s="78">
        <v>0</v>
      </c>
      <c r="AY125" s="78">
        <v>1018</v>
      </c>
      <c r="AZ125" s="78">
        <v>6439.33984487216</v>
      </c>
      <c r="BA125" s="78">
        <v>2</v>
      </c>
      <c r="BB125" s="78">
        <v>2</v>
      </c>
      <c r="BC125" s="78">
        <v>2637</v>
      </c>
      <c r="BD125" s="78">
        <v>1</v>
      </c>
      <c r="BE125" s="78">
        <v>0</v>
      </c>
      <c r="BF125" s="78">
        <v>0</v>
      </c>
      <c r="BG125" s="78">
        <v>0</v>
      </c>
      <c r="BH125" s="78">
        <v>0</v>
      </c>
      <c r="BI125" s="78">
        <v>0</v>
      </c>
      <c r="BJ125" s="78">
        <v>0</v>
      </c>
      <c r="BK125" s="78">
        <v>0</v>
      </c>
      <c r="BL125" s="78">
        <v>0</v>
      </c>
      <c r="BM125" s="78">
        <v>284.81599999999997</v>
      </c>
      <c r="BN125" s="78">
        <v>160</v>
      </c>
      <c r="BO125" s="78">
        <v>58</v>
      </c>
      <c r="BP125" s="78">
        <v>6014.41</v>
      </c>
      <c r="BQ125" s="78">
        <v>1826.43</v>
      </c>
      <c r="BR125" s="78">
        <v>217.18695201951701</v>
      </c>
      <c r="BS125" s="78">
        <v>181</v>
      </c>
      <c r="BT125" s="78">
        <v>52.3333333333333</v>
      </c>
      <c r="BU125" s="78">
        <v>35.6666666666667</v>
      </c>
      <c r="BV125" s="78">
        <f t="shared" si="7"/>
        <v>809</v>
      </c>
      <c r="BW125" s="78">
        <v>217</v>
      </c>
      <c r="BX125" s="78">
        <v>2424.92973200402</v>
      </c>
      <c r="BY125" s="78">
        <v>0.111</v>
      </c>
      <c r="BZ125" s="78">
        <v>18377</v>
      </c>
      <c r="CA125" s="78">
        <v>2143</v>
      </c>
      <c r="CB125" s="78">
        <v>306</v>
      </c>
      <c r="CC125" s="78">
        <v>370</v>
      </c>
      <c r="CD125" s="78">
        <v>378</v>
      </c>
      <c r="CE125" s="78">
        <v>140</v>
      </c>
      <c r="CF125" s="78">
        <v>179.29740170154099</v>
      </c>
      <c r="CG125" s="78">
        <v>114.86672798344399</v>
      </c>
      <c r="CH125" s="78">
        <v>27.2964359622902</v>
      </c>
      <c r="CI125" s="78">
        <v>546.5856</v>
      </c>
      <c r="CJ125" s="78">
        <v>350.1696</v>
      </c>
      <c r="CK125" s="78">
        <v>83.212800000000001</v>
      </c>
      <c r="CL125" s="78">
        <v>0</v>
      </c>
    </row>
    <row r="126" spans="1:90" x14ac:dyDescent="0.35">
      <c r="A126" s="72">
        <v>310</v>
      </c>
      <c r="B126" s="72" t="s">
        <v>76</v>
      </c>
      <c r="C126" s="72">
        <v>6</v>
      </c>
      <c r="D126" s="78">
        <v>6834400000</v>
      </c>
      <c r="E126" s="78">
        <v>509950000</v>
      </c>
      <c r="F126" s="78">
        <v>543900000</v>
      </c>
      <c r="G126" s="78">
        <v>43384</v>
      </c>
      <c r="H126" s="78">
        <v>4</v>
      </c>
      <c r="I126" s="78">
        <f t="shared" si="5"/>
        <v>543.9</v>
      </c>
      <c r="J126" s="78">
        <v>9089</v>
      </c>
      <c r="K126" s="78">
        <v>10450</v>
      </c>
      <c r="L126" s="78">
        <v>3344</v>
      </c>
      <c r="M126" s="78">
        <v>4993</v>
      </c>
      <c r="N126" s="78">
        <f t="shared" si="6"/>
        <v>2959.8</v>
      </c>
      <c r="O126" s="78">
        <v>545.66666666666697</v>
      </c>
      <c r="P126" s="78">
        <v>26</v>
      </c>
      <c r="Q126" s="78">
        <v>2237.6666666666702</v>
      </c>
      <c r="R126" s="78">
        <v>7131</v>
      </c>
      <c r="S126" s="78">
        <v>2170</v>
      </c>
      <c r="T126" s="78">
        <v>0</v>
      </c>
      <c r="U126" s="78">
        <v>1297</v>
      </c>
      <c r="V126" s="78">
        <v>19996</v>
      </c>
      <c r="W126" s="78">
        <v>35250</v>
      </c>
      <c r="X126" s="78">
        <v>12300</v>
      </c>
      <c r="Y126" s="78">
        <v>1100.28</v>
      </c>
      <c r="Z126" s="78">
        <v>1995.2</v>
      </c>
      <c r="AA126" s="78">
        <v>0</v>
      </c>
      <c r="AB126" s="399">
        <f>IF((J126-'[2]Basisgegevens aanvullend'!D126*1.1)&lt;=0,0,J126-'[2]Basisgegevens aanvullend'!D126*1.1)</f>
        <v>0</v>
      </c>
      <c r="AC126" s="399">
        <v>70.699999999999804</v>
      </c>
      <c r="AD126" s="78">
        <v>6616</v>
      </c>
      <c r="AE126" s="78">
        <v>6616</v>
      </c>
      <c r="AF126" s="78">
        <v>97</v>
      </c>
      <c r="AG126" s="78">
        <v>0</v>
      </c>
      <c r="AH126" s="78">
        <v>206</v>
      </c>
      <c r="AI126" s="78">
        <v>37</v>
      </c>
      <c r="AJ126" s="78">
        <v>206</v>
      </c>
      <c r="AK126" s="78">
        <v>37</v>
      </c>
      <c r="AL126" s="78">
        <v>243</v>
      </c>
      <c r="AM126" s="78">
        <v>20332</v>
      </c>
      <c r="AN126" s="78">
        <v>20332</v>
      </c>
      <c r="AO126" s="78">
        <v>0</v>
      </c>
      <c r="AP126" s="78">
        <v>0</v>
      </c>
      <c r="AQ126" s="78">
        <v>0</v>
      </c>
      <c r="AR126" s="78">
        <v>0</v>
      </c>
      <c r="AS126" s="78">
        <v>2889</v>
      </c>
      <c r="AT126" s="78">
        <v>0</v>
      </c>
      <c r="AU126" s="400">
        <v>5.8828799999999996E-4</v>
      </c>
      <c r="AV126" s="400">
        <v>8.0894400000000003E-4</v>
      </c>
      <c r="AW126" s="78">
        <v>25862.304</v>
      </c>
      <c r="AX126" s="78">
        <v>0</v>
      </c>
      <c r="AY126" s="78">
        <v>1927</v>
      </c>
      <c r="AZ126" s="78">
        <v>12453.5927305229</v>
      </c>
      <c r="BA126" s="78">
        <v>10</v>
      </c>
      <c r="BB126" s="78">
        <v>10</v>
      </c>
      <c r="BC126" s="78">
        <v>6267</v>
      </c>
      <c r="BD126" s="78">
        <v>1</v>
      </c>
      <c r="BE126" s="78">
        <v>0</v>
      </c>
      <c r="BF126" s="78">
        <v>0</v>
      </c>
      <c r="BG126" s="78">
        <v>0</v>
      </c>
      <c r="BH126" s="78">
        <v>0</v>
      </c>
      <c r="BI126" s="78">
        <v>0</v>
      </c>
      <c r="BJ126" s="78">
        <v>0</v>
      </c>
      <c r="BK126" s="78">
        <v>0</v>
      </c>
      <c r="BL126" s="78">
        <v>0</v>
      </c>
      <c r="BM126" s="78">
        <v>845.27700000000004</v>
      </c>
      <c r="BN126" s="78">
        <v>105</v>
      </c>
      <c r="BO126" s="78">
        <v>60</v>
      </c>
      <c r="BP126" s="78">
        <v>17602.13</v>
      </c>
      <c r="BQ126" s="78">
        <v>4666.3999999999996</v>
      </c>
      <c r="BR126" s="78">
        <v>351.19918181818201</v>
      </c>
      <c r="BS126" s="78">
        <v>487</v>
      </c>
      <c r="BT126" s="78">
        <v>169.333333333333</v>
      </c>
      <c r="BU126" s="78">
        <v>131.666666666667</v>
      </c>
      <c r="BV126" s="78">
        <f t="shared" si="7"/>
        <v>1692.0000000000032</v>
      </c>
      <c r="BW126" s="78">
        <v>404</v>
      </c>
      <c r="BX126" s="78">
        <v>6178.7376739226202</v>
      </c>
      <c r="BY126" s="78">
        <v>0.72799999999999998</v>
      </c>
      <c r="BZ126" s="78">
        <v>32934</v>
      </c>
      <c r="CA126" s="78">
        <v>5377</v>
      </c>
      <c r="CB126" s="78">
        <v>1729</v>
      </c>
      <c r="CC126" s="78">
        <v>1376</v>
      </c>
      <c r="CD126" s="78">
        <v>1237</v>
      </c>
      <c r="CE126" s="78">
        <v>899</v>
      </c>
      <c r="CF126" s="78">
        <v>506.74128467440499</v>
      </c>
      <c r="CG126" s="78">
        <v>339.18620893173301</v>
      </c>
      <c r="CH126" s="78">
        <v>177.45407239818999</v>
      </c>
      <c r="CI126" s="78">
        <v>854.93359999999996</v>
      </c>
      <c r="CJ126" s="78">
        <v>572.24800000000005</v>
      </c>
      <c r="CK126" s="78">
        <v>299.38639999999998</v>
      </c>
      <c r="CL126" s="78">
        <v>36534</v>
      </c>
    </row>
    <row r="127" spans="1:90" x14ac:dyDescent="0.35">
      <c r="A127" s="72">
        <v>736</v>
      </c>
      <c r="B127" s="72" t="s">
        <v>78</v>
      </c>
      <c r="C127" s="72">
        <v>6</v>
      </c>
      <c r="D127" s="78">
        <v>6089200000</v>
      </c>
      <c r="E127" s="78">
        <v>630350000</v>
      </c>
      <c r="F127" s="78">
        <v>687050000</v>
      </c>
      <c r="G127" s="78">
        <v>44720</v>
      </c>
      <c r="H127" s="78">
        <v>5</v>
      </c>
      <c r="I127" s="78">
        <f t="shared" si="5"/>
        <v>687.05</v>
      </c>
      <c r="J127" s="78">
        <v>8554</v>
      </c>
      <c r="K127" s="78">
        <v>9517</v>
      </c>
      <c r="L127" s="78">
        <v>3085</v>
      </c>
      <c r="M127" s="78">
        <v>4539</v>
      </c>
      <c r="N127" s="78">
        <f t="shared" si="6"/>
        <v>2577.3999999999996</v>
      </c>
      <c r="O127" s="78">
        <v>413.66666666666703</v>
      </c>
      <c r="P127" s="78">
        <v>24</v>
      </c>
      <c r="Q127" s="78">
        <v>1871.6666666666699</v>
      </c>
      <c r="R127" s="78">
        <v>5923</v>
      </c>
      <c r="S127" s="78">
        <v>2005</v>
      </c>
      <c r="T127" s="78">
        <v>0</v>
      </c>
      <c r="U127" s="78">
        <v>1450</v>
      </c>
      <c r="V127" s="78">
        <v>19564</v>
      </c>
      <c r="W127" s="78">
        <v>32910</v>
      </c>
      <c r="X127" s="78">
        <v>5210</v>
      </c>
      <c r="Y127" s="78">
        <v>0</v>
      </c>
      <c r="Z127" s="78">
        <v>1153.5999999999999</v>
      </c>
      <c r="AA127" s="78">
        <v>0</v>
      </c>
      <c r="AB127" s="399">
        <f>IF((J127-'[2]Basisgegevens aanvullend'!D127*1.1)&lt;=0,0,J127-'[2]Basisgegevens aanvullend'!D127*1.1)</f>
        <v>0</v>
      </c>
      <c r="AC127" s="399">
        <v>0</v>
      </c>
      <c r="AD127" s="78">
        <v>9967</v>
      </c>
      <c r="AE127" s="78">
        <v>13156.44</v>
      </c>
      <c r="AF127" s="78">
        <v>1731</v>
      </c>
      <c r="AG127" s="78">
        <v>0</v>
      </c>
      <c r="AH127" s="78">
        <v>237</v>
      </c>
      <c r="AI127" s="78">
        <v>70</v>
      </c>
      <c r="AJ127" s="78">
        <v>308.10000000000002</v>
      </c>
      <c r="AK127" s="78">
        <v>93.1</v>
      </c>
      <c r="AL127" s="78">
        <v>307</v>
      </c>
      <c r="AM127" s="78">
        <v>19616</v>
      </c>
      <c r="AN127" s="78">
        <v>25500.799999999999</v>
      </c>
      <c r="AO127" s="78">
        <v>0</v>
      </c>
      <c r="AP127" s="78">
        <v>0</v>
      </c>
      <c r="AQ127" s="78">
        <v>0</v>
      </c>
      <c r="AR127" s="78">
        <v>0</v>
      </c>
      <c r="AS127" s="78">
        <v>0</v>
      </c>
      <c r="AT127" s="78">
        <v>0</v>
      </c>
      <c r="AU127" s="400">
        <v>2.2641600000000001E-4</v>
      </c>
      <c r="AV127" s="400">
        <v>1.6967999999999999E-4</v>
      </c>
      <c r="AW127" s="78">
        <v>17301.312000000002</v>
      </c>
      <c r="AX127" s="78">
        <v>0</v>
      </c>
      <c r="AY127" s="78">
        <v>17124.36</v>
      </c>
      <c r="AZ127" s="78">
        <v>170677.48497178999</v>
      </c>
      <c r="BA127" s="78">
        <v>23</v>
      </c>
      <c r="BB127" s="78">
        <v>30.59</v>
      </c>
      <c r="BC127" s="78">
        <v>6729</v>
      </c>
      <c r="BD127" s="78">
        <v>1</v>
      </c>
      <c r="BE127" s="78">
        <v>0</v>
      </c>
      <c r="BF127" s="78">
        <v>0</v>
      </c>
      <c r="BG127" s="78">
        <v>0</v>
      </c>
      <c r="BH127" s="78">
        <v>0</v>
      </c>
      <c r="BI127" s="78">
        <v>0</v>
      </c>
      <c r="BJ127" s="78">
        <v>0</v>
      </c>
      <c r="BK127" s="78">
        <v>0</v>
      </c>
      <c r="BL127" s="78">
        <v>0</v>
      </c>
      <c r="BM127" s="78">
        <v>692.87400000000002</v>
      </c>
      <c r="BN127" s="78">
        <v>88</v>
      </c>
      <c r="BO127" s="78">
        <v>101</v>
      </c>
      <c r="BP127" s="78">
        <v>17165.43</v>
      </c>
      <c r="BQ127" s="78">
        <v>4248.21</v>
      </c>
      <c r="BR127" s="78">
        <v>202.97678998073201</v>
      </c>
      <c r="BS127" s="78">
        <v>571</v>
      </c>
      <c r="BT127" s="78">
        <v>142.333333333333</v>
      </c>
      <c r="BU127" s="78">
        <v>115.333333333333</v>
      </c>
      <c r="BV127" s="78">
        <f t="shared" si="7"/>
        <v>1458.000000000003</v>
      </c>
      <c r="BW127" s="78">
        <v>303</v>
      </c>
      <c r="BX127" s="78">
        <v>6288.4029512326797</v>
      </c>
      <c r="BY127" s="78">
        <v>0.222</v>
      </c>
      <c r="BZ127" s="78">
        <v>35203</v>
      </c>
      <c r="CA127" s="78">
        <v>5407</v>
      </c>
      <c r="CB127" s="78">
        <v>1025</v>
      </c>
      <c r="CC127" s="78">
        <v>1097</v>
      </c>
      <c r="CD127" s="78">
        <v>1009</v>
      </c>
      <c r="CE127" s="78">
        <v>536</v>
      </c>
      <c r="CF127" s="78">
        <v>446.07835440456802</v>
      </c>
      <c r="CG127" s="78">
        <v>284.33389070146802</v>
      </c>
      <c r="CH127" s="78">
        <v>104.45722879282199</v>
      </c>
      <c r="CI127" s="78">
        <v>948.56299999999999</v>
      </c>
      <c r="CJ127" s="78">
        <v>604.62159999999994</v>
      </c>
      <c r="CK127" s="78">
        <v>222.12299999999999</v>
      </c>
      <c r="CL127" s="78">
        <v>25269</v>
      </c>
    </row>
    <row r="128" spans="1:90" x14ac:dyDescent="0.35">
      <c r="A128" s="72">
        <v>317</v>
      </c>
      <c r="B128" s="72" t="s">
        <v>99</v>
      </c>
      <c r="C128" s="72">
        <v>6</v>
      </c>
      <c r="D128" s="78">
        <v>1309200000</v>
      </c>
      <c r="E128" s="78">
        <v>143500000</v>
      </c>
      <c r="F128" s="78">
        <v>152600000</v>
      </c>
      <c r="G128" s="78">
        <v>9362</v>
      </c>
      <c r="H128" s="78">
        <v>1</v>
      </c>
      <c r="I128" s="78">
        <f t="shared" si="5"/>
        <v>152.6</v>
      </c>
      <c r="J128" s="78">
        <v>1863</v>
      </c>
      <c r="K128" s="78">
        <v>1971</v>
      </c>
      <c r="L128" s="78">
        <v>617</v>
      </c>
      <c r="M128" s="78">
        <v>883</v>
      </c>
      <c r="N128" s="78">
        <f t="shared" si="6"/>
        <v>472.79999999999995</v>
      </c>
      <c r="O128" s="78">
        <v>74.6666666666667</v>
      </c>
      <c r="P128" s="78">
        <v>7</v>
      </c>
      <c r="Q128" s="78">
        <v>397.66666666666703</v>
      </c>
      <c r="R128" s="78">
        <v>1237</v>
      </c>
      <c r="S128" s="78">
        <v>250</v>
      </c>
      <c r="T128" s="78">
        <v>0</v>
      </c>
      <c r="U128" s="78">
        <v>328</v>
      </c>
      <c r="V128" s="78">
        <v>4108</v>
      </c>
      <c r="W128" s="78">
        <v>6820</v>
      </c>
      <c r="X128" s="78">
        <v>840</v>
      </c>
      <c r="Y128" s="78">
        <v>0</v>
      </c>
      <c r="Z128" s="78">
        <v>0</v>
      </c>
      <c r="AA128" s="78">
        <v>0</v>
      </c>
      <c r="AB128" s="399">
        <f>IF((J128-'[2]Basisgegevens aanvullend'!D128*1.1)&lt;=0,0,J128-'[2]Basisgegevens aanvullend'!D128*1.1)</f>
        <v>0</v>
      </c>
      <c r="AC128" s="399">
        <v>0</v>
      </c>
      <c r="AD128" s="78">
        <v>3106</v>
      </c>
      <c r="AE128" s="78">
        <v>3106</v>
      </c>
      <c r="AF128" s="78">
        <v>265</v>
      </c>
      <c r="AG128" s="78">
        <v>0</v>
      </c>
      <c r="AH128" s="78">
        <v>46</v>
      </c>
      <c r="AI128" s="78">
        <v>12</v>
      </c>
      <c r="AJ128" s="78">
        <v>46</v>
      </c>
      <c r="AK128" s="78">
        <v>12</v>
      </c>
      <c r="AL128" s="78">
        <v>58</v>
      </c>
      <c r="AM128" s="78">
        <v>4102</v>
      </c>
      <c r="AN128" s="78">
        <v>4102</v>
      </c>
      <c r="AO128" s="78">
        <v>0</v>
      </c>
      <c r="AP128" s="78">
        <v>0</v>
      </c>
      <c r="AQ128" s="78">
        <v>0</v>
      </c>
      <c r="AR128" s="78">
        <v>0</v>
      </c>
      <c r="AS128" s="78">
        <v>0</v>
      </c>
      <c r="AT128" s="78">
        <v>0</v>
      </c>
      <c r="AU128" s="400">
        <v>3.4081000000000001E-5</v>
      </c>
      <c r="AV128" s="400">
        <v>1.5818999999999999E-5</v>
      </c>
      <c r="AW128" s="78">
        <v>3921.5120000000002</v>
      </c>
      <c r="AX128" s="78">
        <v>0</v>
      </c>
      <c r="AY128" s="78">
        <v>786</v>
      </c>
      <c r="AZ128" s="78">
        <v>2182.89291011569</v>
      </c>
      <c r="BA128" s="78">
        <v>3</v>
      </c>
      <c r="BB128" s="78">
        <v>3</v>
      </c>
      <c r="BC128" s="78">
        <v>1505</v>
      </c>
      <c r="BD128" s="78">
        <v>1</v>
      </c>
      <c r="BE128" s="78">
        <v>0</v>
      </c>
      <c r="BF128" s="78">
        <v>0</v>
      </c>
      <c r="BG128" s="78">
        <v>0</v>
      </c>
      <c r="BH128" s="78">
        <v>0</v>
      </c>
      <c r="BI128" s="78">
        <v>0</v>
      </c>
      <c r="BJ128" s="78">
        <v>0</v>
      </c>
      <c r="BK128" s="78">
        <v>0</v>
      </c>
      <c r="BL128" s="78">
        <v>0</v>
      </c>
      <c r="BM128" s="78">
        <v>154.62899999999999</v>
      </c>
      <c r="BN128" s="78">
        <v>23</v>
      </c>
      <c r="BO128" s="78">
        <v>14</v>
      </c>
      <c r="BP128" s="78">
        <v>3298.04</v>
      </c>
      <c r="BQ128" s="78">
        <v>788.25</v>
      </c>
      <c r="BR128" s="78">
        <v>61.380947368420998</v>
      </c>
      <c r="BS128" s="78">
        <v>132</v>
      </c>
      <c r="BT128" s="78">
        <v>23.6666666666667</v>
      </c>
      <c r="BU128" s="78">
        <v>18</v>
      </c>
      <c r="BV128" s="78">
        <f t="shared" si="7"/>
        <v>323.00000000000034</v>
      </c>
      <c r="BW128" s="78">
        <v>99</v>
      </c>
      <c r="BX128" s="78">
        <v>1314.5070098410299</v>
      </c>
      <c r="BY128" s="78">
        <v>4.5999999999999999E-2</v>
      </c>
      <c r="BZ128" s="78">
        <v>7391</v>
      </c>
      <c r="CA128" s="78">
        <v>1155</v>
      </c>
      <c r="CB128" s="78">
        <v>199</v>
      </c>
      <c r="CC128" s="78">
        <v>258</v>
      </c>
      <c r="CD128" s="78">
        <v>229</v>
      </c>
      <c r="CE128" s="78">
        <v>101</v>
      </c>
      <c r="CF128" s="78">
        <v>84.025158459288093</v>
      </c>
      <c r="CG128" s="78">
        <v>51.636860068259402</v>
      </c>
      <c r="CH128" s="78">
        <v>18.211214041930798</v>
      </c>
      <c r="CI128" s="78">
        <v>236.99789999999999</v>
      </c>
      <c r="CJ128" s="78">
        <v>145.6448</v>
      </c>
      <c r="CK128" s="78">
        <v>51.3658</v>
      </c>
      <c r="CL128" s="78">
        <v>3285</v>
      </c>
    </row>
    <row r="129" spans="1:90" x14ac:dyDescent="0.35">
      <c r="A129" s="72">
        <v>321</v>
      </c>
      <c r="B129" s="72" t="s">
        <v>159</v>
      </c>
      <c r="C129" s="72">
        <v>6</v>
      </c>
      <c r="D129" s="78">
        <v>6160800000</v>
      </c>
      <c r="E129" s="78">
        <v>679350000</v>
      </c>
      <c r="F129" s="78">
        <v>697200000</v>
      </c>
      <c r="G129" s="78">
        <v>50223</v>
      </c>
      <c r="H129" s="78">
        <v>2</v>
      </c>
      <c r="I129" s="78">
        <f t="shared" si="5"/>
        <v>697.2</v>
      </c>
      <c r="J129" s="78">
        <v>11592</v>
      </c>
      <c r="K129" s="78">
        <v>7980</v>
      </c>
      <c r="L129" s="78">
        <v>1988</v>
      </c>
      <c r="M129" s="78">
        <v>4132</v>
      </c>
      <c r="N129" s="78">
        <f t="shared" si="6"/>
        <v>2049.7999999999997</v>
      </c>
      <c r="O129" s="78">
        <v>505</v>
      </c>
      <c r="P129" s="78">
        <v>25</v>
      </c>
      <c r="Q129" s="78">
        <v>2544</v>
      </c>
      <c r="R129" s="78">
        <v>5725</v>
      </c>
      <c r="S129" s="78">
        <v>2145</v>
      </c>
      <c r="T129" s="78">
        <v>0</v>
      </c>
      <c r="U129" s="78">
        <v>1505</v>
      </c>
      <c r="V129" s="78">
        <v>20853</v>
      </c>
      <c r="W129" s="78">
        <v>49640</v>
      </c>
      <c r="X129" s="78">
        <v>30700</v>
      </c>
      <c r="Y129" s="78">
        <v>1197.4000000000001</v>
      </c>
      <c r="Z129" s="78">
        <v>1644.8</v>
      </c>
      <c r="AA129" s="78">
        <v>0</v>
      </c>
      <c r="AB129" s="399">
        <f>IF((J129-'[2]Basisgegevens aanvullend'!D129*1.1)&lt;=0,0,J129-'[2]Basisgegevens aanvullend'!D129*1.1)</f>
        <v>0</v>
      </c>
      <c r="AC129" s="399">
        <v>145.30000000000001</v>
      </c>
      <c r="AD129" s="78">
        <v>5489</v>
      </c>
      <c r="AE129" s="78">
        <v>6477.02</v>
      </c>
      <c r="AF129" s="78">
        <v>410</v>
      </c>
      <c r="AG129" s="78">
        <v>0</v>
      </c>
      <c r="AH129" s="78">
        <v>217</v>
      </c>
      <c r="AI129" s="78">
        <v>44</v>
      </c>
      <c r="AJ129" s="78">
        <v>249.55</v>
      </c>
      <c r="AK129" s="78">
        <v>52.36</v>
      </c>
      <c r="AL129" s="78">
        <v>261</v>
      </c>
      <c r="AM129" s="78">
        <v>20822</v>
      </c>
      <c r="AN129" s="78">
        <v>23945.3</v>
      </c>
      <c r="AO129" s="78">
        <v>0</v>
      </c>
      <c r="AP129" s="78">
        <v>0</v>
      </c>
      <c r="AQ129" s="78">
        <v>0</v>
      </c>
      <c r="AR129" s="78">
        <v>0</v>
      </c>
      <c r="AS129" s="78">
        <v>0</v>
      </c>
      <c r="AT129" s="78">
        <v>0</v>
      </c>
      <c r="AU129" s="400">
        <v>7.4672999999999995E-5</v>
      </c>
      <c r="AV129" s="400">
        <v>2.9285000000000002E-5</v>
      </c>
      <c r="AW129" s="78">
        <v>32232.455999999998</v>
      </c>
      <c r="AX129" s="78">
        <v>0</v>
      </c>
      <c r="AY129" s="78">
        <v>2863.86</v>
      </c>
      <c r="AZ129" s="78">
        <v>43309.611212069802</v>
      </c>
      <c r="BA129" s="78">
        <v>9</v>
      </c>
      <c r="BB129" s="78">
        <v>10.71</v>
      </c>
      <c r="BC129" s="78">
        <v>6114</v>
      </c>
      <c r="BD129" s="78">
        <v>1</v>
      </c>
      <c r="BE129" s="78">
        <v>0</v>
      </c>
      <c r="BF129" s="78">
        <v>0</v>
      </c>
      <c r="BG129" s="78">
        <v>0</v>
      </c>
      <c r="BH129" s="78">
        <v>0</v>
      </c>
      <c r="BI129" s="78">
        <v>0</v>
      </c>
      <c r="BJ129" s="78">
        <v>0</v>
      </c>
      <c r="BK129" s="78">
        <v>0</v>
      </c>
      <c r="BL129" s="78">
        <v>0</v>
      </c>
      <c r="BM129" s="78">
        <v>707.11199999999997</v>
      </c>
      <c r="BN129" s="78">
        <v>52</v>
      </c>
      <c r="BO129" s="78">
        <v>37</v>
      </c>
      <c r="BP129" s="78">
        <v>17405.45</v>
      </c>
      <c r="BQ129" s="78">
        <v>5168.6099999999997</v>
      </c>
      <c r="BR129" s="78">
        <v>477.99562177650398</v>
      </c>
      <c r="BS129" s="78">
        <v>637</v>
      </c>
      <c r="BT129" s="78">
        <v>189</v>
      </c>
      <c r="BU129" s="78">
        <v>141.666666666667</v>
      </c>
      <c r="BV129" s="78">
        <f t="shared" si="7"/>
        <v>2039</v>
      </c>
      <c r="BW129" s="78">
        <v>523</v>
      </c>
      <c r="BX129" s="78">
        <v>6119.8627415945402</v>
      </c>
      <c r="BY129" s="78">
        <v>0.25800000000000001</v>
      </c>
      <c r="BZ129" s="78">
        <v>42243</v>
      </c>
      <c r="CA129" s="78">
        <v>5269</v>
      </c>
      <c r="CB129" s="78">
        <v>723</v>
      </c>
      <c r="CC129" s="78">
        <v>1048</v>
      </c>
      <c r="CD129" s="78">
        <v>674</v>
      </c>
      <c r="CE129" s="78">
        <v>405</v>
      </c>
      <c r="CF129" s="78">
        <v>332.64211891268798</v>
      </c>
      <c r="CG129" s="78">
        <v>138.11686677552601</v>
      </c>
      <c r="CH129" s="78">
        <v>52.962846988761903</v>
      </c>
      <c r="CI129" s="78">
        <v>1028.9055000000001</v>
      </c>
      <c r="CJ129" s="78">
        <v>427.21350000000001</v>
      </c>
      <c r="CK129" s="78">
        <v>163.821</v>
      </c>
      <c r="CL129" s="78">
        <v>0</v>
      </c>
    </row>
    <row r="130" spans="1:90" x14ac:dyDescent="0.35">
      <c r="A130" s="72">
        <v>353</v>
      </c>
      <c r="B130" s="72" t="s">
        <v>162</v>
      </c>
      <c r="C130" s="72">
        <v>6</v>
      </c>
      <c r="D130" s="78">
        <v>3573200000</v>
      </c>
      <c r="E130" s="78">
        <v>308700000</v>
      </c>
      <c r="F130" s="78">
        <v>316400000</v>
      </c>
      <c r="G130" s="78">
        <v>33819</v>
      </c>
      <c r="H130" s="78">
        <v>1</v>
      </c>
      <c r="I130" s="78">
        <f t="shared" si="5"/>
        <v>316.39999999999998</v>
      </c>
      <c r="J130" s="78">
        <v>6999</v>
      </c>
      <c r="K130" s="78">
        <v>6140</v>
      </c>
      <c r="L130" s="78">
        <v>1896</v>
      </c>
      <c r="M130" s="78">
        <v>3583</v>
      </c>
      <c r="N130" s="78">
        <f t="shared" si="6"/>
        <v>2132.1999999999998</v>
      </c>
      <c r="O130" s="78">
        <v>498.33333333333297</v>
      </c>
      <c r="P130" s="78">
        <v>23</v>
      </c>
      <c r="Q130" s="78">
        <v>1980.3333333333301</v>
      </c>
      <c r="R130" s="78">
        <v>4490</v>
      </c>
      <c r="S130" s="78">
        <v>3275</v>
      </c>
      <c r="T130" s="78">
        <v>0</v>
      </c>
      <c r="U130" s="78">
        <v>1252</v>
      </c>
      <c r="V130" s="78">
        <v>14696</v>
      </c>
      <c r="W130" s="78">
        <v>32430</v>
      </c>
      <c r="X130" s="78">
        <v>13510</v>
      </c>
      <c r="Y130" s="78">
        <v>597.96</v>
      </c>
      <c r="Z130" s="78">
        <v>893.6</v>
      </c>
      <c r="AA130" s="78">
        <v>0</v>
      </c>
      <c r="AB130" s="399">
        <f>IF((J130-'[2]Basisgegevens aanvullend'!D130*1.1)&lt;=0,0,J130-'[2]Basisgegevens aanvullend'!D130*1.1)</f>
        <v>0</v>
      </c>
      <c r="AC130" s="399">
        <v>0</v>
      </c>
      <c r="AD130" s="78">
        <v>2093</v>
      </c>
      <c r="AE130" s="78">
        <v>2469.7399999999998</v>
      </c>
      <c r="AF130" s="78">
        <v>75</v>
      </c>
      <c r="AG130" s="78">
        <v>0</v>
      </c>
      <c r="AH130" s="78">
        <v>132</v>
      </c>
      <c r="AI130" s="78">
        <v>18</v>
      </c>
      <c r="AJ130" s="78">
        <v>159.72</v>
      </c>
      <c r="AK130" s="78">
        <v>20.88</v>
      </c>
      <c r="AL130" s="78">
        <v>150</v>
      </c>
      <c r="AM130" s="78">
        <v>14508</v>
      </c>
      <c r="AN130" s="78">
        <v>17554.68</v>
      </c>
      <c r="AO130" s="78">
        <v>10</v>
      </c>
      <c r="AP130" s="78">
        <v>0</v>
      </c>
      <c r="AQ130" s="78">
        <v>0</v>
      </c>
      <c r="AR130" s="78">
        <v>2950</v>
      </c>
      <c r="AS130" s="78">
        <v>703</v>
      </c>
      <c r="AT130" s="78">
        <v>703</v>
      </c>
      <c r="AU130" s="400">
        <v>1.29636E-4</v>
      </c>
      <c r="AV130" s="400">
        <v>3.4884400000000001E-4</v>
      </c>
      <c r="AW130" s="78">
        <v>27013.896000000001</v>
      </c>
      <c r="AX130" s="78">
        <v>0</v>
      </c>
      <c r="AY130" s="78">
        <v>1126.9000000000001</v>
      </c>
      <c r="AZ130" s="78">
        <v>31641.667887453899</v>
      </c>
      <c r="BA130" s="78">
        <v>2</v>
      </c>
      <c r="BB130" s="78">
        <v>2.3199999999999998</v>
      </c>
      <c r="BC130" s="78">
        <v>3824</v>
      </c>
      <c r="BD130" s="78">
        <v>1</v>
      </c>
      <c r="BE130" s="78">
        <v>0</v>
      </c>
      <c r="BF130" s="78">
        <v>0</v>
      </c>
      <c r="BG130" s="78">
        <v>0</v>
      </c>
      <c r="BH130" s="78">
        <v>0</v>
      </c>
      <c r="BI130" s="78">
        <v>0</v>
      </c>
      <c r="BJ130" s="78">
        <v>0</v>
      </c>
      <c r="BK130" s="78">
        <v>0</v>
      </c>
      <c r="BL130" s="78">
        <v>0</v>
      </c>
      <c r="BM130" s="78">
        <v>685.90200000000004</v>
      </c>
      <c r="BN130" s="78">
        <v>75</v>
      </c>
      <c r="BO130" s="78">
        <v>85</v>
      </c>
      <c r="BP130" s="78">
        <v>11074.91</v>
      </c>
      <c r="BQ130" s="78">
        <v>2935.33</v>
      </c>
      <c r="BR130" s="78">
        <v>304.45411776718902</v>
      </c>
      <c r="BS130" s="78">
        <v>537</v>
      </c>
      <c r="BT130" s="78">
        <v>171.333333333333</v>
      </c>
      <c r="BU130" s="78">
        <v>138.333333333333</v>
      </c>
      <c r="BV130" s="78">
        <f t="shared" si="7"/>
        <v>1481.999999999997</v>
      </c>
      <c r="BW130" s="78">
        <v>331</v>
      </c>
      <c r="BX130" s="78">
        <v>5661.3733759418301</v>
      </c>
      <c r="BY130" s="78">
        <v>0.67500000000000004</v>
      </c>
      <c r="BZ130" s="78">
        <v>27679</v>
      </c>
      <c r="CA130" s="78">
        <v>3542</v>
      </c>
      <c r="CB130" s="78">
        <v>702</v>
      </c>
      <c r="CC130" s="78">
        <v>837</v>
      </c>
      <c r="CD130" s="78">
        <v>638</v>
      </c>
      <c r="CE130" s="78">
        <v>385</v>
      </c>
      <c r="CF130" s="78">
        <v>330.82314585056503</v>
      </c>
      <c r="CG130" s="78">
        <v>197.229969671905</v>
      </c>
      <c r="CH130" s="78">
        <v>74.365398400882299</v>
      </c>
      <c r="CI130" s="78">
        <v>816.88789999999995</v>
      </c>
      <c r="CJ130" s="78">
        <v>487.01179999999999</v>
      </c>
      <c r="CK130" s="78">
        <v>183.62739999999999</v>
      </c>
      <c r="CL130" s="78">
        <v>7938</v>
      </c>
    </row>
    <row r="131" spans="1:90" x14ac:dyDescent="0.35">
      <c r="A131" s="72">
        <v>327</v>
      </c>
      <c r="B131" s="72" t="s">
        <v>184</v>
      </c>
      <c r="C131" s="72">
        <v>6</v>
      </c>
      <c r="D131" s="78">
        <v>3791600000</v>
      </c>
      <c r="E131" s="78">
        <v>406350000</v>
      </c>
      <c r="F131" s="78">
        <v>423850000</v>
      </c>
      <c r="G131" s="78">
        <v>30544</v>
      </c>
      <c r="H131" s="78">
        <v>2</v>
      </c>
      <c r="I131" s="78">
        <f t="shared" si="5"/>
        <v>423.85</v>
      </c>
      <c r="J131" s="78">
        <v>6181</v>
      </c>
      <c r="K131" s="78">
        <v>6928</v>
      </c>
      <c r="L131" s="78">
        <v>2201</v>
      </c>
      <c r="M131" s="78">
        <v>2880</v>
      </c>
      <c r="N131" s="78">
        <f t="shared" si="6"/>
        <v>1551.8999999999999</v>
      </c>
      <c r="O131" s="78">
        <v>301.66666666666703</v>
      </c>
      <c r="P131" s="78">
        <v>15</v>
      </c>
      <c r="Q131" s="78">
        <v>1471.6666666666699</v>
      </c>
      <c r="R131" s="78">
        <v>4077</v>
      </c>
      <c r="S131" s="78">
        <v>840</v>
      </c>
      <c r="T131" s="78">
        <v>0</v>
      </c>
      <c r="U131" s="78">
        <v>838</v>
      </c>
      <c r="V131" s="78">
        <v>13561</v>
      </c>
      <c r="W131" s="78">
        <v>27320</v>
      </c>
      <c r="X131" s="78">
        <v>11610</v>
      </c>
      <c r="Y131" s="78">
        <v>0</v>
      </c>
      <c r="Z131" s="78">
        <v>0</v>
      </c>
      <c r="AA131" s="78">
        <v>0</v>
      </c>
      <c r="AB131" s="399">
        <f>IF((J131-'[2]Basisgegevens aanvullend'!D131*1.1)&lt;=0,0,J131-'[2]Basisgegevens aanvullend'!D131*1.1)</f>
        <v>0</v>
      </c>
      <c r="AC131" s="399">
        <v>0</v>
      </c>
      <c r="AD131" s="78">
        <v>5852</v>
      </c>
      <c r="AE131" s="78">
        <v>5852</v>
      </c>
      <c r="AF131" s="78">
        <v>38</v>
      </c>
      <c r="AG131" s="78">
        <v>0</v>
      </c>
      <c r="AH131" s="78">
        <v>129</v>
      </c>
      <c r="AI131" s="78">
        <v>46</v>
      </c>
      <c r="AJ131" s="78">
        <v>129</v>
      </c>
      <c r="AK131" s="78">
        <v>46</v>
      </c>
      <c r="AL131" s="78">
        <v>174</v>
      </c>
      <c r="AM131" s="78">
        <v>13281</v>
      </c>
      <c r="AN131" s="78">
        <v>13281</v>
      </c>
      <c r="AO131" s="78">
        <v>0</v>
      </c>
      <c r="AP131" s="78">
        <v>0</v>
      </c>
      <c r="AQ131" s="78">
        <v>0</v>
      </c>
      <c r="AR131" s="78">
        <v>0</v>
      </c>
      <c r="AS131" s="78">
        <v>0</v>
      </c>
      <c r="AT131" s="78">
        <v>0</v>
      </c>
      <c r="AU131" s="400">
        <v>6.7461999999999999E-5</v>
      </c>
      <c r="AV131" s="400">
        <v>6.6707999999999999E-5</v>
      </c>
      <c r="AW131" s="78">
        <v>16813.745999999999</v>
      </c>
      <c r="AX131" s="78">
        <v>0</v>
      </c>
      <c r="AY131" s="78">
        <v>926</v>
      </c>
      <c r="AZ131" s="78">
        <v>4801.9938879456704</v>
      </c>
      <c r="BA131" s="78">
        <v>4</v>
      </c>
      <c r="BB131" s="78">
        <v>4</v>
      </c>
      <c r="BC131" s="78">
        <v>3916</v>
      </c>
      <c r="BD131" s="78">
        <v>1</v>
      </c>
      <c r="BE131" s="78">
        <v>0</v>
      </c>
      <c r="BF131" s="78">
        <v>0</v>
      </c>
      <c r="BG131" s="78">
        <v>0</v>
      </c>
      <c r="BH131" s="78">
        <v>0</v>
      </c>
      <c r="BI131" s="78">
        <v>0</v>
      </c>
      <c r="BJ131" s="78">
        <v>0</v>
      </c>
      <c r="BK131" s="78">
        <v>0</v>
      </c>
      <c r="BL131" s="78">
        <v>0</v>
      </c>
      <c r="BM131" s="78">
        <v>346.13600000000002</v>
      </c>
      <c r="BN131" s="78">
        <v>43</v>
      </c>
      <c r="BO131" s="78">
        <v>41</v>
      </c>
      <c r="BP131" s="78">
        <v>11076.24</v>
      </c>
      <c r="BQ131" s="78">
        <v>2666.82</v>
      </c>
      <c r="BR131" s="78">
        <v>255.53842065491199</v>
      </c>
      <c r="BS131" s="78">
        <v>321</v>
      </c>
      <c r="BT131" s="78">
        <v>81</v>
      </c>
      <c r="BU131" s="78">
        <v>58</v>
      </c>
      <c r="BV131" s="78">
        <f t="shared" si="7"/>
        <v>1170.000000000003</v>
      </c>
      <c r="BW131" s="78">
        <v>284</v>
      </c>
      <c r="BX131" s="78">
        <v>4180.4519167132703</v>
      </c>
      <c r="BY131" s="78">
        <v>0.14899999999999999</v>
      </c>
      <c r="BZ131" s="78">
        <v>23616</v>
      </c>
      <c r="CA131" s="78">
        <v>3970</v>
      </c>
      <c r="CB131" s="78">
        <v>757</v>
      </c>
      <c r="CC131" s="78">
        <v>789</v>
      </c>
      <c r="CD131" s="78">
        <v>741</v>
      </c>
      <c r="CE131" s="78">
        <v>398</v>
      </c>
      <c r="CF131" s="78">
        <v>286.86955048565602</v>
      </c>
      <c r="CG131" s="78">
        <v>180.768714705218</v>
      </c>
      <c r="CH131" s="78">
        <v>63.800722837135801</v>
      </c>
      <c r="CI131" s="78">
        <v>768.90599999999995</v>
      </c>
      <c r="CJ131" s="78">
        <v>484.5204</v>
      </c>
      <c r="CK131" s="78">
        <v>171.00720000000001</v>
      </c>
      <c r="CL131" s="78">
        <v>26918</v>
      </c>
    </row>
    <row r="132" spans="1:90" x14ac:dyDescent="0.35">
      <c r="A132" s="72">
        <v>331</v>
      </c>
      <c r="B132" s="72" t="s">
        <v>189</v>
      </c>
      <c r="C132" s="72">
        <v>6</v>
      </c>
      <c r="D132" s="78">
        <v>1521600000</v>
      </c>
      <c r="E132" s="78">
        <v>175700000</v>
      </c>
      <c r="F132" s="78">
        <v>206500000</v>
      </c>
      <c r="G132" s="78">
        <v>14456</v>
      </c>
      <c r="H132" s="78">
        <v>2</v>
      </c>
      <c r="I132" s="78">
        <f t="shared" si="5"/>
        <v>206.5</v>
      </c>
      <c r="J132" s="78">
        <v>2987</v>
      </c>
      <c r="K132" s="78">
        <v>2619</v>
      </c>
      <c r="L132" s="78">
        <v>806</v>
      </c>
      <c r="M132" s="78">
        <v>1275</v>
      </c>
      <c r="N132" s="78">
        <f t="shared" si="6"/>
        <v>684.1</v>
      </c>
      <c r="O132" s="78">
        <v>122.333333333333</v>
      </c>
      <c r="P132" s="78">
        <v>13</v>
      </c>
      <c r="Q132" s="78">
        <v>649.33333333333303</v>
      </c>
      <c r="R132" s="78">
        <v>1491</v>
      </c>
      <c r="S132" s="78">
        <v>465</v>
      </c>
      <c r="T132" s="78">
        <v>0</v>
      </c>
      <c r="U132" s="78">
        <v>343</v>
      </c>
      <c r="V132" s="78">
        <v>5804</v>
      </c>
      <c r="W132" s="78">
        <v>9190</v>
      </c>
      <c r="X132" s="78">
        <v>460</v>
      </c>
      <c r="Y132" s="78">
        <v>0</v>
      </c>
      <c r="Z132" s="78">
        <v>0</v>
      </c>
      <c r="AA132" s="78">
        <v>0</v>
      </c>
      <c r="AB132" s="399">
        <f>IF((J132-'[2]Basisgegevens aanvullend'!D132*1.1)&lt;=0,0,J132-'[2]Basisgegevens aanvullend'!D132*1.1)</f>
        <v>0</v>
      </c>
      <c r="AC132" s="399">
        <v>0</v>
      </c>
      <c r="AD132" s="78">
        <v>7576</v>
      </c>
      <c r="AE132" s="78">
        <v>10454.879999999999</v>
      </c>
      <c r="AF132" s="78">
        <v>322</v>
      </c>
      <c r="AG132" s="78">
        <v>0</v>
      </c>
      <c r="AH132" s="78">
        <v>103</v>
      </c>
      <c r="AI132" s="78">
        <v>41</v>
      </c>
      <c r="AJ132" s="78">
        <v>136.99</v>
      </c>
      <c r="AK132" s="78">
        <v>56.99</v>
      </c>
      <c r="AL132" s="78">
        <v>143</v>
      </c>
      <c r="AM132" s="78">
        <v>5909</v>
      </c>
      <c r="AN132" s="78">
        <v>7858.97</v>
      </c>
      <c r="AO132" s="78">
        <v>0</v>
      </c>
      <c r="AP132" s="78">
        <v>0</v>
      </c>
      <c r="AQ132" s="78">
        <v>0</v>
      </c>
      <c r="AR132" s="78">
        <v>0</v>
      </c>
      <c r="AS132" s="78">
        <v>0</v>
      </c>
      <c r="AT132" s="78">
        <v>0</v>
      </c>
      <c r="AU132" s="400">
        <v>9.5358000000000004E-5</v>
      </c>
      <c r="AV132" s="400">
        <v>2.4828E-5</v>
      </c>
      <c r="AW132" s="78">
        <v>2204.0569999999998</v>
      </c>
      <c r="AX132" s="78">
        <v>0</v>
      </c>
      <c r="AY132" s="78">
        <v>6314.88</v>
      </c>
      <c r="AZ132" s="78">
        <v>29274.7727525956</v>
      </c>
      <c r="BA132" s="78">
        <v>14</v>
      </c>
      <c r="BB132" s="78">
        <v>19.46</v>
      </c>
      <c r="BC132" s="78">
        <v>1927</v>
      </c>
      <c r="BD132" s="78">
        <v>1</v>
      </c>
      <c r="BE132" s="78">
        <v>0</v>
      </c>
      <c r="BF132" s="78">
        <v>0</v>
      </c>
      <c r="BG132" s="78">
        <v>0</v>
      </c>
      <c r="BH132" s="78">
        <v>0</v>
      </c>
      <c r="BI132" s="78">
        <v>0</v>
      </c>
      <c r="BJ132" s="78">
        <v>0</v>
      </c>
      <c r="BK132" s="78">
        <v>0</v>
      </c>
      <c r="BL132" s="78">
        <v>0</v>
      </c>
      <c r="BM132" s="78">
        <v>241.947</v>
      </c>
      <c r="BN132" s="78">
        <v>55</v>
      </c>
      <c r="BO132" s="78">
        <v>38</v>
      </c>
      <c r="BP132" s="78">
        <v>4253.25</v>
      </c>
      <c r="BQ132" s="78">
        <v>1143.18</v>
      </c>
      <c r="BR132" s="78">
        <v>76.724438099208001</v>
      </c>
      <c r="BS132" s="78">
        <v>161</v>
      </c>
      <c r="BT132" s="78">
        <v>60.3333333333333</v>
      </c>
      <c r="BU132" s="78">
        <v>36</v>
      </c>
      <c r="BV132" s="78">
        <f t="shared" si="7"/>
        <v>527</v>
      </c>
      <c r="BW132" s="78">
        <v>147</v>
      </c>
      <c r="BX132" s="78">
        <v>1782.6035639731799</v>
      </c>
      <c r="BY132" s="78">
        <v>0.11899999999999999</v>
      </c>
      <c r="BZ132" s="78">
        <v>11837</v>
      </c>
      <c r="CA132" s="78">
        <v>1581</v>
      </c>
      <c r="CB132" s="78">
        <v>232</v>
      </c>
      <c r="CC132" s="78">
        <v>307</v>
      </c>
      <c r="CD132" s="78">
        <v>244</v>
      </c>
      <c r="CE132" s="78">
        <v>107</v>
      </c>
      <c r="CF132" s="78">
        <v>115.19368759519401</v>
      </c>
      <c r="CG132" s="78">
        <v>64.022220341851394</v>
      </c>
      <c r="CH132" s="78">
        <v>20.028651210018602</v>
      </c>
      <c r="CI132" s="78">
        <v>381.08499999999998</v>
      </c>
      <c r="CJ132" s="78">
        <v>211.79900000000001</v>
      </c>
      <c r="CK132" s="78">
        <v>66.259</v>
      </c>
      <c r="CL132" s="78">
        <v>0</v>
      </c>
    </row>
    <row r="133" spans="1:90" x14ac:dyDescent="0.35">
      <c r="A133" s="72">
        <v>335</v>
      </c>
      <c r="B133" s="72" t="s">
        <v>208</v>
      </c>
      <c r="C133" s="72">
        <v>6</v>
      </c>
      <c r="D133" s="78">
        <v>1484400000</v>
      </c>
      <c r="E133" s="78">
        <v>174300000</v>
      </c>
      <c r="F133" s="78">
        <v>191450000</v>
      </c>
      <c r="G133" s="78">
        <v>13896</v>
      </c>
      <c r="H133" s="78">
        <v>2</v>
      </c>
      <c r="I133" s="78">
        <f t="shared" si="5"/>
        <v>191.45</v>
      </c>
      <c r="J133" s="78">
        <v>2979</v>
      </c>
      <c r="K133" s="78">
        <v>2769</v>
      </c>
      <c r="L133" s="78">
        <v>964</v>
      </c>
      <c r="M133" s="78">
        <v>1260</v>
      </c>
      <c r="N133" s="78">
        <f t="shared" si="6"/>
        <v>682.19999999999993</v>
      </c>
      <c r="O133" s="78">
        <v>102.666666666667</v>
      </c>
      <c r="P133" s="78">
        <v>20</v>
      </c>
      <c r="Q133" s="78">
        <v>486.66666666666703</v>
      </c>
      <c r="R133" s="78">
        <v>1616</v>
      </c>
      <c r="S133" s="78">
        <v>445</v>
      </c>
      <c r="T133" s="78">
        <v>0</v>
      </c>
      <c r="U133" s="78">
        <v>374</v>
      </c>
      <c r="V133" s="78">
        <v>5732</v>
      </c>
      <c r="W133" s="78">
        <v>9770</v>
      </c>
      <c r="X133" s="78">
        <v>760</v>
      </c>
      <c r="Y133" s="78">
        <v>0</v>
      </c>
      <c r="Z133" s="78">
        <v>0</v>
      </c>
      <c r="AA133" s="78">
        <v>0</v>
      </c>
      <c r="AB133" s="399">
        <f>IF((J133-'[2]Basisgegevens aanvullend'!D133*1.1)&lt;=0,0,J133-'[2]Basisgegevens aanvullend'!D133*1.1)</f>
        <v>0</v>
      </c>
      <c r="AC133" s="399">
        <v>0</v>
      </c>
      <c r="AD133" s="78">
        <v>3759</v>
      </c>
      <c r="AE133" s="78">
        <v>4999.47</v>
      </c>
      <c r="AF133" s="78">
        <v>61</v>
      </c>
      <c r="AG133" s="78">
        <v>0</v>
      </c>
      <c r="AH133" s="78">
        <v>81</v>
      </c>
      <c r="AI133" s="78">
        <v>28</v>
      </c>
      <c r="AJ133" s="78">
        <v>90.72</v>
      </c>
      <c r="AK133" s="78">
        <v>38.36</v>
      </c>
      <c r="AL133" s="78">
        <v>109</v>
      </c>
      <c r="AM133" s="78">
        <v>5778</v>
      </c>
      <c r="AN133" s="78">
        <v>6471.36</v>
      </c>
      <c r="AO133" s="78">
        <v>10</v>
      </c>
      <c r="AP133" s="78">
        <v>0</v>
      </c>
      <c r="AQ133" s="78">
        <v>0</v>
      </c>
      <c r="AR133" s="78">
        <v>1650</v>
      </c>
      <c r="AS133" s="78">
        <v>0</v>
      </c>
      <c r="AT133" s="78">
        <v>0</v>
      </c>
      <c r="AU133" s="400">
        <v>8.2126000000000006E-5</v>
      </c>
      <c r="AV133" s="400">
        <v>2.8126000000000001E-5</v>
      </c>
      <c r="AW133" s="78">
        <v>4339.2780000000002</v>
      </c>
      <c r="AX133" s="78">
        <v>0</v>
      </c>
      <c r="AY133" s="78">
        <v>1556.1</v>
      </c>
      <c r="AZ133" s="78">
        <v>10566.4892984293</v>
      </c>
      <c r="BA133" s="78">
        <v>4</v>
      </c>
      <c r="BB133" s="78">
        <v>5.48</v>
      </c>
      <c r="BC133" s="78">
        <v>1742</v>
      </c>
      <c r="BD133" s="78">
        <v>1</v>
      </c>
      <c r="BE133" s="78">
        <v>0</v>
      </c>
      <c r="BF133" s="78">
        <v>0</v>
      </c>
      <c r="BG133" s="78">
        <v>0</v>
      </c>
      <c r="BH133" s="78">
        <v>0</v>
      </c>
      <c r="BI133" s="78">
        <v>0</v>
      </c>
      <c r="BJ133" s="78">
        <v>0</v>
      </c>
      <c r="BK133" s="78">
        <v>0</v>
      </c>
      <c r="BL133" s="78">
        <v>0</v>
      </c>
      <c r="BM133" s="78">
        <v>190.65600000000001</v>
      </c>
      <c r="BN133" s="78">
        <v>31</v>
      </c>
      <c r="BO133" s="78">
        <v>27</v>
      </c>
      <c r="BP133" s="78">
        <v>4657.6000000000004</v>
      </c>
      <c r="BQ133" s="78">
        <v>1216.5999999999999</v>
      </c>
      <c r="BR133" s="78">
        <v>58.686951859956203</v>
      </c>
      <c r="BS133" s="78">
        <v>163</v>
      </c>
      <c r="BT133" s="78">
        <v>48.3333333333333</v>
      </c>
      <c r="BU133" s="78">
        <v>30.6666666666667</v>
      </c>
      <c r="BV133" s="78">
        <f t="shared" si="7"/>
        <v>384</v>
      </c>
      <c r="BW133" s="78">
        <v>79</v>
      </c>
      <c r="BX133" s="78">
        <v>1696.3963612847599</v>
      </c>
      <c r="BY133" s="78">
        <v>6.9000000000000006E-2</v>
      </c>
      <c r="BZ133" s="78">
        <v>11127</v>
      </c>
      <c r="CA133" s="78">
        <v>1597</v>
      </c>
      <c r="CB133" s="78">
        <v>208</v>
      </c>
      <c r="CC133" s="78">
        <v>297</v>
      </c>
      <c r="CD133" s="78">
        <v>297</v>
      </c>
      <c r="CE133" s="78">
        <v>125</v>
      </c>
      <c r="CF133" s="78">
        <v>114.054205607477</v>
      </c>
      <c r="CG133" s="78">
        <v>81.585358255451695</v>
      </c>
      <c r="CH133" s="78">
        <v>20.307788161993798</v>
      </c>
      <c r="CI133" s="78">
        <v>322.93380000000002</v>
      </c>
      <c r="CJ133" s="78">
        <v>231.00129999999999</v>
      </c>
      <c r="CK133" s="78">
        <v>57.499600000000001</v>
      </c>
      <c r="CL133" s="78">
        <v>0</v>
      </c>
    </row>
    <row r="134" spans="1:90" x14ac:dyDescent="0.35">
      <c r="A134" s="72">
        <v>356</v>
      </c>
      <c r="B134" s="72" t="s">
        <v>212</v>
      </c>
      <c r="C134" s="72">
        <v>6</v>
      </c>
      <c r="D134" s="78">
        <v>6313600000</v>
      </c>
      <c r="E134" s="78">
        <v>1356950000</v>
      </c>
      <c r="F134" s="78">
        <v>1364300000</v>
      </c>
      <c r="G134" s="78">
        <v>63866</v>
      </c>
      <c r="H134" s="78">
        <v>1</v>
      </c>
      <c r="I134" s="78">
        <f t="shared" ref="I134:I197" si="8">F134/1000000</f>
        <v>1364.3</v>
      </c>
      <c r="J134" s="78">
        <v>11814</v>
      </c>
      <c r="K134" s="78">
        <v>13199</v>
      </c>
      <c r="L134" s="78">
        <v>3765</v>
      </c>
      <c r="M134" s="78">
        <v>8172</v>
      </c>
      <c r="N134" s="78">
        <f t="shared" ref="N134:N197" si="9">IF(M134-0.1*AM134&lt;=0,0,M134-0.1*AM134)</f>
        <v>5210.6000000000004</v>
      </c>
      <c r="O134" s="78">
        <v>1181.6666666666699</v>
      </c>
      <c r="P134" s="78">
        <v>42</v>
      </c>
      <c r="Q134" s="78">
        <v>4505.6666666666697</v>
      </c>
      <c r="R134" s="78">
        <v>10930</v>
      </c>
      <c r="S134" s="78">
        <v>7010</v>
      </c>
      <c r="T134" s="78">
        <v>0</v>
      </c>
      <c r="U134" s="78">
        <v>2323</v>
      </c>
      <c r="V134" s="78">
        <v>30078</v>
      </c>
      <c r="W134" s="78">
        <v>67930</v>
      </c>
      <c r="X134" s="78">
        <v>49420</v>
      </c>
      <c r="Y134" s="78">
        <v>463.32</v>
      </c>
      <c r="Z134" s="78">
        <v>4116.8</v>
      </c>
      <c r="AA134" s="78">
        <v>0</v>
      </c>
      <c r="AB134" s="399">
        <f>IF((J134-'[2]Basisgegevens aanvullend'!D134*1.1)&lt;=0,0,J134-'[2]Basisgegevens aanvullend'!D134*1.1)</f>
        <v>0</v>
      </c>
      <c r="AC134" s="399">
        <v>0</v>
      </c>
      <c r="AD134" s="78">
        <v>2321</v>
      </c>
      <c r="AE134" s="78">
        <v>2645.94</v>
      </c>
      <c r="AF134" s="78">
        <v>244</v>
      </c>
      <c r="AG134" s="78">
        <v>0</v>
      </c>
      <c r="AH134" s="78">
        <v>298</v>
      </c>
      <c r="AI134" s="78">
        <v>32</v>
      </c>
      <c r="AJ134" s="78">
        <v>336.74</v>
      </c>
      <c r="AK134" s="78">
        <v>36.799999999999997</v>
      </c>
      <c r="AL134" s="78">
        <v>331</v>
      </c>
      <c r="AM134" s="78">
        <v>29614</v>
      </c>
      <c r="AN134" s="78">
        <v>33463.82</v>
      </c>
      <c r="AO134" s="78">
        <v>0</v>
      </c>
      <c r="AP134" s="78">
        <v>0</v>
      </c>
      <c r="AQ134" s="78">
        <v>0</v>
      </c>
      <c r="AR134" s="78">
        <v>0</v>
      </c>
      <c r="AS134" s="78">
        <v>567</v>
      </c>
      <c r="AT134" s="78">
        <v>0</v>
      </c>
      <c r="AU134" s="400">
        <v>1.5291099999999999E-4</v>
      </c>
      <c r="AV134" s="400">
        <v>5.8019899999999999E-4</v>
      </c>
      <c r="AW134" s="78">
        <v>57036.563999999998</v>
      </c>
      <c r="AX134" s="78">
        <v>0</v>
      </c>
      <c r="AY134" s="78">
        <v>2435.04</v>
      </c>
      <c r="AZ134" s="78">
        <v>100936.664888889</v>
      </c>
      <c r="BA134" s="78">
        <v>1</v>
      </c>
      <c r="BB134" s="78">
        <v>1.1499999999999999</v>
      </c>
      <c r="BC134" s="78">
        <v>6812</v>
      </c>
      <c r="BD134" s="78">
        <v>1</v>
      </c>
      <c r="BE134" s="78">
        <v>0</v>
      </c>
      <c r="BF134" s="78">
        <v>0</v>
      </c>
      <c r="BG134" s="78">
        <v>0</v>
      </c>
      <c r="BH134" s="78">
        <v>0</v>
      </c>
      <c r="BI134" s="78">
        <v>0</v>
      </c>
      <c r="BJ134" s="78">
        <v>0</v>
      </c>
      <c r="BK134" s="78">
        <v>0</v>
      </c>
      <c r="BL134" s="78">
        <v>0</v>
      </c>
      <c r="BM134" s="78">
        <v>1370.424</v>
      </c>
      <c r="BN134" s="78">
        <v>178</v>
      </c>
      <c r="BO134" s="78">
        <v>216</v>
      </c>
      <c r="BP134" s="78">
        <v>20094</v>
      </c>
      <c r="BQ134" s="78">
        <v>4375.04</v>
      </c>
      <c r="BR134" s="78">
        <v>531.77114123721799</v>
      </c>
      <c r="BS134" s="78">
        <v>910</v>
      </c>
      <c r="BT134" s="78">
        <v>343.66666666666703</v>
      </c>
      <c r="BU134" s="78">
        <v>314.33333333333297</v>
      </c>
      <c r="BV134" s="78">
        <f t="shared" ref="BV134:BV197" si="10">Q134-O134</f>
        <v>3324</v>
      </c>
      <c r="BW134" s="78">
        <v>734</v>
      </c>
      <c r="BX134" s="78">
        <v>11678.434794995401</v>
      </c>
      <c r="BY134" s="78">
        <v>2.581</v>
      </c>
      <c r="BZ134" s="78">
        <v>50667</v>
      </c>
      <c r="CA134" s="78">
        <v>8455</v>
      </c>
      <c r="CB134" s="78">
        <v>979</v>
      </c>
      <c r="CC134" s="78">
        <v>2121</v>
      </c>
      <c r="CD134" s="78">
        <v>1308</v>
      </c>
      <c r="CE134" s="78">
        <v>535</v>
      </c>
      <c r="CF134" s="78">
        <v>961.74578240021594</v>
      </c>
      <c r="CG134" s="78">
        <v>479.81718781657298</v>
      </c>
      <c r="CH134" s="78">
        <v>134.60218140068901</v>
      </c>
      <c r="CI134" s="78">
        <v>2412.6923999999999</v>
      </c>
      <c r="CJ134" s="78">
        <v>1203.6977999999999</v>
      </c>
      <c r="CK134" s="78">
        <v>337.67099999999999</v>
      </c>
      <c r="CL134" s="78">
        <v>26460</v>
      </c>
    </row>
    <row r="135" spans="1:90" x14ac:dyDescent="0.35">
      <c r="A135" s="72">
        <v>589</v>
      </c>
      <c r="B135" s="72" t="s">
        <v>241</v>
      </c>
      <c r="C135" s="72">
        <v>6</v>
      </c>
      <c r="D135" s="78">
        <v>1152000000</v>
      </c>
      <c r="E135" s="78">
        <v>113750000</v>
      </c>
      <c r="F135" s="78">
        <v>131600000</v>
      </c>
      <c r="G135" s="78">
        <v>10138</v>
      </c>
      <c r="H135" s="78">
        <v>1</v>
      </c>
      <c r="I135" s="78">
        <f t="shared" si="8"/>
        <v>131.6</v>
      </c>
      <c r="J135" s="78">
        <v>2046</v>
      </c>
      <c r="K135" s="78">
        <v>2171</v>
      </c>
      <c r="L135" s="78">
        <v>725</v>
      </c>
      <c r="M135" s="78">
        <v>1168</v>
      </c>
      <c r="N135" s="78">
        <f t="shared" si="9"/>
        <v>734.09999999999991</v>
      </c>
      <c r="O135" s="78">
        <v>78.6666666666667</v>
      </c>
      <c r="P135" s="78">
        <v>5</v>
      </c>
      <c r="Q135" s="78">
        <v>395.66666666666703</v>
      </c>
      <c r="R135" s="78">
        <v>1346</v>
      </c>
      <c r="S135" s="78">
        <v>210</v>
      </c>
      <c r="T135" s="78">
        <v>0</v>
      </c>
      <c r="U135" s="78">
        <v>272</v>
      </c>
      <c r="V135" s="78">
        <v>4390</v>
      </c>
      <c r="W135" s="78">
        <v>7930</v>
      </c>
      <c r="X135" s="78">
        <v>670</v>
      </c>
      <c r="Y135" s="78">
        <v>0</v>
      </c>
      <c r="Z135" s="78">
        <v>0</v>
      </c>
      <c r="AA135" s="78">
        <v>0</v>
      </c>
      <c r="AB135" s="399">
        <f>IF((J135-'[2]Basisgegevens aanvullend'!D135*1.1)&lt;=0,0,J135-'[2]Basisgegevens aanvullend'!D135*1.1)</f>
        <v>0</v>
      </c>
      <c r="AC135" s="399">
        <v>0</v>
      </c>
      <c r="AD135" s="78">
        <v>3900</v>
      </c>
      <c r="AE135" s="78">
        <v>6396</v>
      </c>
      <c r="AF135" s="78">
        <v>110</v>
      </c>
      <c r="AG135" s="78">
        <v>0</v>
      </c>
      <c r="AH135" s="78">
        <v>52</v>
      </c>
      <c r="AI135" s="78">
        <v>33</v>
      </c>
      <c r="AJ135" s="78">
        <v>76.959999999999994</v>
      </c>
      <c r="AK135" s="78">
        <v>55.11</v>
      </c>
      <c r="AL135" s="78">
        <v>85</v>
      </c>
      <c r="AM135" s="78">
        <v>4339</v>
      </c>
      <c r="AN135" s="78">
        <v>6421.72</v>
      </c>
      <c r="AO135" s="78">
        <v>13</v>
      </c>
      <c r="AP135" s="78">
        <v>0</v>
      </c>
      <c r="AQ135" s="78">
        <v>0</v>
      </c>
      <c r="AR135" s="78">
        <v>3350</v>
      </c>
      <c r="AS135" s="78">
        <v>707</v>
      </c>
      <c r="AT135" s="78">
        <v>707</v>
      </c>
      <c r="AU135" s="400">
        <v>1.83189E-4</v>
      </c>
      <c r="AV135" s="400">
        <v>4.7942999999999998E-5</v>
      </c>
      <c r="AW135" s="78">
        <v>3666.4549999999999</v>
      </c>
      <c r="AX135" s="78">
        <v>0</v>
      </c>
      <c r="AY135" s="78">
        <v>4756</v>
      </c>
      <c r="AZ135" s="78">
        <v>33874.572169576102</v>
      </c>
      <c r="BA135" s="78">
        <v>3</v>
      </c>
      <c r="BB135" s="78">
        <v>5.01</v>
      </c>
      <c r="BC135" s="78">
        <v>1518</v>
      </c>
      <c r="BD135" s="78">
        <v>1</v>
      </c>
      <c r="BE135" s="78">
        <v>0</v>
      </c>
      <c r="BF135" s="78">
        <v>0</v>
      </c>
      <c r="BG135" s="78">
        <v>0</v>
      </c>
      <c r="BH135" s="78">
        <v>0</v>
      </c>
      <c r="BI135" s="78">
        <v>0</v>
      </c>
      <c r="BJ135" s="78">
        <v>0</v>
      </c>
      <c r="BK135" s="78">
        <v>0</v>
      </c>
      <c r="BL135" s="78">
        <v>0</v>
      </c>
      <c r="BM135" s="78">
        <v>167.77199999999999</v>
      </c>
      <c r="BN135" s="78">
        <v>23</v>
      </c>
      <c r="BO135" s="78">
        <v>22</v>
      </c>
      <c r="BP135" s="78">
        <v>3379.62</v>
      </c>
      <c r="BQ135" s="78">
        <v>867.2</v>
      </c>
      <c r="BR135" s="78">
        <v>52.285396648044703</v>
      </c>
      <c r="BS135" s="78">
        <v>124</v>
      </c>
      <c r="BT135" s="78">
        <v>32</v>
      </c>
      <c r="BU135" s="78">
        <v>25</v>
      </c>
      <c r="BV135" s="78">
        <f t="shared" si="10"/>
        <v>317.00000000000034</v>
      </c>
      <c r="BW135" s="78">
        <v>64</v>
      </c>
      <c r="BX135" s="78">
        <v>1324.38154447703</v>
      </c>
      <c r="BY135" s="78">
        <v>4.9000000000000002E-2</v>
      </c>
      <c r="BZ135" s="78">
        <v>7967</v>
      </c>
      <c r="CA135" s="78">
        <v>1219</v>
      </c>
      <c r="CB135" s="78">
        <v>227</v>
      </c>
      <c r="CC135" s="78">
        <v>246</v>
      </c>
      <c r="CD135" s="78">
        <v>246</v>
      </c>
      <c r="CE135" s="78">
        <v>126</v>
      </c>
      <c r="CF135" s="78">
        <v>129.93519244065499</v>
      </c>
      <c r="CG135" s="78">
        <v>84.254851348236897</v>
      </c>
      <c r="CH135" s="78">
        <v>27.0698317584697</v>
      </c>
      <c r="CI135" s="78">
        <v>266.3424</v>
      </c>
      <c r="CJ135" s="78">
        <v>172.7064</v>
      </c>
      <c r="CK135" s="78">
        <v>55.488</v>
      </c>
      <c r="CL135" s="78">
        <v>0</v>
      </c>
    </row>
    <row r="136" spans="1:90" x14ac:dyDescent="0.35">
      <c r="A136" s="72">
        <v>339</v>
      </c>
      <c r="B136" s="72" t="s">
        <v>252</v>
      </c>
      <c r="C136" s="72">
        <v>6</v>
      </c>
      <c r="D136" s="78">
        <v>589600000</v>
      </c>
      <c r="E136" s="78">
        <v>116550000</v>
      </c>
      <c r="F136" s="78">
        <v>126350000</v>
      </c>
      <c r="G136" s="78">
        <v>5556</v>
      </c>
      <c r="H136" s="78">
        <v>1</v>
      </c>
      <c r="I136" s="78">
        <f t="shared" si="8"/>
        <v>126.35</v>
      </c>
      <c r="J136" s="78">
        <v>1391</v>
      </c>
      <c r="K136" s="78">
        <v>832</v>
      </c>
      <c r="L136" s="78">
        <v>255</v>
      </c>
      <c r="M136" s="78">
        <v>469</v>
      </c>
      <c r="N136" s="78">
        <f t="shared" si="9"/>
        <v>252.5</v>
      </c>
      <c r="O136" s="78">
        <v>26.6666666666667</v>
      </c>
      <c r="P136" s="78">
        <v>2</v>
      </c>
      <c r="Q136" s="78">
        <v>40.6666666666667</v>
      </c>
      <c r="R136" s="78">
        <v>549</v>
      </c>
      <c r="S136" s="78">
        <v>95</v>
      </c>
      <c r="T136" s="78">
        <v>0</v>
      </c>
      <c r="U136" s="78">
        <v>112</v>
      </c>
      <c r="V136" s="78">
        <v>2150</v>
      </c>
      <c r="W136" s="78">
        <v>3710</v>
      </c>
      <c r="X136" s="78">
        <v>340</v>
      </c>
      <c r="Y136" s="78">
        <v>0</v>
      </c>
      <c r="Z136" s="78">
        <v>0</v>
      </c>
      <c r="AA136" s="78">
        <v>0</v>
      </c>
      <c r="AB136" s="399">
        <f>IF((J136-'[2]Basisgegevens aanvullend'!D136*1.1)&lt;=0,0,J136-'[2]Basisgegevens aanvullend'!D136*1.1)</f>
        <v>0</v>
      </c>
      <c r="AC136" s="399">
        <v>0</v>
      </c>
      <c r="AD136" s="78">
        <v>1839</v>
      </c>
      <c r="AE136" s="78">
        <v>1839</v>
      </c>
      <c r="AF136" s="78">
        <v>12</v>
      </c>
      <c r="AG136" s="78">
        <v>0</v>
      </c>
      <c r="AH136" s="78">
        <v>34</v>
      </c>
      <c r="AI136" s="78">
        <v>31</v>
      </c>
      <c r="AJ136" s="78">
        <v>34</v>
      </c>
      <c r="AK136" s="78">
        <v>31</v>
      </c>
      <c r="AL136" s="78">
        <v>64</v>
      </c>
      <c r="AM136" s="78">
        <v>2165</v>
      </c>
      <c r="AN136" s="78">
        <v>2165</v>
      </c>
      <c r="AO136" s="78">
        <v>0</v>
      </c>
      <c r="AP136" s="78">
        <v>0</v>
      </c>
      <c r="AQ136" s="78">
        <v>0</v>
      </c>
      <c r="AR136" s="78">
        <v>0</v>
      </c>
      <c r="AS136" s="78">
        <v>0</v>
      </c>
      <c r="AT136" s="78">
        <v>0</v>
      </c>
      <c r="AU136" s="400">
        <v>2.3407000000000001E-5</v>
      </c>
      <c r="AV136" s="400">
        <v>7.3950000000000003E-6</v>
      </c>
      <c r="AW136" s="78">
        <v>1123.635</v>
      </c>
      <c r="AX136" s="78">
        <v>0</v>
      </c>
      <c r="AY136" s="78">
        <v>390</v>
      </c>
      <c r="AZ136" s="78">
        <v>1170.6320907617501</v>
      </c>
      <c r="BA136" s="78">
        <v>1</v>
      </c>
      <c r="BB136" s="78">
        <v>1</v>
      </c>
      <c r="BC136" s="78">
        <v>845</v>
      </c>
      <c r="BD136" s="78">
        <v>1</v>
      </c>
      <c r="BE136" s="78">
        <v>0</v>
      </c>
      <c r="BF136" s="78">
        <v>0</v>
      </c>
      <c r="BG136" s="78">
        <v>0</v>
      </c>
      <c r="BH136" s="78">
        <v>0</v>
      </c>
      <c r="BI136" s="78">
        <v>0</v>
      </c>
      <c r="BJ136" s="78">
        <v>0</v>
      </c>
      <c r="BK136" s="78">
        <v>0</v>
      </c>
      <c r="BL136" s="78">
        <v>0</v>
      </c>
      <c r="BM136" s="78">
        <v>76.504999999999995</v>
      </c>
      <c r="BN136" s="78">
        <v>15</v>
      </c>
      <c r="BO136" s="78">
        <v>12</v>
      </c>
      <c r="BP136" s="78">
        <v>1606.5</v>
      </c>
      <c r="BQ136" s="78">
        <v>469.89</v>
      </c>
      <c r="BR136" s="78">
        <v>34.6535016797312</v>
      </c>
      <c r="BS136" s="78">
        <v>53</v>
      </c>
      <c r="BT136" s="78">
        <v>9.6666666666666696</v>
      </c>
      <c r="BU136" s="78">
        <v>5.3333333333333304</v>
      </c>
      <c r="BV136" s="78">
        <f t="shared" si="10"/>
        <v>14</v>
      </c>
      <c r="BW136" s="78">
        <v>28</v>
      </c>
      <c r="BX136" s="78">
        <v>472.23958853784001</v>
      </c>
      <c r="BY136" s="78">
        <v>2.8000000000000001E-2</v>
      </c>
      <c r="BZ136" s="78">
        <v>4724</v>
      </c>
      <c r="CA136" s="78">
        <v>514</v>
      </c>
      <c r="CB136" s="78">
        <v>63</v>
      </c>
      <c r="CC136" s="78">
        <v>94</v>
      </c>
      <c r="CD136" s="78">
        <v>87</v>
      </c>
      <c r="CE136" s="78">
        <v>36</v>
      </c>
      <c r="CF136" s="78">
        <v>36.854503464203198</v>
      </c>
      <c r="CG136" s="78">
        <v>21.9260969976905</v>
      </c>
      <c r="CH136" s="78">
        <v>5.7147806004618902</v>
      </c>
      <c r="CI136" s="78">
        <v>123.24</v>
      </c>
      <c r="CJ136" s="78">
        <v>73.319999999999993</v>
      </c>
      <c r="CK136" s="78">
        <v>19.11</v>
      </c>
      <c r="CL136" s="78">
        <v>0</v>
      </c>
    </row>
    <row r="137" spans="1:90" x14ac:dyDescent="0.35">
      <c r="A137" s="72">
        <v>340</v>
      </c>
      <c r="B137" s="72" t="s">
        <v>255</v>
      </c>
      <c r="C137" s="72">
        <v>6</v>
      </c>
      <c r="D137" s="78">
        <v>2135600000</v>
      </c>
      <c r="E137" s="78">
        <v>220150000</v>
      </c>
      <c r="F137" s="78">
        <v>239050000</v>
      </c>
      <c r="G137" s="78">
        <v>20203</v>
      </c>
      <c r="H137" s="78">
        <v>3</v>
      </c>
      <c r="I137" s="78">
        <f t="shared" si="8"/>
        <v>239.05</v>
      </c>
      <c r="J137" s="78">
        <v>4296</v>
      </c>
      <c r="K137" s="78">
        <v>4374</v>
      </c>
      <c r="L137" s="78">
        <v>1474</v>
      </c>
      <c r="M137" s="78">
        <v>2236</v>
      </c>
      <c r="N137" s="78">
        <f t="shared" si="9"/>
        <v>1388.6999999999998</v>
      </c>
      <c r="O137" s="78">
        <v>220.333333333333</v>
      </c>
      <c r="P137" s="78">
        <v>27</v>
      </c>
      <c r="Q137" s="78">
        <v>1117.3333333333301</v>
      </c>
      <c r="R137" s="78">
        <v>2570</v>
      </c>
      <c r="S137" s="78">
        <v>710</v>
      </c>
      <c r="T137" s="78">
        <v>0</v>
      </c>
      <c r="U137" s="78">
        <v>478</v>
      </c>
      <c r="V137" s="78">
        <v>8695</v>
      </c>
      <c r="W137" s="78">
        <v>17030</v>
      </c>
      <c r="X137" s="78">
        <v>3940</v>
      </c>
      <c r="Y137" s="78">
        <v>0</v>
      </c>
      <c r="Z137" s="78">
        <v>191.2</v>
      </c>
      <c r="AA137" s="78">
        <v>0</v>
      </c>
      <c r="AB137" s="399">
        <f>IF((J137-'[2]Basisgegevens aanvullend'!D137*1.1)&lt;=0,0,J137-'[2]Basisgegevens aanvullend'!D137*1.1)</f>
        <v>0</v>
      </c>
      <c r="AC137" s="399">
        <v>53.1</v>
      </c>
      <c r="AD137" s="78">
        <v>4202</v>
      </c>
      <c r="AE137" s="78">
        <v>4202</v>
      </c>
      <c r="AF137" s="78">
        <v>174</v>
      </c>
      <c r="AG137" s="78">
        <v>0</v>
      </c>
      <c r="AH137" s="78">
        <v>93</v>
      </c>
      <c r="AI137" s="78">
        <v>40</v>
      </c>
      <c r="AJ137" s="78">
        <v>93</v>
      </c>
      <c r="AK137" s="78">
        <v>40</v>
      </c>
      <c r="AL137" s="78">
        <v>133</v>
      </c>
      <c r="AM137" s="78">
        <v>8473</v>
      </c>
      <c r="AN137" s="78">
        <v>8473</v>
      </c>
      <c r="AO137" s="78">
        <v>5</v>
      </c>
      <c r="AP137" s="78">
        <v>0</v>
      </c>
      <c r="AQ137" s="78">
        <v>0</v>
      </c>
      <c r="AR137" s="78">
        <v>0</v>
      </c>
      <c r="AS137" s="78">
        <v>872</v>
      </c>
      <c r="AT137" s="78">
        <v>872</v>
      </c>
      <c r="AU137" s="400">
        <v>1.7055600000000001E-4</v>
      </c>
      <c r="AV137" s="400">
        <v>2.3299900000000001E-4</v>
      </c>
      <c r="AW137" s="78">
        <v>7896.8360000000002</v>
      </c>
      <c r="AX137" s="78">
        <v>0</v>
      </c>
      <c r="AY137" s="78">
        <v>673</v>
      </c>
      <c r="AZ137" s="78">
        <v>3107.0884369287</v>
      </c>
      <c r="BA137" s="78">
        <v>7</v>
      </c>
      <c r="BB137" s="78">
        <v>7</v>
      </c>
      <c r="BC137" s="78">
        <v>2446</v>
      </c>
      <c r="BD137" s="78">
        <v>1</v>
      </c>
      <c r="BE137" s="78">
        <v>0</v>
      </c>
      <c r="BF137" s="78">
        <v>0</v>
      </c>
      <c r="BG137" s="78">
        <v>0</v>
      </c>
      <c r="BH137" s="78">
        <v>0</v>
      </c>
      <c r="BI137" s="78">
        <v>0</v>
      </c>
      <c r="BJ137" s="78">
        <v>0</v>
      </c>
      <c r="BK137" s="78">
        <v>0</v>
      </c>
      <c r="BL137" s="78">
        <v>0</v>
      </c>
      <c r="BM137" s="78">
        <v>399.52800000000002</v>
      </c>
      <c r="BN137" s="78">
        <v>145</v>
      </c>
      <c r="BO137" s="78">
        <v>53</v>
      </c>
      <c r="BP137" s="78">
        <v>5824</v>
      </c>
      <c r="BQ137" s="78">
        <v>1469.31</v>
      </c>
      <c r="BR137" s="78">
        <v>177.39902966381001</v>
      </c>
      <c r="BS137" s="78">
        <v>182</v>
      </c>
      <c r="BT137" s="78">
        <v>62</v>
      </c>
      <c r="BU137" s="78">
        <v>45.6666666666667</v>
      </c>
      <c r="BV137" s="78">
        <f t="shared" si="10"/>
        <v>896.99999999999704</v>
      </c>
      <c r="BW137" s="78">
        <v>358</v>
      </c>
      <c r="BX137" s="78">
        <v>3005.21507828421</v>
      </c>
      <c r="BY137" s="78">
        <v>0.309</v>
      </c>
      <c r="BZ137" s="78">
        <v>15829</v>
      </c>
      <c r="CA137" s="78">
        <v>2383</v>
      </c>
      <c r="CB137" s="78">
        <v>517</v>
      </c>
      <c r="CC137" s="78">
        <v>417</v>
      </c>
      <c r="CD137" s="78">
        <v>483</v>
      </c>
      <c r="CE137" s="78">
        <v>266</v>
      </c>
      <c r="CF137" s="78">
        <v>230.93099256461699</v>
      </c>
      <c r="CG137" s="78">
        <v>166.191644045793</v>
      </c>
      <c r="CH137" s="78">
        <v>62.1169951611</v>
      </c>
      <c r="CI137" s="78">
        <v>584.73500000000001</v>
      </c>
      <c r="CJ137" s="78">
        <v>420.81</v>
      </c>
      <c r="CK137" s="78">
        <v>157.285</v>
      </c>
      <c r="CL137" s="78">
        <v>64970</v>
      </c>
    </row>
    <row r="138" spans="1:90" x14ac:dyDescent="0.35">
      <c r="A138" s="72">
        <v>342</v>
      </c>
      <c r="B138" s="72" t="s">
        <v>279</v>
      </c>
      <c r="C138" s="72">
        <v>6</v>
      </c>
      <c r="D138" s="78">
        <v>5914000000</v>
      </c>
      <c r="E138" s="78">
        <v>642250000</v>
      </c>
      <c r="F138" s="78">
        <v>649600000</v>
      </c>
      <c r="G138" s="78">
        <v>46906</v>
      </c>
      <c r="H138" s="78">
        <v>2</v>
      </c>
      <c r="I138" s="78">
        <f t="shared" si="8"/>
        <v>649.6</v>
      </c>
      <c r="J138" s="78">
        <v>9284</v>
      </c>
      <c r="K138" s="78">
        <v>10593</v>
      </c>
      <c r="L138" s="78">
        <v>3485</v>
      </c>
      <c r="M138" s="78">
        <v>5691</v>
      </c>
      <c r="N138" s="78">
        <f t="shared" si="9"/>
        <v>3555.4</v>
      </c>
      <c r="O138" s="78">
        <v>662</v>
      </c>
      <c r="P138" s="78">
        <v>26</v>
      </c>
      <c r="Q138" s="78">
        <v>2800</v>
      </c>
      <c r="R138" s="78">
        <v>7132</v>
      </c>
      <c r="S138" s="78">
        <v>4065</v>
      </c>
      <c r="T138" s="78">
        <v>0</v>
      </c>
      <c r="U138" s="78">
        <v>1419</v>
      </c>
      <c r="V138" s="78">
        <v>21183</v>
      </c>
      <c r="W138" s="78">
        <v>42930</v>
      </c>
      <c r="X138" s="78">
        <v>23130</v>
      </c>
      <c r="Y138" s="78">
        <v>567.44000000000005</v>
      </c>
      <c r="Z138" s="78">
        <v>1112</v>
      </c>
      <c r="AA138" s="78">
        <v>0</v>
      </c>
      <c r="AB138" s="399">
        <f>IF((J138-'[2]Basisgegevens aanvullend'!D138*1.1)&lt;=0,0,J138-'[2]Basisgegevens aanvullend'!D138*1.1)</f>
        <v>0</v>
      </c>
      <c r="AC138" s="399">
        <v>0</v>
      </c>
      <c r="AD138" s="78">
        <v>4625</v>
      </c>
      <c r="AE138" s="78">
        <v>4625</v>
      </c>
      <c r="AF138" s="78">
        <v>18</v>
      </c>
      <c r="AG138" s="78">
        <v>0</v>
      </c>
      <c r="AH138" s="78">
        <v>246</v>
      </c>
      <c r="AI138" s="78">
        <v>24</v>
      </c>
      <c r="AJ138" s="78">
        <v>246</v>
      </c>
      <c r="AK138" s="78">
        <v>24</v>
      </c>
      <c r="AL138" s="78">
        <v>270</v>
      </c>
      <c r="AM138" s="78">
        <v>21356</v>
      </c>
      <c r="AN138" s="78">
        <v>21356</v>
      </c>
      <c r="AO138" s="78">
        <v>0</v>
      </c>
      <c r="AP138" s="78">
        <v>0</v>
      </c>
      <c r="AQ138" s="78">
        <v>0</v>
      </c>
      <c r="AR138" s="78">
        <v>0</v>
      </c>
      <c r="AS138" s="78">
        <v>1926</v>
      </c>
      <c r="AT138" s="78">
        <v>0</v>
      </c>
      <c r="AU138" s="400">
        <v>5.4898299999999996E-4</v>
      </c>
      <c r="AV138" s="400">
        <v>9.1144700000000002E-4</v>
      </c>
      <c r="AW138" s="78">
        <v>31371.964</v>
      </c>
      <c r="AX138" s="78">
        <v>0</v>
      </c>
      <c r="AY138" s="78">
        <v>405</v>
      </c>
      <c r="AZ138" s="78">
        <v>4091.5205685978899</v>
      </c>
      <c r="BA138" s="78">
        <v>4</v>
      </c>
      <c r="BB138" s="78">
        <v>4</v>
      </c>
      <c r="BC138" s="78">
        <v>6569</v>
      </c>
      <c r="BD138" s="78">
        <v>1</v>
      </c>
      <c r="BE138" s="78">
        <v>0</v>
      </c>
      <c r="BF138" s="78">
        <v>0</v>
      </c>
      <c r="BG138" s="78">
        <v>0</v>
      </c>
      <c r="BH138" s="78">
        <v>0</v>
      </c>
      <c r="BI138" s="78">
        <v>0</v>
      </c>
      <c r="BJ138" s="78">
        <v>0</v>
      </c>
      <c r="BK138" s="78">
        <v>0</v>
      </c>
      <c r="BL138" s="78">
        <v>0</v>
      </c>
      <c r="BM138" s="78">
        <v>984.10400000000004</v>
      </c>
      <c r="BN138" s="78">
        <v>97</v>
      </c>
      <c r="BO138" s="78">
        <v>145</v>
      </c>
      <c r="BP138" s="78">
        <v>16601.599999999999</v>
      </c>
      <c r="BQ138" s="78">
        <v>3903.36</v>
      </c>
      <c r="BR138" s="78">
        <v>334.59546282707998</v>
      </c>
      <c r="BS138" s="78">
        <v>548</v>
      </c>
      <c r="BT138" s="78">
        <v>217</v>
      </c>
      <c r="BU138" s="78">
        <v>169</v>
      </c>
      <c r="BV138" s="78">
        <f t="shared" si="10"/>
        <v>2138</v>
      </c>
      <c r="BW138" s="78">
        <v>529</v>
      </c>
      <c r="BX138" s="78">
        <v>6982.9412882461502</v>
      </c>
      <c r="BY138" s="78">
        <v>0.99399999999999999</v>
      </c>
      <c r="BZ138" s="78">
        <v>36313</v>
      </c>
      <c r="CA138" s="78">
        <v>5838</v>
      </c>
      <c r="CB138" s="78">
        <v>1270</v>
      </c>
      <c r="CC138" s="78">
        <v>1399</v>
      </c>
      <c r="CD138" s="78">
        <v>1236</v>
      </c>
      <c r="CE138" s="78">
        <v>727</v>
      </c>
      <c r="CF138" s="78">
        <v>611.15721108821901</v>
      </c>
      <c r="CG138" s="78">
        <v>413.70898108260002</v>
      </c>
      <c r="CH138" s="78">
        <v>166.149522382469</v>
      </c>
      <c r="CI138" s="78">
        <v>1238.5953999999999</v>
      </c>
      <c r="CJ138" s="78">
        <v>838.43899999999996</v>
      </c>
      <c r="CK138" s="78">
        <v>336.72519999999997</v>
      </c>
      <c r="CL138" s="78">
        <v>68299</v>
      </c>
    </row>
    <row r="139" spans="1:90" x14ac:dyDescent="0.35">
      <c r="A139" s="72">
        <v>1904</v>
      </c>
      <c r="B139" s="72" t="s">
        <v>288</v>
      </c>
      <c r="C139" s="72">
        <v>6</v>
      </c>
      <c r="D139" s="78">
        <v>8290400000</v>
      </c>
      <c r="E139" s="78">
        <v>690900000</v>
      </c>
      <c r="F139" s="78">
        <v>735700000</v>
      </c>
      <c r="G139" s="78">
        <v>65108</v>
      </c>
      <c r="H139" s="78">
        <v>7</v>
      </c>
      <c r="I139" s="78">
        <f t="shared" si="8"/>
        <v>735.7</v>
      </c>
      <c r="J139" s="78">
        <v>13181</v>
      </c>
      <c r="K139" s="78">
        <v>13652</v>
      </c>
      <c r="L139" s="78">
        <v>4188</v>
      </c>
      <c r="M139" s="78">
        <v>6829</v>
      </c>
      <c r="N139" s="78">
        <f t="shared" si="9"/>
        <v>3914</v>
      </c>
      <c r="O139" s="78">
        <v>745.66666666666697</v>
      </c>
      <c r="P139" s="78">
        <v>33</v>
      </c>
      <c r="Q139" s="78">
        <v>3155.6666666666702</v>
      </c>
      <c r="R139" s="78">
        <v>9267</v>
      </c>
      <c r="S139" s="78">
        <v>3575</v>
      </c>
      <c r="T139" s="78">
        <v>0</v>
      </c>
      <c r="U139" s="78">
        <v>2035</v>
      </c>
      <c r="V139" s="78">
        <v>29005</v>
      </c>
      <c r="W139" s="78">
        <v>52600</v>
      </c>
      <c r="X139" s="78">
        <v>16760</v>
      </c>
      <c r="Y139" s="78">
        <v>229.68</v>
      </c>
      <c r="Z139" s="78">
        <v>3047.2</v>
      </c>
      <c r="AA139" s="78">
        <v>0</v>
      </c>
      <c r="AB139" s="399">
        <f>IF((J139-'[2]Basisgegevens aanvullend'!D139*1.1)&lt;=0,0,J139-'[2]Basisgegevens aanvullend'!D139*1.1)</f>
        <v>0</v>
      </c>
      <c r="AC139" s="399">
        <v>0</v>
      </c>
      <c r="AD139" s="78">
        <v>9617</v>
      </c>
      <c r="AE139" s="78">
        <v>13559.97</v>
      </c>
      <c r="AF139" s="78">
        <v>1065</v>
      </c>
      <c r="AG139" s="78">
        <v>0</v>
      </c>
      <c r="AH139" s="78">
        <v>269</v>
      </c>
      <c r="AI139" s="78">
        <v>67</v>
      </c>
      <c r="AJ139" s="78">
        <v>322.8</v>
      </c>
      <c r="AK139" s="78">
        <v>100.5</v>
      </c>
      <c r="AL139" s="78">
        <v>336</v>
      </c>
      <c r="AM139" s="78">
        <v>29150</v>
      </c>
      <c r="AN139" s="78">
        <v>34980</v>
      </c>
      <c r="AO139" s="78">
        <v>0</v>
      </c>
      <c r="AP139" s="78">
        <v>0</v>
      </c>
      <c r="AQ139" s="78">
        <v>0</v>
      </c>
      <c r="AR139" s="78">
        <v>0</v>
      </c>
      <c r="AS139" s="78">
        <v>1520</v>
      </c>
      <c r="AT139" s="78">
        <v>0</v>
      </c>
      <c r="AU139" s="400">
        <v>4.9929200000000003E-4</v>
      </c>
      <c r="AV139" s="400">
        <v>5.8178600000000004E-4</v>
      </c>
      <c r="AW139" s="78">
        <v>34805.1</v>
      </c>
      <c r="AX139" s="78">
        <v>0</v>
      </c>
      <c r="AY139" s="78">
        <v>15369</v>
      </c>
      <c r="AZ139" s="78">
        <v>175285.461793672</v>
      </c>
      <c r="BA139" s="78">
        <v>17</v>
      </c>
      <c r="BB139" s="78">
        <v>25.5</v>
      </c>
      <c r="BC139" s="78">
        <v>8525</v>
      </c>
      <c r="BD139" s="78">
        <v>1</v>
      </c>
      <c r="BE139" s="78">
        <v>0</v>
      </c>
      <c r="BF139" s="78">
        <v>0</v>
      </c>
      <c r="BG139" s="78">
        <v>0</v>
      </c>
      <c r="BH139" s="78">
        <v>0</v>
      </c>
      <c r="BI139" s="78">
        <v>0</v>
      </c>
      <c r="BJ139" s="78">
        <v>0</v>
      </c>
      <c r="BK139" s="78">
        <v>0</v>
      </c>
      <c r="BL139" s="78">
        <v>0</v>
      </c>
      <c r="BM139" s="78">
        <v>1001.756</v>
      </c>
      <c r="BN139" s="78">
        <v>160</v>
      </c>
      <c r="BO139" s="78">
        <v>110</v>
      </c>
      <c r="BP139" s="78">
        <v>23603.54</v>
      </c>
      <c r="BQ139" s="78">
        <v>6006.15</v>
      </c>
      <c r="BR139" s="78">
        <v>445.85805197030299</v>
      </c>
      <c r="BS139" s="78">
        <v>732</v>
      </c>
      <c r="BT139" s="78">
        <v>216.333333333333</v>
      </c>
      <c r="BU139" s="78">
        <v>181.666666666667</v>
      </c>
      <c r="BV139" s="78">
        <f t="shared" si="10"/>
        <v>2410.0000000000032</v>
      </c>
      <c r="BW139" s="78">
        <v>452</v>
      </c>
      <c r="BX139" s="78">
        <v>9309.5886747470395</v>
      </c>
      <c r="BY139" s="78">
        <v>0.71299999999999997</v>
      </c>
      <c r="BZ139" s="78">
        <v>51456</v>
      </c>
      <c r="CA139" s="78">
        <v>8085</v>
      </c>
      <c r="CB139" s="78">
        <v>1379</v>
      </c>
      <c r="CC139" s="78">
        <v>1896</v>
      </c>
      <c r="CD139" s="78">
        <v>1473</v>
      </c>
      <c r="CE139" s="78">
        <v>673</v>
      </c>
      <c r="CF139" s="78">
        <v>695.79238421955404</v>
      </c>
      <c r="CG139" s="78">
        <v>400.66469982847298</v>
      </c>
      <c r="CH139" s="78">
        <v>131.04850771869599</v>
      </c>
      <c r="CI139" s="78">
        <v>1623.0024000000001</v>
      </c>
      <c r="CJ139" s="78">
        <v>934.58879999999999</v>
      </c>
      <c r="CK139" s="78">
        <v>305.6832</v>
      </c>
      <c r="CL139" s="78">
        <v>33031</v>
      </c>
    </row>
    <row r="140" spans="1:90" x14ac:dyDescent="0.35">
      <c r="A140" s="72">
        <v>344</v>
      </c>
      <c r="B140" s="72" t="s">
        <v>305</v>
      </c>
      <c r="C140" s="72">
        <v>6</v>
      </c>
      <c r="D140" s="78">
        <v>44755200000</v>
      </c>
      <c r="E140" s="78">
        <v>9478350000</v>
      </c>
      <c r="F140" s="78">
        <v>9582300000</v>
      </c>
      <c r="G140" s="78">
        <v>359370</v>
      </c>
      <c r="H140" s="78">
        <v>2</v>
      </c>
      <c r="I140" s="78">
        <f t="shared" si="8"/>
        <v>9582.2999999999993</v>
      </c>
      <c r="J140" s="78">
        <v>70602</v>
      </c>
      <c r="K140" s="78">
        <v>37915</v>
      </c>
      <c r="L140" s="78">
        <v>11549</v>
      </c>
      <c r="M140" s="78">
        <v>48407</v>
      </c>
      <c r="N140" s="78">
        <f t="shared" si="9"/>
        <v>31731.599999999999</v>
      </c>
      <c r="O140" s="78">
        <v>9552</v>
      </c>
      <c r="P140" s="78">
        <v>144</v>
      </c>
      <c r="Q140" s="78">
        <v>24409</v>
      </c>
      <c r="R140" s="78">
        <v>90986</v>
      </c>
      <c r="S140" s="78">
        <v>58835</v>
      </c>
      <c r="T140" s="78">
        <v>0</v>
      </c>
      <c r="U140" s="78">
        <v>10332</v>
      </c>
      <c r="V140" s="78">
        <v>185436</v>
      </c>
      <c r="W140" s="78">
        <v>412630</v>
      </c>
      <c r="X140" s="78">
        <v>730310</v>
      </c>
      <c r="Y140" s="78">
        <v>8497.8457999999991</v>
      </c>
      <c r="Z140" s="78">
        <v>12572</v>
      </c>
      <c r="AA140" s="78">
        <v>1077.7</v>
      </c>
      <c r="AB140" s="399">
        <f>IF((J140-'[2]Basisgegevens aanvullend'!D140*1.1)&lt;=0,0,J140-'[2]Basisgegevens aanvullend'!D140*1.1)</f>
        <v>4218.0999999999913</v>
      </c>
      <c r="AC140" s="399">
        <v>4261.8</v>
      </c>
      <c r="AD140" s="78">
        <v>9373</v>
      </c>
      <c r="AE140" s="78">
        <v>9654.19</v>
      </c>
      <c r="AF140" s="78">
        <v>548</v>
      </c>
      <c r="AG140" s="78">
        <v>0</v>
      </c>
      <c r="AH140" s="78">
        <v>1203</v>
      </c>
      <c r="AI140" s="78">
        <v>105</v>
      </c>
      <c r="AJ140" s="78">
        <v>1215.03</v>
      </c>
      <c r="AK140" s="78">
        <v>111.3</v>
      </c>
      <c r="AL140" s="78">
        <v>1308</v>
      </c>
      <c r="AM140" s="78">
        <v>166754</v>
      </c>
      <c r="AN140" s="78">
        <v>168421.54</v>
      </c>
      <c r="AO140" s="78">
        <v>0</v>
      </c>
      <c r="AP140" s="78">
        <v>0</v>
      </c>
      <c r="AQ140" s="78">
        <v>132</v>
      </c>
      <c r="AR140" s="78">
        <v>14100</v>
      </c>
      <c r="AS140" s="78">
        <v>39725</v>
      </c>
      <c r="AT140" s="78">
        <v>37288</v>
      </c>
      <c r="AU140" s="400">
        <v>2.9825601E-2</v>
      </c>
      <c r="AV140" s="400">
        <v>2.8403813E-2</v>
      </c>
      <c r="AW140" s="78">
        <v>580137.16599999997</v>
      </c>
      <c r="AX140" s="78">
        <v>13173.566000000001</v>
      </c>
      <c r="AY140" s="78">
        <v>5336.43</v>
      </c>
      <c r="AZ140" s="78">
        <v>209793.330843665</v>
      </c>
      <c r="BA140" s="78">
        <v>5</v>
      </c>
      <c r="BB140" s="78">
        <v>5.3</v>
      </c>
      <c r="BC140" s="78">
        <v>50848</v>
      </c>
      <c r="BD140" s="78">
        <v>1</v>
      </c>
      <c r="BE140" s="78">
        <v>1</v>
      </c>
      <c r="BF140" s="78">
        <v>0</v>
      </c>
      <c r="BG140" s="78">
        <v>0</v>
      </c>
      <c r="BH140" s="78">
        <v>0</v>
      </c>
      <c r="BI140" s="78">
        <v>0</v>
      </c>
      <c r="BJ140" s="78">
        <v>0</v>
      </c>
      <c r="BK140" s="78">
        <v>0</v>
      </c>
      <c r="BL140" s="78">
        <v>0</v>
      </c>
      <c r="BM140" s="78">
        <v>10096.085999999999</v>
      </c>
      <c r="BN140" s="78">
        <v>858</v>
      </c>
      <c r="BO140" s="78">
        <v>2067</v>
      </c>
      <c r="BP140" s="78">
        <v>105429.5</v>
      </c>
      <c r="BQ140" s="78">
        <v>27148.1</v>
      </c>
      <c r="BR140" s="78">
        <v>3785.0569185292002</v>
      </c>
      <c r="BS140" s="78">
        <v>4115</v>
      </c>
      <c r="BT140" s="78">
        <v>2710</v>
      </c>
      <c r="BU140" s="78">
        <v>2173.6666666666702</v>
      </c>
      <c r="BV140" s="78">
        <f t="shared" si="10"/>
        <v>14857</v>
      </c>
      <c r="BW140" s="78">
        <v>3620</v>
      </c>
      <c r="BX140" s="78">
        <v>29407.445569174201</v>
      </c>
      <c r="BY140" s="78">
        <v>23.021000000000001</v>
      </c>
      <c r="BZ140" s="78">
        <v>321455</v>
      </c>
      <c r="CA140" s="78">
        <v>22059</v>
      </c>
      <c r="CB140" s="78">
        <v>4307</v>
      </c>
      <c r="CC140" s="78">
        <v>7807</v>
      </c>
      <c r="CD140" s="78">
        <v>4733</v>
      </c>
      <c r="CE140" s="78">
        <v>2261</v>
      </c>
      <c r="CF140" s="78">
        <v>2946.8292070954799</v>
      </c>
      <c r="CG140" s="78">
        <v>1614.9902802931299</v>
      </c>
      <c r="CH140" s="78">
        <v>584.95111601520796</v>
      </c>
      <c r="CI140" s="78">
        <v>6426.69</v>
      </c>
      <c r="CJ140" s="78">
        <v>3522.105</v>
      </c>
      <c r="CK140" s="78">
        <v>1275.71</v>
      </c>
      <c r="CL140" s="78">
        <v>199289</v>
      </c>
    </row>
    <row r="141" spans="1:90" x14ac:dyDescent="0.35">
      <c r="A141" s="72">
        <v>1581</v>
      </c>
      <c r="B141" s="72" t="s">
        <v>306</v>
      </c>
      <c r="C141" s="72">
        <v>6</v>
      </c>
      <c r="D141" s="78">
        <v>6708000000</v>
      </c>
      <c r="E141" s="78">
        <v>570850000</v>
      </c>
      <c r="F141" s="78">
        <v>616700000</v>
      </c>
      <c r="G141" s="78">
        <v>49946</v>
      </c>
      <c r="H141" s="78">
        <v>5</v>
      </c>
      <c r="I141" s="78">
        <f t="shared" si="8"/>
        <v>616.70000000000005</v>
      </c>
      <c r="J141" s="78">
        <v>9905</v>
      </c>
      <c r="K141" s="78">
        <v>12202</v>
      </c>
      <c r="L141" s="78">
        <v>4207</v>
      </c>
      <c r="M141" s="78">
        <v>5445</v>
      </c>
      <c r="N141" s="78">
        <f t="shared" si="9"/>
        <v>2964.2</v>
      </c>
      <c r="O141" s="78">
        <v>644</v>
      </c>
      <c r="P141" s="78">
        <v>54</v>
      </c>
      <c r="Q141" s="78">
        <v>2940</v>
      </c>
      <c r="R141" s="78">
        <v>7524</v>
      </c>
      <c r="S141" s="78">
        <v>2085</v>
      </c>
      <c r="T141" s="78">
        <v>0</v>
      </c>
      <c r="U141" s="78">
        <v>1286</v>
      </c>
      <c r="V141" s="78">
        <v>23382</v>
      </c>
      <c r="W141" s="78">
        <v>43800</v>
      </c>
      <c r="X141" s="78">
        <v>16160</v>
      </c>
      <c r="Y141" s="78">
        <v>747.15239999999994</v>
      </c>
      <c r="Z141" s="78">
        <v>1776.8</v>
      </c>
      <c r="AA141" s="78">
        <v>0</v>
      </c>
      <c r="AB141" s="399">
        <f>IF((J141-'[2]Basisgegevens aanvullend'!D141*1.1)&lt;=0,0,J141-'[2]Basisgegevens aanvullend'!D141*1.1)</f>
        <v>0</v>
      </c>
      <c r="AC141" s="399">
        <v>0</v>
      </c>
      <c r="AD141" s="78">
        <v>13205</v>
      </c>
      <c r="AE141" s="78">
        <v>13205</v>
      </c>
      <c r="AF141" s="78">
        <v>189</v>
      </c>
      <c r="AG141" s="78">
        <v>0</v>
      </c>
      <c r="AH141" s="78">
        <v>252</v>
      </c>
      <c r="AI141" s="78">
        <v>71</v>
      </c>
      <c r="AJ141" s="78">
        <v>252</v>
      </c>
      <c r="AK141" s="78">
        <v>71</v>
      </c>
      <c r="AL141" s="78">
        <v>324</v>
      </c>
      <c r="AM141" s="78">
        <v>24808</v>
      </c>
      <c r="AN141" s="78">
        <v>24808</v>
      </c>
      <c r="AO141" s="78">
        <v>0</v>
      </c>
      <c r="AP141" s="78">
        <v>0</v>
      </c>
      <c r="AQ141" s="78">
        <v>0</v>
      </c>
      <c r="AR141" s="78">
        <v>0</v>
      </c>
      <c r="AS141" s="78">
        <v>1930</v>
      </c>
      <c r="AT141" s="78">
        <v>0</v>
      </c>
      <c r="AU141" s="400">
        <v>5.9320800000000002E-4</v>
      </c>
      <c r="AV141" s="400">
        <v>4.0565300000000001E-4</v>
      </c>
      <c r="AW141" s="78">
        <v>19474.28</v>
      </c>
      <c r="AX141" s="78">
        <v>0</v>
      </c>
      <c r="AY141" s="78">
        <v>1640</v>
      </c>
      <c r="AZ141" s="78">
        <v>6115.5323279080203</v>
      </c>
      <c r="BA141" s="78">
        <v>17</v>
      </c>
      <c r="BB141" s="78">
        <v>17</v>
      </c>
      <c r="BC141" s="78">
        <v>7519</v>
      </c>
      <c r="BD141" s="78">
        <v>1</v>
      </c>
      <c r="BE141" s="78">
        <v>0</v>
      </c>
      <c r="BF141" s="78">
        <v>0</v>
      </c>
      <c r="BG141" s="78">
        <v>0</v>
      </c>
      <c r="BH141" s="78">
        <v>0</v>
      </c>
      <c r="BI141" s="78">
        <v>0</v>
      </c>
      <c r="BJ141" s="78">
        <v>0</v>
      </c>
      <c r="BK141" s="78">
        <v>0</v>
      </c>
      <c r="BL141" s="78">
        <v>0</v>
      </c>
      <c r="BM141" s="78">
        <v>782.495</v>
      </c>
      <c r="BN141" s="78">
        <v>64</v>
      </c>
      <c r="BO141" s="78">
        <v>102</v>
      </c>
      <c r="BP141" s="78">
        <v>17946.259999999998</v>
      </c>
      <c r="BQ141" s="78">
        <v>4555.76</v>
      </c>
      <c r="BR141" s="78">
        <v>381.82616155247302</v>
      </c>
      <c r="BS141" s="78">
        <v>470</v>
      </c>
      <c r="BT141" s="78">
        <v>153.666666666667</v>
      </c>
      <c r="BU141" s="78">
        <v>103</v>
      </c>
      <c r="BV141" s="78">
        <f t="shared" si="10"/>
        <v>2296</v>
      </c>
      <c r="BW141" s="78">
        <v>897</v>
      </c>
      <c r="BX141" s="78">
        <v>7743.1410730133102</v>
      </c>
      <c r="BY141" s="78">
        <v>0.92800000000000005</v>
      </c>
      <c r="BZ141" s="78">
        <v>37744</v>
      </c>
      <c r="CA141" s="78">
        <v>6189</v>
      </c>
      <c r="CB141" s="78">
        <v>1806</v>
      </c>
      <c r="CC141" s="78">
        <v>1369</v>
      </c>
      <c r="CD141" s="78">
        <v>1413</v>
      </c>
      <c r="CE141" s="78">
        <v>834</v>
      </c>
      <c r="CF141" s="78">
        <v>459.30283779425997</v>
      </c>
      <c r="CG141" s="78">
        <v>339.57821670428899</v>
      </c>
      <c r="CH141" s="78">
        <v>144.57763624637201</v>
      </c>
      <c r="CI141" s="78">
        <v>1116.2976000000001</v>
      </c>
      <c r="CJ141" s="78">
        <v>825.31679999999994</v>
      </c>
      <c r="CK141" s="78">
        <v>351.38400000000001</v>
      </c>
      <c r="CL141" s="78">
        <v>200212</v>
      </c>
    </row>
    <row r="142" spans="1:90" x14ac:dyDescent="0.35">
      <c r="A142" s="72">
        <v>345</v>
      </c>
      <c r="B142" s="72" t="s">
        <v>311</v>
      </c>
      <c r="C142" s="72">
        <v>6</v>
      </c>
      <c r="D142" s="78">
        <v>6339600000</v>
      </c>
      <c r="E142" s="78">
        <v>1057000000</v>
      </c>
      <c r="F142" s="78">
        <v>1065400000</v>
      </c>
      <c r="G142" s="78">
        <v>66912</v>
      </c>
      <c r="H142" s="78">
        <v>1</v>
      </c>
      <c r="I142" s="78">
        <f t="shared" si="8"/>
        <v>1065.4000000000001</v>
      </c>
      <c r="J142" s="78">
        <v>14771</v>
      </c>
      <c r="K142" s="78">
        <v>12338</v>
      </c>
      <c r="L142" s="78">
        <v>3808</v>
      </c>
      <c r="M142" s="78">
        <v>8515</v>
      </c>
      <c r="N142" s="78">
        <f t="shared" si="9"/>
        <v>5640.7</v>
      </c>
      <c r="O142" s="78">
        <v>1070.6666666666699</v>
      </c>
      <c r="P142" s="78">
        <v>70</v>
      </c>
      <c r="Q142" s="78">
        <v>4401.6666666666697</v>
      </c>
      <c r="R142" s="78">
        <v>9264</v>
      </c>
      <c r="S142" s="78">
        <v>5585</v>
      </c>
      <c r="T142" s="78">
        <v>0</v>
      </c>
      <c r="U142" s="78">
        <v>1930</v>
      </c>
      <c r="V142" s="78">
        <v>29012</v>
      </c>
      <c r="W142" s="78">
        <v>76950</v>
      </c>
      <c r="X142" s="78">
        <v>80990</v>
      </c>
      <c r="Y142" s="78">
        <v>1311.4</v>
      </c>
      <c r="Z142" s="78">
        <v>4676</v>
      </c>
      <c r="AA142" s="78">
        <v>0</v>
      </c>
      <c r="AB142" s="399">
        <f>IF((J142-'[2]Basisgegevens aanvullend'!D142*1.1)&lt;=0,0,J142-'[2]Basisgegevens aanvullend'!D142*1.1)</f>
        <v>0</v>
      </c>
      <c r="AC142" s="399">
        <v>0</v>
      </c>
      <c r="AD142" s="78">
        <v>1941</v>
      </c>
      <c r="AE142" s="78">
        <v>1941</v>
      </c>
      <c r="AF142" s="78">
        <v>31</v>
      </c>
      <c r="AG142" s="78">
        <v>0</v>
      </c>
      <c r="AH142" s="78">
        <v>350</v>
      </c>
      <c r="AI142" s="78">
        <v>5</v>
      </c>
      <c r="AJ142" s="78">
        <v>350</v>
      </c>
      <c r="AK142" s="78">
        <v>5</v>
      </c>
      <c r="AL142" s="78">
        <v>355</v>
      </c>
      <c r="AM142" s="78">
        <v>28743</v>
      </c>
      <c r="AN142" s="78">
        <v>28743</v>
      </c>
      <c r="AO142" s="78">
        <v>0</v>
      </c>
      <c r="AP142" s="78">
        <v>0</v>
      </c>
      <c r="AQ142" s="78">
        <v>0</v>
      </c>
      <c r="AR142" s="78">
        <v>0</v>
      </c>
      <c r="AS142" s="78">
        <v>2384</v>
      </c>
      <c r="AT142" s="78">
        <v>0</v>
      </c>
      <c r="AU142" s="400">
        <v>5.5279000000000005E-4</v>
      </c>
      <c r="AV142" s="400">
        <v>1.4079470000000001E-3</v>
      </c>
      <c r="AW142" s="78">
        <v>63234.6</v>
      </c>
      <c r="AX142" s="78">
        <v>0</v>
      </c>
      <c r="AY142" s="78">
        <v>877</v>
      </c>
      <c r="AZ142" s="78">
        <v>29757.517241379301</v>
      </c>
      <c r="BA142" s="78">
        <v>1</v>
      </c>
      <c r="BB142" s="78">
        <v>1</v>
      </c>
      <c r="BC142" s="78">
        <v>7166</v>
      </c>
      <c r="BD142" s="78">
        <v>1</v>
      </c>
      <c r="BE142" s="78">
        <v>0</v>
      </c>
      <c r="BF142" s="78">
        <v>0</v>
      </c>
      <c r="BG142" s="78">
        <v>0</v>
      </c>
      <c r="BH142" s="78">
        <v>0</v>
      </c>
      <c r="BI142" s="78">
        <v>0</v>
      </c>
      <c r="BJ142" s="78">
        <v>0</v>
      </c>
      <c r="BK142" s="78">
        <v>0</v>
      </c>
      <c r="BL142" s="78">
        <v>0</v>
      </c>
      <c r="BM142" s="78">
        <v>1698.665</v>
      </c>
      <c r="BN142" s="78">
        <v>299</v>
      </c>
      <c r="BO142" s="78">
        <v>226</v>
      </c>
      <c r="BP142" s="78">
        <v>18326.099999999999</v>
      </c>
      <c r="BQ142" s="78">
        <v>4700.05</v>
      </c>
      <c r="BR142" s="78">
        <v>829.62512162937503</v>
      </c>
      <c r="BS142" s="78">
        <v>792</v>
      </c>
      <c r="BT142" s="78">
        <v>366</v>
      </c>
      <c r="BU142" s="78">
        <v>314</v>
      </c>
      <c r="BV142" s="78">
        <f t="shared" si="10"/>
        <v>3331</v>
      </c>
      <c r="BW142" s="78">
        <v>933</v>
      </c>
      <c r="BX142" s="78">
        <v>11057.0789418435</v>
      </c>
      <c r="BY142" s="78">
        <v>2.367</v>
      </c>
      <c r="BZ142" s="78">
        <v>54574</v>
      </c>
      <c r="CA142" s="78">
        <v>7211</v>
      </c>
      <c r="CB142" s="78">
        <v>1319</v>
      </c>
      <c r="CC142" s="78">
        <v>1443</v>
      </c>
      <c r="CD142" s="78">
        <v>1297</v>
      </c>
      <c r="CE142" s="78">
        <v>668</v>
      </c>
      <c r="CF142" s="78">
        <v>872.706151062868</v>
      </c>
      <c r="CG142" s="78">
        <v>521.62198100407102</v>
      </c>
      <c r="CH142" s="78">
        <v>182.11632745364099</v>
      </c>
      <c r="CI142" s="78">
        <v>2104.7651000000001</v>
      </c>
      <c r="CJ142" s="78">
        <v>1258.0314000000001</v>
      </c>
      <c r="CK142" s="78">
        <v>439.22239999999999</v>
      </c>
      <c r="CL142" s="78">
        <v>34126</v>
      </c>
    </row>
    <row r="143" spans="1:90" x14ac:dyDescent="0.35">
      <c r="A143" s="72">
        <v>1961</v>
      </c>
      <c r="B143" s="72" t="s">
        <v>317</v>
      </c>
      <c r="C143" s="72">
        <v>6</v>
      </c>
      <c r="D143" s="78">
        <v>5391600000</v>
      </c>
      <c r="E143" s="78">
        <v>854000000</v>
      </c>
      <c r="F143" s="78">
        <v>905100000</v>
      </c>
      <c r="G143" s="78">
        <v>57829</v>
      </c>
      <c r="H143" s="78">
        <v>6</v>
      </c>
      <c r="I143" s="78">
        <f t="shared" si="8"/>
        <v>905.1</v>
      </c>
      <c r="J143" s="78">
        <v>12023</v>
      </c>
      <c r="K143" s="78">
        <v>11692</v>
      </c>
      <c r="L143" s="78">
        <v>3829</v>
      </c>
      <c r="M143" s="78">
        <v>6675</v>
      </c>
      <c r="N143" s="78">
        <f t="shared" si="9"/>
        <v>4231</v>
      </c>
      <c r="O143" s="78">
        <v>687.33333333333303</v>
      </c>
      <c r="P143" s="78">
        <v>53</v>
      </c>
      <c r="Q143" s="78">
        <v>3333.3333333333298</v>
      </c>
      <c r="R143" s="78">
        <v>6938</v>
      </c>
      <c r="S143" s="78">
        <v>4500</v>
      </c>
      <c r="T143" s="78">
        <v>0</v>
      </c>
      <c r="U143" s="78">
        <v>1660</v>
      </c>
      <c r="V143" s="78">
        <v>24591</v>
      </c>
      <c r="W143" s="78">
        <v>52200</v>
      </c>
      <c r="X143" s="78">
        <v>13030</v>
      </c>
      <c r="Y143" s="78">
        <v>192.06</v>
      </c>
      <c r="Z143" s="78">
        <v>1392</v>
      </c>
      <c r="AA143" s="78">
        <v>0</v>
      </c>
      <c r="AB143" s="399">
        <f>IF((J143-'[2]Basisgegevens aanvullend'!D143*1.1)&lt;=0,0,J143-'[2]Basisgegevens aanvullend'!D143*1.1)</f>
        <v>0</v>
      </c>
      <c r="AC143" s="399">
        <v>0</v>
      </c>
      <c r="AD143" s="78">
        <v>14628</v>
      </c>
      <c r="AE143" s="78">
        <v>19016.400000000001</v>
      </c>
      <c r="AF143" s="78">
        <v>703</v>
      </c>
      <c r="AG143" s="78">
        <v>0</v>
      </c>
      <c r="AH143" s="78">
        <v>307</v>
      </c>
      <c r="AI143" s="78">
        <v>115</v>
      </c>
      <c r="AJ143" s="78">
        <v>380.68</v>
      </c>
      <c r="AK143" s="78">
        <v>151.80000000000001</v>
      </c>
      <c r="AL143" s="78">
        <v>422</v>
      </c>
      <c r="AM143" s="78">
        <v>24440</v>
      </c>
      <c r="AN143" s="78">
        <v>30305.599999999999</v>
      </c>
      <c r="AO143" s="78">
        <v>20</v>
      </c>
      <c r="AP143" s="78">
        <v>0</v>
      </c>
      <c r="AQ143" s="78">
        <v>0</v>
      </c>
      <c r="AR143" s="78">
        <v>2200</v>
      </c>
      <c r="AS143" s="78">
        <v>2225</v>
      </c>
      <c r="AT143" s="78">
        <v>1400</v>
      </c>
      <c r="AU143" s="400">
        <v>8.9642200000000002E-4</v>
      </c>
      <c r="AV143" s="400">
        <v>6.3300800000000001E-4</v>
      </c>
      <c r="AW143" s="78">
        <v>21996</v>
      </c>
      <c r="AX143" s="78">
        <v>0</v>
      </c>
      <c r="AY143" s="78">
        <v>6910.8</v>
      </c>
      <c r="AZ143" s="78">
        <v>57921.791950949097</v>
      </c>
      <c r="BA143" s="78">
        <v>20</v>
      </c>
      <c r="BB143" s="78">
        <v>26.4</v>
      </c>
      <c r="BC143" s="78">
        <v>6685</v>
      </c>
      <c r="BD143" s="78">
        <v>1</v>
      </c>
      <c r="BE143" s="78">
        <v>0</v>
      </c>
      <c r="BF143" s="78">
        <v>0</v>
      </c>
      <c r="BG143" s="78">
        <v>0</v>
      </c>
      <c r="BH143" s="78">
        <v>0</v>
      </c>
      <c r="BI143" s="78">
        <v>0</v>
      </c>
      <c r="BJ143" s="78">
        <v>0</v>
      </c>
      <c r="BK143" s="78">
        <v>0</v>
      </c>
      <c r="BL143" s="78">
        <v>0</v>
      </c>
      <c r="BM143" s="78">
        <v>1130.162</v>
      </c>
      <c r="BN143" s="78">
        <v>169</v>
      </c>
      <c r="BO143" s="78">
        <v>194</v>
      </c>
      <c r="BP143" s="78">
        <v>16419.240000000002</v>
      </c>
      <c r="BQ143" s="78">
        <v>4264.92</v>
      </c>
      <c r="BR143" s="78">
        <v>607.054880446683</v>
      </c>
      <c r="BS143" s="78">
        <v>650</v>
      </c>
      <c r="BT143" s="78">
        <v>236.666666666667</v>
      </c>
      <c r="BU143" s="78">
        <v>190.666666666667</v>
      </c>
      <c r="BV143" s="78">
        <f t="shared" si="10"/>
        <v>2645.9999999999968</v>
      </c>
      <c r="BW143" s="78">
        <v>628</v>
      </c>
      <c r="BX143" s="78">
        <v>9766.6076942845593</v>
      </c>
      <c r="BY143" s="78">
        <v>1.087</v>
      </c>
      <c r="BZ143" s="78">
        <v>46137</v>
      </c>
      <c r="CA143" s="78">
        <v>6607</v>
      </c>
      <c r="CB143" s="78">
        <v>1256</v>
      </c>
      <c r="CC143" s="78">
        <v>1284</v>
      </c>
      <c r="CD143" s="78">
        <v>1214</v>
      </c>
      <c r="CE143" s="78">
        <v>578</v>
      </c>
      <c r="CF143" s="78">
        <v>702.339075286416</v>
      </c>
      <c r="CG143" s="78">
        <v>456.16550736497601</v>
      </c>
      <c r="CH143" s="78">
        <v>145.072749590835</v>
      </c>
      <c r="CI143" s="78">
        <v>1744.1043</v>
      </c>
      <c r="CJ143" s="78">
        <v>1132.7864999999999</v>
      </c>
      <c r="CK143" s="78">
        <v>360.25619999999998</v>
      </c>
      <c r="CL143" s="78">
        <v>15611</v>
      </c>
    </row>
    <row r="144" spans="1:90" x14ac:dyDescent="0.35">
      <c r="A144" s="72">
        <v>352</v>
      </c>
      <c r="B144" s="72" t="s">
        <v>346</v>
      </c>
      <c r="C144" s="72">
        <v>6</v>
      </c>
      <c r="D144" s="78">
        <v>2528400000</v>
      </c>
      <c r="E144" s="78">
        <v>185150000</v>
      </c>
      <c r="F144" s="78">
        <v>210350000</v>
      </c>
      <c r="G144" s="78">
        <v>23925</v>
      </c>
      <c r="H144" s="78">
        <v>3</v>
      </c>
      <c r="I144" s="78">
        <f t="shared" si="8"/>
        <v>210.35</v>
      </c>
      <c r="J144" s="78">
        <v>4691</v>
      </c>
      <c r="K144" s="78">
        <v>5059</v>
      </c>
      <c r="L144" s="78">
        <v>1420</v>
      </c>
      <c r="M144" s="78">
        <v>2335</v>
      </c>
      <c r="N144" s="78">
        <f t="shared" si="9"/>
        <v>1298.7</v>
      </c>
      <c r="O144" s="78">
        <v>258.33333333333297</v>
      </c>
      <c r="P144" s="78">
        <v>19</v>
      </c>
      <c r="Q144" s="78">
        <v>1232.3333333333301</v>
      </c>
      <c r="R144" s="78">
        <v>2915</v>
      </c>
      <c r="S144" s="78">
        <v>680</v>
      </c>
      <c r="T144" s="78">
        <v>0</v>
      </c>
      <c r="U144" s="78">
        <v>720</v>
      </c>
      <c r="V144" s="78">
        <v>10422</v>
      </c>
      <c r="W144" s="78">
        <v>22650</v>
      </c>
      <c r="X144" s="78">
        <v>6780</v>
      </c>
      <c r="Y144" s="78">
        <v>136.62</v>
      </c>
      <c r="Z144" s="78">
        <v>614.4</v>
      </c>
      <c r="AA144" s="78">
        <v>0</v>
      </c>
      <c r="AB144" s="399">
        <f>IF((J144-'[2]Basisgegevens aanvullend'!D144*1.1)&lt;=0,0,J144-'[2]Basisgegevens aanvullend'!D144*1.1)</f>
        <v>0</v>
      </c>
      <c r="AC144" s="399">
        <v>0</v>
      </c>
      <c r="AD144" s="78">
        <v>4764</v>
      </c>
      <c r="AE144" s="78">
        <v>5097.4799999999996</v>
      </c>
      <c r="AF144" s="78">
        <v>276</v>
      </c>
      <c r="AG144" s="78">
        <v>0</v>
      </c>
      <c r="AH144" s="78">
        <v>99</v>
      </c>
      <c r="AI144" s="78">
        <v>39</v>
      </c>
      <c r="AJ144" s="78">
        <v>108.9</v>
      </c>
      <c r="AK144" s="78">
        <v>41.34</v>
      </c>
      <c r="AL144" s="78">
        <v>138</v>
      </c>
      <c r="AM144" s="78">
        <v>10363</v>
      </c>
      <c r="AN144" s="78">
        <v>11399.3</v>
      </c>
      <c r="AO144" s="78">
        <v>13</v>
      </c>
      <c r="AP144" s="78">
        <v>0</v>
      </c>
      <c r="AQ144" s="78">
        <v>0</v>
      </c>
      <c r="AR144" s="78">
        <v>1250</v>
      </c>
      <c r="AS144" s="78">
        <v>591</v>
      </c>
      <c r="AT144" s="78">
        <v>591</v>
      </c>
      <c r="AU144" s="400">
        <v>1.3178800000000001E-4</v>
      </c>
      <c r="AV144" s="400">
        <v>1.0825E-4</v>
      </c>
      <c r="AW144" s="78">
        <v>11813.82</v>
      </c>
      <c r="AX144" s="78">
        <v>0</v>
      </c>
      <c r="AY144" s="78">
        <v>1383.51</v>
      </c>
      <c r="AZ144" s="78">
        <v>8406.2671130952403</v>
      </c>
      <c r="BA144" s="78">
        <v>5</v>
      </c>
      <c r="BB144" s="78">
        <v>5.3</v>
      </c>
      <c r="BC144" s="78">
        <v>2887</v>
      </c>
      <c r="BD144" s="78">
        <v>1</v>
      </c>
      <c r="BE144" s="78">
        <v>0</v>
      </c>
      <c r="BF144" s="78">
        <v>0</v>
      </c>
      <c r="BG144" s="78">
        <v>0</v>
      </c>
      <c r="BH144" s="78">
        <v>0</v>
      </c>
      <c r="BI144" s="78">
        <v>0</v>
      </c>
      <c r="BJ144" s="78">
        <v>0</v>
      </c>
      <c r="BK144" s="78">
        <v>0</v>
      </c>
      <c r="BL144" s="78">
        <v>0</v>
      </c>
      <c r="BM144" s="78">
        <v>342.44299999999998</v>
      </c>
      <c r="BN144" s="78">
        <v>65</v>
      </c>
      <c r="BO144" s="78">
        <v>53</v>
      </c>
      <c r="BP144" s="78">
        <v>7983.3</v>
      </c>
      <c r="BQ144" s="78">
        <v>1855.94</v>
      </c>
      <c r="BR144" s="78">
        <v>232.791641904264</v>
      </c>
      <c r="BS144" s="78">
        <v>278</v>
      </c>
      <c r="BT144" s="78">
        <v>87.3333333333333</v>
      </c>
      <c r="BU144" s="78">
        <v>66.6666666666667</v>
      </c>
      <c r="BV144" s="78">
        <f t="shared" si="10"/>
        <v>973.99999999999704</v>
      </c>
      <c r="BW144" s="78">
        <v>209</v>
      </c>
      <c r="BX144" s="78">
        <v>3974.14719411224</v>
      </c>
      <c r="BY144" s="78">
        <v>0.18099999999999999</v>
      </c>
      <c r="BZ144" s="78">
        <v>18866</v>
      </c>
      <c r="CA144" s="78">
        <v>3268</v>
      </c>
      <c r="CB144" s="78">
        <v>371</v>
      </c>
      <c r="CC144" s="78">
        <v>644</v>
      </c>
      <c r="CD144" s="78">
        <v>457</v>
      </c>
      <c r="CE144" s="78">
        <v>184</v>
      </c>
      <c r="CF144" s="78">
        <v>257.28371128051702</v>
      </c>
      <c r="CG144" s="78">
        <v>125.82213644697499</v>
      </c>
      <c r="CH144" s="78">
        <v>33.7113094663707</v>
      </c>
      <c r="CI144" s="78">
        <v>738.25879999999995</v>
      </c>
      <c r="CJ144" s="78">
        <v>361.03840000000002</v>
      </c>
      <c r="CK144" s="78">
        <v>96.732399999999998</v>
      </c>
      <c r="CL144" s="78">
        <v>0</v>
      </c>
    </row>
    <row r="145" spans="1:90" x14ac:dyDescent="0.35">
      <c r="A145" s="72">
        <v>632</v>
      </c>
      <c r="B145" s="72" t="s">
        <v>349</v>
      </c>
      <c r="C145" s="72">
        <v>6</v>
      </c>
      <c r="D145" s="78">
        <v>5767200000</v>
      </c>
      <c r="E145" s="78">
        <v>736400000</v>
      </c>
      <c r="F145" s="78">
        <v>770000000</v>
      </c>
      <c r="G145" s="78">
        <v>52694</v>
      </c>
      <c r="H145" s="78">
        <v>4</v>
      </c>
      <c r="I145" s="78">
        <f t="shared" si="8"/>
        <v>770</v>
      </c>
      <c r="J145" s="78">
        <v>11229</v>
      </c>
      <c r="K145" s="78">
        <v>10190</v>
      </c>
      <c r="L145" s="78">
        <v>3259</v>
      </c>
      <c r="M145" s="78">
        <v>5426</v>
      </c>
      <c r="N145" s="78">
        <f t="shared" si="9"/>
        <v>3172.1</v>
      </c>
      <c r="O145" s="78">
        <v>525.33333333333303</v>
      </c>
      <c r="P145" s="78">
        <v>49</v>
      </c>
      <c r="Q145" s="78">
        <v>2698.3333333333298</v>
      </c>
      <c r="R145" s="78">
        <v>7040</v>
      </c>
      <c r="S145" s="78">
        <v>2775</v>
      </c>
      <c r="T145" s="78">
        <v>0</v>
      </c>
      <c r="U145" s="78">
        <v>1542</v>
      </c>
      <c r="V145" s="78">
        <v>22774</v>
      </c>
      <c r="W145" s="78">
        <v>50740</v>
      </c>
      <c r="X145" s="78">
        <v>21650</v>
      </c>
      <c r="Y145" s="78">
        <v>863.28</v>
      </c>
      <c r="Z145" s="78">
        <v>4036.8</v>
      </c>
      <c r="AA145" s="78">
        <v>0</v>
      </c>
      <c r="AB145" s="399">
        <f>IF((J145-'[2]Basisgegevens aanvullend'!D145*1.1)&lt;=0,0,J145-'[2]Basisgegevens aanvullend'!D145*1.1)</f>
        <v>0</v>
      </c>
      <c r="AC145" s="399">
        <v>0</v>
      </c>
      <c r="AD145" s="78">
        <v>8899</v>
      </c>
      <c r="AE145" s="78">
        <v>14505.37</v>
      </c>
      <c r="AF145" s="78">
        <v>394</v>
      </c>
      <c r="AG145" s="78">
        <v>0</v>
      </c>
      <c r="AH145" s="78">
        <v>260</v>
      </c>
      <c r="AI145" s="78">
        <v>65</v>
      </c>
      <c r="AJ145" s="78">
        <v>353.6</v>
      </c>
      <c r="AK145" s="78">
        <v>110.5</v>
      </c>
      <c r="AL145" s="78">
        <v>325</v>
      </c>
      <c r="AM145" s="78">
        <v>22539</v>
      </c>
      <c r="AN145" s="78">
        <v>30653.040000000001</v>
      </c>
      <c r="AO145" s="78">
        <v>9</v>
      </c>
      <c r="AP145" s="78">
        <v>0</v>
      </c>
      <c r="AQ145" s="78">
        <v>0</v>
      </c>
      <c r="AR145" s="78">
        <v>3900</v>
      </c>
      <c r="AS145" s="78">
        <v>1651</v>
      </c>
      <c r="AT145" s="78">
        <v>1651</v>
      </c>
      <c r="AU145" s="400">
        <v>3.46795E-4</v>
      </c>
      <c r="AV145" s="400">
        <v>3.0283399999999998E-4</v>
      </c>
      <c r="AW145" s="78">
        <v>31329.21</v>
      </c>
      <c r="AX145" s="78">
        <v>0</v>
      </c>
      <c r="AY145" s="78">
        <v>15664.3</v>
      </c>
      <c r="AZ145" s="78">
        <v>229844.27622511599</v>
      </c>
      <c r="BA145" s="78">
        <v>10</v>
      </c>
      <c r="BB145" s="78">
        <v>17</v>
      </c>
      <c r="BC145" s="78">
        <v>7158</v>
      </c>
      <c r="BD145" s="78">
        <v>1</v>
      </c>
      <c r="BE145" s="78">
        <v>0</v>
      </c>
      <c r="BF145" s="78">
        <v>0</v>
      </c>
      <c r="BG145" s="78">
        <v>0</v>
      </c>
      <c r="BH145" s="78">
        <v>0</v>
      </c>
      <c r="BI145" s="78">
        <v>0</v>
      </c>
      <c r="BJ145" s="78">
        <v>0</v>
      </c>
      <c r="BK145" s="78">
        <v>0</v>
      </c>
      <c r="BL145" s="78">
        <v>0</v>
      </c>
      <c r="BM145" s="78">
        <v>830.94600000000003</v>
      </c>
      <c r="BN145" s="78">
        <v>130</v>
      </c>
      <c r="BO145" s="78">
        <v>138</v>
      </c>
      <c r="BP145" s="78">
        <v>17556.96</v>
      </c>
      <c r="BQ145" s="78">
        <v>4657.7299999999996</v>
      </c>
      <c r="BR145" s="78">
        <v>433.54830337078698</v>
      </c>
      <c r="BS145" s="78">
        <v>645</v>
      </c>
      <c r="BT145" s="78">
        <v>183.666666666667</v>
      </c>
      <c r="BU145" s="78">
        <v>131</v>
      </c>
      <c r="BV145" s="78">
        <f t="shared" si="10"/>
        <v>2172.9999999999968</v>
      </c>
      <c r="BW145" s="78">
        <v>537</v>
      </c>
      <c r="BX145" s="78">
        <v>7680.6953341364097</v>
      </c>
      <c r="BY145" s="78">
        <v>0.51400000000000001</v>
      </c>
      <c r="BZ145" s="78">
        <v>42504</v>
      </c>
      <c r="CA145" s="78">
        <v>5841</v>
      </c>
      <c r="CB145" s="78">
        <v>1090</v>
      </c>
      <c r="CC145" s="78">
        <v>1144</v>
      </c>
      <c r="CD145" s="78">
        <v>1070</v>
      </c>
      <c r="CE145" s="78">
        <v>581</v>
      </c>
      <c r="CF145" s="78">
        <v>504.96893384799699</v>
      </c>
      <c r="CG145" s="78">
        <v>323.41655796619199</v>
      </c>
      <c r="CH145" s="78">
        <v>113.15357380540399</v>
      </c>
      <c r="CI145" s="78">
        <v>1232.8368</v>
      </c>
      <c r="CJ145" s="78">
        <v>789.59280000000001</v>
      </c>
      <c r="CK145" s="78">
        <v>276.25439999999998</v>
      </c>
      <c r="CL145" s="78">
        <v>36742</v>
      </c>
    </row>
    <row r="146" spans="1:90" x14ac:dyDescent="0.35">
      <c r="A146" s="72">
        <v>351</v>
      </c>
      <c r="B146" s="72" t="s">
        <v>351</v>
      </c>
      <c r="C146" s="72">
        <v>6</v>
      </c>
      <c r="D146" s="78">
        <v>1478000000</v>
      </c>
      <c r="E146" s="78">
        <v>161350000</v>
      </c>
      <c r="F146" s="78">
        <v>175350000</v>
      </c>
      <c r="G146" s="78">
        <v>13639</v>
      </c>
      <c r="H146" s="78">
        <v>1</v>
      </c>
      <c r="I146" s="78">
        <f t="shared" si="8"/>
        <v>175.35</v>
      </c>
      <c r="J146" s="78">
        <v>3248</v>
      </c>
      <c r="K146" s="78">
        <v>2590</v>
      </c>
      <c r="L146" s="78">
        <v>870</v>
      </c>
      <c r="M146" s="78">
        <v>1203</v>
      </c>
      <c r="N146" s="78">
        <f t="shared" si="9"/>
        <v>658.5</v>
      </c>
      <c r="O146" s="78">
        <v>97.6666666666667</v>
      </c>
      <c r="P146" s="78">
        <v>9</v>
      </c>
      <c r="Q146" s="78">
        <v>646.66666666666697</v>
      </c>
      <c r="R146" s="78">
        <v>1409</v>
      </c>
      <c r="S146" s="78">
        <v>330</v>
      </c>
      <c r="T146" s="78">
        <v>0</v>
      </c>
      <c r="U146" s="78">
        <v>296</v>
      </c>
      <c r="V146" s="78">
        <v>5532</v>
      </c>
      <c r="W146" s="78">
        <v>12120</v>
      </c>
      <c r="X146" s="78">
        <v>2810</v>
      </c>
      <c r="Y146" s="78">
        <v>0</v>
      </c>
      <c r="Z146" s="78">
        <v>0</v>
      </c>
      <c r="AA146" s="78">
        <v>0</v>
      </c>
      <c r="AB146" s="399">
        <f>IF((J146-'[2]Basisgegevens aanvullend'!D146*1.1)&lt;=0,0,J146-'[2]Basisgegevens aanvullend'!D146*1.1)</f>
        <v>0</v>
      </c>
      <c r="AC146" s="399">
        <v>0</v>
      </c>
      <c r="AD146" s="78">
        <v>3652</v>
      </c>
      <c r="AE146" s="78">
        <v>3652</v>
      </c>
      <c r="AF146" s="78">
        <v>31</v>
      </c>
      <c r="AG146" s="78">
        <v>0</v>
      </c>
      <c r="AH146" s="78">
        <v>62</v>
      </c>
      <c r="AI146" s="78">
        <v>40</v>
      </c>
      <c r="AJ146" s="78">
        <v>62</v>
      </c>
      <c r="AK146" s="78">
        <v>40</v>
      </c>
      <c r="AL146" s="78">
        <v>102</v>
      </c>
      <c r="AM146" s="78">
        <v>5445</v>
      </c>
      <c r="AN146" s="78">
        <v>5445</v>
      </c>
      <c r="AO146" s="78">
        <v>0</v>
      </c>
      <c r="AP146" s="78">
        <v>0</v>
      </c>
      <c r="AQ146" s="78">
        <v>0</v>
      </c>
      <c r="AR146" s="78">
        <v>0</v>
      </c>
      <c r="AS146" s="78">
        <v>0</v>
      </c>
      <c r="AT146" s="78">
        <v>0</v>
      </c>
      <c r="AU146" s="400">
        <v>5.0538999999999998E-5</v>
      </c>
      <c r="AV146" s="400">
        <v>2.5939999999999999E-5</v>
      </c>
      <c r="AW146" s="78">
        <v>5297.9849999999997</v>
      </c>
      <c r="AX146" s="78">
        <v>0</v>
      </c>
      <c r="AY146" s="78">
        <v>589</v>
      </c>
      <c r="AZ146" s="78">
        <v>2181.2030953027402</v>
      </c>
      <c r="BA146" s="78">
        <v>1</v>
      </c>
      <c r="BB146" s="78">
        <v>1</v>
      </c>
      <c r="BC146" s="78">
        <v>1596</v>
      </c>
      <c r="BD146" s="78">
        <v>1</v>
      </c>
      <c r="BE146" s="78">
        <v>0</v>
      </c>
      <c r="BF146" s="78">
        <v>0</v>
      </c>
      <c r="BG146" s="78">
        <v>0</v>
      </c>
      <c r="BH146" s="78">
        <v>0</v>
      </c>
      <c r="BI146" s="78">
        <v>0</v>
      </c>
      <c r="BJ146" s="78">
        <v>0</v>
      </c>
      <c r="BK146" s="78">
        <v>0</v>
      </c>
      <c r="BL146" s="78">
        <v>0</v>
      </c>
      <c r="BM146" s="78">
        <v>214.36799999999999</v>
      </c>
      <c r="BN146" s="78">
        <v>65</v>
      </c>
      <c r="BO146" s="78">
        <v>30</v>
      </c>
      <c r="BP146" s="78">
        <v>3819.36</v>
      </c>
      <c r="BQ146" s="78">
        <v>1104.32</v>
      </c>
      <c r="BR146" s="78">
        <v>167.73162264150901</v>
      </c>
      <c r="BS146" s="78">
        <v>114</v>
      </c>
      <c r="BT146" s="78">
        <v>40.6666666666667</v>
      </c>
      <c r="BU146" s="78">
        <v>21</v>
      </c>
      <c r="BV146" s="78">
        <f t="shared" si="10"/>
        <v>549.00000000000023</v>
      </c>
      <c r="BW146" s="78">
        <v>249</v>
      </c>
      <c r="BX146" s="78">
        <v>1523.50140996857</v>
      </c>
      <c r="BY146" s="78">
        <v>6.6000000000000003E-2</v>
      </c>
      <c r="BZ146" s="78">
        <v>11049</v>
      </c>
      <c r="CA146" s="78">
        <v>1418</v>
      </c>
      <c r="CB146" s="78">
        <v>302</v>
      </c>
      <c r="CC146" s="78">
        <v>275</v>
      </c>
      <c r="CD146" s="78">
        <v>258</v>
      </c>
      <c r="CE146" s="78">
        <v>150</v>
      </c>
      <c r="CF146" s="78">
        <v>106.666115702479</v>
      </c>
      <c r="CG146" s="78">
        <v>68.692011019283697</v>
      </c>
      <c r="CH146" s="78">
        <v>27.089807162534399</v>
      </c>
      <c r="CI146" s="78">
        <v>337.80599999999998</v>
      </c>
      <c r="CJ146" s="78">
        <v>217.54400000000001</v>
      </c>
      <c r="CK146" s="78">
        <v>85.792000000000002</v>
      </c>
      <c r="CL146" s="78">
        <v>83220</v>
      </c>
    </row>
    <row r="147" spans="1:90" x14ac:dyDescent="0.35">
      <c r="A147" s="72">
        <v>355</v>
      </c>
      <c r="B147" s="72" t="s">
        <v>356</v>
      </c>
      <c r="C147" s="72">
        <v>6</v>
      </c>
      <c r="D147" s="78">
        <v>8977600000</v>
      </c>
      <c r="E147" s="78">
        <v>1094100000</v>
      </c>
      <c r="F147" s="78">
        <v>1132600000</v>
      </c>
      <c r="G147" s="78">
        <v>65043</v>
      </c>
      <c r="H147" s="78">
        <v>3</v>
      </c>
      <c r="I147" s="78">
        <f t="shared" si="8"/>
        <v>1132.5999999999999</v>
      </c>
      <c r="J147" s="78">
        <v>13647</v>
      </c>
      <c r="K147" s="78">
        <v>13810</v>
      </c>
      <c r="L147" s="78">
        <v>4359</v>
      </c>
      <c r="M147" s="78">
        <v>8889</v>
      </c>
      <c r="N147" s="78">
        <f t="shared" si="9"/>
        <v>5765.2</v>
      </c>
      <c r="O147" s="78">
        <v>1173</v>
      </c>
      <c r="P147" s="78">
        <v>59</v>
      </c>
      <c r="Q147" s="78">
        <v>4592</v>
      </c>
      <c r="R147" s="78">
        <v>11942</v>
      </c>
      <c r="S147" s="78">
        <v>6035</v>
      </c>
      <c r="T147" s="78">
        <v>0</v>
      </c>
      <c r="U147" s="78">
        <v>2094</v>
      </c>
      <c r="V147" s="78">
        <v>31538</v>
      </c>
      <c r="W147" s="78">
        <v>65880</v>
      </c>
      <c r="X147" s="78">
        <v>47720</v>
      </c>
      <c r="Y147" s="78">
        <v>3670.6525999999999</v>
      </c>
      <c r="Z147" s="78">
        <v>5137.6000000000004</v>
      </c>
      <c r="AA147" s="78">
        <v>0</v>
      </c>
      <c r="AB147" s="399">
        <f>IF((J147-'[2]Basisgegevens aanvullend'!D147*1.1)&lt;=0,0,J147-'[2]Basisgegevens aanvullend'!D147*1.1)</f>
        <v>0</v>
      </c>
      <c r="AC147" s="399">
        <v>17.799999999999301</v>
      </c>
      <c r="AD147" s="78">
        <v>4851</v>
      </c>
      <c r="AE147" s="78">
        <v>4851</v>
      </c>
      <c r="AF147" s="78">
        <v>14</v>
      </c>
      <c r="AG147" s="78">
        <v>0</v>
      </c>
      <c r="AH147" s="78">
        <v>282</v>
      </c>
      <c r="AI147" s="78">
        <v>24</v>
      </c>
      <c r="AJ147" s="78">
        <v>282</v>
      </c>
      <c r="AK147" s="78">
        <v>24</v>
      </c>
      <c r="AL147" s="78">
        <v>306</v>
      </c>
      <c r="AM147" s="78">
        <v>31238</v>
      </c>
      <c r="AN147" s="78">
        <v>31238</v>
      </c>
      <c r="AO147" s="78">
        <v>0</v>
      </c>
      <c r="AP147" s="78">
        <v>0</v>
      </c>
      <c r="AQ147" s="78">
        <v>0</v>
      </c>
      <c r="AR147" s="78">
        <v>0</v>
      </c>
      <c r="AS147" s="78">
        <v>4932</v>
      </c>
      <c r="AT147" s="78">
        <v>0</v>
      </c>
      <c r="AU147" s="400">
        <v>1.3231569999999999E-3</v>
      </c>
      <c r="AV147" s="400">
        <v>2.0160909999999998E-3</v>
      </c>
      <c r="AW147" s="78">
        <v>50012.038</v>
      </c>
      <c r="AX147" s="78">
        <v>0</v>
      </c>
      <c r="AY147" s="78">
        <v>555</v>
      </c>
      <c r="AZ147" s="78">
        <v>7420.1161356629</v>
      </c>
      <c r="BA147" s="78">
        <v>4</v>
      </c>
      <c r="BB147" s="78">
        <v>4</v>
      </c>
      <c r="BC147" s="78">
        <v>8820</v>
      </c>
      <c r="BD147" s="78">
        <v>1</v>
      </c>
      <c r="BE147" s="78">
        <v>0</v>
      </c>
      <c r="BF147" s="78">
        <v>0</v>
      </c>
      <c r="BG147" s="78">
        <v>0</v>
      </c>
      <c r="BH147" s="78">
        <v>0</v>
      </c>
      <c r="BI147" s="78">
        <v>0</v>
      </c>
      <c r="BJ147" s="78">
        <v>0</v>
      </c>
      <c r="BK147" s="78">
        <v>0</v>
      </c>
      <c r="BL147" s="78">
        <v>0</v>
      </c>
      <c r="BM147" s="78">
        <v>1596.6990000000001</v>
      </c>
      <c r="BN147" s="78">
        <v>101</v>
      </c>
      <c r="BO147" s="78">
        <v>211</v>
      </c>
      <c r="BP147" s="78">
        <v>22937.46</v>
      </c>
      <c r="BQ147" s="78">
        <v>6439.15</v>
      </c>
      <c r="BR147" s="78">
        <v>650.44292957746495</v>
      </c>
      <c r="BS147" s="78">
        <v>788</v>
      </c>
      <c r="BT147" s="78">
        <v>336.66666666666703</v>
      </c>
      <c r="BU147" s="78">
        <v>291.66666666666703</v>
      </c>
      <c r="BV147" s="78">
        <f t="shared" si="10"/>
        <v>3419</v>
      </c>
      <c r="BW147" s="78">
        <v>1272</v>
      </c>
      <c r="BX147" s="78">
        <v>9496.5485740698005</v>
      </c>
      <c r="BY147" s="78">
        <v>2.5670000000000002</v>
      </c>
      <c r="BZ147" s="78">
        <v>51233</v>
      </c>
      <c r="CA147" s="78">
        <v>7453</v>
      </c>
      <c r="CB147" s="78">
        <v>1998</v>
      </c>
      <c r="CC147" s="78">
        <v>2087</v>
      </c>
      <c r="CD147" s="78">
        <v>1562</v>
      </c>
      <c r="CE147" s="78">
        <v>907</v>
      </c>
      <c r="CF147" s="78">
        <v>888.45869773993195</v>
      </c>
      <c r="CG147" s="78">
        <v>556.44016902490603</v>
      </c>
      <c r="CH147" s="78">
        <v>233.649503809463</v>
      </c>
      <c r="CI147" s="78">
        <v>1493.7842000000001</v>
      </c>
      <c r="CJ147" s="78">
        <v>935.55449999999996</v>
      </c>
      <c r="CK147" s="78">
        <v>392.83980000000003</v>
      </c>
      <c r="CL147" s="78">
        <v>491263</v>
      </c>
    </row>
    <row r="148" spans="1:90" x14ac:dyDescent="0.35">
      <c r="A148" s="72">
        <v>358</v>
      </c>
      <c r="B148" s="72" t="s">
        <v>12</v>
      </c>
      <c r="C148" s="72">
        <v>7</v>
      </c>
      <c r="D148" s="78">
        <v>4108000000</v>
      </c>
      <c r="E148" s="78">
        <v>856800000</v>
      </c>
      <c r="F148" s="78">
        <v>869050000</v>
      </c>
      <c r="G148" s="78">
        <v>31991</v>
      </c>
      <c r="H148" s="78">
        <v>2</v>
      </c>
      <c r="I148" s="78">
        <f t="shared" si="8"/>
        <v>869.05</v>
      </c>
      <c r="J148" s="78">
        <v>6775</v>
      </c>
      <c r="K148" s="78">
        <v>5993</v>
      </c>
      <c r="L148" s="78">
        <v>2034</v>
      </c>
      <c r="M148" s="78">
        <v>3242</v>
      </c>
      <c r="N148" s="78">
        <f t="shared" si="9"/>
        <v>1908.3999999999999</v>
      </c>
      <c r="O148" s="78">
        <v>216.666666666667</v>
      </c>
      <c r="P148" s="78">
        <v>11</v>
      </c>
      <c r="Q148" s="78">
        <v>1202.6666666666699</v>
      </c>
      <c r="R148" s="78">
        <v>3913</v>
      </c>
      <c r="S148" s="78">
        <v>1550</v>
      </c>
      <c r="T148" s="78">
        <v>0</v>
      </c>
      <c r="U148" s="78">
        <v>1009</v>
      </c>
      <c r="V148" s="78">
        <v>13636</v>
      </c>
      <c r="W148" s="78">
        <v>25500</v>
      </c>
      <c r="X148" s="78">
        <v>4070</v>
      </c>
      <c r="Y148" s="78">
        <v>0</v>
      </c>
      <c r="Z148" s="78">
        <v>0</v>
      </c>
      <c r="AA148" s="78">
        <v>0</v>
      </c>
      <c r="AB148" s="399">
        <f>IF((J148-'[2]Basisgegevens aanvullend'!D148*1.1)&lt;=0,0,J148-'[2]Basisgegevens aanvullend'!D148*1.1)</f>
        <v>0</v>
      </c>
      <c r="AC148" s="399">
        <v>0</v>
      </c>
      <c r="AD148" s="78">
        <v>2002</v>
      </c>
      <c r="AE148" s="78">
        <v>2402.4</v>
      </c>
      <c r="AF148" s="78">
        <v>1227</v>
      </c>
      <c r="AG148" s="78">
        <v>0</v>
      </c>
      <c r="AH148" s="78">
        <v>226</v>
      </c>
      <c r="AI148" s="78">
        <v>62</v>
      </c>
      <c r="AJ148" s="78">
        <v>284.76</v>
      </c>
      <c r="AK148" s="78">
        <v>70.06</v>
      </c>
      <c r="AL148" s="78">
        <v>287</v>
      </c>
      <c r="AM148" s="78">
        <v>13336</v>
      </c>
      <c r="AN148" s="78">
        <v>16803.36</v>
      </c>
      <c r="AO148" s="78">
        <v>0</v>
      </c>
      <c r="AP148" s="78">
        <v>0</v>
      </c>
      <c r="AQ148" s="78">
        <v>0</v>
      </c>
      <c r="AR148" s="78">
        <v>0</v>
      </c>
      <c r="AS148" s="78">
        <v>1605</v>
      </c>
      <c r="AT148" s="78">
        <v>0</v>
      </c>
      <c r="AU148" s="400">
        <v>2.2255300000000001E-4</v>
      </c>
      <c r="AV148" s="400">
        <v>1.25499E-4</v>
      </c>
      <c r="AW148" s="78">
        <v>12482.495999999999</v>
      </c>
      <c r="AX148" s="78">
        <v>0</v>
      </c>
      <c r="AY148" s="78">
        <v>4222.8</v>
      </c>
      <c r="AZ148" s="78">
        <v>95836.277856921704</v>
      </c>
      <c r="BA148" s="78">
        <v>3</v>
      </c>
      <c r="BB148" s="78">
        <v>3.39</v>
      </c>
      <c r="BC148" s="78">
        <v>4603</v>
      </c>
      <c r="BD148" s="78">
        <v>1</v>
      </c>
      <c r="BE148" s="78">
        <v>0</v>
      </c>
      <c r="BF148" s="78">
        <v>0</v>
      </c>
      <c r="BG148" s="78">
        <v>0</v>
      </c>
      <c r="BH148" s="78">
        <v>0</v>
      </c>
      <c r="BI148" s="78">
        <v>0</v>
      </c>
      <c r="BJ148" s="78">
        <v>0</v>
      </c>
      <c r="BK148" s="78">
        <v>0</v>
      </c>
      <c r="BL148" s="78">
        <v>0</v>
      </c>
      <c r="BM148" s="78">
        <v>433.6</v>
      </c>
      <c r="BN148" s="78">
        <v>164</v>
      </c>
      <c r="BO148" s="78">
        <v>100</v>
      </c>
      <c r="BP148" s="78">
        <v>10768.95</v>
      </c>
      <c r="BQ148" s="78">
        <v>3163.56</v>
      </c>
      <c r="BR148" s="78">
        <v>200.385802638813</v>
      </c>
      <c r="BS148" s="78">
        <v>416</v>
      </c>
      <c r="BT148" s="78">
        <v>81</v>
      </c>
      <c r="BU148" s="78">
        <v>58.6666666666667</v>
      </c>
      <c r="BV148" s="78">
        <f t="shared" si="10"/>
        <v>986.00000000000296</v>
      </c>
      <c r="BW148" s="78">
        <v>275</v>
      </c>
      <c r="BX148" s="78">
        <v>4167.1141818638398</v>
      </c>
      <c r="BY148" s="78">
        <v>0.161</v>
      </c>
      <c r="BZ148" s="78">
        <v>25998</v>
      </c>
      <c r="CA148" s="78">
        <v>3194</v>
      </c>
      <c r="CB148" s="78">
        <v>765</v>
      </c>
      <c r="CC148" s="78">
        <v>606</v>
      </c>
      <c r="CD148" s="78">
        <v>637</v>
      </c>
      <c r="CE148" s="78">
        <v>396</v>
      </c>
      <c r="CF148" s="78">
        <v>278.47528494301099</v>
      </c>
      <c r="CG148" s="78">
        <v>200.198830233953</v>
      </c>
      <c r="CH148" s="78">
        <v>80.279874025194999</v>
      </c>
      <c r="CI148" s="78">
        <v>632.64459999999997</v>
      </c>
      <c r="CJ148" s="78">
        <v>454.81490000000002</v>
      </c>
      <c r="CK148" s="78">
        <v>182.3811</v>
      </c>
      <c r="CL148" s="78">
        <v>36773</v>
      </c>
    </row>
    <row r="149" spans="1:90" x14ac:dyDescent="0.35">
      <c r="A149" s="72">
        <v>361</v>
      </c>
      <c r="B149" s="72" t="s">
        <v>17</v>
      </c>
      <c r="C149" s="72">
        <v>7</v>
      </c>
      <c r="D149" s="78">
        <v>11089600000</v>
      </c>
      <c r="E149" s="78">
        <v>2067450000</v>
      </c>
      <c r="F149" s="78">
        <v>2107350000</v>
      </c>
      <c r="G149" s="78">
        <v>109896</v>
      </c>
      <c r="H149" s="78">
        <v>5</v>
      </c>
      <c r="I149" s="78">
        <f t="shared" si="8"/>
        <v>2107.35</v>
      </c>
      <c r="J149" s="78">
        <v>20237</v>
      </c>
      <c r="K149" s="78">
        <v>22185</v>
      </c>
      <c r="L149" s="78">
        <v>6725</v>
      </c>
      <c r="M149" s="78">
        <v>17167</v>
      </c>
      <c r="N149" s="78">
        <f t="shared" si="9"/>
        <v>11953.099999999999</v>
      </c>
      <c r="O149" s="78">
        <v>2333.3333333333298</v>
      </c>
      <c r="P149" s="78">
        <v>246</v>
      </c>
      <c r="Q149" s="78">
        <v>9375.3333333333303</v>
      </c>
      <c r="R149" s="78">
        <v>21492</v>
      </c>
      <c r="S149" s="78">
        <v>8225</v>
      </c>
      <c r="T149" s="78">
        <v>0</v>
      </c>
      <c r="U149" s="78">
        <v>4386</v>
      </c>
      <c r="V149" s="78">
        <v>53713</v>
      </c>
      <c r="W149" s="78">
        <v>119230</v>
      </c>
      <c r="X149" s="78">
        <v>128720</v>
      </c>
      <c r="Y149" s="78">
        <v>3549.1</v>
      </c>
      <c r="Z149" s="78">
        <v>5475.2</v>
      </c>
      <c r="AA149" s="78">
        <v>0</v>
      </c>
      <c r="AB149" s="399">
        <f>IF((J149-'[2]Basisgegevens aanvullend'!D149*1.1)&lt;=0,0,J149-'[2]Basisgegevens aanvullend'!D149*1.1)</f>
        <v>0</v>
      </c>
      <c r="AC149" s="399">
        <v>0</v>
      </c>
      <c r="AD149" s="78">
        <v>11013</v>
      </c>
      <c r="AE149" s="78">
        <v>12004.17</v>
      </c>
      <c r="AF149" s="78">
        <v>721</v>
      </c>
      <c r="AG149" s="78">
        <v>0</v>
      </c>
      <c r="AH149" s="78">
        <v>476</v>
      </c>
      <c r="AI149" s="78">
        <v>82</v>
      </c>
      <c r="AJ149" s="78">
        <v>499.8</v>
      </c>
      <c r="AK149" s="78">
        <v>90.2</v>
      </c>
      <c r="AL149" s="78">
        <v>558</v>
      </c>
      <c r="AM149" s="78">
        <v>52139</v>
      </c>
      <c r="AN149" s="78">
        <v>54745.95</v>
      </c>
      <c r="AO149" s="78">
        <v>0</v>
      </c>
      <c r="AP149" s="78">
        <v>47</v>
      </c>
      <c r="AQ149" s="78">
        <v>0</v>
      </c>
      <c r="AR149" s="78">
        <v>8600</v>
      </c>
      <c r="AS149" s="78">
        <v>7019</v>
      </c>
      <c r="AT149" s="78">
        <v>7019</v>
      </c>
      <c r="AU149" s="400">
        <v>5.9157480000000002E-3</v>
      </c>
      <c r="AV149" s="400">
        <v>6.6916470000000002E-3</v>
      </c>
      <c r="AW149" s="78">
        <v>119033.337</v>
      </c>
      <c r="AX149" s="78">
        <v>0</v>
      </c>
      <c r="AY149" s="78">
        <v>11376.33</v>
      </c>
      <c r="AZ149" s="78">
        <v>189765.966504176</v>
      </c>
      <c r="BA149" s="78">
        <v>12</v>
      </c>
      <c r="BB149" s="78">
        <v>13.2</v>
      </c>
      <c r="BC149" s="78">
        <v>13813</v>
      </c>
      <c r="BD149" s="78">
        <v>1</v>
      </c>
      <c r="BE149" s="78">
        <v>0</v>
      </c>
      <c r="BF149" s="78">
        <v>0</v>
      </c>
      <c r="BG149" s="78">
        <v>0</v>
      </c>
      <c r="BH149" s="78">
        <v>0</v>
      </c>
      <c r="BI149" s="78">
        <v>0</v>
      </c>
      <c r="BJ149" s="78">
        <v>0</v>
      </c>
      <c r="BK149" s="78">
        <v>0</v>
      </c>
      <c r="BL149" s="78">
        <v>0</v>
      </c>
      <c r="BM149" s="78">
        <v>2468.9140000000002</v>
      </c>
      <c r="BN149" s="78">
        <v>220</v>
      </c>
      <c r="BO149" s="78">
        <v>325</v>
      </c>
      <c r="BP149" s="78">
        <v>33668.480000000003</v>
      </c>
      <c r="BQ149" s="78">
        <v>7274.46</v>
      </c>
      <c r="BR149" s="78">
        <v>791.37525095785395</v>
      </c>
      <c r="BS149" s="78">
        <v>1531</v>
      </c>
      <c r="BT149" s="78">
        <v>649.33333333333303</v>
      </c>
      <c r="BU149" s="78">
        <v>617.33333333333303</v>
      </c>
      <c r="BV149" s="78">
        <f t="shared" si="10"/>
        <v>7042</v>
      </c>
      <c r="BW149" s="78">
        <v>1875</v>
      </c>
      <c r="BX149" s="78">
        <v>16548.950192624001</v>
      </c>
      <c r="BY149" s="78">
        <v>5.41</v>
      </c>
      <c r="BZ149" s="78">
        <v>87711</v>
      </c>
      <c r="CA149" s="78">
        <v>13139</v>
      </c>
      <c r="CB149" s="78">
        <v>2321</v>
      </c>
      <c r="CC149" s="78">
        <v>3642</v>
      </c>
      <c r="CD149" s="78">
        <v>2519</v>
      </c>
      <c r="CE149" s="78">
        <v>1193</v>
      </c>
      <c r="CF149" s="78">
        <v>1989.24123400909</v>
      </c>
      <c r="CG149" s="78">
        <v>1109.3624906499899</v>
      </c>
      <c r="CH149" s="78">
        <v>382.16723949442797</v>
      </c>
      <c r="CI149" s="78">
        <v>4106.8240999999998</v>
      </c>
      <c r="CJ149" s="78">
        <v>2290.2986999999998</v>
      </c>
      <c r="CK149" s="78">
        <v>788.99109999999996</v>
      </c>
      <c r="CL149" s="78">
        <v>60805</v>
      </c>
    </row>
    <row r="150" spans="1:90" x14ac:dyDescent="0.35">
      <c r="A150" s="72">
        <v>362</v>
      </c>
      <c r="B150" s="72" t="s">
        <v>25</v>
      </c>
      <c r="C150" s="72">
        <v>7</v>
      </c>
      <c r="D150" s="78">
        <v>15138800000</v>
      </c>
      <c r="E150" s="78">
        <v>1796900000</v>
      </c>
      <c r="F150" s="78">
        <v>1832250000</v>
      </c>
      <c r="G150" s="78">
        <v>90829</v>
      </c>
      <c r="H150" s="78">
        <v>1</v>
      </c>
      <c r="I150" s="78">
        <f t="shared" si="8"/>
        <v>1832.25</v>
      </c>
      <c r="J150" s="78">
        <v>18945</v>
      </c>
      <c r="K150" s="78">
        <v>17795</v>
      </c>
      <c r="L150" s="78">
        <v>5840</v>
      </c>
      <c r="M150" s="78">
        <v>10484</v>
      </c>
      <c r="N150" s="78">
        <f t="shared" si="9"/>
        <v>6172.9</v>
      </c>
      <c r="O150" s="78">
        <v>1053.3333333333301</v>
      </c>
      <c r="P150" s="78">
        <v>46</v>
      </c>
      <c r="Q150" s="78">
        <v>3861.3333333333298</v>
      </c>
      <c r="R150" s="78">
        <v>18400</v>
      </c>
      <c r="S150" s="78">
        <v>7565</v>
      </c>
      <c r="T150" s="78">
        <v>0</v>
      </c>
      <c r="U150" s="78">
        <v>3254</v>
      </c>
      <c r="V150" s="78">
        <v>43793</v>
      </c>
      <c r="W150" s="78">
        <v>90470</v>
      </c>
      <c r="X150" s="78">
        <v>56570</v>
      </c>
      <c r="Y150" s="78">
        <v>413.82</v>
      </c>
      <c r="Z150" s="78">
        <v>4632.8</v>
      </c>
      <c r="AA150" s="78">
        <v>0</v>
      </c>
      <c r="AB150" s="399">
        <f>IF((J150-'[2]Basisgegevens aanvullend'!D150*1.1)&lt;=0,0,J150-'[2]Basisgegevens aanvullend'!D150*1.1)</f>
        <v>1062.2999999999993</v>
      </c>
      <c r="AC150" s="399">
        <v>0</v>
      </c>
      <c r="AD150" s="78">
        <v>4122</v>
      </c>
      <c r="AE150" s="78">
        <v>5358.6</v>
      </c>
      <c r="AF150" s="78">
        <v>286</v>
      </c>
      <c r="AG150" s="78">
        <v>0</v>
      </c>
      <c r="AH150" s="78">
        <v>306</v>
      </c>
      <c r="AI150" s="78">
        <v>23</v>
      </c>
      <c r="AJ150" s="78">
        <v>397.8</v>
      </c>
      <c r="AK150" s="78">
        <v>29.9</v>
      </c>
      <c r="AL150" s="78">
        <v>329</v>
      </c>
      <c r="AM150" s="78">
        <v>43111</v>
      </c>
      <c r="AN150" s="78">
        <v>56044.3</v>
      </c>
      <c r="AO150" s="78">
        <v>0</v>
      </c>
      <c r="AP150" s="78">
        <v>0</v>
      </c>
      <c r="AQ150" s="78">
        <v>0</v>
      </c>
      <c r="AR150" s="78">
        <v>0</v>
      </c>
      <c r="AS150" s="78">
        <v>1241</v>
      </c>
      <c r="AT150" s="78">
        <v>0</v>
      </c>
      <c r="AU150" s="400">
        <v>7.1556899999999999E-4</v>
      </c>
      <c r="AV150" s="400">
        <v>3.213704E-3</v>
      </c>
      <c r="AW150" s="78">
        <v>108079.277</v>
      </c>
      <c r="AX150" s="78">
        <v>0</v>
      </c>
      <c r="AY150" s="78">
        <v>4982.8999999999996</v>
      </c>
      <c r="AZ150" s="78">
        <v>178000.525521779</v>
      </c>
      <c r="BA150" s="78">
        <v>8</v>
      </c>
      <c r="BB150" s="78">
        <v>10.4</v>
      </c>
      <c r="BC150" s="78">
        <v>11477</v>
      </c>
      <c r="BD150" s="78">
        <v>1</v>
      </c>
      <c r="BE150" s="78">
        <v>0</v>
      </c>
      <c r="BF150" s="78">
        <v>0</v>
      </c>
      <c r="BG150" s="78">
        <v>0</v>
      </c>
      <c r="BH150" s="78">
        <v>0</v>
      </c>
      <c r="BI150" s="78">
        <v>0</v>
      </c>
      <c r="BJ150" s="78">
        <v>0</v>
      </c>
      <c r="BK150" s="78">
        <v>0</v>
      </c>
      <c r="BL150" s="78">
        <v>0</v>
      </c>
      <c r="BM150" s="78">
        <v>1686.105</v>
      </c>
      <c r="BN150" s="78">
        <v>52</v>
      </c>
      <c r="BO150" s="78">
        <v>128</v>
      </c>
      <c r="BP150" s="78">
        <v>34403.199999999997</v>
      </c>
      <c r="BQ150" s="78">
        <v>9750.84</v>
      </c>
      <c r="BR150" s="78">
        <v>310.41546986721102</v>
      </c>
      <c r="BS150" s="78">
        <v>1272</v>
      </c>
      <c r="BT150" s="78">
        <v>334.33333333333297</v>
      </c>
      <c r="BU150" s="78">
        <v>301</v>
      </c>
      <c r="BV150" s="78">
        <f t="shared" si="10"/>
        <v>2808</v>
      </c>
      <c r="BW150" s="78">
        <v>650</v>
      </c>
      <c r="BX150" s="78">
        <v>10556.672975184099</v>
      </c>
      <c r="BY150" s="78">
        <v>1.008</v>
      </c>
      <c r="BZ150" s="78">
        <v>73034</v>
      </c>
      <c r="CA150" s="78">
        <v>9133</v>
      </c>
      <c r="CB150" s="78">
        <v>2822</v>
      </c>
      <c r="CC150" s="78">
        <v>2688</v>
      </c>
      <c r="CD150" s="78">
        <v>2430</v>
      </c>
      <c r="CE150" s="78">
        <v>1583</v>
      </c>
      <c r="CF150" s="78">
        <v>873.57896824476404</v>
      </c>
      <c r="CG150" s="78">
        <v>613.12328176103597</v>
      </c>
      <c r="CH150" s="78">
        <v>307.70713043074801</v>
      </c>
      <c r="CI150" s="78">
        <v>1857.7545</v>
      </c>
      <c r="CJ150" s="78">
        <v>1303.8689999999999</v>
      </c>
      <c r="CK150" s="78">
        <v>654.37049999999999</v>
      </c>
      <c r="CL150" s="78">
        <v>133948</v>
      </c>
    </row>
    <row r="151" spans="1:90" x14ac:dyDescent="0.35">
      <c r="A151" s="72">
        <v>363</v>
      </c>
      <c r="B151" s="72" t="s">
        <v>26</v>
      </c>
      <c r="C151" s="72">
        <v>7</v>
      </c>
      <c r="D151" s="78">
        <v>151550400000</v>
      </c>
      <c r="E151" s="78">
        <v>34010550000</v>
      </c>
      <c r="F151" s="78">
        <v>34119750000</v>
      </c>
      <c r="G151" s="78">
        <v>873338</v>
      </c>
      <c r="H151" s="78">
        <v>4</v>
      </c>
      <c r="I151" s="78">
        <f t="shared" si="8"/>
        <v>34119.75</v>
      </c>
      <c r="J151" s="78">
        <v>145828</v>
      </c>
      <c r="K151" s="78">
        <v>113429</v>
      </c>
      <c r="L151" s="78">
        <v>32585</v>
      </c>
      <c r="M151" s="78">
        <v>156262</v>
      </c>
      <c r="N151" s="78">
        <f t="shared" si="9"/>
        <v>110063.5</v>
      </c>
      <c r="O151" s="78">
        <v>38101.333333333299</v>
      </c>
      <c r="P151" s="78">
        <v>915</v>
      </c>
      <c r="Q151" s="78">
        <v>75732.333333333299</v>
      </c>
      <c r="R151" s="78">
        <v>256596</v>
      </c>
      <c r="S151" s="78">
        <v>205390</v>
      </c>
      <c r="T151" s="78">
        <v>30722.400000000001</v>
      </c>
      <c r="U151" s="78">
        <v>39972</v>
      </c>
      <c r="V151" s="78">
        <v>486377</v>
      </c>
      <c r="W151" s="78">
        <v>963770</v>
      </c>
      <c r="X151" s="78">
        <v>1817690</v>
      </c>
      <c r="Y151" s="78">
        <v>16633.555199999999</v>
      </c>
      <c r="Z151" s="78">
        <v>32496</v>
      </c>
      <c r="AA151" s="78">
        <v>4772.7</v>
      </c>
      <c r="AB151" s="399">
        <f>IF((J151-'[2]Basisgegevens aanvullend'!D151*1.1)&lt;=0,0,J151-'[2]Basisgegevens aanvullend'!D151*1.1)</f>
        <v>0</v>
      </c>
      <c r="AC151" s="399">
        <v>3588.5</v>
      </c>
      <c r="AD151" s="78">
        <v>16577</v>
      </c>
      <c r="AE151" s="78">
        <v>21715.87</v>
      </c>
      <c r="AF151" s="78">
        <v>3160</v>
      </c>
      <c r="AG151" s="78">
        <v>2212</v>
      </c>
      <c r="AH151" s="78">
        <v>2167</v>
      </c>
      <c r="AI151" s="78">
        <v>275</v>
      </c>
      <c r="AJ151" s="78">
        <v>2838.77</v>
      </c>
      <c r="AK151" s="78">
        <v>360.25</v>
      </c>
      <c r="AL151" s="78">
        <v>2442</v>
      </c>
      <c r="AM151" s="78">
        <v>461985</v>
      </c>
      <c r="AN151" s="78">
        <v>605200.35</v>
      </c>
      <c r="AO151" s="78">
        <v>0</v>
      </c>
      <c r="AP151" s="78">
        <v>0</v>
      </c>
      <c r="AQ151" s="78">
        <v>425</v>
      </c>
      <c r="AR151" s="78">
        <v>83000</v>
      </c>
      <c r="AS151" s="78">
        <v>198950</v>
      </c>
      <c r="AT151" s="78">
        <v>196621</v>
      </c>
      <c r="AU151" s="400">
        <v>0.21133982800000001</v>
      </c>
      <c r="AV151" s="400">
        <v>0.14053195900000001</v>
      </c>
      <c r="AW151" s="78">
        <v>2816260.56</v>
      </c>
      <c r="AX151" s="78">
        <v>1245511.56</v>
      </c>
      <c r="AY151" s="78">
        <v>19089.32</v>
      </c>
      <c r="AZ151" s="78">
        <v>2018256.37402037</v>
      </c>
      <c r="BA151" s="78">
        <v>20</v>
      </c>
      <c r="BB151" s="78">
        <v>26.2</v>
      </c>
      <c r="BC151" s="78">
        <v>167495</v>
      </c>
      <c r="BD151" s="78">
        <v>1</v>
      </c>
      <c r="BE151" s="78">
        <v>0</v>
      </c>
      <c r="BF151" s="78">
        <v>0</v>
      </c>
      <c r="BG151" s="78">
        <v>0</v>
      </c>
      <c r="BH151" s="78">
        <v>1</v>
      </c>
      <c r="BI151" s="78">
        <v>0</v>
      </c>
      <c r="BJ151" s="78">
        <v>0</v>
      </c>
      <c r="BK151" s="78">
        <v>0</v>
      </c>
      <c r="BL151" s="78">
        <v>0</v>
      </c>
      <c r="BM151" s="78">
        <v>35873.688000000002</v>
      </c>
      <c r="BN151" s="78">
        <v>2337</v>
      </c>
      <c r="BO151" s="78">
        <v>5175</v>
      </c>
      <c r="BP151" s="78">
        <v>294422.5</v>
      </c>
      <c r="BQ151" s="78">
        <v>51724.74</v>
      </c>
      <c r="BR151" s="78">
        <v>4559.7053233360602</v>
      </c>
      <c r="BS151" s="78">
        <v>15278</v>
      </c>
      <c r="BT151" s="78">
        <v>9599</v>
      </c>
      <c r="BU151" s="78">
        <v>9506</v>
      </c>
      <c r="BV151" s="78">
        <f t="shared" si="10"/>
        <v>37631</v>
      </c>
      <c r="BW151" s="78">
        <v>8391</v>
      </c>
      <c r="BX151" s="78">
        <v>82960.350503152702</v>
      </c>
      <c r="BY151" s="78">
        <v>114.51</v>
      </c>
      <c r="BZ151" s="78">
        <v>759909</v>
      </c>
      <c r="CA151" s="78">
        <v>69828</v>
      </c>
      <c r="CB151" s="78">
        <v>11016</v>
      </c>
      <c r="CC151" s="78">
        <v>32140</v>
      </c>
      <c r="CD151" s="78">
        <v>16363</v>
      </c>
      <c r="CE151" s="78">
        <v>6635</v>
      </c>
      <c r="CF151" s="78">
        <v>12730.6150329556</v>
      </c>
      <c r="CG151" s="78">
        <v>6149.6999372274004</v>
      </c>
      <c r="CH151" s="78">
        <v>2073.1681266707801</v>
      </c>
      <c r="CI151" s="78">
        <v>24211.851600000002</v>
      </c>
      <c r="CJ151" s="78">
        <v>11695.8703</v>
      </c>
      <c r="CK151" s="78">
        <v>3942.8762000000002</v>
      </c>
      <c r="CL151" s="78">
        <v>713520</v>
      </c>
    </row>
    <row r="152" spans="1:90" x14ac:dyDescent="0.35">
      <c r="A152" s="72">
        <v>370</v>
      </c>
      <c r="B152" s="72" t="s">
        <v>38</v>
      </c>
      <c r="C152" s="72">
        <v>7</v>
      </c>
      <c r="D152" s="78">
        <v>1399600000</v>
      </c>
      <c r="E152" s="78">
        <v>155400000</v>
      </c>
      <c r="F152" s="78">
        <v>184450000</v>
      </c>
      <c r="G152" s="78">
        <v>10110</v>
      </c>
      <c r="H152" s="78">
        <v>2</v>
      </c>
      <c r="I152" s="78">
        <f t="shared" si="8"/>
        <v>184.45</v>
      </c>
      <c r="J152" s="78">
        <v>2090</v>
      </c>
      <c r="K152" s="78">
        <v>2056</v>
      </c>
      <c r="L152" s="78">
        <v>637</v>
      </c>
      <c r="M152" s="78">
        <v>1001</v>
      </c>
      <c r="N152" s="78">
        <f t="shared" si="9"/>
        <v>585.9</v>
      </c>
      <c r="O152" s="78">
        <v>65</v>
      </c>
      <c r="P152" s="78">
        <v>4</v>
      </c>
      <c r="Q152" s="78">
        <v>595</v>
      </c>
      <c r="R152" s="78">
        <v>1070</v>
      </c>
      <c r="S152" s="78">
        <v>255</v>
      </c>
      <c r="T152" s="78">
        <v>0</v>
      </c>
      <c r="U152" s="78">
        <v>268</v>
      </c>
      <c r="V152" s="78">
        <v>4266</v>
      </c>
      <c r="W152" s="78">
        <v>5440</v>
      </c>
      <c r="X152" s="78">
        <v>250</v>
      </c>
      <c r="Y152" s="78">
        <v>0</v>
      </c>
      <c r="Z152" s="78">
        <v>0</v>
      </c>
      <c r="AA152" s="78">
        <v>0</v>
      </c>
      <c r="AB152" s="399">
        <f>IF((J152-'[2]Basisgegevens aanvullend'!D152*1.1)&lt;=0,0,J152-'[2]Basisgegevens aanvullend'!D152*1.1)</f>
        <v>58.299999999999727</v>
      </c>
      <c r="AC152" s="399">
        <v>0</v>
      </c>
      <c r="AD152" s="78">
        <v>7064</v>
      </c>
      <c r="AE152" s="78">
        <v>8688.7199999999993</v>
      </c>
      <c r="AF152" s="78">
        <v>143</v>
      </c>
      <c r="AG152" s="78">
        <v>0</v>
      </c>
      <c r="AH152" s="78">
        <v>42</v>
      </c>
      <c r="AI152" s="78">
        <v>59</v>
      </c>
      <c r="AJ152" s="78">
        <v>52.08</v>
      </c>
      <c r="AK152" s="78">
        <v>72.569999999999993</v>
      </c>
      <c r="AL152" s="78">
        <v>101</v>
      </c>
      <c r="AM152" s="78">
        <v>4151</v>
      </c>
      <c r="AN152" s="78">
        <v>5147.24</v>
      </c>
      <c r="AO152" s="78">
        <v>0</v>
      </c>
      <c r="AP152" s="78">
        <v>0</v>
      </c>
      <c r="AQ152" s="78">
        <v>0</v>
      </c>
      <c r="AR152" s="78">
        <v>0</v>
      </c>
      <c r="AS152" s="78">
        <v>0</v>
      </c>
      <c r="AT152" s="78">
        <v>0</v>
      </c>
      <c r="AU152" s="400">
        <v>1.7574999999999999E-4</v>
      </c>
      <c r="AV152" s="400">
        <v>4.1353000000000002E-5</v>
      </c>
      <c r="AW152" s="78">
        <v>2764.5659999999998</v>
      </c>
      <c r="AX152" s="78">
        <v>0</v>
      </c>
      <c r="AY152" s="78">
        <v>3813</v>
      </c>
      <c r="AZ152" s="78">
        <v>6370.3521021229399</v>
      </c>
      <c r="BA152" s="78">
        <v>4</v>
      </c>
      <c r="BB152" s="78">
        <v>4.92</v>
      </c>
      <c r="BC152" s="78">
        <v>1493</v>
      </c>
      <c r="BD152" s="78">
        <v>1</v>
      </c>
      <c r="BE152" s="78">
        <v>0</v>
      </c>
      <c r="BF152" s="78">
        <v>0</v>
      </c>
      <c r="BG152" s="78">
        <v>0</v>
      </c>
      <c r="BH152" s="78">
        <v>0</v>
      </c>
      <c r="BI152" s="78">
        <v>0</v>
      </c>
      <c r="BJ152" s="78">
        <v>0</v>
      </c>
      <c r="BK152" s="78">
        <v>0</v>
      </c>
      <c r="BL152" s="78">
        <v>0</v>
      </c>
      <c r="BM152" s="78">
        <v>154.66</v>
      </c>
      <c r="BN152" s="78">
        <v>16</v>
      </c>
      <c r="BO152" s="78">
        <v>9</v>
      </c>
      <c r="BP152" s="78">
        <v>3329.2</v>
      </c>
      <c r="BQ152" s="78">
        <v>855.75</v>
      </c>
      <c r="BR152" s="78">
        <v>41.776063893912003</v>
      </c>
      <c r="BS152" s="78">
        <v>108</v>
      </c>
      <c r="BT152" s="78">
        <v>23.6666666666667</v>
      </c>
      <c r="BU152" s="78">
        <v>17.6666666666667</v>
      </c>
      <c r="BV152" s="78">
        <f t="shared" si="10"/>
        <v>530</v>
      </c>
      <c r="BW152" s="78">
        <v>207</v>
      </c>
      <c r="BX152" s="78">
        <v>1090.85507882658</v>
      </c>
      <c r="BY152" s="78">
        <v>4.9000000000000002E-2</v>
      </c>
      <c r="BZ152" s="78">
        <v>8054</v>
      </c>
      <c r="CA152" s="78">
        <v>1184</v>
      </c>
      <c r="CB152" s="78">
        <v>235</v>
      </c>
      <c r="CC152" s="78">
        <v>206</v>
      </c>
      <c r="CD152" s="78">
        <v>198</v>
      </c>
      <c r="CE152" s="78">
        <v>124</v>
      </c>
      <c r="CF152" s="78">
        <v>103.460539629005</v>
      </c>
      <c r="CG152" s="78">
        <v>60.5519392917369</v>
      </c>
      <c r="CH152" s="78">
        <v>26.394435075885301</v>
      </c>
      <c r="CI152" s="78">
        <v>229.57560000000001</v>
      </c>
      <c r="CJ152" s="78">
        <v>134.36279999999999</v>
      </c>
      <c r="CK152" s="78">
        <v>58.568399999999997</v>
      </c>
      <c r="CL152" s="78">
        <v>26280</v>
      </c>
    </row>
    <row r="153" spans="1:90" x14ac:dyDescent="0.35">
      <c r="A153" s="72">
        <v>373</v>
      </c>
      <c r="B153" s="72" t="s">
        <v>43</v>
      </c>
      <c r="C153" s="72">
        <v>7</v>
      </c>
      <c r="D153" s="78">
        <v>5813200000</v>
      </c>
      <c r="E153" s="78">
        <v>481950000</v>
      </c>
      <c r="F153" s="78">
        <v>509600000</v>
      </c>
      <c r="G153" s="78">
        <v>29715</v>
      </c>
      <c r="H153" s="78">
        <v>4</v>
      </c>
      <c r="I153" s="78">
        <f t="shared" si="8"/>
        <v>509.6</v>
      </c>
      <c r="J153" s="78">
        <v>4519</v>
      </c>
      <c r="K153" s="78">
        <v>9780</v>
      </c>
      <c r="L153" s="78">
        <v>3355</v>
      </c>
      <c r="M153" s="78">
        <v>3957</v>
      </c>
      <c r="N153" s="78">
        <f t="shared" si="9"/>
        <v>2112.3999999999996</v>
      </c>
      <c r="O153" s="78">
        <v>283.66666666666703</v>
      </c>
      <c r="P153" s="78">
        <v>19</v>
      </c>
      <c r="Q153" s="78">
        <v>1666.6666666666699</v>
      </c>
      <c r="R153" s="78">
        <v>5204</v>
      </c>
      <c r="S153" s="78">
        <v>420</v>
      </c>
      <c r="T153" s="78">
        <v>0</v>
      </c>
      <c r="U153" s="78">
        <v>933</v>
      </c>
      <c r="V153" s="78">
        <v>14693</v>
      </c>
      <c r="W153" s="78">
        <v>25250</v>
      </c>
      <c r="X153" s="78">
        <v>7230</v>
      </c>
      <c r="Y153" s="78">
        <v>501.7</v>
      </c>
      <c r="Z153" s="78">
        <v>1507.2</v>
      </c>
      <c r="AA153" s="78">
        <v>0</v>
      </c>
      <c r="AB153" s="399">
        <f>IF((J153-'[2]Basisgegevens aanvullend'!D153*1.1)&lt;=0,0,J153-'[2]Basisgegevens aanvullend'!D153*1.1)</f>
        <v>0</v>
      </c>
      <c r="AC153" s="399">
        <v>234</v>
      </c>
      <c r="AD153" s="78">
        <v>9863</v>
      </c>
      <c r="AE153" s="78">
        <v>10158.89</v>
      </c>
      <c r="AF153" s="78">
        <v>102</v>
      </c>
      <c r="AG153" s="78">
        <v>2057</v>
      </c>
      <c r="AH153" s="78">
        <v>187</v>
      </c>
      <c r="AI153" s="78">
        <v>29</v>
      </c>
      <c r="AJ153" s="78">
        <v>190.74</v>
      </c>
      <c r="AK153" s="78">
        <v>29.87</v>
      </c>
      <c r="AL153" s="78">
        <v>216</v>
      </c>
      <c r="AM153" s="78">
        <v>18446</v>
      </c>
      <c r="AN153" s="78">
        <v>18814.919999999998</v>
      </c>
      <c r="AO153" s="78">
        <v>0</v>
      </c>
      <c r="AP153" s="78">
        <v>0</v>
      </c>
      <c r="AQ153" s="78">
        <v>0</v>
      </c>
      <c r="AR153" s="78">
        <v>0</v>
      </c>
      <c r="AS153" s="78">
        <v>1819</v>
      </c>
      <c r="AT153" s="78">
        <v>0</v>
      </c>
      <c r="AU153" s="400">
        <v>6.1442699999999996E-4</v>
      </c>
      <c r="AV153" s="400">
        <v>3.6347700000000002E-4</v>
      </c>
      <c r="AW153" s="78">
        <v>15107.273999999999</v>
      </c>
      <c r="AX153" s="78">
        <v>0</v>
      </c>
      <c r="AY153" s="78">
        <v>2309.2600000000002</v>
      </c>
      <c r="AZ153" s="78">
        <v>6886.0673256397404</v>
      </c>
      <c r="BA153" s="78">
        <v>5</v>
      </c>
      <c r="BB153" s="78">
        <v>5.15</v>
      </c>
      <c r="BC153" s="78">
        <v>4553</v>
      </c>
      <c r="BD153" s="78">
        <v>1</v>
      </c>
      <c r="BE153" s="78">
        <v>0</v>
      </c>
      <c r="BF153" s="78">
        <v>0</v>
      </c>
      <c r="BG153" s="78">
        <v>0</v>
      </c>
      <c r="BH153" s="78">
        <v>0</v>
      </c>
      <c r="BI153" s="78">
        <v>0</v>
      </c>
      <c r="BJ153" s="78">
        <v>0</v>
      </c>
      <c r="BK153" s="78">
        <v>0</v>
      </c>
      <c r="BL153" s="78">
        <v>0</v>
      </c>
      <c r="BM153" s="78">
        <v>397.67200000000003</v>
      </c>
      <c r="BN153" s="78">
        <v>26</v>
      </c>
      <c r="BO153" s="78">
        <v>51</v>
      </c>
      <c r="BP153" s="78">
        <v>11661.72</v>
      </c>
      <c r="BQ153" s="78">
        <v>2100.84</v>
      </c>
      <c r="BR153" s="78">
        <v>81.409217507924893</v>
      </c>
      <c r="BS153" s="78">
        <v>352</v>
      </c>
      <c r="BT153" s="78">
        <v>73</v>
      </c>
      <c r="BU153" s="78">
        <v>57</v>
      </c>
      <c r="BV153" s="78">
        <f t="shared" si="10"/>
        <v>1383.000000000003</v>
      </c>
      <c r="BW153" s="78">
        <v>461</v>
      </c>
      <c r="BX153" s="78">
        <v>5083.1083079191703</v>
      </c>
      <c r="BY153" s="78">
        <v>0.29699999999999999</v>
      </c>
      <c r="BZ153" s="78">
        <v>19935</v>
      </c>
      <c r="CA153" s="78">
        <v>5193</v>
      </c>
      <c r="CB153" s="78">
        <v>1232</v>
      </c>
      <c r="CC153" s="78">
        <v>1304</v>
      </c>
      <c r="CD153" s="78">
        <v>1140</v>
      </c>
      <c r="CE153" s="78">
        <v>527</v>
      </c>
      <c r="CF153" s="78">
        <v>375.39017673208298</v>
      </c>
      <c r="CG153" s="78">
        <v>268.54483356825301</v>
      </c>
      <c r="CH153" s="78">
        <v>91.041851892009106</v>
      </c>
      <c r="CI153" s="78">
        <v>979.46640000000002</v>
      </c>
      <c r="CJ153" s="78">
        <v>700.68600000000004</v>
      </c>
      <c r="CK153" s="78">
        <v>237.54599999999999</v>
      </c>
      <c r="CL153" s="78">
        <v>68335</v>
      </c>
    </row>
    <row r="154" spans="1:90" x14ac:dyDescent="0.35">
      <c r="A154" s="72">
        <v>375</v>
      </c>
      <c r="B154" s="72" t="s">
        <v>49</v>
      </c>
      <c r="C154" s="72">
        <v>7</v>
      </c>
      <c r="D154" s="78">
        <v>4066800000</v>
      </c>
      <c r="E154" s="78">
        <v>652750000</v>
      </c>
      <c r="F154" s="78">
        <v>660450000</v>
      </c>
      <c r="G154" s="78">
        <v>41863</v>
      </c>
      <c r="H154" s="78">
        <v>2</v>
      </c>
      <c r="I154" s="78">
        <f t="shared" si="8"/>
        <v>660.45</v>
      </c>
      <c r="J154" s="78">
        <v>8028</v>
      </c>
      <c r="K154" s="78">
        <v>7731</v>
      </c>
      <c r="L154" s="78">
        <v>2336</v>
      </c>
      <c r="M154" s="78">
        <v>6403</v>
      </c>
      <c r="N154" s="78">
        <f t="shared" si="9"/>
        <v>4444.3</v>
      </c>
      <c r="O154" s="78">
        <v>850.66666666666697</v>
      </c>
      <c r="P154" s="78">
        <v>31</v>
      </c>
      <c r="Q154" s="78">
        <v>3340.6666666666702</v>
      </c>
      <c r="R154" s="78">
        <v>7365</v>
      </c>
      <c r="S154" s="78">
        <v>3865</v>
      </c>
      <c r="T154" s="78">
        <v>0</v>
      </c>
      <c r="U154" s="78">
        <v>1642</v>
      </c>
      <c r="V154" s="78">
        <v>19692</v>
      </c>
      <c r="W154" s="78">
        <v>39930</v>
      </c>
      <c r="X154" s="78">
        <v>21410</v>
      </c>
      <c r="Y154" s="78">
        <v>486.62</v>
      </c>
      <c r="Z154" s="78">
        <v>1135.2</v>
      </c>
      <c r="AA154" s="78">
        <v>0</v>
      </c>
      <c r="AB154" s="399">
        <f>IF((J154-'[2]Basisgegevens aanvullend'!D154*1.1)&lt;=0,0,J154-'[2]Basisgegevens aanvullend'!D154*1.1)</f>
        <v>0</v>
      </c>
      <c r="AC154" s="399">
        <v>0</v>
      </c>
      <c r="AD154" s="78">
        <v>1837</v>
      </c>
      <c r="AE154" s="78">
        <v>1892.11</v>
      </c>
      <c r="AF154" s="78">
        <v>52</v>
      </c>
      <c r="AG154" s="78">
        <v>120</v>
      </c>
      <c r="AH154" s="78">
        <v>194</v>
      </c>
      <c r="AI154" s="78">
        <v>48</v>
      </c>
      <c r="AJ154" s="78">
        <v>197.88</v>
      </c>
      <c r="AK154" s="78">
        <v>50.4</v>
      </c>
      <c r="AL154" s="78">
        <v>241</v>
      </c>
      <c r="AM154" s="78">
        <v>19587</v>
      </c>
      <c r="AN154" s="78">
        <v>19978.740000000002</v>
      </c>
      <c r="AO154" s="78">
        <v>17</v>
      </c>
      <c r="AP154" s="78">
        <v>0</v>
      </c>
      <c r="AQ154" s="78">
        <v>0</v>
      </c>
      <c r="AR154" s="78">
        <v>0</v>
      </c>
      <c r="AS154" s="78">
        <v>3506</v>
      </c>
      <c r="AT154" s="78">
        <v>2217</v>
      </c>
      <c r="AU154" s="400">
        <v>1.089345E-3</v>
      </c>
      <c r="AV154" s="400">
        <v>1.9743389999999999E-3</v>
      </c>
      <c r="AW154" s="78">
        <v>53590.031999999999</v>
      </c>
      <c r="AX154" s="78">
        <v>0</v>
      </c>
      <c r="AY154" s="78">
        <v>602.54999999999995</v>
      </c>
      <c r="AZ154" s="78">
        <v>13992.524917946001</v>
      </c>
      <c r="BA154" s="78">
        <v>3</v>
      </c>
      <c r="BB154" s="78">
        <v>3.15</v>
      </c>
      <c r="BC154" s="78">
        <v>4896</v>
      </c>
      <c r="BD154" s="78">
        <v>1</v>
      </c>
      <c r="BE154" s="78">
        <v>0</v>
      </c>
      <c r="BF154" s="78">
        <v>0</v>
      </c>
      <c r="BG154" s="78">
        <v>0</v>
      </c>
      <c r="BH154" s="78">
        <v>0</v>
      </c>
      <c r="BI154" s="78">
        <v>0</v>
      </c>
      <c r="BJ154" s="78">
        <v>0</v>
      </c>
      <c r="BK154" s="78">
        <v>0</v>
      </c>
      <c r="BL154" s="78">
        <v>0</v>
      </c>
      <c r="BM154" s="78">
        <v>1091.808</v>
      </c>
      <c r="BN154" s="78">
        <v>145</v>
      </c>
      <c r="BO154" s="78">
        <v>135</v>
      </c>
      <c r="BP154" s="78">
        <v>11905.86</v>
      </c>
      <c r="BQ154" s="78">
        <v>2765.92</v>
      </c>
      <c r="BR154" s="78">
        <v>339.23972543741598</v>
      </c>
      <c r="BS154" s="78">
        <v>611</v>
      </c>
      <c r="BT154" s="78">
        <v>278.33333333333297</v>
      </c>
      <c r="BU154" s="78">
        <v>244.666666666667</v>
      </c>
      <c r="BV154" s="78">
        <f t="shared" si="10"/>
        <v>2490.0000000000032</v>
      </c>
      <c r="BW154" s="78">
        <v>617</v>
      </c>
      <c r="BX154" s="78">
        <v>6879.8289396050504</v>
      </c>
      <c r="BY154" s="78">
        <v>2.1259999999999999</v>
      </c>
      <c r="BZ154" s="78">
        <v>34132</v>
      </c>
      <c r="CA154" s="78">
        <v>4459</v>
      </c>
      <c r="CB154" s="78">
        <v>936</v>
      </c>
      <c r="CC154" s="78">
        <v>1171</v>
      </c>
      <c r="CD154" s="78">
        <v>901</v>
      </c>
      <c r="CE154" s="78">
        <v>473</v>
      </c>
      <c r="CF154" s="78">
        <v>662.32254556593705</v>
      </c>
      <c r="CG154" s="78">
        <v>379.37762801858401</v>
      </c>
      <c r="CH154" s="78">
        <v>149.52742635421501</v>
      </c>
      <c r="CI154" s="78">
        <v>1468.5489</v>
      </c>
      <c r="CJ154" s="78">
        <v>841.18320000000006</v>
      </c>
      <c r="CK154" s="78">
        <v>331.54289999999997</v>
      </c>
      <c r="CL154" s="78">
        <v>0</v>
      </c>
    </row>
    <row r="155" spans="1:90" x14ac:dyDescent="0.35">
      <c r="A155" s="72">
        <v>376</v>
      </c>
      <c r="B155" s="72" t="s">
        <v>51</v>
      </c>
      <c r="C155" s="72">
        <v>7</v>
      </c>
      <c r="D155" s="78">
        <v>2938800000</v>
      </c>
      <c r="E155" s="78">
        <v>86800000</v>
      </c>
      <c r="F155" s="78">
        <v>90300000</v>
      </c>
      <c r="G155" s="78">
        <v>11954</v>
      </c>
      <c r="H155" s="78">
        <v>2</v>
      </c>
      <c r="I155" s="78">
        <f t="shared" si="8"/>
        <v>90.3</v>
      </c>
      <c r="J155" s="78">
        <v>2735</v>
      </c>
      <c r="K155" s="78">
        <v>2909</v>
      </c>
      <c r="L155" s="78">
        <v>923</v>
      </c>
      <c r="M155" s="78">
        <v>1089</v>
      </c>
      <c r="N155" s="78">
        <f t="shared" si="9"/>
        <v>570.1</v>
      </c>
      <c r="O155" s="78">
        <v>95.6666666666667</v>
      </c>
      <c r="P155" s="78">
        <v>5</v>
      </c>
      <c r="Q155" s="78">
        <v>387.66666666666703</v>
      </c>
      <c r="R155" s="78">
        <v>1510</v>
      </c>
      <c r="S155" s="78">
        <v>610</v>
      </c>
      <c r="T155" s="78">
        <v>0</v>
      </c>
      <c r="U155" s="78">
        <v>324</v>
      </c>
      <c r="V155" s="78">
        <v>5131</v>
      </c>
      <c r="W155" s="78">
        <v>7880</v>
      </c>
      <c r="X155" s="78">
        <v>640</v>
      </c>
      <c r="Y155" s="78">
        <v>0</v>
      </c>
      <c r="Z155" s="78">
        <v>0</v>
      </c>
      <c r="AA155" s="78">
        <v>0</v>
      </c>
      <c r="AB155" s="399">
        <f>IF((J155-'[2]Basisgegevens aanvullend'!D155*1.1)&lt;=0,0,J155-'[2]Basisgegevens aanvullend'!D155*1.1)</f>
        <v>735.19999999999982</v>
      </c>
      <c r="AC155" s="399">
        <v>0</v>
      </c>
      <c r="AD155" s="78">
        <v>1102</v>
      </c>
      <c r="AE155" s="78">
        <v>1102</v>
      </c>
      <c r="AF155" s="78">
        <v>454</v>
      </c>
      <c r="AG155" s="78">
        <v>0</v>
      </c>
      <c r="AH155" s="78">
        <v>61</v>
      </c>
      <c r="AI155" s="78">
        <v>2</v>
      </c>
      <c r="AJ155" s="78">
        <v>61</v>
      </c>
      <c r="AK155" s="78">
        <v>2</v>
      </c>
      <c r="AL155" s="78">
        <v>63</v>
      </c>
      <c r="AM155" s="78">
        <v>5189</v>
      </c>
      <c r="AN155" s="78">
        <v>5189</v>
      </c>
      <c r="AO155" s="78">
        <v>0</v>
      </c>
      <c r="AP155" s="78">
        <v>0</v>
      </c>
      <c r="AQ155" s="78">
        <v>0</v>
      </c>
      <c r="AR155" s="78">
        <v>0</v>
      </c>
      <c r="AS155" s="78">
        <v>779</v>
      </c>
      <c r="AT155" s="78">
        <v>0</v>
      </c>
      <c r="AU155" s="400">
        <v>1.12701E-4</v>
      </c>
      <c r="AV155" s="400">
        <v>5.1777000000000002E-5</v>
      </c>
      <c r="AW155" s="78">
        <v>5609.3090000000002</v>
      </c>
      <c r="AX155" s="78">
        <v>0</v>
      </c>
      <c r="AY155" s="78">
        <v>393</v>
      </c>
      <c r="AZ155" s="78">
        <v>3019.2300771208202</v>
      </c>
      <c r="BA155" s="78">
        <v>3</v>
      </c>
      <c r="BB155" s="78">
        <v>3</v>
      </c>
      <c r="BC155" s="78">
        <v>1997</v>
      </c>
      <c r="BD155" s="78">
        <v>1</v>
      </c>
      <c r="BE155" s="78">
        <v>0</v>
      </c>
      <c r="BF155" s="78">
        <v>0</v>
      </c>
      <c r="BG155" s="78">
        <v>0</v>
      </c>
      <c r="BH155" s="78">
        <v>0</v>
      </c>
      <c r="BI155" s="78">
        <v>0</v>
      </c>
      <c r="BJ155" s="78">
        <v>0</v>
      </c>
      <c r="BK155" s="78">
        <v>0</v>
      </c>
      <c r="BL155" s="78">
        <v>0</v>
      </c>
      <c r="BM155" s="78">
        <v>292.64499999999998</v>
      </c>
      <c r="BN155" s="78">
        <v>26</v>
      </c>
      <c r="BO155" s="78">
        <v>23</v>
      </c>
      <c r="BP155" s="78">
        <v>4917.8999999999996</v>
      </c>
      <c r="BQ155" s="78">
        <v>1432.69</v>
      </c>
      <c r="BR155" s="78">
        <v>88.821684491978601</v>
      </c>
      <c r="BS155" s="78">
        <v>130</v>
      </c>
      <c r="BT155" s="78">
        <v>33</v>
      </c>
      <c r="BU155" s="78">
        <v>19</v>
      </c>
      <c r="BV155" s="78">
        <f t="shared" si="10"/>
        <v>292.00000000000034</v>
      </c>
      <c r="BW155" s="78">
        <v>49</v>
      </c>
      <c r="BX155" s="78">
        <v>1454.57597920277</v>
      </c>
      <c r="BY155" s="78">
        <v>6.0999999999999999E-2</v>
      </c>
      <c r="BZ155" s="78">
        <v>9045</v>
      </c>
      <c r="CA155" s="78">
        <v>1724</v>
      </c>
      <c r="CB155" s="78">
        <v>262</v>
      </c>
      <c r="CC155" s="78">
        <v>385</v>
      </c>
      <c r="CD155" s="78">
        <v>306</v>
      </c>
      <c r="CE155" s="78">
        <v>134</v>
      </c>
      <c r="CF155" s="78">
        <v>120.304393910195</v>
      </c>
      <c r="CG155" s="78">
        <v>72.512237425322795</v>
      </c>
      <c r="CH155" s="78">
        <v>21.753671227596801</v>
      </c>
      <c r="CI155" s="78">
        <v>110.26649999999999</v>
      </c>
      <c r="CJ155" s="78">
        <v>66.462000000000003</v>
      </c>
      <c r="CK155" s="78">
        <v>19.938600000000001</v>
      </c>
      <c r="CL155" s="78">
        <v>7924</v>
      </c>
    </row>
    <row r="156" spans="1:90" x14ac:dyDescent="0.35">
      <c r="A156" s="72">
        <v>377</v>
      </c>
      <c r="B156" s="72" t="s">
        <v>52</v>
      </c>
      <c r="C156" s="72">
        <v>7</v>
      </c>
      <c r="D156" s="78">
        <v>6297600000</v>
      </c>
      <c r="E156" s="78">
        <v>217700000</v>
      </c>
      <c r="F156" s="78">
        <v>249550000</v>
      </c>
      <c r="G156" s="78">
        <v>23478</v>
      </c>
      <c r="H156" s="78">
        <v>3</v>
      </c>
      <c r="I156" s="78">
        <f t="shared" si="8"/>
        <v>249.55</v>
      </c>
      <c r="J156" s="78">
        <v>5163</v>
      </c>
      <c r="K156" s="78">
        <v>6365</v>
      </c>
      <c r="L156" s="78">
        <v>2092</v>
      </c>
      <c r="M156" s="78">
        <v>1977</v>
      </c>
      <c r="N156" s="78">
        <f t="shared" si="9"/>
        <v>927.09999999999991</v>
      </c>
      <c r="O156" s="78">
        <v>165</v>
      </c>
      <c r="P156" s="78">
        <v>4</v>
      </c>
      <c r="Q156" s="78">
        <v>856</v>
      </c>
      <c r="R156" s="78">
        <v>3104</v>
      </c>
      <c r="S156" s="78">
        <v>510</v>
      </c>
      <c r="T156" s="78">
        <v>0</v>
      </c>
      <c r="U156" s="78">
        <v>598</v>
      </c>
      <c r="V156" s="78">
        <v>10402</v>
      </c>
      <c r="W156" s="78">
        <v>12900</v>
      </c>
      <c r="X156" s="78">
        <v>1010</v>
      </c>
      <c r="Y156" s="78">
        <v>0</v>
      </c>
      <c r="Z156" s="78">
        <v>1305.5999999999999</v>
      </c>
      <c r="AA156" s="78">
        <v>0</v>
      </c>
      <c r="AB156" s="399">
        <f>IF((J156-'[2]Basisgegevens aanvullend'!D156*1.1)&lt;=0,0,J156-'[2]Basisgegevens aanvullend'!D156*1.1)</f>
        <v>0</v>
      </c>
      <c r="AC156" s="399">
        <v>125</v>
      </c>
      <c r="AD156" s="78">
        <v>3983</v>
      </c>
      <c r="AE156" s="78">
        <v>3983</v>
      </c>
      <c r="AF156" s="78">
        <v>79</v>
      </c>
      <c r="AG156" s="78">
        <v>460</v>
      </c>
      <c r="AH156" s="78">
        <v>109</v>
      </c>
      <c r="AI156" s="78">
        <v>10</v>
      </c>
      <c r="AJ156" s="78">
        <v>109</v>
      </c>
      <c r="AK156" s="78">
        <v>10</v>
      </c>
      <c r="AL156" s="78">
        <v>120</v>
      </c>
      <c r="AM156" s="78">
        <v>10499</v>
      </c>
      <c r="AN156" s="78">
        <v>10499</v>
      </c>
      <c r="AO156" s="78">
        <v>0</v>
      </c>
      <c r="AP156" s="78">
        <v>0</v>
      </c>
      <c r="AQ156" s="78">
        <v>0</v>
      </c>
      <c r="AR156" s="78">
        <v>0</v>
      </c>
      <c r="AS156" s="78">
        <v>2464</v>
      </c>
      <c r="AT156" s="78">
        <v>0</v>
      </c>
      <c r="AU156" s="400">
        <v>4.6462400000000002E-4</v>
      </c>
      <c r="AV156" s="400">
        <v>1.53929E-4</v>
      </c>
      <c r="AW156" s="78">
        <v>11464.907999999999</v>
      </c>
      <c r="AX156" s="78">
        <v>0</v>
      </c>
      <c r="AY156" s="78">
        <v>1152</v>
      </c>
      <c r="AZ156" s="78">
        <v>6658.4579025110797</v>
      </c>
      <c r="BA156" s="78">
        <v>5</v>
      </c>
      <c r="BB156" s="78">
        <v>5</v>
      </c>
      <c r="BC156" s="78">
        <v>3779</v>
      </c>
      <c r="BD156" s="78">
        <v>1</v>
      </c>
      <c r="BE156" s="78">
        <v>0</v>
      </c>
      <c r="BF156" s="78">
        <v>0</v>
      </c>
      <c r="BG156" s="78">
        <v>0</v>
      </c>
      <c r="BH156" s="78">
        <v>0</v>
      </c>
      <c r="BI156" s="78">
        <v>0</v>
      </c>
      <c r="BJ156" s="78">
        <v>0</v>
      </c>
      <c r="BK156" s="78">
        <v>0</v>
      </c>
      <c r="BL156" s="78">
        <v>0</v>
      </c>
      <c r="BM156" s="78">
        <v>351.084</v>
      </c>
      <c r="BN156" s="78">
        <v>17</v>
      </c>
      <c r="BO156" s="78">
        <v>18</v>
      </c>
      <c r="BP156" s="78">
        <v>9523.4599999999991</v>
      </c>
      <c r="BQ156" s="78">
        <v>2603.48</v>
      </c>
      <c r="BR156" s="78">
        <v>93.046084913437696</v>
      </c>
      <c r="BS156" s="78">
        <v>229</v>
      </c>
      <c r="BT156" s="78">
        <v>45</v>
      </c>
      <c r="BU156" s="78">
        <v>29.3333333333333</v>
      </c>
      <c r="BV156" s="78">
        <f t="shared" si="10"/>
        <v>691</v>
      </c>
      <c r="BW156" s="78">
        <v>185</v>
      </c>
      <c r="BX156" s="78">
        <v>2990.6336362479301</v>
      </c>
      <c r="BY156" s="78">
        <v>0.10199999999999999</v>
      </c>
      <c r="BZ156" s="78">
        <v>17113</v>
      </c>
      <c r="CA156" s="78">
        <v>3206</v>
      </c>
      <c r="CB156" s="78">
        <v>1067</v>
      </c>
      <c r="CC156" s="78">
        <v>678</v>
      </c>
      <c r="CD156" s="78">
        <v>638</v>
      </c>
      <c r="CE156" s="78">
        <v>511</v>
      </c>
      <c r="CF156" s="78">
        <v>174.488008381751</v>
      </c>
      <c r="CG156" s="78">
        <v>123.713410801029</v>
      </c>
      <c r="CH156" s="78">
        <v>62.607286408229299</v>
      </c>
      <c r="CI156" s="78">
        <v>113.02719999999999</v>
      </c>
      <c r="CJ156" s="78">
        <v>80.137200000000007</v>
      </c>
      <c r="CK156" s="78">
        <v>40.5548</v>
      </c>
      <c r="CL156" s="78">
        <v>61688</v>
      </c>
    </row>
    <row r="157" spans="1:90" x14ac:dyDescent="0.35">
      <c r="A157" s="72">
        <v>383</v>
      </c>
      <c r="B157" s="72" t="s">
        <v>69</v>
      </c>
      <c r="C157" s="72">
        <v>7</v>
      </c>
      <c r="D157" s="78">
        <v>4792400000</v>
      </c>
      <c r="E157" s="78">
        <v>306600000</v>
      </c>
      <c r="F157" s="78">
        <v>313950000</v>
      </c>
      <c r="G157" s="78">
        <v>36086</v>
      </c>
      <c r="H157" s="78">
        <v>3</v>
      </c>
      <c r="I157" s="78">
        <f t="shared" si="8"/>
        <v>313.95</v>
      </c>
      <c r="J157" s="78">
        <v>6553</v>
      </c>
      <c r="K157" s="78">
        <v>9129</v>
      </c>
      <c r="L157" s="78">
        <v>3102</v>
      </c>
      <c r="M157" s="78">
        <v>3722</v>
      </c>
      <c r="N157" s="78">
        <f t="shared" si="9"/>
        <v>2077.6</v>
      </c>
      <c r="O157" s="78">
        <v>308.33333333333297</v>
      </c>
      <c r="P157" s="78">
        <v>36</v>
      </c>
      <c r="Q157" s="78">
        <v>1703.3333333333301</v>
      </c>
      <c r="R157" s="78">
        <v>5282</v>
      </c>
      <c r="S157" s="78">
        <v>585</v>
      </c>
      <c r="T157" s="78">
        <v>0</v>
      </c>
      <c r="U157" s="78">
        <v>929</v>
      </c>
      <c r="V157" s="78">
        <v>16388</v>
      </c>
      <c r="W157" s="78">
        <v>31070</v>
      </c>
      <c r="X157" s="78">
        <v>8490</v>
      </c>
      <c r="Y157" s="78">
        <v>124.56</v>
      </c>
      <c r="Z157" s="78">
        <v>2708</v>
      </c>
      <c r="AA157" s="78">
        <v>0</v>
      </c>
      <c r="AB157" s="399">
        <f>IF((J157-'[2]Basisgegevens aanvullend'!D157*1.1)&lt;=0,0,J157-'[2]Basisgegevens aanvullend'!D157*1.1)</f>
        <v>0</v>
      </c>
      <c r="AC157" s="399">
        <v>0</v>
      </c>
      <c r="AD157" s="78">
        <v>4955</v>
      </c>
      <c r="AE157" s="78">
        <v>5054.1000000000004</v>
      </c>
      <c r="AF157" s="78">
        <v>567</v>
      </c>
      <c r="AG157" s="78">
        <v>518</v>
      </c>
      <c r="AH157" s="78">
        <v>171</v>
      </c>
      <c r="AI157" s="78">
        <v>20</v>
      </c>
      <c r="AJ157" s="78">
        <v>172.71</v>
      </c>
      <c r="AK157" s="78">
        <v>20.399999999999999</v>
      </c>
      <c r="AL157" s="78">
        <v>191</v>
      </c>
      <c r="AM157" s="78">
        <v>16444</v>
      </c>
      <c r="AN157" s="78">
        <v>16608.439999999999</v>
      </c>
      <c r="AO157" s="78">
        <v>0</v>
      </c>
      <c r="AP157" s="78">
        <v>0</v>
      </c>
      <c r="AQ157" s="78">
        <v>0</v>
      </c>
      <c r="AR157" s="78">
        <v>0</v>
      </c>
      <c r="AS157" s="78">
        <v>0</v>
      </c>
      <c r="AT157" s="78">
        <v>0</v>
      </c>
      <c r="AU157" s="400">
        <v>2.6911300000000002E-4</v>
      </c>
      <c r="AV157" s="400">
        <v>2.25453E-4</v>
      </c>
      <c r="AW157" s="78">
        <v>22166.511999999999</v>
      </c>
      <c r="AX157" s="78">
        <v>0</v>
      </c>
      <c r="AY157" s="78">
        <v>1982.88</v>
      </c>
      <c r="AZ157" s="78">
        <v>17144.052126041301</v>
      </c>
      <c r="BA157" s="78">
        <v>7</v>
      </c>
      <c r="BB157" s="78">
        <v>7.14</v>
      </c>
      <c r="BC157" s="78">
        <v>4410</v>
      </c>
      <c r="BD157" s="78">
        <v>1</v>
      </c>
      <c r="BE157" s="78">
        <v>0</v>
      </c>
      <c r="BF157" s="78">
        <v>0</v>
      </c>
      <c r="BG157" s="78">
        <v>0</v>
      </c>
      <c r="BH157" s="78">
        <v>0</v>
      </c>
      <c r="BI157" s="78">
        <v>0</v>
      </c>
      <c r="BJ157" s="78">
        <v>0</v>
      </c>
      <c r="BK157" s="78">
        <v>0</v>
      </c>
      <c r="BL157" s="78">
        <v>0</v>
      </c>
      <c r="BM157" s="78">
        <v>399.733</v>
      </c>
      <c r="BN157" s="78">
        <v>20</v>
      </c>
      <c r="BO157" s="78">
        <v>34</v>
      </c>
      <c r="BP157" s="78">
        <v>13192.02</v>
      </c>
      <c r="BQ157" s="78">
        <v>3006.12</v>
      </c>
      <c r="BR157" s="78">
        <v>147.664848911652</v>
      </c>
      <c r="BS157" s="78">
        <v>378</v>
      </c>
      <c r="BT157" s="78">
        <v>89.6666666666667</v>
      </c>
      <c r="BU157" s="78">
        <v>62.6666666666667</v>
      </c>
      <c r="BV157" s="78">
        <f t="shared" si="10"/>
        <v>1394.999999999997</v>
      </c>
      <c r="BW157" s="78">
        <v>377</v>
      </c>
      <c r="BX157" s="78">
        <v>5186.0513666425804</v>
      </c>
      <c r="BY157" s="78">
        <v>0.20899999999999999</v>
      </c>
      <c r="BZ157" s="78">
        <v>26957</v>
      </c>
      <c r="CA157" s="78">
        <v>4858</v>
      </c>
      <c r="CB157" s="78">
        <v>1169</v>
      </c>
      <c r="CC157" s="78">
        <v>995</v>
      </c>
      <c r="CD157" s="78">
        <v>1008</v>
      </c>
      <c r="CE157" s="78">
        <v>565</v>
      </c>
      <c r="CF157" s="78">
        <v>374.73617124787199</v>
      </c>
      <c r="CG157" s="78">
        <v>272.27122354658201</v>
      </c>
      <c r="CH157" s="78">
        <v>107.013330090002</v>
      </c>
      <c r="CI157" s="78">
        <v>920.34979999999996</v>
      </c>
      <c r="CJ157" s="78">
        <v>668.69650000000001</v>
      </c>
      <c r="CK157" s="78">
        <v>262.82409999999999</v>
      </c>
      <c r="CL157" s="78">
        <v>19266</v>
      </c>
    </row>
    <row r="158" spans="1:90" x14ac:dyDescent="0.35">
      <c r="A158" s="72">
        <v>400</v>
      </c>
      <c r="B158" s="72" t="s">
        <v>82</v>
      </c>
      <c r="C158" s="72">
        <v>7</v>
      </c>
      <c r="D158" s="78">
        <v>4080000000</v>
      </c>
      <c r="E158" s="78">
        <v>822500000</v>
      </c>
      <c r="F158" s="78">
        <v>834750000</v>
      </c>
      <c r="G158" s="78">
        <v>56582</v>
      </c>
      <c r="H158" s="78">
        <v>2</v>
      </c>
      <c r="I158" s="78">
        <f t="shared" si="8"/>
        <v>834.75</v>
      </c>
      <c r="J158" s="78">
        <v>9829</v>
      </c>
      <c r="K158" s="78">
        <v>13171</v>
      </c>
      <c r="L158" s="78">
        <v>4124</v>
      </c>
      <c r="M158" s="78">
        <v>9650</v>
      </c>
      <c r="N158" s="78">
        <f t="shared" si="9"/>
        <v>6608.4</v>
      </c>
      <c r="O158" s="78">
        <v>1540.6666666666699</v>
      </c>
      <c r="P158" s="78">
        <v>58</v>
      </c>
      <c r="Q158" s="78">
        <v>5837.6666666666697</v>
      </c>
      <c r="R158" s="78">
        <v>11145</v>
      </c>
      <c r="S158" s="78">
        <v>3205</v>
      </c>
      <c r="T158" s="78">
        <v>0</v>
      </c>
      <c r="U158" s="78">
        <v>2402</v>
      </c>
      <c r="V158" s="78">
        <v>29074</v>
      </c>
      <c r="W158" s="78">
        <v>60240</v>
      </c>
      <c r="X158" s="78">
        <v>56810</v>
      </c>
      <c r="Y158" s="78">
        <v>1661.3</v>
      </c>
      <c r="Z158" s="78">
        <v>1841.6</v>
      </c>
      <c r="AA158" s="78">
        <v>0</v>
      </c>
      <c r="AB158" s="399">
        <f>IF((J158-'[2]Basisgegevens aanvullend'!D158*1.1)&lt;=0,0,J158-'[2]Basisgegevens aanvullend'!D158*1.1)</f>
        <v>0</v>
      </c>
      <c r="AC158" s="399">
        <v>0</v>
      </c>
      <c r="AD158" s="78">
        <v>4497</v>
      </c>
      <c r="AE158" s="78">
        <v>4991.67</v>
      </c>
      <c r="AF158" s="78">
        <v>345</v>
      </c>
      <c r="AG158" s="78">
        <v>10000</v>
      </c>
      <c r="AH158" s="78">
        <v>284</v>
      </c>
      <c r="AI158" s="78">
        <v>51</v>
      </c>
      <c r="AJ158" s="78">
        <v>309.56</v>
      </c>
      <c r="AK158" s="78">
        <v>57.63</v>
      </c>
      <c r="AL158" s="78">
        <v>335</v>
      </c>
      <c r="AM158" s="78">
        <v>30416</v>
      </c>
      <c r="AN158" s="78">
        <v>33153.440000000002</v>
      </c>
      <c r="AO158" s="78">
        <v>0</v>
      </c>
      <c r="AP158" s="78">
        <v>0</v>
      </c>
      <c r="AQ158" s="78">
        <v>0</v>
      </c>
      <c r="AR158" s="78">
        <v>0</v>
      </c>
      <c r="AS158" s="78">
        <v>7694</v>
      </c>
      <c r="AT158" s="78">
        <v>0</v>
      </c>
      <c r="AU158" s="400">
        <v>1.566914E-3</v>
      </c>
      <c r="AV158" s="400">
        <v>2.4964900000000001E-3</v>
      </c>
      <c r="AW158" s="78">
        <v>51585.536</v>
      </c>
      <c r="AX158" s="78">
        <v>0</v>
      </c>
      <c r="AY158" s="78">
        <v>3050.28</v>
      </c>
      <c r="AZ158" s="78">
        <v>50639.137149938098</v>
      </c>
      <c r="BA158" s="78">
        <v>5</v>
      </c>
      <c r="BB158" s="78">
        <v>5.65</v>
      </c>
      <c r="BC158" s="78">
        <v>4126</v>
      </c>
      <c r="BD158" s="78">
        <v>1</v>
      </c>
      <c r="BE158" s="78">
        <v>0</v>
      </c>
      <c r="BF158" s="78">
        <v>0</v>
      </c>
      <c r="BG158" s="78">
        <v>0</v>
      </c>
      <c r="BH158" s="78">
        <v>0</v>
      </c>
      <c r="BI158" s="78">
        <v>0</v>
      </c>
      <c r="BJ158" s="78">
        <v>0</v>
      </c>
      <c r="BK158" s="78">
        <v>0</v>
      </c>
      <c r="BL158" s="78">
        <v>0</v>
      </c>
      <c r="BM158" s="78">
        <v>1798.7070000000001</v>
      </c>
      <c r="BN158" s="78">
        <v>386</v>
      </c>
      <c r="BO158" s="78">
        <v>201</v>
      </c>
      <c r="BP158" s="78">
        <v>15800.94</v>
      </c>
      <c r="BQ158" s="78">
        <v>2980.19</v>
      </c>
      <c r="BR158" s="78">
        <v>340.664176792148</v>
      </c>
      <c r="BS158" s="78">
        <v>894</v>
      </c>
      <c r="BT158" s="78">
        <v>420</v>
      </c>
      <c r="BU158" s="78">
        <v>446.33333333333297</v>
      </c>
      <c r="BV158" s="78">
        <f t="shared" si="10"/>
        <v>4297</v>
      </c>
      <c r="BW158" s="78">
        <v>1578</v>
      </c>
      <c r="BX158" s="78">
        <v>11071.441831746501</v>
      </c>
      <c r="BY158" s="78">
        <v>4.5179999999999998</v>
      </c>
      <c r="BZ158" s="78">
        <v>43411</v>
      </c>
      <c r="CA158" s="78">
        <v>7645</v>
      </c>
      <c r="CB158" s="78">
        <v>1402</v>
      </c>
      <c r="CC158" s="78">
        <v>2038</v>
      </c>
      <c r="CD158" s="78">
        <v>1457</v>
      </c>
      <c r="CE158" s="78">
        <v>705</v>
      </c>
      <c r="CF158" s="78">
        <v>1075.90731194108</v>
      </c>
      <c r="CG158" s="78">
        <v>627.467753813782</v>
      </c>
      <c r="CH158" s="78">
        <v>212.27008153603401</v>
      </c>
      <c r="CI158" s="78">
        <v>2717.1624000000002</v>
      </c>
      <c r="CJ158" s="78">
        <v>1584.6456000000001</v>
      </c>
      <c r="CK158" s="78">
        <v>536.07989999999995</v>
      </c>
      <c r="CL158" s="78">
        <v>243201</v>
      </c>
    </row>
    <row r="159" spans="1:90" x14ac:dyDescent="0.35">
      <c r="A159" s="72">
        <v>384</v>
      </c>
      <c r="B159" s="72" t="s">
        <v>85</v>
      </c>
      <c r="C159" s="72">
        <v>7</v>
      </c>
      <c r="D159" s="78">
        <v>4202800000</v>
      </c>
      <c r="E159" s="78">
        <v>464800000</v>
      </c>
      <c r="F159" s="78">
        <v>476700000</v>
      </c>
      <c r="G159" s="78">
        <v>31334</v>
      </c>
      <c r="H159" s="78">
        <v>1</v>
      </c>
      <c r="I159" s="78">
        <f t="shared" si="8"/>
        <v>476.7</v>
      </c>
      <c r="J159" s="78">
        <v>5441</v>
      </c>
      <c r="K159" s="78">
        <v>4826</v>
      </c>
      <c r="L159" s="78">
        <v>1419</v>
      </c>
      <c r="M159" s="78">
        <v>4112</v>
      </c>
      <c r="N159" s="78">
        <f t="shared" si="9"/>
        <v>2497.5</v>
      </c>
      <c r="O159" s="78">
        <v>406.66666666666703</v>
      </c>
      <c r="P159" s="78">
        <v>10</v>
      </c>
      <c r="Q159" s="78">
        <v>1509.6666666666699</v>
      </c>
      <c r="R159" s="78">
        <v>7426</v>
      </c>
      <c r="S159" s="78">
        <v>5400</v>
      </c>
      <c r="T159" s="78">
        <v>0</v>
      </c>
      <c r="U159" s="78">
        <v>1288</v>
      </c>
      <c r="V159" s="78">
        <v>16176</v>
      </c>
      <c r="W159" s="78">
        <v>24530</v>
      </c>
      <c r="X159" s="78">
        <v>4750</v>
      </c>
      <c r="Y159" s="78">
        <v>0</v>
      </c>
      <c r="Z159" s="78">
        <v>0</v>
      </c>
      <c r="AA159" s="78">
        <v>0</v>
      </c>
      <c r="AB159" s="399">
        <f>IF((J159-'[2]Basisgegevens aanvullend'!D159*1.1)&lt;=0,0,J159-'[2]Basisgegevens aanvullend'!D159*1.1)</f>
        <v>70.799999999999272</v>
      </c>
      <c r="AC159" s="399">
        <v>0</v>
      </c>
      <c r="AD159" s="78">
        <v>1187</v>
      </c>
      <c r="AE159" s="78">
        <v>1911.07</v>
      </c>
      <c r="AF159" s="78">
        <v>106</v>
      </c>
      <c r="AG159" s="78">
        <v>110</v>
      </c>
      <c r="AH159" s="78">
        <v>96</v>
      </c>
      <c r="AI159" s="78">
        <v>4</v>
      </c>
      <c r="AJ159" s="78">
        <v>147.84</v>
      </c>
      <c r="AK159" s="78">
        <v>6.68</v>
      </c>
      <c r="AL159" s="78">
        <v>99</v>
      </c>
      <c r="AM159" s="78">
        <v>16145</v>
      </c>
      <c r="AN159" s="78">
        <v>24863.3</v>
      </c>
      <c r="AO159" s="78">
        <v>0</v>
      </c>
      <c r="AP159" s="78">
        <v>0</v>
      </c>
      <c r="AQ159" s="78">
        <v>0</v>
      </c>
      <c r="AR159" s="78">
        <v>0</v>
      </c>
      <c r="AS159" s="78">
        <v>763</v>
      </c>
      <c r="AT159" s="78">
        <v>0</v>
      </c>
      <c r="AU159" s="400">
        <v>1.0310399999999999E-4</v>
      </c>
      <c r="AV159" s="400">
        <v>5.8070099999999998E-4</v>
      </c>
      <c r="AW159" s="78">
        <v>45238.29</v>
      </c>
      <c r="AX159" s="78">
        <v>0</v>
      </c>
      <c r="AY159" s="78">
        <v>1548.82</v>
      </c>
      <c r="AZ159" s="78">
        <v>110415.393812838</v>
      </c>
      <c r="BA159" s="78">
        <v>1</v>
      </c>
      <c r="BB159" s="78">
        <v>1.67</v>
      </c>
      <c r="BC159" s="78">
        <v>3933</v>
      </c>
      <c r="BD159" s="78">
        <v>1</v>
      </c>
      <c r="BE159" s="78">
        <v>0</v>
      </c>
      <c r="BF159" s="78">
        <v>0</v>
      </c>
      <c r="BG159" s="78">
        <v>0</v>
      </c>
      <c r="BH159" s="78">
        <v>0</v>
      </c>
      <c r="BI159" s="78">
        <v>0</v>
      </c>
      <c r="BJ159" s="78">
        <v>0</v>
      </c>
      <c r="BK159" s="78">
        <v>0</v>
      </c>
      <c r="BL159" s="78">
        <v>0</v>
      </c>
      <c r="BM159" s="78">
        <v>865.11900000000003</v>
      </c>
      <c r="BN159" s="78">
        <v>53</v>
      </c>
      <c r="BO159" s="78">
        <v>70</v>
      </c>
      <c r="BP159" s="78">
        <v>9537</v>
      </c>
      <c r="BQ159" s="78">
        <v>2210</v>
      </c>
      <c r="BR159" s="78">
        <v>91.621108486439198</v>
      </c>
      <c r="BS159" s="78">
        <v>482</v>
      </c>
      <c r="BT159" s="78">
        <v>138.333333333333</v>
      </c>
      <c r="BU159" s="78">
        <v>125</v>
      </c>
      <c r="BV159" s="78">
        <f t="shared" si="10"/>
        <v>1103.000000000003</v>
      </c>
      <c r="BW159" s="78">
        <v>237</v>
      </c>
      <c r="BX159" s="78">
        <v>3161.2931643924599</v>
      </c>
      <c r="BY159" s="78">
        <v>0.52400000000000002</v>
      </c>
      <c r="BZ159" s="78">
        <v>26508</v>
      </c>
      <c r="CA159" s="78">
        <v>2827</v>
      </c>
      <c r="CB159" s="78">
        <v>580</v>
      </c>
      <c r="CC159" s="78">
        <v>783</v>
      </c>
      <c r="CD159" s="78">
        <v>536</v>
      </c>
      <c r="CE159" s="78">
        <v>284</v>
      </c>
      <c r="CF159" s="78">
        <v>293.14106534530799</v>
      </c>
      <c r="CG159" s="78">
        <v>156.70284917931301</v>
      </c>
      <c r="CH159" s="78">
        <v>64.3518117064107</v>
      </c>
      <c r="CI159" s="78">
        <v>793.43650000000002</v>
      </c>
      <c r="CJ159" s="78">
        <v>424.1431</v>
      </c>
      <c r="CK159" s="78">
        <v>174.17920000000001</v>
      </c>
      <c r="CL159" s="78">
        <v>0</v>
      </c>
    </row>
    <row r="160" spans="1:90" x14ac:dyDescent="0.35">
      <c r="A160" s="72">
        <v>498</v>
      </c>
      <c r="B160" s="72" t="s">
        <v>91</v>
      </c>
      <c r="C160" s="72">
        <v>7</v>
      </c>
      <c r="D160" s="78">
        <v>1992800000</v>
      </c>
      <c r="E160" s="78">
        <v>169750000</v>
      </c>
      <c r="F160" s="78">
        <v>194250000</v>
      </c>
      <c r="G160" s="78">
        <v>19838</v>
      </c>
      <c r="H160" s="78">
        <v>3</v>
      </c>
      <c r="I160" s="78">
        <f t="shared" si="8"/>
        <v>194.25</v>
      </c>
      <c r="J160" s="78">
        <v>3941</v>
      </c>
      <c r="K160" s="78">
        <v>4317</v>
      </c>
      <c r="L160" s="78">
        <v>1319</v>
      </c>
      <c r="M160" s="78">
        <v>2191</v>
      </c>
      <c r="N160" s="78">
        <f t="shared" si="9"/>
        <v>1334.6</v>
      </c>
      <c r="O160" s="78">
        <v>158.333333333333</v>
      </c>
      <c r="P160" s="78">
        <v>23</v>
      </c>
      <c r="Q160" s="78">
        <v>1131.3333333333301</v>
      </c>
      <c r="R160" s="78">
        <v>2333</v>
      </c>
      <c r="S160" s="78">
        <v>365</v>
      </c>
      <c r="T160" s="78">
        <v>0</v>
      </c>
      <c r="U160" s="78">
        <v>532</v>
      </c>
      <c r="V160" s="78">
        <v>8467</v>
      </c>
      <c r="W160" s="78">
        <v>15300</v>
      </c>
      <c r="X160" s="78">
        <v>2130</v>
      </c>
      <c r="Y160" s="78">
        <v>0</v>
      </c>
      <c r="Z160" s="78">
        <v>0</v>
      </c>
      <c r="AA160" s="78">
        <v>0</v>
      </c>
      <c r="AB160" s="399">
        <f>IF((J160-'[2]Basisgegevens aanvullend'!D160*1.1)&lt;=0,0,J160-'[2]Basisgegevens aanvullend'!D160*1.1)</f>
        <v>0</v>
      </c>
      <c r="AC160" s="399">
        <v>0</v>
      </c>
      <c r="AD160" s="78">
        <v>5887</v>
      </c>
      <c r="AE160" s="78">
        <v>7299.88</v>
      </c>
      <c r="AF160" s="78">
        <v>67</v>
      </c>
      <c r="AG160" s="78">
        <v>2105</v>
      </c>
      <c r="AH160" s="78">
        <v>117</v>
      </c>
      <c r="AI160" s="78">
        <v>57</v>
      </c>
      <c r="AJ160" s="78">
        <v>141.57</v>
      </c>
      <c r="AK160" s="78">
        <v>71.25</v>
      </c>
      <c r="AL160" s="78">
        <v>174</v>
      </c>
      <c r="AM160" s="78">
        <v>8564</v>
      </c>
      <c r="AN160" s="78">
        <v>10362.44</v>
      </c>
      <c r="AO160" s="78">
        <v>0</v>
      </c>
      <c r="AP160" s="78">
        <v>0</v>
      </c>
      <c r="AQ160" s="78">
        <v>0</v>
      </c>
      <c r="AR160" s="78">
        <v>0</v>
      </c>
      <c r="AS160" s="78">
        <v>596</v>
      </c>
      <c r="AT160" s="78">
        <v>0</v>
      </c>
      <c r="AU160" s="400">
        <v>1.7064200000000001E-4</v>
      </c>
      <c r="AV160" s="400">
        <v>5.5639E-5</v>
      </c>
      <c r="AW160" s="78">
        <v>4324.82</v>
      </c>
      <c r="AX160" s="78">
        <v>0</v>
      </c>
      <c r="AY160" s="78">
        <v>2806.12</v>
      </c>
      <c r="AZ160" s="78">
        <v>12803.6064628821</v>
      </c>
      <c r="BA160" s="78">
        <v>12</v>
      </c>
      <c r="BB160" s="78">
        <v>15</v>
      </c>
      <c r="BC160" s="78">
        <v>2495</v>
      </c>
      <c r="BD160" s="78">
        <v>1</v>
      </c>
      <c r="BE160" s="78">
        <v>0</v>
      </c>
      <c r="BF160" s="78">
        <v>0</v>
      </c>
      <c r="BG160" s="78">
        <v>0</v>
      </c>
      <c r="BH160" s="78">
        <v>0</v>
      </c>
      <c r="BI160" s="78">
        <v>0</v>
      </c>
      <c r="BJ160" s="78">
        <v>0</v>
      </c>
      <c r="BK160" s="78">
        <v>0</v>
      </c>
      <c r="BL160" s="78">
        <v>0</v>
      </c>
      <c r="BM160" s="78">
        <v>295.57499999999999</v>
      </c>
      <c r="BN160" s="78">
        <v>36</v>
      </c>
      <c r="BO160" s="78">
        <v>23</v>
      </c>
      <c r="BP160" s="78">
        <v>5954.4</v>
      </c>
      <c r="BQ160" s="78">
        <v>1527.21</v>
      </c>
      <c r="BR160" s="78">
        <v>96.608310793238005</v>
      </c>
      <c r="BS160" s="78">
        <v>229</v>
      </c>
      <c r="BT160" s="78">
        <v>67.3333333333333</v>
      </c>
      <c r="BU160" s="78">
        <v>48.6666666666667</v>
      </c>
      <c r="BV160" s="78">
        <f t="shared" si="10"/>
        <v>972.99999999999704</v>
      </c>
      <c r="BW160" s="78">
        <v>281</v>
      </c>
      <c r="BX160" s="78">
        <v>2030.90254881079</v>
      </c>
      <c r="BY160" s="78">
        <v>0.13900000000000001</v>
      </c>
      <c r="BZ160" s="78">
        <v>15521</v>
      </c>
      <c r="CA160" s="78">
        <v>2611</v>
      </c>
      <c r="CB160" s="78">
        <v>387</v>
      </c>
      <c r="CC160" s="78">
        <v>480</v>
      </c>
      <c r="CD160" s="78">
        <v>345</v>
      </c>
      <c r="CE160" s="78">
        <v>181</v>
      </c>
      <c r="CF160" s="78">
        <v>247.62720691265801</v>
      </c>
      <c r="CG160" s="78">
        <v>140.56623073330201</v>
      </c>
      <c r="CH160" s="78">
        <v>42.855558150397002</v>
      </c>
      <c r="CI160" s="78">
        <v>653.5557</v>
      </c>
      <c r="CJ160" s="78">
        <v>370.99259999999998</v>
      </c>
      <c r="CK160" s="78">
        <v>113.1075</v>
      </c>
      <c r="CL160" s="78">
        <v>8395</v>
      </c>
    </row>
    <row r="161" spans="1:90" x14ac:dyDescent="0.35">
      <c r="A161" s="72">
        <v>385</v>
      </c>
      <c r="B161" s="72" t="s">
        <v>97</v>
      </c>
      <c r="C161" s="72">
        <v>7</v>
      </c>
      <c r="D161" s="78">
        <v>4036800000</v>
      </c>
      <c r="E161" s="78">
        <v>451850000</v>
      </c>
      <c r="F161" s="78">
        <v>463750000</v>
      </c>
      <c r="G161" s="78">
        <v>36268</v>
      </c>
      <c r="H161" s="78">
        <v>2</v>
      </c>
      <c r="I161" s="78">
        <f t="shared" si="8"/>
        <v>463.75</v>
      </c>
      <c r="J161" s="78">
        <v>7015</v>
      </c>
      <c r="K161" s="78">
        <v>7808</v>
      </c>
      <c r="L161" s="78">
        <v>2549</v>
      </c>
      <c r="M161" s="78">
        <v>3754</v>
      </c>
      <c r="N161" s="78">
        <f t="shared" si="9"/>
        <v>2179.6999999999998</v>
      </c>
      <c r="O161" s="78">
        <v>275.33333333333297</v>
      </c>
      <c r="P161" s="78">
        <v>23</v>
      </c>
      <c r="Q161" s="78">
        <v>1823.3333333333301</v>
      </c>
      <c r="R161" s="78">
        <v>4313</v>
      </c>
      <c r="S161" s="78">
        <v>930</v>
      </c>
      <c r="T161" s="78">
        <v>0</v>
      </c>
      <c r="U161" s="78">
        <v>898</v>
      </c>
      <c r="V161" s="78">
        <v>15311</v>
      </c>
      <c r="W161" s="78">
        <v>31190</v>
      </c>
      <c r="X161" s="78">
        <v>11450</v>
      </c>
      <c r="Y161" s="78">
        <v>160.38</v>
      </c>
      <c r="Z161" s="78">
        <v>1374.4</v>
      </c>
      <c r="AA161" s="78">
        <v>0</v>
      </c>
      <c r="AB161" s="399">
        <f>IF((J161-'[2]Basisgegevens aanvullend'!D161*1.1)&lt;=0,0,J161-'[2]Basisgegevens aanvullend'!D161*1.1)</f>
        <v>0</v>
      </c>
      <c r="AC161" s="399">
        <v>0</v>
      </c>
      <c r="AD161" s="78">
        <v>5437</v>
      </c>
      <c r="AE161" s="78">
        <v>7557.43</v>
      </c>
      <c r="AF161" s="78">
        <v>301</v>
      </c>
      <c r="AG161" s="78">
        <v>2262</v>
      </c>
      <c r="AH161" s="78">
        <v>177</v>
      </c>
      <c r="AI161" s="78">
        <v>28</v>
      </c>
      <c r="AJ161" s="78">
        <v>251.34</v>
      </c>
      <c r="AK161" s="78">
        <v>38.36</v>
      </c>
      <c r="AL161" s="78">
        <v>205</v>
      </c>
      <c r="AM161" s="78">
        <v>15743</v>
      </c>
      <c r="AN161" s="78">
        <v>22355.06</v>
      </c>
      <c r="AO161" s="78">
        <v>31</v>
      </c>
      <c r="AP161" s="78">
        <v>0</v>
      </c>
      <c r="AQ161" s="78">
        <v>0</v>
      </c>
      <c r="AR161" s="78">
        <v>8100</v>
      </c>
      <c r="AS161" s="78">
        <v>1933</v>
      </c>
      <c r="AT161" s="78">
        <v>950</v>
      </c>
      <c r="AU161" s="400">
        <v>3.7418899999999998E-4</v>
      </c>
      <c r="AV161" s="400">
        <v>1.5284900000000001E-4</v>
      </c>
      <c r="AW161" s="78">
        <v>20749.274000000001</v>
      </c>
      <c r="AX161" s="78">
        <v>0</v>
      </c>
      <c r="AY161" s="78">
        <v>7638.05</v>
      </c>
      <c r="AZ161" s="78">
        <v>140035.753970024</v>
      </c>
      <c r="BA161" s="78">
        <v>11</v>
      </c>
      <c r="BB161" s="78">
        <v>15.07</v>
      </c>
      <c r="BC161" s="78">
        <v>5280</v>
      </c>
      <c r="BD161" s="78">
        <v>1</v>
      </c>
      <c r="BE161" s="78">
        <v>0</v>
      </c>
      <c r="BF161" s="78">
        <v>0</v>
      </c>
      <c r="BG161" s="78">
        <v>0</v>
      </c>
      <c r="BH161" s="78">
        <v>0</v>
      </c>
      <c r="BI161" s="78">
        <v>0</v>
      </c>
      <c r="BJ161" s="78">
        <v>0</v>
      </c>
      <c r="BK161" s="78">
        <v>0</v>
      </c>
      <c r="BL161" s="78">
        <v>0</v>
      </c>
      <c r="BM161" s="78">
        <v>392.84</v>
      </c>
      <c r="BN161" s="78">
        <v>228</v>
      </c>
      <c r="BO161" s="78">
        <v>92</v>
      </c>
      <c r="BP161" s="78">
        <v>11700</v>
      </c>
      <c r="BQ161" s="78">
        <v>3148</v>
      </c>
      <c r="BR161" s="78">
        <v>123.30373747495</v>
      </c>
      <c r="BS161" s="78">
        <v>363</v>
      </c>
      <c r="BT161" s="78">
        <v>100.666666666667</v>
      </c>
      <c r="BU161" s="78">
        <v>61.3333333333333</v>
      </c>
      <c r="BV161" s="78">
        <f t="shared" si="10"/>
        <v>1547.999999999997</v>
      </c>
      <c r="BW161" s="78">
        <v>279</v>
      </c>
      <c r="BX161" s="78">
        <v>5390.9135143796502</v>
      </c>
      <c r="BY161" s="78">
        <v>0.18</v>
      </c>
      <c r="BZ161" s="78">
        <v>28460</v>
      </c>
      <c r="CA161" s="78">
        <v>4691</v>
      </c>
      <c r="CB161" s="78">
        <v>568</v>
      </c>
      <c r="CC161" s="78">
        <v>884</v>
      </c>
      <c r="CD161" s="78">
        <v>836</v>
      </c>
      <c r="CE161" s="78">
        <v>298</v>
      </c>
      <c r="CF161" s="78">
        <v>402.90459251730903</v>
      </c>
      <c r="CG161" s="78">
        <v>247.55787334053201</v>
      </c>
      <c r="CH161" s="78">
        <v>58.289633487899401</v>
      </c>
      <c r="CI161" s="78">
        <v>1037.124</v>
      </c>
      <c r="CJ161" s="78">
        <v>637.2432</v>
      </c>
      <c r="CK161" s="78">
        <v>150.0444</v>
      </c>
      <c r="CL161" s="78">
        <v>12316</v>
      </c>
    </row>
    <row r="162" spans="1:90" x14ac:dyDescent="0.35">
      <c r="A162" s="72">
        <v>388</v>
      </c>
      <c r="B162" s="72" t="s">
        <v>105</v>
      </c>
      <c r="C162" s="72">
        <v>7</v>
      </c>
      <c r="D162" s="78">
        <v>1688400000</v>
      </c>
      <c r="E162" s="78">
        <v>259000000</v>
      </c>
      <c r="F162" s="78">
        <v>266350000</v>
      </c>
      <c r="G162" s="78">
        <v>18637</v>
      </c>
      <c r="H162" s="78">
        <v>1</v>
      </c>
      <c r="I162" s="78">
        <f t="shared" si="8"/>
        <v>266.35000000000002</v>
      </c>
      <c r="J162" s="78">
        <v>3538</v>
      </c>
      <c r="K162" s="78">
        <v>4133</v>
      </c>
      <c r="L162" s="78">
        <v>1277</v>
      </c>
      <c r="M162" s="78">
        <v>3002</v>
      </c>
      <c r="N162" s="78">
        <f t="shared" si="9"/>
        <v>2105.1999999999998</v>
      </c>
      <c r="O162" s="78">
        <v>322.66666666666703</v>
      </c>
      <c r="P162" s="78">
        <v>27</v>
      </c>
      <c r="Q162" s="78">
        <v>1578.6666666666699</v>
      </c>
      <c r="R162" s="78">
        <v>3284</v>
      </c>
      <c r="S162" s="78">
        <v>780</v>
      </c>
      <c r="T162" s="78">
        <v>0</v>
      </c>
      <c r="U162" s="78">
        <v>684</v>
      </c>
      <c r="V162" s="78">
        <v>8921</v>
      </c>
      <c r="W162" s="78">
        <v>18890</v>
      </c>
      <c r="X162" s="78">
        <v>10140</v>
      </c>
      <c r="Y162" s="78">
        <v>0</v>
      </c>
      <c r="Z162" s="78">
        <v>1177.5999999999999</v>
      </c>
      <c r="AA162" s="78">
        <v>0</v>
      </c>
      <c r="AB162" s="399">
        <f>IF((J162-'[2]Basisgegevens aanvullend'!D162*1.1)&lt;=0,0,J162-'[2]Basisgegevens aanvullend'!D162*1.1)</f>
        <v>0</v>
      </c>
      <c r="AC162" s="399">
        <v>0</v>
      </c>
      <c r="AD162" s="78">
        <v>1264</v>
      </c>
      <c r="AE162" s="78">
        <v>1542.08</v>
      </c>
      <c r="AF162" s="78">
        <v>230</v>
      </c>
      <c r="AG162" s="78">
        <v>10000</v>
      </c>
      <c r="AH162" s="78">
        <v>99</v>
      </c>
      <c r="AI162" s="78">
        <v>22</v>
      </c>
      <c r="AJ162" s="78">
        <v>123.75</v>
      </c>
      <c r="AK162" s="78">
        <v>26.62</v>
      </c>
      <c r="AL162" s="78">
        <v>121</v>
      </c>
      <c r="AM162" s="78">
        <v>8968</v>
      </c>
      <c r="AN162" s="78">
        <v>11210</v>
      </c>
      <c r="AO162" s="78">
        <v>0</v>
      </c>
      <c r="AP162" s="78">
        <v>54</v>
      </c>
      <c r="AQ162" s="78">
        <v>0</v>
      </c>
      <c r="AR162" s="78">
        <v>10700</v>
      </c>
      <c r="AS162" s="78">
        <v>2330</v>
      </c>
      <c r="AT162" s="78">
        <v>2330</v>
      </c>
      <c r="AU162" s="400">
        <v>8.4585699999999999E-4</v>
      </c>
      <c r="AV162" s="400">
        <v>2.7025600000000002E-4</v>
      </c>
      <c r="AW162" s="78">
        <v>12447.584000000001</v>
      </c>
      <c r="AX162" s="78">
        <v>0</v>
      </c>
      <c r="AY162" s="78">
        <v>1671.4</v>
      </c>
      <c r="AZ162" s="78">
        <v>25050.4233199464</v>
      </c>
      <c r="BA162" s="78">
        <v>1</v>
      </c>
      <c r="BB162" s="78">
        <v>1.21</v>
      </c>
      <c r="BC162" s="78">
        <v>2213</v>
      </c>
      <c r="BD162" s="78">
        <v>1</v>
      </c>
      <c r="BE162" s="78">
        <v>0</v>
      </c>
      <c r="BF162" s="78">
        <v>0</v>
      </c>
      <c r="BG162" s="78">
        <v>0</v>
      </c>
      <c r="BH162" s="78">
        <v>0</v>
      </c>
      <c r="BI162" s="78">
        <v>0</v>
      </c>
      <c r="BJ162" s="78">
        <v>0</v>
      </c>
      <c r="BK162" s="78">
        <v>0</v>
      </c>
      <c r="BL162" s="78">
        <v>0</v>
      </c>
      <c r="BM162" s="78">
        <v>452.86399999999998</v>
      </c>
      <c r="BN162" s="78">
        <v>78</v>
      </c>
      <c r="BO162" s="78">
        <v>43</v>
      </c>
      <c r="BP162" s="78">
        <v>5370.44</v>
      </c>
      <c r="BQ162" s="78">
        <v>1165.25</v>
      </c>
      <c r="BR162" s="78">
        <v>145.94153403713099</v>
      </c>
      <c r="BS162" s="78">
        <v>277</v>
      </c>
      <c r="BT162" s="78">
        <v>104.666666666667</v>
      </c>
      <c r="BU162" s="78">
        <v>104</v>
      </c>
      <c r="BV162" s="78">
        <f t="shared" si="10"/>
        <v>1256.000000000003</v>
      </c>
      <c r="BW162" s="78">
        <v>393</v>
      </c>
      <c r="BX162" s="78">
        <v>2734.8301307084098</v>
      </c>
      <c r="BY162" s="78">
        <v>0.65400000000000003</v>
      </c>
      <c r="BZ162" s="78">
        <v>14504</v>
      </c>
      <c r="CA162" s="78">
        <v>2449</v>
      </c>
      <c r="CB162" s="78">
        <v>407</v>
      </c>
      <c r="CC162" s="78">
        <v>613</v>
      </c>
      <c r="CD162" s="78">
        <v>461</v>
      </c>
      <c r="CE162" s="78">
        <v>211</v>
      </c>
      <c r="CF162" s="78">
        <v>367.84661016949099</v>
      </c>
      <c r="CG162" s="78">
        <v>211.97542372881401</v>
      </c>
      <c r="CH162" s="78">
        <v>68.311016949152503</v>
      </c>
      <c r="CI162" s="78">
        <v>788.35770000000002</v>
      </c>
      <c r="CJ162" s="78">
        <v>454.29930000000002</v>
      </c>
      <c r="CK162" s="78">
        <v>146.40209999999999</v>
      </c>
      <c r="CL162" s="78">
        <v>0</v>
      </c>
    </row>
    <row r="163" spans="1:90" x14ac:dyDescent="0.35">
      <c r="A163" s="72">
        <v>1942</v>
      </c>
      <c r="B163" s="72" t="s">
        <v>118</v>
      </c>
      <c r="C163" s="72">
        <v>7</v>
      </c>
      <c r="D163" s="78">
        <v>9998400000</v>
      </c>
      <c r="E163" s="78">
        <v>704550000</v>
      </c>
      <c r="F163" s="78">
        <v>734300000</v>
      </c>
      <c r="G163" s="78">
        <v>58524</v>
      </c>
      <c r="H163" s="78">
        <v>3</v>
      </c>
      <c r="I163" s="78">
        <f t="shared" si="8"/>
        <v>734.3</v>
      </c>
      <c r="J163" s="78">
        <v>13344</v>
      </c>
      <c r="K163" s="78">
        <v>12327</v>
      </c>
      <c r="L163" s="78">
        <v>4156</v>
      </c>
      <c r="M163" s="78">
        <v>7249</v>
      </c>
      <c r="N163" s="78">
        <f t="shared" si="9"/>
        <v>4539.3999999999996</v>
      </c>
      <c r="O163" s="78">
        <v>807.66666666666697</v>
      </c>
      <c r="P163" s="78">
        <v>21</v>
      </c>
      <c r="Q163" s="78">
        <v>2619.6666666666702</v>
      </c>
      <c r="R163" s="78">
        <v>10153</v>
      </c>
      <c r="S163" s="78">
        <v>2825</v>
      </c>
      <c r="T163" s="78">
        <v>0</v>
      </c>
      <c r="U163" s="78">
        <v>1903</v>
      </c>
      <c r="V163" s="78">
        <v>26874</v>
      </c>
      <c r="W163" s="78">
        <v>57350</v>
      </c>
      <c r="X163" s="78">
        <v>35450</v>
      </c>
      <c r="Y163" s="78">
        <v>633.86</v>
      </c>
      <c r="Z163" s="78">
        <v>3274.4</v>
      </c>
      <c r="AA163" s="78">
        <v>0</v>
      </c>
      <c r="AB163" s="399">
        <f>IF((J163-'[2]Basisgegevens aanvullend'!D163*1.1)&lt;=0,0,J163-'[2]Basisgegevens aanvullend'!D163*1.1)</f>
        <v>0</v>
      </c>
      <c r="AC163" s="399">
        <v>0</v>
      </c>
      <c r="AD163" s="78">
        <v>4140</v>
      </c>
      <c r="AE163" s="78">
        <v>4305.6000000000004</v>
      </c>
      <c r="AF163" s="78">
        <v>1281</v>
      </c>
      <c r="AG163" s="78">
        <v>2101</v>
      </c>
      <c r="AH163" s="78">
        <v>254</v>
      </c>
      <c r="AI163" s="78">
        <v>17</v>
      </c>
      <c r="AJ163" s="78">
        <v>256.54000000000002</v>
      </c>
      <c r="AK163" s="78">
        <v>17.850000000000001</v>
      </c>
      <c r="AL163" s="78">
        <v>271</v>
      </c>
      <c r="AM163" s="78">
        <v>27096</v>
      </c>
      <c r="AN163" s="78">
        <v>27366.959999999999</v>
      </c>
      <c r="AO163" s="78">
        <v>27</v>
      </c>
      <c r="AP163" s="78">
        <v>0</v>
      </c>
      <c r="AQ163" s="78">
        <v>0</v>
      </c>
      <c r="AR163" s="78">
        <v>11150</v>
      </c>
      <c r="AS163" s="78">
        <v>6822</v>
      </c>
      <c r="AT163" s="78">
        <v>651</v>
      </c>
      <c r="AU163" s="400">
        <v>1.9120840000000001E-3</v>
      </c>
      <c r="AV163" s="400">
        <v>1.1700020000000001E-3</v>
      </c>
      <c r="AW163" s="78">
        <v>51780.455999999998</v>
      </c>
      <c r="AX163" s="78">
        <v>0</v>
      </c>
      <c r="AY163" s="78">
        <v>3182.4</v>
      </c>
      <c r="AZ163" s="78">
        <v>43989.838273381298</v>
      </c>
      <c r="BA163" s="78">
        <v>9</v>
      </c>
      <c r="BB163" s="78">
        <v>9.4499999999999993</v>
      </c>
      <c r="BC163" s="78">
        <v>10217</v>
      </c>
      <c r="BD163" s="78">
        <v>1</v>
      </c>
      <c r="BE163" s="78">
        <v>0</v>
      </c>
      <c r="BF163" s="78">
        <v>0</v>
      </c>
      <c r="BG163" s="78">
        <v>0</v>
      </c>
      <c r="BH163" s="78">
        <v>0</v>
      </c>
      <c r="BI163" s="78">
        <v>0</v>
      </c>
      <c r="BJ163" s="78">
        <v>0</v>
      </c>
      <c r="BK163" s="78">
        <v>0</v>
      </c>
      <c r="BL163" s="78">
        <v>0</v>
      </c>
      <c r="BM163" s="78">
        <v>1027.4880000000001</v>
      </c>
      <c r="BN163" s="78">
        <v>71</v>
      </c>
      <c r="BO163" s="78">
        <v>88</v>
      </c>
      <c r="BP163" s="78">
        <v>25431.46</v>
      </c>
      <c r="BQ163" s="78">
        <v>6973.33</v>
      </c>
      <c r="BR163" s="78">
        <v>458.95638076799003</v>
      </c>
      <c r="BS163" s="78">
        <v>734</v>
      </c>
      <c r="BT163" s="78">
        <v>188.666666666667</v>
      </c>
      <c r="BU163" s="78">
        <v>140.666666666667</v>
      </c>
      <c r="BV163" s="78">
        <f t="shared" si="10"/>
        <v>1812.0000000000032</v>
      </c>
      <c r="BW163" s="78">
        <v>450</v>
      </c>
      <c r="BX163" s="78">
        <v>7129.53471018861</v>
      </c>
      <c r="BY163" s="78">
        <v>1.3220000000000001</v>
      </c>
      <c r="BZ163" s="78">
        <v>46197</v>
      </c>
      <c r="CA163" s="78">
        <v>6280</v>
      </c>
      <c r="CB163" s="78">
        <v>1891</v>
      </c>
      <c r="CC163" s="78">
        <v>1847</v>
      </c>
      <c r="CD163" s="78">
        <v>1621</v>
      </c>
      <c r="CE163" s="78">
        <v>1056</v>
      </c>
      <c r="CF163" s="78">
        <v>696.42330233244797</v>
      </c>
      <c r="CG163" s="78">
        <v>497.73241068792402</v>
      </c>
      <c r="CH163" s="78">
        <v>238.22803365810401</v>
      </c>
      <c r="CI163" s="78">
        <v>910.79870000000005</v>
      </c>
      <c r="CJ163" s="78">
        <v>650.9461</v>
      </c>
      <c r="CK163" s="78">
        <v>311.56020000000001</v>
      </c>
      <c r="CL163" s="78">
        <v>35037</v>
      </c>
    </row>
    <row r="164" spans="1:90" x14ac:dyDescent="0.35">
      <c r="A164" s="72">
        <v>392</v>
      </c>
      <c r="B164" s="72" t="s">
        <v>126</v>
      </c>
      <c r="C164" s="72">
        <v>7</v>
      </c>
      <c r="D164" s="78">
        <v>23668000000</v>
      </c>
      <c r="E164" s="78">
        <v>2650550000</v>
      </c>
      <c r="F164" s="78">
        <v>2695000000</v>
      </c>
      <c r="G164" s="78">
        <v>162543</v>
      </c>
      <c r="H164" s="78">
        <v>1</v>
      </c>
      <c r="I164" s="78">
        <f t="shared" si="8"/>
        <v>2695</v>
      </c>
      <c r="J164" s="78">
        <v>32321</v>
      </c>
      <c r="K164" s="78">
        <v>28087</v>
      </c>
      <c r="L164" s="78">
        <v>8649</v>
      </c>
      <c r="M164" s="78">
        <v>25181</v>
      </c>
      <c r="N164" s="78">
        <f t="shared" si="9"/>
        <v>17384.7</v>
      </c>
      <c r="O164" s="78">
        <v>3463.6666666666702</v>
      </c>
      <c r="P164" s="78">
        <v>78</v>
      </c>
      <c r="Q164" s="78">
        <v>11538.666666666701</v>
      </c>
      <c r="R164" s="78">
        <v>34046</v>
      </c>
      <c r="S164" s="78">
        <v>16595</v>
      </c>
      <c r="T164" s="78">
        <v>0</v>
      </c>
      <c r="U164" s="78">
        <v>6030</v>
      </c>
      <c r="V164" s="78">
        <v>80138</v>
      </c>
      <c r="W164" s="78">
        <v>185020</v>
      </c>
      <c r="X164" s="78">
        <v>207400</v>
      </c>
      <c r="Y164" s="78">
        <v>5300.36</v>
      </c>
      <c r="Z164" s="78">
        <v>8949.6</v>
      </c>
      <c r="AA164" s="78">
        <v>0</v>
      </c>
      <c r="AB164" s="399">
        <f>IF((J164-'[2]Basisgegevens aanvullend'!D164*1.1)&lt;=0,0,J164-'[2]Basisgegevens aanvullend'!D164*1.1)</f>
        <v>0</v>
      </c>
      <c r="AC164" s="399">
        <v>0</v>
      </c>
      <c r="AD164" s="78">
        <v>2915</v>
      </c>
      <c r="AE164" s="78">
        <v>2973.3</v>
      </c>
      <c r="AF164" s="78">
        <v>294</v>
      </c>
      <c r="AG164" s="78">
        <v>0</v>
      </c>
      <c r="AH164" s="78">
        <v>581</v>
      </c>
      <c r="AI164" s="78">
        <v>7</v>
      </c>
      <c r="AJ164" s="78">
        <v>592.62</v>
      </c>
      <c r="AK164" s="78">
        <v>7.14</v>
      </c>
      <c r="AL164" s="78">
        <v>588</v>
      </c>
      <c r="AM164" s="78">
        <v>77963</v>
      </c>
      <c r="AN164" s="78">
        <v>79522.259999999995</v>
      </c>
      <c r="AO164" s="78">
        <v>0</v>
      </c>
      <c r="AP164" s="78">
        <v>0</v>
      </c>
      <c r="AQ164" s="78">
        <v>107</v>
      </c>
      <c r="AR164" s="78">
        <v>11850</v>
      </c>
      <c r="AS164" s="78">
        <v>30680</v>
      </c>
      <c r="AT164" s="78">
        <v>30680</v>
      </c>
      <c r="AU164" s="400">
        <v>2.0210842E-2</v>
      </c>
      <c r="AV164" s="400">
        <v>1.251585E-2</v>
      </c>
      <c r="AW164" s="78">
        <v>279965.13299999997</v>
      </c>
      <c r="AX164" s="78">
        <v>14890.933000000001</v>
      </c>
      <c r="AY164" s="78">
        <v>1772.76</v>
      </c>
      <c r="AZ164" s="78">
        <v>100850.61225303799</v>
      </c>
      <c r="BA164" s="78">
        <v>2</v>
      </c>
      <c r="BB164" s="78">
        <v>2.04</v>
      </c>
      <c r="BC164" s="78">
        <v>23628</v>
      </c>
      <c r="BD164" s="78">
        <v>1</v>
      </c>
      <c r="BE164" s="78">
        <v>0</v>
      </c>
      <c r="BF164" s="78">
        <v>0</v>
      </c>
      <c r="BG164" s="78">
        <v>0</v>
      </c>
      <c r="BH164" s="78">
        <v>0</v>
      </c>
      <c r="BI164" s="78">
        <v>0</v>
      </c>
      <c r="BJ164" s="78">
        <v>0</v>
      </c>
      <c r="BK164" s="78">
        <v>0</v>
      </c>
      <c r="BL164" s="78">
        <v>0</v>
      </c>
      <c r="BM164" s="78">
        <v>4040.125</v>
      </c>
      <c r="BN164" s="78">
        <v>301</v>
      </c>
      <c r="BO164" s="78">
        <v>726</v>
      </c>
      <c r="BP164" s="78">
        <v>53959.38</v>
      </c>
      <c r="BQ164" s="78">
        <v>13388.4</v>
      </c>
      <c r="BR164" s="78">
        <v>1335.55847362077</v>
      </c>
      <c r="BS164" s="78">
        <v>2179</v>
      </c>
      <c r="BT164" s="78">
        <v>921</v>
      </c>
      <c r="BU164" s="78">
        <v>782.66666666666697</v>
      </c>
      <c r="BV164" s="78">
        <f t="shared" si="10"/>
        <v>8075.0000000000309</v>
      </c>
      <c r="BW164" s="78">
        <v>1886</v>
      </c>
      <c r="BX164" s="78">
        <v>19711.224875569402</v>
      </c>
      <c r="BY164" s="78">
        <v>7.42</v>
      </c>
      <c r="BZ164" s="78">
        <v>134456</v>
      </c>
      <c r="CA164" s="78">
        <v>16032</v>
      </c>
      <c r="CB164" s="78">
        <v>3406</v>
      </c>
      <c r="CC164" s="78">
        <v>5362</v>
      </c>
      <c r="CD164" s="78">
        <v>3642</v>
      </c>
      <c r="CE164" s="78">
        <v>1896</v>
      </c>
      <c r="CF164" s="78">
        <v>2465.1162538640101</v>
      </c>
      <c r="CG164" s="78">
        <v>1416.8565062914499</v>
      </c>
      <c r="CH164" s="78">
        <v>561.70310660184998</v>
      </c>
      <c r="CI164" s="78">
        <v>4669.6319999999996</v>
      </c>
      <c r="CJ164" s="78">
        <v>2683.9295999999999</v>
      </c>
      <c r="CK164" s="78">
        <v>1064.0255999999999</v>
      </c>
      <c r="CL164" s="78">
        <v>107275</v>
      </c>
    </row>
    <row r="165" spans="1:90" x14ac:dyDescent="0.35">
      <c r="A165" s="72">
        <v>394</v>
      </c>
      <c r="B165" s="72" t="s">
        <v>127</v>
      </c>
      <c r="C165" s="72">
        <v>7</v>
      </c>
      <c r="D165" s="78">
        <v>19232400000</v>
      </c>
      <c r="E165" s="78">
        <v>7197400000</v>
      </c>
      <c r="F165" s="78">
        <v>7260400000</v>
      </c>
      <c r="G165" s="78">
        <v>157789</v>
      </c>
      <c r="H165" s="78">
        <v>9</v>
      </c>
      <c r="I165" s="78">
        <f t="shared" si="8"/>
        <v>7260.4</v>
      </c>
      <c r="J165" s="78">
        <v>33088</v>
      </c>
      <c r="K165" s="78">
        <v>27172</v>
      </c>
      <c r="L165" s="78">
        <v>8311</v>
      </c>
      <c r="M165" s="78">
        <v>15161</v>
      </c>
      <c r="N165" s="78">
        <f t="shared" si="9"/>
        <v>8577.7000000000007</v>
      </c>
      <c r="O165" s="78">
        <v>1853</v>
      </c>
      <c r="P165" s="78">
        <v>61</v>
      </c>
      <c r="Q165" s="78">
        <v>7889</v>
      </c>
      <c r="R165" s="78">
        <v>20613</v>
      </c>
      <c r="S165" s="78">
        <v>14815</v>
      </c>
      <c r="T165" s="78">
        <v>0</v>
      </c>
      <c r="U165" s="78">
        <v>5680</v>
      </c>
      <c r="V165" s="78">
        <v>67974</v>
      </c>
      <c r="W165" s="78">
        <v>141910</v>
      </c>
      <c r="X165" s="78">
        <v>81720</v>
      </c>
      <c r="Y165" s="78">
        <v>2364.7600000000002</v>
      </c>
      <c r="Z165" s="78">
        <v>6397.6</v>
      </c>
      <c r="AA165" s="78">
        <v>0</v>
      </c>
      <c r="AB165" s="399">
        <f>IF((J165-'[2]Basisgegevens aanvullend'!D165*1.1)&lt;=0,0,J165-'[2]Basisgegevens aanvullend'!D165*1.1)</f>
        <v>0</v>
      </c>
      <c r="AC165" s="399">
        <v>1051.5999999999999</v>
      </c>
      <c r="AD165" s="78">
        <v>19731</v>
      </c>
      <c r="AE165" s="78">
        <v>22690.65</v>
      </c>
      <c r="AF165" s="78">
        <v>900</v>
      </c>
      <c r="AG165" s="78">
        <v>0</v>
      </c>
      <c r="AH165" s="78">
        <v>841</v>
      </c>
      <c r="AI165" s="78">
        <v>228</v>
      </c>
      <c r="AJ165" s="78">
        <v>950.33</v>
      </c>
      <c r="AK165" s="78">
        <v>262.2</v>
      </c>
      <c r="AL165" s="78">
        <v>1068</v>
      </c>
      <c r="AM165" s="78">
        <v>65833</v>
      </c>
      <c r="AN165" s="78">
        <v>74391.289999999994</v>
      </c>
      <c r="AO165" s="78">
        <v>0</v>
      </c>
      <c r="AP165" s="78">
        <v>0</v>
      </c>
      <c r="AQ165" s="78">
        <v>0</v>
      </c>
      <c r="AR165" s="78">
        <v>0</v>
      </c>
      <c r="AS165" s="78">
        <v>4976</v>
      </c>
      <c r="AT165" s="78">
        <v>0</v>
      </c>
      <c r="AU165" s="400">
        <v>7.0674099999999999E-4</v>
      </c>
      <c r="AV165" s="400">
        <v>7.8339100000000004E-4</v>
      </c>
      <c r="AW165" s="78">
        <v>100856.156</v>
      </c>
      <c r="AX165" s="78">
        <v>0</v>
      </c>
      <c r="AY165" s="78">
        <v>12775.35</v>
      </c>
      <c r="AZ165" s="78">
        <v>109071.42636566301</v>
      </c>
      <c r="BA165" s="78">
        <v>30</v>
      </c>
      <c r="BB165" s="78">
        <v>34.5</v>
      </c>
      <c r="BC165" s="78">
        <v>21612</v>
      </c>
      <c r="BD165" s="78">
        <v>1</v>
      </c>
      <c r="BE165" s="78">
        <v>0</v>
      </c>
      <c r="BF165" s="78">
        <v>0</v>
      </c>
      <c r="BG165" s="78">
        <v>0</v>
      </c>
      <c r="BH165" s="78">
        <v>0</v>
      </c>
      <c r="BI165" s="78">
        <v>0</v>
      </c>
      <c r="BJ165" s="78">
        <v>0</v>
      </c>
      <c r="BK165" s="78">
        <v>0</v>
      </c>
      <c r="BL165" s="78">
        <v>0</v>
      </c>
      <c r="BM165" s="78">
        <v>2680.1280000000002</v>
      </c>
      <c r="BN165" s="78">
        <v>458</v>
      </c>
      <c r="BO165" s="78">
        <v>389</v>
      </c>
      <c r="BP165" s="78">
        <v>51990.9</v>
      </c>
      <c r="BQ165" s="78">
        <v>14585.92</v>
      </c>
      <c r="BR165" s="78">
        <v>905.28350363249399</v>
      </c>
      <c r="BS165" s="78">
        <v>2336</v>
      </c>
      <c r="BT165" s="78">
        <v>676.66666666666697</v>
      </c>
      <c r="BU165" s="78">
        <v>561.66666666666697</v>
      </c>
      <c r="BV165" s="78">
        <f t="shared" si="10"/>
        <v>6036</v>
      </c>
      <c r="BW165" s="78">
        <v>1385</v>
      </c>
      <c r="BX165" s="78">
        <v>20745.710373200302</v>
      </c>
      <c r="BY165" s="78">
        <v>2.1890000000000001</v>
      </c>
      <c r="BZ165" s="78">
        <v>130617</v>
      </c>
      <c r="CA165" s="78">
        <v>16284</v>
      </c>
      <c r="CB165" s="78">
        <v>2577</v>
      </c>
      <c r="CC165" s="78">
        <v>3510</v>
      </c>
      <c r="CD165" s="78">
        <v>2787</v>
      </c>
      <c r="CE165" s="78">
        <v>1351</v>
      </c>
      <c r="CF165" s="78">
        <v>1340.8641669071701</v>
      </c>
      <c r="CG165" s="78">
        <v>769.91219145413402</v>
      </c>
      <c r="CH165" s="78">
        <v>252.511393981742</v>
      </c>
      <c r="CI165" s="78">
        <v>3634.7811999999999</v>
      </c>
      <c r="CJ165" s="78">
        <v>2087.0587999999998</v>
      </c>
      <c r="CK165" s="78">
        <v>684.50160000000005</v>
      </c>
      <c r="CL165" s="78">
        <v>233734</v>
      </c>
    </row>
    <row r="166" spans="1:90" x14ac:dyDescent="0.35">
      <c r="A166" s="72">
        <v>396</v>
      </c>
      <c r="B166" s="72" t="s">
        <v>134</v>
      </c>
      <c r="C166" s="72">
        <v>7</v>
      </c>
      <c r="D166" s="78">
        <v>4306400000</v>
      </c>
      <c r="E166" s="78">
        <v>315000000</v>
      </c>
      <c r="F166" s="78">
        <v>337400000</v>
      </c>
      <c r="G166" s="78">
        <v>39191</v>
      </c>
      <c r="H166" s="78">
        <v>1</v>
      </c>
      <c r="I166" s="78">
        <f t="shared" si="8"/>
        <v>337.4</v>
      </c>
      <c r="J166" s="78">
        <v>7061</v>
      </c>
      <c r="K166" s="78">
        <v>8855</v>
      </c>
      <c r="L166" s="78">
        <v>3019</v>
      </c>
      <c r="M166" s="78">
        <v>5047</v>
      </c>
      <c r="N166" s="78">
        <f t="shared" si="9"/>
        <v>3272.8999999999996</v>
      </c>
      <c r="O166" s="78">
        <v>746.66666666666697</v>
      </c>
      <c r="P166" s="78">
        <v>18</v>
      </c>
      <c r="Q166" s="78">
        <v>2813.6666666666702</v>
      </c>
      <c r="R166" s="78">
        <v>5780</v>
      </c>
      <c r="S166" s="78">
        <v>2210</v>
      </c>
      <c r="T166" s="78">
        <v>0</v>
      </c>
      <c r="U166" s="78">
        <v>1422</v>
      </c>
      <c r="V166" s="78">
        <v>17954</v>
      </c>
      <c r="W166" s="78">
        <v>40590</v>
      </c>
      <c r="X166" s="78">
        <v>21920</v>
      </c>
      <c r="Y166" s="78">
        <v>2508.12</v>
      </c>
      <c r="Z166" s="78">
        <v>963.2</v>
      </c>
      <c r="AA166" s="78">
        <v>0</v>
      </c>
      <c r="AB166" s="399">
        <f>IF((J166-'[2]Basisgegevens aanvullend'!D166*1.1)&lt;=0,0,J166-'[2]Basisgegevens aanvullend'!D166*1.1)</f>
        <v>0</v>
      </c>
      <c r="AC166" s="399">
        <v>0</v>
      </c>
      <c r="AD166" s="78">
        <v>2733</v>
      </c>
      <c r="AE166" s="78">
        <v>2787.66</v>
      </c>
      <c r="AF166" s="78">
        <v>44</v>
      </c>
      <c r="AG166" s="78">
        <v>391</v>
      </c>
      <c r="AH166" s="78">
        <v>155</v>
      </c>
      <c r="AI166" s="78">
        <v>12</v>
      </c>
      <c r="AJ166" s="78">
        <v>156.55000000000001</v>
      </c>
      <c r="AK166" s="78">
        <v>12.36</v>
      </c>
      <c r="AL166" s="78">
        <v>167</v>
      </c>
      <c r="AM166" s="78">
        <v>17741</v>
      </c>
      <c r="AN166" s="78">
        <v>17918.41</v>
      </c>
      <c r="AO166" s="78">
        <v>0</v>
      </c>
      <c r="AP166" s="78">
        <v>0</v>
      </c>
      <c r="AQ166" s="78">
        <v>0</v>
      </c>
      <c r="AR166" s="78">
        <v>0</v>
      </c>
      <c r="AS166" s="78">
        <v>780</v>
      </c>
      <c r="AT166" s="78">
        <v>0</v>
      </c>
      <c r="AU166" s="400">
        <v>8.8505999999999996E-5</v>
      </c>
      <c r="AV166" s="400">
        <v>1.0293310000000001E-3</v>
      </c>
      <c r="AW166" s="78">
        <v>41620.385999999999</v>
      </c>
      <c r="AX166" s="78">
        <v>0</v>
      </c>
      <c r="AY166" s="78">
        <v>1132.2</v>
      </c>
      <c r="AZ166" s="78">
        <v>20642.380943464199</v>
      </c>
      <c r="BA166" s="78">
        <v>3</v>
      </c>
      <c r="BB166" s="78">
        <v>3.09</v>
      </c>
      <c r="BC166" s="78">
        <v>3537</v>
      </c>
      <c r="BD166" s="78">
        <v>1</v>
      </c>
      <c r="BE166" s="78">
        <v>0</v>
      </c>
      <c r="BF166" s="78">
        <v>0</v>
      </c>
      <c r="BG166" s="78">
        <v>0</v>
      </c>
      <c r="BH166" s="78">
        <v>0</v>
      </c>
      <c r="BI166" s="78">
        <v>0</v>
      </c>
      <c r="BJ166" s="78">
        <v>0</v>
      </c>
      <c r="BK166" s="78">
        <v>0</v>
      </c>
      <c r="BL166" s="78">
        <v>0</v>
      </c>
      <c r="BM166" s="78">
        <v>910.86900000000003</v>
      </c>
      <c r="BN166" s="78">
        <v>138</v>
      </c>
      <c r="BO166" s="78">
        <v>174</v>
      </c>
      <c r="BP166" s="78">
        <v>11979.09</v>
      </c>
      <c r="BQ166" s="78">
        <v>2716.85</v>
      </c>
      <c r="BR166" s="78">
        <v>192.270640142904</v>
      </c>
      <c r="BS166" s="78">
        <v>580</v>
      </c>
      <c r="BT166" s="78">
        <v>264.33333333333297</v>
      </c>
      <c r="BU166" s="78">
        <v>235.333333333333</v>
      </c>
      <c r="BV166" s="78">
        <f t="shared" si="10"/>
        <v>2067.0000000000032</v>
      </c>
      <c r="BW166" s="78">
        <v>535</v>
      </c>
      <c r="BX166" s="78">
        <v>6883.7408136389204</v>
      </c>
      <c r="BY166" s="78">
        <v>1.829</v>
      </c>
      <c r="BZ166" s="78">
        <v>30336</v>
      </c>
      <c r="CA166" s="78">
        <v>4657</v>
      </c>
      <c r="CB166" s="78">
        <v>1179</v>
      </c>
      <c r="CC166" s="78">
        <v>1022</v>
      </c>
      <c r="CD166" s="78">
        <v>1020</v>
      </c>
      <c r="CE166" s="78">
        <v>606</v>
      </c>
      <c r="CF166" s="78">
        <v>537.95030719801605</v>
      </c>
      <c r="CG166" s="78">
        <v>379.66451721999903</v>
      </c>
      <c r="CH166" s="78">
        <v>162.897846795558</v>
      </c>
      <c r="CI166" s="78">
        <v>1264.6692</v>
      </c>
      <c r="CJ166" s="78">
        <v>892.55460000000005</v>
      </c>
      <c r="CK166" s="78">
        <v>382.95710000000003</v>
      </c>
      <c r="CL166" s="78">
        <v>115636</v>
      </c>
    </row>
    <row r="167" spans="1:90" x14ac:dyDescent="0.35">
      <c r="A167" s="72">
        <v>397</v>
      </c>
      <c r="B167" s="72" t="s">
        <v>135</v>
      </c>
      <c r="C167" s="72">
        <v>7</v>
      </c>
      <c r="D167" s="78">
        <v>5597600000</v>
      </c>
      <c r="E167" s="78">
        <v>226450000</v>
      </c>
      <c r="F167" s="78">
        <v>263200000</v>
      </c>
      <c r="G167" s="78">
        <v>27545</v>
      </c>
      <c r="H167" s="78">
        <v>1</v>
      </c>
      <c r="I167" s="78">
        <f t="shared" si="8"/>
        <v>263.2</v>
      </c>
      <c r="J167" s="78">
        <v>5971</v>
      </c>
      <c r="K167" s="78">
        <v>7455</v>
      </c>
      <c r="L167" s="78">
        <v>2586</v>
      </c>
      <c r="M167" s="78">
        <v>3000</v>
      </c>
      <c r="N167" s="78">
        <f t="shared" si="9"/>
        <v>1693.8</v>
      </c>
      <c r="O167" s="78">
        <v>233.666666666667</v>
      </c>
      <c r="P167" s="78">
        <v>10</v>
      </c>
      <c r="Q167" s="78">
        <v>1236.6666666666699</v>
      </c>
      <c r="R167" s="78">
        <v>4422</v>
      </c>
      <c r="S167" s="78">
        <v>850</v>
      </c>
      <c r="T167" s="78">
        <v>0</v>
      </c>
      <c r="U167" s="78">
        <v>817</v>
      </c>
      <c r="V167" s="78">
        <v>12760</v>
      </c>
      <c r="W167" s="78">
        <v>22660</v>
      </c>
      <c r="X167" s="78">
        <v>5970</v>
      </c>
      <c r="Y167" s="78">
        <v>0</v>
      </c>
      <c r="Z167" s="78">
        <v>1426.4</v>
      </c>
      <c r="AA167" s="78">
        <v>0</v>
      </c>
      <c r="AB167" s="399">
        <f>IF((J167-'[2]Basisgegevens aanvullend'!D167*1.1)&lt;=0,0,J167-'[2]Basisgegevens aanvullend'!D167*1.1)</f>
        <v>0</v>
      </c>
      <c r="AC167" s="399">
        <v>0</v>
      </c>
      <c r="AD167" s="78">
        <v>918</v>
      </c>
      <c r="AE167" s="78">
        <v>918</v>
      </c>
      <c r="AF167" s="78">
        <v>47</v>
      </c>
      <c r="AG167" s="78">
        <v>0</v>
      </c>
      <c r="AH167" s="78">
        <v>116</v>
      </c>
      <c r="AI167" s="78">
        <v>6</v>
      </c>
      <c r="AJ167" s="78">
        <v>116</v>
      </c>
      <c r="AK167" s="78">
        <v>6</v>
      </c>
      <c r="AL167" s="78">
        <v>122</v>
      </c>
      <c r="AM167" s="78">
        <v>13062</v>
      </c>
      <c r="AN167" s="78">
        <v>13062</v>
      </c>
      <c r="AO167" s="78">
        <v>0</v>
      </c>
      <c r="AP167" s="78">
        <v>0</v>
      </c>
      <c r="AQ167" s="78">
        <v>0</v>
      </c>
      <c r="AR167" s="78">
        <v>0</v>
      </c>
      <c r="AS167" s="78">
        <v>3226</v>
      </c>
      <c r="AT167" s="78">
        <v>0</v>
      </c>
      <c r="AU167" s="400">
        <v>7.3676799999999995E-4</v>
      </c>
      <c r="AV167" s="400">
        <v>3.1776200000000002E-4</v>
      </c>
      <c r="AW167" s="78">
        <v>23263.421999999999</v>
      </c>
      <c r="AX167" s="78">
        <v>0</v>
      </c>
      <c r="AY167" s="78">
        <v>713</v>
      </c>
      <c r="AZ167" s="78">
        <v>20351.901554404099</v>
      </c>
      <c r="BA167" s="78">
        <v>1</v>
      </c>
      <c r="BB167" s="78">
        <v>1</v>
      </c>
      <c r="BC167" s="78">
        <v>4156</v>
      </c>
      <c r="BD167" s="78">
        <v>1</v>
      </c>
      <c r="BE167" s="78">
        <v>0</v>
      </c>
      <c r="BF167" s="78">
        <v>0</v>
      </c>
      <c r="BG167" s="78">
        <v>0</v>
      </c>
      <c r="BH167" s="78">
        <v>0</v>
      </c>
      <c r="BI167" s="78">
        <v>0</v>
      </c>
      <c r="BJ167" s="78">
        <v>0</v>
      </c>
      <c r="BK167" s="78">
        <v>0</v>
      </c>
      <c r="BL167" s="78">
        <v>0</v>
      </c>
      <c r="BM167" s="78">
        <v>346.31799999999998</v>
      </c>
      <c r="BN167" s="78">
        <v>12</v>
      </c>
      <c r="BO167" s="78">
        <v>17</v>
      </c>
      <c r="BP167" s="78">
        <v>11787.44</v>
      </c>
      <c r="BQ167" s="78">
        <v>3096.24</v>
      </c>
      <c r="BR167" s="78">
        <v>140.24066706529501</v>
      </c>
      <c r="BS167" s="78">
        <v>315</v>
      </c>
      <c r="BT167" s="78">
        <v>62</v>
      </c>
      <c r="BU167" s="78">
        <v>49.6666666666667</v>
      </c>
      <c r="BV167" s="78">
        <f t="shared" si="10"/>
        <v>1003.000000000003</v>
      </c>
      <c r="BW167" s="78">
        <v>358</v>
      </c>
      <c r="BX167" s="78">
        <v>4123.4765880884197</v>
      </c>
      <c r="BY167" s="78">
        <v>0.17799999999999999</v>
      </c>
      <c r="BZ167" s="78">
        <v>20090</v>
      </c>
      <c r="CA167" s="78">
        <v>3710</v>
      </c>
      <c r="CB167" s="78">
        <v>1159</v>
      </c>
      <c r="CC167" s="78">
        <v>1003</v>
      </c>
      <c r="CD167" s="78">
        <v>984</v>
      </c>
      <c r="CE167" s="78">
        <v>629</v>
      </c>
      <c r="CF167" s="78">
        <v>306.03031694993098</v>
      </c>
      <c r="CG167" s="78">
        <v>240.155994487827</v>
      </c>
      <c r="CH167" s="78">
        <v>111.519522278365</v>
      </c>
      <c r="CI167" s="78">
        <v>398.60399999999998</v>
      </c>
      <c r="CJ167" s="78">
        <v>312.80279999999999</v>
      </c>
      <c r="CK167" s="78">
        <v>145.25399999999999</v>
      </c>
      <c r="CL167" s="78">
        <v>196178</v>
      </c>
    </row>
    <row r="168" spans="1:90" x14ac:dyDescent="0.35">
      <c r="A168" s="72">
        <v>398</v>
      </c>
      <c r="B168" s="72" t="s">
        <v>138</v>
      </c>
      <c r="C168" s="72">
        <v>7</v>
      </c>
      <c r="D168" s="78">
        <v>5349600000</v>
      </c>
      <c r="E168" s="78">
        <v>788200000</v>
      </c>
      <c r="F168" s="78">
        <v>810950000</v>
      </c>
      <c r="G168" s="78">
        <v>58387</v>
      </c>
      <c r="H168" s="78">
        <v>2</v>
      </c>
      <c r="I168" s="78">
        <f t="shared" si="8"/>
        <v>810.95</v>
      </c>
      <c r="J168" s="78">
        <v>12656</v>
      </c>
      <c r="K168" s="78">
        <v>10563</v>
      </c>
      <c r="L168" s="78">
        <v>3500</v>
      </c>
      <c r="M168" s="78">
        <v>6382</v>
      </c>
      <c r="N168" s="78">
        <f t="shared" si="9"/>
        <v>3928.2999999999997</v>
      </c>
      <c r="O168" s="78">
        <v>713.33333333333303</v>
      </c>
      <c r="P168" s="78">
        <v>137</v>
      </c>
      <c r="Q168" s="78">
        <v>4385.3333333333303</v>
      </c>
      <c r="R168" s="78">
        <v>7327</v>
      </c>
      <c r="S168" s="78">
        <v>4170</v>
      </c>
      <c r="T168" s="78">
        <v>0</v>
      </c>
      <c r="U168" s="78">
        <v>2012</v>
      </c>
      <c r="V168" s="78">
        <v>25469</v>
      </c>
      <c r="W168" s="78">
        <v>65870</v>
      </c>
      <c r="X168" s="78">
        <v>57720</v>
      </c>
      <c r="Y168" s="78">
        <v>1449.66</v>
      </c>
      <c r="Z168" s="78">
        <v>3171.2</v>
      </c>
      <c r="AA168" s="78">
        <v>0</v>
      </c>
      <c r="AB168" s="399">
        <f>IF((J168-'[2]Basisgegevens aanvullend'!D168*1.1)&lt;=0,0,J168-'[2]Basisgegevens aanvullend'!D168*1.1)</f>
        <v>0</v>
      </c>
      <c r="AC168" s="399">
        <v>0</v>
      </c>
      <c r="AD168" s="78">
        <v>3812</v>
      </c>
      <c r="AE168" s="78">
        <v>3888.24</v>
      </c>
      <c r="AF168" s="78">
        <v>187</v>
      </c>
      <c r="AG168" s="78">
        <v>0</v>
      </c>
      <c r="AH168" s="78">
        <v>283</v>
      </c>
      <c r="AI168" s="78">
        <v>32</v>
      </c>
      <c r="AJ168" s="78">
        <v>283</v>
      </c>
      <c r="AK168" s="78">
        <v>33.28</v>
      </c>
      <c r="AL168" s="78">
        <v>316</v>
      </c>
      <c r="AM168" s="78">
        <v>24537</v>
      </c>
      <c r="AN168" s="78">
        <v>24537</v>
      </c>
      <c r="AO168" s="78">
        <v>0</v>
      </c>
      <c r="AP168" s="78">
        <v>0</v>
      </c>
      <c r="AQ168" s="78">
        <v>0</v>
      </c>
      <c r="AR168" s="78">
        <v>0</v>
      </c>
      <c r="AS168" s="78">
        <v>0</v>
      </c>
      <c r="AT168" s="78">
        <v>0</v>
      </c>
      <c r="AU168" s="400">
        <v>1.43218E-4</v>
      </c>
      <c r="AV168" s="400">
        <v>1.9029100000000001E-4</v>
      </c>
      <c r="AW168" s="78">
        <v>41541.141000000003</v>
      </c>
      <c r="AX168" s="78">
        <v>0</v>
      </c>
      <c r="AY168" s="78">
        <v>2580.6</v>
      </c>
      <c r="AZ168" s="78">
        <v>37677.792498124501</v>
      </c>
      <c r="BA168" s="78">
        <v>4</v>
      </c>
      <c r="BB168" s="78">
        <v>4.16</v>
      </c>
      <c r="BC168" s="78">
        <v>5956</v>
      </c>
      <c r="BD168" s="78">
        <v>1</v>
      </c>
      <c r="BE168" s="78">
        <v>0</v>
      </c>
      <c r="BF168" s="78">
        <v>0</v>
      </c>
      <c r="BG168" s="78">
        <v>0</v>
      </c>
      <c r="BH168" s="78">
        <v>0</v>
      </c>
      <c r="BI168" s="78">
        <v>0</v>
      </c>
      <c r="BJ168" s="78">
        <v>0</v>
      </c>
      <c r="BK168" s="78">
        <v>0</v>
      </c>
      <c r="BL168" s="78">
        <v>0</v>
      </c>
      <c r="BM168" s="78">
        <v>1290.912</v>
      </c>
      <c r="BN168" s="78">
        <v>168</v>
      </c>
      <c r="BO168" s="78">
        <v>132</v>
      </c>
      <c r="BP168" s="78">
        <v>15707.9</v>
      </c>
      <c r="BQ168" s="78">
        <v>4185.6000000000004</v>
      </c>
      <c r="BR168" s="78">
        <v>542.84221604099105</v>
      </c>
      <c r="BS168" s="78">
        <v>834</v>
      </c>
      <c r="BT168" s="78">
        <v>246.666666666667</v>
      </c>
      <c r="BU168" s="78">
        <v>219.666666666667</v>
      </c>
      <c r="BV168" s="78">
        <f t="shared" si="10"/>
        <v>3671.9999999999973</v>
      </c>
      <c r="BW168" s="78">
        <v>1202</v>
      </c>
      <c r="BX168" s="78">
        <v>7831.8697747755596</v>
      </c>
      <c r="BY168" s="78">
        <v>1.3029999999999999</v>
      </c>
      <c r="BZ168" s="78">
        <v>47824</v>
      </c>
      <c r="CA168" s="78">
        <v>6238</v>
      </c>
      <c r="CB168" s="78">
        <v>825</v>
      </c>
      <c r="CC168" s="78">
        <v>1202</v>
      </c>
      <c r="CD168" s="78">
        <v>1051</v>
      </c>
      <c r="CE168" s="78">
        <v>386</v>
      </c>
      <c r="CF168" s="78">
        <v>599.72334841260101</v>
      </c>
      <c r="CG168" s="78">
        <v>391.43715613155598</v>
      </c>
      <c r="CH168" s="78">
        <v>89.974511961527497</v>
      </c>
      <c r="CI168" s="78">
        <v>1757.6232</v>
      </c>
      <c r="CJ168" s="78">
        <v>1147.194</v>
      </c>
      <c r="CK168" s="78">
        <v>263.69040000000001</v>
      </c>
      <c r="CL168" s="78">
        <v>193115</v>
      </c>
    </row>
    <row r="169" spans="1:90" x14ac:dyDescent="0.35">
      <c r="A169" s="72">
        <v>399</v>
      </c>
      <c r="B169" s="72" t="s">
        <v>141</v>
      </c>
      <c r="C169" s="72">
        <v>7</v>
      </c>
      <c r="D169" s="78">
        <v>3427600000</v>
      </c>
      <c r="E169" s="78">
        <v>243250000</v>
      </c>
      <c r="F169" s="78">
        <v>249900000</v>
      </c>
      <c r="G169" s="78">
        <v>24144</v>
      </c>
      <c r="H169" s="78">
        <v>1</v>
      </c>
      <c r="I169" s="78">
        <f t="shared" si="8"/>
        <v>249.9</v>
      </c>
      <c r="J169" s="78">
        <v>4489</v>
      </c>
      <c r="K169" s="78">
        <v>6444</v>
      </c>
      <c r="L169" s="78">
        <v>2297</v>
      </c>
      <c r="M169" s="78">
        <v>2577</v>
      </c>
      <c r="N169" s="78">
        <f t="shared" si="9"/>
        <v>1477.8</v>
      </c>
      <c r="O169" s="78">
        <v>201.666666666667</v>
      </c>
      <c r="P169" s="78">
        <v>21</v>
      </c>
      <c r="Q169" s="78">
        <v>1257.6666666666699</v>
      </c>
      <c r="R169" s="78">
        <v>3799</v>
      </c>
      <c r="S169" s="78">
        <v>435</v>
      </c>
      <c r="T169" s="78">
        <v>0</v>
      </c>
      <c r="U169" s="78">
        <v>646</v>
      </c>
      <c r="V169" s="78">
        <v>11155</v>
      </c>
      <c r="W169" s="78">
        <v>23220</v>
      </c>
      <c r="X169" s="78">
        <v>8820</v>
      </c>
      <c r="Y169" s="78">
        <v>0</v>
      </c>
      <c r="Z169" s="78">
        <v>264</v>
      </c>
      <c r="AA169" s="78">
        <v>0</v>
      </c>
      <c r="AB169" s="399">
        <f>IF((J169-'[2]Basisgegevens aanvullend'!D169*1.1)&lt;=0,0,J169-'[2]Basisgegevens aanvullend'!D169*1.1)</f>
        <v>0</v>
      </c>
      <c r="AC169" s="399">
        <v>0</v>
      </c>
      <c r="AD169" s="78">
        <v>1869</v>
      </c>
      <c r="AE169" s="78">
        <v>1869</v>
      </c>
      <c r="AF169" s="78">
        <v>32</v>
      </c>
      <c r="AG169" s="78">
        <v>0</v>
      </c>
      <c r="AH169" s="78">
        <v>116</v>
      </c>
      <c r="AI169" s="78">
        <v>8</v>
      </c>
      <c r="AJ169" s="78">
        <v>116</v>
      </c>
      <c r="AK169" s="78">
        <v>8</v>
      </c>
      <c r="AL169" s="78">
        <v>124</v>
      </c>
      <c r="AM169" s="78">
        <v>10992</v>
      </c>
      <c r="AN169" s="78">
        <v>10992</v>
      </c>
      <c r="AO169" s="78">
        <v>0</v>
      </c>
      <c r="AP169" s="78">
        <v>0</v>
      </c>
      <c r="AQ169" s="78">
        <v>0</v>
      </c>
      <c r="AR169" s="78">
        <v>0</v>
      </c>
      <c r="AS169" s="78">
        <v>929</v>
      </c>
      <c r="AT169" s="78">
        <v>0</v>
      </c>
      <c r="AU169" s="400">
        <v>2.29972E-4</v>
      </c>
      <c r="AV169" s="400">
        <v>1.4641099999999999E-4</v>
      </c>
      <c r="AW169" s="78">
        <v>14927.136</v>
      </c>
      <c r="AX169" s="78">
        <v>0</v>
      </c>
      <c r="AY169" s="78">
        <v>915</v>
      </c>
      <c r="AZ169" s="78">
        <v>11621.125723303499</v>
      </c>
      <c r="BA169" s="78">
        <v>3</v>
      </c>
      <c r="BB169" s="78">
        <v>3</v>
      </c>
      <c r="BC169" s="78">
        <v>2918</v>
      </c>
      <c r="BD169" s="78">
        <v>1</v>
      </c>
      <c r="BE169" s="78">
        <v>0</v>
      </c>
      <c r="BF169" s="78">
        <v>0</v>
      </c>
      <c r="BG169" s="78">
        <v>0</v>
      </c>
      <c r="BH169" s="78">
        <v>0</v>
      </c>
      <c r="BI169" s="78">
        <v>0</v>
      </c>
      <c r="BJ169" s="78">
        <v>0</v>
      </c>
      <c r="BK169" s="78">
        <v>0</v>
      </c>
      <c r="BL169" s="78">
        <v>0</v>
      </c>
      <c r="BM169" s="78">
        <v>273.82900000000001</v>
      </c>
      <c r="BN169" s="78">
        <v>11</v>
      </c>
      <c r="BO169" s="78">
        <v>33</v>
      </c>
      <c r="BP169" s="78">
        <v>8915.86</v>
      </c>
      <c r="BQ169" s="78">
        <v>2064.7600000000002</v>
      </c>
      <c r="BR169" s="78">
        <v>109.54770403587401</v>
      </c>
      <c r="BS169" s="78">
        <v>250</v>
      </c>
      <c r="BT169" s="78">
        <v>52.3333333333333</v>
      </c>
      <c r="BU169" s="78">
        <v>39</v>
      </c>
      <c r="BV169" s="78">
        <f t="shared" si="10"/>
        <v>1056.000000000003</v>
      </c>
      <c r="BW169" s="78">
        <v>310</v>
      </c>
      <c r="BX169" s="78">
        <v>3279.74803738318</v>
      </c>
      <c r="BY169" s="78">
        <v>0.20799999999999999</v>
      </c>
      <c r="BZ169" s="78">
        <v>17700</v>
      </c>
      <c r="CA169" s="78">
        <v>3253</v>
      </c>
      <c r="CB169" s="78">
        <v>894</v>
      </c>
      <c r="CC169" s="78">
        <v>699</v>
      </c>
      <c r="CD169" s="78">
        <v>757</v>
      </c>
      <c r="CE169" s="78">
        <v>436</v>
      </c>
      <c r="CF169" s="78">
        <v>269.96200873362397</v>
      </c>
      <c r="CG169" s="78">
        <v>212.554748908297</v>
      </c>
      <c r="CH169" s="78">
        <v>86.178111353711799</v>
      </c>
      <c r="CI169" s="78">
        <v>623.08240000000001</v>
      </c>
      <c r="CJ169" s="78">
        <v>490.58429999999998</v>
      </c>
      <c r="CK169" s="78">
        <v>198.9023</v>
      </c>
      <c r="CL169" s="78">
        <v>10660</v>
      </c>
    </row>
    <row r="170" spans="1:90" x14ac:dyDescent="0.35">
      <c r="A170" s="72">
        <v>402</v>
      </c>
      <c r="B170" s="72" t="s">
        <v>152</v>
      </c>
      <c r="C170" s="72">
        <v>7</v>
      </c>
      <c r="D170" s="78">
        <v>12301600000</v>
      </c>
      <c r="E170" s="78">
        <v>1656900000</v>
      </c>
      <c r="F170" s="78">
        <v>1705200000</v>
      </c>
      <c r="G170" s="78">
        <v>91235</v>
      </c>
      <c r="H170" s="78">
        <v>2</v>
      </c>
      <c r="I170" s="78">
        <f t="shared" si="8"/>
        <v>1705.2</v>
      </c>
      <c r="J170" s="78">
        <v>18667</v>
      </c>
      <c r="K170" s="78">
        <v>17271</v>
      </c>
      <c r="L170" s="78">
        <v>5648</v>
      </c>
      <c r="M170" s="78">
        <v>13902</v>
      </c>
      <c r="N170" s="78">
        <f t="shared" si="9"/>
        <v>9573</v>
      </c>
      <c r="O170" s="78">
        <v>2074.6666666666702</v>
      </c>
      <c r="P170" s="78">
        <v>94</v>
      </c>
      <c r="Q170" s="78">
        <v>5927.6666666666697</v>
      </c>
      <c r="R170" s="78">
        <v>17845</v>
      </c>
      <c r="S170" s="78">
        <v>7355</v>
      </c>
      <c r="T170" s="78">
        <v>0</v>
      </c>
      <c r="U170" s="78">
        <v>3289</v>
      </c>
      <c r="V170" s="78">
        <v>44194</v>
      </c>
      <c r="W170" s="78">
        <v>99160</v>
      </c>
      <c r="X170" s="78">
        <v>92090</v>
      </c>
      <c r="Y170" s="78">
        <v>3757.76</v>
      </c>
      <c r="Z170" s="78">
        <v>6434.4</v>
      </c>
      <c r="AA170" s="78">
        <v>0</v>
      </c>
      <c r="AB170" s="399">
        <f>IF((J170-'[2]Basisgegevens aanvullend'!D170*1.1)&lt;=0,0,J170-'[2]Basisgegevens aanvullend'!D170*1.1)</f>
        <v>0</v>
      </c>
      <c r="AC170" s="399">
        <v>690.599999999999</v>
      </c>
      <c r="AD170" s="78">
        <v>4544</v>
      </c>
      <c r="AE170" s="78">
        <v>4544</v>
      </c>
      <c r="AF170" s="78">
        <v>91</v>
      </c>
      <c r="AG170" s="78">
        <v>0</v>
      </c>
      <c r="AH170" s="78">
        <v>384</v>
      </c>
      <c r="AI170" s="78">
        <v>12</v>
      </c>
      <c r="AJ170" s="78">
        <v>384</v>
      </c>
      <c r="AK170" s="78">
        <v>12</v>
      </c>
      <c r="AL170" s="78">
        <v>396</v>
      </c>
      <c r="AM170" s="78">
        <v>43290</v>
      </c>
      <c r="AN170" s="78">
        <v>43290</v>
      </c>
      <c r="AO170" s="78">
        <v>0</v>
      </c>
      <c r="AP170" s="78">
        <v>0</v>
      </c>
      <c r="AQ170" s="78">
        <v>0</v>
      </c>
      <c r="AR170" s="78">
        <v>0</v>
      </c>
      <c r="AS170" s="78">
        <v>13746</v>
      </c>
      <c r="AT170" s="78">
        <v>0</v>
      </c>
      <c r="AU170" s="400">
        <v>4.6107020000000004E-3</v>
      </c>
      <c r="AV170" s="400">
        <v>3.890148E-3</v>
      </c>
      <c r="AW170" s="78">
        <v>119653.56</v>
      </c>
      <c r="AX170" s="78">
        <v>0</v>
      </c>
      <c r="AY170" s="78">
        <v>789</v>
      </c>
      <c r="AZ170" s="78">
        <v>15530.618122977299</v>
      </c>
      <c r="BA170" s="78">
        <v>5</v>
      </c>
      <c r="BB170" s="78">
        <v>5</v>
      </c>
      <c r="BC170" s="78">
        <v>13582</v>
      </c>
      <c r="BD170" s="78">
        <v>1</v>
      </c>
      <c r="BE170" s="78">
        <v>0</v>
      </c>
      <c r="BF170" s="78">
        <v>0</v>
      </c>
      <c r="BG170" s="78">
        <v>0</v>
      </c>
      <c r="BH170" s="78">
        <v>0</v>
      </c>
      <c r="BI170" s="78">
        <v>0</v>
      </c>
      <c r="BJ170" s="78">
        <v>0</v>
      </c>
      <c r="BK170" s="78">
        <v>0</v>
      </c>
      <c r="BL170" s="78">
        <v>0</v>
      </c>
      <c r="BM170" s="78">
        <v>2221.373</v>
      </c>
      <c r="BN170" s="78">
        <v>150</v>
      </c>
      <c r="BO170" s="78">
        <v>263</v>
      </c>
      <c r="BP170" s="78">
        <v>31823.7</v>
      </c>
      <c r="BQ170" s="78">
        <v>8511.2000000000007</v>
      </c>
      <c r="BR170" s="78">
        <v>689.79123437277497</v>
      </c>
      <c r="BS170" s="78">
        <v>1174</v>
      </c>
      <c r="BT170" s="78">
        <v>509.33333333333297</v>
      </c>
      <c r="BU170" s="78">
        <v>454.66666666666703</v>
      </c>
      <c r="BV170" s="78">
        <f t="shared" si="10"/>
        <v>3852.9999999999995</v>
      </c>
      <c r="BW170" s="78">
        <v>953</v>
      </c>
      <c r="BX170" s="78">
        <v>11724.196208343001</v>
      </c>
      <c r="BY170" s="78">
        <v>4.7030000000000003</v>
      </c>
      <c r="BZ170" s="78">
        <v>73964</v>
      </c>
      <c r="CA170" s="78">
        <v>9264</v>
      </c>
      <c r="CB170" s="78">
        <v>2359</v>
      </c>
      <c r="CC170" s="78">
        <v>2781</v>
      </c>
      <c r="CD170" s="78">
        <v>2175</v>
      </c>
      <c r="CE170" s="78">
        <v>1239</v>
      </c>
      <c r="CF170" s="78">
        <v>1363.08551628552</v>
      </c>
      <c r="CG170" s="78">
        <v>900.02564102564099</v>
      </c>
      <c r="CH170" s="78">
        <v>374.38413028412998</v>
      </c>
      <c r="CI170" s="78">
        <v>2318.8968</v>
      </c>
      <c r="CJ170" s="78">
        <v>1531.134</v>
      </c>
      <c r="CK170" s="78">
        <v>636.90660000000003</v>
      </c>
      <c r="CL170" s="78">
        <v>49630</v>
      </c>
    </row>
    <row r="171" spans="1:90" x14ac:dyDescent="0.35">
      <c r="A171" s="72">
        <v>1911</v>
      </c>
      <c r="B171" s="72" t="s">
        <v>155</v>
      </c>
      <c r="C171" s="72">
        <v>7</v>
      </c>
      <c r="D171" s="78">
        <v>4020000000</v>
      </c>
      <c r="E171" s="78">
        <v>1258600000</v>
      </c>
      <c r="F171" s="78">
        <v>1387050000</v>
      </c>
      <c r="G171" s="78">
        <v>48583</v>
      </c>
      <c r="H171" s="78">
        <v>10</v>
      </c>
      <c r="I171" s="78">
        <f t="shared" si="8"/>
        <v>1387.05</v>
      </c>
      <c r="J171" s="78">
        <v>9074</v>
      </c>
      <c r="K171" s="78">
        <v>10272</v>
      </c>
      <c r="L171" s="78">
        <v>3315</v>
      </c>
      <c r="M171" s="78">
        <v>6043</v>
      </c>
      <c r="N171" s="78">
        <f t="shared" si="9"/>
        <v>3925.2</v>
      </c>
      <c r="O171" s="78">
        <v>485</v>
      </c>
      <c r="P171" s="78">
        <v>51</v>
      </c>
      <c r="Q171" s="78">
        <v>2917</v>
      </c>
      <c r="R171" s="78">
        <v>6797</v>
      </c>
      <c r="S171" s="78">
        <v>745</v>
      </c>
      <c r="T171" s="78">
        <v>0</v>
      </c>
      <c r="U171" s="78">
        <v>1343</v>
      </c>
      <c r="V171" s="78">
        <v>21628</v>
      </c>
      <c r="W171" s="78">
        <v>42410</v>
      </c>
      <c r="X171" s="78">
        <v>7270</v>
      </c>
      <c r="Y171" s="78">
        <v>0</v>
      </c>
      <c r="Z171" s="78">
        <v>744.8</v>
      </c>
      <c r="AA171" s="78">
        <v>0</v>
      </c>
      <c r="AB171" s="399">
        <f>IF((J171-'[2]Basisgegevens aanvullend'!D171*1.1)&lt;=0,0,J171-'[2]Basisgegevens aanvullend'!D171*1.1)</f>
        <v>0</v>
      </c>
      <c r="AC171" s="399">
        <v>0</v>
      </c>
      <c r="AD171" s="78">
        <v>35756</v>
      </c>
      <c r="AE171" s="78">
        <v>41119.4</v>
      </c>
      <c r="AF171" s="78">
        <v>1768</v>
      </c>
      <c r="AG171" s="78">
        <v>10000</v>
      </c>
      <c r="AH171" s="78">
        <v>274</v>
      </c>
      <c r="AI171" s="78">
        <v>275</v>
      </c>
      <c r="AJ171" s="78">
        <v>312.36</v>
      </c>
      <c r="AK171" s="78">
        <v>316.25</v>
      </c>
      <c r="AL171" s="78">
        <v>549</v>
      </c>
      <c r="AM171" s="78">
        <v>21178</v>
      </c>
      <c r="AN171" s="78">
        <v>24142.92</v>
      </c>
      <c r="AO171" s="78">
        <v>0</v>
      </c>
      <c r="AP171" s="78">
        <v>0</v>
      </c>
      <c r="AQ171" s="78">
        <v>0</v>
      </c>
      <c r="AR171" s="78">
        <v>0</v>
      </c>
      <c r="AS171" s="78">
        <v>0</v>
      </c>
      <c r="AT171" s="78">
        <v>0</v>
      </c>
      <c r="AU171" s="400">
        <v>5.69079E-4</v>
      </c>
      <c r="AV171" s="400">
        <v>2.33618E-4</v>
      </c>
      <c r="AW171" s="78">
        <v>9170.0740000000005</v>
      </c>
      <c r="AX171" s="78">
        <v>0</v>
      </c>
      <c r="AY171" s="78">
        <v>12944.4</v>
      </c>
      <c r="AZ171" s="78">
        <v>19874.1809668479</v>
      </c>
      <c r="BA171" s="78">
        <v>30</v>
      </c>
      <c r="BB171" s="78">
        <v>34.5</v>
      </c>
      <c r="BC171" s="78">
        <v>6097</v>
      </c>
      <c r="BD171" s="78">
        <v>1</v>
      </c>
      <c r="BE171" s="78">
        <v>0</v>
      </c>
      <c r="BF171" s="78">
        <v>0</v>
      </c>
      <c r="BG171" s="78">
        <v>0</v>
      </c>
      <c r="BH171" s="78">
        <v>0</v>
      </c>
      <c r="BI171" s="78">
        <v>0</v>
      </c>
      <c r="BJ171" s="78">
        <v>0</v>
      </c>
      <c r="BK171" s="78">
        <v>0</v>
      </c>
      <c r="BL171" s="78">
        <v>0</v>
      </c>
      <c r="BM171" s="78">
        <v>843.88199999999995</v>
      </c>
      <c r="BN171" s="78">
        <v>165</v>
      </c>
      <c r="BO171" s="78">
        <v>88</v>
      </c>
      <c r="BP171" s="78">
        <v>14234.15</v>
      </c>
      <c r="BQ171" s="78">
        <v>3271.45</v>
      </c>
      <c r="BR171" s="78">
        <v>244.51758292814699</v>
      </c>
      <c r="BS171" s="78">
        <v>533</v>
      </c>
      <c r="BT171" s="78">
        <v>174.666666666667</v>
      </c>
      <c r="BU171" s="78">
        <v>142.666666666667</v>
      </c>
      <c r="BV171" s="78">
        <f t="shared" si="10"/>
        <v>2432</v>
      </c>
      <c r="BW171" s="78">
        <v>586</v>
      </c>
      <c r="BX171" s="78">
        <v>6372.9677130822602</v>
      </c>
      <c r="BY171" s="78">
        <v>0.64200000000000002</v>
      </c>
      <c r="BZ171" s="78">
        <v>38311</v>
      </c>
      <c r="CA171" s="78">
        <v>5980</v>
      </c>
      <c r="CB171" s="78">
        <v>977</v>
      </c>
      <c r="CC171" s="78">
        <v>1084</v>
      </c>
      <c r="CD171" s="78">
        <v>999</v>
      </c>
      <c r="CE171" s="78">
        <v>471</v>
      </c>
      <c r="CF171" s="78">
        <v>673.53748229294604</v>
      </c>
      <c r="CG171" s="78">
        <v>430.73778449334202</v>
      </c>
      <c r="CH171" s="78">
        <v>132.14975918405901</v>
      </c>
      <c r="CI171" s="78">
        <v>1690.5368000000001</v>
      </c>
      <c r="CJ171" s="78">
        <v>1081.1248000000001</v>
      </c>
      <c r="CK171" s="78">
        <v>331.68759999999997</v>
      </c>
      <c r="CL171" s="78">
        <v>0</v>
      </c>
    </row>
    <row r="172" spans="1:90" x14ac:dyDescent="0.35">
      <c r="A172" s="72">
        <v>405</v>
      </c>
      <c r="B172" s="72" t="s">
        <v>157</v>
      </c>
      <c r="C172" s="72">
        <v>7</v>
      </c>
      <c r="D172" s="78">
        <v>6854000000</v>
      </c>
      <c r="E172" s="78">
        <v>1004500000</v>
      </c>
      <c r="F172" s="78">
        <v>1016050000</v>
      </c>
      <c r="G172" s="78">
        <v>73619</v>
      </c>
      <c r="H172" s="78">
        <v>1</v>
      </c>
      <c r="I172" s="78">
        <f t="shared" si="8"/>
        <v>1016.05</v>
      </c>
      <c r="J172" s="78">
        <v>14562</v>
      </c>
      <c r="K172" s="78">
        <v>14769</v>
      </c>
      <c r="L172" s="78">
        <v>4380</v>
      </c>
      <c r="M172" s="78">
        <v>10689</v>
      </c>
      <c r="N172" s="78">
        <f t="shared" si="9"/>
        <v>7311</v>
      </c>
      <c r="O172" s="78">
        <v>1461</v>
      </c>
      <c r="P172" s="78">
        <v>104</v>
      </c>
      <c r="Q172" s="78">
        <v>6323</v>
      </c>
      <c r="R172" s="78">
        <v>12297</v>
      </c>
      <c r="S172" s="78">
        <v>6545</v>
      </c>
      <c r="T172" s="78">
        <v>0</v>
      </c>
      <c r="U172" s="78">
        <v>3153</v>
      </c>
      <c r="V172" s="78">
        <v>34164</v>
      </c>
      <c r="W172" s="78">
        <v>85460</v>
      </c>
      <c r="X172" s="78">
        <v>87800</v>
      </c>
      <c r="Y172" s="78">
        <v>2621.4</v>
      </c>
      <c r="Z172" s="78">
        <v>5822.4</v>
      </c>
      <c r="AA172" s="78">
        <v>0</v>
      </c>
      <c r="AB172" s="399">
        <f>IF((J172-'[2]Basisgegevens aanvullend'!D172*1.1)&lt;=0,0,J172-'[2]Basisgegevens aanvullend'!D172*1.1)</f>
        <v>0</v>
      </c>
      <c r="AC172" s="399">
        <v>0</v>
      </c>
      <c r="AD172" s="78">
        <v>2026</v>
      </c>
      <c r="AE172" s="78">
        <v>2694.58</v>
      </c>
      <c r="AF172" s="78">
        <v>119</v>
      </c>
      <c r="AG172" s="78">
        <v>3201</v>
      </c>
      <c r="AH172" s="78">
        <v>345</v>
      </c>
      <c r="AI172" s="78">
        <v>3</v>
      </c>
      <c r="AJ172" s="78">
        <v>458.85</v>
      </c>
      <c r="AK172" s="78">
        <v>3.81</v>
      </c>
      <c r="AL172" s="78">
        <v>347</v>
      </c>
      <c r="AM172" s="78">
        <v>33780</v>
      </c>
      <c r="AN172" s="78">
        <v>44927.4</v>
      </c>
      <c r="AO172" s="78">
        <v>0</v>
      </c>
      <c r="AP172" s="78">
        <v>46</v>
      </c>
      <c r="AQ172" s="78">
        <v>0</v>
      </c>
      <c r="AR172" s="78">
        <v>5150</v>
      </c>
      <c r="AS172" s="78">
        <v>3299</v>
      </c>
      <c r="AT172" s="78">
        <v>3299</v>
      </c>
      <c r="AU172" s="400">
        <v>1.0728199999999999E-3</v>
      </c>
      <c r="AV172" s="400">
        <v>9.0026500000000003E-4</v>
      </c>
      <c r="AW172" s="78">
        <v>57459.78</v>
      </c>
      <c r="AX172" s="78">
        <v>0</v>
      </c>
      <c r="AY172" s="78">
        <v>2770.39</v>
      </c>
      <c r="AZ172" s="78">
        <v>200254.31957575801</v>
      </c>
      <c r="BA172" s="78">
        <v>1</v>
      </c>
      <c r="BB172" s="78">
        <v>1.27</v>
      </c>
      <c r="BC172" s="78">
        <v>8085</v>
      </c>
      <c r="BD172" s="78">
        <v>1</v>
      </c>
      <c r="BE172" s="78">
        <v>0</v>
      </c>
      <c r="BF172" s="78">
        <v>0</v>
      </c>
      <c r="BG172" s="78">
        <v>0</v>
      </c>
      <c r="BH172" s="78">
        <v>0</v>
      </c>
      <c r="BI172" s="78">
        <v>0</v>
      </c>
      <c r="BJ172" s="78">
        <v>0</v>
      </c>
      <c r="BK172" s="78">
        <v>0</v>
      </c>
      <c r="BL172" s="78">
        <v>0</v>
      </c>
      <c r="BM172" s="78">
        <v>2038.68</v>
      </c>
      <c r="BN172" s="78">
        <v>248</v>
      </c>
      <c r="BO172" s="78">
        <v>229</v>
      </c>
      <c r="BP172" s="78">
        <v>21732.1</v>
      </c>
      <c r="BQ172" s="78">
        <v>5116.07</v>
      </c>
      <c r="BR172" s="78">
        <v>636.51686001676399</v>
      </c>
      <c r="BS172" s="78">
        <v>1211</v>
      </c>
      <c r="BT172" s="78">
        <v>433.66666666666703</v>
      </c>
      <c r="BU172" s="78">
        <v>408</v>
      </c>
      <c r="BV172" s="78">
        <f t="shared" si="10"/>
        <v>4862</v>
      </c>
      <c r="BW172" s="78">
        <v>1437</v>
      </c>
      <c r="BX172" s="78">
        <v>9814.4062314191706</v>
      </c>
      <c r="BY172" s="78">
        <v>3.661</v>
      </c>
      <c r="BZ172" s="78">
        <v>58850</v>
      </c>
      <c r="CA172" s="78">
        <v>9079</v>
      </c>
      <c r="CB172" s="78">
        <v>1310</v>
      </c>
      <c r="CC172" s="78">
        <v>2396</v>
      </c>
      <c r="CD172" s="78">
        <v>1583</v>
      </c>
      <c r="CE172" s="78">
        <v>736</v>
      </c>
      <c r="CF172" s="78">
        <v>1287.5411190053301</v>
      </c>
      <c r="CG172" s="78">
        <v>681.10470692717604</v>
      </c>
      <c r="CH172" s="78">
        <v>211.01909413854301</v>
      </c>
      <c r="CI172" s="78">
        <v>2815.6617000000001</v>
      </c>
      <c r="CJ172" s="78">
        <v>1489.4751000000001</v>
      </c>
      <c r="CK172" s="78">
        <v>461.46749999999997</v>
      </c>
      <c r="CL172" s="78">
        <v>44488</v>
      </c>
    </row>
    <row r="173" spans="1:90" x14ac:dyDescent="0.35">
      <c r="A173" s="72">
        <v>406</v>
      </c>
      <c r="B173" s="72" t="s">
        <v>160</v>
      </c>
      <c r="C173" s="72">
        <v>7</v>
      </c>
      <c r="D173" s="78">
        <v>5446800000</v>
      </c>
      <c r="E173" s="78">
        <v>366800000</v>
      </c>
      <c r="F173" s="78">
        <v>381850000</v>
      </c>
      <c r="G173" s="78">
        <v>41090</v>
      </c>
      <c r="H173" s="78">
        <v>1</v>
      </c>
      <c r="I173" s="78">
        <f t="shared" si="8"/>
        <v>381.85</v>
      </c>
      <c r="J173" s="78">
        <v>7715</v>
      </c>
      <c r="K173" s="78">
        <v>9932</v>
      </c>
      <c r="L173" s="78">
        <v>3074</v>
      </c>
      <c r="M173" s="78">
        <v>5234</v>
      </c>
      <c r="N173" s="78">
        <f t="shared" si="9"/>
        <v>3313.5</v>
      </c>
      <c r="O173" s="78">
        <v>700.66666666666697</v>
      </c>
      <c r="P173" s="78">
        <v>45</v>
      </c>
      <c r="Q173" s="78">
        <v>2514.6666666666702</v>
      </c>
      <c r="R173" s="78">
        <v>6542</v>
      </c>
      <c r="S173" s="78">
        <v>2965</v>
      </c>
      <c r="T173" s="78">
        <v>0</v>
      </c>
      <c r="U173" s="78">
        <v>1430</v>
      </c>
      <c r="V173" s="78">
        <v>19208</v>
      </c>
      <c r="W173" s="78">
        <v>42190</v>
      </c>
      <c r="X173" s="78">
        <v>23870</v>
      </c>
      <c r="Y173" s="78">
        <v>913.39499999999998</v>
      </c>
      <c r="Z173" s="78">
        <v>1853.6</v>
      </c>
      <c r="AA173" s="78">
        <v>0</v>
      </c>
      <c r="AB173" s="399">
        <f>IF((J173-'[2]Basisgegevens aanvullend'!D173*1.1)&lt;=0,0,J173-'[2]Basisgegevens aanvullend'!D173*1.1)</f>
        <v>0</v>
      </c>
      <c r="AC173" s="399">
        <v>0</v>
      </c>
      <c r="AD173" s="78">
        <v>1581</v>
      </c>
      <c r="AE173" s="78">
        <v>1581</v>
      </c>
      <c r="AF173" s="78">
        <v>751</v>
      </c>
      <c r="AG173" s="78">
        <v>0</v>
      </c>
      <c r="AH173" s="78">
        <v>168</v>
      </c>
      <c r="AI173" s="78">
        <v>6</v>
      </c>
      <c r="AJ173" s="78">
        <v>168</v>
      </c>
      <c r="AK173" s="78">
        <v>6</v>
      </c>
      <c r="AL173" s="78">
        <v>174</v>
      </c>
      <c r="AM173" s="78">
        <v>19205</v>
      </c>
      <c r="AN173" s="78">
        <v>19205</v>
      </c>
      <c r="AO173" s="78">
        <v>0</v>
      </c>
      <c r="AP173" s="78">
        <v>0</v>
      </c>
      <c r="AQ173" s="78">
        <v>0</v>
      </c>
      <c r="AR173" s="78">
        <v>0</v>
      </c>
      <c r="AS173" s="78">
        <v>1923</v>
      </c>
      <c r="AT173" s="78">
        <v>0</v>
      </c>
      <c r="AU173" s="400">
        <v>3.67773E-4</v>
      </c>
      <c r="AV173" s="400">
        <v>2.27016E-4</v>
      </c>
      <c r="AW173" s="78">
        <v>39178.199999999997</v>
      </c>
      <c r="AX173" s="78">
        <v>0</v>
      </c>
      <c r="AY173" s="78">
        <v>467</v>
      </c>
      <c r="AZ173" s="78">
        <v>8228.5720411663806</v>
      </c>
      <c r="BA173" s="78">
        <v>5</v>
      </c>
      <c r="BB173" s="78">
        <v>5</v>
      </c>
      <c r="BC173" s="78">
        <v>5287</v>
      </c>
      <c r="BD173" s="78">
        <v>1</v>
      </c>
      <c r="BE173" s="78">
        <v>0</v>
      </c>
      <c r="BF173" s="78">
        <v>0</v>
      </c>
      <c r="BG173" s="78">
        <v>0</v>
      </c>
      <c r="BH173" s="78">
        <v>0</v>
      </c>
      <c r="BI173" s="78">
        <v>0</v>
      </c>
      <c r="BJ173" s="78">
        <v>0</v>
      </c>
      <c r="BK173" s="78">
        <v>0</v>
      </c>
      <c r="BL173" s="78">
        <v>0</v>
      </c>
      <c r="BM173" s="78">
        <v>786.93</v>
      </c>
      <c r="BN173" s="78">
        <v>78</v>
      </c>
      <c r="BO173" s="78">
        <v>74</v>
      </c>
      <c r="BP173" s="78">
        <v>14634.75</v>
      </c>
      <c r="BQ173" s="78">
        <v>3330.32</v>
      </c>
      <c r="BR173" s="78">
        <v>252.41710459987399</v>
      </c>
      <c r="BS173" s="78">
        <v>546</v>
      </c>
      <c r="BT173" s="78">
        <v>199.666666666667</v>
      </c>
      <c r="BU173" s="78">
        <v>160.333333333333</v>
      </c>
      <c r="BV173" s="78">
        <f t="shared" si="10"/>
        <v>1814.0000000000032</v>
      </c>
      <c r="BW173" s="78">
        <v>438</v>
      </c>
      <c r="BX173" s="78">
        <v>6533.1437404598701</v>
      </c>
      <c r="BY173" s="78">
        <v>1.3759999999999999</v>
      </c>
      <c r="BZ173" s="78">
        <v>31158</v>
      </c>
      <c r="CA173" s="78">
        <v>5787</v>
      </c>
      <c r="CB173" s="78">
        <v>1071</v>
      </c>
      <c r="CC173" s="78">
        <v>1468</v>
      </c>
      <c r="CD173" s="78">
        <v>1114</v>
      </c>
      <c r="CE173" s="78">
        <v>515</v>
      </c>
      <c r="CF173" s="78">
        <v>647.17201249674599</v>
      </c>
      <c r="CG173" s="78">
        <v>375.43223118979398</v>
      </c>
      <c r="CH173" s="78">
        <v>126.294298359802</v>
      </c>
      <c r="CI173" s="78">
        <v>1300.8468</v>
      </c>
      <c r="CJ173" s="78">
        <v>754.63679999999999</v>
      </c>
      <c r="CK173" s="78">
        <v>253.85759999999999</v>
      </c>
      <c r="CL173" s="78">
        <v>69350</v>
      </c>
    </row>
    <row r="174" spans="1:90" x14ac:dyDescent="0.35">
      <c r="A174" s="72">
        <v>1598</v>
      </c>
      <c r="B174" s="72" t="s">
        <v>168</v>
      </c>
      <c r="C174" s="72">
        <v>7</v>
      </c>
      <c r="D174" s="78">
        <v>2222000000</v>
      </c>
      <c r="E174" s="78">
        <v>280000000</v>
      </c>
      <c r="F174" s="78">
        <v>317800000</v>
      </c>
      <c r="G174" s="78">
        <v>22940</v>
      </c>
      <c r="H174" s="78">
        <v>6</v>
      </c>
      <c r="I174" s="78">
        <f t="shared" si="8"/>
        <v>317.8</v>
      </c>
      <c r="J174" s="78">
        <v>4500</v>
      </c>
      <c r="K174" s="78">
        <v>4764</v>
      </c>
      <c r="L174" s="78">
        <v>1499</v>
      </c>
      <c r="M174" s="78">
        <v>2493</v>
      </c>
      <c r="N174" s="78">
        <f t="shared" si="9"/>
        <v>1529.1999999999998</v>
      </c>
      <c r="O174" s="78">
        <v>169.666666666667</v>
      </c>
      <c r="P174" s="78">
        <v>30</v>
      </c>
      <c r="Q174" s="78">
        <v>1114.6666666666699</v>
      </c>
      <c r="R174" s="78">
        <v>2632</v>
      </c>
      <c r="S174" s="78">
        <v>365</v>
      </c>
      <c r="T174" s="78">
        <v>0</v>
      </c>
      <c r="U174" s="78">
        <v>607</v>
      </c>
      <c r="V174" s="78">
        <v>9699</v>
      </c>
      <c r="W174" s="78">
        <v>15390</v>
      </c>
      <c r="X174" s="78">
        <v>1150</v>
      </c>
      <c r="Y174" s="78">
        <v>0</v>
      </c>
      <c r="Z174" s="78">
        <v>0</v>
      </c>
      <c r="AA174" s="78">
        <v>0</v>
      </c>
      <c r="AB174" s="399">
        <f>IF((J174-'[2]Basisgegevens aanvullend'!D174*1.1)&lt;=0,0,J174-'[2]Basisgegevens aanvullend'!D174*1.1)</f>
        <v>0</v>
      </c>
      <c r="AC174" s="399">
        <v>0</v>
      </c>
      <c r="AD174" s="78">
        <v>8037</v>
      </c>
      <c r="AE174" s="78">
        <v>10126.620000000001</v>
      </c>
      <c r="AF174" s="78">
        <v>292</v>
      </c>
      <c r="AG174" s="78">
        <v>79</v>
      </c>
      <c r="AH174" s="78">
        <v>131</v>
      </c>
      <c r="AI174" s="78">
        <v>60</v>
      </c>
      <c r="AJ174" s="78">
        <v>162.44</v>
      </c>
      <c r="AK174" s="78">
        <v>76.2</v>
      </c>
      <c r="AL174" s="78">
        <v>191</v>
      </c>
      <c r="AM174" s="78">
        <v>9638</v>
      </c>
      <c r="AN174" s="78">
        <v>11951.12</v>
      </c>
      <c r="AO174" s="78">
        <v>0</v>
      </c>
      <c r="AP174" s="78">
        <v>0</v>
      </c>
      <c r="AQ174" s="78">
        <v>0</v>
      </c>
      <c r="AR174" s="78">
        <v>0</v>
      </c>
      <c r="AS174" s="78">
        <v>0</v>
      </c>
      <c r="AT174" s="78">
        <v>0</v>
      </c>
      <c r="AU174" s="400">
        <v>1.7902700000000001E-4</v>
      </c>
      <c r="AV174" s="400">
        <v>5.9729999999999999E-5</v>
      </c>
      <c r="AW174" s="78">
        <v>4192.53</v>
      </c>
      <c r="AX174" s="78">
        <v>0</v>
      </c>
      <c r="AY174" s="78">
        <v>7460.46</v>
      </c>
      <c r="AZ174" s="78">
        <v>24885.754880537901</v>
      </c>
      <c r="BA174" s="78">
        <v>19</v>
      </c>
      <c r="BB174" s="78">
        <v>24.13</v>
      </c>
      <c r="BC174" s="78">
        <v>2994</v>
      </c>
      <c r="BD174" s="78">
        <v>1</v>
      </c>
      <c r="BE174" s="78">
        <v>0</v>
      </c>
      <c r="BF174" s="78">
        <v>0</v>
      </c>
      <c r="BG174" s="78">
        <v>0</v>
      </c>
      <c r="BH174" s="78">
        <v>0</v>
      </c>
      <c r="BI174" s="78">
        <v>0</v>
      </c>
      <c r="BJ174" s="78">
        <v>0</v>
      </c>
      <c r="BK174" s="78">
        <v>0</v>
      </c>
      <c r="BL174" s="78">
        <v>0</v>
      </c>
      <c r="BM174" s="78">
        <v>328.5</v>
      </c>
      <c r="BN174" s="78">
        <v>61</v>
      </c>
      <c r="BO174" s="78">
        <v>41</v>
      </c>
      <c r="BP174" s="78">
        <v>6680.39</v>
      </c>
      <c r="BQ174" s="78">
        <v>1736.64</v>
      </c>
      <c r="BR174" s="78">
        <v>59.558531198232998</v>
      </c>
      <c r="BS174" s="78">
        <v>261</v>
      </c>
      <c r="BT174" s="78">
        <v>56</v>
      </c>
      <c r="BU174" s="78">
        <v>34</v>
      </c>
      <c r="BV174" s="78">
        <f t="shared" si="10"/>
        <v>945.00000000000296</v>
      </c>
      <c r="BW174" s="78">
        <v>258</v>
      </c>
      <c r="BX174" s="78">
        <v>2357.7507934414698</v>
      </c>
      <c r="BY174" s="78">
        <v>0.114</v>
      </c>
      <c r="BZ174" s="78">
        <v>18176</v>
      </c>
      <c r="CA174" s="78">
        <v>2770</v>
      </c>
      <c r="CB174" s="78">
        <v>495</v>
      </c>
      <c r="CC174" s="78">
        <v>477</v>
      </c>
      <c r="CD174" s="78">
        <v>440</v>
      </c>
      <c r="CE174" s="78">
        <v>242</v>
      </c>
      <c r="CF174" s="78">
        <v>263.69894168914698</v>
      </c>
      <c r="CG174" s="78">
        <v>159.77426852043999</v>
      </c>
      <c r="CH174" s="78">
        <v>53.786968250674398</v>
      </c>
      <c r="CI174" s="78">
        <v>689.73</v>
      </c>
      <c r="CJ174" s="78">
        <v>417.90499999999997</v>
      </c>
      <c r="CK174" s="78">
        <v>140.685</v>
      </c>
      <c r="CL174" s="78">
        <v>5840</v>
      </c>
    </row>
    <row r="175" spans="1:90" x14ac:dyDescent="0.35">
      <c r="A175" s="72">
        <v>415</v>
      </c>
      <c r="B175" s="72" t="s">
        <v>174</v>
      </c>
      <c r="C175" s="72">
        <v>7</v>
      </c>
      <c r="D175" s="78">
        <v>1758000000</v>
      </c>
      <c r="E175" s="78">
        <v>89600000</v>
      </c>
      <c r="F175" s="78">
        <v>93800000</v>
      </c>
      <c r="G175" s="78">
        <v>11565</v>
      </c>
      <c r="H175" s="78">
        <v>1</v>
      </c>
      <c r="I175" s="78">
        <f t="shared" si="8"/>
        <v>93.8</v>
      </c>
      <c r="J175" s="78">
        <v>2398</v>
      </c>
      <c r="K175" s="78">
        <v>2539</v>
      </c>
      <c r="L175" s="78">
        <v>806</v>
      </c>
      <c r="M175" s="78">
        <v>1136</v>
      </c>
      <c r="N175" s="78">
        <f t="shared" si="9"/>
        <v>644.4</v>
      </c>
      <c r="O175" s="78">
        <v>120.333333333333</v>
      </c>
      <c r="P175" s="78">
        <v>3</v>
      </c>
      <c r="Q175" s="78">
        <v>517.33333333333303</v>
      </c>
      <c r="R175" s="78">
        <v>1390</v>
      </c>
      <c r="S175" s="78">
        <v>580</v>
      </c>
      <c r="T175" s="78">
        <v>0</v>
      </c>
      <c r="U175" s="78">
        <v>439</v>
      </c>
      <c r="V175" s="78">
        <v>4951</v>
      </c>
      <c r="W175" s="78">
        <v>5600</v>
      </c>
      <c r="X175" s="78">
        <v>320</v>
      </c>
      <c r="Y175" s="78">
        <v>0</v>
      </c>
      <c r="Z175" s="78">
        <v>0</v>
      </c>
      <c r="AA175" s="78">
        <v>0</v>
      </c>
      <c r="AB175" s="399">
        <f>IF((J175-'[2]Basisgegevens aanvullend'!D175*1.1)&lt;=0,0,J175-'[2]Basisgegevens aanvullend'!D175*1.1)</f>
        <v>123.19999999999982</v>
      </c>
      <c r="AC175" s="399">
        <v>0</v>
      </c>
      <c r="AD175" s="78">
        <v>2244</v>
      </c>
      <c r="AE175" s="78">
        <v>3029.4</v>
      </c>
      <c r="AF175" s="78">
        <v>406</v>
      </c>
      <c r="AG175" s="78">
        <v>0</v>
      </c>
      <c r="AH175" s="78">
        <v>51</v>
      </c>
      <c r="AI175" s="78">
        <v>8</v>
      </c>
      <c r="AJ175" s="78">
        <v>68.34</v>
      </c>
      <c r="AK175" s="78">
        <v>10.88</v>
      </c>
      <c r="AL175" s="78">
        <v>58</v>
      </c>
      <c r="AM175" s="78">
        <v>4916</v>
      </c>
      <c r="AN175" s="78">
        <v>6587.44</v>
      </c>
      <c r="AO175" s="78">
        <v>0</v>
      </c>
      <c r="AP175" s="78">
        <v>0</v>
      </c>
      <c r="AQ175" s="78">
        <v>0</v>
      </c>
      <c r="AR175" s="78">
        <v>0</v>
      </c>
      <c r="AS175" s="78">
        <v>0</v>
      </c>
      <c r="AT175" s="78">
        <v>0</v>
      </c>
      <c r="AU175" s="400">
        <v>6.2769999999999997E-5</v>
      </c>
      <c r="AV175" s="400">
        <v>6.5520999999999998E-5</v>
      </c>
      <c r="AW175" s="78">
        <v>5102.808</v>
      </c>
      <c r="AX175" s="78">
        <v>0</v>
      </c>
      <c r="AY175" s="78">
        <v>5749.65</v>
      </c>
      <c r="AZ175" s="78">
        <v>71565.311037735897</v>
      </c>
      <c r="BA175" s="78">
        <v>6</v>
      </c>
      <c r="BB175" s="78">
        <v>8.16</v>
      </c>
      <c r="BC175" s="78">
        <v>1805</v>
      </c>
      <c r="BD175" s="78">
        <v>1</v>
      </c>
      <c r="BE175" s="78">
        <v>0</v>
      </c>
      <c r="BF175" s="78">
        <v>0</v>
      </c>
      <c r="BG175" s="78">
        <v>0</v>
      </c>
      <c r="BH175" s="78">
        <v>0</v>
      </c>
      <c r="BI175" s="78">
        <v>0</v>
      </c>
      <c r="BJ175" s="78">
        <v>0</v>
      </c>
      <c r="BK175" s="78">
        <v>0</v>
      </c>
      <c r="BL175" s="78">
        <v>0</v>
      </c>
      <c r="BM175" s="78">
        <v>184.64599999999999</v>
      </c>
      <c r="BN175" s="78">
        <v>19</v>
      </c>
      <c r="BO175" s="78">
        <v>10</v>
      </c>
      <c r="BP175" s="78">
        <v>4249.95</v>
      </c>
      <c r="BQ175" s="78">
        <v>1155.8399999999999</v>
      </c>
      <c r="BR175" s="78">
        <v>40.357778994524601</v>
      </c>
      <c r="BS175" s="78">
        <v>169</v>
      </c>
      <c r="BT175" s="78">
        <v>40.6666666666667</v>
      </c>
      <c r="BU175" s="78">
        <v>27</v>
      </c>
      <c r="BV175" s="78">
        <f t="shared" si="10"/>
        <v>397</v>
      </c>
      <c r="BW175" s="78">
        <v>67</v>
      </c>
      <c r="BX175" s="78">
        <v>1533.8948046297101</v>
      </c>
      <c r="BY175" s="78">
        <v>8.4000000000000005E-2</v>
      </c>
      <c r="BZ175" s="78">
        <v>9026</v>
      </c>
      <c r="CA175" s="78">
        <v>1422</v>
      </c>
      <c r="CB175" s="78">
        <v>311</v>
      </c>
      <c r="CC175" s="78">
        <v>260</v>
      </c>
      <c r="CD175" s="78">
        <v>268</v>
      </c>
      <c r="CE175" s="78">
        <v>142</v>
      </c>
      <c r="CF175" s="78">
        <v>116.663140764849</v>
      </c>
      <c r="CG175" s="78">
        <v>74.192514239218895</v>
      </c>
      <c r="CH175" s="78">
        <v>29.2313262815297</v>
      </c>
      <c r="CI175" s="78">
        <v>260.94799999999998</v>
      </c>
      <c r="CJ175" s="78">
        <v>165.9512</v>
      </c>
      <c r="CK175" s="78">
        <v>65.383600000000001</v>
      </c>
      <c r="CL175" s="78">
        <v>3650</v>
      </c>
    </row>
    <row r="176" spans="1:90" x14ac:dyDescent="0.35">
      <c r="A176" s="72">
        <v>416</v>
      </c>
      <c r="B176" s="72" t="s">
        <v>175</v>
      </c>
      <c r="C176" s="72">
        <v>7</v>
      </c>
      <c r="D176" s="78">
        <v>2971200000</v>
      </c>
      <c r="E176" s="78">
        <v>296450000</v>
      </c>
      <c r="F176" s="78">
        <v>304500000</v>
      </c>
      <c r="G176" s="78">
        <v>28335</v>
      </c>
      <c r="H176" s="78">
        <v>2</v>
      </c>
      <c r="I176" s="78">
        <f t="shared" si="8"/>
        <v>304.5</v>
      </c>
      <c r="J176" s="78">
        <v>5704</v>
      </c>
      <c r="K176" s="78">
        <v>6066</v>
      </c>
      <c r="L176" s="78">
        <v>1813</v>
      </c>
      <c r="M176" s="78">
        <v>2974</v>
      </c>
      <c r="N176" s="78">
        <f t="shared" si="9"/>
        <v>1792.8</v>
      </c>
      <c r="O176" s="78">
        <v>288.66666666666703</v>
      </c>
      <c r="P176" s="78">
        <v>48</v>
      </c>
      <c r="Q176" s="78">
        <v>1631.6666666666699</v>
      </c>
      <c r="R176" s="78">
        <v>3300</v>
      </c>
      <c r="S176" s="78">
        <v>720</v>
      </c>
      <c r="T176" s="78">
        <v>0</v>
      </c>
      <c r="U176" s="78">
        <v>852</v>
      </c>
      <c r="V176" s="78">
        <v>12073</v>
      </c>
      <c r="W176" s="78">
        <v>28540</v>
      </c>
      <c r="X176" s="78">
        <v>14940</v>
      </c>
      <c r="Y176" s="78">
        <v>0</v>
      </c>
      <c r="Z176" s="78">
        <v>360</v>
      </c>
      <c r="AA176" s="78">
        <v>0</v>
      </c>
      <c r="AB176" s="399">
        <f>IF((J176-'[2]Basisgegevens aanvullend'!D176*1.1)&lt;=0,0,J176-'[2]Basisgegevens aanvullend'!D176*1.1)</f>
        <v>0</v>
      </c>
      <c r="AC176" s="399">
        <v>0</v>
      </c>
      <c r="AD176" s="78">
        <v>2359</v>
      </c>
      <c r="AE176" s="78">
        <v>2359</v>
      </c>
      <c r="AF176" s="78">
        <v>344</v>
      </c>
      <c r="AG176" s="78">
        <v>0</v>
      </c>
      <c r="AH176" s="78">
        <v>155</v>
      </c>
      <c r="AI176" s="78">
        <v>12</v>
      </c>
      <c r="AJ176" s="78">
        <v>155</v>
      </c>
      <c r="AK176" s="78">
        <v>12</v>
      </c>
      <c r="AL176" s="78">
        <v>167</v>
      </c>
      <c r="AM176" s="78">
        <v>11812</v>
      </c>
      <c r="AN176" s="78">
        <v>11812</v>
      </c>
      <c r="AO176" s="78">
        <v>0</v>
      </c>
      <c r="AP176" s="78">
        <v>0</v>
      </c>
      <c r="AQ176" s="78">
        <v>0</v>
      </c>
      <c r="AR176" s="78">
        <v>0</v>
      </c>
      <c r="AS176" s="78">
        <v>1101</v>
      </c>
      <c r="AT176" s="78">
        <v>0</v>
      </c>
      <c r="AU176" s="400">
        <v>2.5177899999999999E-4</v>
      </c>
      <c r="AV176" s="400">
        <v>9.4746000000000004E-5</v>
      </c>
      <c r="AW176" s="78">
        <v>11174.152</v>
      </c>
      <c r="AX176" s="78">
        <v>0</v>
      </c>
      <c r="AY176" s="78">
        <v>3414</v>
      </c>
      <c r="AZ176" s="78">
        <v>35788.268590455002</v>
      </c>
      <c r="BA176" s="78">
        <v>7</v>
      </c>
      <c r="BB176" s="78">
        <v>7</v>
      </c>
      <c r="BC176" s="78">
        <v>3275</v>
      </c>
      <c r="BD176" s="78">
        <v>1</v>
      </c>
      <c r="BE176" s="78">
        <v>0</v>
      </c>
      <c r="BF176" s="78">
        <v>0</v>
      </c>
      <c r="BG176" s="78">
        <v>0</v>
      </c>
      <c r="BH176" s="78">
        <v>0</v>
      </c>
      <c r="BI176" s="78">
        <v>0</v>
      </c>
      <c r="BJ176" s="78">
        <v>0</v>
      </c>
      <c r="BK176" s="78">
        <v>0</v>
      </c>
      <c r="BL176" s="78">
        <v>0</v>
      </c>
      <c r="BM176" s="78">
        <v>541.88</v>
      </c>
      <c r="BN176" s="78">
        <v>89</v>
      </c>
      <c r="BO176" s="78">
        <v>58</v>
      </c>
      <c r="BP176" s="78">
        <v>8630.06</v>
      </c>
      <c r="BQ176" s="78">
        <v>2182.4699999999998</v>
      </c>
      <c r="BR176" s="78">
        <v>209.891027262813</v>
      </c>
      <c r="BS176" s="78">
        <v>356</v>
      </c>
      <c r="BT176" s="78">
        <v>99</v>
      </c>
      <c r="BU176" s="78">
        <v>81.6666666666667</v>
      </c>
      <c r="BV176" s="78">
        <f t="shared" si="10"/>
        <v>1343.000000000003</v>
      </c>
      <c r="BW176" s="78">
        <v>346</v>
      </c>
      <c r="BX176" s="78">
        <v>3655.63052231651</v>
      </c>
      <c r="BY176" s="78">
        <v>0.23599999999999999</v>
      </c>
      <c r="BZ176" s="78">
        <v>22269</v>
      </c>
      <c r="CA176" s="78">
        <v>3712</v>
      </c>
      <c r="CB176" s="78">
        <v>541</v>
      </c>
      <c r="CC176" s="78">
        <v>647</v>
      </c>
      <c r="CD176" s="78">
        <v>489</v>
      </c>
      <c r="CE176" s="78">
        <v>273</v>
      </c>
      <c r="CF176" s="78">
        <v>342.56261429055201</v>
      </c>
      <c r="CG176" s="78">
        <v>187.74920419911999</v>
      </c>
      <c r="CH176" s="78">
        <v>57.523806298679297</v>
      </c>
      <c r="CI176" s="78">
        <v>903.92849999999999</v>
      </c>
      <c r="CJ176" s="78">
        <v>495.41849999999999</v>
      </c>
      <c r="CK176" s="78">
        <v>151.7895</v>
      </c>
      <c r="CL176" s="78">
        <v>0</v>
      </c>
    </row>
    <row r="177" spans="1:90" x14ac:dyDescent="0.35">
      <c r="A177" s="72">
        <v>417</v>
      </c>
      <c r="B177" s="72" t="s">
        <v>177</v>
      </c>
      <c r="C177" s="72">
        <v>7</v>
      </c>
      <c r="D177" s="78">
        <v>3116800000</v>
      </c>
      <c r="E177" s="78">
        <v>182700000</v>
      </c>
      <c r="F177" s="78">
        <v>191450000</v>
      </c>
      <c r="G177" s="78">
        <v>11398</v>
      </c>
      <c r="H177" s="78">
        <v>1</v>
      </c>
      <c r="I177" s="78">
        <f t="shared" si="8"/>
        <v>191.45</v>
      </c>
      <c r="J177" s="78">
        <v>2226</v>
      </c>
      <c r="K177" s="78">
        <v>3543</v>
      </c>
      <c r="L177" s="78">
        <v>1276</v>
      </c>
      <c r="M177" s="78">
        <v>1349</v>
      </c>
      <c r="N177" s="78">
        <f t="shared" si="9"/>
        <v>775.8</v>
      </c>
      <c r="O177" s="78">
        <v>108</v>
      </c>
      <c r="P177" s="78">
        <v>5</v>
      </c>
      <c r="Q177" s="78">
        <v>422</v>
      </c>
      <c r="R177" s="78">
        <v>1892</v>
      </c>
      <c r="S177" s="78">
        <v>270</v>
      </c>
      <c r="T177" s="78">
        <v>0</v>
      </c>
      <c r="U177" s="78">
        <v>360</v>
      </c>
      <c r="V177" s="78">
        <v>5506</v>
      </c>
      <c r="W177" s="78">
        <v>8890</v>
      </c>
      <c r="X177" s="78">
        <v>1330</v>
      </c>
      <c r="Y177" s="78">
        <v>0</v>
      </c>
      <c r="Z177" s="78">
        <v>1190.4000000000001</v>
      </c>
      <c r="AA177" s="78">
        <v>0</v>
      </c>
      <c r="AB177" s="399">
        <f>IF((J177-'[2]Basisgegevens aanvullend'!D177*1.1)&lt;=0,0,J177-'[2]Basisgegevens aanvullend'!D177*1.1)</f>
        <v>0</v>
      </c>
      <c r="AC177" s="399">
        <v>0</v>
      </c>
      <c r="AD177" s="78">
        <v>1239</v>
      </c>
      <c r="AE177" s="78">
        <v>1239</v>
      </c>
      <c r="AF177" s="78">
        <v>2</v>
      </c>
      <c r="AG177" s="78">
        <v>0</v>
      </c>
      <c r="AH177" s="78">
        <v>73</v>
      </c>
      <c r="AI177" s="78">
        <v>2</v>
      </c>
      <c r="AJ177" s="78">
        <v>73</v>
      </c>
      <c r="AK177" s="78">
        <v>2</v>
      </c>
      <c r="AL177" s="78">
        <v>75</v>
      </c>
      <c r="AM177" s="78">
        <v>5732</v>
      </c>
      <c r="AN177" s="78">
        <v>5732</v>
      </c>
      <c r="AO177" s="78">
        <v>0</v>
      </c>
      <c r="AP177" s="78">
        <v>0</v>
      </c>
      <c r="AQ177" s="78">
        <v>0</v>
      </c>
      <c r="AR177" s="78">
        <v>0</v>
      </c>
      <c r="AS177" s="78">
        <v>1634</v>
      </c>
      <c r="AT177" s="78">
        <v>0</v>
      </c>
      <c r="AU177" s="400">
        <v>2.7848400000000001E-4</v>
      </c>
      <c r="AV177" s="400">
        <v>8.7148E-5</v>
      </c>
      <c r="AW177" s="78">
        <v>6328.1279999999997</v>
      </c>
      <c r="AX177" s="78">
        <v>0</v>
      </c>
      <c r="AY177" s="78">
        <v>69</v>
      </c>
      <c r="AZ177" s="78">
        <v>633.73247381144199</v>
      </c>
      <c r="BA177" s="78">
        <v>1</v>
      </c>
      <c r="BB177" s="78">
        <v>1</v>
      </c>
      <c r="BC177" s="78">
        <v>2462</v>
      </c>
      <c r="BD177" s="78">
        <v>1</v>
      </c>
      <c r="BE177" s="78">
        <v>0</v>
      </c>
      <c r="BF177" s="78">
        <v>0</v>
      </c>
      <c r="BG177" s="78">
        <v>0</v>
      </c>
      <c r="BH177" s="78">
        <v>0</v>
      </c>
      <c r="BI177" s="78">
        <v>0</v>
      </c>
      <c r="BJ177" s="78">
        <v>0</v>
      </c>
      <c r="BK177" s="78">
        <v>0</v>
      </c>
      <c r="BL177" s="78">
        <v>0</v>
      </c>
      <c r="BM177" s="78">
        <v>233.73</v>
      </c>
      <c r="BN177" s="78">
        <v>10</v>
      </c>
      <c r="BO177" s="78">
        <v>17</v>
      </c>
      <c r="BP177" s="78">
        <v>4922.75</v>
      </c>
      <c r="BQ177" s="78">
        <v>1161.0899999999999</v>
      </c>
      <c r="BR177" s="78">
        <v>35.851402597402597</v>
      </c>
      <c r="BS177" s="78">
        <v>160</v>
      </c>
      <c r="BT177" s="78">
        <v>33.3333333333333</v>
      </c>
      <c r="BU177" s="78">
        <v>25</v>
      </c>
      <c r="BV177" s="78">
        <f t="shared" si="10"/>
        <v>314</v>
      </c>
      <c r="BW177" s="78">
        <v>79</v>
      </c>
      <c r="BX177" s="78">
        <v>1783.8678368794299</v>
      </c>
      <c r="BY177" s="78">
        <v>7.1999999999999995E-2</v>
      </c>
      <c r="BZ177" s="78">
        <v>7855</v>
      </c>
      <c r="CA177" s="78">
        <v>1610</v>
      </c>
      <c r="CB177" s="78">
        <v>657</v>
      </c>
      <c r="CC177" s="78">
        <v>414</v>
      </c>
      <c r="CD177" s="78">
        <v>440</v>
      </c>
      <c r="CE177" s="78">
        <v>265</v>
      </c>
      <c r="CF177" s="78">
        <v>137.91699232379599</v>
      </c>
      <c r="CG177" s="78">
        <v>113.55481507327301</v>
      </c>
      <c r="CH177" s="78">
        <v>51.025226796929502</v>
      </c>
      <c r="CI177" s="78">
        <v>92.627099999999999</v>
      </c>
      <c r="CJ177" s="78">
        <v>76.265100000000004</v>
      </c>
      <c r="CK177" s="78">
        <v>34.269300000000001</v>
      </c>
      <c r="CL177" s="78">
        <v>39925</v>
      </c>
    </row>
    <row r="178" spans="1:90" x14ac:dyDescent="0.35">
      <c r="A178" s="72">
        <v>420</v>
      </c>
      <c r="B178" s="72" t="s">
        <v>196</v>
      </c>
      <c r="C178" s="72">
        <v>7</v>
      </c>
      <c r="D178" s="78">
        <v>4344800000</v>
      </c>
      <c r="E178" s="78">
        <v>701750000</v>
      </c>
      <c r="F178" s="78">
        <v>746550000</v>
      </c>
      <c r="G178" s="78">
        <v>45165</v>
      </c>
      <c r="H178" s="78">
        <v>6</v>
      </c>
      <c r="I178" s="78">
        <f t="shared" si="8"/>
        <v>746.55</v>
      </c>
      <c r="J178" s="78">
        <v>8801</v>
      </c>
      <c r="K178" s="78">
        <v>9813</v>
      </c>
      <c r="L178" s="78">
        <v>2990</v>
      </c>
      <c r="M178" s="78">
        <v>5620</v>
      </c>
      <c r="N178" s="78">
        <f t="shared" si="9"/>
        <v>3597</v>
      </c>
      <c r="O178" s="78">
        <v>464</v>
      </c>
      <c r="P178" s="78">
        <v>82</v>
      </c>
      <c r="Q178" s="78">
        <v>2950</v>
      </c>
      <c r="R178" s="78">
        <v>5906</v>
      </c>
      <c r="S178" s="78">
        <v>1225</v>
      </c>
      <c r="T178" s="78">
        <v>0</v>
      </c>
      <c r="U178" s="78">
        <v>1262</v>
      </c>
      <c r="V178" s="78">
        <v>19923</v>
      </c>
      <c r="W178" s="78">
        <v>40100</v>
      </c>
      <c r="X178" s="78">
        <v>13000</v>
      </c>
      <c r="Y178" s="78">
        <v>0</v>
      </c>
      <c r="Z178" s="78">
        <v>298.39999999999998</v>
      </c>
      <c r="AA178" s="78">
        <v>0</v>
      </c>
      <c r="AB178" s="399">
        <f>IF((J178-'[2]Basisgegevens aanvullend'!D178*1.1)&lt;=0,0,J178-'[2]Basisgegevens aanvullend'!D178*1.1)</f>
        <v>0</v>
      </c>
      <c r="AC178" s="399">
        <v>7.7999999999999501</v>
      </c>
      <c r="AD178" s="78">
        <v>12105</v>
      </c>
      <c r="AE178" s="78">
        <v>15494.4</v>
      </c>
      <c r="AF178" s="78">
        <v>612</v>
      </c>
      <c r="AG178" s="78">
        <v>10000</v>
      </c>
      <c r="AH178" s="78">
        <v>302</v>
      </c>
      <c r="AI178" s="78">
        <v>100</v>
      </c>
      <c r="AJ178" s="78">
        <v>380.52</v>
      </c>
      <c r="AK178" s="78">
        <v>129</v>
      </c>
      <c r="AL178" s="78">
        <v>402</v>
      </c>
      <c r="AM178" s="78">
        <v>20230</v>
      </c>
      <c r="AN178" s="78">
        <v>25489.8</v>
      </c>
      <c r="AO178" s="78">
        <v>31</v>
      </c>
      <c r="AP178" s="78">
        <v>0</v>
      </c>
      <c r="AQ178" s="78">
        <v>0</v>
      </c>
      <c r="AR178" s="78">
        <v>5950</v>
      </c>
      <c r="AS178" s="78">
        <v>1776</v>
      </c>
      <c r="AT178" s="78">
        <v>803</v>
      </c>
      <c r="AU178" s="400">
        <v>5.9836899999999996E-4</v>
      </c>
      <c r="AV178" s="400">
        <v>1.58083E-4</v>
      </c>
      <c r="AW178" s="78">
        <v>10600.52</v>
      </c>
      <c r="AX178" s="78">
        <v>0</v>
      </c>
      <c r="AY178" s="78">
        <v>10910.72</v>
      </c>
      <c r="AZ178" s="78">
        <v>55497.297287096</v>
      </c>
      <c r="BA178" s="78">
        <v>20</v>
      </c>
      <c r="BB178" s="78">
        <v>25.8</v>
      </c>
      <c r="BC178" s="78">
        <v>5914</v>
      </c>
      <c r="BD178" s="78">
        <v>1</v>
      </c>
      <c r="BE178" s="78">
        <v>0</v>
      </c>
      <c r="BF178" s="78">
        <v>0</v>
      </c>
      <c r="BG178" s="78">
        <v>0</v>
      </c>
      <c r="BH178" s="78">
        <v>0</v>
      </c>
      <c r="BI178" s="78">
        <v>0</v>
      </c>
      <c r="BJ178" s="78">
        <v>0</v>
      </c>
      <c r="BK178" s="78">
        <v>0</v>
      </c>
      <c r="BL178" s="78">
        <v>0</v>
      </c>
      <c r="BM178" s="78">
        <v>800.89099999999996</v>
      </c>
      <c r="BN178" s="78">
        <v>139</v>
      </c>
      <c r="BO178" s="78">
        <v>98</v>
      </c>
      <c r="BP178" s="78">
        <v>12854.62</v>
      </c>
      <c r="BQ178" s="78">
        <v>3117.84</v>
      </c>
      <c r="BR178" s="78">
        <v>288.012094555874</v>
      </c>
      <c r="BS178" s="78">
        <v>516</v>
      </c>
      <c r="BT178" s="78">
        <v>158</v>
      </c>
      <c r="BU178" s="78">
        <v>131.666666666667</v>
      </c>
      <c r="BV178" s="78">
        <f t="shared" si="10"/>
        <v>2486</v>
      </c>
      <c r="BW178" s="78">
        <v>787</v>
      </c>
      <c r="BX178" s="78">
        <v>5612.83353362453</v>
      </c>
      <c r="BY178" s="78">
        <v>0.65600000000000003</v>
      </c>
      <c r="BZ178" s="78">
        <v>35352</v>
      </c>
      <c r="CA178" s="78">
        <v>5947</v>
      </c>
      <c r="CB178" s="78">
        <v>876</v>
      </c>
      <c r="CC178" s="78">
        <v>1109</v>
      </c>
      <c r="CD178" s="78">
        <v>902</v>
      </c>
      <c r="CE178" s="78">
        <v>382</v>
      </c>
      <c r="CF178" s="78">
        <v>651.30059317844803</v>
      </c>
      <c r="CG178" s="78">
        <v>364.67854671280298</v>
      </c>
      <c r="CH178" s="78">
        <v>100.815570934256</v>
      </c>
      <c r="CI178" s="78">
        <v>1674.3572999999999</v>
      </c>
      <c r="CJ178" s="78">
        <v>937.51210000000003</v>
      </c>
      <c r="CK178" s="78">
        <v>259.17570000000001</v>
      </c>
      <c r="CL178" s="78">
        <v>94170</v>
      </c>
    </row>
    <row r="179" spans="1:90" x14ac:dyDescent="0.35">
      <c r="A179" s="72">
        <v>431</v>
      </c>
      <c r="B179" s="72" t="s">
        <v>235</v>
      </c>
      <c r="C179" s="72">
        <v>7</v>
      </c>
      <c r="D179" s="78">
        <v>1277200000</v>
      </c>
      <c r="E179" s="78">
        <v>120050000</v>
      </c>
      <c r="F179" s="78">
        <v>123200000</v>
      </c>
      <c r="G179" s="78">
        <v>9689</v>
      </c>
      <c r="H179" s="78">
        <v>1</v>
      </c>
      <c r="I179" s="78">
        <f t="shared" si="8"/>
        <v>123.2</v>
      </c>
      <c r="J179" s="78">
        <v>1859</v>
      </c>
      <c r="K179" s="78">
        <v>2044</v>
      </c>
      <c r="L179" s="78">
        <v>693</v>
      </c>
      <c r="M179" s="78">
        <v>1054</v>
      </c>
      <c r="N179" s="78">
        <f t="shared" si="9"/>
        <v>642.70000000000005</v>
      </c>
      <c r="O179" s="78">
        <v>96.6666666666667</v>
      </c>
      <c r="P179" s="78">
        <v>0</v>
      </c>
      <c r="Q179" s="78">
        <v>464.66666666666703</v>
      </c>
      <c r="R179" s="78">
        <v>1125</v>
      </c>
      <c r="S179" s="78">
        <v>390</v>
      </c>
      <c r="T179" s="78">
        <v>0</v>
      </c>
      <c r="U179" s="78">
        <v>311</v>
      </c>
      <c r="V179" s="78">
        <v>4143</v>
      </c>
      <c r="W179" s="78">
        <v>4690</v>
      </c>
      <c r="X179" s="78">
        <v>260</v>
      </c>
      <c r="Y179" s="78">
        <v>0</v>
      </c>
      <c r="Z179" s="78">
        <v>0</v>
      </c>
      <c r="AA179" s="78">
        <v>0</v>
      </c>
      <c r="AB179" s="399">
        <f>IF((J179-'[2]Basisgegevens aanvullend'!D179*1.1)&lt;=0,0,J179-'[2]Basisgegevens aanvullend'!D179*1.1)</f>
        <v>0</v>
      </c>
      <c r="AC179" s="399">
        <v>0</v>
      </c>
      <c r="AD179" s="78">
        <v>1156</v>
      </c>
      <c r="AE179" s="78">
        <v>1456.56</v>
      </c>
      <c r="AF179" s="78">
        <v>452</v>
      </c>
      <c r="AG179" s="78">
        <v>0</v>
      </c>
      <c r="AH179" s="78">
        <v>45</v>
      </c>
      <c r="AI179" s="78">
        <v>4</v>
      </c>
      <c r="AJ179" s="78">
        <v>60.75</v>
      </c>
      <c r="AK179" s="78">
        <v>4.84</v>
      </c>
      <c r="AL179" s="78">
        <v>49</v>
      </c>
      <c r="AM179" s="78">
        <v>4113</v>
      </c>
      <c r="AN179" s="78">
        <v>5552.55</v>
      </c>
      <c r="AO179" s="78">
        <v>0</v>
      </c>
      <c r="AP179" s="78">
        <v>0</v>
      </c>
      <c r="AQ179" s="78">
        <v>0</v>
      </c>
      <c r="AR179" s="78">
        <v>0</v>
      </c>
      <c r="AS179" s="78">
        <v>797</v>
      </c>
      <c r="AT179" s="78">
        <v>0</v>
      </c>
      <c r="AU179" s="400">
        <v>1.07664E-4</v>
      </c>
      <c r="AV179" s="400">
        <v>6.1731999999999998E-5</v>
      </c>
      <c r="AW179" s="78">
        <v>4359.78</v>
      </c>
      <c r="AX179" s="78">
        <v>0</v>
      </c>
      <c r="AY179" s="78">
        <v>4764.0600000000004</v>
      </c>
      <c r="AZ179" s="78">
        <v>73742.328246268706</v>
      </c>
      <c r="BA179" s="78">
        <v>4</v>
      </c>
      <c r="BB179" s="78">
        <v>4.84</v>
      </c>
      <c r="BC179" s="78">
        <v>1221</v>
      </c>
      <c r="BD179" s="78">
        <v>1</v>
      </c>
      <c r="BE179" s="78">
        <v>0</v>
      </c>
      <c r="BF179" s="78">
        <v>0</v>
      </c>
      <c r="BG179" s="78">
        <v>0</v>
      </c>
      <c r="BH179" s="78">
        <v>0</v>
      </c>
      <c r="BI179" s="78">
        <v>0</v>
      </c>
      <c r="BJ179" s="78">
        <v>0</v>
      </c>
      <c r="BK179" s="78">
        <v>0</v>
      </c>
      <c r="BL179" s="78">
        <v>0</v>
      </c>
      <c r="BM179" s="78">
        <v>126.41200000000001</v>
      </c>
      <c r="BN179" s="78">
        <v>28</v>
      </c>
      <c r="BO179" s="78">
        <v>13</v>
      </c>
      <c r="BP179" s="78">
        <v>3206.61</v>
      </c>
      <c r="BQ179" s="78">
        <v>904</v>
      </c>
      <c r="BR179" s="78">
        <v>43.342341107871697</v>
      </c>
      <c r="BS179" s="78">
        <v>119</v>
      </c>
      <c r="BT179" s="78">
        <v>37.6666666666667</v>
      </c>
      <c r="BU179" s="78">
        <v>26.3333333333333</v>
      </c>
      <c r="BV179" s="78">
        <f t="shared" si="10"/>
        <v>368.00000000000034</v>
      </c>
      <c r="BW179" s="78">
        <v>53</v>
      </c>
      <c r="BX179" s="78">
        <v>1294.6534360554699</v>
      </c>
      <c r="BY179" s="78">
        <v>0.15</v>
      </c>
      <c r="BZ179" s="78">
        <v>7645</v>
      </c>
      <c r="CA179" s="78">
        <v>1106</v>
      </c>
      <c r="CB179" s="78">
        <v>245</v>
      </c>
      <c r="CC179" s="78">
        <v>215</v>
      </c>
      <c r="CD179" s="78">
        <v>229</v>
      </c>
      <c r="CE179" s="78">
        <v>117</v>
      </c>
      <c r="CF179" s="78">
        <v>105.31966934111399</v>
      </c>
      <c r="CG179" s="78">
        <v>77.817797228300506</v>
      </c>
      <c r="CH179" s="78">
        <v>27.033090201799201</v>
      </c>
      <c r="CI179" s="78">
        <v>235.9</v>
      </c>
      <c r="CJ179" s="78">
        <v>174.3</v>
      </c>
      <c r="CK179" s="78">
        <v>60.55</v>
      </c>
      <c r="CL179" s="78">
        <v>0</v>
      </c>
    </row>
    <row r="180" spans="1:90" x14ac:dyDescent="0.35">
      <c r="A180" s="72">
        <v>432</v>
      </c>
      <c r="B180" s="72" t="s">
        <v>236</v>
      </c>
      <c r="C180" s="72">
        <v>7</v>
      </c>
      <c r="D180" s="78">
        <v>1137200000</v>
      </c>
      <c r="E180" s="78">
        <v>163800000</v>
      </c>
      <c r="F180" s="78">
        <v>180950000</v>
      </c>
      <c r="G180" s="78">
        <v>12009</v>
      </c>
      <c r="H180" s="78">
        <v>1</v>
      </c>
      <c r="I180" s="78">
        <f t="shared" si="8"/>
        <v>180.95</v>
      </c>
      <c r="J180" s="78">
        <v>2268</v>
      </c>
      <c r="K180" s="78">
        <v>2615</v>
      </c>
      <c r="L180" s="78">
        <v>864</v>
      </c>
      <c r="M180" s="78">
        <v>1447</v>
      </c>
      <c r="N180" s="78">
        <f t="shared" si="9"/>
        <v>933.19999999999993</v>
      </c>
      <c r="O180" s="78">
        <v>71</v>
      </c>
      <c r="P180" s="78">
        <v>18</v>
      </c>
      <c r="Q180" s="78">
        <v>581</v>
      </c>
      <c r="R180" s="78">
        <v>1590</v>
      </c>
      <c r="S180" s="78">
        <v>170</v>
      </c>
      <c r="T180" s="78">
        <v>0</v>
      </c>
      <c r="U180" s="78">
        <v>294</v>
      </c>
      <c r="V180" s="78">
        <v>5212</v>
      </c>
      <c r="W180" s="78">
        <v>10850</v>
      </c>
      <c r="X180" s="78">
        <v>2070</v>
      </c>
      <c r="Y180" s="78">
        <v>0</v>
      </c>
      <c r="Z180" s="78">
        <v>0</v>
      </c>
      <c r="AA180" s="78">
        <v>0</v>
      </c>
      <c r="AB180" s="399">
        <f>IF((J180-'[2]Basisgegevens aanvullend'!D180*1.1)&lt;=0,0,J180-'[2]Basisgegevens aanvullend'!D180*1.1)</f>
        <v>0</v>
      </c>
      <c r="AC180" s="399">
        <v>0</v>
      </c>
      <c r="AD180" s="78">
        <v>4147</v>
      </c>
      <c r="AE180" s="78">
        <v>4893.46</v>
      </c>
      <c r="AF180" s="78">
        <v>47</v>
      </c>
      <c r="AG180" s="78">
        <v>0</v>
      </c>
      <c r="AH180" s="78">
        <v>79</v>
      </c>
      <c r="AI180" s="78">
        <v>31</v>
      </c>
      <c r="AJ180" s="78">
        <v>88.48</v>
      </c>
      <c r="AK180" s="78">
        <v>36.89</v>
      </c>
      <c r="AL180" s="78">
        <v>110</v>
      </c>
      <c r="AM180" s="78">
        <v>5138</v>
      </c>
      <c r="AN180" s="78">
        <v>5754.56</v>
      </c>
      <c r="AO180" s="78">
        <v>0</v>
      </c>
      <c r="AP180" s="78">
        <v>0</v>
      </c>
      <c r="AQ180" s="78">
        <v>0</v>
      </c>
      <c r="AR180" s="78">
        <v>0</v>
      </c>
      <c r="AS180" s="78">
        <v>0</v>
      </c>
      <c r="AT180" s="78">
        <v>0</v>
      </c>
      <c r="AU180" s="400">
        <v>1.06526E-4</v>
      </c>
      <c r="AV180" s="400">
        <v>3.7902999999999999E-5</v>
      </c>
      <c r="AW180" s="78">
        <v>2748.83</v>
      </c>
      <c r="AX180" s="78">
        <v>0</v>
      </c>
      <c r="AY180" s="78">
        <v>1885.64</v>
      </c>
      <c r="AZ180" s="78">
        <v>5399.2967954220303</v>
      </c>
      <c r="BA180" s="78">
        <v>6</v>
      </c>
      <c r="BB180" s="78">
        <v>7.14</v>
      </c>
      <c r="BC180" s="78">
        <v>1605</v>
      </c>
      <c r="BD180" s="78">
        <v>1</v>
      </c>
      <c r="BE180" s="78">
        <v>0</v>
      </c>
      <c r="BF180" s="78">
        <v>0</v>
      </c>
      <c r="BG180" s="78">
        <v>0</v>
      </c>
      <c r="BH180" s="78">
        <v>0</v>
      </c>
      <c r="BI180" s="78">
        <v>0</v>
      </c>
      <c r="BJ180" s="78">
        <v>0</v>
      </c>
      <c r="BK180" s="78">
        <v>0</v>
      </c>
      <c r="BL180" s="78">
        <v>0</v>
      </c>
      <c r="BM180" s="78">
        <v>151.95599999999999</v>
      </c>
      <c r="BN180" s="78">
        <v>34</v>
      </c>
      <c r="BO180" s="78">
        <v>14</v>
      </c>
      <c r="BP180" s="78">
        <v>3571.4</v>
      </c>
      <c r="BQ180" s="78">
        <v>875.7</v>
      </c>
      <c r="BR180" s="78">
        <v>43.190181818181799</v>
      </c>
      <c r="BS180" s="78">
        <v>121</v>
      </c>
      <c r="BT180" s="78">
        <v>25.3333333333333</v>
      </c>
      <c r="BU180" s="78">
        <v>19.3333333333333</v>
      </c>
      <c r="BV180" s="78">
        <f t="shared" si="10"/>
        <v>510</v>
      </c>
      <c r="BW180" s="78">
        <v>124</v>
      </c>
      <c r="BX180" s="78">
        <v>1326.79360594796</v>
      </c>
      <c r="BY180" s="78">
        <v>0.06</v>
      </c>
      <c r="BZ180" s="78">
        <v>9394</v>
      </c>
      <c r="CA180" s="78">
        <v>1516</v>
      </c>
      <c r="CB180" s="78">
        <v>235</v>
      </c>
      <c r="CC180" s="78">
        <v>236</v>
      </c>
      <c r="CD180" s="78">
        <v>279</v>
      </c>
      <c r="CE180" s="78">
        <v>126</v>
      </c>
      <c r="CF180" s="78">
        <v>162.737874659401</v>
      </c>
      <c r="CG180" s="78">
        <v>111.700661736084</v>
      </c>
      <c r="CH180" s="78">
        <v>30.694978590891399</v>
      </c>
      <c r="CI180" s="78">
        <v>385.19040000000001</v>
      </c>
      <c r="CJ180" s="78">
        <v>264.38850000000002</v>
      </c>
      <c r="CK180" s="78">
        <v>72.653099999999995</v>
      </c>
      <c r="CL180" s="78">
        <v>0</v>
      </c>
    </row>
    <row r="181" spans="1:90" x14ac:dyDescent="0.35">
      <c r="A181" s="72">
        <v>437</v>
      </c>
      <c r="B181" s="72" t="s">
        <v>240</v>
      </c>
      <c r="C181" s="72">
        <v>7</v>
      </c>
      <c r="D181" s="78">
        <v>2348000000</v>
      </c>
      <c r="E181" s="78">
        <v>506100000</v>
      </c>
      <c r="F181" s="78">
        <v>523950000</v>
      </c>
      <c r="G181" s="78">
        <v>14125</v>
      </c>
      <c r="H181" s="78">
        <v>2</v>
      </c>
      <c r="I181" s="78">
        <f t="shared" si="8"/>
        <v>523.95000000000005</v>
      </c>
      <c r="J181" s="78">
        <v>2844</v>
      </c>
      <c r="K181" s="78">
        <v>2983</v>
      </c>
      <c r="L181" s="78">
        <v>914</v>
      </c>
      <c r="M181" s="78">
        <v>1617</v>
      </c>
      <c r="N181" s="78">
        <f t="shared" si="9"/>
        <v>981.59999999999991</v>
      </c>
      <c r="O181" s="78">
        <v>168.333333333333</v>
      </c>
      <c r="P181" s="78">
        <v>13</v>
      </c>
      <c r="Q181" s="78">
        <v>596.33333333333303</v>
      </c>
      <c r="R181" s="78">
        <v>2309</v>
      </c>
      <c r="S181" s="78">
        <v>1125</v>
      </c>
      <c r="T181" s="78">
        <v>0</v>
      </c>
      <c r="U181" s="78">
        <v>539</v>
      </c>
      <c r="V181" s="78">
        <v>6499</v>
      </c>
      <c r="W181" s="78">
        <v>6960</v>
      </c>
      <c r="X181" s="78">
        <v>350</v>
      </c>
      <c r="Y181" s="78">
        <v>287.18</v>
      </c>
      <c r="Z181" s="78">
        <v>51.2</v>
      </c>
      <c r="AA181" s="78">
        <v>0</v>
      </c>
      <c r="AB181" s="399">
        <f>IF((J181-'[2]Basisgegevens aanvullend'!D181*1.1)&lt;=0,0,J181-'[2]Basisgegevens aanvullend'!D181*1.1)</f>
        <v>0</v>
      </c>
      <c r="AC181" s="399">
        <v>64</v>
      </c>
      <c r="AD181" s="78">
        <v>2399</v>
      </c>
      <c r="AE181" s="78">
        <v>3358.6</v>
      </c>
      <c r="AF181" s="78">
        <v>179</v>
      </c>
      <c r="AG181" s="78">
        <v>0</v>
      </c>
      <c r="AH181" s="78">
        <v>84</v>
      </c>
      <c r="AI181" s="78">
        <v>16</v>
      </c>
      <c r="AJ181" s="78">
        <v>116.76</v>
      </c>
      <c r="AK181" s="78">
        <v>22.56</v>
      </c>
      <c r="AL181" s="78">
        <v>99</v>
      </c>
      <c r="AM181" s="78">
        <v>6354</v>
      </c>
      <c r="AN181" s="78">
        <v>8832.06</v>
      </c>
      <c r="AO181" s="78">
        <v>0</v>
      </c>
      <c r="AP181" s="78">
        <v>0</v>
      </c>
      <c r="AQ181" s="78">
        <v>0</v>
      </c>
      <c r="AR181" s="78">
        <v>0</v>
      </c>
      <c r="AS181" s="78">
        <v>0</v>
      </c>
      <c r="AT181" s="78">
        <v>0</v>
      </c>
      <c r="AU181" s="400">
        <v>1.39801E-4</v>
      </c>
      <c r="AV181" s="400">
        <v>2.3588999999999999E-4</v>
      </c>
      <c r="AW181" s="78">
        <v>8387.2800000000007</v>
      </c>
      <c r="AX181" s="78">
        <v>0</v>
      </c>
      <c r="AY181" s="78">
        <v>2436</v>
      </c>
      <c r="AZ181" s="78">
        <v>35730.003878975898</v>
      </c>
      <c r="BA181" s="78">
        <v>3</v>
      </c>
      <c r="BB181" s="78">
        <v>4.2300000000000004</v>
      </c>
      <c r="BC181" s="78">
        <v>2794</v>
      </c>
      <c r="BD181" s="78">
        <v>1</v>
      </c>
      <c r="BE181" s="78">
        <v>0</v>
      </c>
      <c r="BF181" s="78">
        <v>0</v>
      </c>
      <c r="BG181" s="78">
        <v>0</v>
      </c>
      <c r="BH181" s="78">
        <v>0</v>
      </c>
      <c r="BI181" s="78">
        <v>0</v>
      </c>
      <c r="BJ181" s="78">
        <v>0</v>
      </c>
      <c r="BK181" s="78">
        <v>0</v>
      </c>
      <c r="BL181" s="78">
        <v>0</v>
      </c>
      <c r="BM181" s="78">
        <v>227.52</v>
      </c>
      <c r="BN181" s="78">
        <v>8</v>
      </c>
      <c r="BO181" s="78">
        <v>17</v>
      </c>
      <c r="BP181" s="78">
        <v>5800.34</v>
      </c>
      <c r="BQ181" s="78">
        <v>1551.36</v>
      </c>
      <c r="BR181" s="78">
        <v>66.204978518193798</v>
      </c>
      <c r="BS181" s="78">
        <v>213</v>
      </c>
      <c r="BT181" s="78">
        <v>47.3333333333333</v>
      </c>
      <c r="BU181" s="78">
        <v>47</v>
      </c>
      <c r="BV181" s="78">
        <f t="shared" si="10"/>
        <v>428</v>
      </c>
      <c r="BW181" s="78">
        <v>118</v>
      </c>
      <c r="BX181" s="78">
        <v>1804.52766291174</v>
      </c>
      <c r="BY181" s="78">
        <v>0.20499999999999999</v>
      </c>
      <c r="BZ181" s="78">
        <v>11142</v>
      </c>
      <c r="CA181" s="78">
        <v>1711</v>
      </c>
      <c r="CB181" s="78">
        <v>358</v>
      </c>
      <c r="CC181" s="78">
        <v>450</v>
      </c>
      <c r="CD181" s="78">
        <v>341</v>
      </c>
      <c r="CE181" s="78">
        <v>216</v>
      </c>
      <c r="CF181" s="78">
        <v>173.17809254013201</v>
      </c>
      <c r="CG181" s="78">
        <v>103.196222851747</v>
      </c>
      <c r="CH181" s="78">
        <v>44.491784702549602</v>
      </c>
      <c r="CI181" s="78">
        <v>286.6397</v>
      </c>
      <c r="CJ181" s="78">
        <v>170.80760000000001</v>
      </c>
      <c r="CK181" s="78">
        <v>73.641599999999997</v>
      </c>
      <c r="CL181" s="78">
        <v>2392</v>
      </c>
    </row>
    <row r="182" spans="1:90" x14ac:dyDescent="0.35">
      <c r="A182" s="72">
        <v>439</v>
      </c>
      <c r="B182" s="72" t="s">
        <v>247</v>
      </c>
      <c r="C182" s="72">
        <v>7</v>
      </c>
      <c r="D182" s="78">
        <v>8405200000</v>
      </c>
      <c r="E182" s="78">
        <v>911050000</v>
      </c>
      <c r="F182" s="78">
        <v>944650000</v>
      </c>
      <c r="G182" s="78">
        <v>81683</v>
      </c>
      <c r="H182" s="78">
        <v>1</v>
      </c>
      <c r="I182" s="78">
        <f t="shared" si="8"/>
        <v>944.65</v>
      </c>
      <c r="J182" s="78">
        <v>14653</v>
      </c>
      <c r="K182" s="78">
        <v>16725</v>
      </c>
      <c r="L182" s="78">
        <v>5331</v>
      </c>
      <c r="M182" s="78">
        <v>11409</v>
      </c>
      <c r="N182" s="78">
        <f t="shared" si="9"/>
        <v>7673.9</v>
      </c>
      <c r="O182" s="78">
        <v>1485.3333333333301</v>
      </c>
      <c r="P182" s="78">
        <v>55</v>
      </c>
      <c r="Q182" s="78">
        <v>7011.3333333333303</v>
      </c>
      <c r="R182" s="78">
        <v>12834</v>
      </c>
      <c r="S182" s="78">
        <v>8175</v>
      </c>
      <c r="T182" s="78">
        <v>0</v>
      </c>
      <c r="U182" s="78">
        <v>3661</v>
      </c>
      <c r="V182" s="78">
        <v>38093</v>
      </c>
      <c r="W182" s="78">
        <v>87810</v>
      </c>
      <c r="X182" s="78">
        <v>72930</v>
      </c>
      <c r="Y182" s="78">
        <v>2421.96</v>
      </c>
      <c r="Z182" s="78">
        <v>3235.2</v>
      </c>
      <c r="AA182" s="78">
        <v>0</v>
      </c>
      <c r="AB182" s="399">
        <f>IF((J182-'[2]Basisgegevens aanvullend'!D182*1.1)&lt;=0,0,J182-'[2]Basisgegevens aanvullend'!D182*1.1)</f>
        <v>0</v>
      </c>
      <c r="AC182" s="399">
        <v>0</v>
      </c>
      <c r="AD182" s="78">
        <v>2288</v>
      </c>
      <c r="AE182" s="78">
        <v>2837.12</v>
      </c>
      <c r="AF182" s="78">
        <v>168</v>
      </c>
      <c r="AG182" s="78">
        <v>0</v>
      </c>
      <c r="AH182" s="78">
        <v>291</v>
      </c>
      <c r="AI182" s="78">
        <v>7</v>
      </c>
      <c r="AJ182" s="78">
        <v>366.66</v>
      </c>
      <c r="AK182" s="78">
        <v>8.4</v>
      </c>
      <c r="AL182" s="78">
        <v>298</v>
      </c>
      <c r="AM182" s="78">
        <v>37351</v>
      </c>
      <c r="AN182" s="78">
        <v>47062.26</v>
      </c>
      <c r="AO182" s="78">
        <v>15</v>
      </c>
      <c r="AP182" s="78">
        <v>0</v>
      </c>
      <c r="AQ182" s="78">
        <v>0</v>
      </c>
      <c r="AR182" s="78">
        <v>2250</v>
      </c>
      <c r="AS182" s="78">
        <v>1496</v>
      </c>
      <c r="AT182" s="78">
        <v>1496</v>
      </c>
      <c r="AU182" s="400">
        <v>3.3461500000000002E-4</v>
      </c>
      <c r="AV182" s="400">
        <v>1.6098709999999999E-3</v>
      </c>
      <c r="AW182" s="78">
        <v>84151.803</v>
      </c>
      <c r="AX182" s="78">
        <v>0</v>
      </c>
      <c r="AY182" s="78">
        <v>3600.96</v>
      </c>
      <c r="AZ182" s="78">
        <v>225256.17143322501</v>
      </c>
      <c r="BA182" s="78">
        <v>2</v>
      </c>
      <c r="BB182" s="78">
        <v>2.4</v>
      </c>
      <c r="BC182" s="78">
        <v>7830</v>
      </c>
      <c r="BD182" s="78">
        <v>1</v>
      </c>
      <c r="BE182" s="78">
        <v>0</v>
      </c>
      <c r="BF182" s="78">
        <v>0</v>
      </c>
      <c r="BG182" s="78">
        <v>0</v>
      </c>
      <c r="BH182" s="78">
        <v>0</v>
      </c>
      <c r="BI182" s="78">
        <v>0</v>
      </c>
      <c r="BJ182" s="78">
        <v>0</v>
      </c>
      <c r="BK182" s="78">
        <v>0</v>
      </c>
      <c r="BL182" s="78">
        <v>0</v>
      </c>
      <c r="BM182" s="78">
        <v>1860.931</v>
      </c>
      <c r="BN182" s="78">
        <v>163</v>
      </c>
      <c r="BO182" s="78">
        <v>174</v>
      </c>
      <c r="BP182" s="78">
        <v>23629.439999999999</v>
      </c>
      <c r="BQ182" s="78">
        <v>5610.78</v>
      </c>
      <c r="BR182" s="78">
        <v>423.09644288458702</v>
      </c>
      <c r="BS182" s="78">
        <v>1393</v>
      </c>
      <c r="BT182" s="78">
        <v>445</v>
      </c>
      <c r="BU182" s="78">
        <v>418</v>
      </c>
      <c r="BV182" s="78">
        <f t="shared" si="10"/>
        <v>5526</v>
      </c>
      <c r="BW182" s="78">
        <v>1452</v>
      </c>
      <c r="BX182" s="78">
        <v>14842.9840854657</v>
      </c>
      <c r="BY182" s="78">
        <v>3.25</v>
      </c>
      <c r="BZ182" s="78">
        <v>64958</v>
      </c>
      <c r="CA182" s="78">
        <v>9365</v>
      </c>
      <c r="CB182" s="78">
        <v>2029</v>
      </c>
      <c r="CC182" s="78">
        <v>2288</v>
      </c>
      <c r="CD182" s="78">
        <v>1964</v>
      </c>
      <c r="CE182" s="78">
        <v>1130</v>
      </c>
      <c r="CF182" s="78">
        <v>1236.00927418275</v>
      </c>
      <c r="CG182" s="78">
        <v>784.01120184198601</v>
      </c>
      <c r="CH182" s="78">
        <v>313.11139193060399</v>
      </c>
      <c r="CI182" s="78">
        <v>2847.3728000000001</v>
      </c>
      <c r="CJ182" s="78">
        <v>1806.1128000000001</v>
      </c>
      <c r="CK182" s="78">
        <v>721.30920000000003</v>
      </c>
      <c r="CL182" s="78">
        <v>218738</v>
      </c>
    </row>
    <row r="183" spans="1:90" x14ac:dyDescent="0.35">
      <c r="A183" s="72">
        <v>441</v>
      </c>
      <c r="B183" s="72" t="s">
        <v>265</v>
      </c>
      <c r="C183" s="72">
        <v>7</v>
      </c>
      <c r="D183" s="78">
        <v>4685200000</v>
      </c>
      <c r="E183" s="78">
        <v>579600000</v>
      </c>
      <c r="F183" s="78">
        <v>631050000</v>
      </c>
      <c r="G183" s="78">
        <v>46532</v>
      </c>
      <c r="H183" s="78">
        <v>9</v>
      </c>
      <c r="I183" s="78">
        <f t="shared" si="8"/>
        <v>631.04999999999995</v>
      </c>
      <c r="J183" s="78">
        <v>8521</v>
      </c>
      <c r="K183" s="78">
        <v>11605</v>
      </c>
      <c r="L183" s="78">
        <v>3806</v>
      </c>
      <c r="M183" s="78">
        <v>5809</v>
      </c>
      <c r="N183" s="78">
        <f t="shared" si="9"/>
        <v>3378.7999999999997</v>
      </c>
      <c r="O183" s="78">
        <v>509</v>
      </c>
      <c r="P183" s="78">
        <v>24</v>
      </c>
      <c r="Q183" s="78">
        <v>2897</v>
      </c>
      <c r="R183" s="78">
        <v>6913</v>
      </c>
      <c r="S183" s="78">
        <v>755</v>
      </c>
      <c r="T183" s="78">
        <v>0</v>
      </c>
      <c r="U183" s="78">
        <v>1380</v>
      </c>
      <c r="V183" s="78">
        <v>21185</v>
      </c>
      <c r="W183" s="78">
        <v>41130</v>
      </c>
      <c r="X183" s="78">
        <v>13940</v>
      </c>
      <c r="Y183" s="78">
        <v>1311.48</v>
      </c>
      <c r="Z183" s="78">
        <v>2392</v>
      </c>
      <c r="AA183" s="78">
        <v>0</v>
      </c>
      <c r="AB183" s="399">
        <f>IF((J183-'[2]Basisgegevens aanvullend'!D183*1.1)&lt;=0,0,J183-'[2]Basisgegevens aanvullend'!D183*1.1)</f>
        <v>0</v>
      </c>
      <c r="AC183" s="399">
        <v>0</v>
      </c>
      <c r="AD183" s="78">
        <v>16773</v>
      </c>
      <c r="AE183" s="78">
        <v>20295.330000000002</v>
      </c>
      <c r="AF183" s="78">
        <v>410</v>
      </c>
      <c r="AG183" s="78">
        <v>1546</v>
      </c>
      <c r="AH183" s="78">
        <v>290</v>
      </c>
      <c r="AI183" s="78">
        <v>142</v>
      </c>
      <c r="AJ183" s="78">
        <v>345.1</v>
      </c>
      <c r="AK183" s="78">
        <v>173.24</v>
      </c>
      <c r="AL183" s="78">
        <v>432</v>
      </c>
      <c r="AM183" s="78">
        <v>24302</v>
      </c>
      <c r="AN183" s="78">
        <v>28919.38</v>
      </c>
      <c r="AO183" s="78">
        <v>6</v>
      </c>
      <c r="AP183" s="78">
        <v>0</v>
      </c>
      <c r="AQ183" s="78">
        <v>0</v>
      </c>
      <c r="AR183" s="78">
        <v>0</v>
      </c>
      <c r="AS183" s="78">
        <v>845</v>
      </c>
      <c r="AT183" s="78">
        <v>845</v>
      </c>
      <c r="AU183" s="400">
        <v>4.6075899999999998E-4</v>
      </c>
      <c r="AV183" s="400">
        <v>1.8069700000000001E-4</v>
      </c>
      <c r="AW183" s="78">
        <v>18080.687999999998</v>
      </c>
      <c r="AX183" s="78">
        <v>0</v>
      </c>
      <c r="AY183" s="78">
        <v>7574.6</v>
      </c>
      <c r="AZ183" s="78">
        <v>33271.720472560097</v>
      </c>
      <c r="BA183" s="78">
        <v>23</v>
      </c>
      <c r="BB183" s="78">
        <v>28.06</v>
      </c>
      <c r="BC183" s="78">
        <v>5916</v>
      </c>
      <c r="BD183" s="78">
        <v>1</v>
      </c>
      <c r="BE183" s="78">
        <v>0</v>
      </c>
      <c r="BF183" s="78">
        <v>0</v>
      </c>
      <c r="BG183" s="78">
        <v>0</v>
      </c>
      <c r="BH183" s="78">
        <v>0</v>
      </c>
      <c r="BI183" s="78">
        <v>0</v>
      </c>
      <c r="BJ183" s="78">
        <v>0</v>
      </c>
      <c r="BK183" s="78">
        <v>0</v>
      </c>
      <c r="BL183" s="78">
        <v>0</v>
      </c>
      <c r="BM183" s="78">
        <v>707.24300000000005</v>
      </c>
      <c r="BN183" s="78">
        <v>80</v>
      </c>
      <c r="BO183" s="78">
        <v>44</v>
      </c>
      <c r="BP183" s="78">
        <v>14015.48</v>
      </c>
      <c r="BQ183" s="78">
        <v>3090.78</v>
      </c>
      <c r="BR183" s="78">
        <v>171.75780558353699</v>
      </c>
      <c r="BS183" s="78">
        <v>556</v>
      </c>
      <c r="BT183" s="78">
        <v>141.666666666667</v>
      </c>
      <c r="BU183" s="78">
        <v>115.666666666667</v>
      </c>
      <c r="BV183" s="78">
        <f t="shared" si="10"/>
        <v>2388</v>
      </c>
      <c r="BW183" s="78">
        <v>713</v>
      </c>
      <c r="BX183" s="78">
        <v>7013.4254088591497</v>
      </c>
      <c r="BY183" s="78">
        <v>0.80700000000000005</v>
      </c>
      <c r="BZ183" s="78">
        <v>34927</v>
      </c>
      <c r="CA183" s="78">
        <v>6637</v>
      </c>
      <c r="CB183" s="78">
        <v>1162</v>
      </c>
      <c r="CC183" s="78">
        <v>1402</v>
      </c>
      <c r="CD183" s="78">
        <v>1249</v>
      </c>
      <c r="CE183" s="78">
        <v>588</v>
      </c>
      <c r="CF183" s="78">
        <v>570.45578141716703</v>
      </c>
      <c r="CG183" s="78">
        <v>376.22552876306497</v>
      </c>
      <c r="CH183" s="78">
        <v>120.12522426137799</v>
      </c>
      <c r="CI183" s="78">
        <v>1811.0642</v>
      </c>
      <c r="CJ183" s="78">
        <v>1194.4284</v>
      </c>
      <c r="CK183" s="78">
        <v>381.36959999999999</v>
      </c>
      <c r="CL183" s="78">
        <v>55934</v>
      </c>
    </row>
    <row r="184" spans="1:90" x14ac:dyDescent="0.35">
      <c r="A184" s="72">
        <v>532</v>
      </c>
      <c r="B184" s="72" t="s">
        <v>284</v>
      </c>
      <c r="C184" s="72">
        <v>7</v>
      </c>
      <c r="D184" s="78">
        <v>1901600000</v>
      </c>
      <c r="E184" s="78">
        <v>175350000</v>
      </c>
      <c r="F184" s="78">
        <v>186550000</v>
      </c>
      <c r="G184" s="78">
        <v>21743</v>
      </c>
      <c r="H184" s="78">
        <v>1</v>
      </c>
      <c r="I184" s="78">
        <f t="shared" si="8"/>
        <v>186.55</v>
      </c>
      <c r="J184" s="78">
        <v>4292</v>
      </c>
      <c r="K184" s="78">
        <v>4848</v>
      </c>
      <c r="L184" s="78">
        <v>1621</v>
      </c>
      <c r="M184" s="78">
        <v>2593</v>
      </c>
      <c r="N184" s="78">
        <f t="shared" si="9"/>
        <v>1663.9</v>
      </c>
      <c r="O184" s="78">
        <v>234</v>
      </c>
      <c r="P184" s="78">
        <v>29</v>
      </c>
      <c r="Q184" s="78">
        <v>1501</v>
      </c>
      <c r="R184" s="78">
        <v>2678</v>
      </c>
      <c r="S184" s="78">
        <v>550</v>
      </c>
      <c r="T184" s="78">
        <v>0</v>
      </c>
      <c r="U184" s="78">
        <v>648</v>
      </c>
      <c r="V184" s="78">
        <v>9446</v>
      </c>
      <c r="W184" s="78">
        <v>23550</v>
      </c>
      <c r="X184" s="78">
        <v>13730</v>
      </c>
      <c r="Y184" s="78">
        <v>910.8</v>
      </c>
      <c r="Z184" s="78">
        <v>1371.2</v>
      </c>
      <c r="AA184" s="78">
        <v>0</v>
      </c>
      <c r="AB184" s="399">
        <f>IF((J184-'[2]Basisgegevens aanvullend'!D184*1.1)&lt;=0,0,J184-'[2]Basisgegevens aanvullend'!D184*1.1)</f>
        <v>0</v>
      </c>
      <c r="AC184" s="399">
        <v>0</v>
      </c>
      <c r="AD184" s="78">
        <v>1443</v>
      </c>
      <c r="AE184" s="78">
        <v>1746.03</v>
      </c>
      <c r="AF184" s="78">
        <v>114</v>
      </c>
      <c r="AG184" s="78">
        <v>80</v>
      </c>
      <c r="AH184" s="78">
        <v>110</v>
      </c>
      <c r="AI184" s="78">
        <v>19</v>
      </c>
      <c r="AJ184" s="78">
        <v>130.9</v>
      </c>
      <c r="AK184" s="78">
        <v>23.37</v>
      </c>
      <c r="AL184" s="78">
        <v>129</v>
      </c>
      <c r="AM184" s="78">
        <v>9291</v>
      </c>
      <c r="AN184" s="78">
        <v>11056.29</v>
      </c>
      <c r="AO184" s="78">
        <v>0</v>
      </c>
      <c r="AP184" s="78">
        <v>0</v>
      </c>
      <c r="AQ184" s="78">
        <v>0</v>
      </c>
      <c r="AR184" s="78">
        <v>0</v>
      </c>
      <c r="AS184" s="78">
        <v>1132</v>
      </c>
      <c r="AT184" s="78">
        <v>0</v>
      </c>
      <c r="AU184" s="400">
        <v>1.57169E-4</v>
      </c>
      <c r="AV184" s="400">
        <v>8.1997999999999997E-5</v>
      </c>
      <c r="AW184" s="78">
        <v>10638.195</v>
      </c>
      <c r="AX184" s="78">
        <v>0</v>
      </c>
      <c r="AY184" s="78">
        <v>2390.96</v>
      </c>
      <c r="AZ184" s="78">
        <v>33726.926062941602</v>
      </c>
      <c r="BA184" s="78">
        <v>1</v>
      </c>
      <c r="BB184" s="78">
        <v>1.23</v>
      </c>
      <c r="BC184" s="78">
        <v>1871</v>
      </c>
      <c r="BD184" s="78">
        <v>1</v>
      </c>
      <c r="BE184" s="78">
        <v>0</v>
      </c>
      <c r="BF184" s="78">
        <v>0</v>
      </c>
      <c r="BG184" s="78">
        <v>0</v>
      </c>
      <c r="BH184" s="78">
        <v>0</v>
      </c>
      <c r="BI184" s="78">
        <v>0</v>
      </c>
      <c r="BJ184" s="78">
        <v>0</v>
      </c>
      <c r="BK184" s="78">
        <v>0</v>
      </c>
      <c r="BL184" s="78">
        <v>0</v>
      </c>
      <c r="BM184" s="78">
        <v>450.66</v>
      </c>
      <c r="BN184" s="78">
        <v>81</v>
      </c>
      <c r="BO184" s="78">
        <v>36</v>
      </c>
      <c r="BP184" s="78">
        <v>5902.08</v>
      </c>
      <c r="BQ184" s="78">
        <v>1465.06</v>
      </c>
      <c r="BR184" s="78">
        <v>134.84179149679699</v>
      </c>
      <c r="BS184" s="78">
        <v>255</v>
      </c>
      <c r="BT184" s="78">
        <v>91.3333333333333</v>
      </c>
      <c r="BU184" s="78">
        <v>72.3333333333333</v>
      </c>
      <c r="BV184" s="78">
        <f t="shared" si="10"/>
        <v>1267</v>
      </c>
      <c r="BW184" s="78">
        <v>366</v>
      </c>
      <c r="BX184" s="78">
        <v>3005.2296713615001</v>
      </c>
      <c r="BY184" s="78">
        <v>0.42799999999999999</v>
      </c>
      <c r="BZ184" s="78">
        <v>16895</v>
      </c>
      <c r="CA184" s="78">
        <v>2891</v>
      </c>
      <c r="CB184" s="78">
        <v>336</v>
      </c>
      <c r="CC184" s="78">
        <v>507</v>
      </c>
      <c r="CD184" s="78">
        <v>462</v>
      </c>
      <c r="CE184" s="78">
        <v>162</v>
      </c>
      <c r="CF184" s="78">
        <v>308.56739855774401</v>
      </c>
      <c r="CG184" s="78">
        <v>200.93593800452001</v>
      </c>
      <c r="CH184" s="78">
        <v>41.727338284361203</v>
      </c>
      <c r="CI184" s="78">
        <v>829.96910000000003</v>
      </c>
      <c r="CJ184" s="78">
        <v>540.4674</v>
      </c>
      <c r="CK184" s="78">
        <v>112.23609999999999</v>
      </c>
      <c r="CL184" s="78">
        <v>25137</v>
      </c>
    </row>
    <row r="185" spans="1:90" x14ac:dyDescent="0.35">
      <c r="A185" s="72">
        <v>448</v>
      </c>
      <c r="B185" s="72" t="s">
        <v>292</v>
      </c>
      <c r="C185" s="72">
        <v>7</v>
      </c>
      <c r="D185" s="78">
        <v>2412800000</v>
      </c>
      <c r="E185" s="78">
        <v>438900000</v>
      </c>
      <c r="F185" s="78">
        <v>475300000</v>
      </c>
      <c r="G185" s="78">
        <v>13656</v>
      </c>
      <c r="H185" s="78">
        <v>5</v>
      </c>
      <c r="I185" s="78">
        <f t="shared" si="8"/>
        <v>475.3</v>
      </c>
      <c r="J185" s="78">
        <v>2172</v>
      </c>
      <c r="K185" s="78">
        <v>3600</v>
      </c>
      <c r="L185" s="78">
        <v>1133</v>
      </c>
      <c r="M185" s="78">
        <v>2104</v>
      </c>
      <c r="N185" s="78">
        <f t="shared" si="9"/>
        <v>1003.3999999999999</v>
      </c>
      <c r="O185" s="78">
        <v>110</v>
      </c>
      <c r="P185" s="78">
        <v>8</v>
      </c>
      <c r="Q185" s="78">
        <v>923</v>
      </c>
      <c r="R185" s="78">
        <v>2494</v>
      </c>
      <c r="S185" s="78">
        <v>160</v>
      </c>
      <c r="T185" s="78">
        <v>0</v>
      </c>
      <c r="U185" s="78">
        <v>383</v>
      </c>
      <c r="V185" s="78">
        <v>6799</v>
      </c>
      <c r="W185" s="78">
        <v>12620</v>
      </c>
      <c r="X185" s="78">
        <v>6490</v>
      </c>
      <c r="Y185" s="78">
        <v>51.48</v>
      </c>
      <c r="Z185" s="78">
        <v>512</v>
      </c>
      <c r="AA185" s="78">
        <v>0</v>
      </c>
      <c r="AB185" s="399">
        <f>IF((J185-'[2]Basisgegevens aanvullend'!D185*1.1)&lt;=0,0,J185-'[2]Basisgegevens aanvullend'!D185*1.1)</f>
        <v>0</v>
      </c>
      <c r="AC185" s="399">
        <v>0</v>
      </c>
      <c r="AD185" s="78">
        <v>16202</v>
      </c>
      <c r="AE185" s="78">
        <v>16364.02</v>
      </c>
      <c r="AF185" s="78">
        <v>288</v>
      </c>
      <c r="AG185" s="78">
        <v>10000</v>
      </c>
      <c r="AH185" s="78">
        <v>118</v>
      </c>
      <c r="AI185" s="78">
        <v>60</v>
      </c>
      <c r="AJ185" s="78">
        <v>118</v>
      </c>
      <c r="AK185" s="78">
        <v>60.6</v>
      </c>
      <c r="AL185" s="78">
        <v>178</v>
      </c>
      <c r="AM185" s="78">
        <v>11006</v>
      </c>
      <c r="AN185" s="78">
        <v>11006</v>
      </c>
      <c r="AO185" s="78">
        <v>0</v>
      </c>
      <c r="AP185" s="78">
        <v>0</v>
      </c>
      <c r="AQ185" s="78">
        <v>0</v>
      </c>
      <c r="AR185" s="78">
        <v>0</v>
      </c>
      <c r="AS185" s="78">
        <v>636</v>
      </c>
      <c r="AT185" s="78">
        <v>0</v>
      </c>
      <c r="AU185" s="400">
        <v>4.0226500000000001E-4</v>
      </c>
      <c r="AV185" s="400">
        <v>9.2826999999999997E-5</v>
      </c>
      <c r="AW185" s="78">
        <v>5315.8980000000001</v>
      </c>
      <c r="AX185" s="78">
        <v>0</v>
      </c>
      <c r="AY185" s="78">
        <v>3444.1</v>
      </c>
      <c r="AZ185" s="78">
        <v>2852.19100060643</v>
      </c>
      <c r="BA185" s="78">
        <v>22</v>
      </c>
      <c r="BB185" s="78">
        <v>22.22</v>
      </c>
      <c r="BC185" s="78">
        <v>2479</v>
      </c>
      <c r="BD185" s="78">
        <v>1</v>
      </c>
      <c r="BE185" s="78">
        <v>0</v>
      </c>
      <c r="BF185" s="78">
        <v>0</v>
      </c>
      <c r="BG185" s="78">
        <v>0</v>
      </c>
      <c r="BH185" s="78">
        <v>0</v>
      </c>
      <c r="BI185" s="78">
        <v>1</v>
      </c>
      <c r="BJ185" s="78">
        <v>2500</v>
      </c>
      <c r="BK185" s="78">
        <v>5000</v>
      </c>
      <c r="BL185" s="78">
        <v>6156</v>
      </c>
      <c r="BM185" s="78">
        <v>238.92</v>
      </c>
      <c r="BN185" s="78">
        <v>37</v>
      </c>
      <c r="BO185" s="78">
        <v>26</v>
      </c>
      <c r="BP185" s="78">
        <v>4027.52</v>
      </c>
      <c r="BQ185" s="78">
        <v>747.72</v>
      </c>
      <c r="BR185" s="78">
        <v>48.874784140969197</v>
      </c>
      <c r="BS185" s="78">
        <v>134</v>
      </c>
      <c r="BT185" s="78">
        <v>35</v>
      </c>
      <c r="BU185" s="78">
        <v>23.3333333333333</v>
      </c>
      <c r="BV185" s="78">
        <f t="shared" si="10"/>
        <v>813</v>
      </c>
      <c r="BW185" s="78">
        <v>206</v>
      </c>
      <c r="BX185" s="78">
        <v>2114.5423204419899</v>
      </c>
      <c r="BY185" s="78">
        <v>0.193</v>
      </c>
      <c r="BZ185" s="78">
        <v>10056</v>
      </c>
      <c r="CA185" s="78">
        <v>2115</v>
      </c>
      <c r="CB185" s="78">
        <v>352</v>
      </c>
      <c r="CC185" s="78">
        <v>500</v>
      </c>
      <c r="CD185" s="78">
        <v>356</v>
      </c>
      <c r="CE185" s="78">
        <v>157</v>
      </c>
      <c r="CF185" s="78">
        <v>121.162874795566</v>
      </c>
      <c r="CG185" s="78">
        <v>72.387752135198994</v>
      </c>
      <c r="CH185" s="78">
        <v>20.330565146283799</v>
      </c>
      <c r="CI185" s="78">
        <v>657.05759999999998</v>
      </c>
      <c r="CJ185" s="78">
        <v>392.55360000000002</v>
      </c>
      <c r="CK185" s="78">
        <v>110.2512</v>
      </c>
      <c r="CL185" s="78">
        <v>10729</v>
      </c>
    </row>
    <row r="186" spans="1:90" x14ac:dyDescent="0.35">
      <c r="A186" s="72">
        <v>450</v>
      </c>
      <c r="B186" s="72" t="s">
        <v>302</v>
      </c>
      <c r="C186" s="72">
        <v>7</v>
      </c>
      <c r="D186" s="78">
        <v>1535600000</v>
      </c>
      <c r="E186" s="78">
        <v>108850000</v>
      </c>
      <c r="F186" s="78">
        <v>114100000</v>
      </c>
      <c r="G186" s="78">
        <v>13632</v>
      </c>
      <c r="H186" s="78">
        <v>1</v>
      </c>
      <c r="I186" s="78">
        <f t="shared" si="8"/>
        <v>114.1</v>
      </c>
      <c r="J186" s="78">
        <v>2736</v>
      </c>
      <c r="K186" s="78">
        <v>2524</v>
      </c>
      <c r="L186" s="78">
        <v>789</v>
      </c>
      <c r="M186" s="78">
        <v>1251</v>
      </c>
      <c r="N186" s="78">
        <f t="shared" si="9"/>
        <v>662.9</v>
      </c>
      <c r="O186" s="78">
        <v>151</v>
      </c>
      <c r="P186" s="78">
        <v>4</v>
      </c>
      <c r="Q186" s="78">
        <v>663</v>
      </c>
      <c r="R186" s="78">
        <v>1610</v>
      </c>
      <c r="S186" s="78">
        <v>315</v>
      </c>
      <c r="T186" s="78">
        <v>0</v>
      </c>
      <c r="U186" s="78">
        <v>417</v>
      </c>
      <c r="V186" s="78">
        <v>5762</v>
      </c>
      <c r="W186" s="78">
        <v>10590</v>
      </c>
      <c r="X186" s="78">
        <v>1740</v>
      </c>
      <c r="Y186" s="78">
        <v>0</v>
      </c>
      <c r="Z186" s="78">
        <v>0</v>
      </c>
      <c r="AA186" s="78">
        <v>0</v>
      </c>
      <c r="AB186" s="399">
        <f>IF((J186-'[2]Basisgegevens aanvullend'!D186*1.1)&lt;=0,0,J186-'[2]Basisgegevens aanvullend'!D186*1.1)</f>
        <v>0</v>
      </c>
      <c r="AC186" s="399">
        <v>0</v>
      </c>
      <c r="AD186" s="78">
        <v>1914</v>
      </c>
      <c r="AE186" s="78">
        <v>2296.8000000000002</v>
      </c>
      <c r="AF186" s="78">
        <v>315</v>
      </c>
      <c r="AG186" s="78">
        <v>0</v>
      </c>
      <c r="AH186" s="78">
        <v>64</v>
      </c>
      <c r="AI186" s="78">
        <v>9</v>
      </c>
      <c r="AJ186" s="78">
        <v>67.84</v>
      </c>
      <c r="AK186" s="78">
        <v>11.16</v>
      </c>
      <c r="AL186" s="78">
        <v>73</v>
      </c>
      <c r="AM186" s="78">
        <v>5881</v>
      </c>
      <c r="AN186" s="78">
        <v>6233.86</v>
      </c>
      <c r="AO186" s="78">
        <v>0</v>
      </c>
      <c r="AP186" s="78">
        <v>0</v>
      </c>
      <c r="AQ186" s="78">
        <v>0</v>
      </c>
      <c r="AR186" s="78">
        <v>0</v>
      </c>
      <c r="AS186" s="78">
        <v>841</v>
      </c>
      <c r="AT186" s="78">
        <v>0</v>
      </c>
      <c r="AU186" s="400">
        <v>7.6898999999999997E-5</v>
      </c>
      <c r="AV186" s="400">
        <v>5.6538E-5</v>
      </c>
      <c r="AW186" s="78">
        <v>6498.5050000000001</v>
      </c>
      <c r="AX186" s="78">
        <v>0</v>
      </c>
      <c r="AY186" s="78">
        <v>1807.2</v>
      </c>
      <c r="AZ186" s="78">
        <v>23352.368236877501</v>
      </c>
      <c r="BA186" s="78">
        <v>1</v>
      </c>
      <c r="BB186" s="78">
        <v>1.24</v>
      </c>
      <c r="BC186" s="78">
        <v>1518</v>
      </c>
      <c r="BD186" s="78">
        <v>1</v>
      </c>
      <c r="BE186" s="78">
        <v>0</v>
      </c>
      <c r="BF186" s="78">
        <v>0</v>
      </c>
      <c r="BG186" s="78">
        <v>0</v>
      </c>
      <c r="BH186" s="78">
        <v>0</v>
      </c>
      <c r="BI186" s="78">
        <v>0</v>
      </c>
      <c r="BJ186" s="78">
        <v>0</v>
      </c>
      <c r="BK186" s="78">
        <v>0</v>
      </c>
      <c r="BL186" s="78">
        <v>0</v>
      </c>
      <c r="BM186" s="78">
        <v>180.57599999999999</v>
      </c>
      <c r="BN186" s="78">
        <v>24</v>
      </c>
      <c r="BO186" s="78">
        <v>25</v>
      </c>
      <c r="BP186" s="78">
        <v>4455.3599999999997</v>
      </c>
      <c r="BQ186" s="78">
        <v>1169.94</v>
      </c>
      <c r="BR186" s="78">
        <v>81.105373390557901</v>
      </c>
      <c r="BS186" s="78">
        <v>177</v>
      </c>
      <c r="BT186" s="78">
        <v>54.3333333333333</v>
      </c>
      <c r="BU186" s="78">
        <v>38.6666666666667</v>
      </c>
      <c r="BV186" s="78">
        <f t="shared" si="10"/>
        <v>512</v>
      </c>
      <c r="BW186" s="78">
        <v>109</v>
      </c>
      <c r="BX186" s="78">
        <v>1340.7360280989301</v>
      </c>
      <c r="BY186" s="78">
        <v>0.14099999999999999</v>
      </c>
      <c r="BZ186" s="78">
        <v>11108</v>
      </c>
      <c r="CA186" s="78">
        <v>1494</v>
      </c>
      <c r="CB186" s="78">
        <v>241</v>
      </c>
      <c r="CC186" s="78">
        <v>233</v>
      </c>
      <c r="CD186" s="78">
        <v>238</v>
      </c>
      <c r="CE186" s="78">
        <v>130</v>
      </c>
      <c r="CF186" s="78">
        <v>100.996157116137</v>
      </c>
      <c r="CG186" s="78">
        <v>63.911630675055299</v>
      </c>
      <c r="CH186" s="78">
        <v>19.838530862098299</v>
      </c>
      <c r="CI186" s="78">
        <v>325.15839999999997</v>
      </c>
      <c r="CJ186" s="78">
        <v>205.76429999999999</v>
      </c>
      <c r="CK186" s="78">
        <v>63.870399999999997</v>
      </c>
      <c r="CL186" s="78">
        <v>0</v>
      </c>
    </row>
    <row r="187" spans="1:90" x14ac:dyDescent="0.35">
      <c r="A187" s="72">
        <v>451</v>
      </c>
      <c r="B187" s="72" t="s">
        <v>303</v>
      </c>
      <c r="C187" s="72">
        <v>7</v>
      </c>
      <c r="D187" s="78">
        <v>3516400000</v>
      </c>
      <c r="E187" s="78">
        <v>523600000</v>
      </c>
      <c r="F187" s="78">
        <v>541100000</v>
      </c>
      <c r="G187" s="78">
        <v>30206</v>
      </c>
      <c r="H187" s="78">
        <v>1</v>
      </c>
      <c r="I187" s="78">
        <f t="shared" si="8"/>
        <v>541.1</v>
      </c>
      <c r="J187" s="78">
        <v>6162</v>
      </c>
      <c r="K187" s="78">
        <v>5520</v>
      </c>
      <c r="L187" s="78">
        <v>1938</v>
      </c>
      <c r="M187" s="78">
        <v>3461</v>
      </c>
      <c r="N187" s="78">
        <f t="shared" si="9"/>
        <v>2130.3000000000002</v>
      </c>
      <c r="O187" s="78">
        <v>307</v>
      </c>
      <c r="P187" s="78">
        <v>32</v>
      </c>
      <c r="Q187" s="78">
        <v>1555</v>
      </c>
      <c r="R187" s="78">
        <v>4299</v>
      </c>
      <c r="S187" s="78">
        <v>2150</v>
      </c>
      <c r="T187" s="78">
        <v>0</v>
      </c>
      <c r="U187" s="78">
        <v>1201</v>
      </c>
      <c r="V187" s="78">
        <v>13378</v>
      </c>
      <c r="W187" s="78">
        <v>28320</v>
      </c>
      <c r="X187" s="78">
        <v>7820</v>
      </c>
      <c r="Y187" s="78">
        <v>732.6</v>
      </c>
      <c r="Z187" s="78">
        <v>1800.8</v>
      </c>
      <c r="AA187" s="78">
        <v>0</v>
      </c>
      <c r="AB187" s="399">
        <f>IF((J187-'[2]Basisgegevens aanvullend'!D187*1.1)&lt;=0,0,J187-'[2]Basisgegevens aanvullend'!D187*1.1)</f>
        <v>0</v>
      </c>
      <c r="AC187" s="399">
        <v>0</v>
      </c>
      <c r="AD187" s="78">
        <v>1815</v>
      </c>
      <c r="AE187" s="78">
        <v>2432.1</v>
      </c>
      <c r="AF187" s="78">
        <v>127</v>
      </c>
      <c r="AG187" s="78">
        <v>0</v>
      </c>
      <c r="AH187" s="78">
        <v>123</v>
      </c>
      <c r="AI187" s="78">
        <v>44</v>
      </c>
      <c r="AJ187" s="78">
        <v>166.05</v>
      </c>
      <c r="AK187" s="78">
        <v>58.08</v>
      </c>
      <c r="AL187" s="78">
        <v>167</v>
      </c>
      <c r="AM187" s="78">
        <v>13307</v>
      </c>
      <c r="AN187" s="78">
        <v>17964.45</v>
      </c>
      <c r="AO187" s="78">
        <v>0</v>
      </c>
      <c r="AP187" s="78">
        <v>0</v>
      </c>
      <c r="AQ187" s="78">
        <v>0</v>
      </c>
      <c r="AR187" s="78">
        <v>0</v>
      </c>
      <c r="AS187" s="78">
        <v>0</v>
      </c>
      <c r="AT187" s="78">
        <v>0</v>
      </c>
      <c r="AU187" s="400">
        <v>5.8717E-5</v>
      </c>
      <c r="AV187" s="400">
        <v>3.5199100000000001E-4</v>
      </c>
      <c r="AW187" s="78">
        <v>19228.615000000002</v>
      </c>
      <c r="AX187" s="78">
        <v>0</v>
      </c>
      <c r="AY187" s="78">
        <v>3363.4</v>
      </c>
      <c r="AZ187" s="78">
        <v>132474.61907312099</v>
      </c>
      <c r="BA187" s="78">
        <v>2</v>
      </c>
      <c r="BB187" s="78">
        <v>2.64</v>
      </c>
      <c r="BC187" s="78">
        <v>3670</v>
      </c>
      <c r="BD187" s="78">
        <v>1</v>
      </c>
      <c r="BE187" s="78">
        <v>0</v>
      </c>
      <c r="BF187" s="78">
        <v>0</v>
      </c>
      <c r="BG187" s="78">
        <v>0</v>
      </c>
      <c r="BH187" s="78">
        <v>0</v>
      </c>
      <c r="BI187" s="78">
        <v>0</v>
      </c>
      <c r="BJ187" s="78">
        <v>0</v>
      </c>
      <c r="BK187" s="78">
        <v>0</v>
      </c>
      <c r="BL187" s="78">
        <v>0</v>
      </c>
      <c r="BM187" s="78">
        <v>683.98199999999997</v>
      </c>
      <c r="BN187" s="78">
        <v>68</v>
      </c>
      <c r="BO187" s="78">
        <v>51</v>
      </c>
      <c r="BP187" s="78">
        <v>9975.76</v>
      </c>
      <c r="BQ187" s="78">
        <v>2663.04</v>
      </c>
      <c r="BR187" s="78">
        <v>195.04122200392899</v>
      </c>
      <c r="BS187" s="78">
        <v>501</v>
      </c>
      <c r="BT187" s="78">
        <v>124.666666666667</v>
      </c>
      <c r="BU187" s="78">
        <v>92.6666666666667</v>
      </c>
      <c r="BV187" s="78">
        <f t="shared" si="10"/>
        <v>1248</v>
      </c>
      <c r="BW187" s="78">
        <v>330</v>
      </c>
      <c r="BX187" s="78">
        <v>4145.5526779293004</v>
      </c>
      <c r="BY187" s="78">
        <v>0.20499999999999999</v>
      </c>
      <c r="BZ187" s="78">
        <v>24686</v>
      </c>
      <c r="CA187" s="78">
        <v>2852</v>
      </c>
      <c r="CB187" s="78">
        <v>730</v>
      </c>
      <c r="CC187" s="78">
        <v>670</v>
      </c>
      <c r="CD187" s="78">
        <v>701</v>
      </c>
      <c r="CE187" s="78">
        <v>408</v>
      </c>
      <c r="CF187" s="78">
        <v>291.68156609303401</v>
      </c>
      <c r="CG187" s="78">
        <v>222.683347110543</v>
      </c>
      <c r="CH187" s="78">
        <v>90.290012775231105</v>
      </c>
      <c r="CI187" s="78">
        <v>679.42380000000003</v>
      </c>
      <c r="CJ187" s="78">
        <v>518.70389999999998</v>
      </c>
      <c r="CK187" s="78">
        <v>210.31559999999999</v>
      </c>
      <c r="CL187" s="78">
        <v>20075</v>
      </c>
    </row>
    <row r="188" spans="1:90" x14ac:dyDescent="0.35">
      <c r="A188" s="72">
        <v>453</v>
      </c>
      <c r="B188" s="72" t="s">
        <v>314</v>
      </c>
      <c r="C188" s="72">
        <v>7</v>
      </c>
      <c r="D188" s="78">
        <v>7648000000</v>
      </c>
      <c r="E188" s="78">
        <v>1151150000</v>
      </c>
      <c r="F188" s="78">
        <v>1160600000</v>
      </c>
      <c r="G188" s="78">
        <v>68617</v>
      </c>
      <c r="H188" s="78">
        <v>1</v>
      </c>
      <c r="I188" s="78">
        <f t="shared" si="8"/>
        <v>1160.5999999999999</v>
      </c>
      <c r="J188" s="78">
        <v>12683</v>
      </c>
      <c r="K188" s="78">
        <v>14203</v>
      </c>
      <c r="L188" s="78">
        <v>4376</v>
      </c>
      <c r="M188" s="78">
        <v>9456</v>
      </c>
      <c r="N188" s="78">
        <f t="shared" si="9"/>
        <v>6287.5</v>
      </c>
      <c r="O188" s="78">
        <v>1321</v>
      </c>
      <c r="P188" s="78">
        <v>29</v>
      </c>
      <c r="Q188" s="78">
        <v>4855</v>
      </c>
      <c r="R188" s="78">
        <v>11201</v>
      </c>
      <c r="S188" s="78">
        <v>3470</v>
      </c>
      <c r="T188" s="78">
        <v>0</v>
      </c>
      <c r="U188" s="78">
        <v>2652</v>
      </c>
      <c r="V188" s="78">
        <v>32010</v>
      </c>
      <c r="W188" s="78">
        <v>68950</v>
      </c>
      <c r="X188" s="78">
        <v>52220</v>
      </c>
      <c r="Y188" s="78">
        <v>1235.9000000000001</v>
      </c>
      <c r="Z188" s="78">
        <v>3028.8</v>
      </c>
      <c r="AA188" s="78">
        <v>0</v>
      </c>
      <c r="AB188" s="399">
        <f>IF((J188-'[2]Basisgegevens aanvullend'!D188*1.1)&lt;=0,0,J188-'[2]Basisgegevens aanvullend'!D188*1.1)</f>
        <v>0</v>
      </c>
      <c r="AC188" s="399">
        <v>0</v>
      </c>
      <c r="AD188" s="78">
        <v>4547</v>
      </c>
      <c r="AE188" s="78">
        <v>4683.41</v>
      </c>
      <c r="AF188" s="78">
        <v>834</v>
      </c>
      <c r="AG188" s="78">
        <v>937</v>
      </c>
      <c r="AH188" s="78">
        <v>329</v>
      </c>
      <c r="AI188" s="78">
        <v>69</v>
      </c>
      <c r="AJ188" s="78">
        <v>335.58</v>
      </c>
      <c r="AK188" s="78">
        <v>71.760000000000005</v>
      </c>
      <c r="AL188" s="78">
        <v>398</v>
      </c>
      <c r="AM188" s="78">
        <v>31685</v>
      </c>
      <c r="AN188" s="78">
        <v>32318.7</v>
      </c>
      <c r="AO188" s="78">
        <v>0</v>
      </c>
      <c r="AP188" s="78">
        <v>0</v>
      </c>
      <c r="AQ188" s="78">
        <v>0</v>
      </c>
      <c r="AR188" s="78">
        <v>0</v>
      </c>
      <c r="AS188" s="78">
        <v>10063</v>
      </c>
      <c r="AT188" s="78">
        <v>0</v>
      </c>
      <c r="AU188" s="400">
        <v>1.594151E-3</v>
      </c>
      <c r="AV188" s="400">
        <v>2.8038680000000002E-3</v>
      </c>
      <c r="AW188" s="78">
        <v>59092.525000000001</v>
      </c>
      <c r="AX188" s="78">
        <v>0</v>
      </c>
      <c r="AY188" s="78">
        <v>1902.41</v>
      </c>
      <c r="AZ188" s="78">
        <v>27411.2227039584</v>
      </c>
      <c r="BA188" s="78">
        <v>6</v>
      </c>
      <c r="BB188" s="78">
        <v>6.24</v>
      </c>
      <c r="BC188" s="78">
        <v>7519</v>
      </c>
      <c r="BD188" s="78">
        <v>1</v>
      </c>
      <c r="BE188" s="78">
        <v>0</v>
      </c>
      <c r="BF188" s="78">
        <v>0</v>
      </c>
      <c r="BG188" s="78">
        <v>0</v>
      </c>
      <c r="BH188" s="78">
        <v>0</v>
      </c>
      <c r="BI188" s="78">
        <v>0</v>
      </c>
      <c r="BJ188" s="78">
        <v>0</v>
      </c>
      <c r="BK188" s="78">
        <v>0</v>
      </c>
      <c r="BL188" s="78">
        <v>0</v>
      </c>
      <c r="BM188" s="78">
        <v>1521.96</v>
      </c>
      <c r="BN188" s="78">
        <v>234</v>
      </c>
      <c r="BO188" s="78">
        <v>140</v>
      </c>
      <c r="BP188" s="78">
        <v>21535.59</v>
      </c>
      <c r="BQ188" s="78">
        <v>5061.92</v>
      </c>
      <c r="BR188" s="78">
        <v>475.68052835121301</v>
      </c>
      <c r="BS188" s="78">
        <v>965</v>
      </c>
      <c r="BT188" s="78">
        <v>401.66666666666703</v>
      </c>
      <c r="BU188" s="78">
        <v>333</v>
      </c>
      <c r="BV188" s="78">
        <f t="shared" si="10"/>
        <v>3534</v>
      </c>
      <c r="BW188" s="78">
        <v>862</v>
      </c>
      <c r="BX188" s="78">
        <v>11048.2485881599</v>
      </c>
      <c r="BY188" s="78">
        <v>2.9750000000000001</v>
      </c>
      <c r="BZ188" s="78">
        <v>54414</v>
      </c>
      <c r="CA188" s="78">
        <v>7956</v>
      </c>
      <c r="CB188" s="78">
        <v>1871</v>
      </c>
      <c r="CC188" s="78">
        <v>1953</v>
      </c>
      <c r="CD188" s="78">
        <v>1629</v>
      </c>
      <c r="CE188" s="78">
        <v>1054</v>
      </c>
      <c r="CF188" s="78">
        <v>1025.1293987691299</v>
      </c>
      <c r="CG188" s="78">
        <v>618.92733154489497</v>
      </c>
      <c r="CH188" s="78">
        <v>274.43940350323498</v>
      </c>
      <c r="CI188" s="78">
        <v>2240.4942000000001</v>
      </c>
      <c r="CJ188" s="78">
        <v>1352.7103</v>
      </c>
      <c r="CK188" s="78">
        <v>599.80709999999999</v>
      </c>
      <c r="CL188" s="78">
        <v>50550</v>
      </c>
    </row>
    <row r="189" spans="1:90" x14ac:dyDescent="0.35">
      <c r="A189" s="72">
        <v>852</v>
      </c>
      <c r="B189" s="72" t="s">
        <v>331</v>
      </c>
      <c r="C189" s="72">
        <v>7</v>
      </c>
      <c r="D189" s="78">
        <v>2351600000</v>
      </c>
      <c r="E189" s="78">
        <v>105350000</v>
      </c>
      <c r="F189" s="78">
        <v>117950000</v>
      </c>
      <c r="G189" s="78">
        <v>17312</v>
      </c>
      <c r="H189" s="78">
        <v>4</v>
      </c>
      <c r="I189" s="78">
        <f t="shared" si="8"/>
        <v>117.95</v>
      </c>
      <c r="J189" s="78">
        <v>3337</v>
      </c>
      <c r="K189" s="78">
        <v>4359</v>
      </c>
      <c r="L189" s="78">
        <v>1441</v>
      </c>
      <c r="M189" s="78">
        <v>1735</v>
      </c>
      <c r="N189" s="78">
        <f t="shared" si="9"/>
        <v>973.9</v>
      </c>
      <c r="O189" s="78">
        <v>163.333333333333</v>
      </c>
      <c r="P189" s="78">
        <v>15</v>
      </c>
      <c r="Q189" s="78">
        <v>783.33333333333303</v>
      </c>
      <c r="R189" s="78">
        <v>2341</v>
      </c>
      <c r="S189" s="78">
        <v>435</v>
      </c>
      <c r="T189" s="78">
        <v>0</v>
      </c>
      <c r="U189" s="78">
        <v>530</v>
      </c>
      <c r="V189" s="78">
        <v>7659</v>
      </c>
      <c r="W189" s="78">
        <v>8820</v>
      </c>
      <c r="X189" s="78">
        <v>550</v>
      </c>
      <c r="Y189" s="78">
        <v>0</v>
      </c>
      <c r="Z189" s="78">
        <v>272</v>
      </c>
      <c r="AA189" s="78">
        <v>0</v>
      </c>
      <c r="AB189" s="399">
        <f>IF((J189-'[2]Basisgegevens aanvullend'!D189*1.1)&lt;=0,0,J189-'[2]Basisgegevens aanvullend'!D189*1.1)</f>
        <v>0</v>
      </c>
      <c r="AC189" s="399">
        <v>139.80000000000001</v>
      </c>
      <c r="AD189" s="78">
        <v>5197</v>
      </c>
      <c r="AE189" s="78">
        <v>7431.71</v>
      </c>
      <c r="AF189" s="78">
        <v>413</v>
      </c>
      <c r="AG189" s="78">
        <v>5956</v>
      </c>
      <c r="AH189" s="78">
        <v>67</v>
      </c>
      <c r="AI189" s="78">
        <v>32</v>
      </c>
      <c r="AJ189" s="78">
        <v>93.8</v>
      </c>
      <c r="AK189" s="78">
        <v>45.76</v>
      </c>
      <c r="AL189" s="78">
        <v>99</v>
      </c>
      <c r="AM189" s="78">
        <v>7611</v>
      </c>
      <c r="AN189" s="78">
        <v>10655.4</v>
      </c>
      <c r="AO189" s="78">
        <v>18</v>
      </c>
      <c r="AP189" s="78">
        <v>0</v>
      </c>
      <c r="AQ189" s="78">
        <v>0</v>
      </c>
      <c r="AR189" s="78">
        <v>4600</v>
      </c>
      <c r="AS189" s="78">
        <v>568</v>
      </c>
      <c r="AT189" s="78">
        <v>568</v>
      </c>
      <c r="AU189" s="400">
        <v>3.1241800000000002E-4</v>
      </c>
      <c r="AV189" s="400">
        <v>1.1174E-4</v>
      </c>
      <c r="AW189" s="78">
        <v>4893.8729999999996</v>
      </c>
      <c r="AX189" s="78">
        <v>0</v>
      </c>
      <c r="AY189" s="78">
        <v>4422.99</v>
      </c>
      <c r="AZ189" s="78">
        <v>39128.853960784298</v>
      </c>
      <c r="BA189" s="78">
        <v>11</v>
      </c>
      <c r="BB189" s="78">
        <v>15.73</v>
      </c>
      <c r="BC189" s="78">
        <v>2473</v>
      </c>
      <c r="BD189" s="78">
        <v>1</v>
      </c>
      <c r="BE189" s="78">
        <v>0</v>
      </c>
      <c r="BF189" s="78">
        <v>0</v>
      </c>
      <c r="BG189" s="78">
        <v>0</v>
      </c>
      <c r="BH189" s="78">
        <v>0</v>
      </c>
      <c r="BI189" s="78">
        <v>0</v>
      </c>
      <c r="BJ189" s="78">
        <v>0</v>
      </c>
      <c r="BK189" s="78">
        <v>0</v>
      </c>
      <c r="BL189" s="78">
        <v>0</v>
      </c>
      <c r="BM189" s="78">
        <v>206.89400000000001</v>
      </c>
      <c r="BN189" s="78">
        <v>26</v>
      </c>
      <c r="BO189" s="78">
        <v>12</v>
      </c>
      <c r="BP189" s="78">
        <v>6407.3</v>
      </c>
      <c r="BQ189" s="78">
        <v>1647.36</v>
      </c>
      <c r="BR189" s="78">
        <v>111.89735897435899</v>
      </c>
      <c r="BS189" s="78">
        <v>218</v>
      </c>
      <c r="BT189" s="78">
        <v>52</v>
      </c>
      <c r="BU189" s="78">
        <v>36</v>
      </c>
      <c r="BV189" s="78">
        <f t="shared" si="10"/>
        <v>620</v>
      </c>
      <c r="BW189" s="78">
        <v>104</v>
      </c>
      <c r="BX189" s="78">
        <v>2632.0916804407698</v>
      </c>
      <c r="BY189" s="78">
        <v>0.154</v>
      </c>
      <c r="BZ189" s="78">
        <v>12953</v>
      </c>
      <c r="CA189" s="78">
        <v>2466</v>
      </c>
      <c r="CB189" s="78">
        <v>452</v>
      </c>
      <c r="CC189" s="78">
        <v>495</v>
      </c>
      <c r="CD189" s="78">
        <v>482</v>
      </c>
      <c r="CE189" s="78">
        <v>232</v>
      </c>
      <c r="CF189" s="78">
        <v>196.80176060964399</v>
      </c>
      <c r="CG189" s="78">
        <v>130.90260149783199</v>
      </c>
      <c r="CH189" s="78">
        <v>42.226645644462003</v>
      </c>
      <c r="CI189" s="78">
        <v>472.78120000000001</v>
      </c>
      <c r="CJ189" s="78">
        <v>314.47019999999998</v>
      </c>
      <c r="CK189" s="78">
        <v>101.44199999999999</v>
      </c>
      <c r="CL189" s="78">
        <v>0</v>
      </c>
    </row>
    <row r="190" spans="1:90" x14ac:dyDescent="0.35">
      <c r="A190" s="72">
        <v>457</v>
      </c>
      <c r="B190" s="72" t="s">
        <v>333</v>
      </c>
      <c r="C190" s="72">
        <v>7</v>
      </c>
      <c r="D190" s="78">
        <v>2734000000</v>
      </c>
      <c r="E190" s="78">
        <v>359800000</v>
      </c>
      <c r="F190" s="78">
        <v>367850000</v>
      </c>
      <c r="G190" s="78">
        <v>20445</v>
      </c>
      <c r="H190" s="78">
        <v>1</v>
      </c>
      <c r="I190" s="78">
        <f t="shared" si="8"/>
        <v>367.85</v>
      </c>
      <c r="J190" s="78">
        <v>4209</v>
      </c>
      <c r="K190" s="78">
        <v>4005</v>
      </c>
      <c r="L190" s="78">
        <v>1300</v>
      </c>
      <c r="M190" s="78">
        <v>3031</v>
      </c>
      <c r="N190" s="78">
        <f t="shared" si="9"/>
        <v>2084.8000000000002</v>
      </c>
      <c r="O190" s="78">
        <v>364</v>
      </c>
      <c r="P190" s="78">
        <v>7</v>
      </c>
      <c r="Q190" s="78">
        <v>1126</v>
      </c>
      <c r="R190" s="78">
        <v>3615</v>
      </c>
      <c r="S190" s="78">
        <v>2115</v>
      </c>
      <c r="T190" s="78">
        <v>0</v>
      </c>
      <c r="U190" s="78">
        <v>625</v>
      </c>
      <c r="V190" s="78">
        <v>9627</v>
      </c>
      <c r="W190" s="78">
        <v>16030</v>
      </c>
      <c r="X190" s="78">
        <v>2530</v>
      </c>
      <c r="Y190" s="78">
        <v>0</v>
      </c>
      <c r="Z190" s="78">
        <v>1340.8</v>
      </c>
      <c r="AA190" s="78">
        <v>0</v>
      </c>
      <c r="AB190" s="399">
        <f>IF((J190-'[2]Basisgegevens aanvullend'!D190*1.1)&lt;=0,0,J190-'[2]Basisgegevens aanvullend'!D190*1.1)</f>
        <v>409.59999999999991</v>
      </c>
      <c r="AC190" s="399">
        <v>128.30000000000001</v>
      </c>
      <c r="AD190" s="78">
        <v>2270</v>
      </c>
      <c r="AE190" s="78">
        <v>2565.1</v>
      </c>
      <c r="AF190" s="78">
        <v>146</v>
      </c>
      <c r="AG190" s="78">
        <v>0</v>
      </c>
      <c r="AH190" s="78">
        <v>97</v>
      </c>
      <c r="AI190" s="78">
        <v>9</v>
      </c>
      <c r="AJ190" s="78">
        <v>104.76</v>
      </c>
      <c r="AK190" s="78">
        <v>10.35</v>
      </c>
      <c r="AL190" s="78">
        <v>106</v>
      </c>
      <c r="AM190" s="78">
        <v>9462</v>
      </c>
      <c r="AN190" s="78">
        <v>10218.959999999999</v>
      </c>
      <c r="AO190" s="78">
        <v>19</v>
      </c>
      <c r="AP190" s="78">
        <v>0</v>
      </c>
      <c r="AQ190" s="78">
        <v>0</v>
      </c>
      <c r="AR190" s="78">
        <v>4000</v>
      </c>
      <c r="AS190" s="78">
        <v>1741</v>
      </c>
      <c r="AT190" s="78">
        <v>1741</v>
      </c>
      <c r="AU190" s="400">
        <v>6.0477700000000003E-4</v>
      </c>
      <c r="AV190" s="400">
        <v>9.11763E-4</v>
      </c>
      <c r="AW190" s="78">
        <v>16927.518</v>
      </c>
      <c r="AX190" s="78">
        <v>0</v>
      </c>
      <c r="AY190" s="78">
        <v>1198.93</v>
      </c>
      <c r="AZ190" s="78">
        <v>12153.8585885762</v>
      </c>
      <c r="BA190" s="78">
        <v>4</v>
      </c>
      <c r="BB190" s="78">
        <v>4.5999999999999996</v>
      </c>
      <c r="BC190" s="78">
        <v>2999</v>
      </c>
      <c r="BD190" s="78">
        <v>1</v>
      </c>
      <c r="BE190" s="78">
        <v>0</v>
      </c>
      <c r="BF190" s="78">
        <v>0</v>
      </c>
      <c r="BG190" s="78">
        <v>0</v>
      </c>
      <c r="BH190" s="78">
        <v>0</v>
      </c>
      <c r="BI190" s="78">
        <v>0</v>
      </c>
      <c r="BJ190" s="78">
        <v>0</v>
      </c>
      <c r="BK190" s="78">
        <v>0</v>
      </c>
      <c r="BL190" s="78">
        <v>0</v>
      </c>
      <c r="BM190" s="78">
        <v>526.125</v>
      </c>
      <c r="BN190" s="78">
        <v>41</v>
      </c>
      <c r="BO190" s="78">
        <v>66</v>
      </c>
      <c r="BP190" s="78">
        <v>6843.02</v>
      </c>
      <c r="BQ190" s="78">
        <v>1769.34</v>
      </c>
      <c r="BR190" s="78">
        <v>166.57385140562201</v>
      </c>
      <c r="BS190" s="78">
        <v>232</v>
      </c>
      <c r="BT190" s="78">
        <v>111.333333333333</v>
      </c>
      <c r="BU190" s="78">
        <v>82.3333333333333</v>
      </c>
      <c r="BV190" s="78">
        <f t="shared" si="10"/>
        <v>762</v>
      </c>
      <c r="BW190" s="78">
        <v>155</v>
      </c>
      <c r="BX190" s="78">
        <v>2847.9228290606902</v>
      </c>
      <c r="BY190" s="78">
        <v>0.83399999999999996</v>
      </c>
      <c r="BZ190" s="78">
        <v>16440</v>
      </c>
      <c r="CA190" s="78">
        <v>2184</v>
      </c>
      <c r="CB190" s="78">
        <v>521</v>
      </c>
      <c r="CC190" s="78">
        <v>623</v>
      </c>
      <c r="CD190" s="78">
        <v>475</v>
      </c>
      <c r="CE190" s="78">
        <v>251</v>
      </c>
      <c r="CF190" s="78">
        <v>316.61991122384302</v>
      </c>
      <c r="CG190" s="78">
        <v>197.198900866624</v>
      </c>
      <c r="CH190" s="78">
        <v>77.557556541957297</v>
      </c>
      <c r="CI190" s="78">
        <v>565.45950000000005</v>
      </c>
      <c r="CJ190" s="78">
        <v>352.1825</v>
      </c>
      <c r="CK190" s="78">
        <v>138.512</v>
      </c>
      <c r="CL190" s="78">
        <v>31552</v>
      </c>
    </row>
    <row r="191" spans="1:90" x14ac:dyDescent="0.35">
      <c r="A191" s="72">
        <v>1696</v>
      </c>
      <c r="B191" s="72" t="s">
        <v>345</v>
      </c>
      <c r="C191" s="72">
        <v>7</v>
      </c>
      <c r="D191" s="78">
        <v>3870800000</v>
      </c>
      <c r="E191" s="78">
        <v>323050000</v>
      </c>
      <c r="F191" s="78">
        <v>334250000</v>
      </c>
      <c r="G191" s="78">
        <v>24463</v>
      </c>
      <c r="H191" s="78">
        <v>4</v>
      </c>
      <c r="I191" s="78">
        <f t="shared" si="8"/>
        <v>334.25</v>
      </c>
      <c r="J191" s="78">
        <v>4664</v>
      </c>
      <c r="K191" s="78">
        <v>5904</v>
      </c>
      <c r="L191" s="78">
        <v>1935</v>
      </c>
      <c r="M191" s="78">
        <v>2643</v>
      </c>
      <c r="N191" s="78">
        <f t="shared" si="9"/>
        <v>1429.7</v>
      </c>
      <c r="O191" s="78">
        <v>207.666666666667</v>
      </c>
      <c r="P191" s="78">
        <v>9</v>
      </c>
      <c r="Q191" s="78">
        <v>978.66666666666697</v>
      </c>
      <c r="R191" s="78">
        <v>3455</v>
      </c>
      <c r="S191" s="78">
        <v>595</v>
      </c>
      <c r="T191" s="78">
        <v>0</v>
      </c>
      <c r="U191" s="78">
        <v>696</v>
      </c>
      <c r="V191" s="78">
        <v>10960</v>
      </c>
      <c r="W191" s="78">
        <v>13920</v>
      </c>
      <c r="X191" s="78">
        <v>950</v>
      </c>
      <c r="Y191" s="78">
        <v>0</v>
      </c>
      <c r="Z191" s="78">
        <v>0</v>
      </c>
      <c r="AA191" s="78">
        <v>0</v>
      </c>
      <c r="AB191" s="399">
        <f>IF((J191-'[2]Basisgegevens aanvullend'!D191*1.1)&lt;=0,0,J191-'[2]Basisgegevens aanvullend'!D191*1.1)</f>
        <v>0</v>
      </c>
      <c r="AC191" s="399">
        <v>0</v>
      </c>
      <c r="AD191" s="78">
        <v>4754</v>
      </c>
      <c r="AE191" s="78">
        <v>4801.54</v>
      </c>
      <c r="AF191" s="78">
        <v>2882</v>
      </c>
      <c r="AG191" s="78">
        <v>0</v>
      </c>
      <c r="AH191" s="78">
        <v>141</v>
      </c>
      <c r="AI191" s="78">
        <v>19</v>
      </c>
      <c r="AJ191" s="78">
        <v>143.82</v>
      </c>
      <c r="AK191" s="78">
        <v>19.190000000000001</v>
      </c>
      <c r="AL191" s="78">
        <v>161</v>
      </c>
      <c r="AM191" s="78">
        <v>12133</v>
      </c>
      <c r="AN191" s="78">
        <v>12375.66</v>
      </c>
      <c r="AO191" s="78">
        <v>0</v>
      </c>
      <c r="AP191" s="78">
        <v>0</v>
      </c>
      <c r="AQ191" s="78">
        <v>0</v>
      </c>
      <c r="AR191" s="78">
        <v>0</v>
      </c>
      <c r="AS191" s="78">
        <v>0</v>
      </c>
      <c r="AT191" s="78">
        <v>0</v>
      </c>
      <c r="AU191" s="400">
        <v>2.7410100000000001E-4</v>
      </c>
      <c r="AV191" s="400">
        <v>1.14014E-4</v>
      </c>
      <c r="AW191" s="78">
        <v>7219.1350000000002</v>
      </c>
      <c r="AX191" s="78">
        <v>0</v>
      </c>
      <c r="AY191" s="78">
        <v>8107.27</v>
      </c>
      <c r="AZ191" s="78">
        <v>28716.633872446298</v>
      </c>
      <c r="BA191" s="78">
        <v>15</v>
      </c>
      <c r="BB191" s="78">
        <v>15.15</v>
      </c>
      <c r="BC191" s="78">
        <v>4170</v>
      </c>
      <c r="BD191" s="78">
        <v>1</v>
      </c>
      <c r="BE191" s="78">
        <v>0</v>
      </c>
      <c r="BF191" s="78">
        <v>0</v>
      </c>
      <c r="BG191" s="78">
        <v>0</v>
      </c>
      <c r="BH191" s="78">
        <v>0</v>
      </c>
      <c r="BI191" s="78">
        <v>0</v>
      </c>
      <c r="BJ191" s="78">
        <v>0</v>
      </c>
      <c r="BK191" s="78">
        <v>0</v>
      </c>
      <c r="BL191" s="78">
        <v>0</v>
      </c>
      <c r="BM191" s="78">
        <v>373.12</v>
      </c>
      <c r="BN191" s="78">
        <v>25</v>
      </c>
      <c r="BO191" s="78">
        <v>33</v>
      </c>
      <c r="BP191" s="78">
        <v>9356.85</v>
      </c>
      <c r="BQ191" s="78">
        <v>2281.4</v>
      </c>
      <c r="BR191" s="78">
        <v>95.275385096404406</v>
      </c>
      <c r="BS191" s="78">
        <v>250</v>
      </c>
      <c r="BT191" s="78">
        <v>57.6666666666667</v>
      </c>
      <c r="BU191" s="78">
        <v>38.6666666666667</v>
      </c>
      <c r="BV191" s="78">
        <f t="shared" si="10"/>
        <v>771</v>
      </c>
      <c r="BW191" s="78">
        <v>153</v>
      </c>
      <c r="BX191" s="78">
        <v>3529.1879678134501</v>
      </c>
      <c r="BY191" s="78">
        <v>0.11600000000000001</v>
      </c>
      <c r="BZ191" s="78">
        <v>18559</v>
      </c>
      <c r="CA191" s="78">
        <v>3312</v>
      </c>
      <c r="CB191" s="78">
        <v>657</v>
      </c>
      <c r="CC191" s="78">
        <v>766</v>
      </c>
      <c r="CD191" s="78">
        <v>609</v>
      </c>
      <c r="CE191" s="78">
        <v>348</v>
      </c>
      <c r="CF191" s="78">
        <v>247.572710788758</v>
      </c>
      <c r="CG191" s="78">
        <v>157.54627050193699</v>
      </c>
      <c r="CH191" s="78">
        <v>58.328649138712599</v>
      </c>
      <c r="CI191" s="78">
        <v>616.01319999999998</v>
      </c>
      <c r="CJ191" s="78">
        <v>392.00839999999999</v>
      </c>
      <c r="CK191" s="78">
        <v>145.13399999999999</v>
      </c>
      <c r="CL191" s="78">
        <v>19845</v>
      </c>
    </row>
    <row r="192" spans="1:90" x14ac:dyDescent="0.35">
      <c r="A192" s="72">
        <v>880</v>
      </c>
      <c r="B192" s="72" t="s">
        <v>350</v>
      </c>
      <c r="C192" s="72">
        <v>7</v>
      </c>
      <c r="D192" s="78">
        <v>1829200000</v>
      </c>
      <c r="E192" s="78">
        <v>183400000</v>
      </c>
      <c r="F192" s="78">
        <v>194250000</v>
      </c>
      <c r="G192" s="78">
        <v>16333</v>
      </c>
      <c r="H192" s="78">
        <v>2</v>
      </c>
      <c r="I192" s="78">
        <f t="shared" si="8"/>
        <v>194.25</v>
      </c>
      <c r="J192" s="78">
        <v>2921</v>
      </c>
      <c r="K192" s="78">
        <v>3846</v>
      </c>
      <c r="L192" s="78">
        <v>1388</v>
      </c>
      <c r="M192" s="78">
        <v>1984</v>
      </c>
      <c r="N192" s="78">
        <f t="shared" si="9"/>
        <v>1278.1999999999998</v>
      </c>
      <c r="O192" s="78">
        <v>202.666666666667</v>
      </c>
      <c r="P192" s="78">
        <v>0</v>
      </c>
      <c r="Q192" s="78">
        <v>934.66666666666697</v>
      </c>
      <c r="R192" s="78">
        <v>2220</v>
      </c>
      <c r="S192" s="78">
        <v>725</v>
      </c>
      <c r="T192" s="78">
        <v>0</v>
      </c>
      <c r="U192" s="78">
        <v>555</v>
      </c>
      <c r="V192" s="78">
        <v>7232</v>
      </c>
      <c r="W192" s="78">
        <v>9520</v>
      </c>
      <c r="X192" s="78">
        <v>1090</v>
      </c>
      <c r="Y192" s="78">
        <v>0</v>
      </c>
      <c r="Z192" s="78">
        <v>0</v>
      </c>
      <c r="AA192" s="78">
        <v>0</v>
      </c>
      <c r="AB192" s="399">
        <f>IF((J192-'[2]Basisgegevens aanvullend'!D192*1.1)&lt;=0,0,J192-'[2]Basisgegevens aanvullend'!D192*1.1)</f>
        <v>0</v>
      </c>
      <c r="AC192" s="399">
        <v>0</v>
      </c>
      <c r="AD192" s="78">
        <v>3838</v>
      </c>
      <c r="AE192" s="78">
        <v>4490.46</v>
      </c>
      <c r="AF192" s="78">
        <v>679</v>
      </c>
      <c r="AG192" s="78">
        <v>0</v>
      </c>
      <c r="AH192" s="78">
        <v>69</v>
      </c>
      <c r="AI192" s="78">
        <v>25</v>
      </c>
      <c r="AJ192" s="78">
        <v>85.56</v>
      </c>
      <c r="AK192" s="78">
        <v>28.75</v>
      </c>
      <c r="AL192" s="78">
        <v>95</v>
      </c>
      <c r="AM192" s="78">
        <v>7058</v>
      </c>
      <c r="AN192" s="78">
        <v>8751.92</v>
      </c>
      <c r="AO192" s="78">
        <v>0</v>
      </c>
      <c r="AP192" s="78">
        <v>0</v>
      </c>
      <c r="AQ192" s="78">
        <v>0</v>
      </c>
      <c r="AR192" s="78">
        <v>0</v>
      </c>
      <c r="AS192" s="78">
        <v>886</v>
      </c>
      <c r="AT192" s="78">
        <v>0</v>
      </c>
      <c r="AU192" s="400">
        <v>1.80609E-4</v>
      </c>
      <c r="AV192" s="400">
        <v>1.9239600000000001E-4</v>
      </c>
      <c r="AW192" s="78">
        <v>10163.52</v>
      </c>
      <c r="AX192" s="78">
        <v>0</v>
      </c>
      <c r="AY192" s="78">
        <v>7101.9</v>
      </c>
      <c r="AZ192" s="78">
        <v>52315.5716758911</v>
      </c>
      <c r="BA192" s="78">
        <v>6</v>
      </c>
      <c r="BB192" s="78">
        <v>6.9</v>
      </c>
      <c r="BC192" s="78">
        <v>1796</v>
      </c>
      <c r="BD192" s="78">
        <v>1</v>
      </c>
      <c r="BE192" s="78">
        <v>0</v>
      </c>
      <c r="BF192" s="78">
        <v>0</v>
      </c>
      <c r="BG192" s="78">
        <v>0</v>
      </c>
      <c r="BH192" s="78">
        <v>0</v>
      </c>
      <c r="BI192" s="78">
        <v>0</v>
      </c>
      <c r="BJ192" s="78">
        <v>0</v>
      </c>
      <c r="BK192" s="78">
        <v>0</v>
      </c>
      <c r="BL192" s="78">
        <v>0</v>
      </c>
      <c r="BM192" s="78">
        <v>286.25799999999998</v>
      </c>
      <c r="BN192" s="78">
        <v>43</v>
      </c>
      <c r="BO192" s="78">
        <v>51</v>
      </c>
      <c r="BP192" s="78">
        <v>5206.3599999999997</v>
      </c>
      <c r="BQ192" s="78">
        <v>1182.3</v>
      </c>
      <c r="BR192" s="78">
        <v>95.558428571428607</v>
      </c>
      <c r="BS192" s="78">
        <v>223</v>
      </c>
      <c r="BT192" s="78">
        <v>69.6666666666667</v>
      </c>
      <c r="BU192" s="78">
        <v>63</v>
      </c>
      <c r="BV192" s="78">
        <f t="shared" si="10"/>
        <v>732</v>
      </c>
      <c r="BW192" s="78">
        <v>150</v>
      </c>
      <c r="BX192" s="78">
        <v>2624.72414259373</v>
      </c>
      <c r="BY192" s="78">
        <v>0.314</v>
      </c>
      <c r="BZ192" s="78">
        <v>12487</v>
      </c>
      <c r="CA192" s="78">
        <v>2019</v>
      </c>
      <c r="CB192" s="78">
        <v>439</v>
      </c>
      <c r="CC192" s="78">
        <v>398</v>
      </c>
      <c r="CD192" s="78">
        <v>446</v>
      </c>
      <c r="CE192" s="78">
        <v>239</v>
      </c>
      <c r="CF192" s="78">
        <v>221.30354207990899</v>
      </c>
      <c r="CG192" s="78">
        <v>175.48537829413399</v>
      </c>
      <c r="CH192" s="78">
        <v>61.392717483706399</v>
      </c>
      <c r="CI192" s="78">
        <v>489.411</v>
      </c>
      <c r="CJ192" s="78">
        <v>388.08449999999999</v>
      </c>
      <c r="CK192" s="78">
        <v>135.76949999999999</v>
      </c>
      <c r="CL192" s="78">
        <v>0</v>
      </c>
    </row>
    <row r="193" spans="1:90" x14ac:dyDescent="0.35">
      <c r="A193" s="72">
        <v>479</v>
      </c>
      <c r="B193" s="72" t="s">
        <v>352</v>
      </c>
      <c r="C193" s="72">
        <v>7</v>
      </c>
      <c r="D193" s="78">
        <v>15469200000</v>
      </c>
      <c r="E193" s="78">
        <v>2324000000</v>
      </c>
      <c r="F193" s="78">
        <v>2358650000</v>
      </c>
      <c r="G193" s="78">
        <v>156901</v>
      </c>
      <c r="H193" s="78">
        <v>3</v>
      </c>
      <c r="I193" s="78">
        <f t="shared" si="8"/>
        <v>2358.65</v>
      </c>
      <c r="J193" s="78">
        <v>31069</v>
      </c>
      <c r="K193" s="78">
        <v>28910</v>
      </c>
      <c r="L193" s="78">
        <v>9455</v>
      </c>
      <c r="M193" s="78">
        <v>22519</v>
      </c>
      <c r="N193" s="78">
        <f t="shared" si="9"/>
        <v>15574.9</v>
      </c>
      <c r="O193" s="78">
        <v>3625</v>
      </c>
      <c r="P193" s="78">
        <v>37</v>
      </c>
      <c r="Q193" s="78">
        <v>13101</v>
      </c>
      <c r="R193" s="78">
        <v>25671</v>
      </c>
      <c r="S193" s="78">
        <v>25600</v>
      </c>
      <c r="T193" s="78">
        <v>0</v>
      </c>
      <c r="U193" s="78">
        <v>7034</v>
      </c>
      <c r="V193" s="78">
        <v>72173</v>
      </c>
      <c r="W193" s="78">
        <v>168940</v>
      </c>
      <c r="X193" s="78">
        <v>177550</v>
      </c>
      <c r="Y193" s="78">
        <v>2649.72</v>
      </c>
      <c r="Z193" s="78">
        <v>7162.4</v>
      </c>
      <c r="AA193" s="78">
        <v>0</v>
      </c>
      <c r="AB193" s="399">
        <f>IF((J193-'[2]Basisgegevens aanvullend'!D193*1.1)&lt;=0,0,J193-'[2]Basisgegevens aanvullend'!D193*1.1)</f>
        <v>0</v>
      </c>
      <c r="AC193" s="399">
        <v>0</v>
      </c>
      <c r="AD193" s="78">
        <v>7356</v>
      </c>
      <c r="AE193" s="78">
        <v>9415.68</v>
      </c>
      <c r="AF193" s="78">
        <v>968</v>
      </c>
      <c r="AG193" s="78">
        <v>0</v>
      </c>
      <c r="AH193" s="78">
        <v>645</v>
      </c>
      <c r="AI193" s="78">
        <v>61</v>
      </c>
      <c r="AJ193" s="78">
        <v>851.4</v>
      </c>
      <c r="AK193" s="78">
        <v>75.64</v>
      </c>
      <c r="AL193" s="78">
        <v>706</v>
      </c>
      <c r="AM193" s="78">
        <v>69441</v>
      </c>
      <c r="AN193" s="78">
        <v>91662.12</v>
      </c>
      <c r="AO193" s="78">
        <v>12</v>
      </c>
      <c r="AP193" s="78">
        <v>0</v>
      </c>
      <c r="AQ193" s="78">
        <v>0</v>
      </c>
      <c r="AR193" s="78">
        <v>10200</v>
      </c>
      <c r="AS193" s="78">
        <v>15821</v>
      </c>
      <c r="AT193" s="78">
        <v>8346</v>
      </c>
      <c r="AU193" s="400">
        <v>6.0473640000000004E-3</v>
      </c>
      <c r="AV193" s="400">
        <v>9.5495489999999992E-3</v>
      </c>
      <c r="AW193" s="78">
        <v>142562.37299999999</v>
      </c>
      <c r="AX193" s="78">
        <v>0</v>
      </c>
      <c r="AY193" s="78">
        <v>10671.36</v>
      </c>
      <c r="AZ193" s="78">
        <v>482419.682075925</v>
      </c>
      <c r="BA193" s="78">
        <v>7</v>
      </c>
      <c r="BB193" s="78">
        <v>8.68</v>
      </c>
      <c r="BC193" s="78">
        <v>17704</v>
      </c>
      <c r="BD193" s="78">
        <v>1</v>
      </c>
      <c r="BE193" s="78">
        <v>0</v>
      </c>
      <c r="BF193" s="78">
        <v>0</v>
      </c>
      <c r="BG193" s="78">
        <v>0</v>
      </c>
      <c r="BH193" s="78">
        <v>0</v>
      </c>
      <c r="BI193" s="78">
        <v>0</v>
      </c>
      <c r="BJ193" s="78">
        <v>0</v>
      </c>
      <c r="BK193" s="78">
        <v>0</v>
      </c>
      <c r="BL193" s="78">
        <v>0</v>
      </c>
      <c r="BM193" s="78">
        <v>4629.2809999999999</v>
      </c>
      <c r="BN193" s="78">
        <v>569</v>
      </c>
      <c r="BO193" s="78">
        <v>545</v>
      </c>
      <c r="BP193" s="78">
        <v>44443.35</v>
      </c>
      <c r="BQ193" s="78">
        <v>10848</v>
      </c>
      <c r="BR193" s="78">
        <v>1126.6450907358001</v>
      </c>
      <c r="BS193" s="78">
        <v>2726</v>
      </c>
      <c r="BT193" s="78">
        <v>1138.3333333333301</v>
      </c>
      <c r="BU193" s="78">
        <v>1105.6666666666699</v>
      </c>
      <c r="BV193" s="78">
        <f t="shared" si="10"/>
        <v>9476</v>
      </c>
      <c r="BW193" s="78">
        <v>2120</v>
      </c>
      <c r="BX193" s="78">
        <v>23530.767010982599</v>
      </c>
      <c r="BY193" s="78">
        <v>8.5990000000000002</v>
      </c>
      <c r="BZ193" s="78">
        <v>127991</v>
      </c>
      <c r="CA193" s="78">
        <v>16387</v>
      </c>
      <c r="CB193" s="78">
        <v>3068</v>
      </c>
      <c r="CC193" s="78">
        <v>4127</v>
      </c>
      <c r="CD193" s="78">
        <v>3318</v>
      </c>
      <c r="CE193" s="78">
        <v>1531</v>
      </c>
      <c r="CF193" s="78">
        <v>2354.14453132875</v>
      </c>
      <c r="CG193" s="78">
        <v>1504.3109157414201</v>
      </c>
      <c r="CH193" s="78">
        <v>493.43730649040202</v>
      </c>
      <c r="CI193" s="78">
        <v>5189.2223999999997</v>
      </c>
      <c r="CJ193" s="78">
        <v>3315.9407999999999</v>
      </c>
      <c r="CK193" s="78">
        <v>1087.68</v>
      </c>
      <c r="CL193" s="78">
        <v>79343</v>
      </c>
    </row>
    <row r="194" spans="1:90" x14ac:dyDescent="0.35">
      <c r="A194" s="72">
        <v>473</v>
      </c>
      <c r="B194" s="72" t="s">
        <v>354</v>
      </c>
      <c r="C194" s="72">
        <v>7</v>
      </c>
      <c r="D194" s="78">
        <v>2914000000</v>
      </c>
      <c r="E194" s="78">
        <v>201950000</v>
      </c>
      <c r="F194" s="78">
        <v>214550000</v>
      </c>
      <c r="G194" s="78">
        <v>17168</v>
      </c>
      <c r="H194" s="78">
        <v>2</v>
      </c>
      <c r="I194" s="78">
        <f t="shared" si="8"/>
        <v>214.55</v>
      </c>
      <c r="J194" s="78">
        <v>2748</v>
      </c>
      <c r="K194" s="78">
        <v>4510</v>
      </c>
      <c r="L194" s="78">
        <v>1474</v>
      </c>
      <c r="M194" s="78">
        <v>2989</v>
      </c>
      <c r="N194" s="78">
        <f t="shared" si="9"/>
        <v>1987</v>
      </c>
      <c r="O194" s="78">
        <v>363</v>
      </c>
      <c r="P194" s="78">
        <v>5</v>
      </c>
      <c r="Q194" s="78">
        <v>1309</v>
      </c>
      <c r="R194" s="78">
        <v>3730</v>
      </c>
      <c r="S194" s="78">
        <v>665</v>
      </c>
      <c r="T194" s="78">
        <v>0</v>
      </c>
      <c r="U194" s="78">
        <v>771</v>
      </c>
      <c r="V194" s="78">
        <v>8922</v>
      </c>
      <c r="W194" s="78">
        <v>13400</v>
      </c>
      <c r="X194" s="78">
        <v>2030</v>
      </c>
      <c r="Y194" s="78">
        <v>0</v>
      </c>
      <c r="Z194" s="78">
        <v>140.80000000000001</v>
      </c>
      <c r="AA194" s="78">
        <v>0</v>
      </c>
      <c r="AB194" s="399">
        <f>IF((J194-'[2]Basisgegevens aanvullend'!D194*1.1)&lt;=0,0,J194-'[2]Basisgegevens aanvullend'!D194*1.1)</f>
        <v>0</v>
      </c>
      <c r="AC194" s="399">
        <v>0</v>
      </c>
      <c r="AD194" s="78">
        <v>3213</v>
      </c>
      <c r="AE194" s="78">
        <v>3213</v>
      </c>
      <c r="AF194" s="78">
        <v>162</v>
      </c>
      <c r="AG194" s="78">
        <v>1022</v>
      </c>
      <c r="AH194" s="78">
        <v>70</v>
      </c>
      <c r="AI194" s="78">
        <v>4</v>
      </c>
      <c r="AJ194" s="78">
        <v>70</v>
      </c>
      <c r="AK194" s="78">
        <v>4</v>
      </c>
      <c r="AL194" s="78">
        <v>74</v>
      </c>
      <c r="AM194" s="78">
        <v>10020</v>
      </c>
      <c r="AN194" s="78">
        <v>10020</v>
      </c>
      <c r="AO194" s="78">
        <v>0</v>
      </c>
      <c r="AP194" s="78">
        <v>0</v>
      </c>
      <c r="AQ194" s="78">
        <v>0</v>
      </c>
      <c r="AR194" s="78">
        <v>0</v>
      </c>
      <c r="AS194" s="78">
        <v>2296</v>
      </c>
      <c r="AT194" s="78">
        <v>0</v>
      </c>
      <c r="AU194" s="400">
        <v>4.87364E-4</v>
      </c>
      <c r="AV194" s="400">
        <v>7.7458500000000005E-4</v>
      </c>
      <c r="AW194" s="78">
        <v>18176.28</v>
      </c>
      <c r="AX194" s="78">
        <v>0</v>
      </c>
      <c r="AY194" s="78">
        <v>1527</v>
      </c>
      <c r="AZ194" s="78">
        <v>7767.5662222222199</v>
      </c>
      <c r="BA194" s="78">
        <v>2</v>
      </c>
      <c r="BB194" s="78">
        <v>2</v>
      </c>
      <c r="BC194" s="78">
        <v>2505</v>
      </c>
      <c r="BD194" s="78">
        <v>1</v>
      </c>
      <c r="BE194" s="78">
        <v>0</v>
      </c>
      <c r="BF194" s="78">
        <v>0</v>
      </c>
      <c r="BG194" s="78">
        <v>0</v>
      </c>
      <c r="BH194" s="78">
        <v>0</v>
      </c>
      <c r="BI194" s="78">
        <v>0</v>
      </c>
      <c r="BJ194" s="78">
        <v>0</v>
      </c>
      <c r="BK194" s="78">
        <v>0</v>
      </c>
      <c r="BL194" s="78">
        <v>0</v>
      </c>
      <c r="BM194" s="78">
        <v>456.16800000000001</v>
      </c>
      <c r="BN194" s="78">
        <v>26</v>
      </c>
      <c r="BO194" s="78">
        <v>40</v>
      </c>
      <c r="BP194" s="78">
        <v>6013</v>
      </c>
      <c r="BQ194" s="78">
        <v>1198.48</v>
      </c>
      <c r="BR194" s="78">
        <v>60.283974317816998</v>
      </c>
      <c r="BS194" s="78">
        <v>244</v>
      </c>
      <c r="BT194" s="78">
        <v>104</v>
      </c>
      <c r="BU194" s="78">
        <v>102.333333333333</v>
      </c>
      <c r="BV194" s="78">
        <f t="shared" si="10"/>
        <v>946</v>
      </c>
      <c r="BW194" s="78">
        <v>187</v>
      </c>
      <c r="BX194" s="78">
        <v>3022.2340172937602</v>
      </c>
      <c r="BY194" s="78">
        <v>1.0049999999999999</v>
      </c>
      <c r="BZ194" s="78">
        <v>12658</v>
      </c>
      <c r="CA194" s="78">
        <v>2515</v>
      </c>
      <c r="CB194" s="78">
        <v>521</v>
      </c>
      <c r="CC194" s="78">
        <v>763</v>
      </c>
      <c r="CD194" s="78">
        <v>627</v>
      </c>
      <c r="CE194" s="78">
        <v>302</v>
      </c>
      <c r="CF194" s="78">
        <v>327.59720558882202</v>
      </c>
      <c r="CG194" s="78">
        <v>217.14221556886201</v>
      </c>
      <c r="CH194" s="78">
        <v>83.287425149700596</v>
      </c>
      <c r="CI194" s="78">
        <v>685.58</v>
      </c>
      <c r="CJ194" s="78">
        <v>454.42500000000001</v>
      </c>
      <c r="CK194" s="78">
        <v>174.3</v>
      </c>
      <c r="CL194" s="78">
        <v>73000</v>
      </c>
    </row>
    <row r="195" spans="1:90" x14ac:dyDescent="0.35">
      <c r="A195" s="72">
        <v>482</v>
      </c>
      <c r="B195" s="72" t="s">
        <v>15</v>
      </c>
      <c r="C195" s="72">
        <v>8</v>
      </c>
      <c r="D195" s="78">
        <v>1699200000</v>
      </c>
      <c r="E195" s="78">
        <v>352100000</v>
      </c>
      <c r="F195" s="78">
        <v>355250000</v>
      </c>
      <c r="G195" s="78">
        <v>20136</v>
      </c>
      <c r="H195" s="78">
        <v>1</v>
      </c>
      <c r="I195" s="78">
        <f t="shared" si="8"/>
        <v>355.25</v>
      </c>
      <c r="J195" s="78">
        <v>4575</v>
      </c>
      <c r="K195" s="78">
        <v>4030</v>
      </c>
      <c r="L195" s="78">
        <v>1444</v>
      </c>
      <c r="M195" s="78">
        <v>2481</v>
      </c>
      <c r="N195" s="78">
        <f t="shared" si="9"/>
        <v>1637.9</v>
      </c>
      <c r="O195" s="78">
        <v>327.33333333333297</v>
      </c>
      <c r="P195" s="78">
        <v>40</v>
      </c>
      <c r="Q195" s="78">
        <v>1182.3333333333301</v>
      </c>
      <c r="R195" s="78">
        <v>2523</v>
      </c>
      <c r="S195" s="78">
        <v>1175</v>
      </c>
      <c r="T195" s="78">
        <v>0</v>
      </c>
      <c r="U195" s="78">
        <v>590</v>
      </c>
      <c r="V195" s="78">
        <v>8396</v>
      </c>
      <c r="W195" s="78">
        <v>17420</v>
      </c>
      <c r="X195" s="78">
        <v>3950</v>
      </c>
      <c r="Y195" s="78">
        <v>0</v>
      </c>
      <c r="Z195" s="78">
        <v>0</v>
      </c>
      <c r="AA195" s="78">
        <v>0</v>
      </c>
      <c r="AB195" s="399">
        <f>IF((J195-'[2]Basisgegevens aanvullend'!D195*1.1)&lt;=0,0,J195-'[2]Basisgegevens aanvullend'!D195*1.1)</f>
        <v>0</v>
      </c>
      <c r="AC195" s="399">
        <v>0</v>
      </c>
      <c r="AD195" s="78">
        <v>873</v>
      </c>
      <c r="AE195" s="78">
        <v>1187.28</v>
      </c>
      <c r="AF195" s="78">
        <v>133</v>
      </c>
      <c r="AG195" s="78">
        <v>0</v>
      </c>
      <c r="AH195" s="78">
        <v>92</v>
      </c>
      <c r="AI195" s="78">
        <v>13</v>
      </c>
      <c r="AJ195" s="78">
        <v>126.04</v>
      </c>
      <c r="AK195" s="78">
        <v>17.68</v>
      </c>
      <c r="AL195" s="78">
        <v>105</v>
      </c>
      <c r="AM195" s="78">
        <v>8431</v>
      </c>
      <c r="AN195" s="78">
        <v>11550.47</v>
      </c>
      <c r="AO195" s="78">
        <v>0</v>
      </c>
      <c r="AP195" s="78">
        <v>0</v>
      </c>
      <c r="AQ195" s="78">
        <v>0</v>
      </c>
      <c r="AR195" s="78">
        <v>0</v>
      </c>
      <c r="AS195" s="78">
        <v>1467</v>
      </c>
      <c r="AT195" s="78">
        <v>0</v>
      </c>
      <c r="AU195" s="400">
        <v>2.1213199999999999E-4</v>
      </c>
      <c r="AV195" s="400">
        <v>5.8744400000000001E-4</v>
      </c>
      <c r="AW195" s="78">
        <v>12874.137000000001</v>
      </c>
      <c r="AX195" s="78">
        <v>0</v>
      </c>
      <c r="AY195" s="78">
        <v>896.24</v>
      </c>
      <c r="AZ195" s="78">
        <v>49298.372326043696</v>
      </c>
      <c r="BA195" s="78">
        <v>3</v>
      </c>
      <c r="BB195" s="78">
        <v>4.08</v>
      </c>
      <c r="BC195" s="78">
        <v>2132</v>
      </c>
      <c r="BD195" s="78">
        <v>1</v>
      </c>
      <c r="BE195" s="78">
        <v>0</v>
      </c>
      <c r="BF195" s="78">
        <v>0</v>
      </c>
      <c r="BG195" s="78">
        <v>0</v>
      </c>
      <c r="BH195" s="78">
        <v>0</v>
      </c>
      <c r="BI195" s="78">
        <v>0</v>
      </c>
      <c r="BJ195" s="78">
        <v>0</v>
      </c>
      <c r="BK195" s="78">
        <v>0</v>
      </c>
      <c r="BL195" s="78">
        <v>0</v>
      </c>
      <c r="BM195" s="78">
        <v>338.55</v>
      </c>
      <c r="BN195" s="78">
        <v>153</v>
      </c>
      <c r="BO195" s="78">
        <v>40</v>
      </c>
      <c r="BP195" s="78">
        <v>5524.82</v>
      </c>
      <c r="BQ195" s="78">
        <v>1456</v>
      </c>
      <c r="BR195" s="78">
        <v>298.17484500929902</v>
      </c>
      <c r="BS195" s="78">
        <v>250</v>
      </c>
      <c r="BT195" s="78">
        <v>99.6666666666667</v>
      </c>
      <c r="BU195" s="78">
        <v>101</v>
      </c>
      <c r="BV195" s="78">
        <f t="shared" si="10"/>
        <v>854.99999999999704</v>
      </c>
      <c r="BW195" s="78">
        <v>209</v>
      </c>
      <c r="BX195" s="78">
        <v>3341.38771138111</v>
      </c>
      <c r="BY195" s="78">
        <v>0.75600000000000001</v>
      </c>
      <c r="BZ195" s="78">
        <v>16106</v>
      </c>
      <c r="CA195" s="78">
        <v>2109</v>
      </c>
      <c r="CB195" s="78">
        <v>477</v>
      </c>
      <c r="CC195" s="78">
        <v>449</v>
      </c>
      <c r="CD195" s="78">
        <v>479</v>
      </c>
      <c r="CE195" s="78">
        <v>257</v>
      </c>
      <c r="CF195" s="78">
        <v>254.30092515715799</v>
      </c>
      <c r="CG195" s="78">
        <v>197.185209346459</v>
      </c>
      <c r="CH195" s="78">
        <v>70.7146957656269</v>
      </c>
      <c r="CI195" s="78">
        <v>598.34389999999996</v>
      </c>
      <c r="CJ195" s="78">
        <v>463.95650000000001</v>
      </c>
      <c r="CK195" s="78">
        <v>166.3844</v>
      </c>
      <c r="CL195" s="78">
        <v>7938</v>
      </c>
    </row>
    <row r="196" spans="1:90" x14ac:dyDescent="0.35">
      <c r="A196" s="72">
        <v>613</v>
      </c>
      <c r="B196" s="72" t="s">
        <v>16</v>
      </c>
      <c r="C196" s="72">
        <v>8</v>
      </c>
      <c r="D196" s="78">
        <v>2806400000</v>
      </c>
      <c r="E196" s="78">
        <v>320950000</v>
      </c>
      <c r="F196" s="78">
        <v>339500000</v>
      </c>
      <c r="G196" s="78">
        <v>25814</v>
      </c>
      <c r="H196" s="78">
        <v>2</v>
      </c>
      <c r="I196" s="78">
        <f t="shared" si="8"/>
        <v>339.5</v>
      </c>
      <c r="J196" s="78">
        <v>5591</v>
      </c>
      <c r="K196" s="78">
        <v>4565</v>
      </c>
      <c r="L196" s="78">
        <v>1357</v>
      </c>
      <c r="M196" s="78">
        <v>2241</v>
      </c>
      <c r="N196" s="78">
        <f t="shared" si="9"/>
        <v>1148.3</v>
      </c>
      <c r="O196" s="78">
        <v>269.33333333333297</v>
      </c>
      <c r="P196" s="78">
        <v>9</v>
      </c>
      <c r="Q196" s="78">
        <v>1159.3333333333301</v>
      </c>
      <c r="R196" s="78">
        <v>2733</v>
      </c>
      <c r="S196" s="78">
        <v>2525</v>
      </c>
      <c r="T196" s="78">
        <v>0</v>
      </c>
      <c r="U196" s="78">
        <v>810</v>
      </c>
      <c r="V196" s="78">
        <v>11017</v>
      </c>
      <c r="W196" s="78">
        <v>17430</v>
      </c>
      <c r="X196" s="78">
        <v>2420</v>
      </c>
      <c r="Y196" s="78">
        <v>0</v>
      </c>
      <c r="Z196" s="78">
        <v>0</v>
      </c>
      <c r="AA196" s="78">
        <v>0</v>
      </c>
      <c r="AB196" s="399">
        <f>IF((J196-'[2]Basisgegevens aanvullend'!D196*1.1)&lt;=0,0,J196-'[2]Basisgegevens aanvullend'!D196*1.1)</f>
        <v>0</v>
      </c>
      <c r="AC196" s="399">
        <v>0</v>
      </c>
      <c r="AD196" s="78">
        <v>2165</v>
      </c>
      <c r="AE196" s="78">
        <v>2662.95</v>
      </c>
      <c r="AF196" s="78">
        <v>210</v>
      </c>
      <c r="AG196" s="78">
        <v>0</v>
      </c>
      <c r="AH196" s="78">
        <v>110</v>
      </c>
      <c r="AI196" s="78">
        <v>15</v>
      </c>
      <c r="AJ196" s="78">
        <v>140.80000000000001</v>
      </c>
      <c r="AK196" s="78">
        <v>17.850000000000001</v>
      </c>
      <c r="AL196" s="78">
        <v>125</v>
      </c>
      <c r="AM196" s="78">
        <v>10927</v>
      </c>
      <c r="AN196" s="78">
        <v>13986.56</v>
      </c>
      <c r="AO196" s="78">
        <v>0</v>
      </c>
      <c r="AP196" s="78">
        <v>0</v>
      </c>
      <c r="AQ196" s="78">
        <v>0</v>
      </c>
      <c r="AR196" s="78">
        <v>0</v>
      </c>
      <c r="AS196" s="78">
        <v>0</v>
      </c>
      <c r="AT196" s="78">
        <v>0</v>
      </c>
      <c r="AU196" s="400">
        <v>6.9413999999999996E-5</v>
      </c>
      <c r="AV196" s="400">
        <v>1.8736E-4</v>
      </c>
      <c r="AW196" s="78">
        <v>11342.226000000001</v>
      </c>
      <c r="AX196" s="78">
        <v>0</v>
      </c>
      <c r="AY196" s="78">
        <v>1483.38</v>
      </c>
      <c r="AZ196" s="78">
        <v>28556.044597894699</v>
      </c>
      <c r="BA196" s="78">
        <v>2</v>
      </c>
      <c r="BB196" s="78">
        <v>2.38</v>
      </c>
      <c r="BC196" s="78">
        <v>2713</v>
      </c>
      <c r="BD196" s="78">
        <v>1</v>
      </c>
      <c r="BE196" s="78">
        <v>0</v>
      </c>
      <c r="BF196" s="78">
        <v>0</v>
      </c>
      <c r="BG196" s="78">
        <v>0</v>
      </c>
      <c r="BH196" s="78">
        <v>0</v>
      </c>
      <c r="BI196" s="78">
        <v>0</v>
      </c>
      <c r="BJ196" s="78">
        <v>0</v>
      </c>
      <c r="BK196" s="78">
        <v>0</v>
      </c>
      <c r="BL196" s="78">
        <v>0</v>
      </c>
      <c r="BM196" s="78">
        <v>436.09800000000001</v>
      </c>
      <c r="BN196" s="78">
        <v>39</v>
      </c>
      <c r="BO196" s="78">
        <v>41</v>
      </c>
      <c r="BP196" s="78">
        <v>8596.31</v>
      </c>
      <c r="BQ196" s="78">
        <v>2609.8200000000002</v>
      </c>
      <c r="BR196" s="78">
        <v>153.181874747927</v>
      </c>
      <c r="BS196" s="78">
        <v>353</v>
      </c>
      <c r="BT196" s="78">
        <v>91.6666666666667</v>
      </c>
      <c r="BU196" s="78">
        <v>78</v>
      </c>
      <c r="BV196" s="78">
        <f t="shared" si="10"/>
        <v>889.99999999999704</v>
      </c>
      <c r="BW196" s="78">
        <v>281</v>
      </c>
      <c r="BX196" s="78">
        <v>3456.1909652207901</v>
      </c>
      <c r="BY196" s="78">
        <v>0.66300000000000003</v>
      </c>
      <c r="BZ196" s="78">
        <v>21249</v>
      </c>
      <c r="CA196" s="78">
        <v>2731</v>
      </c>
      <c r="CB196" s="78">
        <v>477</v>
      </c>
      <c r="CC196" s="78">
        <v>533</v>
      </c>
      <c r="CD196" s="78">
        <v>473</v>
      </c>
      <c r="CE196" s="78">
        <v>261</v>
      </c>
      <c r="CF196" s="78">
        <v>176.233101491718</v>
      </c>
      <c r="CG196" s="78">
        <v>101.410222384918</v>
      </c>
      <c r="CH196" s="78">
        <v>38.147057746865599</v>
      </c>
      <c r="CI196" s="78">
        <v>487.00080000000003</v>
      </c>
      <c r="CJ196" s="78">
        <v>280.23599999999999</v>
      </c>
      <c r="CK196" s="78">
        <v>105.4152</v>
      </c>
      <c r="CL196" s="78">
        <v>18434</v>
      </c>
    </row>
    <row r="197" spans="1:90" x14ac:dyDescent="0.35">
      <c r="A197" s="72">
        <v>484</v>
      </c>
      <c r="B197" s="72" t="s">
        <v>20</v>
      </c>
      <c r="C197" s="72">
        <v>8</v>
      </c>
      <c r="D197" s="78">
        <v>11098000000</v>
      </c>
      <c r="E197" s="78">
        <v>1513400000</v>
      </c>
      <c r="F197" s="78">
        <v>1574650000</v>
      </c>
      <c r="G197" s="78">
        <v>112587</v>
      </c>
      <c r="H197" s="78">
        <v>5</v>
      </c>
      <c r="I197" s="78">
        <f t="shared" si="8"/>
        <v>1574.65</v>
      </c>
      <c r="J197" s="78">
        <v>22277</v>
      </c>
      <c r="K197" s="78">
        <v>21950</v>
      </c>
      <c r="L197" s="78">
        <v>6837</v>
      </c>
      <c r="M197" s="78">
        <v>13070</v>
      </c>
      <c r="N197" s="78">
        <f t="shared" si="9"/>
        <v>8157.7</v>
      </c>
      <c r="O197" s="78">
        <v>1542.6666666666699</v>
      </c>
      <c r="P197" s="78">
        <v>106</v>
      </c>
      <c r="Q197" s="78">
        <v>6163.6666666666697</v>
      </c>
      <c r="R197" s="78">
        <v>16164</v>
      </c>
      <c r="S197" s="78">
        <v>7725</v>
      </c>
      <c r="T197" s="78">
        <v>0</v>
      </c>
      <c r="U197" s="78">
        <v>3561</v>
      </c>
      <c r="V197" s="78">
        <v>50708</v>
      </c>
      <c r="W197" s="78">
        <v>113140</v>
      </c>
      <c r="X197" s="78">
        <v>83460</v>
      </c>
      <c r="Y197" s="78">
        <v>2240.54</v>
      </c>
      <c r="Z197" s="78">
        <v>5076.8</v>
      </c>
      <c r="AA197" s="78">
        <v>0</v>
      </c>
      <c r="AB197" s="399">
        <f>IF((J197-'[2]Basisgegevens aanvullend'!D197*1.1)&lt;=0,0,J197-'[2]Basisgegevens aanvullend'!D197*1.1)</f>
        <v>0</v>
      </c>
      <c r="AC197" s="399">
        <v>0</v>
      </c>
      <c r="AD197" s="78">
        <v>12635</v>
      </c>
      <c r="AE197" s="78">
        <v>16678.2</v>
      </c>
      <c r="AF197" s="78">
        <v>615</v>
      </c>
      <c r="AG197" s="78">
        <v>0</v>
      </c>
      <c r="AH197" s="78">
        <v>521</v>
      </c>
      <c r="AI197" s="78">
        <v>84</v>
      </c>
      <c r="AJ197" s="78">
        <v>672.09</v>
      </c>
      <c r="AK197" s="78">
        <v>112.56</v>
      </c>
      <c r="AL197" s="78">
        <v>605</v>
      </c>
      <c r="AM197" s="78">
        <v>49123</v>
      </c>
      <c r="AN197" s="78">
        <v>63368.67</v>
      </c>
      <c r="AO197" s="78">
        <v>0</v>
      </c>
      <c r="AP197" s="78">
        <v>0</v>
      </c>
      <c r="AQ197" s="78">
        <v>0</v>
      </c>
      <c r="AR197" s="78">
        <v>0</v>
      </c>
      <c r="AS197" s="78">
        <v>3731</v>
      </c>
      <c r="AT197" s="78">
        <v>0</v>
      </c>
      <c r="AU197" s="400">
        <v>1.1199599999999999E-3</v>
      </c>
      <c r="AV197" s="400">
        <v>2.3711610000000001E-3</v>
      </c>
      <c r="AW197" s="78">
        <v>92007.379000000001</v>
      </c>
      <c r="AX197" s="78">
        <v>0</v>
      </c>
      <c r="AY197" s="78">
        <v>14970.12</v>
      </c>
      <c r="AZ197" s="78">
        <v>320301.432896604</v>
      </c>
      <c r="BA197" s="78">
        <v>12</v>
      </c>
      <c r="BB197" s="78">
        <v>16.079999999999998</v>
      </c>
      <c r="BC197" s="78">
        <v>12784</v>
      </c>
      <c r="BD197" s="78">
        <v>1</v>
      </c>
      <c r="BE197" s="78">
        <v>0</v>
      </c>
      <c r="BF197" s="78">
        <v>0</v>
      </c>
      <c r="BG197" s="78">
        <v>0</v>
      </c>
      <c r="BH197" s="78">
        <v>0</v>
      </c>
      <c r="BI197" s="78">
        <v>0</v>
      </c>
      <c r="BJ197" s="78">
        <v>0</v>
      </c>
      <c r="BK197" s="78">
        <v>0</v>
      </c>
      <c r="BL197" s="78">
        <v>0</v>
      </c>
      <c r="BM197" s="78">
        <v>2049.4839999999999</v>
      </c>
      <c r="BN197" s="78">
        <v>382</v>
      </c>
      <c r="BO197" s="78">
        <v>318</v>
      </c>
      <c r="BP197" s="78">
        <v>35346.959999999999</v>
      </c>
      <c r="BQ197" s="78">
        <v>8588.43</v>
      </c>
      <c r="BR197" s="78">
        <v>1071.0630500739701</v>
      </c>
      <c r="BS197" s="78">
        <v>1417</v>
      </c>
      <c r="BT197" s="78">
        <v>469.66666666666703</v>
      </c>
      <c r="BU197" s="78">
        <v>389.66666666666703</v>
      </c>
      <c r="BV197" s="78">
        <f t="shared" si="10"/>
        <v>4621</v>
      </c>
      <c r="BW197" s="78">
        <v>1477</v>
      </c>
      <c r="BX197" s="78">
        <v>17599.218462693399</v>
      </c>
      <c r="BY197" s="78">
        <v>2.5489999999999999</v>
      </c>
      <c r="BZ197" s="78">
        <v>90637</v>
      </c>
      <c r="CA197" s="78">
        <v>12925</v>
      </c>
      <c r="CB197" s="78">
        <v>2188</v>
      </c>
      <c r="CC197" s="78">
        <v>2656</v>
      </c>
      <c r="CD197" s="78">
        <v>2222</v>
      </c>
      <c r="CE197" s="78">
        <v>1128</v>
      </c>
      <c r="CF197" s="78">
        <v>1329.8630295380999</v>
      </c>
      <c r="CG197" s="78">
        <v>793.96542760010595</v>
      </c>
      <c r="CH197" s="78">
        <v>269.02823524621903</v>
      </c>
      <c r="CI197" s="78">
        <v>3207.2040000000002</v>
      </c>
      <c r="CJ197" s="78">
        <v>1914.7905000000001</v>
      </c>
      <c r="CK197" s="78">
        <v>648.80999999999995</v>
      </c>
      <c r="CL197" s="78">
        <v>259444</v>
      </c>
    </row>
    <row r="198" spans="1:90" x14ac:dyDescent="0.35">
      <c r="A198" s="72">
        <v>489</v>
      </c>
      <c r="B198" s="72" t="s">
        <v>34</v>
      </c>
      <c r="C198" s="72">
        <v>8</v>
      </c>
      <c r="D198" s="78">
        <v>5244400000</v>
      </c>
      <c r="E198" s="78">
        <v>782250000</v>
      </c>
      <c r="F198" s="78">
        <v>785050000</v>
      </c>
      <c r="G198" s="78">
        <v>48643</v>
      </c>
      <c r="H198" s="78">
        <v>1</v>
      </c>
      <c r="I198" s="78">
        <f t="shared" ref="I198:I261" si="11">F198/1000000</f>
        <v>785.05</v>
      </c>
      <c r="J198" s="78">
        <v>10760</v>
      </c>
      <c r="K198" s="78">
        <v>8749</v>
      </c>
      <c r="L198" s="78">
        <v>2715</v>
      </c>
      <c r="M198" s="78">
        <v>3839</v>
      </c>
      <c r="N198" s="78">
        <f t="shared" ref="N198:N261" si="12">IF(M198-0.1*AM198&lt;=0,0,M198-0.1*AM198)</f>
        <v>1882.5</v>
      </c>
      <c r="O198" s="78">
        <v>515</v>
      </c>
      <c r="P198" s="78">
        <v>31</v>
      </c>
      <c r="Q198" s="78">
        <v>2033</v>
      </c>
      <c r="R198" s="78">
        <v>4906</v>
      </c>
      <c r="S198" s="78">
        <v>6025</v>
      </c>
      <c r="T198" s="78">
        <v>0</v>
      </c>
      <c r="U198" s="78">
        <v>1592</v>
      </c>
      <c r="V198" s="78">
        <v>19776</v>
      </c>
      <c r="W198" s="78">
        <v>45640</v>
      </c>
      <c r="X198" s="78">
        <v>18920</v>
      </c>
      <c r="Y198" s="78">
        <v>1979.08</v>
      </c>
      <c r="Z198" s="78">
        <v>3483.2</v>
      </c>
      <c r="AA198" s="78">
        <v>0</v>
      </c>
      <c r="AB198" s="399">
        <f>IF((J198-'[2]Basisgegevens aanvullend'!D198*1.1)&lt;=0,0,J198-'[2]Basisgegevens aanvullend'!D198*1.1)</f>
        <v>0</v>
      </c>
      <c r="AC198" s="399">
        <v>611.79999999999995</v>
      </c>
      <c r="AD198" s="78">
        <v>1947</v>
      </c>
      <c r="AE198" s="78">
        <v>2608.98</v>
      </c>
      <c r="AF198" s="78">
        <v>226</v>
      </c>
      <c r="AG198" s="78">
        <v>0</v>
      </c>
      <c r="AH198" s="78">
        <v>227</v>
      </c>
      <c r="AI198" s="78">
        <v>3</v>
      </c>
      <c r="AJ198" s="78">
        <v>310.99</v>
      </c>
      <c r="AK198" s="78">
        <v>3.78</v>
      </c>
      <c r="AL198" s="78">
        <v>231</v>
      </c>
      <c r="AM198" s="78">
        <v>19565</v>
      </c>
      <c r="AN198" s="78">
        <v>26804.05</v>
      </c>
      <c r="AO198" s="78">
        <v>0</v>
      </c>
      <c r="AP198" s="78">
        <v>0</v>
      </c>
      <c r="AQ198" s="78">
        <v>0</v>
      </c>
      <c r="AR198" s="78">
        <v>0</v>
      </c>
      <c r="AS198" s="78">
        <v>716</v>
      </c>
      <c r="AT198" s="78">
        <v>0</v>
      </c>
      <c r="AU198" s="400">
        <v>1.07892E-4</v>
      </c>
      <c r="AV198" s="400">
        <v>1.4540199999999999E-4</v>
      </c>
      <c r="AW198" s="78">
        <v>32673.55</v>
      </c>
      <c r="AX198" s="78">
        <v>0</v>
      </c>
      <c r="AY198" s="78">
        <v>2887.7</v>
      </c>
      <c r="AZ198" s="78">
        <v>166268.62386562399</v>
      </c>
      <c r="BA198" s="78">
        <v>4</v>
      </c>
      <c r="BB198" s="78">
        <v>5.04</v>
      </c>
      <c r="BC198" s="78">
        <v>5761</v>
      </c>
      <c r="BD198" s="78">
        <v>1</v>
      </c>
      <c r="BE198" s="78">
        <v>0</v>
      </c>
      <c r="BF198" s="78">
        <v>0</v>
      </c>
      <c r="BG198" s="78">
        <v>0</v>
      </c>
      <c r="BH198" s="78">
        <v>0</v>
      </c>
      <c r="BI198" s="78">
        <v>0</v>
      </c>
      <c r="BJ198" s="78">
        <v>0</v>
      </c>
      <c r="BK198" s="78">
        <v>0</v>
      </c>
      <c r="BL198" s="78">
        <v>0</v>
      </c>
      <c r="BM198" s="78">
        <v>796.24</v>
      </c>
      <c r="BN198" s="78">
        <v>106</v>
      </c>
      <c r="BO198" s="78">
        <v>88</v>
      </c>
      <c r="BP198" s="78">
        <v>16234.68</v>
      </c>
      <c r="BQ198" s="78">
        <v>4724.46</v>
      </c>
      <c r="BR198" s="78">
        <v>293.96120509849402</v>
      </c>
      <c r="BS198" s="78">
        <v>688</v>
      </c>
      <c r="BT198" s="78">
        <v>181.666666666667</v>
      </c>
      <c r="BU198" s="78">
        <v>143.666666666667</v>
      </c>
      <c r="BV198" s="78">
        <f t="shared" ref="BV198:BV261" si="13">Q198-O198</f>
        <v>1518</v>
      </c>
      <c r="BW198" s="78">
        <v>391</v>
      </c>
      <c r="BX198" s="78">
        <v>6010.5469220347304</v>
      </c>
      <c r="BY198" s="78">
        <v>0.47299999999999998</v>
      </c>
      <c r="BZ198" s="78">
        <v>39894</v>
      </c>
      <c r="CA198" s="78">
        <v>5073</v>
      </c>
      <c r="CB198" s="78">
        <v>961</v>
      </c>
      <c r="CC198" s="78">
        <v>977</v>
      </c>
      <c r="CD198" s="78">
        <v>840</v>
      </c>
      <c r="CE198" s="78">
        <v>484</v>
      </c>
      <c r="CF198" s="78">
        <v>299.04472271914102</v>
      </c>
      <c r="CG198" s="78">
        <v>178.58011755686201</v>
      </c>
      <c r="CH198" s="78">
        <v>69.276769741886</v>
      </c>
      <c r="CI198" s="78">
        <v>973.42560000000003</v>
      </c>
      <c r="CJ198" s="78">
        <v>581.29920000000004</v>
      </c>
      <c r="CK198" s="78">
        <v>225.50399999999999</v>
      </c>
      <c r="CL198" s="78">
        <v>27342</v>
      </c>
    </row>
    <row r="199" spans="1:90" x14ac:dyDescent="0.35">
      <c r="A199" s="72">
        <v>1901</v>
      </c>
      <c r="B199" s="72" t="s">
        <v>53</v>
      </c>
      <c r="C199" s="72">
        <v>8</v>
      </c>
      <c r="D199" s="78">
        <v>4224800000</v>
      </c>
      <c r="E199" s="78">
        <v>486850000</v>
      </c>
      <c r="F199" s="78">
        <v>512400000</v>
      </c>
      <c r="G199" s="78">
        <v>35278</v>
      </c>
      <c r="H199" s="78">
        <v>6</v>
      </c>
      <c r="I199" s="78">
        <f t="shared" si="11"/>
        <v>512.4</v>
      </c>
      <c r="J199" s="78">
        <v>7539</v>
      </c>
      <c r="K199" s="78">
        <v>7199</v>
      </c>
      <c r="L199" s="78">
        <v>2329</v>
      </c>
      <c r="M199" s="78">
        <v>3371</v>
      </c>
      <c r="N199" s="78">
        <f t="shared" si="12"/>
        <v>1852</v>
      </c>
      <c r="O199" s="78">
        <v>285</v>
      </c>
      <c r="P199" s="78">
        <v>31</v>
      </c>
      <c r="Q199" s="78">
        <v>1342</v>
      </c>
      <c r="R199" s="78">
        <v>4180</v>
      </c>
      <c r="S199" s="78">
        <v>1580</v>
      </c>
      <c r="T199" s="78">
        <v>0</v>
      </c>
      <c r="U199" s="78">
        <v>905</v>
      </c>
      <c r="V199" s="78">
        <v>14814</v>
      </c>
      <c r="W199" s="78">
        <v>28020</v>
      </c>
      <c r="X199" s="78">
        <v>4510</v>
      </c>
      <c r="Y199" s="78">
        <v>0</v>
      </c>
      <c r="Z199" s="78">
        <v>0</v>
      </c>
      <c r="AA199" s="78">
        <v>0</v>
      </c>
      <c r="AB199" s="399">
        <f>IF((J199-'[2]Basisgegevens aanvullend'!D199*1.1)&lt;=0,0,J199-'[2]Basisgegevens aanvullend'!D199*1.1)</f>
        <v>0</v>
      </c>
      <c r="AC199" s="399">
        <v>0</v>
      </c>
      <c r="AD199" s="78">
        <v>7567</v>
      </c>
      <c r="AE199" s="78">
        <v>11501.84</v>
      </c>
      <c r="AF199" s="78">
        <v>1297</v>
      </c>
      <c r="AG199" s="78">
        <v>0</v>
      </c>
      <c r="AH199" s="78">
        <v>188</v>
      </c>
      <c r="AI199" s="78">
        <v>50</v>
      </c>
      <c r="AJ199" s="78">
        <v>259.44</v>
      </c>
      <c r="AK199" s="78">
        <v>78</v>
      </c>
      <c r="AL199" s="78">
        <v>237</v>
      </c>
      <c r="AM199" s="78">
        <v>15190</v>
      </c>
      <c r="AN199" s="78">
        <v>20962.2</v>
      </c>
      <c r="AO199" s="78">
        <v>0</v>
      </c>
      <c r="AP199" s="78">
        <v>0</v>
      </c>
      <c r="AQ199" s="78">
        <v>0</v>
      </c>
      <c r="AR199" s="78">
        <v>0</v>
      </c>
      <c r="AS199" s="78">
        <v>870</v>
      </c>
      <c r="AT199" s="78">
        <v>0</v>
      </c>
      <c r="AU199" s="400">
        <v>3.8592299999999998E-4</v>
      </c>
      <c r="AV199" s="400">
        <v>2.3670000000000001E-4</v>
      </c>
      <c r="AW199" s="78">
        <v>17346.98</v>
      </c>
      <c r="AX199" s="78">
        <v>0</v>
      </c>
      <c r="AY199" s="78">
        <v>13991.6</v>
      </c>
      <c r="AZ199" s="78">
        <v>155961.554530686</v>
      </c>
      <c r="BA199" s="78">
        <v>18</v>
      </c>
      <c r="BB199" s="78">
        <v>28.08</v>
      </c>
      <c r="BC199" s="78">
        <v>4975</v>
      </c>
      <c r="BD199" s="78">
        <v>1</v>
      </c>
      <c r="BE199" s="78">
        <v>0</v>
      </c>
      <c r="BF199" s="78">
        <v>0</v>
      </c>
      <c r="BG199" s="78">
        <v>0</v>
      </c>
      <c r="BH199" s="78">
        <v>0</v>
      </c>
      <c r="BI199" s="78">
        <v>0</v>
      </c>
      <c r="BJ199" s="78">
        <v>0</v>
      </c>
      <c r="BK199" s="78">
        <v>0</v>
      </c>
      <c r="BL199" s="78">
        <v>0</v>
      </c>
      <c r="BM199" s="78">
        <v>595.58100000000002</v>
      </c>
      <c r="BN199" s="78">
        <v>123</v>
      </c>
      <c r="BO199" s="78">
        <v>75</v>
      </c>
      <c r="BP199" s="78">
        <v>12227.88</v>
      </c>
      <c r="BQ199" s="78">
        <v>3055.36</v>
      </c>
      <c r="BR199" s="78">
        <v>251.30502326004</v>
      </c>
      <c r="BS199" s="78">
        <v>379</v>
      </c>
      <c r="BT199" s="78">
        <v>107.666666666667</v>
      </c>
      <c r="BU199" s="78">
        <v>73.3333333333333</v>
      </c>
      <c r="BV199" s="78">
        <f t="shared" si="13"/>
        <v>1057</v>
      </c>
      <c r="BW199" s="78">
        <v>321</v>
      </c>
      <c r="BX199" s="78">
        <v>4612.4427070429001</v>
      </c>
      <c r="BY199" s="78">
        <v>0.17199999999999999</v>
      </c>
      <c r="BZ199" s="78">
        <v>28079</v>
      </c>
      <c r="CA199" s="78">
        <v>4091</v>
      </c>
      <c r="CB199" s="78">
        <v>779</v>
      </c>
      <c r="CC199" s="78">
        <v>775</v>
      </c>
      <c r="CD199" s="78">
        <v>732</v>
      </c>
      <c r="CE199" s="78">
        <v>422</v>
      </c>
      <c r="CF199" s="78">
        <v>300.66043449637903</v>
      </c>
      <c r="CG199" s="78">
        <v>201.781435154707</v>
      </c>
      <c r="CH199" s="78">
        <v>73.519157340355505</v>
      </c>
      <c r="CI199" s="78">
        <v>772.35119999999995</v>
      </c>
      <c r="CJ199" s="78">
        <v>518.346</v>
      </c>
      <c r="CK199" s="78">
        <v>188.8596</v>
      </c>
      <c r="CL199" s="78">
        <v>30295</v>
      </c>
    </row>
    <row r="200" spans="1:90" x14ac:dyDescent="0.35">
      <c r="A200" s="72">
        <v>501</v>
      </c>
      <c r="B200" s="72" t="s">
        <v>61</v>
      </c>
      <c r="C200" s="72">
        <v>8</v>
      </c>
      <c r="D200" s="78">
        <v>1802400000</v>
      </c>
      <c r="E200" s="78">
        <v>230300000</v>
      </c>
      <c r="F200" s="78">
        <v>240800000</v>
      </c>
      <c r="G200" s="78">
        <v>17439</v>
      </c>
      <c r="H200" s="78">
        <v>3</v>
      </c>
      <c r="I200" s="78">
        <f t="shared" si="11"/>
        <v>240.8</v>
      </c>
      <c r="J200" s="78">
        <v>3009</v>
      </c>
      <c r="K200" s="78">
        <v>3965</v>
      </c>
      <c r="L200" s="78">
        <v>1309</v>
      </c>
      <c r="M200" s="78">
        <v>1820</v>
      </c>
      <c r="N200" s="78">
        <f t="shared" si="12"/>
        <v>1003.3</v>
      </c>
      <c r="O200" s="78">
        <v>202</v>
      </c>
      <c r="P200" s="78">
        <v>9</v>
      </c>
      <c r="Q200" s="78">
        <v>789</v>
      </c>
      <c r="R200" s="78">
        <v>2572</v>
      </c>
      <c r="S200" s="78">
        <v>545</v>
      </c>
      <c r="T200" s="78">
        <v>0</v>
      </c>
      <c r="U200" s="78">
        <v>582</v>
      </c>
      <c r="V200" s="78">
        <v>8098</v>
      </c>
      <c r="W200" s="78">
        <v>14230</v>
      </c>
      <c r="X200" s="78">
        <v>2160</v>
      </c>
      <c r="Y200" s="78">
        <v>676.9</v>
      </c>
      <c r="Z200" s="78">
        <v>1273.5999999999999</v>
      </c>
      <c r="AA200" s="78">
        <v>0</v>
      </c>
      <c r="AB200" s="399">
        <f>IF((J200-'[2]Basisgegevens aanvullend'!D200*1.1)&lt;=0,0,J200-'[2]Basisgegevens aanvullend'!D200*1.1)</f>
        <v>0</v>
      </c>
      <c r="AC200" s="399">
        <v>0</v>
      </c>
      <c r="AD200" s="78">
        <v>2756</v>
      </c>
      <c r="AE200" s="78">
        <v>3224.52</v>
      </c>
      <c r="AF200" s="78">
        <v>359</v>
      </c>
      <c r="AG200" s="78">
        <v>0</v>
      </c>
      <c r="AH200" s="78">
        <v>71</v>
      </c>
      <c r="AI200" s="78">
        <v>20</v>
      </c>
      <c r="AJ200" s="78">
        <v>86.62</v>
      </c>
      <c r="AK200" s="78">
        <v>23.2</v>
      </c>
      <c r="AL200" s="78">
        <v>92</v>
      </c>
      <c r="AM200" s="78">
        <v>8167</v>
      </c>
      <c r="AN200" s="78">
        <v>9963.74</v>
      </c>
      <c r="AO200" s="78">
        <v>26</v>
      </c>
      <c r="AP200" s="78">
        <v>0</v>
      </c>
      <c r="AQ200" s="78">
        <v>0</v>
      </c>
      <c r="AR200" s="78">
        <v>5800</v>
      </c>
      <c r="AS200" s="78">
        <v>870</v>
      </c>
      <c r="AT200" s="78">
        <v>870</v>
      </c>
      <c r="AU200" s="400">
        <v>3.4786700000000002E-4</v>
      </c>
      <c r="AV200" s="400">
        <v>1.5063399999999999E-4</v>
      </c>
      <c r="AW200" s="78">
        <v>7284.9639999999999</v>
      </c>
      <c r="AX200" s="78">
        <v>0</v>
      </c>
      <c r="AY200" s="78">
        <v>1876.68</v>
      </c>
      <c r="AZ200" s="78">
        <v>18838.150844301799</v>
      </c>
      <c r="BA200" s="78">
        <v>3</v>
      </c>
      <c r="BB200" s="78">
        <v>3.48</v>
      </c>
      <c r="BC200" s="78">
        <v>1952</v>
      </c>
      <c r="BD200" s="78">
        <v>1</v>
      </c>
      <c r="BE200" s="78">
        <v>0</v>
      </c>
      <c r="BF200" s="78">
        <v>0</v>
      </c>
      <c r="BG200" s="78">
        <v>0</v>
      </c>
      <c r="BH200" s="78">
        <v>0</v>
      </c>
      <c r="BI200" s="78">
        <v>0</v>
      </c>
      <c r="BJ200" s="78">
        <v>0</v>
      </c>
      <c r="BK200" s="78">
        <v>0</v>
      </c>
      <c r="BL200" s="78">
        <v>0</v>
      </c>
      <c r="BM200" s="78">
        <v>297.89100000000002</v>
      </c>
      <c r="BN200" s="78">
        <v>27</v>
      </c>
      <c r="BO200" s="78">
        <v>14</v>
      </c>
      <c r="BP200" s="78">
        <v>6211.77</v>
      </c>
      <c r="BQ200" s="78">
        <v>1339.4</v>
      </c>
      <c r="BR200" s="78">
        <v>70.722373145682795</v>
      </c>
      <c r="BS200" s="78">
        <v>213</v>
      </c>
      <c r="BT200" s="78">
        <v>60.6666666666667</v>
      </c>
      <c r="BU200" s="78">
        <v>52.6666666666667</v>
      </c>
      <c r="BV200" s="78">
        <f t="shared" si="13"/>
        <v>587</v>
      </c>
      <c r="BW200" s="78">
        <v>186</v>
      </c>
      <c r="BX200" s="78">
        <v>2775.2152579468502</v>
      </c>
      <c r="BY200" s="78">
        <v>0.26700000000000002</v>
      </c>
      <c r="BZ200" s="78">
        <v>13474</v>
      </c>
      <c r="CA200" s="78">
        <v>2250</v>
      </c>
      <c r="CB200" s="78">
        <v>406</v>
      </c>
      <c r="CC200" s="78">
        <v>457</v>
      </c>
      <c r="CD200" s="78">
        <v>460</v>
      </c>
      <c r="CE200" s="78">
        <v>200</v>
      </c>
      <c r="CF200" s="78">
        <v>168.178976368311</v>
      </c>
      <c r="CG200" s="78">
        <v>114.740075915269</v>
      </c>
      <c r="CH200" s="78">
        <v>35.994477776417298</v>
      </c>
      <c r="CI200" s="78">
        <v>474.76920000000001</v>
      </c>
      <c r="CJ200" s="78">
        <v>323.91120000000001</v>
      </c>
      <c r="CK200" s="78">
        <v>101.61239999999999</v>
      </c>
      <c r="CL200" s="78">
        <v>29973</v>
      </c>
    </row>
    <row r="201" spans="1:90" x14ac:dyDescent="0.35">
      <c r="A201" s="72">
        <v>502</v>
      </c>
      <c r="B201" s="72" t="s">
        <v>68</v>
      </c>
      <c r="C201" s="72">
        <v>8</v>
      </c>
      <c r="D201" s="78">
        <v>6145600000</v>
      </c>
      <c r="E201" s="78">
        <v>724500000</v>
      </c>
      <c r="F201" s="78">
        <v>751450000</v>
      </c>
      <c r="G201" s="78">
        <v>67319</v>
      </c>
      <c r="H201" s="78">
        <v>1</v>
      </c>
      <c r="I201" s="78">
        <f t="shared" si="11"/>
        <v>751.45</v>
      </c>
      <c r="J201" s="78">
        <v>12925</v>
      </c>
      <c r="K201" s="78">
        <v>14087</v>
      </c>
      <c r="L201" s="78">
        <v>4058</v>
      </c>
      <c r="M201" s="78">
        <v>10235</v>
      </c>
      <c r="N201" s="78">
        <f t="shared" si="12"/>
        <v>7057.7999999999993</v>
      </c>
      <c r="O201" s="78">
        <v>1866</v>
      </c>
      <c r="P201" s="78">
        <v>64</v>
      </c>
      <c r="Q201" s="78">
        <v>4738</v>
      </c>
      <c r="R201" s="78">
        <v>12242</v>
      </c>
      <c r="S201" s="78">
        <v>10100</v>
      </c>
      <c r="T201" s="78">
        <v>0</v>
      </c>
      <c r="U201" s="78">
        <v>3451</v>
      </c>
      <c r="V201" s="78">
        <v>32212</v>
      </c>
      <c r="W201" s="78">
        <v>66950</v>
      </c>
      <c r="X201" s="78">
        <v>34070</v>
      </c>
      <c r="Y201" s="78">
        <v>1770.36</v>
      </c>
      <c r="Z201" s="78">
        <v>2063.1999999999998</v>
      </c>
      <c r="AA201" s="78">
        <v>0</v>
      </c>
      <c r="AB201" s="399">
        <f>IF((J201-'[2]Basisgegevens aanvullend'!D201*1.1)&lt;=0,0,J201-'[2]Basisgegevens aanvullend'!D201*1.1)</f>
        <v>0</v>
      </c>
      <c r="AC201" s="399">
        <v>0</v>
      </c>
      <c r="AD201" s="78">
        <v>1422</v>
      </c>
      <c r="AE201" s="78">
        <v>2047.68</v>
      </c>
      <c r="AF201" s="78">
        <v>118</v>
      </c>
      <c r="AG201" s="78">
        <v>0</v>
      </c>
      <c r="AH201" s="78">
        <v>228</v>
      </c>
      <c r="AI201" s="78">
        <v>3</v>
      </c>
      <c r="AJ201" s="78">
        <v>328.32</v>
      </c>
      <c r="AK201" s="78">
        <v>4.05</v>
      </c>
      <c r="AL201" s="78">
        <v>231</v>
      </c>
      <c r="AM201" s="78">
        <v>31772</v>
      </c>
      <c r="AN201" s="78">
        <v>45751.68</v>
      </c>
      <c r="AO201" s="78">
        <v>0</v>
      </c>
      <c r="AP201" s="78">
        <v>0</v>
      </c>
      <c r="AQ201" s="78">
        <v>0</v>
      </c>
      <c r="AR201" s="78">
        <v>0</v>
      </c>
      <c r="AS201" s="78">
        <v>841</v>
      </c>
      <c r="AT201" s="78">
        <v>0</v>
      </c>
      <c r="AU201" s="400">
        <v>2.5181200000000002E-4</v>
      </c>
      <c r="AV201" s="400">
        <v>3.1328100000000002E-3</v>
      </c>
      <c r="AW201" s="78">
        <v>73329.775999999998</v>
      </c>
      <c r="AX201" s="78">
        <v>0</v>
      </c>
      <c r="AY201" s="78">
        <v>3003.84</v>
      </c>
      <c r="AZ201" s="78">
        <v>385491.32509090903</v>
      </c>
      <c r="BA201" s="78">
        <v>1</v>
      </c>
      <c r="BB201" s="78">
        <v>1.35</v>
      </c>
      <c r="BC201" s="78">
        <v>7467</v>
      </c>
      <c r="BD201" s="78">
        <v>1</v>
      </c>
      <c r="BE201" s="78">
        <v>0</v>
      </c>
      <c r="BF201" s="78">
        <v>0</v>
      </c>
      <c r="BG201" s="78">
        <v>0</v>
      </c>
      <c r="BH201" s="78">
        <v>0</v>
      </c>
      <c r="BI201" s="78">
        <v>0</v>
      </c>
      <c r="BJ201" s="78">
        <v>0</v>
      </c>
      <c r="BK201" s="78">
        <v>0</v>
      </c>
      <c r="BL201" s="78">
        <v>0</v>
      </c>
      <c r="BM201" s="78">
        <v>2352.35</v>
      </c>
      <c r="BN201" s="78">
        <v>250</v>
      </c>
      <c r="BO201" s="78">
        <v>206</v>
      </c>
      <c r="BP201" s="78">
        <v>21148.55</v>
      </c>
      <c r="BQ201" s="78">
        <v>4534.68</v>
      </c>
      <c r="BR201" s="78">
        <v>380.88040866499699</v>
      </c>
      <c r="BS201" s="78">
        <v>1459</v>
      </c>
      <c r="BT201" s="78">
        <v>649.33333333333303</v>
      </c>
      <c r="BU201" s="78">
        <v>671</v>
      </c>
      <c r="BV201" s="78">
        <f t="shared" si="13"/>
        <v>2872</v>
      </c>
      <c r="BW201" s="78">
        <v>767</v>
      </c>
      <c r="BX201" s="78">
        <v>12126.847588570099</v>
      </c>
      <c r="BY201" s="78">
        <v>4.8040000000000003</v>
      </c>
      <c r="BZ201" s="78">
        <v>53232</v>
      </c>
      <c r="CA201" s="78">
        <v>8452</v>
      </c>
      <c r="CB201" s="78">
        <v>1577</v>
      </c>
      <c r="CC201" s="78">
        <v>2300</v>
      </c>
      <c r="CD201" s="78">
        <v>1582</v>
      </c>
      <c r="CE201" s="78">
        <v>864</v>
      </c>
      <c r="CF201" s="78">
        <v>1232.6492572075999</v>
      </c>
      <c r="CG201" s="78">
        <v>669.30477779176601</v>
      </c>
      <c r="CH201" s="78">
        <v>258.791923706408</v>
      </c>
      <c r="CI201" s="78">
        <v>2470.9697000000001</v>
      </c>
      <c r="CJ201" s="78">
        <v>1341.6889000000001</v>
      </c>
      <c r="CK201" s="78">
        <v>518.77449999999999</v>
      </c>
      <c r="CL201" s="78">
        <v>45774</v>
      </c>
    </row>
    <row r="202" spans="1:90" x14ac:dyDescent="0.35">
      <c r="A202" s="72">
        <v>503</v>
      </c>
      <c r="B202" s="72" t="s">
        <v>80</v>
      </c>
      <c r="C202" s="72">
        <v>8</v>
      </c>
      <c r="D202" s="78">
        <v>10842400000</v>
      </c>
      <c r="E202" s="78">
        <v>1847300000</v>
      </c>
      <c r="F202" s="78">
        <v>1894900000</v>
      </c>
      <c r="G202" s="78">
        <v>103581</v>
      </c>
      <c r="H202" s="78">
        <v>1</v>
      </c>
      <c r="I202" s="78">
        <f t="shared" si="11"/>
        <v>1894.9</v>
      </c>
      <c r="J202" s="78">
        <v>15261</v>
      </c>
      <c r="K202" s="78">
        <v>16767</v>
      </c>
      <c r="L202" s="78">
        <v>4849</v>
      </c>
      <c r="M202" s="78">
        <v>15246</v>
      </c>
      <c r="N202" s="78">
        <f t="shared" si="12"/>
        <v>9705.9</v>
      </c>
      <c r="O202" s="78">
        <v>2964.3333333333298</v>
      </c>
      <c r="P202" s="78">
        <v>120</v>
      </c>
      <c r="Q202" s="78">
        <v>7271.3333333333303</v>
      </c>
      <c r="R202" s="78">
        <v>33101</v>
      </c>
      <c r="S202" s="78">
        <v>9475</v>
      </c>
      <c r="T202" s="78">
        <v>0</v>
      </c>
      <c r="U202" s="78">
        <v>3529</v>
      </c>
      <c r="V202" s="78">
        <v>59494</v>
      </c>
      <c r="W202" s="78">
        <v>108540</v>
      </c>
      <c r="X202" s="78">
        <v>88480</v>
      </c>
      <c r="Y202" s="78">
        <v>2263.64</v>
      </c>
      <c r="Z202" s="78">
        <v>5485.6</v>
      </c>
      <c r="AA202" s="78">
        <v>0</v>
      </c>
      <c r="AB202" s="399">
        <f>IF((J202-'[2]Basisgegevens aanvullend'!D202*1.1)&lt;=0,0,J202-'[2]Basisgegevens aanvullend'!D202*1.1)</f>
        <v>0</v>
      </c>
      <c r="AC202" s="399">
        <v>0</v>
      </c>
      <c r="AD202" s="78">
        <v>2268</v>
      </c>
      <c r="AE202" s="78">
        <v>2880.36</v>
      </c>
      <c r="AF202" s="78">
        <v>139</v>
      </c>
      <c r="AG202" s="78">
        <v>0</v>
      </c>
      <c r="AH202" s="78">
        <v>341</v>
      </c>
      <c r="AI202" s="78">
        <v>13</v>
      </c>
      <c r="AJ202" s="78">
        <v>429.66</v>
      </c>
      <c r="AK202" s="78">
        <v>17.29</v>
      </c>
      <c r="AL202" s="78">
        <v>354</v>
      </c>
      <c r="AM202" s="78">
        <v>55401</v>
      </c>
      <c r="AN202" s="78">
        <v>69805.259999999995</v>
      </c>
      <c r="AO202" s="78">
        <v>0</v>
      </c>
      <c r="AP202" s="78">
        <v>0</v>
      </c>
      <c r="AQ202" s="78">
        <v>85</v>
      </c>
      <c r="AR202" s="78">
        <v>18100</v>
      </c>
      <c r="AS202" s="78">
        <v>11645</v>
      </c>
      <c r="AT202" s="78">
        <v>11645</v>
      </c>
      <c r="AU202" s="400">
        <v>6.998074E-3</v>
      </c>
      <c r="AV202" s="400">
        <v>9.5393400000000003E-3</v>
      </c>
      <c r="AW202" s="78">
        <v>197338.36199999999</v>
      </c>
      <c r="AX202" s="78">
        <v>8974.9619999999995</v>
      </c>
      <c r="AY202" s="78">
        <v>3423.92</v>
      </c>
      <c r="AZ202" s="78">
        <v>300915.06947237201</v>
      </c>
      <c r="BA202" s="78">
        <v>1</v>
      </c>
      <c r="BB202" s="78">
        <v>1.33</v>
      </c>
      <c r="BC202" s="78">
        <v>10957</v>
      </c>
      <c r="BD202" s="78">
        <v>1</v>
      </c>
      <c r="BE202" s="78">
        <v>0</v>
      </c>
      <c r="BF202" s="78">
        <v>0</v>
      </c>
      <c r="BG202" s="78">
        <v>0</v>
      </c>
      <c r="BH202" s="78">
        <v>0</v>
      </c>
      <c r="BI202" s="78">
        <v>0</v>
      </c>
      <c r="BJ202" s="78">
        <v>0</v>
      </c>
      <c r="BK202" s="78">
        <v>0</v>
      </c>
      <c r="BL202" s="78">
        <v>0</v>
      </c>
      <c r="BM202" s="78">
        <v>2777.502</v>
      </c>
      <c r="BN202" s="78">
        <v>260</v>
      </c>
      <c r="BO202" s="78">
        <v>261</v>
      </c>
      <c r="BP202" s="78">
        <v>29271.5</v>
      </c>
      <c r="BQ202" s="78">
        <v>5602.56</v>
      </c>
      <c r="BR202" s="78">
        <v>694.94010381716498</v>
      </c>
      <c r="BS202" s="78">
        <v>1341</v>
      </c>
      <c r="BT202" s="78">
        <v>793.66666666666697</v>
      </c>
      <c r="BU202" s="78">
        <v>816.66666666666697</v>
      </c>
      <c r="BV202" s="78">
        <f t="shared" si="13"/>
        <v>4307</v>
      </c>
      <c r="BW202" s="78">
        <v>1241</v>
      </c>
      <c r="BX202" s="78">
        <v>13118.8268603697</v>
      </c>
      <c r="BY202" s="78">
        <v>7.1059999999999999</v>
      </c>
      <c r="BZ202" s="78">
        <v>86814</v>
      </c>
      <c r="CA202" s="78">
        <v>9991</v>
      </c>
      <c r="CB202" s="78">
        <v>1927</v>
      </c>
      <c r="CC202" s="78">
        <v>3318</v>
      </c>
      <c r="CD202" s="78">
        <v>1983</v>
      </c>
      <c r="CE202" s="78">
        <v>1089</v>
      </c>
      <c r="CF202" s="78">
        <v>1208.31018032165</v>
      </c>
      <c r="CG202" s="78">
        <v>628.76978935398301</v>
      </c>
      <c r="CH202" s="78">
        <v>253.505122651216</v>
      </c>
      <c r="CI202" s="78">
        <v>3351.2523000000001</v>
      </c>
      <c r="CJ202" s="78">
        <v>1743.8951</v>
      </c>
      <c r="CK202" s="78">
        <v>703.09730000000002</v>
      </c>
      <c r="CL202" s="78">
        <v>104807</v>
      </c>
    </row>
    <row r="203" spans="1:90" x14ac:dyDescent="0.35">
      <c r="A203" s="72">
        <v>505</v>
      </c>
      <c r="B203" s="72" t="s">
        <v>90</v>
      </c>
      <c r="C203" s="72">
        <v>8</v>
      </c>
      <c r="D203" s="78">
        <v>10064400000</v>
      </c>
      <c r="E203" s="78">
        <v>2072000000</v>
      </c>
      <c r="F203" s="78">
        <v>2082150000</v>
      </c>
      <c r="G203" s="78">
        <v>119115</v>
      </c>
      <c r="H203" s="78">
        <v>2</v>
      </c>
      <c r="I203" s="78">
        <f t="shared" si="11"/>
        <v>2082.15</v>
      </c>
      <c r="J203" s="78">
        <v>22323</v>
      </c>
      <c r="K203" s="78">
        <v>23172</v>
      </c>
      <c r="L203" s="78">
        <v>7159</v>
      </c>
      <c r="M203" s="78">
        <v>18686</v>
      </c>
      <c r="N203" s="78">
        <f t="shared" si="12"/>
        <v>13007.7</v>
      </c>
      <c r="O203" s="78">
        <v>3686.3333333333298</v>
      </c>
      <c r="P203" s="78">
        <v>350</v>
      </c>
      <c r="Q203" s="78">
        <v>10533.333333333299</v>
      </c>
      <c r="R203" s="78">
        <v>21700</v>
      </c>
      <c r="S203" s="78">
        <v>16170</v>
      </c>
      <c r="T203" s="78">
        <v>0</v>
      </c>
      <c r="U203" s="78">
        <v>4766</v>
      </c>
      <c r="V203" s="78">
        <v>57295</v>
      </c>
      <c r="W203" s="78">
        <v>139050</v>
      </c>
      <c r="X203" s="78">
        <v>165010</v>
      </c>
      <c r="Y203" s="78">
        <v>4408.32</v>
      </c>
      <c r="Z203" s="78">
        <v>4758.3999999999996</v>
      </c>
      <c r="AA203" s="78">
        <v>40.899999999999899</v>
      </c>
      <c r="AB203" s="399">
        <f>IF((J203-'[2]Basisgegevens aanvullend'!D203*1.1)&lt;=0,0,J203-'[2]Basisgegevens aanvullend'!D203*1.1)</f>
        <v>0</v>
      </c>
      <c r="AC203" s="399">
        <v>0</v>
      </c>
      <c r="AD203" s="78">
        <v>7707</v>
      </c>
      <c r="AE203" s="78">
        <v>8940.1200000000008</v>
      </c>
      <c r="AF203" s="78">
        <v>2240</v>
      </c>
      <c r="AG203" s="78">
        <v>0</v>
      </c>
      <c r="AH203" s="78">
        <v>466</v>
      </c>
      <c r="AI203" s="78">
        <v>70</v>
      </c>
      <c r="AJ203" s="78">
        <v>610.46</v>
      </c>
      <c r="AK203" s="78">
        <v>76.3</v>
      </c>
      <c r="AL203" s="78">
        <v>536</v>
      </c>
      <c r="AM203" s="78">
        <v>56783</v>
      </c>
      <c r="AN203" s="78">
        <v>74385.73</v>
      </c>
      <c r="AO203" s="78">
        <v>0</v>
      </c>
      <c r="AP203" s="78">
        <v>0</v>
      </c>
      <c r="AQ203" s="78">
        <v>72</v>
      </c>
      <c r="AR203" s="78">
        <v>10800</v>
      </c>
      <c r="AS203" s="78">
        <v>14520</v>
      </c>
      <c r="AT203" s="78">
        <v>13939</v>
      </c>
      <c r="AU203" s="400">
        <v>1.2629937000000001E-2</v>
      </c>
      <c r="AV203" s="400">
        <v>1.5432448E-2</v>
      </c>
      <c r="AW203" s="78">
        <v>143263.50899999999</v>
      </c>
      <c r="AX203" s="78">
        <v>0</v>
      </c>
      <c r="AY203" s="78">
        <v>6943.76</v>
      </c>
      <c r="AZ203" s="78">
        <v>144021.49504373199</v>
      </c>
      <c r="BA203" s="78">
        <v>4</v>
      </c>
      <c r="BB203" s="78">
        <v>4.3600000000000003</v>
      </c>
      <c r="BC203" s="78">
        <v>12784</v>
      </c>
      <c r="BD203" s="78">
        <v>1</v>
      </c>
      <c r="BE203" s="78">
        <v>0</v>
      </c>
      <c r="BF203" s="78">
        <v>0</v>
      </c>
      <c r="BG203" s="78">
        <v>0</v>
      </c>
      <c r="BH203" s="78">
        <v>0</v>
      </c>
      <c r="BI203" s="78">
        <v>0</v>
      </c>
      <c r="BJ203" s="78">
        <v>0</v>
      </c>
      <c r="BK203" s="78">
        <v>0</v>
      </c>
      <c r="BL203" s="78">
        <v>0</v>
      </c>
      <c r="BM203" s="78">
        <v>3549.357</v>
      </c>
      <c r="BN203" s="78">
        <v>442</v>
      </c>
      <c r="BO203" s="78">
        <v>625</v>
      </c>
      <c r="BP203" s="78">
        <v>34184.32</v>
      </c>
      <c r="BQ203" s="78">
        <v>7459.96</v>
      </c>
      <c r="BR203" s="78">
        <v>1192.5761537835599</v>
      </c>
      <c r="BS203" s="78">
        <v>1850</v>
      </c>
      <c r="BT203" s="78">
        <v>1053</v>
      </c>
      <c r="BU203" s="78">
        <v>1050.6666666666699</v>
      </c>
      <c r="BV203" s="78">
        <f t="shared" si="13"/>
        <v>6846.9999999999691</v>
      </c>
      <c r="BW203" s="78">
        <v>1585</v>
      </c>
      <c r="BX203" s="78">
        <v>21373.595208074799</v>
      </c>
      <c r="BY203" s="78">
        <v>10.443</v>
      </c>
      <c r="BZ203" s="78">
        <v>95943</v>
      </c>
      <c r="CA203" s="78">
        <v>13265</v>
      </c>
      <c r="CB203" s="78">
        <v>2748</v>
      </c>
      <c r="CC203" s="78">
        <v>3593</v>
      </c>
      <c r="CD203" s="78">
        <v>2766</v>
      </c>
      <c r="CE203" s="78">
        <v>1465</v>
      </c>
      <c r="CF203" s="78">
        <v>1983.1227462444699</v>
      </c>
      <c r="CG203" s="78">
        <v>1183.1845886973199</v>
      </c>
      <c r="CH203" s="78">
        <v>464.11074089075998</v>
      </c>
      <c r="CI203" s="78">
        <v>4317.2458999999999</v>
      </c>
      <c r="CJ203" s="78">
        <v>2575.7855</v>
      </c>
      <c r="CK203" s="78">
        <v>1010.3662</v>
      </c>
      <c r="CL203" s="78">
        <v>115229</v>
      </c>
    </row>
    <row r="204" spans="1:90" x14ac:dyDescent="0.35">
      <c r="A204" s="72">
        <v>1924</v>
      </c>
      <c r="B204" s="72" t="s">
        <v>115</v>
      </c>
      <c r="C204" s="72">
        <v>8</v>
      </c>
      <c r="D204" s="78">
        <v>5213200000</v>
      </c>
      <c r="E204" s="78">
        <v>750750000</v>
      </c>
      <c r="F204" s="78">
        <v>800450000</v>
      </c>
      <c r="G204" s="78">
        <v>50589</v>
      </c>
      <c r="H204" s="78">
        <v>14</v>
      </c>
      <c r="I204" s="78">
        <f t="shared" si="11"/>
        <v>800.45</v>
      </c>
      <c r="J204" s="78">
        <v>9845</v>
      </c>
      <c r="K204" s="78">
        <v>11208</v>
      </c>
      <c r="L204" s="78">
        <v>3569</v>
      </c>
      <c r="M204" s="78">
        <v>5969</v>
      </c>
      <c r="N204" s="78">
        <f t="shared" si="12"/>
        <v>3274.8999999999996</v>
      </c>
      <c r="O204" s="78">
        <v>477.33333333333297</v>
      </c>
      <c r="P204" s="78">
        <v>48</v>
      </c>
      <c r="Q204" s="78">
        <v>2637.3333333333298</v>
      </c>
      <c r="R204" s="78">
        <v>6531</v>
      </c>
      <c r="S204" s="78">
        <v>715</v>
      </c>
      <c r="T204" s="78">
        <v>0</v>
      </c>
      <c r="U204" s="78">
        <v>1116</v>
      </c>
      <c r="V204" s="78">
        <v>22448</v>
      </c>
      <c r="W204" s="78">
        <v>46460</v>
      </c>
      <c r="X204" s="78">
        <v>5850</v>
      </c>
      <c r="Y204" s="78">
        <v>689.74</v>
      </c>
      <c r="Z204" s="78">
        <v>2538.4</v>
      </c>
      <c r="AA204" s="78">
        <v>0</v>
      </c>
      <c r="AB204" s="399">
        <f>IF((J204-'[2]Basisgegevens aanvullend'!D204*1.1)&lt;=0,0,J204-'[2]Basisgegevens aanvullend'!D204*1.1)</f>
        <v>0</v>
      </c>
      <c r="AC204" s="399">
        <v>79.799999999999699</v>
      </c>
      <c r="AD204" s="78">
        <v>26158</v>
      </c>
      <c r="AE204" s="78">
        <v>26942.74</v>
      </c>
      <c r="AF204" s="78">
        <v>11710</v>
      </c>
      <c r="AG204" s="78">
        <v>4367</v>
      </c>
      <c r="AH204" s="78">
        <v>314</v>
      </c>
      <c r="AI204" s="78">
        <v>110</v>
      </c>
      <c r="AJ204" s="78">
        <v>326.56</v>
      </c>
      <c r="AK204" s="78">
        <v>113.3</v>
      </c>
      <c r="AL204" s="78">
        <v>424</v>
      </c>
      <c r="AM204" s="78">
        <v>26941</v>
      </c>
      <c r="AN204" s="78">
        <v>28018.639999999999</v>
      </c>
      <c r="AO204" s="78">
        <v>7</v>
      </c>
      <c r="AP204" s="78">
        <v>0</v>
      </c>
      <c r="AQ204" s="78">
        <v>0</v>
      </c>
      <c r="AR204" s="78">
        <v>0</v>
      </c>
      <c r="AS204" s="78">
        <v>3633</v>
      </c>
      <c r="AT204" s="78">
        <v>0</v>
      </c>
      <c r="AU204" s="400">
        <v>1.1003059999999999E-3</v>
      </c>
      <c r="AV204" s="400">
        <v>3.3899700000000001E-4</v>
      </c>
      <c r="AW204" s="78">
        <v>16999.771000000001</v>
      </c>
      <c r="AX204" s="78">
        <v>0</v>
      </c>
      <c r="AY204" s="78">
        <v>9668.61</v>
      </c>
      <c r="AZ204" s="78">
        <v>14848.5020589944</v>
      </c>
      <c r="BA204" s="78">
        <v>25</v>
      </c>
      <c r="BB204" s="78">
        <v>25.75</v>
      </c>
      <c r="BC204" s="78">
        <v>5640</v>
      </c>
      <c r="BD204" s="78">
        <v>1</v>
      </c>
      <c r="BE204" s="78">
        <v>0</v>
      </c>
      <c r="BF204" s="78">
        <v>0</v>
      </c>
      <c r="BG204" s="78">
        <v>0</v>
      </c>
      <c r="BH204" s="78">
        <v>0</v>
      </c>
      <c r="BI204" s="78">
        <v>0</v>
      </c>
      <c r="BJ204" s="78">
        <v>0</v>
      </c>
      <c r="BK204" s="78">
        <v>0</v>
      </c>
      <c r="BL204" s="78">
        <v>0</v>
      </c>
      <c r="BM204" s="78">
        <v>669.46</v>
      </c>
      <c r="BN204" s="78">
        <v>191</v>
      </c>
      <c r="BO204" s="78">
        <v>108</v>
      </c>
      <c r="BP204" s="78">
        <v>15008</v>
      </c>
      <c r="BQ204" s="78">
        <v>3565.24</v>
      </c>
      <c r="BR204" s="78">
        <v>565.91073993471196</v>
      </c>
      <c r="BS204" s="78">
        <v>441</v>
      </c>
      <c r="BT204" s="78">
        <v>169.333333333333</v>
      </c>
      <c r="BU204" s="78">
        <v>121</v>
      </c>
      <c r="BV204" s="78">
        <f t="shared" si="13"/>
        <v>2159.9999999999968</v>
      </c>
      <c r="BW204" s="78">
        <v>686</v>
      </c>
      <c r="BX204" s="78">
        <v>10113.0695054846</v>
      </c>
      <c r="BY204" s="78">
        <v>0.69099999999999995</v>
      </c>
      <c r="BZ204" s="78">
        <v>39381</v>
      </c>
      <c r="CA204" s="78">
        <v>6321</v>
      </c>
      <c r="CB204" s="78">
        <v>1318</v>
      </c>
      <c r="CC204" s="78">
        <v>1162</v>
      </c>
      <c r="CD204" s="78">
        <v>1148</v>
      </c>
      <c r="CE204" s="78">
        <v>628</v>
      </c>
      <c r="CF204" s="78">
        <v>468.850053821313</v>
      </c>
      <c r="CG204" s="78">
        <v>297.69608032367</v>
      </c>
      <c r="CH204" s="78">
        <v>108.308373853977</v>
      </c>
      <c r="CI204" s="78">
        <v>1614.9259</v>
      </c>
      <c r="CJ204" s="78">
        <v>1025.3963000000001</v>
      </c>
      <c r="CK204" s="78">
        <v>373.06169999999997</v>
      </c>
      <c r="CL204" s="78">
        <v>105314</v>
      </c>
    </row>
    <row r="205" spans="1:90" x14ac:dyDescent="0.35">
      <c r="A205" s="72">
        <v>512</v>
      </c>
      <c r="B205" s="72" t="s">
        <v>119</v>
      </c>
      <c r="C205" s="72">
        <v>8</v>
      </c>
      <c r="D205" s="78">
        <v>3327200000</v>
      </c>
      <c r="E205" s="78">
        <v>668500000</v>
      </c>
      <c r="F205" s="78">
        <v>680400000</v>
      </c>
      <c r="G205" s="78">
        <v>37410</v>
      </c>
      <c r="H205" s="78">
        <v>1</v>
      </c>
      <c r="I205" s="78">
        <f t="shared" si="11"/>
        <v>680.4</v>
      </c>
      <c r="J205" s="78">
        <v>7289</v>
      </c>
      <c r="K205" s="78">
        <v>6951</v>
      </c>
      <c r="L205" s="78">
        <v>2222</v>
      </c>
      <c r="M205" s="78">
        <v>5757</v>
      </c>
      <c r="N205" s="78">
        <f t="shared" si="12"/>
        <v>4020</v>
      </c>
      <c r="O205" s="78">
        <v>803.33333333333303</v>
      </c>
      <c r="P205" s="78">
        <v>66</v>
      </c>
      <c r="Q205" s="78">
        <v>3106.3333333333298</v>
      </c>
      <c r="R205" s="78">
        <v>6445</v>
      </c>
      <c r="S205" s="78">
        <v>4495</v>
      </c>
      <c r="T205" s="78">
        <v>0</v>
      </c>
      <c r="U205" s="78">
        <v>1308</v>
      </c>
      <c r="V205" s="78">
        <v>17401</v>
      </c>
      <c r="W205" s="78">
        <v>46420</v>
      </c>
      <c r="X205" s="78">
        <v>28400</v>
      </c>
      <c r="Y205" s="78">
        <v>1836.32</v>
      </c>
      <c r="Z205" s="78">
        <v>4988</v>
      </c>
      <c r="AA205" s="78">
        <v>0</v>
      </c>
      <c r="AB205" s="399">
        <f>IF((J205-'[2]Basisgegevens aanvullend'!D205*1.1)&lt;=0,0,J205-'[2]Basisgegevens aanvullend'!D205*1.1)</f>
        <v>0</v>
      </c>
      <c r="AC205" s="399">
        <v>0</v>
      </c>
      <c r="AD205" s="78">
        <v>1868</v>
      </c>
      <c r="AE205" s="78">
        <v>2521.8000000000002</v>
      </c>
      <c r="AF205" s="78">
        <v>326</v>
      </c>
      <c r="AG205" s="78">
        <v>0</v>
      </c>
      <c r="AH205" s="78">
        <v>175</v>
      </c>
      <c r="AI205" s="78">
        <v>25</v>
      </c>
      <c r="AJ205" s="78">
        <v>245</v>
      </c>
      <c r="AK205" s="78">
        <v>32.5</v>
      </c>
      <c r="AL205" s="78">
        <v>200</v>
      </c>
      <c r="AM205" s="78">
        <v>17370</v>
      </c>
      <c r="AN205" s="78">
        <v>24318</v>
      </c>
      <c r="AO205" s="78">
        <v>31</v>
      </c>
      <c r="AP205" s="78">
        <v>0</v>
      </c>
      <c r="AQ205" s="78">
        <v>0</v>
      </c>
      <c r="AR205" s="78">
        <v>5750</v>
      </c>
      <c r="AS205" s="78">
        <v>3432</v>
      </c>
      <c r="AT205" s="78">
        <v>3432</v>
      </c>
      <c r="AU205" s="400">
        <v>1.14252E-3</v>
      </c>
      <c r="AV205" s="400">
        <v>2.2560409999999999E-3</v>
      </c>
      <c r="AW205" s="78">
        <v>30136.95</v>
      </c>
      <c r="AX205" s="78">
        <v>0</v>
      </c>
      <c r="AY205" s="78">
        <v>1845.45</v>
      </c>
      <c r="AZ205" s="78">
        <v>75663.174339106699</v>
      </c>
      <c r="BA205" s="78">
        <v>1</v>
      </c>
      <c r="BB205" s="78">
        <v>1.3</v>
      </c>
      <c r="BC205" s="78">
        <v>4356</v>
      </c>
      <c r="BD205" s="78">
        <v>1</v>
      </c>
      <c r="BE205" s="78">
        <v>0</v>
      </c>
      <c r="BF205" s="78">
        <v>0</v>
      </c>
      <c r="BG205" s="78">
        <v>0</v>
      </c>
      <c r="BH205" s="78">
        <v>0</v>
      </c>
      <c r="BI205" s="78">
        <v>0</v>
      </c>
      <c r="BJ205" s="78">
        <v>0</v>
      </c>
      <c r="BK205" s="78">
        <v>0</v>
      </c>
      <c r="BL205" s="78">
        <v>0</v>
      </c>
      <c r="BM205" s="78">
        <v>962.14800000000002</v>
      </c>
      <c r="BN205" s="78">
        <v>155</v>
      </c>
      <c r="BO205" s="78">
        <v>152</v>
      </c>
      <c r="BP205" s="78">
        <v>11003.85</v>
      </c>
      <c r="BQ205" s="78">
        <v>2620.16</v>
      </c>
      <c r="BR205" s="78">
        <v>372.53751759403701</v>
      </c>
      <c r="BS205" s="78">
        <v>494</v>
      </c>
      <c r="BT205" s="78">
        <v>250.333333333333</v>
      </c>
      <c r="BU205" s="78">
        <v>216.333333333333</v>
      </c>
      <c r="BV205" s="78">
        <f t="shared" si="13"/>
        <v>2302.9999999999968</v>
      </c>
      <c r="BW205" s="78">
        <v>525</v>
      </c>
      <c r="BX205" s="78">
        <v>6788.7701258711004</v>
      </c>
      <c r="BY205" s="78">
        <v>2.1120000000000001</v>
      </c>
      <c r="BZ205" s="78">
        <v>30459</v>
      </c>
      <c r="CA205" s="78">
        <v>3913</v>
      </c>
      <c r="CB205" s="78">
        <v>816</v>
      </c>
      <c r="CC205" s="78">
        <v>1048</v>
      </c>
      <c r="CD205" s="78">
        <v>809</v>
      </c>
      <c r="CE205" s="78">
        <v>438</v>
      </c>
      <c r="CF205" s="78">
        <v>582.74956822107094</v>
      </c>
      <c r="CG205" s="78">
        <v>367.284974093264</v>
      </c>
      <c r="CH205" s="78">
        <v>140.24870466321201</v>
      </c>
      <c r="CI205" s="78">
        <v>1171.3735999999999</v>
      </c>
      <c r="CJ205" s="78">
        <v>738.27239999999995</v>
      </c>
      <c r="CK205" s="78">
        <v>281.91120000000001</v>
      </c>
      <c r="CL205" s="78">
        <v>30131</v>
      </c>
    </row>
    <row r="206" spans="1:90" x14ac:dyDescent="0.35">
      <c r="A206" s="72">
        <v>513</v>
      </c>
      <c r="B206" s="72" t="s">
        <v>120</v>
      </c>
      <c r="C206" s="72">
        <v>8</v>
      </c>
      <c r="D206" s="78">
        <v>6561200000</v>
      </c>
      <c r="E206" s="78">
        <v>994350000</v>
      </c>
      <c r="F206" s="78">
        <v>1030050000</v>
      </c>
      <c r="G206" s="78">
        <v>73681</v>
      </c>
      <c r="H206" s="78">
        <v>1</v>
      </c>
      <c r="I206" s="78">
        <f t="shared" si="11"/>
        <v>1030.05</v>
      </c>
      <c r="J206" s="78">
        <v>14418</v>
      </c>
      <c r="K206" s="78">
        <v>14408</v>
      </c>
      <c r="L206" s="78">
        <v>4364</v>
      </c>
      <c r="M206" s="78">
        <v>10637</v>
      </c>
      <c r="N206" s="78">
        <f t="shared" si="12"/>
        <v>7215.6</v>
      </c>
      <c r="O206" s="78">
        <v>1597</v>
      </c>
      <c r="P206" s="78">
        <v>79</v>
      </c>
      <c r="Q206" s="78">
        <v>5302</v>
      </c>
      <c r="R206" s="78">
        <v>13113</v>
      </c>
      <c r="S206" s="78">
        <v>9590</v>
      </c>
      <c r="T206" s="78">
        <v>0</v>
      </c>
      <c r="U206" s="78">
        <v>2493</v>
      </c>
      <c r="V206" s="78">
        <v>34929</v>
      </c>
      <c r="W206" s="78">
        <v>84170</v>
      </c>
      <c r="X206" s="78">
        <v>67650</v>
      </c>
      <c r="Y206" s="78">
        <v>3967</v>
      </c>
      <c r="Z206" s="78">
        <v>6626.4</v>
      </c>
      <c r="AA206" s="78">
        <v>0</v>
      </c>
      <c r="AB206" s="399">
        <f>IF((J206-'[2]Basisgegevens aanvullend'!D206*1.1)&lt;=0,0,J206-'[2]Basisgegevens aanvullend'!D206*1.1)</f>
        <v>0</v>
      </c>
      <c r="AC206" s="399">
        <v>0</v>
      </c>
      <c r="AD206" s="78">
        <v>1660</v>
      </c>
      <c r="AE206" s="78">
        <v>3071</v>
      </c>
      <c r="AF206" s="78">
        <v>152</v>
      </c>
      <c r="AG206" s="78">
        <v>0</v>
      </c>
      <c r="AH206" s="78">
        <v>276</v>
      </c>
      <c r="AI206" s="78">
        <v>2</v>
      </c>
      <c r="AJ206" s="78">
        <v>516.12</v>
      </c>
      <c r="AK206" s="78">
        <v>3.42</v>
      </c>
      <c r="AL206" s="78">
        <v>279</v>
      </c>
      <c r="AM206" s="78">
        <v>34214</v>
      </c>
      <c r="AN206" s="78">
        <v>63980.18</v>
      </c>
      <c r="AO206" s="78">
        <v>0</v>
      </c>
      <c r="AP206" s="78">
        <v>53</v>
      </c>
      <c r="AQ206" s="78">
        <v>0</v>
      </c>
      <c r="AR206" s="78">
        <v>10350</v>
      </c>
      <c r="AS206" s="78">
        <v>7377</v>
      </c>
      <c r="AT206" s="78">
        <v>7377</v>
      </c>
      <c r="AU206" s="400">
        <v>2.767439E-3</v>
      </c>
      <c r="AV206" s="400">
        <v>2.8907170000000001E-3</v>
      </c>
      <c r="AW206" s="78">
        <v>86903.56</v>
      </c>
      <c r="AX206" s="78">
        <v>0</v>
      </c>
      <c r="AY206" s="78">
        <v>5111.55</v>
      </c>
      <c r="AZ206" s="78">
        <v>620239.90797461395</v>
      </c>
      <c r="BA206" s="78">
        <v>1</v>
      </c>
      <c r="BB206" s="78">
        <v>1.71</v>
      </c>
      <c r="BC206" s="78">
        <v>7808</v>
      </c>
      <c r="BD206" s="78">
        <v>1</v>
      </c>
      <c r="BE206" s="78">
        <v>0</v>
      </c>
      <c r="BF206" s="78">
        <v>0</v>
      </c>
      <c r="BG206" s="78">
        <v>0</v>
      </c>
      <c r="BH206" s="78">
        <v>0</v>
      </c>
      <c r="BI206" s="78">
        <v>0</v>
      </c>
      <c r="BJ206" s="78">
        <v>0</v>
      </c>
      <c r="BK206" s="78">
        <v>0</v>
      </c>
      <c r="BL206" s="78">
        <v>0</v>
      </c>
      <c r="BM206" s="78">
        <v>1903.1759999999999</v>
      </c>
      <c r="BN206" s="78">
        <v>255</v>
      </c>
      <c r="BO206" s="78">
        <v>414</v>
      </c>
      <c r="BP206" s="78">
        <v>22271.040000000001</v>
      </c>
      <c r="BQ206" s="78">
        <v>5010.5600000000004</v>
      </c>
      <c r="BR206" s="78">
        <v>574.32250389372405</v>
      </c>
      <c r="BS206" s="78">
        <v>947</v>
      </c>
      <c r="BT206" s="78">
        <v>490.33333333333297</v>
      </c>
      <c r="BU206" s="78">
        <v>410.33333333333297</v>
      </c>
      <c r="BV206" s="78">
        <f t="shared" si="13"/>
        <v>3705</v>
      </c>
      <c r="BW206" s="78">
        <v>1036</v>
      </c>
      <c r="BX206" s="78">
        <v>11108.0527130347</v>
      </c>
      <c r="BY206" s="78">
        <v>4.2409999999999997</v>
      </c>
      <c r="BZ206" s="78">
        <v>59273</v>
      </c>
      <c r="CA206" s="78">
        <v>8317</v>
      </c>
      <c r="CB206" s="78">
        <v>1727</v>
      </c>
      <c r="CC206" s="78">
        <v>2052</v>
      </c>
      <c r="CD206" s="78">
        <v>1607</v>
      </c>
      <c r="CE206" s="78">
        <v>885</v>
      </c>
      <c r="CF206" s="78">
        <v>1121.96738177354</v>
      </c>
      <c r="CG206" s="78">
        <v>661.79203834687598</v>
      </c>
      <c r="CH206" s="78">
        <v>256.66058338691801</v>
      </c>
      <c r="CI206" s="78">
        <v>2389.7440000000001</v>
      </c>
      <c r="CJ206" s="78">
        <v>1409.5896</v>
      </c>
      <c r="CK206" s="78">
        <v>546.67639999999994</v>
      </c>
      <c r="CL206" s="78">
        <v>64607</v>
      </c>
    </row>
    <row r="207" spans="1:90" x14ac:dyDescent="0.35">
      <c r="A207" s="72">
        <v>523</v>
      </c>
      <c r="B207" s="72" t="s">
        <v>131</v>
      </c>
      <c r="C207" s="72">
        <v>8</v>
      </c>
      <c r="D207" s="78">
        <v>1584400000</v>
      </c>
      <c r="E207" s="78">
        <v>282100000</v>
      </c>
      <c r="F207" s="78">
        <v>285950000</v>
      </c>
      <c r="G207" s="78">
        <v>18413</v>
      </c>
      <c r="H207" s="78">
        <v>1</v>
      </c>
      <c r="I207" s="78">
        <f t="shared" si="11"/>
        <v>285.95</v>
      </c>
      <c r="J207" s="78">
        <v>4310</v>
      </c>
      <c r="K207" s="78">
        <v>3440</v>
      </c>
      <c r="L207" s="78">
        <v>1111</v>
      </c>
      <c r="M207" s="78">
        <v>1887</v>
      </c>
      <c r="N207" s="78">
        <f t="shared" si="12"/>
        <v>1132</v>
      </c>
      <c r="O207" s="78">
        <v>145.333333333333</v>
      </c>
      <c r="P207" s="78">
        <v>21</v>
      </c>
      <c r="Q207" s="78">
        <v>775.33333333333303</v>
      </c>
      <c r="R207" s="78">
        <v>2016</v>
      </c>
      <c r="S207" s="78">
        <v>320</v>
      </c>
      <c r="T207" s="78">
        <v>0</v>
      </c>
      <c r="U207" s="78">
        <v>332</v>
      </c>
      <c r="V207" s="78">
        <v>7364</v>
      </c>
      <c r="W207" s="78">
        <v>18730</v>
      </c>
      <c r="X207" s="78">
        <v>5390</v>
      </c>
      <c r="Y207" s="78">
        <v>0</v>
      </c>
      <c r="Z207" s="78">
        <v>627.20000000000005</v>
      </c>
      <c r="AA207" s="78">
        <v>0</v>
      </c>
      <c r="AB207" s="399">
        <f>IF((J207-'[2]Basisgegevens aanvullend'!D207*1.1)&lt;=0,0,J207-'[2]Basisgegevens aanvullend'!D207*1.1)</f>
        <v>0</v>
      </c>
      <c r="AC207" s="399">
        <v>0</v>
      </c>
      <c r="AD207" s="78">
        <v>1684</v>
      </c>
      <c r="AE207" s="78">
        <v>2441.8000000000002</v>
      </c>
      <c r="AF207" s="78">
        <v>252</v>
      </c>
      <c r="AG207" s="78">
        <v>0</v>
      </c>
      <c r="AH207" s="78">
        <v>105</v>
      </c>
      <c r="AI207" s="78">
        <v>5</v>
      </c>
      <c r="AJ207" s="78">
        <v>150.15</v>
      </c>
      <c r="AK207" s="78">
        <v>7.35</v>
      </c>
      <c r="AL207" s="78">
        <v>110</v>
      </c>
      <c r="AM207" s="78">
        <v>7550</v>
      </c>
      <c r="AN207" s="78">
        <v>10796.5</v>
      </c>
      <c r="AO207" s="78">
        <v>0</v>
      </c>
      <c r="AP207" s="78">
        <v>0</v>
      </c>
      <c r="AQ207" s="78">
        <v>0</v>
      </c>
      <c r="AR207" s="78">
        <v>0</v>
      </c>
      <c r="AS207" s="78">
        <v>2315</v>
      </c>
      <c r="AT207" s="78">
        <v>0</v>
      </c>
      <c r="AU207" s="400">
        <v>3.2248800000000001E-4</v>
      </c>
      <c r="AV207" s="400">
        <v>2.46567E-4</v>
      </c>
      <c r="AW207" s="78">
        <v>7459.4</v>
      </c>
      <c r="AX207" s="78">
        <v>0</v>
      </c>
      <c r="AY207" s="78">
        <v>1387.65</v>
      </c>
      <c r="AZ207" s="78">
        <v>33249.445945247899</v>
      </c>
      <c r="BA207" s="78">
        <v>2</v>
      </c>
      <c r="BB207" s="78">
        <v>2.94</v>
      </c>
      <c r="BC207" s="78">
        <v>2087</v>
      </c>
      <c r="BD207" s="78">
        <v>1</v>
      </c>
      <c r="BE207" s="78">
        <v>0</v>
      </c>
      <c r="BF207" s="78">
        <v>0</v>
      </c>
      <c r="BG207" s="78">
        <v>0</v>
      </c>
      <c r="BH207" s="78">
        <v>0</v>
      </c>
      <c r="BI207" s="78">
        <v>0</v>
      </c>
      <c r="BJ207" s="78">
        <v>0</v>
      </c>
      <c r="BK207" s="78">
        <v>0</v>
      </c>
      <c r="BL207" s="78">
        <v>0</v>
      </c>
      <c r="BM207" s="78">
        <v>215.5</v>
      </c>
      <c r="BN207" s="78">
        <v>101</v>
      </c>
      <c r="BO207" s="78">
        <v>33</v>
      </c>
      <c r="BP207" s="78">
        <v>4958.34</v>
      </c>
      <c r="BQ207" s="78">
        <v>1417.8</v>
      </c>
      <c r="BR207" s="78">
        <v>177.569037800687</v>
      </c>
      <c r="BS207" s="78">
        <v>137</v>
      </c>
      <c r="BT207" s="78">
        <v>55.6666666666667</v>
      </c>
      <c r="BU207" s="78">
        <v>36.3333333333333</v>
      </c>
      <c r="BV207" s="78">
        <f t="shared" si="13"/>
        <v>630</v>
      </c>
      <c r="BW207" s="78">
        <v>184</v>
      </c>
      <c r="BX207" s="78">
        <v>2665.68307187756</v>
      </c>
      <c r="BY207" s="78">
        <v>8.8999999999999996E-2</v>
      </c>
      <c r="BZ207" s="78">
        <v>14973</v>
      </c>
      <c r="CA207" s="78">
        <v>1895</v>
      </c>
      <c r="CB207" s="78">
        <v>434</v>
      </c>
      <c r="CC207" s="78">
        <v>336</v>
      </c>
      <c r="CD207" s="78">
        <v>382</v>
      </c>
      <c r="CE207" s="78">
        <v>231</v>
      </c>
      <c r="CF207" s="78">
        <v>167.92582781457</v>
      </c>
      <c r="CG207" s="78">
        <v>116.19867549668901</v>
      </c>
      <c r="CH207" s="78">
        <v>46.779337748344403</v>
      </c>
      <c r="CI207" s="78">
        <v>490</v>
      </c>
      <c r="CJ207" s="78">
        <v>339.0625</v>
      </c>
      <c r="CK207" s="78">
        <v>136.5</v>
      </c>
      <c r="CL207" s="78">
        <v>0</v>
      </c>
    </row>
    <row r="208" spans="1:90" x14ac:dyDescent="0.35">
      <c r="A208" s="72">
        <v>530</v>
      </c>
      <c r="B208" s="72" t="s">
        <v>143</v>
      </c>
      <c r="C208" s="72">
        <v>8</v>
      </c>
      <c r="D208" s="78">
        <v>3622400000</v>
      </c>
      <c r="E208" s="78">
        <v>375900000</v>
      </c>
      <c r="F208" s="78">
        <v>390250000</v>
      </c>
      <c r="G208" s="78">
        <v>40312</v>
      </c>
      <c r="H208" s="78">
        <v>2</v>
      </c>
      <c r="I208" s="78">
        <f t="shared" si="11"/>
        <v>390.25</v>
      </c>
      <c r="J208" s="78">
        <v>7543</v>
      </c>
      <c r="K208" s="78">
        <v>8879</v>
      </c>
      <c r="L208" s="78">
        <v>2510</v>
      </c>
      <c r="M208" s="78">
        <v>4850</v>
      </c>
      <c r="N208" s="78">
        <f t="shared" si="12"/>
        <v>2984</v>
      </c>
      <c r="O208" s="78">
        <v>736.33333333333303</v>
      </c>
      <c r="P208" s="78">
        <v>34</v>
      </c>
      <c r="Q208" s="78">
        <v>2474.3333333333298</v>
      </c>
      <c r="R208" s="78">
        <v>5853</v>
      </c>
      <c r="S208" s="78">
        <v>2665</v>
      </c>
      <c r="T208" s="78">
        <v>0</v>
      </c>
      <c r="U208" s="78">
        <v>1560</v>
      </c>
      <c r="V208" s="78">
        <v>18482</v>
      </c>
      <c r="W208" s="78">
        <v>42870</v>
      </c>
      <c r="X208" s="78">
        <v>26210</v>
      </c>
      <c r="Y208" s="78">
        <v>281.12</v>
      </c>
      <c r="Z208" s="78">
        <v>2129.6</v>
      </c>
      <c r="AA208" s="78">
        <v>0</v>
      </c>
      <c r="AB208" s="399">
        <f>IF((J208-'[2]Basisgegevens aanvullend'!D208*1.1)&lt;=0,0,J208-'[2]Basisgegevens aanvullend'!D208*1.1)</f>
        <v>0</v>
      </c>
      <c r="AC208" s="399">
        <v>0</v>
      </c>
      <c r="AD208" s="78">
        <v>4109</v>
      </c>
      <c r="AE208" s="78">
        <v>4478.8100000000004</v>
      </c>
      <c r="AF208" s="78">
        <v>1900</v>
      </c>
      <c r="AG208" s="78">
        <v>112</v>
      </c>
      <c r="AH208" s="78">
        <v>161</v>
      </c>
      <c r="AI208" s="78">
        <v>23</v>
      </c>
      <c r="AJ208" s="78">
        <v>170.66</v>
      </c>
      <c r="AK208" s="78">
        <v>25.3</v>
      </c>
      <c r="AL208" s="78">
        <v>184</v>
      </c>
      <c r="AM208" s="78">
        <v>18660</v>
      </c>
      <c r="AN208" s="78">
        <v>19779.599999999999</v>
      </c>
      <c r="AO208" s="78">
        <v>5</v>
      </c>
      <c r="AP208" s="78">
        <v>0</v>
      </c>
      <c r="AQ208" s="78">
        <v>0</v>
      </c>
      <c r="AR208" s="78">
        <v>3700</v>
      </c>
      <c r="AS208" s="78">
        <v>1211</v>
      </c>
      <c r="AT208" s="78">
        <v>636</v>
      </c>
      <c r="AU208" s="400">
        <v>2.9061499999999998E-4</v>
      </c>
      <c r="AV208" s="400">
        <v>4.1157800000000001E-4</v>
      </c>
      <c r="AW208" s="78">
        <v>28419.18</v>
      </c>
      <c r="AX208" s="78">
        <v>0</v>
      </c>
      <c r="AY208" s="78">
        <v>2151.66</v>
      </c>
      <c r="AZ208" s="78">
        <v>19831.1694058912</v>
      </c>
      <c r="BA208" s="78">
        <v>3</v>
      </c>
      <c r="BB208" s="78">
        <v>3.3</v>
      </c>
      <c r="BC208" s="78">
        <v>3466</v>
      </c>
      <c r="BD208" s="78">
        <v>1</v>
      </c>
      <c r="BE208" s="78">
        <v>0</v>
      </c>
      <c r="BF208" s="78">
        <v>0</v>
      </c>
      <c r="BG208" s="78">
        <v>0</v>
      </c>
      <c r="BH208" s="78">
        <v>0</v>
      </c>
      <c r="BI208" s="78">
        <v>0</v>
      </c>
      <c r="BJ208" s="78">
        <v>0</v>
      </c>
      <c r="BK208" s="78">
        <v>0</v>
      </c>
      <c r="BL208" s="78">
        <v>0</v>
      </c>
      <c r="BM208" s="78">
        <v>890.07399999999996</v>
      </c>
      <c r="BN208" s="78">
        <v>207</v>
      </c>
      <c r="BO208" s="78">
        <v>92</v>
      </c>
      <c r="BP208" s="78">
        <v>13237.82</v>
      </c>
      <c r="BQ208" s="78">
        <v>2909.28</v>
      </c>
      <c r="BR208" s="78">
        <v>343.20176787954802</v>
      </c>
      <c r="BS208" s="78">
        <v>618</v>
      </c>
      <c r="BT208" s="78">
        <v>239</v>
      </c>
      <c r="BU208" s="78">
        <v>216.666666666667</v>
      </c>
      <c r="BV208" s="78">
        <f t="shared" si="13"/>
        <v>1737.9999999999968</v>
      </c>
      <c r="BW208" s="78">
        <v>478</v>
      </c>
      <c r="BX208" s="78">
        <v>7729.5563629116596</v>
      </c>
      <c r="BY208" s="78">
        <v>1.823</v>
      </c>
      <c r="BZ208" s="78">
        <v>31433</v>
      </c>
      <c r="CA208" s="78">
        <v>5633</v>
      </c>
      <c r="CB208" s="78">
        <v>736</v>
      </c>
      <c r="CC208" s="78">
        <v>1237</v>
      </c>
      <c r="CD208" s="78">
        <v>850</v>
      </c>
      <c r="CE208" s="78">
        <v>399</v>
      </c>
      <c r="CF208" s="78">
        <v>567.37577706323702</v>
      </c>
      <c r="CG208" s="78">
        <v>290.724115755627</v>
      </c>
      <c r="CH208" s="78">
        <v>89.551982851018195</v>
      </c>
      <c r="CI208" s="78">
        <v>1420.9739999999999</v>
      </c>
      <c r="CJ208" s="78">
        <v>728.10900000000004</v>
      </c>
      <c r="CK208" s="78">
        <v>224.28</v>
      </c>
      <c r="CL208" s="78">
        <v>46847</v>
      </c>
    </row>
    <row r="209" spans="1:90" x14ac:dyDescent="0.35">
      <c r="A209" s="72">
        <v>531</v>
      </c>
      <c r="B209" s="72" t="s">
        <v>145</v>
      </c>
      <c r="C209" s="72">
        <v>8</v>
      </c>
      <c r="D209" s="78">
        <v>3061600000</v>
      </c>
      <c r="E209" s="78">
        <v>254450000</v>
      </c>
      <c r="F209" s="78">
        <v>254450000</v>
      </c>
      <c r="G209" s="78">
        <v>31258</v>
      </c>
      <c r="H209" s="78">
        <v>1</v>
      </c>
      <c r="I209" s="78">
        <f t="shared" si="11"/>
        <v>254.45</v>
      </c>
      <c r="J209" s="78">
        <v>7693</v>
      </c>
      <c r="K209" s="78">
        <v>5310</v>
      </c>
      <c r="L209" s="78">
        <v>1639</v>
      </c>
      <c r="M209" s="78">
        <v>2759</v>
      </c>
      <c r="N209" s="78">
        <f t="shared" si="12"/>
        <v>1521.5</v>
      </c>
      <c r="O209" s="78">
        <v>311</v>
      </c>
      <c r="P209" s="78">
        <v>33</v>
      </c>
      <c r="Q209" s="78">
        <v>1303</v>
      </c>
      <c r="R209" s="78">
        <v>3076</v>
      </c>
      <c r="S209" s="78">
        <v>1590</v>
      </c>
      <c r="T209" s="78">
        <v>0</v>
      </c>
      <c r="U209" s="78">
        <v>856</v>
      </c>
      <c r="V209" s="78">
        <v>12462</v>
      </c>
      <c r="W209" s="78">
        <v>30070</v>
      </c>
      <c r="X209" s="78">
        <v>11960</v>
      </c>
      <c r="Y209" s="78">
        <v>0</v>
      </c>
      <c r="Z209" s="78">
        <v>0</v>
      </c>
      <c r="AA209" s="78">
        <v>0</v>
      </c>
      <c r="AB209" s="399">
        <f>IF((J209-'[2]Basisgegevens aanvullend'!D209*1.1)&lt;=0,0,J209-'[2]Basisgegevens aanvullend'!D209*1.1)</f>
        <v>168.99999999999909</v>
      </c>
      <c r="AC209" s="399">
        <v>0</v>
      </c>
      <c r="AD209" s="78">
        <v>1049</v>
      </c>
      <c r="AE209" s="78">
        <v>1384.68</v>
      </c>
      <c r="AF209" s="78">
        <v>141</v>
      </c>
      <c r="AG209" s="78">
        <v>0</v>
      </c>
      <c r="AH209" s="78">
        <v>114</v>
      </c>
      <c r="AI209" s="78">
        <v>2</v>
      </c>
      <c r="AJ209" s="78">
        <v>153.9</v>
      </c>
      <c r="AK209" s="78">
        <v>2.48</v>
      </c>
      <c r="AL209" s="78">
        <v>116</v>
      </c>
      <c r="AM209" s="78">
        <v>12375</v>
      </c>
      <c r="AN209" s="78">
        <v>16706.25</v>
      </c>
      <c r="AO209" s="78">
        <v>0</v>
      </c>
      <c r="AP209" s="78">
        <v>0</v>
      </c>
      <c r="AQ209" s="78">
        <v>0</v>
      </c>
      <c r="AR209" s="78">
        <v>0</v>
      </c>
      <c r="AS209" s="78">
        <v>964</v>
      </c>
      <c r="AT209" s="78">
        <v>0</v>
      </c>
      <c r="AU209" s="400">
        <v>8.7233999999999999E-5</v>
      </c>
      <c r="AV209" s="400">
        <v>2.6871499999999999E-4</v>
      </c>
      <c r="AW209" s="78">
        <v>22596.75</v>
      </c>
      <c r="AX209" s="78">
        <v>0</v>
      </c>
      <c r="AY209" s="78">
        <v>1153.68</v>
      </c>
      <c r="AZ209" s="78">
        <v>70316.315697479004</v>
      </c>
      <c r="BA209" s="78">
        <v>1</v>
      </c>
      <c r="BB209" s="78">
        <v>1.24</v>
      </c>
      <c r="BC209" s="78">
        <v>2998</v>
      </c>
      <c r="BD209" s="78">
        <v>1</v>
      </c>
      <c r="BE209" s="78">
        <v>0</v>
      </c>
      <c r="BF209" s="78">
        <v>0</v>
      </c>
      <c r="BG209" s="78">
        <v>0</v>
      </c>
      <c r="BH209" s="78">
        <v>0</v>
      </c>
      <c r="BI209" s="78">
        <v>0</v>
      </c>
      <c r="BJ209" s="78">
        <v>0</v>
      </c>
      <c r="BK209" s="78">
        <v>0</v>
      </c>
      <c r="BL209" s="78">
        <v>0</v>
      </c>
      <c r="BM209" s="78">
        <v>515.43100000000004</v>
      </c>
      <c r="BN209" s="78">
        <v>126</v>
      </c>
      <c r="BO209" s="78">
        <v>73</v>
      </c>
      <c r="BP209" s="78">
        <v>9261.36</v>
      </c>
      <c r="BQ209" s="78">
        <v>2860.9</v>
      </c>
      <c r="BR209" s="78">
        <v>358.97262684365802</v>
      </c>
      <c r="BS209" s="78">
        <v>349</v>
      </c>
      <c r="BT209" s="78">
        <v>127.666666666667</v>
      </c>
      <c r="BU209" s="78">
        <v>108.333333333333</v>
      </c>
      <c r="BV209" s="78">
        <f t="shared" si="13"/>
        <v>992</v>
      </c>
      <c r="BW209" s="78">
        <v>209</v>
      </c>
      <c r="BX209" s="78">
        <v>4260.39266970066</v>
      </c>
      <c r="BY209" s="78">
        <v>0.41299999999999998</v>
      </c>
      <c r="BZ209" s="78">
        <v>25948</v>
      </c>
      <c r="CA209" s="78">
        <v>3005</v>
      </c>
      <c r="CB209" s="78">
        <v>666</v>
      </c>
      <c r="CC209" s="78">
        <v>580</v>
      </c>
      <c r="CD209" s="78">
        <v>562</v>
      </c>
      <c r="CE209" s="78">
        <v>343</v>
      </c>
      <c r="CF209" s="78">
        <v>229.300808080808</v>
      </c>
      <c r="CG209" s="78">
        <v>142.25256565656599</v>
      </c>
      <c r="CH209" s="78">
        <v>60.4911515151515</v>
      </c>
      <c r="CI209" s="78">
        <v>695.45849999999996</v>
      </c>
      <c r="CJ209" s="78">
        <v>431.44529999999997</v>
      </c>
      <c r="CK209" s="78">
        <v>183.46680000000001</v>
      </c>
      <c r="CL209" s="78">
        <v>0</v>
      </c>
    </row>
    <row r="210" spans="1:90" x14ac:dyDescent="0.35">
      <c r="A210" s="72">
        <v>534</v>
      </c>
      <c r="B210" s="72" t="s">
        <v>150</v>
      </c>
      <c r="C210" s="72">
        <v>8</v>
      </c>
      <c r="D210" s="78">
        <v>2556000000</v>
      </c>
      <c r="E210" s="78">
        <v>248850000</v>
      </c>
      <c r="F210" s="78">
        <v>253050000</v>
      </c>
      <c r="G210" s="78">
        <v>22197</v>
      </c>
      <c r="H210" s="78">
        <v>1</v>
      </c>
      <c r="I210" s="78">
        <f t="shared" si="11"/>
        <v>253.05</v>
      </c>
      <c r="J210" s="78">
        <v>4200</v>
      </c>
      <c r="K210" s="78">
        <v>4685</v>
      </c>
      <c r="L210" s="78">
        <v>1479</v>
      </c>
      <c r="M210" s="78">
        <v>2982</v>
      </c>
      <c r="N210" s="78">
        <f t="shared" si="12"/>
        <v>1988.1999999999998</v>
      </c>
      <c r="O210" s="78">
        <v>245</v>
      </c>
      <c r="P210" s="78">
        <v>19</v>
      </c>
      <c r="Q210" s="78">
        <v>1243</v>
      </c>
      <c r="R210" s="78">
        <v>3380</v>
      </c>
      <c r="S210" s="78">
        <v>700</v>
      </c>
      <c r="T210" s="78">
        <v>0</v>
      </c>
      <c r="U210" s="78">
        <v>685</v>
      </c>
      <c r="V210" s="78">
        <v>10218</v>
      </c>
      <c r="W210" s="78">
        <v>20330</v>
      </c>
      <c r="X210" s="78">
        <v>5020</v>
      </c>
      <c r="Y210" s="78">
        <v>138.6</v>
      </c>
      <c r="Z210" s="78">
        <v>665.6</v>
      </c>
      <c r="AA210" s="78">
        <v>0</v>
      </c>
      <c r="AB210" s="399">
        <f>IF((J210-'[2]Basisgegevens aanvullend'!D210*1.1)&lt;=0,0,J210-'[2]Basisgegevens aanvullend'!D210*1.1)</f>
        <v>0</v>
      </c>
      <c r="AC210" s="399">
        <v>254.5</v>
      </c>
      <c r="AD210" s="78">
        <v>1291</v>
      </c>
      <c r="AE210" s="78">
        <v>1407.19</v>
      </c>
      <c r="AF210" s="78">
        <v>56</v>
      </c>
      <c r="AG210" s="78">
        <v>0</v>
      </c>
      <c r="AH210" s="78">
        <v>118</v>
      </c>
      <c r="AI210" s="78">
        <v>18</v>
      </c>
      <c r="AJ210" s="78">
        <v>130.97999999999999</v>
      </c>
      <c r="AK210" s="78">
        <v>18.899999999999999</v>
      </c>
      <c r="AL210" s="78">
        <v>136</v>
      </c>
      <c r="AM210" s="78">
        <v>9938</v>
      </c>
      <c r="AN210" s="78">
        <v>11031.18</v>
      </c>
      <c r="AO210" s="78">
        <v>0</v>
      </c>
      <c r="AP210" s="78">
        <v>0</v>
      </c>
      <c r="AQ210" s="78">
        <v>0</v>
      </c>
      <c r="AR210" s="78">
        <v>0</v>
      </c>
      <c r="AS210" s="78">
        <v>1874</v>
      </c>
      <c r="AT210" s="78">
        <v>0</v>
      </c>
      <c r="AU210" s="400">
        <v>4.78849E-4</v>
      </c>
      <c r="AV210" s="400">
        <v>3.7916300000000002E-4</v>
      </c>
      <c r="AW210" s="78">
        <v>15592.722</v>
      </c>
      <c r="AX210" s="78">
        <v>0</v>
      </c>
      <c r="AY210" s="78">
        <v>1710.21</v>
      </c>
      <c r="AZ210" s="78">
        <v>38420.584610245001</v>
      </c>
      <c r="BA210" s="78">
        <v>2</v>
      </c>
      <c r="BB210" s="78">
        <v>2.1</v>
      </c>
      <c r="BC210" s="78">
        <v>2526</v>
      </c>
      <c r="BD210" s="78">
        <v>1</v>
      </c>
      <c r="BE210" s="78">
        <v>0</v>
      </c>
      <c r="BF210" s="78">
        <v>0</v>
      </c>
      <c r="BG210" s="78">
        <v>0</v>
      </c>
      <c r="BH210" s="78">
        <v>0</v>
      </c>
      <c r="BI210" s="78">
        <v>0</v>
      </c>
      <c r="BJ210" s="78">
        <v>0</v>
      </c>
      <c r="BK210" s="78">
        <v>0</v>
      </c>
      <c r="BL210" s="78">
        <v>0</v>
      </c>
      <c r="BM210" s="78">
        <v>403.2</v>
      </c>
      <c r="BN210" s="78">
        <v>59</v>
      </c>
      <c r="BO210" s="78">
        <v>36</v>
      </c>
      <c r="BP210" s="78">
        <v>6923</v>
      </c>
      <c r="BQ210" s="78">
        <v>1712.9</v>
      </c>
      <c r="BR210" s="78">
        <v>183.04239791485699</v>
      </c>
      <c r="BS210" s="78">
        <v>275</v>
      </c>
      <c r="BT210" s="78">
        <v>69.3333333333333</v>
      </c>
      <c r="BU210" s="78">
        <v>54.6666666666667</v>
      </c>
      <c r="BV210" s="78">
        <f t="shared" si="13"/>
        <v>998</v>
      </c>
      <c r="BW210" s="78">
        <v>237</v>
      </c>
      <c r="BX210" s="78">
        <v>3215.1818289882499</v>
      </c>
      <c r="BY210" s="78">
        <v>0.25700000000000001</v>
      </c>
      <c r="BZ210" s="78">
        <v>17512</v>
      </c>
      <c r="CA210" s="78">
        <v>2624</v>
      </c>
      <c r="CB210" s="78">
        <v>582</v>
      </c>
      <c r="CC210" s="78">
        <v>564</v>
      </c>
      <c r="CD210" s="78">
        <v>502</v>
      </c>
      <c r="CE210" s="78">
        <v>292</v>
      </c>
      <c r="CF210" s="78">
        <v>329.69949688065998</v>
      </c>
      <c r="CG210" s="78">
        <v>205.86212517609201</v>
      </c>
      <c r="CH210" s="78">
        <v>81.224511974240301</v>
      </c>
      <c r="CI210" s="78">
        <v>690.01760000000002</v>
      </c>
      <c r="CJ210" s="78">
        <v>430.84230000000002</v>
      </c>
      <c r="CK210" s="78">
        <v>169.9922</v>
      </c>
      <c r="CL210" s="78">
        <v>23946</v>
      </c>
    </row>
    <row r="211" spans="1:90" x14ac:dyDescent="0.35">
      <c r="A211" s="72">
        <v>1963</v>
      </c>
      <c r="B211" s="72" t="s">
        <v>153</v>
      </c>
      <c r="C211" s="72">
        <v>8</v>
      </c>
      <c r="D211" s="78">
        <v>8634800000</v>
      </c>
      <c r="E211" s="78">
        <v>1229550000</v>
      </c>
      <c r="F211" s="78">
        <v>1276450000</v>
      </c>
      <c r="G211" s="78">
        <v>88047</v>
      </c>
      <c r="H211" s="78">
        <v>12</v>
      </c>
      <c r="I211" s="78">
        <f t="shared" si="11"/>
        <v>1276.45</v>
      </c>
      <c r="J211" s="78">
        <v>16877</v>
      </c>
      <c r="K211" s="78">
        <v>20018</v>
      </c>
      <c r="L211" s="78">
        <v>6331</v>
      </c>
      <c r="M211" s="78">
        <v>9256</v>
      </c>
      <c r="N211" s="78">
        <f t="shared" si="12"/>
        <v>5424.7</v>
      </c>
      <c r="O211" s="78">
        <v>786</v>
      </c>
      <c r="P211" s="78">
        <v>81</v>
      </c>
      <c r="Q211" s="78">
        <v>3799</v>
      </c>
      <c r="R211" s="78">
        <v>10911</v>
      </c>
      <c r="S211" s="78">
        <v>1760</v>
      </c>
      <c r="T211" s="78">
        <v>0</v>
      </c>
      <c r="U211" s="78">
        <v>2309</v>
      </c>
      <c r="V211" s="78">
        <v>38582</v>
      </c>
      <c r="W211" s="78">
        <v>63330</v>
      </c>
      <c r="X211" s="78">
        <v>9460</v>
      </c>
      <c r="Y211" s="78">
        <v>517.46</v>
      </c>
      <c r="Z211" s="78">
        <v>2505.6</v>
      </c>
      <c r="AA211" s="78">
        <v>0</v>
      </c>
      <c r="AB211" s="399">
        <f>IF((J211-'[2]Basisgegevens aanvullend'!D211*1.1)&lt;=0,0,J211-'[2]Basisgegevens aanvullend'!D211*1.1)</f>
        <v>0</v>
      </c>
      <c r="AC211" s="399">
        <v>0</v>
      </c>
      <c r="AD211" s="78">
        <v>26847</v>
      </c>
      <c r="AE211" s="78">
        <v>33021.81</v>
      </c>
      <c r="AF211" s="78">
        <v>5522</v>
      </c>
      <c r="AG211" s="78">
        <v>0</v>
      </c>
      <c r="AH211" s="78">
        <v>481</v>
      </c>
      <c r="AI211" s="78">
        <v>124</v>
      </c>
      <c r="AJ211" s="78">
        <v>610.87</v>
      </c>
      <c r="AK211" s="78">
        <v>151.28</v>
      </c>
      <c r="AL211" s="78">
        <v>605</v>
      </c>
      <c r="AM211" s="78">
        <v>38313</v>
      </c>
      <c r="AN211" s="78">
        <v>48657.51</v>
      </c>
      <c r="AO211" s="78">
        <v>0</v>
      </c>
      <c r="AP211" s="78">
        <v>0</v>
      </c>
      <c r="AQ211" s="78">
        <v>0</v>
      </c>
      <c r="AR211" s="78">
        <v>0</v>
      </c>
      <c r="AS211" s="78">
        <v>3172</v>
      </c>
      <c r="AT211" s="78">
        <v>0</v>
      </c>
      <c r="AU211" s="400">
        <v>1.0551600000000001E-3</v>
      </c>
      <c r="AV211" s="400">
        <v>5.5092100000000001E-4</v>
      </c>
      <c r="AW211" s="78">
        <v>31953.042000000001</v>
      </c>
      <c r="AX211" s="78">
        <v>0</v>
      </c>
      <c r="AY211" s="78">
        <v>11584.14</v>
      </c>
      <c r="AZ211" s="78">
        <v>58269.166763261099</v>
      </c>
      <c r="BA211" s="78">
        <v>29</v>
      </c>
      <c r="BB211" s="78">
        <v>35.380000000000003</v>
      </c>
      <c r="BC211" s="78">
        <v>10061</v>
      </c>
      <c r="BD211" s="78">
        <v>1</v>
      </c>
      <c r="BE211" s="78">
        <v>0</v>
      </c>
      <c r="BF211" s="78">
        <v>0</v>
      </c>
      <c r="BG211" s="78">
        <v>0</v>
      </c>
      <c r="BH211" s="78">
        <v>0</v>
      </c>
      <c r="BI211" s="78">
        <v>0</v>
      </c>
      <c r="BJ211" s="78">
        <v>0</v>
      </c>
      <c r="BK211" s="78">
        <v>0</v>
      </c>
      <c r="BL211" s="78">
        <v>0</v>
      </c>
      <c r="BM211" s="78">
        <v>1097.0050000000001</v>
      </c>
      <c r="BN211" s="78">
        <v>214</v>
      </c>
      <c r="BO211" s="78">
        <v>126</v>
      </c>
      <c r="BP211" s="78">
        <v>29301.48</v>
      </c>
      <c r="BQ211" s="78">
        <v>6923.44</v>
      </c>
      <c r="BR211" s="78">
        <v>720.71040740740705</v>
      </c>
      <c r="BS211" s="78">
        <v>857</v>
      </c>
      <c r="BT211" s="78">
        <v>238.666666666667</v>
      </c>
      <c r="BU211" s="78">
        <v>162</v>
      </c>
      <c r="BV211" s="78">
        <f t="shared" si="13"/>
        <v>3013</v>
      </c>
      <c r="BW211" s="78">
        <v>888</v>
      </c>
      <c r="BX211" s="78">
        <v>15518.740853765999</v>
      </c>
      <c r="BY211" s="78">
        <v>0.71699999999999997</v>
      </c>
      <c r="BZ211" s="78">
        <v>68029</v>
      </c>
      <c r="CA211" s="78">
        <v>11609</v>
      </c>
      <c r="CB211" s="78">
        <v>2078</v>
      </c>
      <c r="CC211" s="78">
        <v>2144</v>
      </c>
      <c r="CD211" s="78">
        <v>2027</v>
      </c>
      <c r="CE211" s="78">
        <v>1011</v>
      </c>
      <c r="CF211" s="78">
        <v>1000.60958160416</v>
      </c>
      <c r="CG211" s="78">
        <v>627.66411139822003</v>
      </c>
      <c r="CH211" s="78">
        <v>217.05596272805599</v>
      </c>
      <c r="CI211" s="78">
        <v>2541.2932000000001</v>
      </c>
      <c r="CJ211" s="78">
        <v>1594.1068</v>
      </c>
      <c r="CK211" s="78">
        <v>551.26679999999999</v>
      </c>
      <c r="CL211" s="78">
        <v>64425</v>
      </c>
    </row>
    <row r="212" spans="1:90" x14ac:dyDescent="0.35">
      <c r="A212" s="72">
        <v>1884</v>
      </c>
      <c r="B212" s="72" t="s">
        <v>163</v>
      </c>
      <c r="C212" s="72">
        <v>8</v>
      </c>
      <c r="D212" s="78">
        <v>3359600000</v>
      </c>
      <c r="E212" s="78">
        <v>326900000</v>
      </c>
      <c r="F212" s="78">
        <v>355600000</v>
      </c>
      <c r="G212" s="78">
        <v>27541</v>
      </c>
      <c r="H212" s="78">
        <v>6</v>
      </c>
      <c r="I212" s="78">
        <f t="shared" si="11"/>
        <v>355.6</v>
      </c>
      <c r="J212" s="78">
        <v>5162</v>
      </c>
      <c r="K212" s="78">
        <v>5834</v>
      </c>
      <c r="L212" s="78">
        <v>1812</v>
      </c>
      <c r="M212" s="78">
        <v>2880</v>
      </c>
      <c r="N212" s="78">
        <f t="shared" si="12"/>
        <v>1652.5</v>
      </c>
      <c r="O212" s="78">
        <v>230.333333333333</v>
      </c>
      <c r="P212" s="78">
        <v>20</v>
      </c>
      <c r="Q212" s="78">
        <v>1042.3333333333301</v>
      </c>
      <c r="R212" s="78">
        <v>3467</v>
      </c>
      <c r="S212" s="78">
        <v>730</v>
      </c>
      <c r="T212" s="78">
        <v>0</v>
      </c>
      <c r="U212" s="78">
        <v>739</v>
      </c>
      <c r="V212" s="78">
        <v>12007</v>
      </c>
      <c r="W212" s="78">
        <v>20390</v>
      </c>
      <c r="X212" s="78">
        <v>3100</v>
      </c>
      <c r="Y212" s="78">
        <v>0</v>
      </c>
      <c r="Z212" s="78">
        <v>0</v>
      </c>
      <c r="AA212" s="78">
        <v>0</v>
      </c>
      <c r="AB212" s="399">
        <f>IF((J212-'[2]Basisgegevens aanvullend'!D212*1.1)&lt;=0,0,J212-'[2]Basisgegevens aanvullend'!D212*1.1)</f>
        <v>0</v>
      </c>
      <c r="AC212" s="399">
        <v>0</v>
      </c>
      <c r="AD212" s="78">
        <v>6317</v>
      </c>
      <c r="AE212" s="78">
        <v>7896.25</v>
      </c>
      <c r="AF212" s="78">
        <v>907</v>
      </c>
      <c r="AG212" s="78">
        <v>0</v>
      </c>
      <c r="AH212" s="78">
        <v>150</v>
      </c>
      <c r="AI212" s="78">
        <v>42</v>
      </c>
      <c r="AJ212" s="78">
        <v>192</v>
      </c>
      <c r="AK212" s="78">
        <v>52.08</v>
      </c>
      <c r="AL212" s="78">
        <v>191</v>
      </c>
      <c r="AM212" s="78">
        <v>12275</v>
      </c>
      <c r="AN212" s="78">
        <v>15712</v>
      </c>
      <c r="AO212" s="78">
        <v>0</v>
      </c>
      <c r="AP212" s="78">
        <v>0</v>
      </c>
      <c r="AQ212" s="78">
        <v>0</v>
      </c>
      <c r="AR212" s="78">
        <v>0</v>
      </c>
      <c r="AS212" s="78">
        <v>542</v>
      </c>
      <c r="AT212" s="78">
        <v>0</v>
      </c>
      <c r="AU212" s="400">
        <v>1.7202100000000001E-4</v>
      </c>
      <c r="AV212" s="400">
        <v>1.10513E-4</v>
      </c>
      <c r="AW212" s="78">
        <v>7745.5249999999996</v>
      </c>
      <c r="AX212" s="78">
        <v>0</v>
      </c>
      <c r="AY212" s="78">
        <v>6560</v>
      </c>
      <c r="AZ212" s="78">
        <v>61809.0341223699</v>
      </c>
      <c r="BA212" s="78">
        <v>17</v>
      </c>
      <c r="BB212" s="78">
        <v>21.08</v>
      </c>
      <c r="BC212" s="78">
        <v>3577</v>
      </c>
      <c r="BD212" s="78">
        <v>1</v>
      </c>
      <c r="BE212" s="78">
        <v>0</v>
      </c>
      <c r="BF212" s="78">
        <v>0</v>
      </c>
      <c r="BG212" s="78">
        <v>0</v>
      </c>
      <c r="BH212" s="78">
        <v>0</v>
      </c>
      <c r="BI212" s="78">
        <v>0</v>
      </c>
      <c r="BJ212" s="78">
        <v>0</v>
      </c>
      <c r="BK212" s="78">
        <v>0</v>
      </c>
      <c r="BL212" s="78">
        <v>0</v>
      </c>
      <c r="BM212" s="78">
        <v>366.50200000000001</v>
      </c>
      <c r="BN212" s="78">
        <v>140</v>
      </c>
      <c r="BO212" s="78">
        <v>38</v>
      </c>
      <c r="BP212" s="78">
        <v>9334.64</v>
      </c>
      <c r="BQ212" s="78">
        <v>2202.48</v>
      </c>
      <c r="BR212" s="78">
        <v>170.105906976744</v>
      </c>
      <c r="BS212" s="78">
        <v>301</v>
      </c>
      <c r="BT212" s="78">
        <v>74</v>
      </c>
      <c r="BU212" s="78">
        <v>52.3333333333333</v>
      </c>
      <c r="BV212" s="78">
        <f t="shared" si="13"/>
        <v>811.99999999999704</v>
      </c>
      <c r="BW212" s="78">
        <v>227</v>
      </c>
      <c r="BX212" s="78">
        <v>4081.5203047954001</v>
      </c>
      <c r="BY212" s="78">
        <v>0.19500000000000001</v>
      </c>
      <c r="BZ212" s="78">
        <v>21707</v>
      </c>
      <c r="CA212" s="78">
        <v>3420</v>
      </c>
      <c r="CB212" s="78">
        <v>602</v>
      </c>
      <c r="CC212" s="78">
        <v>576</v>
      </c>
      <c r="CD212" s="78">
        <v>563</v>
      </c>
      <c r="CE212" s="78">
        <v>276</v>
      </c>
      <c r="CF212" s="78">
        <v>280.55478615071303</v>
      </c>
      <c r="CG212" s="78">
        <v>169.35600814663999</v>
      </c>
      <c r="CH212" s="78">
        <v>56.4071283095723</v>
      </c>
      <c r="CI212" s="78">
        <v>742.73760000000004</v>
      </c>
      <c r="CJ212" s="78">
        <v>448.35120000000001</v>
      </c>
      <c r="CK212" s="78">
        <v>149.33160000000001</v>
      </c>
      <c r="CL212" s="78">
        <v>0</v>
      </c>
    </row>
    <row r="213" spans="1:90" x14ac:dyDescent="0.35">
      <c r="A213" s="72">
        <v>537</v>
      </c>
      <c r="B213" s="72" t="s">
        <v>166</v>
      </c>
      <c r="C213" s="72">
        <v>8</v>
      </c>
      <c r="D213" s="78">
        <v>7321200000</v>
      </c>
      <c r="E213" s="78">
        <v>812000000</v>
      </c>
      <c r="F213" s="78">
        <v>836150000</v>
      </c>
      <c r="G213" s="78">
        <v>65995</v>
      </c>
      <c r="H213" s="78">
        <v>1</v>
      </c>
      <c r="I213" s="78">
        <f t="shared" si="11"/>
        <v>836.15</v>
      </c>
      <c r="J213" s="78">
        <v>14513</v>
      </c>
      <c r="K213" s="78">
        <v>12066</v>
      </c>
      <c r="L213" s="78">
        <v>3838</v>
      </c>
      <c r="M213" s="78">
        <v>7458</v>
      </c>
      <c r="N213" s="78">
        <f t="shared" si="12"/>
        <v>4723.2999999999993</v>
      </c>
      <c r="O213" s="78">
        <v>834</v>
      </c>
      <c r="P213" s="78">
        <v>61</v>
      </c>
      <c r="Q213" s="78">
        <v>3337</v>
      </c>
      <c r="R213" s="78">
        <v>8303</v>
      </c>
      <c r="S213" s="78">
        <v>1690</v>
      </c>
      <c r="T213" s="78">
        <v>0</v>
      </c>
      <c r="U213" s="78">
        <v>1630</v>
      </c>
      <c r="V213" s="78">
        <v>28004</v>
      </c>
      <c r="W213" s="78">
        <v>67870</v>
      </c>
      <c r="X213" s="78">
        <v>50760</v>
      </c>
      <c r="Y213" s="78">
        <v>1034.44</v>
      </c>
      <c r="Z213" s="78">
        <v>1943.2</v>
      </c>
      <c r="AA213" s="78">
        <v>0</v>
      </c>
      <c r="AB213" s="399">
        <f>IF((J213-'[2]Basisgegevens aanvullend'!D213*1.1)&lt;=0,0,J213-'[2]Basisgegevens aanvullend'!D213*1.1)</f>
        <v>0</v>
      </c>
      <c r="AC213" s="399">
        <v>0</v>
      </c>
      <c r="AD213" s="78">
        <v>2480</v>
      </c>
      <c r="AE213" s="78">
        <v>2480</v>
      </c>
      <c r="AF213" s="78">
        <v>166</v>
      </c>
      <c r="AG213" s="78">
        <v>468</v>
      </c>
      <c r="AH213" s="78">
        <v>264</v>
      </c>
      <c r="AI213" s="78">
        <v>40</v>
      </c>
      <c r="AJ213" s="78">
        <v>264</v>
      </c>
      <c r="AK213" s="78">
        <v>40</v>
      </c>
      <c r="AL213" s="78">
        <v>304</v>
      </c>
      <c r="AM213" s="78">
        <v>27347</v>
      </c>
      <c r="AN213" s="78">
        <v>27347</v>
      </c>
      <c r="AO213" s="78">
        <v>0</v>
      </c>
      <c r="AP213" s="78">
        <v>0</v>
      </c>
      <c r="AQ213" s="78">
        <v>0</v>
      </c>
      <c r="AR213" s="78">
        <v>0</v>
      </c>
      <c r="AS213" s="78">
        <v>5004</v>
      </c>
      <c r="AT213" s="78">
        <v>0</v>
      </c>
      <c r="AU213" s="400">
        <v>8.0005500000000004E-4</v>
      </c>
      <c r="AV213" s="400">
        <v>1.928201E-3</v>
      </c>
      <c r="AW213" s="78">
        <v>59151.561000000002</v>
      </c>
      <c r="AX213" s="78">
        <v>0</v>
      </c>
      <c r="AY213" s="78">
        <v>1471</v>
      </c>
      <c r="AZ213" s="78">
        <v>36688.830309901699</v>
      </c>
      <c r="BA213" s="78">
        <v>5</v>
      </c>
      <c r="BB213" s="78">
        <v>5</v>
      </c>
      <c r="BC213" s="78">
        <v>5992</v>
      </c>
      <c r="BD213" s="78">
        <v>1</v>
      </c>
      <c r="BE213" s="78">
        <v>0</v>
      </c>
      <c r="BF213" s="78">
        <v>0</v>
      </c>
      <c r="BG213" s="78">
        <v>0</v>
      </c>
      <c r="BH213" s="78">
        <v>0</v>
      </c>
      <c r="BI213" s="78">
        <v>0</v>
      </c>
      <c r="BJ213" s="78">
        <v>0</v>
      </c>
      <c r="BK213" s="78">
        <v>0</v>
      </c>
      <c r="BL213" s="78">
        <v>0</v>
      </c>
      <c r="BM213" s="78">
        <v>1117.501</v>
      </c>
      <c r="BN213" s="78">
        <v>439</v>
      </c>
      <c r="BO213" s="78">
        <v>221</v>
      </c>
      <c r="BP213" s="78">
        <v>18238.96</v>
      </c>
      <c r="BQ213" s="78">
        <v>5041.75</v>
      </c>
      <c r="BR213" s="78">
        <v>657.22690624413997</v>
      </c>
      <c r="BS213" s="78">
        <v>673</v>
      </c>
      <c r="BT213" s="78">
        <v>274.66666666666703</v>
      </c>
      <c r="BU213" s="78">
        <v>241</v>
      </c>
      <c r="BV213" s="78">
        <f t="shared" si="13"/>
        <v>2503</v>
      </c>
      <c r="BW213" s="78">
        <v>766</v>
      </c>
      <c r="BX213" s="78">
        <v>10760.096676957701</v>
      </c>
      <c r="BY213" s="78">
        <v>1.2789999999999999</v>
      </c>
      <c r="BZ213" s="78">
        <v>53929</v>
      </c>
      <c r="CA213" s="78">
        <v>7008</v>
      </c>
      <c r="CB213" s="78">
        <v>1220</v>
      </c>
      <c r="CC213" s="78">
        <v>1495</v>
      </c>
      <c r="CD213" s="78">
        <v>1382</v>
      </c>
      <c r="CE213" s="78">
        <v>631</v>
      </c>
      <c r="CF213" s="78">
        <v>758.40166380224503</v>
      </c>
      <c r="CG213" s="78">
        <v>471.34551139064598</v>
      </c>
      <c r="CH213" s="78">
        <v>155.791004497751</v>
      </c>
      <c r="CI213" s="78">
        <v>1938.1874</v>
      </c>
      <c r="CJ213" s="78">
        <v>1204.5806</v>
      </c>
      <c r="CK213" s="78">
        <v>398.14280000000002</v>
      </c>
      <c r="CL213" s="78">
        <v>117214</v>
      </c>
    </row>
    <row r="214" spans="1:90" x14ac:dyDescent="0.35">
      <c r="A214" s="72">
        <v>542</v>
      </c>
      <c r="B214" s="72" t="s">
        <v>169</v>
      </c>
      <c r="C214" s="72">
        <v>8</v>
      </c>
      <c r="D214" s="78">
        <v>2899600000</v>
      </c>
      <c r="E214" s="78">
        <v>327600000</v>
      </c>
      <c r="F214" s="78">
        <v>330750000</v>
      </c>
      <c r="G214" s="78">
        <v>29410</v>
      </c>
      <c r="H214" s="78">
        <v>1</v>
      </c>
      <c r="I214" s="78">
        <f t="shared" si="11"/>
        <v>330.75</v>
      </c>
      <c r="J214" s="78">
        <v>6170</v>
      </c>
      <c r="K214" s="78">
        <v>7173</v>
      </c>
      <c r="L214" s="78">
        <v>2499</v>
      </c>
      <c r="M214" s="78">
        <v>3422</v>
      </c>
      <c r="N214" s="78">
        <f t="shared" si="12"/>
        <v>2152.8000000000002</v>
      </c>
      <c r="O214" s="78">
        <v>474</v>
      </c>
      <c r="P214" s="78">
        <v>36</v>
      </c>
      <c r="Q214" s="78">
        <v>1439</v>
      </c>
      <c r="R214" s="78">
        <v>3799</v>
      </c>
      <c r="S214" s="78">
        <v>1485</v>
      </c>
      <c r="T214" s="78">
        <v>0</v>
      </c>
      <c r="U214" s="78">
        <v>1063</v>
      </c>
      <c r="V214" s="78">
        <v>12863</v>
      </c>
      <c r="W214" s="78">
        <v>24830</v>
      </c>
      <c r="X214" s="78">
        <v>6040</v>
      </c>
      <c r="Y214" s="78">
        <v>0</v>
      </c>
      <c r="Z214" s="78">
        <v>991.2</v>
      </c>
      <c r="AA214" s="78">
        <v>0</v>
      </c>
      <c r="AB214" s="399">
        <f>IF((J214-'[2]Basisgegevens aanvullend'!D214*1.1)&lt;=0,0,J214-'[2]Basisgegevens aanvullend'!D214*1.1)</f>
        <v>0</v>
      </c>
      <c r="AC214" s="399">
        <v>0</v>
      </c>
      <c r="AD214" s="78">
        <v>767</v>
      </c>
      <c r="AE214" s="78">
        <v>1081.47</v>
      </c>
      <c r="AF214" s="78">
        <v>128</v>
      </c>
      <c r="AG214" s="78">
        <v>0</v>
      </c>
      <c r="AH214" s="78">
        <v>121</v>
      </c>
      <c r="AI214" s="78">
        <v>9</v>
      </c>
      <c r="AJ214" s="78">
        <v>171.82</v>
      </c>
      <c r="AK214" s="78">
        <v>12.24</v>
      </c>
      <c r="AL214" s="78">
        <v>130</v>
      </c>
      <c r="AM214" s="78">
        <v>12692</v>
      </c>
      <c r="AN214" s="78">
        <v>18022.64</v>
      </c>
      <c r="AO214" s="78">
        <v>0</v>
      </c>
      <c r="AP214" s="78">
        <v>0</v>
      </c>
      <c r="AQ214" s="78">
        <v>0</v>
      </c>
      <c r="AR214" s="78">
        <v>0</v>
      </c>
      <c r="AS214" s="78">
        <v>925</v>
      </c>
      <c r="AT214" s="78">
        <v>0</v>
      </c>
      <c r="AU214" s="400">
        <v>2.0524200000000001E-4</v>
      </c>
      <c r="AV214" s="400">
        <v>6.2073200000000003E-4</v>
      </c>
      <c r="AW214" s="78">
        <v>25079.392</v>
      </c>
      <c r="AX214" s="78">
        <v>0</v>
      </c>
      <c r="AY214" s="78">
        <v>1230.93</v>
      </c>
      <c r="AZ214" s="78">
        <v>121346.317206704</v>
      </c>
      <c r="BA214" s="78">
        <v>1</v>
      </c>
      <c r="BB214" s="78">
        <v>1.36</v>
      </c>
      <c r="BC214" s="78">
        <v>2648</v>
      </c>
      <c r="BD214" s="78">
        <v>1</v>
      </c>
      <c r="BE214" s="78">
        <v>0</v>
      </c>
      <c r="BF214" s="78">
        <v>0</v>
      </c>
      <c r="BG214" s="78">
        <v>0</v>
      </c>
      <c r="BH214" s="78">
        <v>0</v>
      </c>
      <c r="BI214" s="78">
        <v>0</v>
      </c>
      <c r="BJ214" s="78">
        <v>0</v>
      </c>
      <c r="BK214" s="78">
        <v>0</v>
      </c>
      <c r="BL214" s="78">
        <v>0</v>
      </c>
      <c r="BM214" s="78">
        <v>530.62</v>
      </c>
      <c r="BN214" s="78">
        <v>108</v>
      </c>
      <c r="BO214" s="78">
        <v>50</v>
      </c>
      <c r="BP214" s="78">
        <v>9062.9500000000007</v>
      </c>
      <c r="BQ214" s="78">
        <v>2238.36</v>
      </c>
      <c r="BR214" s="78">
        <v>234.149185423365</v>
      </c>
      <c r="BS214" s="78">
        <v>452</v>
      </c>
      <c r="BT214" s="78">
        <v>167.666666666667</v>
      </c>
      <c r="BU214" s="78">
        <v>164</v>
      </c>
      <c r="BV214" s="78">
        <f t="shared" si="13"/>
        <v>965</v>
      </c>
      <c r="BW214" s="78">
        <v>284</v>
      </c>
      <c r="BX214" s="78">
        <v>5088.8085348506402</v>
      </c>
      <c r="BY214" s="78">
        <v>1.054</v>
      </c>
      <c r="BZ214" s="78">
        <v>22237</v>
      </c>
      <c r="CA214" s="78">
        <v>3738</v>
      </c>
      <c r="CB214" s="78">
        <v>936</v>
      </c>
      <c r="CC214" s="78">
        <v>764</v>
      </c>
      <c r="CD214" s="78">
        <v>796</v>
      </c>
      <c r="CE214" s="78">
        <v>465</v>
      </c>
      <c r="CF214" s="78">
        <v>389.10520012606401</v>
      </c>
      <c r="CG214" s="78">
        <v>293.27065868263497</v>
      </c>
      <c r="CH214" s="78">
        <v>119.072297510243</v>
      </c>
      <c r="CI214" s="78">
        <v>910.71799999999996</v>
      </c>
      <c r="CJ214" s="78">
        <v>686.41300000000001</v>
      </c>
      <c r="CK214" s="78">
        <v>278.69400000000002</v>
      </c>
      <c r="CL214" s="78">
        <v>0</v>
      </c>
    </row>
    <row r="215" spans="1:90" x14ac:dyDescent="0.35">
      <c r="A215" s="72">
        <v>1931</v>
      </c>
      <c r="B215" s="72" t="s">
        <v>170</v>
      </c>
      <c r="C215" s="72">
        <v>8</v>
      </c>
      <c r="D215" s="78">
        <v>5616000000</v>
      </c>
      <c r="E215" s="78">
        <v>685300000</v>
      </c>
      <c r="F215" s="78">
        <v>735000000</v>
      </c>
      <c r="G215" s="78">
        <v>56622</v>
      </c>
      <c r="H215" s="78">
        <v>9</v>
      </c>
      <c r="I215" s="78">
        <f t="shared" si="11"/>
        <v>735</v>
      </c>
      <c r="J215" s="78">
        <v>11547</v>
      </c>
      <c r="K215" s="78">
        <v>12071</v>
      </c>
      <c r="L215" s="78">
        <v>4005</v>
      </c>
      <c r="M215" s="78">
        <v>6324</v>
      </c>
      <c r="N215" s="78">
        <f t="shared" si="12"/>
        <v>3919.9</v>
      </c>
      <c r="O215" s="78">
        <v>641.66666666666697</v>
      </c>
      <c r="P215" s="78">
        <v>19</v>
      </c>
      <c r="Q215" s="78">
        <v>2486.6666666666702</v>
      </c>
      <c r="R215" s="78">
        <v>7358</v>
      </c>
      <c r="S215" s="78">
        <v>2050</v>
      </c>
      <c r="T215" s="78">
        <v>0</v>
      </c>
      <c r="U215" s="78">
        <v>1395</v>
      </c>
      <c r="V215" s="78">
        <v>24411</v>
      </c>
      <c r="W215" s="78">
        <v>41040</v>
      </c>
      <c r="X215" s="78">
        <v>3530</v>
      </c>
      <c r="Y215" s="78">
        <v>0</v>
      </c>
      <c r="Z215" s="78">
        <v>2456</v>
      </c>
      <c r="AA215" s="78">
        <v>0</v>
      </c>
      <c r="AB215" s="399">
        <f>IF((J215-'[2]Basisgegevens aanvullend'!D215*1.1)&lt;=0,0,J215-'[2]Basisgegevens aanvullend'!D215*1.1)</f>
        <v>0</v>
      </c>
      <c r="AC215" s="399">
        <v>0</v>
      </c>
      <c r="AD215" s="78">
        <v>14910</v>
      </c>
      <c r="AE215" s="78">
        <v>24005.1</v>
      </c>
      <c r="AF215" s="78">
        <v>1221</v>
      </c>
      <c r="AG215" s="78">
        <v>0</v>
      </c>
      <c r="AH215" s="78">
        <v>291</v>
      </c>
      <c r="AI215" s="78">
        <v>96</v>
      </c>
      <c r="AJ215" s="78">
        <v>433.59</v>
      </c>
      <c r="AK215" s="78">
        <v>156.47999999999999</v>
      </c>
      <c r="AL215" s="78">
        <v>387</v>
      </c>
      <c r="AM215" s="78">
        <v>24041</v>
      </c>
      <c r="AN215" s="78">
        <v>35821.089999999997</v>
      </c>
      <c r="AO215" s="78">
        <v>15</v>
      </c>
      <c r="AP215" s="78">
        <v>0</v>
      </c>
      <c r="AQ215" s="78">
        <v>0</v>
      </c>
      <c r="AR215" s="78">
        <v>3000</v>
      </c>
      <c r="AS215" s="78">
        <v>3668</v>
      </c>
      <c r="AT215" s="78">
        <v>1194</v>
      </c>
      <c r="AU215" s="400">
        <v>1.099844E-3</v>
      </c>
      <c r="AV215" s="400">
        <v>6.4869999999999999E-4</v>
      </c>
      <c r="AW215" s="78">
        <v>18848.144</v>
      </c>
      <c r="AX215" s="78">
        <v>0</v>
      </c>
      <c r="AY215" s="78">
        <v>32093.74</v>
      </c>
      <c r="AZ215" s="78">
        <v>327686.05649246799</v>
      </c>
      <c r="BA215" s="78">
        <v>24</v>
      </c>
      <c r="BB215" s="78">
        <v>39.119999999999997</v>
      </c>
      <c r="BC215" s="78">
        <v>6823</v>
      </c>
      <c r="BD215" s="78">
        <v>1</v>
      </c>
      <c r="BE215" s="78">
        <v>0</v>
      </c>
      <c r="BF215" s="78">
        <v>0</v>
      </c>
      <c r="BG215" s="78">
        <v>0</v>
      </c>
      <c r="BH215" s="78">
        <v>0</v>
      </c>
      <c r="BI215" s="78">
        <v>0</v>
      </c>
      <c r="BJ215" s="78">
        <v>0</v>
      </c>
      <c r="BK215" s="78">
        <v>0</v>
      </c>
      <c r="BL215" s="78">
        <v>0</v>
      </c>
      <c r="BM215" s="78">
        <v>900.66600000000005</v>
      </c>
      <c r="BN215" s="78">
        <v>240</v>
      </c>
      <c r="BO215" s="78">
        <v>145</v>
      </c>
      <c r="BP215" s="78">
        <v>17658.62</v>
      </c>
      <c r="BQ215" s="78">
        <v>4356.72</v>
      </c>
      <c r="BR215" s="78">
        <v>467.57939439906698</v>
      </c>
      <c r="BS215" s="78">
        <v>580</v>
      </c>
      <c r="BT215" s="78">
        <v>209.666666666667</v>
      </c>
      <c r="BU215" s="78">
        <v>149.333333333333</v>
      </c>
      <c r="BV215" s="78">
        <f t="shared" si="13"/>
        <v>1845.0000000000032</v>
      </c>
      <c r="BW215" s="78">
        <v>591</v>
      </c>
      <c r="BX215" s="78">
        <v>8185.5230000532702</v>
      </c>
      <c r="BY215" s="78">
        <v>0.91300000000000003</v>
      </c>
      <c r="BZ215" s="78">
        <v>44551</v>
      </c>
      <c r="CA215" s="78">
        <v>6725</v>
      </c>
      <c r="CB215" s="78">
        <v>1341</v>
      </c>
      <c r="CC215" s="78">
        <v>1222</v>
      </c>
      <c r="CD215" s="78">
        <v>1287</v>
      </c>
      <c r="CE215" s="78">
        <v>643</v>
      </c>
      <c r="CF215" s="78">
        <v>665.40958778752997</v>
      </c>
      <c r="CG215" s="78">
        <v>455.56343746100401</v>
      </c>
      <c r="CH215" s="78">
        <v>157.996052576848</v>
      </c>
      <c r="CI215" s="78">
        <v>1577.3064999999999</v>
      </c>
      <c r="CJ215" s="78">
        <v>1079.8810000000001</v>
      </c>
      <c r="CK215" s="78">
        <v>374.51850000000002</v>
      </c>
      <c r="CL215" s="78">
        <v>50916</v>
      </c>
    </row>
    <row r="216" spans="1:90" x14ac:dyDescent="0.35">
      <c r="A216" s="72">
        <v>1621</v>
      </c>
      <c r="B216" s="72" t="s">
        <v>176</v>
      </c>
      <c r="C216" s="72">
        <v>8</v>
      </c>
      <c r="D216" s="78">
        <v>7393200000</v>
      </c>
      <c r="E216" s="78">
        <v>1310400000</v>
      </c>
      <c r="F216" s="78">
        <v>1324050000</v>
      </c>
      <c r="G216" s="78">
        <v>63363</v>
      </c>
      <c r="H216" s="78">
        <v>2</v>
      </c>
      <c r="I216" s="78">
        <f t="shared" si="11"/>
        <v>1324.05</v>
      </c>
      <c r="J216" s="78">
        <v>15919</v>
      </c>
      <c r="K216" s="78">
        <v>9863</v>
      </c>
      <c r="L216" s="78">
        <v>3113</v>
      </c>
      <c r="M216" s="78">
        <v>4508</v>
      </c>
      <c r="N216" s="78">
        <f t="shared" si="12"/>
        <v>2028.1</v>
      </c>
      <c r="O216" s="78">
        <v>563.66666666666697</v>
      </c>
      <c r="P216" s="78">
        <v>29</v>
      </c>
      <c r="Q216" s="78">
        <v>2204.6666666666702</v>
      </c>
      <c r="R216" s="78">
        <v>5601</v>
      </c>
      <c r="S216" s="78">
        <v>4385</v>
      </c>
      <c r="T216" s="78">
        <v>0</v>
      </c>
      <c r="U216" s="78">
        <v>1968</v>
      </c>
      <c r="V216" s="78">
        <v>24840</v>
      </c>
      <c r="W216" s="78">
        <v>52610</v>
      </c>
      <c r="X216" s="78">
        <v>19520</v>
      </c>
      <c r="Y216" s="78">
        <v>0</v>
      </c>
      <c r="Z216" s="78">
        <v>3523.2</v>
      </c>
      <c r="AA216" s="78">
        <v>0</v>
      </c>
      <c r="AB216" s="399">
        <f>IF((J216-'[2]Basisgegevens aanvullend'!D216*1.1)&lt;=0,0,J216-'[2]Basisgegevens aanvullend'!D216*1.1)</f>
        <v>96.599999999998545</v>
      </c>
      <c r="AC216" s="399">
        <v>1241.5</v>
      </c>
      <c r="AD216" s="78">
        <v>5326</v>
      </c>
      <c r="AE216" s="78">
        <v>6817.28</v>
      </c>
      <c r="AF216" s="78">
        <v>313</v>
      </c>
      <c r="AG216" s="78">
        <v>0</v>
      </c>
      <c r="AH216" s="78">
        <v>297</v>
      </c>
      <c r="AI216" s="78">
        <v>101</v>
      </c>
      <c r="AJ216" s="78">
        <v>383.13</v>
      </c>
      <c r="AK216" s="78">
        <v>129.28</v>
      </c>
      <c r="AL216" s="78">
        <v>399</v>
      </c>
      <c r="AM216" s="78">
        <v>24799</v>
      </c>
      <c r="AN216" s="78">
        <v>31990.71</v>
      </c>
      <c r="AO216" s="78">
        <v>0</v>
      </c>
      <c r="AP216" s="78">
        <v>0</v>
      </c>
      <c r="AQ216" s="78">
        <v>0</v>
      </c>
      <c r="AR216" s="78">
        <v>0</v>
      </c>
      <c r="AS216" s="78">
        <v>501</v>
      </c>
      <c r="AT216" s="78">
        <v>0</v>
      </c>
      <c r="AU216" s="400">
        <v>1.67963E-4</v>
      </c>
      <c r="AV216" s="400">
        <v>1.50531E-4</v>
      </c>
      <c r="AW216" s="78">
        <v>33156.262999999999</v>
      </c>
      <c r="AX216" s="78">
        <v>0</v>
      </c>
      <c r="AY216" s="78">
        <v>5486.08</v>
      </c>
      <c r="AZ216" s="78">
        <v>99960.497960631299</v>
      </c>
      <c r="BA216" s="78">
        <v>6</v>
      </c>
      <c r="BB216" s="78">
        <v>7.68</v>
      </c>
      <c r="BC216" s="78">
        <v>8276</v>
      </c>
      <c r="BD216" s="78">
        <v>1</v>
      </c>
      <c r="BE216" s="78">
        <v>0</v>
      </c>
      <c r="BF216" s="78">
        <v>0</v>
      </c>
      <c r="BG216" s="78">
        <v>0</v>
      </c>
      <c r="BH216" s="78">
        <v>0</v>
      </c>
      <c r="BI216" s="78">
        <v>0</v>
      </c>
      <c r="BJ216" s="78">
        <v>0</v>
      </c>
      <c r="BK216" s="78">
        <v>0</v>
      </c>
      <c r="BL216" s="78">
        <v>0</v>
      </c>
      <c r="BM216" s="78">
        <v>1018.816</v>
      </c>
      <c r="BN216" s="78">
        <v>90</v>
      </c>
      <c r="BO216" s="78">
        <v>119</v>
      </c>
      <c r="BP216" s="78">
        <v>21437.68</v>
      </c>
      <c r="BQ216" s="78">
        <v>7336.37</v>
      </c>
      <c r="BR216" s="78">
        <v>551.38877537796998</v>
      </c>
      <c r="BS216" s="78">
        <v>872</v>
      </c>
      <c r="BT216" s="78">
        <v>230.666666666667</v>
      </c>
      <c r="BU216" s="78">
        <v>159</v>
      </c>
      <c r="BV216" s="78">
        <f t="shared" si="13"/>
        <v>1641.0000000000032</v>
      </c>
      <c r="BW216" s="78">
        <v>363</v>
      </c>
      <c r="BX216" s="78">
        <v>6397.7697480123097</v>
      </c>
      <c r="BY216" s="78">
        <v>0.40200000000000002</v>
      </c>
      <c r="BZ216" s="78">
        <v>53500</v>
      </c>
      <c r="CA216" s="78">
        <v>5642</v>
      </c>
      <c r="CB216" s="78">
        <v>1108</v>
      </c>
      <c r="CC216" s="78">
        <v>1039</v>
      </c>
      <c r="CD216" s="78">
        <v>949</v>
      </c>
      <c r="CE216" s="78">
        <v>514</v>
      </c>
      <c r="CF216" s="78">
        <v>282.800508085003</v>
      </c>
      <c r="CG216" s="78">
        <v>175.17602322674301</v>
      </c>
      <c r="CH216" s="78">
        <v>64.525622000887097</v>
      </c>
      <c r="CI216" s="78">
        <v>984.83839999999998</v>
      </c>
      <c r="CJ216" s="78">
        <v>610.04160000000002</v>
      </c>
      <c r="CK216" s="78">
        <v>224.7072</v>
      </c>
      <c r="CL216" s="78">
        <v>23549</v>
      </c>
    </row>
    <row r="217" spans="1:90" x14ac:dyDescent="0.35">
      <c r="A217" s="72">
        <v>546</v>
      </c>
      <c r="B217" s="72" t="s">
        <v>179</v>
      </c>
      <c r="C217" s="72">
        <v>8</v>
      </c>
      <c r="D217" s="78">
        <v>15252000000</v>
      </c>
      <c r="E217" s="78">
        <v>2274650000</v>
      </c>
      <c r="F217" s="78">
        <v>2313150000</v>
      </c>
      <c r="G217" s="78">
        <v>124093</v>
      </c>
      <c r="H217" s="78">
        <v>1</v>
      </c>
      <c r="I217" s="78">
        <f t="shared" si="11"/>
        <v>2313.15</v>
      </c>
      <c r="J217" s="78">
        <v>19057</v>
      </c>
      <c r="K217" s="78">
        <v>19630</v>
      </c>
      <c r="L217" s="78">
        <v>5661</v>
      </c>
      <c r="M217" s="78">
        <v>18399</v>
      </c>
      <c r="N217" s="78">
        <f t="shared" si="12"/>
        <v>11993</v>
      </c>
      <c r="O217" s="78">
        <v>3183.6666666666702</v>
      </c>
      <c r="P217" s="78">
        <v>125</v>
      </c>
      <c r="Q217" s="78">
        <v>8226.6666666666697</v>
      </c>
      <c r="R217" s="78">
        <v>36504</v>
      </c>
      <c r="S217" s="78">
        <v>11525</v>
      </c>
      <c r="T217" s="78">
        <v>0</v>
      </c>
      <c r="U217" s="78">
        <v>3819</v>
      </c>
      <c r="V217" s="78">
        <v>69115</v>
      </c>
      <c r="W217" s="78">
        <v>147080</v>
      </c>
      <c r="X217" s="78">
        <v>157920</v>
      </c>
      <c r="Y217" s="78">
        <v>5003.66</v>
      </c>
      <c r="Z217" s="78">
        <v>8363.2000000000007</v>
      </c>
      <c r="AA217" s="78">
        <v>0</v>
      </c>
      <c r="AB217" s="399">
        <f>IF((J217-'[2]Basisgegevens aanvullend'!D217*1.1)&lt;=0,0,J217-'[2]Basisgegevens aanvullend'!D217*1.1)</f>
        <v>0</v>
      </c>
      <c r="AC217" s="399">
        <v>0</v>
      </c>
      <c r="AD217" s="78">
        <v>2185</v>
      </c>
      <c r="AE217" s="78">
        <v>2556.4499999999998</v>
      </c>
      <c r="AF217" s="78">
        <v>142</v>
      </c>
      <c r="AG217" s="78">
        <v>0</v>
      </c>
      <c r="AH217" s="78">
        <v>413</v>
      </c>
      <c r="AI217" s="78">
        <v>6</v>
      </c>
      <c r="AJ217" s="78">
        <v>474.95</v>
      </c>
      <c r="AK217" s="78">
        <v>7.5</v>
      </c>
      <c r="AL217" s="78">
        <v>418</v>
      </c>
      <c r="AM217" s="78">
        <v>64060</v>
      </c>
      <c r="AN217" s="78">
        <v>73669</v>
      </c>
      <c r="AO217" s="78">
        <v>0</v>
      </c>
      <c r="AP217" s="78">
        <v>0</v>
      </c>
      <c r="AQ217" s="78">
        <v>125</v>
      </c>
      <c r="AR217" s="78">
        <v>21850</v>
      </c>
      <c r="AS217" s="78">
        <v>17166</v>
      </c>
      <c r="AT217" s="78">
        <v>17166</v>
      </c>
      <c r="AU217" s="400">
        <v>1.1120166000000001E-2</v>
      </c>
      <c r="AV217" s="400">
        <v>1.0416431E-2</v>
      </c>
      <c r="AW217" s="78">
        <v>243235.82</v>
      </c>
      <c r="AX217" s="78">
        <v>25431.82</v>
      </c>
      <c r="AY217" s="78">
        <v>2531.88</v>
      </c>
      <c r="AZ217" s="78">
        <v>224740.048826816</v>
      </c>
      <c r="BA217" s="78">
        <v>1</v>
      </c>
      <c r="BB217" s="78">
        <v>1.25</v>
      </c>
      <c r="BC217" s="78">
        <v>14108</v>
      </c>
      <c r="BD217" s="78">
        <v>1</v>
      </c>
      <c r="BE217" s="78">
        <v>0</v>
      </c>
      <c r="BF217" s="78">
        <v>0</v>
      </c>
      <c r="BG217" s="78">
        <v>0</v>
      </c>
      <c r="BH217" s="78">
        <v>0</v>
      </c>
      <c r="BI217" s="78">
        <v>0</v>
      </c>
      <c r="BJ217" s="78">
        <v>0</v>
      </c>
      <c r="BK217" s="78">
        <v>0</v>
      </c>
      <c r="BL217" s="78">
        <v>0</v>
      </c>
      <c r="BM217" s="78">
        <v>2687.0369999999998</v>
      </c>
      <c r="BN217" s="78">
        <v>295</v>
      </c>
      <c r="BO217" s="78">
        <v>352</v>
      </c>
      <c r="BP217" s="78">
        <v>38803.89</v>
      </c>
      <c r="BQ217" s="78">
        <v>7575.51</v>
      </c>
      <c r="BR217" s="78">
        <v>1069.3388324145501</v>
      </c>
      <c r="BS217" s="78">
        <v>1415</v>
      </c>
      <c r="BT217" s="78">
        <v>838.66666666666697</v>
      </c>
      <c r="BU217" s="78">
        <v>731</v>
      </c>
      <c r="BV217" s="78">
        <f t="shared" si="13"/>
        <v>5043</v>
      </c>
      <c r="BW217" s="78">
        <v>1561</v>
      </c>
      <c r="BX217" s="78">
        <v>15031.2642000336</v>
      </c>
      <c r="BY217" s="78">
        <v>7.1660000000000004</v>
      </c>
      <c r="BZ217" s="78">
        <v>104463</v>
      </c>
      <c r="CA217" s="78">
        <v>11803</v>
      </c>
      <c r="CB217" s="78">
        <v>2166</v>
      </c>
      <c r="CC217" s="78">
        <v>3642</v>
      </c>
      <c r="CD217" s="78">
        <v>2265</v>
      </c>
      <c r="CE217" s="78">
        <v>1202</v>
      </c>
      <c r="CF217" s="78">
        <v>1494.91266000624</v>
      </c>
      <c r="CG217" s="78">
        <v>786.490680611926</v>
      </c>
      <c r="CH217" s="78">
        <v>301.41632844208601</v>
      </c>
      <c r="CI217" s="78">
        <v>3402.4085</v>
      </c>
      <c r="CJ217" s="78">
        <v>1790.0461</v>
      </c>
      <c r="CK217" s="78">
        <v>686.02099999999996</v>
      </c>
      <c r="CL217" s="78">
        <v>52431</v>
      </c>
    </row>
    <row r="218" spans="1:90" x14ac:dyDescent="0.35">
      <c r="A218" s="72">
        <v>547</v>
      </c>
      <c r="B218" s="72" t="s">
        <v>180</v>
      </c>
      <c r="C218" s="72">
        <v>8</v>
      </c>
      <c r="D218" s="78">
        <v>3326000000</v>
      </c>
      <c r="E218" s="78">
        <v>301700000</v>
      </c>
      <c r="F218" s="78">
        <v>302750000</v>
      </c>
      <c r="G218" s="78">
        <v>27377</v>
      </c>
      <c r="H218" s="78">
        <v>1</v>
      </c>
      <c r="I218" s="78">
        <f t="shared" si="11"/>
        <v>302.75</v>
      </c>
      <c r="J218" s="78">
        <v>5253</v>
      </c>
      <c r="K218" s="78">
        <v>6319</v>
      </c>
      <c r="L218" s="78">
        <v>2059</v>
      </c>
      <c r="M218" s="78">
        <v>2883</v>
      </c>
      <c r="N218" s="78">
        <f t="shared" si="12"/>
        <v>1635.8</v>
      </c>
      <c r="O218" s="78">
        <v>357</v>
      </c>
      <c r="P218" s="78">
        <v>29</v>
      </c>
      <c r="Q218" s="78">
        <v>1361</v>
      </c>
      <c r="R218" s="78">
        <v>4338</v>
      </c>
      <c r="S218" s="78">
        <v>1895</v>
      </c>
      <c r="T218" s="78">
        <v>0</v>
      </c>
      <c r="U218" s="78">
        <v>849</v>
      </c>
      <c r="V218" s="78">
        <v>12577</v>
      </c>
      <c r="W218" s="78">
        <v>23020</v>
      </c>
      <c r="X218" s="78">
        <v>6510</v>
      </c>
      <c r="Y218" s="78">
        <v>719.68</v>
      </c>
      <c r="Z218" s="78">
        <v>395.2</v>
      </c>
      <c r="AA218" s="78">
        <v>0</v>
      </c>
      <c r="AB218" s="399">
        <f>IF((J218-'[2]Basisgegevens aanvullend'!D218*1.1)&lt;=0,0,J218-'[2]Basisgegevens aanvullend'!D218*1.1)</f>
        <v>0</v>
      </c>
      <c r="AC218" s="399">
        <v>0</v>
      </c>
      <c r="AD218" s="78">
        <v>1150</v>
      </c>
      <c r="AE218" s="78">
        <v>1460.5</v>
      </c>
      <c r="AF218" s="78">
        <v>78</v>
      </c>
      <c r="AG218" s="78">
        <v>0</v>
      </c>
      <c r="AH218" s="78">
        <v>102</v>
      </c>
      <c r="AI218" s="78">
        <v>4</v>
      </c>
      <c r="AJ218" s="78">
        <v>126.48</v>
      </c>
      <c r="AK218" s="78">
        <v>5.16</v>
      </c>
      <c r="AL218" s="78">
        <v>107</v>
      </c>
      <c r="AM218" s="78">
        <v>12472</v>
      </c>
      <c r="AN218" s="78">
        <v>15465.28</v>
      </c>
      <c r="AO218" s="78">
        <v>0</v>
      </c>
      <c r="AP218" s="78">
        <v>0</v>
      </c>
      <c r="AQ218" s="78">
        <v>0</v>
      </c>
      <c r="AR218" s="78">
        <v>0</v>
      </c>
      <c r="AS218" s="78">
        <v>510</v>
      </c>
      <c r="AT218" s="78">
        <v>0</v>
      </c>
      <c r="AU218" s="400">
        <v>1.4603700000000001E-4</v>
      </c>
      <c r="AV218" s="400">
        <v>6.9047100000000001E-4</v>
      </c>
      <c r="AW218" s="78">
        <v>31030.335999999999</v>
      </c>
      <c r="AX218" s="78">
        <v>0</v>
      </c>
      <c r="AY218" s="78">
        <v>1198.8800000000001</v>
      </c>
      <c r="AZ218" s="78">
        <v>58721.881482084696</v>
      </c>
      <c r="BA218" s="78">
        <v>2</v>
      </c>
      <c r="BB218" s="78">
        <v>2.58</v>
      </c>
      <c r="BC218" s="78">
        <v>2997</v>
      </c>
      <c r="BD218" s="78">
        <v>1</v>
      </c>
      <c r="BE218" s="78">
        <v>0</v>
      </c>
      <c r="BF218" s="78">
        <v>0</v>
      </c>
      <c r="BG218" s="78">
        <v>0</v>
      </c>
      <c r="BH218" s="78">
        <v>0</v>
      </c>
      <c r="BI218" s="78">
        <v>0</v>
      </c>
      <c r="BJ218" s="78">
        <v>0</v>
      </c>
      <c r="BK218" s="78">
        <v>0</v>
      </c>
      <c r="BL218" s="78">
        <v>0</v>
      </c>
      <c r="BM218" s="78">
        <v>409.73399999999998</v>
      </c>
      <c r="BN218" s="78">
        <v>48</v>
      </c>
      <c r="BO218" s="78">
        <v>41</v>
      </c>
      <c r="BP218" s="78">
        <v>9763.61</v>
      </c>
      <c r="BQ218" s="78">
        <v>2234.25</v>
      </c>
      <c r="BR218" s="78">
        <v>226.944285003554</v>
      </c>
      <c r="BS218" s="78">
        <v>332</v>
      </c>
      <c r="BT218" s="78">
        <v>109</v>
      </c>
      <c r="BU218" s="78">
        <v>90.3333333333333</v>
      </c>
      <c r="BV218" s="78">
        <f t="shared" si="13"/>
        <v>1004</v>
      </c>
      <c r="BW218" s="78">
        <v>283</v>
      </c>
      <c r="BX218" s="78">
        <v>4812.7098447664102</v>
      </c>
      <c r="BY218" s="78">
        <v>0.46600000000000003</v>
      </c>
      <c r="BZ218" s="78">
        <v>21058</v>
      </c>
      <c r="CA218" s="78">
        <v>3494</v>
      </c>
      <c r="CB218" s="78">
        <v>766</v>
      </c>
      <c r="CC218" s="78">
        <v>835</v>
      </c>
      <c r="CD218" s="78">
        <v>773</v>
      </c>
      <c r="CE218" s="78">
        <v>442</v>
      </c>
      <c r="CF218" s="78">
        <v>289.202934573444</v>
      </c>
      <c r="CG218" s="78">
        <v>195.29395445798599</v>
      </c>
      <c r="CH218" s="78">
        <v>80.399727389352094</v>
      </c>
      <c r="CI218" s="78">
        <v>764.69399999999996</v>
      </c>
      <c r="CJ218" s="78">
        <v>516.38520000000005</v>
      </c>
      <c r="CK218" s="78">
        <v>212.58840000000001</v>
      </c>
      <c r="CL218" s="78">
        <v>40239</v>
      </c>
    </row>
    <row r="219" spans="1:90" x14ac:dyDescent="0.35">
      <c r="A219" s="72">
        <v>1916</v>
      </c>
      <c r="B219" s="72" t="s">
        <v>181</v>
      </c>
      <c r="C219" s="72">
        <v>8</v>
      </c>
      <c r="D219" s="78">
        <v>9432400000</v>
      </c>
      <c r="E219" s="78">
        <v>786450000</v>
      </c>
      <c r="F219" s="78">
        <v>800450000</v>
      </c>
      <c r="G219" s="78">
        <v>76433</v>
      </c>
      <c r="H219" s="78">
        <v>2</v>
      </c>
      <c r="I219" s="78">
        <f t="shared" si="11"/>
        <v>800.45</v>
      </c>
      <c r="J219" s="78">
        <v>14877</v>
      </c>
      <c r="K219" s="78">
        <v>17687</v>
      </c>
      <c r="L219" s="78">
        <v>5810</v>
      </c>
      <c r="M219" s="78">
        <v>10704</v>
      </c>
      <c r="N219" s="78">
        <f t="shared" si="12"/>
        <v>6985.6</v>
      </c>
      <c r="O219" s="78">
        <v>1766.3333333333301</v>
      </c>
      <c r="P219" s="78">
        <v>44</v>
      </c>
      <c r="Q219" s="78">
        <v>4584.3333333333303</v>
      </c>
      <c r="R219" s="78">
        <v>15198</v>
      </c>
      <c r="S219" s="78">
        <v>6195</v>
      </c>
      <c r="T219" s="78">
        <v>0</v>
      </c>
      <c r="U219" s="78">
        <v>3087</v>
      </c>
      <c r="V219" s="78">
        <v>37591</v>
      </c>
      <c r="W219" s="78">
        <v>67500</v>
      </c>
      <c r="X219" s="78">
        <v>34150</v>
      </c>
      <c r="Y219" s="78">
        <v>613.29999999999995</v>
      </c>
      <c r="Z219" s="78">
        <v>3671.2</v>
      </c>
      <c r="AA219" s="78">
        <v>0</v>
      </c>
      <c r="AB219" s="399">
        <f>IF((J219-'[2]Basisgegevens aanvullend'!D219*1.1)&lt;=0,0,J219-'[2]Basisgegevens aanvullend'!D219*1.1)</f>
        <v>0</v>
      </c>
      <c r="AC219" s="399">
        <v>0</v>
      </c>
      <c r="AD219" s="78">
        <v>3218</v>
      </c>
      <c r="AE219" s="78">
        <v>3700.7</v>
      </c>
      <c r="AF219" s="78">
        <v>344</v>
      </c>
      <c r="AG219" s="78">
        <v>0</v>
      </c>
      <c r="AH219" s="78">
        <v>237</v>
      </c>
      <c r="AI219" s="78">
        <v>18</v>
      </c>
      <c r="AJ219" s="78">
        <v>251.22</v>
      </c>
      <c r="AK219" s="78">
        <v>22.14</v>
      </c>
      <c r="AL219" s="78">
        <v>254</v>
      </c>
      <c r="AM219" s="78">
        <v>37184</v>
      </c>
      <c r="AN219" s="78">
        <v>39415.040000000001</v>
      </c>
      <c r="AO219" s="78">
        <v>0</v>
      </c>
      <c r="AP219" s="78">
        <v>0</v>
      </c>
      <c r="AQ219" s="78">
        <v>0</v>
      </c>
      <c r="AR219" s="78">
        <v>0</v>
      </c>
      <c r="AS219" s="78">
        <v>6047</v>
      </c>
      <c r="AT219" s="78">
        <v>0</v>
      </c>
      <c r="AU219" s="400">
        <v>3.6292170000000001E-3</v>
      </c>
      <c r="AV219" s="400">
        <v>6.4129119999999998E-3</v>
      </c>
      <c r="AW219" s="78">
        <v>108428.54399999999</v>
      </c>
      <c r="AX219" s="78">
        <v>0</v>
      </c>
      <c r="AY219" s="78">
        <v>3187.8</v>
      </c>
      <c r="AZ219" s="78">
        <v>102605.187001684</v>
      </c>
      <c r="BA219" s="78">
        <v>4</v>
      </c>
      <c r="BB219" s="78">
        <v>4.92</v>
      </c>
      <c r="BC219" s="78">
        <v>8162</v>
      </c>
      <c r="BD219" s="78">
        <v>1</v>
      </c>
      <c r="BE219" s="78">
        <v>0</v>
      </c>
      <c r="BF219" s="78">
        <v>0</v>
      </c>
      <c r="BG219" s="78">
        <v>0</v>
      </c>
      <c r="BH219" s="78">
        <v>0</v>
      </c>
      <c r="BI219" s="78">
        <v>0</v>
      </c>
      <c r="BJ219" s="78">
        <v>0</v>
      </c>
      <c r="BK219" s="78">
        <v>0</v>
      </c>
      <c r="BL219" s="78">
        <v>0</v>
      </c>
      <c r="BM219" s="78">
        <v>1814.9939999999999</v>
      </c>
      <c r="BN219" s="78">
        <v>97</v>
      </c>
      <c r="BO219" s="78">
        <v>160</v>
      </c>
      <c r="BP219" s="78">
        <v>28994.58</v>
      </c>
      <c r="BQ219" s="78">
        <v>6655.74</v>
      </c>
      <c r="BR219" s="78">
        <v>512.65282176847199</v>
      </c>
      <c r="BS219" s="78">
        <v>1177</v>
      </c>
      <c r="BT219" s="78">
        <v>530</v>
      </c>
      <c r="BU219" s="78">
        <v>474.33333333333297</v>
      </c>
      <c r="BV219" s="78">
        <f t="shared" si="13"/>
        <v>2818</v>
      </c>
      <c r="BW219" s="78">
        <v>708</v>
      </c>
      <c r="BX219" s="78">
        <v>12313.6485138631</v>
      </c>
      <c r="BY219" s="78">
        <v>4.5140000000000002</v>
      </c>
      <c r="BZ219" s="78">
        <v>58746</v>
      </c>
      <c r="CA219" s="78">
        <v>9425</v>
      </c>
      <c r="CB219" s="78">
        <v>2452</v>
      </c>
      <c r="CC219" s="78">
        <v>2862</v>
      </c>
      <c r="CD219" s="78">
        <v>2346</v>
      </c>
      <c r="CE219" s="78">
        <v>1346</v>
      </c>
      <c r="CF219" s="78">
        <v>1189.19018932874</v>
      </c>
      <c r="CG219" s="78">
        <v>797.11437177280595</v>
      </c>
      <c r="CH219" s="78">
        <v>346.04870912220298</v>
      </c>
      <c r="CI219" s="78">
        <v>2195.2440000000001</v>
      </c>
      <c r="CJ219" s="78">
        <v>1471.4724000000001</v>
      </c>
      <c r="CK219" s="78">
        <v>638.80560000000003</v>
      </c>
      <c r="CL219" s="78">
        <v>107836</v>
      </c>
    </row>
    <row r="220" spans="1:90" x14ac:dyDescent="0.35">
      <c r="A220" s="72">
        <v>553</v>
      </c>
      <c r="B220" s="72" t="s">
        <v>186</v>
      </c>
      <c r="C220" s="72">
        <v>8</v>
      </c>
      <c r="D220" s="78">
        <v>2727600000</v>
      </c>
      <c r="E220" s="78">
        <v>391300000</v>
      </c>
      <c r="F220" s="78">
        <v>399000000</v>
      </c>
      <c r="G220" s="78">
        <v>22982</v>
      </c>
      <c r="H220" s="78">
        <v>2</v>
      </c>
      <c r="I220" s="78">
        <f t="shared" si="11"/>
        <v>399</v>
      </c>
      <c r="J220" s="78">
        <v>4325</v>
      </c>
      <c r="K220" s="78">
        <v>5297</v>
      </c>
      <c r="L220" s="78">
        <v>1738</v>
      </c>
      <c r="M220" s="78">
        <v>2915</v>
      </c>
      <c r="N220" s="78">
        <f t="shared" si="12"/>
        <v>1869.8</v>
      </c>
      <c r="O220" s="78">
        <v>218.333333333333</v>
      </c>
      <c r="P220" s="78">
        <v>22</v>
      </c>
      <c r="Q220" s="78">
        <v>1009.33333333333</v>
      </c>
      <c r="R220" s="78">
        <v>3396</v>
      </c>
      <c r="S220" s="78">
        <v>480</v>
      </c>
      <c r="T220" s="78">
        <v>0</v>
      </c>
      <c r="U220" s="78">
        <v>728</v>
      </c>
      <c r="V220" s="78">
        <v>10401</v>
      </c>
      <c r="W220" s="78">
        <v>21240</v>
      </c>
      <c r="X220" s="78">
        <v>5460</v>
      </c>
      <c r="Y220" s="78">
        <v>293.04000000000002</v>
      </c>
      <c r="Z220" s="78">
        <v>1234.4000000000001</v>
      </c>
      <c r="AA220" s="78">
        <v>0</v>
      </c>
      <c r="AB220" s="399">
        <f>IF((J220-'[2]Basisgegevens aanvullend'!D220*1.1)&lt;=0,0,J220-'[2]Basisgegevens aanvullend'!D220*1.1)</f>
        <v>0</v>
      </c>
      <c r="AC220" s="399">
        <v>0</v>
      </c>
      <c r="AD220" s="78">
        <v>1569</v>
      </c>
      <c r="AE220" s="78">
        <v>1725.9</v>
      </c>
      <c r="AF220" s="78">
        <v>36</v>
      </c>
      <c r="AG220" s="78">
        <v>0</v>
      </c>
      <c r="AH220" s="78">
        <v>116</v>
      </c>
      <c r="AI220" s="78">
        <v>17</v>
      </c>
      <c r="AJ220" s="78">
        <v>132.24</v>
      </c>
      <c r="AK220" s="78">
        <v>18.190000000000001</v>
      </c>
      <c r="AL220" s="78">
        <v>132</v>
      </c>
      <c r="AM220" s="78">
        <v>10452</v>
      </c>
      <c r="AN220" s="78">
        <v>11915.28</v>
      </c>
      <c r="AO220" s="78">
        <v>0</v>
      </c>
      <c r="AP220" s="78">
        <v>0</v>
      </c>
      <c r="AQ220" s="78">
        <v>0</v>
      </c>
      <c r="AR220" s="78">
        <v>0</v>
      </c>
      <c r="AS220" s="78">
        <v>1325</v>
      </c>
      <c r="AT220" s="78">
        <v>0</v>
      </c>
      <c r="AU220" s="400">
        <v>2.9625000000000002E-4</v>
      </c>
      <c r="AV220" s="400">
        <v>4.2545499999999998E-4</v>
      </c>
      <c r="AW220" s="78">
        <v>17277.155999999999</v>
      </c>
      <c r="AX220" s="78">
        <v>0</v>
      </c>
      <c r="AY220" s="78">
        <v>1184.7</v>
      </c>
      <c r="AZ220" s="78">
        <v>20649.434392523399</v>
      </c>
      <c r="BA220" s="78">
        <v>3</v>
      </c>
      <c r="BB220" s="78">
        <v>3.21</v>
      </c>
      <c r="BC220" s="78">
        <v>2697</v>
      </c>
      <c r="BD220" s="78">
        <v>1</v>
      </c>
      <c r="BE220" s="78">
        <v>0</v>
      </c>
      <c r="BF220" s="78">
        <v>0</v>
      </c>
      <c r="BG220" s="78">
        <v>0</v>
      </c>
      <c r="BH220" s="78">
        <v>0</v>
      </c>
      <c r="BI220" s="78">
        <v>0</v>
      </c>
      <c r="BJ220" s="78">
        <v>0</v>
      </c>
      <c r="BK220" s="78">
        <v>0</v>
      </c>
      <c r="BL220" s="78">
        <v>0</v>
      </c>
      <c r="BM220" s="78">
        <v>363.3</v>
      </c>
      <c r="BN220" s="78">
        <v>55</v>
      </c>
      <c r="BO220" s="78">
        <v>29</v>
      </c>
      <c r="BP220" s="78">
        <v>7491.99</v>
      </c>
      <c r="BQ220" s="78">
        <v>1703.61</v>
      </c>
      <c r="BR220" s="78">
        <v>139.874045480067</v>
      </c>
      <c r="BS220" s="78">
        <v>259</v>
      </c>
      <c r="BT220" s="78">
        <v>61</v>
      </c>
      <c r="BU220" s="78">
        <v>51</v>
      </c>
      <c r="BV220" s="78">
        <f t="shared" si="13"/>
        <v>790.99999999999693</v>
      </c>
      <c r="BW220" s="78">
        <v>168</v>
      </c>
      <c r="BX220" s="78">
        <v>3670.7124722282701</v>
      </c>
      <c r="BY220" s="78">
        <v>0.13500000000000001</v>
      </c>
      <c r="BZ220" s="78">
        <v>17685</v>
      </c>
      <c r="CA220" s="78">
        <v>2926</v>
      </c>
      <c r="CB220" s="78">
        <v>633</v>
      </c>
      <c r="CC220" s="78">
        <v>645</v>
      </c>
      <c r="CD220" s="78">
        <v>617</v>
      </c>
      <c r="CE220" s="78">
        <v>338</v>
      </c>
      <c r="CF220" s="78">
        <v>331.13277841561398</v>
      </c>
      <c r="CG220" s="78">
        <v>224.15417145044</v>
      </c>
      <c r="CH220" s="78">
        <v>86.4057979334099</v>
      </c>
      <c r="CI220" s="78">
        <v>747.98910000000001</v>
      </c>
      <c r="CJ220" s="78">
        <v>506.33730000000003</v>
      </c>
      <c r="CK220" s="78">
        <v>195.18029999999999</v>
      </c>
      <c r="CL220" s="78">
        <v>0</v>
      </c>
    </row>
    <row r="221" spans="1:90" x14ac:dyDescent="0.35">
      <c r="A221" s="72">
        <v>556</v>
      </c>
      <c r="B221" s="72" t="s">
        <v>194</v>
      </c>
      <c r="C221" s="72">
        <v>8</v>
      </c>
      <c r="D221" s="78">
        <v>2933600000</v>
      </c>
      <c r="E221" s="78">
        <v>314650000</v>
      </c>
      <c r="F221" s="78">
        <v>315700000</v>
      </c>
      <c r="G221" s="78">
        <v>33567</v>
      </c>
      <c r="H221" s="78">
        <v>1</v>
      </c>
      <c r="I221" s="78">
        <f t="shared" si="11"/>
        <v>315.7</v>
      </c>
      <c r="J221" s="78">
        <v>6490</v>
      </c>
      <c r="K221" s="78">
        <v>7750</v>
      </c>
      <c r="L221" s="78">
        <v>2481</v>
      </c>
      <c r="M221" s="78">
        <v>4687</v>
      </c>
      <c r="N221" s="78">
        <f t="shared" si="12"/>
        <v>3142.2</v>
      </c>
      <c r="O221" s="78">
        <v>759</v>
      </c>
      <c r="P221" s="78">
        <v>36</v>
      </c>
      <c r="Q221" s="78">
        <v>2253</v>
      </c>
      <c r="R221" s="78">
        <v>5180</v>
      </c>
      <c r="S221" s="78">
        <v>5050</v>
      </c>
      <c r="T221" s="78">
        <v>0</v>
      </c>
      <c r="U221" s="78">
        <v>1222</v>
      </c>
      <c r="V221" s="78">
        <v>15386</v>
      </c>
      <c r="W221" s="78">
        <v>31940</v>
      </c>
      <c r="X221" s="78">
        <v>12940</v>
      </c>
      <c r="Y221" s="78">
        <v>97.02</v>
      </c>
      <c r="Z221" s="78">
        <v>752.8</v>
      </c>
      <c r="AA221" s="78">
        <v>0</v>
      </c>
      <c r="AB221" s="399">
        <f>IF((J221-'[2]Basisgegevens aanvullend'!D221*1.1)&lt;=0,0,J221-'[2]Basisgegevens aanvullend'!D221*1.1)</f>
        <v>0</v>
      </c>
      <c r="AC221" s="399">
        <v>0</v>
      </c>
      <c r="AD221" s="78">
        <v>845</v>
      </c>
      <c r="AE221" s="78">
        <v>1047.8</v>
      </c>
      <c r="AF221" s="78">
        <v>168</v>
      </c>
      <c r="AG221" s="78">
        <v>0</v>
      </c>
      <c r="AH221" s="78">
        <v>108</v>
      </c>
      <c r="AI221" s="78">
        <v>2</v>
      </c>
      <c r="AJ221" s="78">
        <v>135</v>
      </c>
      <c r="AK221" s="78">
        <v>2.4</v>
      </c>
      <c r="AL221" s="78">
        <v>110</v>
      </c>
      <c r="AM221" s="78">
        <v>15448</v>
      </c>
      <c r="AN221" s="78">
        <v>19310</v>
      </c>
      <c r="AO221" s="78">
        <v>14</v>
      </c>
      <c r="AP221" s="78">
        <v>0</v>
      </c>
      <c r="AQ221" s="78">
        <v>0</v>
      </c>
      <c r="AR221" s="78">
        <v>3750</v>
      </c>
      <c r="AS221" s="78">
        <v>2422</v>
      </c>
      <c r="AT221" s="78">
        <v>2422</v>
      </c>
      <c r="AU221" s="400">
        <v>4.9686200000000004E-4</v>
      </c>
      <c r="AV221" s="400">
        <v>2.250578E-3</v>
      </c>
      <c r="AW221" s="78">
        <v>31050.48</v>
      </c>
      <c r="AX221" s="78">
        <v>0</v>
      </c>
      <c r="AY221" s="78">
        <v>674.56</v>
      </c>
      <c r="AZ221" s="78">
        <v>43472.081579466903</v>
      </c>
      <c r="BA221" s="78">
        <v>1</v>
      </c>
      <c r="BB221" s="78">
        <v>1.2</v>
      </c>
      <c r="BC221" s="78">
        <v>3058</v>
      </c>
      <c r="BD221" s="78">
        <v>1</v>
      </c>
      <c r="BE221" s="78">
        <v>0</v>
      </c>
      <c r="BF221" s="78">
        <v>0</v>
      </c>
      <c r="BG221" s="78">
        <v>0</v>
      </c>
      <c r="BH221" s="78">
        <v>0</v>
      </c>
      <c r="BI221" s="78">
        <v>0</v>
      </c>
      <c r="BJ221" s="78">
        <v>0</v>
      </c>
      <c r="BK221" s="78">
        <v>0</v>
      </c>
      <c r="BL221" s="78">
        <v>0</v>
      </c>
      <c r="BM221" s="78">
        <v>1038.4000000000001</v>
      </c>
      <c r="BN221" s="78">
        <v>141</v>
      </c>
      <c r="BO221" s="78">
        <v>140</v>
      </c>
      <c r="BP221" s="78">
        <v>10127.049999999999</v>
      </c>
      <c r="BQ221" s="78">
        <v>2285.94</v>
      </c>
      <c r="BR221" s="78">
        <v>223.698198269079</v>
      </c>
      <c r="BS221" s="78">
        <v>515</v>
      </c>
      <c r="BT221" s="78">
        <v>276.66666666666703</v>
      </c>
      <c r="BU221" s="78">
        <v>221.333333333333</v>
      </c>
      <c r="BV221" s="78">
        <f t="shared" si="13"/>
        <v>1494</v>
      </c>
      <c r="BW221" s="78">
        <v>380</v>
      </c>
      <c r="BX221" s="78">
        <v>6038.1184319392996</v>
      </c>
      <c r="BY221" s="78">
        <v>2.1360000000000001</v>
      </c>
      <c r="BZ221" s="78">
        <v>25817</v>
      </c>
      <c r="CA221" s="78">
        <v>4478</v>
      </c>
      <c r="CB221" s="78">
        <v>791</v>
      </c>
      <c r="CC221" s="78">
        <v>975</v>
      </c>
      <c r="CD221" s="78">
        <v>852</v>
      </c>
      <c r="CE221" s="78">
        <v>426</v>
      </c>
      <c r="CF221" s="78">
        <v>560.58410150181305</v>
      </c>
      <c r="CG221" s="78">
        <v>364.094899016054</v>
      </c>
      <c r="CH221" s="78">
        <v>124.687247540135</v>
      </c>
      <c r="CI221" s="78">
        <v>1270.7916</v>
      </c>
      <c r="CJ221" s="78">
        <v>825.36900000000003</v>
      </c>
      <c r="CK221" s="78">
        <v>282.65429999999998</v>
      </c>
      <c r="CL221" s="78">
        <v>27556</v>
      </c>
    </row>
    <row r="222" spans="1:90" x14ac:dyDescent="0.35">
      <c r="A222" s="72">
        <v>1842</v>
      </c>
      <c r="B222" s="72" t="s">
        <v>202</v>
      </c>
      <c r="C222" s="72">
        <v>8</v>
      </c>
      <c r="D222" s="78">
        <v>2430800000</v>
      </c>
      <c r="E222" s="78">
        <v>338800000</v>
      </c>
      <c r="F222" s="78">
        <v>349650000</v>
      </c>
      <c r="G222" s="78">
        <v>19414</v>
      </c>
      <c r="H222" s="78">
        <v>3</v>
      </c>
      <c r="I222" s="78">
        <f t="shared" si="11"/>
        <v>349.65</v>
      </c>
      <c r="J222" s="78">
        <v>4055</v>
      </c>
      <c r="K222" s="78">
        <v>3775</v>
      </c>
      <c r="L222" s="78">
        <v>1155</v>
      </c>
      <c r="M222" s="78">
        <v>1591</v>
      </c>
      <c r="N222" s="78">
        <f t="shared" si="12"/>
        <v>786</v>
      </c>
      <c r="O222" s="78">
        <v>130.333333333333</v>
      </c>
      <c r="P222" s="78">
        <v>10</v>
      </c>
      <c r="Q222" s="78">
        <v>642.33333333333303</v>
      </c>
      <c r="R222" s="78">
        <v>2113</v>
      </c>
      <c r="S222" s="78">
        <v>680</v>
      </c>
      <c r="T222" s="78">
        <v>0</v>
      </c>
      <c r="U222" s="78">
        <v>476</v>
      </c>
      <c r="V222" s="78">
        <v>8020</v>
      </c>
      <c r="W222" s="78">
        <v>9850</v>
      </c>
      <c r="X222" s="78">
        <v>620</v>
      </c>
      <c r="Y222" s="78">
        <v>0</v>
      </c>
      <c r="Z222" s="78">
        <v>0</v>
      </c>
      <c r="AA222" s="78">
        <v>0</v>
      </c>
      <c r="AB222" s="399">
        <f>IF((J222-'[2]Basisgegevens aanvullend'!D222*1.1)&lt;=0,0,J222-'[2]Basisgegevens aanvullend'!D222*1.1)</f>
        <v>0</v>
      </c>
      <c r="AC222" s="399">
        <v>0</v>
      </c>
      <c r="AD222" s="78">
        <v>4723</v>
      </c>
      <c r="AE222" s="78">
        <v>6281.59</v>
      </c>
      <c r="AF222" s="78">
        <v>215</v>
      </c>
      <c r="AG222" s="78">
        <v>0</v>
      </c>
      <c r="AH222" s="78">
        <v>85</v>
      </c>
      <c r="AI222" s="78">
        <v>37</v>
      </c>
      <c r="AJ222" s="78">
        <v>105.4</v>
      </c>
      <c r="AK222" s="78">
        <v>49.95</v>
      </c>
      <c r="AL222" s="78">
        <v>122</v>
      </c>
      <c r="AM222" s="78">
        <v>8050</v>
      </c>
      <c r="AN222" s="78">
        <v>9982</v>
      </c>
      <c r="AO222" s="78">
        <v>0</v>
      </c>
      <c r="AP222" s="78">
        <v>0</v>
      </c>
      <c r="AQ222" s="78">
        <v>0</v>
      </c>
      <c r="AR222" s="78">
        <v>0</v>
      </c>
      <c r="AS222" s="78">
        <v>0</v>
      </c>
      <c r="AT222" s="78">
        <v>0</v>
      </c>
      <c r="AU222" s="400">
        <v>1.6998E-4</v>
      </c>
      <c r="AV222" s="400">
        <v>6.9238000000000004E-5</v>
      </c>
      <c r="AW222" s="78">
        <v>10746.75</v>
      </c>
      <c r="AX222" s="78">
        <v>0</v>
      </c>
      <c r="AY222" s="78">
        <v>4071.13</v>
      </c>
      <c r="AZ222" s="78">
        <v>38082.538570271397</v>
      </c>
      <c r="BA222" s="78">
        <v>12</v>
      </c>
      <c r="BB222" s="78">
        <v>16.2</v>
      </c>
      <c r="BC222" s="78">
        <v>2400</v>
      </c>
      <c r="BD222" s="78">
        <v>1</v>
      </c>
      <c r="BE222" s="78">
        <v>0</v>
      </c>
      <c r="BF222" s="78">
        <v>0</v>
      </c>
      <c r="BG222" s="78">
        <v>0</v>
      </c>
      <c r="BH222" s="78">
        <v>0</v>
      </c>
      <c r="BI222" s="78">
        <v>0</v>
      </c>
      <c r="BJ222" s="78">
        <v>0</v>
      </c>
      <c r="BK222" s="78">
        <v>0</v>
      </c>
      <c r="BL222" s="78">
        <v>0</v>
      </c>
      <c r="BM222" s="78">
        <v>202.75</v>
      </c>
      <c r="BN222" s="78">
        <v>32</v>
      </c>
      <c r="BO222" s="78">
        <v>22</v>
      </c>
      <c r="BP222" s="78">
        <v>6877.35</v>
      </c>
      <c r="BQ222" s="78">
        <v>1862.28</v>
      </c>
      <c r="BR222" s="78">
        <v>104.883795779019</v>
      </c>
      <c r="BS222" s="78">
        <v>205</v>
      </c>
      <c r="BT222" s="78">
        <v>51.3333333333333</v>
      </c>
      <c r="BU222" s="78">
        <v>33.6666666666667</v>
      </c>
      <c r="BV222" s="78">
        <f t="shared" si="13"/>
        <v>512</v>
      </c>
      <c r="BW222" s="78">
        <v>125</v>
      </c>
      <c r="BX222" s="78">
        <v>2162.21028488703</v>
      </c>
      <c r="BY222" s="78">
        <v>9.7000000000000003E-2</v>
      </c>
      <c r="BZ222" s="78">
        <v>15639</v>
      </c>
      <c r="CA222" s="78">
        <v>2141</v>
      </c>
      <c r="CB222" s="78">
        <v>479</v>
      </c>
      <c r="CC222" s="78">
        <v>358</v>
      </c>
      <c r="CD222" s="78">
        <v>343</v>
      </c>
      <c r="CE222" s="78">
        <v>235</v>
      </c>
      <c r="CF222" s="78">
        <v>130.25142857142899</v>
      </c>
      <c r="CG222" s="78">
        <v>77.428322981366506</v>
      </c>
      <c r="CH222" s="78">
        <v>34.5644720496894</v>
      </c>
      <c r="CI222" s="78">
        <v>379.92320000000001</v>
      </c>
      <c r="CJ222" s="78">
        <v>225.84639999999999</v>
      </c>
      <c r="CK222" s="78">
        <v>100.8192</v>
      </c>
      <c r="CL222" s="78">
        <v>0</v>
      </c>
    </row>
    <row r="223" spans="1:90" x14ac:dyDescent="0.35">
      <c r="A223" s="72">
        <v>1978</v>
      </c>
      <c r="B223" s="72" t="s">
        <v>206</v>
      </c>
      <c r="C223" s="72">
        <v>8</v>
      </c>
      <c r="D223" s="78">
        <v>4232800000</v>
      </c>
      <c r="E223" s="78">
        <v>616000000</v>
      </c>
      <c r="F223" s="78">
        <v>667800000</v>
      </c>
      <c r="G223" s="78">
        <v>44130</v>
      </c>
      <c r="H223" s="78">
        <v>12</v>
      </c>
      <c r="I223" s="78">
        <f t="shared" si="11"/>
        <v>667.8</v>
      </c>
      <c r="J223" s="78">
        <v>9918</v>
      </c>
      <c r="K223" s="78">
        <v>8509</v>
      </c>
      <c r="L223" s="78">
        <v>2631</v>
      </c>
      <c r="M223" s="78">
        <v>3968</v>
      </c>
      <c r="N223" s="78">
        <f t="shared" si="12"/>
        <v>2224.1</v>
      </c>
      <c r="O223" s="78">
        <v>300.33333333333297</v>
      </c>
      <c r="P223" s="78">
        <v>53</v>
      </c>
      <c r="Q223" s="78">
        <v>1540.3333333333301</v>
      </c>
      <c r="R223" s="78">
        <v>4397</v>
      </c>
      <c r="S223" s="78">
        <v>675</v>
      </c>
      <c r="T223" s="78">
        <v>0</v>
      </c>
      <c r="U223" s="78">
        <v>909</v>
      </c>
      <c r="V223" s="78">
        <v>17264</v>
      </c>
      <c r="W223" s="78">
        <v>28810</v>
      </c>
      <c r="X223" s="78">
        <v>1420</v>
      </c>
      <c r="Y223" s="78">
        <v>0</v>
      </c>
      <c r="Z223" s="78">
        <v>0</v>
      </c>
      <c r="AA223" s="78">
        <v>0</v>
      </c>
      <c r="AB223" s="399">
        <f>IF((J223-'[2]Basisgegevens aanvullend'!D223*1.1)&lt;=0,0,J223-'[2]Basisgegevens aanvullend'!D223*1.1)</f>
        <v>0</v>
      </c>
      <c r="AC223" s="399">
        <v>0</v>
      </c>
      <c r="AD223" s="78">
        <v>18144</v>
      </c>
      <c r="AE223" s="78">
        <v>26671.68</v>
      </c>
      <c r="AF223" s="78">
        <v>1014</v>
      </c>
      <c r="AG223" s="78">
        <v>0</v>
      </c>
      <c r="AH223" s="78">
        <v>247</v>
      </c>
      <c r="AI223" s="78">
        <v>118</v>
      </c>
      <c r="AJ223" s="78">
        <v>350.74</v>
      </c>
      <c r="AK223" s="78">
        <v>174.64</v>
      </c>
      <c r="AL223" s="78">
        <v>364</v>
      </c>
      <c r="AM223" s="78">
        <v>17439</v>
      </c>
      <c r="AN223" s="78">
        <v>24763.38</v>
      </c>
      <c r="AO223" s="78">
        <v>5</v>
      </c>
      <c r="AP223" s="78">
        <v>0</v>
      </c>
      <c r="AQ223" s="78">
        <v>0</v>
      </c>
      <c r="AR223" s="78">
        <v>2450</v>
      </c>
      <c r="AS223" s="78">
        <v>892</v>
      </c>
      <c r="AT223" s="78">
        <v>0</v>
      </c>
      <c r="AU223" s="400">
        <v>5.0770299999999997E-4</v>
      </c>
      <c r="AV223" s="400">
        <v>1.75212E-4</v>
      </c>
      <c r="AW223" s="78">
        <v>6853.527</v>
      </c>
      <c r="AX223" s="78">
        <v>0</v>
      </c>
      <c r="AY223" s="78">
        <v>15548.19</v>
      </c>
      <c r="AZ223" s="78">
        <v>100916.243517069</v>
      </c>
      <c r="BA223" s="78">
        <v>29</v>
      </c>
      <c r="BB223" s="78">
        <v>42.92</v>
      </c>
      <c r="BC223" s="78">
        <v>5405</v>
      </c>
      <c r="BD223" s="78">
        <v>1</v>
      </c>
      <c r="BE223" s="78">
        <v>0</v>
      </c>
      <c r="BF223" s="78">
        <v>0</v>
      </c>
      <c r="BG223" s="78">
        <v>0</v>
      </c>
      <c r="BH223" s="78">
        <v>0</v>
      </c>
      <c r="BI223" s="78">
        <v>0</v>
      </c>
      <c r="BJ223" s="78">
        <v>0</v>
      </c>
      <c r="BK223" s="78">
        <v>0</v>
      </c>
      <c r="BL223" s="78">
        <v>0</v>
      </c>
      <c r="BM223" s="78">
        <v>505.81799999999998</v>
      </c>
      <c r="BN223" s="78">
        <v>245</v>
      </c>
      <c r="BO223" s="78">
        <v>76</v>
      </c>
      <c r="BP223" s="78">
        <v>13221.78</v>
      </c>
      <c r="BQ223" s="78">
        <v>3620.08</v>
      </c>
      <c r="BR223" s="78">
        <v>465.99365410325697</v>
      </c>
      <c r="BS223" s="78">
        <v>361</v>
      </c>
      <c r="BT223" s="78">
        <v>117.666666666667</v>
      </c>
      <c r="BU223" s="78">
        <v>83.6666666666667</v>
      </c>
      <c r="BV223" s="78">
        <f t="shared" si="13"/>
        <v>1239.999999999997</v>
      </c>
      <c r="BW223" s="78">
        <v>335</v>
      </c>
      <c r="BX223" s="78">
        <v>6084.3902070190597</v>
      </c>
      <c r="BY223" s="78">
        <v>0.216</v>
      </c>
      <c r="BZ223" s="78">
        <v>35621</v>
      </c>
      <c r="CA223" s="78">
        <v>5010</v>
      </c>
      <c r="CB223" s="78">
        <v>868</v>
      </c>
      <c r="CC223" s="78">
        <v>838</v>
      </c>
      <c r="CD223" s="78">
        <v>783</v>
      </c>
      <c r="CE223" s="78">
        <v>460</v>
      </c>
      <c r="CF223" s="78">
        <v>379.16447617409301</v>
      </c>
      <c r="CG223" s="78">
        <v>232.75316818624901</v>
      </c>
      <c r="CH223" s="78">
        <v>82.260708756235999</v>
      </c>
      <c r="CI223" s="78">
        <v>1088.7126000000001</v>
      </c>
      <c r="CJ223" s="78">
        <v>668.31500000000005</v>
      </c>
      <c r="CK223" s="78">
        <v>236.19900000000001</v>
      </c>
      <c r="CL223" s="78">
        <v>2920</v>
      </c>
    </row>
    <row r="224" spans="1:90" x14ac:dyDescent="0.35">
      <c r="A224" s="72">
        <v>569</v>
      </c>
      <c r="B224" s="72" t="s">
        <v>213</v>
      </c>
      <c r="C224" s="72">
        <v>8</v>
      </c>
      <c r="D224" s="78">
        <v>3236400000</v>
      </c>
      <c r="E224" s="78">
        <v>383250000</v>
      </c>
      <c r="F224" s="78">
        <v>409150000</v>
      </c>
      <c r="G224" s="78">
        <v>29151</v>
      </c>
      <c r="H224" s="78">
        <v>4</v>
      </c>
      <c r="I224" s="78">
        <f t="shared" si="11"/>
        <v>409.15</v>
      </c>
      <c r="J224" s="78">
        <v>5526</v>
      </c>
      <c r="K224" s="78">
        <v>6049</v>
      </c>
      <c r="L224" s="78">
        <v>1918</v>
      </c>
      <c r="M224" s="78">
        <v>2885</v>
      </c>
      <c r="N224" s="78">
        <f t="shared" si="12"/>
        <v>1657.3</v>
      </c>
      <c r="O224" s="78">
        <v>216</v>
      </c>
      <c r="P224" s="78">
        <v>26</v>
      </c>
      <c r="Q224" s="78">
        <v>1352</v>
      </c>
      <c r="R224" s="78">
        <v>3386</v>
      </c>
      <c r="S224" s="78">
        <v>725</v>
      </c>
      <c r="T224" s="78">
        <v>0</v>
      </c>
      <c r="U224" s="78">
        <v>705</v>
      </c>
      <c r="V224" s="78">
        <v>12635</v>
      </c>
      <c r="W224" s="78">
        <v>22370</v>
      </c>
      <c r="X224" s="78">
        <v>2030</v>
      </c>
      <c r="Y224" s="78">
        <v>0</v>
      </c>
      <c r="Z224" s="78">
        <v>216</v>
      </c>
      <c r="AA224" s="78">
        <v>0</v>
      </c>
      <c r="AB224" s="399">
        <f>IF((J224-'[2]Basisgegevens aanvullend'!D224*1.1)&lt;=0,0,J224-'[2]Basisgegevens aanvullend'!D224*1.1)</f>
        <v>0</v>
      </c>
      <c r="AC224" s="399">
        <v>0</v>
      </c>
      <c r="AD224" s="78">
        <v>7807</v>
      </c>
      <c r="AE224" s="78">
        <v>10461.379999999999</v>
      </c>
      <c r="AF224" s="78">
        <v>1310</v>
      </c>
      <c r="AG224" s="78">
        <v>0</v>
      </c>
      <c r="AH224" s="78">
        <v>158</v>
      </c>
      <c r="AI224" s="78">
        <v>58</v>
      </c>
      <c r="AJ224" s="78">
        <v>206.98</v>
      </c>
      <c r="AK224" s="78">
        <v>78.3</v>
      </c>
      <c r="AL224" s="78">
        <v>216</v>
      </c>
      <c r="AM224" s="78">
        <v>12277</v>
      </c>
      <c r="AN224" s="78">
        <v>16082.87</v>
      </c>
      <c r="AO224" s="78">
        <v>0</v>
      </c>
      <c r="AP224" s="78">
        <v>0</v>
      </c>
      <c r="AQ224" s="78">
        <v>0</v>
      </c>
      <c r="AR224" s="78">
        <v>0</v>
      </c>
      <c r="AS224" s="78">
        <v>0</v>
      </c>
      <c r="AT224" s="78">
        <v>0</v>
      </c>
      <c r="AU224" s="400">
        <v>1.5621100000000001E-4</v>
      </c>
      <c r="AV224" s="400">
        <v>1.2901300000000001E-4</v>
      </c>
      <c r="AW224" s="78">
        <v>6199.8850000000002</v>
      </c>
      <c r="AX224" s="78">
        <v>0</v>
      </c>
      <c r="AY224" s="78">
        <v>13244.56</v>
      </c>
      <c r="AZ224" s="78">
        <v>108553.630167818</v>
      </c>
      <c r="BA224" s="78">
        <v>14</v>
      </c>
      <c r="BB224" s="78">
        <v>18.899999999999999</v>
      </c>
      <c r="BC224" s="78">
        <v>3784</v>
      </c>
      <c r="BD224" s="78">
        <v>1</v>
      </c>
      <c r="BE224" s="78">
        <v>0</v>
      </c>
      <c r="BF224" s="78">
        <v>0</v>
      </c>
      <c r="BG224" s="78">
        <v>0</v>
      </c>
      <c r="BH224" s="78">
        <v>0</v>
      </c>
      <c r="BI224" s="78">
        <v>0</v>
      </c>
      <c r="BJ224" s="78">
        <v>0</v>
      </c>
      <c r="BK224" s="78">
        <v>0</v>
      </c>
      <c r="BL224" s="78">
        <v>0</v>
      </c>
      <c r="BM224" s="78">
        <v>309.45600000000002</v>
      </c>
      <c r="BN224" s="78">
        <v>54</v>
      </c>
      <c r="BO224" s="78">
        <v>53</v>
      </c>
      <c r="BP224" s="78">
        <v>9261.56</v>
      </c>
      <c r="BQ224" s="78">
        <v>2280.75</v>
      </c>
      <c r="BR224" s="78">
        <v>127.981379112387</v>
      </c>
      <c r="BS224" s="78">
        <v>252</v>
      </c>
      <c r="BT224" s="78">
        <v>67.6666666666667</v>
      </c>
      <c r="BU224" s="78">
        <v>44.6666666666667</v>
      </c>
      <c r="BV224" s="78">
        <f t="shared" si="13"/>
        <v>1136</v>
      </c>
      <c r="BW224" s="78">
        <v>529</v>
      </c>
      <c r="BX224" s="78">
        <v>4282.6300607406902</v>
      </c>
      <c r="BY224" s="78">
        <v>0.14499999999999999</v>
      </c>
      <c r="BZ224" s="78">
        <v>23102</v>
      </c>
      <c r="CA224" s="78">
        <v>3542</v>
      </c>
      <c r="CB224" s="78">
        <v>589</v>
      </c>
      <c r="CC224" s="78">
        <v>599</v>
      </c>
      <c r="CD224" s="78">
        <v>566</v>
      </c>
      <c r="CE224" s="78">
        <v>303</v>
      </c>
      <c r="CF224" s="78">
        <v>284.56368819744199</v>
      </c>
      <c r="CG224" s="78">
        <v>183.45448399446099</v>
      </c>
      <c r="CH224" s="78">
        <v>57.3717113301295</v>
      </c>
      <c r="CI224" s="78">
        <v>737.8</v>
      </c>
      <c r="CJ224" s="78">
        <v>475.65</v>
      </c>
      <c r="CK224" s="78">
        <v>148.75</v>
      </c>
      <c r="CL224" s="78">
        <v>175930</v>
      </c>
    </row>
    <row r="225" spans="1:90" x14ac:dyDescent="0.35">
      <c r="A225" s="72">
        <v>1930</v>
      </c>
      <c r="B225" s="72" t="s">
        <v>216</v>
      </c>
      <c r="C225" s="72">
        <v>8</v>
      </c>
      <c r="D225" s="78">
        <v>6841200000</v>
      </c>
      <c r="E225" s="78">
        <v>814100000</v>
      </c>
      <c r="F225" s="78">
        <v>837200000</v>
      </c>
      <c r="G225" s="78">
        <v>85440</v>
      </c>
      <c r="H225" s="78">
        <v>4</v>
      </c>
      <c r="I225" s="78">
        <f t="shared" si="11"/>
        <v>837.2</v>
      </c>
      <c r="J225" s="78">
        <v>16165</v>
      </c>
      <c r="K225" s="78">
        <v>17469</v>
      </c>
      <c r="L225" s="78">
        <v>5033</v>
      </c>
      <c r="M225" s="78">
        <v>11608</v>
      </c>
      <c r="N225" s="78">
        <f t="shared" si="12"/>
        <v>7646.7</v>
      </c>
      <c r="O225" s="78">
        <v>2295.3333333333298</v>
      </c>
      <c r="P225" s="78">
        <v>44</v>
      </c>
      <c r="Q225" s="78">
        <v>6458.3333333333303</v>
      </c>
      <c r="R225" s="78">
        <v>13100</v>
      </c>
      <c r="S225" s="78">
        <v>8780</v>
      </c>
      <c r="T225" s="78">
        <v>0</v>
      </c>
      <c r="U225" s="78">
        <v>3915</v>
      </c>
      <c r="V225" s="78">
        <v>39551</v>
      </c>
      <c r="W225" s="78">
        <v>88920</v>
      </c>
      <c r="X225" s="78">
        <v>69470</v>
      </c>
      <c r="Y225" s="78">
        <v>1575.52</v>
      </c>
      <c r="Z225" s="78">
        <v>3267.2</v>
      </c>
      <c r="AA225" s="78">
        <v>0</v>
      </c>
      <c r="AB225" s="399">
        <f>IF((J225-'[2]Basisgegevens aanvullend'!D225*1.1)&lt;=0,0,J225-'[2]Basisgegevens aanvullend'!D225*1.1)</f>
        <v>0</v>
      </c>
      <c r="AC225" s="399">
        <v>0</v>
      </c>
      <c r="AD225" s="78">
        <v>7337</v>
      </c>
      <c r="AE225" s="78">
        <v>9171.25</v>
      </c>
      <c r="AF225" s="78">
        <v>1043</v>
      </c>
      <c r="AG225" s="78">
        <v>0</v>
      </c>
      <c r="AH225" s="78">
        <v>312</v>
      </c>
      <c r="AI225" s="78">
        <v>36</v>
      </c>
      <c r="AJ225" s="78">
        <v>408.72</v>
      </c>
      <c r="AK225" s="78">
        <v>44.28</v>
      </c>
      <c r="AL225" s="78">
        <v>348</v>
      </c>
      <c r="AM225" s="78">
        <v>39613</v>
      </c>
      <c r="AN225" s="78">
        <v>51893.03</v>
      </c>
      <c r="AO225" s="78">
        <v>5</v>
      </c>
      <c r="AP225" s="78">
        <v>0</v>
      </c>
      <c r="AQ225" s="78">
        <v>0</v>
      </c>
      <c r="AR225" s="78">
        <v>0</v>
      </c>
      <c r="AS225" s="78">
        <v>0</v>
      </c>
      <c r="AT225" s="78">
        <v>0</v>
      </c>
      <c r="AU225" s="400">
        <v>3.1035399999999999E-4</v>
      </c>
      <c r="AV225" s="400">
        <v>2.02177E-3</v>
      </c>
      <c r="AW225" s="78">
        <v>80770.907000000007</v>
      </c>
      <c r="AX225" s="78">
        <v>0</v>
      </c>
      <c r="AY225" s="78">
        <v>5201.25</v>
      </c>
      <c r="AZ225" s="78">
        <v>103193.269689737</v>
      </c>
      <c r="BA225" s="78">
        <v>6</v>
      </c>
      <c r="BB225" s="78">
        <v>7.38</v>
      </c>
      <c r="BC225" s="78">
        <v>6568</v>
      </c>
      <c r="BD225" s="78">
        <v>1</v>
      </c>
      <c r="BE225" s="78">
        <v>0</v>
      </c>
      <c r="BF225" s="78">
        <v>0</v>
      </c>
      <c r="BG225" s="78">
        <v>0</v>
      </c>
      <c r="BH225" s="78">
        <v>0</v>
      </c>
      <c r="BI225" s="78">
        <v>0</v>
      </c>
      <c r="BJ225" s="78">
        <v>0</v>
      </c>
      <c r="BK225" s="78">
        <v>0</v>
      </c>
      <c r="BL225" s="78">
        <v>0</v>
      </c>
      <c r="BM225" s="78">
        <v>2570.2350000000001</v>
      </c>
      <c r="BN225" s="78">
        <v>480</v>
      </c>
      <c r="BO225" s="78">
        <v>247</v>
      </c>
      <c r="BP225" s="78">
        <v>25952.45</v>
      </c>
      <c r="BQ225" s="78">
        <v>5896.2</v>
      </c>
      <c r="BR225" s="78">
        <v>563.56861888992898</v>
      </c>
      <c r="BS225" s="78">
        <v>1582</v>
      </c>
      <c r="BT225" s="78">
        <v>755</v>
      </c>
      <c r="BU225" s="78">
        <v>742.66666666666697</v>
      </c>
      <c r="BV225" s="78">
        <f t="shared" si="13"/>
        <v>4163</v>
      </c>
      <c r="BW225" s="78">
        <v>1245</v>
      </c>
      <c r="BX225" s="78">
        <v>17305.482542625501</v>
      </c>
      <c r="BY225" s="78">
        <v>6.0490000000000004</v>
      </c>
      <c r="BZ225" s="78">
        <v>67971</v>
      </c>
      <c r="CA225" s="78">
        <v>10721</v>
      </c>
      <c r="CB225" s="78">
        <v>1715</v>
      </c>
      <c r="CC225" s="78">
        <v>2464</v>
      </c>
      <c r="CD225" s="78">
        <v>1835</v>
      </c>
      <c r="CE225" s="78">
        <v>976</v>
      </c>
      <c r="CF225" s="78">
        <v>1334.06567793401</v>
      </c>
      <c r="CG225" s="78">
        <v>701.68264206194897</v>
      </c>
      <c r="CH225" s="78">
        <v>261.36954535127398</v>
      </c>
      <c r="CI225" s="78">
        <v>3186.6621</v>
      </c>
      <c r="CJ225" s="78">
        <v>1676.0985000000001</v>
      </c>
      <c r="CK225" s="78">
        <v>624.32939999999996</v>
      </c>
      <c r="CL225" s="78">
        <v>54385</v>
      </c>
    </row>
    <row r="226" spans="1:90" x14ac:dyDescent="0.35">
      <c r="A226" s="72">
        <v>575</v>
      </c>
      <c r="B226" s="72" t="s">
        <v>221</v>
      </c>
      <c r="C226" s="72">
        <v>8</v>
      </c>
      <c r="D226" s="78">
        <v>6611200000</v>
      </c>
      <c r="E226" s="78">
        <v>837200000</v>
      </c>
      <c r="F226" s="78">
        <v>897050000</v>
      </c>
      <c r="G226" s="78">
        <v>44062</v>
      </c>
      <c r="H226" s="78">
        <v>4</v>
      </c>
      <c r="I226" s="78">
        <f t="shared" si="11"/>
        <v>897.05</v>
      </c>
      <c r="J226" s="78">
        <v>7910</v>
      </c>
      <c r="K226" s="78">
        <v>9874</v>
      </c>
      <c r="L226" s="78">
        <v>3119</v>
      </c>
      <c r="M226" s="78">
        <v>5602</v>
      </c>
      <c r="N226" s="78">
        <f t="shared" si="12"/>
        <v>3362.7</v>
      </c>
      <c r="O226" s="78">
        <v>419</v>
      </c>
      <c r="P226" s="78">
        <v>39</v>
      </c>
      <c r="Q226" s="78">
        <v>2395</v>
      </c>
      <c r="R226" s="78">
        <v>7250</v>
      </c>
      <c r="S226" s="78">
        <v>1085</v>
      </c>
      <c r="T226" s="78">
        <v>0</v>
      </c>
      <c r="U226" s="78">
        <v>1375</v>
      </c>
      <c r="V226" s="78">
        <v>20878</v>
      </c>
      <c r="W226" s="78">
        <v>37210</v>
      </c>
      <c r="X226" s="78">
        <v>9840</v>
      </c>
      <c r="Y226" s="78">
        <v>757.74</v>
      </c>
      <c r="Z226" s="78">
        <v>1772</v>
      </c>
      <c r="AA226" s="78">
        <v>0</v>
      </c>
      <c r="AB226" s="399">
        <f>IF((J226-'[2]Basisgegevens aanvullend'!D226*1.1)&lt;=0,0,J226-'[2]Basisgegevens aanvullend'!D226*1.1)</f>
        <v>0</v>
      </c>
      <c r="AC226" s="399">
        <v>0</v>
      </c>
      <c r="AD226" s="78">
        <v>5843</v>
      </c>
      <c r="AE226" s="78">
        <v>5843</v>
      </c>
      <c r="AF226" s="78">
        <v>104</v>
      </c>
      <c r="AG226" s="78">
        <v>1548</v>
      </c>
      <c r="AH226" s="78">
        <v>239</v>
      </c>
      <c r="AI226" s="78">
        <v>40</v>
      </c>
      <c r="AJ226" s="78">
        <v>239</v>
      </c>
      <c r="AK226" s="78">
        <v>40</v>
      </c>
      <c r="AL226" s="78">
        <v>279</v>
      </c>
      <c r="AM226" s="78">
        <v>22393</v>
      </c>
      <c r="AN226" s="78">
        <v>22393</v>
      </c>
      <c r="AO226" s="78">
        <v>0</v>
      </c>
      <c r="AP226" s="78">
        <v>0</v>
      </c>
      <c r="AQ226" s="78">
        <v>0</v>
      </c>
      <c r="AR226" s="78">
        <v>0</v>
      </c>
      <c r="AS226" s="78">
        <v>2742</v>
      </c>
      <c r="AT226" s="78">
        <v>0</v>
      </c>
      <c r="AU226" s="400">
        <v>6.3022600000000001E-4</v>
      </c>
      <c r="AV226" s="400">
        <v>6.9664399999999995E-4</v>
      </c>
      <c r="AW226" s="78">
        <v>31327.807000000001</v>
      </c>
      <c r="AX226" s="78">
        <v>0</v>
      </c>
      <c r="AY226" s="78">
        <v>1859</v>
      </c>
      <c r="AZ226" s="78">
        <v>13773.542626534399</v>
      </c>
      <c r="BA226" s="78">
        <v>7</v>
      </c>
      <c r="BB226" s="78">
        <v>7</v>
      </c>
      <c r="BC226" s="78">
        <v>5975</v>
      </c>
      <c r="BD226" s="78">
        <v>1</v>
      </c>
      <c r="BE226" s="78">
        <v>0</v>
      </c>
      <c r="BF226" s="78">
        <v>0</v>
      </c>
      <c r="BG226" s="78">
        <v>0</v>
      </c>
      <c r="BH226" s="78">
        <v>0</v>
      </c>
      <c r="BI226" s="78">
        <v>0</v>
      </c>
      <c r="BJ226" s="78">
        <v>0</v>
      </c>
      <c r="BK226" s="78">
        <v>0</v>
      </c>
      <c r="BL226" s="78">
        <v>0</v>
      </c>
      <c r="BM226" s="78">
        <v>735.63</v>
      </c>
      <c r="BN226" s="78">
        <v>78</v>
      </c>
      <c r="BO226" s="78">
        <v>81</v>
      </c>
      <c r="BP226" s="78">
        <v>14902.5</v>
      </c>
      <c r="BQ226" s="78">
        <v>3362.56</v>
      </c>
      <c r="BR226" s="78">
        <v>227.93506437768201</v>
      </c>
      <c r="BS226" s="78">
        <v>510</v>
      </c>
      <c r="BT226" s="78">
        <v>108</v>
      </c>
      <c r="BU226" s="78">
        <v>74.6666666666667</v>
      </c>
      <c r="BV226" s="78">
        <f t="shared" si="13"/>
        <v>1976</v>
      </c>
      <c r="BW226" s="78">
        <v>791</v>
      </c>
      <c r="BX226" s="78">
        <v>6220.2483791486602</v>
      </c>
      <c r="BY226" s="78">
        <v>0.434</v>
      </c>
      <c r="BZ226" s="78">
        <v>34188</v>
      </c>
      <c r="CA226" s="78">
        <v>5732</v>
      </c>
      <c r="CB226" s="78">
        <v>1023</v>
      </c>
      <c r="CC226" s="78">
        <v>1283</v>
      </c>
      <c r="CD226" s="78">
        <v>1046</v>
      </c>
      <c r="CE226" s="78">
        <v>555</v>
      </c>
      <c r="CF226" s="78">
        <v>532.19348903675302</v>
      </c>
      <c r="CG226" s="78">
        <v>329.31724646094801</v>
      </c>
      <c r="CH226" s="78">
        <v>114.277439378377</v>
      </c>
      <c r="CI226" s="78">
        <v>1286.1176</v>
      </c>
      <c r="CJ226" s="78">
        <v>795.83969999999999</v>
      </c>
      <c r="CK226" s="78">
        <v>276.1669</v>
      </c>
      <c r="CL226" s="78">
        <v>366686</v>
      </c>
    </row>
    <row r="227" spans="1:90" x14ac:dyDescent="0.35">
      <c r="A227" s="72">
        <v>579</v>
      </c>
      <c r="B227" s="72" t="s">
        <v>224</v>
      </c>
      <c r="C227" s="72">
        <v>8</v>
      </c>
      <c r="D227" s="78">
        <v>4078000000</v>
      </c>
      <c r="E227" s="78">
        <v>346500000</v>
      </c>
      <c r="F227" s="78">
        <v>354200000</v>
      </c>
      <c r="G227" s="78">
        <v>25064</v>
      </c>
      <c r="H227" s="78">
        <v>1</v>
      </c>
      <c r="I227" s="78">
        <f t="shared" si="11"/>
        <v>354.2</v>
      </c>
      <c r="J227" s="78">
        <v>5600</v>
      </c>
      <c r="K227" s="78">
        <v>5132</v>
      </c>
      <c r="L227" s="78">
        <v>1700</v>
      </c>
      <c r="M227" s="78">
        <v>2258</v>
      </c>
      <c r="N227" s="78">
        <f t="shared" si="12"/>
        <v>1145.8</v>
      </c>
      <c r="O227" s="78">
        <v>301.33333333333297</v>
      </c>
      <c r="P227" s="78">
        <v>10</v>
      </c>
      <c r="Q227" s="78">
        <v>972.33333333333303</v>
      </c>
      <c r="R227" s="78">
        <v>3743</v>
      </c>
      <c r="S227" s="78">
        <v>915</v>
      </c>
      <c r="T227" s="78">
        <v>0</v>
      </c>
      <c r="U227" s="78">
        <v>729</v>
      </c>
      <c r="V227" s="78">
        <v>11237</v>
      </c>
      <c r="W227" s="78">
        <v>20700</v>
      </c>
      <c r="X227" s="78">
        <v>5560</v>
      </c>
      <c r="Y227" s="78">
        <v>1733.46</v>
      </c>
      <c r="Z227" s="78">
        <v>1518.4</v>
      </c>
      <c r="AA227" s="78">
        <v>0</v>
      </c>
      <c r="AB227" s="399">
        <f>IF((J227-'[2]Basisgegevens aanvullend'!D227*1.1)&lt;=0,0,J227-'[2]Basisgegevens aanvullend'!D227*1.1)</f>
        <v>0</v>
      </c>
      <c r="AC227" s="399">
        <v>0</v>
      </c>
      <c r="AD227" s="78">
        <v>726</v>
      </c>
      <c r="AE227" s="78">
        <v>726</v>
      </c>
      <c r="AF227" s="78">
        <v>71</v>
      </c>
      <c r="AG227" s="78">
        <v>0</v>
      </c>
      <c r="AH227" s="78">
        <v>93</v>
      </c>
      <c r="AI227" s="78">
        <v>3</v>
      </c>
      <c r="AJ227" s="78">
        <v>93</v>
      </c>
      <c r="AK227" s="78">
        <v>3</v>
      </c>
      <c r="AL227" s="78">
        <v>96</v>
      </c>
      <c r="AM227" s="78">
        <v>11122</v>
      </c>
      <c r="AN227" s="78">
        <v>11122</v>
      </c>
      <c r="AO227" s="78">
        <v>0</v>
      </c>
      <c r="AP227" s="78">
        <v>0</v>
      </c>
      <c r="AQ227" s="78">
        <v>0</v>
      </c>
      <c r="AR227" s="78">
        <v>0</v>
      </c>
      <c r="AS227" s="78">
        <v>1027</v>
      </c>
      <c r="AT227" s="78">
        <v>0</v>
      </c>
      <c r="AU227" s="400">
        <v>2.5899099999999997E-4</v>
      </c>
      <c r="AV227" s="400">
        <v>3.4362999999999999E-4</v>
      </c>
      <c r="AW227" s="78">
        <v>19685.939999999999</v>
      </c>
      <c r="AX227" s="78">
        <v>0</v>
      </c>
      <c r="AY227" s="78">
        <v>669</v>
      </c>
      <c r="AZ227" s="78">
        <v>21038.664993726499</v>
      </c>
      <c r="BA227" s="78">
        <v>1</v>
      </c>
      <c r="BB227" s="78">
        <v>1</v>
      </c>
      <c r="BC227" s="78">
        <v>2815</v>
      </c>
      <c r="BD227" s="78">
        <v>1</v>
      </c>
      <c r="BE227" s="78">
        <v>0</v>
      </c>
      <c r="BF227" s="78">
        <v>0</v>
      </c>
      <c r="BG227" s="78">
        <v>0</v>
      </c>
      <c r="BH227" s="78">
        <v>0</v>
      </c>
      <c r="BI227" s="78">
        <v>0</v>
      </c>
      <c r="BJ227" s="78">
        <v>0</v>
      </c>
      <c r="BK227" s="78">
        <v>0</v>
      </c>
      <c r="BL227" s="78">
        <v>0</v>
      </c>
      <c r="BM227" s="78">
        <v>347.2</v>
      </c>
      <c r="BN227" s="78">
        <v>12</v>
      </c>
      <c r="BO227" s="78">
        <v>25</v>
      </c>
      <c r="BP227" s="78">
        <v>10580.76</v>
      </c>
      <c r="BQ227" s="78">
        <v>2936.64</v>
      </c>
      <c r="BR227" s="78">
        <v>232.75035035035</v>
      </c>
      <c r="BS227" s="78">
        <v>272</v>
      </c>
      <c r="BT227" s="78">
        <v>89.3333333333333</v>
      </c>
      <c r="BU227" s="78">
        <v>75.6666666666667</v>
      </c>
      <c r="BV227" s="78">
        <f t="shared" si="13"/>
        <v>671</v>
      </c>
      <c r="BW227" s="78">
        <v>238</v>
      </c>
      <c r="BX227" s="78">
        <v>2933.4162962963001</v>
      </c>
      <c r="BY227" s="78">
        <v>0.41099999999999998</v>
      </c>
      <c r="BZ227" s="78">
        <v>19932</v>
      </c>
      <c r="CA227" s="78">
        <v>2763</v>
      </c>
      <c r="CB227" s="78">
        <v>669</v>
      </c>
      <c r="CC227" s="78">
        <v>674</v>
      </c>
      <c r="CD227" s="78">
        <v>646</v>
      </c>
      <c r="CE227" s="78">
        <v>365</v>
      </c>
      <c r="CF227" s="78">
        <v>185.43787088653099</v>
      </c>
      <c r="CG227" s="78">
        <v>123.934310375832</v>
      </c>
      <c r="CH227" s="78">
        <v>52.952814242042798</v>
      </c>
      <c r="CI227" s="78">
        <v>353.52</v>
      </c>
      <c r="CJ227" s="78">
        <v>236.26920000000001</v>
      </c>
      <c r="CK227" s="78">
        <v>100.9496</v>
      </c>
      <c r="CL227" s="78">
        <v>29186</v>
      </c>
    </row>
    <row r="228" spans="1:90" x14ac:dyDescent="0.35">
      <c r="A228" s="72">
        <v>590</v>
      </c>
      <c r="B228" s="72" t="s">
        <v>243</v>
      </c>
      <c r="C228" s="72">
        <v>8</v>
      </c>
      <c r="D228" s="78">
        <v>2985200000</v>
      </c>
      <c r="E228" s="78">
        <v>400400000</v>
      </c>
      <c r="F228" s="78">
        <v>408800000</v>
      </c>
      <c r="G228" s="78">
        <v>32171</v>
      </c>
      <c r="H228" s="78">
        <v>1</v>
      </c>
      <c r="I228" s="78">
        <f t="shared" si="11"/>
        <v>408.8</v>
      </c>
      <c r="J228" s="78">
        <v>6250</v>
      </c>
      <c r="K228" s="78">
        <v>7289</v>
      </c>
      <c r="L228" s="78">
        <v>2472</v>
      </c>
      <c r="M228" s="78">
        <v>3653</v>
      </c>
      <c r="N228" s="78">
        <f t="shared" si="12"/>
        <v>2201</v>
      </c>
      <c r="O228" s="78">
        <v>478</v>
      </c>
      <c r="P228" s="78">
        <v>55</v>
      </c>
      <c r="Q228" s="78">
        <v>1792</v>
      </c>
      <c r="R228" s="78">
        <v>4589</v>
      </c>
      <c r="S228" s="78">
        <v>1945</v>
      </c>
      <c r="T228" s="78">
        <v>0</v>
      </c>
      <c r="U228" s="78">
        <v>1138</v>
      </c>
      <c r="V228" s="78">
        <v>14372</v>
      </c>
      <c r="W228" s="78">
        <v>29990</v>
      </c>
      <c r="X228" s="78">
        <v>12710</v>
      </c>
      <c r="Y228" s="78">
        <v>322.74</v>
      </c>
      <c r="Z228" s="78">
        <v>2439.1999999999998</v>
      </c>
      <c r="AA228" s="78">
        <v>0</v>
      </c>
      <c r="AB228" s="399">
        <f>IF((J228-'[2]Basisgegevens aanvullend'!D228*1.1)&lt;=0,0,J228-'[2]Basisgegevens aanvullend'!D228*1.1)</f>
        <v>0</v>
      </c>
      <c r="AC228" s="399">
        <v>0</v>
      </c>
      <c r="AD228" s="78">
        <v>935</v>
      </c>
      <c r="AE228" s="78">
        <v>1309</v>
      </c>
      <c r="AF228" s="78">
        <v>144</v>
      </c>
      <c r="AG228" s="78">
        <v>0</v>
      </c>
      <c r="AH228" s="78">
        <v>126</v>
      </c>
      <c r="AI228" s="78">
        <v>6</v>
      </c>
      <c r="AJ228" s="78">
        <v>175.14</v>
      </c>
      <c r="AK228" s="78">
        <v>8.4</v>
      </c>
      <c r="AL228" s="78">
        <v>133</v>
      </c>
      <c r="AM228" s="78">
        <v>14520</v>
      </c>
      <c r="AN228" s="78">
        <v>20182.8</v>
      </c>
      <c r="AO228" s="78">
        <v>0</v>
      </c>
      <c r="AP228" s="78">
        <v>0</v>
      </c>
      <c r="AQ228" s="78">
        <v>0</v>
      </c>
      <c r="AR228" s="78">
        <v>0</v>
      </c>
      <c r="AS228" s="78">
        <v>1239</v>
      </c>
      <c r="AT228" s="78">
        <v>0</v>
      </c>
      <c r="AU228" s="400">
        <v>1.0791E-4</v>
      </c>
      <c r="AV228" s="400">
        <v>6.3495999999999995E-4</v>
      </c>
      <c r="AW228" s="78">
        <v>27791.279999999999</v>
      </c>
      <c r="AX228" s="78">
        <v>0</v>
      </c>
      <c r="AY228" s="78">
        <v>1104.5999999999999</v>
      </c>
      <c r="AZ228" s="78">
        <v>85028.042446709893</v>
      </c>
      <c r="BA228" s="78">
        <v>1</v>
      </c>
      <c r="BB228" s="78">
        <v>1.4</v>
      </c>
      <c r="BC228" s="78">
        <v>2966</v>
      </c>
      <c r="BD228" s="78">
        <v>1</v>
      </c>
      <c r="BE228" s="78">
        <v>0</v>
      </c>
      <c r="BF228" s="78">
        <v>0</v>
      </c>
      <c r="BG228" s="78">
        <v>0</v>
      </c>
      <c r="BH228" s="78">
        <v>0</v>
      </c>
      <c r="BI228" s="78">
        <v>0</v>
      </c>
      <c r="BJ228" s="78">
        <v>0</v>
      </c>
      <c r="BK228" s="78">
        <v>0</v>
      </c>
      <c r="BL228" s="78">
        <v>0</v>
      </c>
      <c r="BM228" s="78">
        <v>581.25</v>
      </c>
      <c r="BN228" s="78">
        <v>102</v>
      </c>
      <c r="BO228" s="78">
        <v>86</v>
      </c>
      <c r="BP228" s="78">
        <v>10196.64</v>
      </c>
      <c r="BQ228" s="78">
        <v>2330.2600000000002</v>
      </c>
      <c r="BR228" s="78">
        <v>323.428078194904</v>
      </c>
      <c r="BS228" s="78">
        <v>478</v>
      </c>
      <c r="BT228" s="78">
        <v>160.333333333333</v>
      </c>
      <c r="BU228" s="78">
        <v>143.666666666667</v>
      </c>
      <c r="BV228" s="78">
        <f t="shared" si="13"/>
        <v>1314</v>
      </c>
      <c r="BW228" s="78">
        <v>330</v>
      </c>
      <c r="BX228" s="78">
        <v>6063.2764588001</v>
      </c>
      <c r="BY228" s="78">
        <v>0.93100000000000005</v>
      </c>
      <c r="BZ228" s="78">
        <v>24882</v>
      </c>
      <c r="CA228" s="78">
        <v>4013</v>
      </c>
      <c r="CB228" s="78">
        <v>804</v>
      </c>
      <c r="CC228" s="78">
        <v>851</v>
      </c>
      <c r="CD228" s="78">
        <v>837</v>
      </c>
      <c r="CE228" s="78">
        <v>423</v>
      </c>
      <c r="CF228" s="78">
        <v>374.41253443526199</v>
      </c>
      <c r="CG228" s="78">
        <v>264.817286501377</v>
      </c>
      <c r="CH228" s="78">
        <v>94.740013774104696</v>
      </c>
      <c r="CI228" s="78">
        <v>1015.9109999999999</v>
      </c>
      <c r="CJ228" s="78">
        <v>718.54110000000003</v>
      </c>
      <c r="CK228" s="78">
        <v>257.0625</v>
      </c>
      <c r="CL228" s="78">
        <v>5475</v>
      </c>
    </row>
    <row r="229" spans="1:90" x14ac:dyDescent="0.35">
      <c r="A229" s="72">
        <v>1926</v>
      </c>
      <c r="B229" s="72" t="s">
        <v>246</v>
      </c>
      <c r="C229" s="72">
        <v>8</v>
      </c>
      <c r="D229" s="78">
        <v>6286400000</v>
      </c>
      <c r="E229" s="78">
        <v>641200000</v>
      </c>
      <c r="F229" s="78">
        <v>662200000</v>
      </c>
      <c r="G229" s="78">
        <v>55674</v>
      </c>
      <c r="H229" s="78">
        <v>3</v>
      </c>
      <c r="I229" s="78">
        <f t="shared" si="11"/>
        <v>662.2</v>
      </c>
      <c r="J229" s="78">
        <v>13303</v>
      </c>
      <c r="K229" s="78">
        <v>8468</v>
      </c>
      <c r="L229" s="78">
        <v>2756</v>
      </c>
      <c r="M229" s="78">
        <v>4191</v>
      </c>
      <c r="N229" s="78">
        <f t="shared" si="12"/>
        <v>1997.1</v>
      </c>
      <c r="O229" s="78">
        <v>469.66666666666703</v>
      </c>
      <c r="P229" s="78">
        <v>39</v>
      </c>
      <c r="Q229" s="78">
        <v>2380.6666666666702</v>
      </c>
      <c r="R229" s="78">
        <v>5372</v>
      </c>
      <c r="S229" s="78">
        <v>4255</v>
      </c>
      <c r="T229" s="78">
        <v>0</v>
      </c>
      <c r="U229" s="78">
        <v>1727</v>
      </c>
      <c r="V229" s="78">
        <v>22369</v>
      </c>
      <c r="W229" s="78">
        <v>36740</v>
      </c>
      <c r="X229" s="78">
        <v>6310</v>
      </c>
      <c r="Y229" s="78">
        <v>669.08</v>
      </c>
      <c r="Z229" s="78">
        <v>1038.4000000000001</v>
      </c>
      <c r="AA229" s="78">
        <v>0</v>
      </c>
      <c r="AB229" s="399">
        <f>IF((J229-'[2]Basisgegevens aanvullend'!D229*1.1)&lt;=0,0,J229-'[2]Basisgegevens aanvullend'!D229*1.1)</f>
        <v>0</v>
      </c>
      <c r="AC229" s="399">
        <v>8.7999999999999492</v>
      </c>
      <c r="AD229" s="78">
        <v>3694</v>
      </c>
      <c r="AE229" s="78">
        <v>4913.0200000000004</v>
      </c>
      <c r="AF229" s="78">
        <v>167</v>
      </c>
      <c r="AG229" s="78">
        <v>0</v>
      </c>
      <c r="AH229" s="78">
        <v>223</v>
      </c>
      <c r="AI229" s="78">
        <v>21</v>
      </c>
      <c r="AJ229" s="78">
        <v>292.13</v>
      </c>
      <c r="AK229" s="78">
        <v>28.14</v>
      </c>
      <c r="AL229" s="78">
        <v>244</v>
      </c>
      <c r="AM229" s="78">
        <v>21939</v>
      </c>
      <c r="AN229" s="78">
        <v>28740.09</v>
      </c>
      <c r="AO229" s="78">
        <v>0</v>
      </c>
      <c r="AP229" s="78">
        <v>0</v>
      </c>
      <c r="AQ229" s="78">
        <v>0</v>
      </c>
      <c r="AR229" s="78">
        <v>0</v>
      </c>
      <c r="AS229" s="78">
        <v>0</v>
      </c>
      <c r="AT229" s="78">
        <v>0</v>
      </c>
      <c r="AU229" s="400">
        <v>1.7387899999999999E-4</v>
      </c>
      <c r="AV229" s="400">
        <v>2.0177899999999999E-4</v>
      </c>
      <c r="AW229" s="78">
        <v>33500.853000000003</v>
      </c>
      <c r="AX229" s="78">
        <v>0</v>
      </c>
      <c r="AY229" s="78">
        <v>4874.45</v>
      </c>
      <c r="AZ229" s="78">
        <v>150796.94391608401</v>
      </c>
      <c r="BA229" s="78">
        <v>8</v>
      </c>
      <c r="BB229" s="78">
        <v>10.72</v>
      </c>
      <c r="BC229" s="78">
        <v>6131</v>
      </c>
      <c r="BD229" s="78">
        <v>1</v>
      </c>
      <c r="BE229" s="78">
        <v>0</v>
      </c>
      <c r="BF229" s="78">
        <v>0</v>
      </c>
      <c r="BG229" s="78">
        <v>0</v>
      </c>
      <c r="BH229" s="78">
        <v>0</v>
      </c>
      <c r="BI229" s="78">
        <v>0</v>
      </c>
      <c r="BJ229" s="78">
        <v>0</v>
      </c>
      <c r="BK229" s="78">
        <v>0</v>
      </c>
      <c r="BL229" s="78">
        <v>0</v>
      </c>
      <c r="BM229" s="78">
        <v>971.11900000000003</v>
      </c>
      <c r="BN229" s="78">
        <v>76</v>
      </c>
      <c r="BO229" s="78">
        <v>96</v>
      </c>
      <c r="BP229" s="78">
        <v>17777.599999999999</v>
      </c>
      <c r="BQ229" s="78">
        <v>5887.08</v>
      </c>
      <c r="BR229" s="78">
        <v>522.99401510333905</v>
      </c>
      <c r="BS229" s="78">
        <v>752</v>
      </c>
      <c r="BT229" s="78">
        <v>179.666666666667</v>
      </c>
      <c r="BU229" s="78">
        <v>141.333333333333</v>
      </c>
      <c r="BV229" s="78">
        <f t="shared" si="13"/>
        <v>1911.0000000000032</v>
      </c>
      <c r="BW229" s="78">
        <v>696</v>
      </c>
      <c r="BX229" s="78">
        <v>5977.3349056194402</v>
      </c>
      <c r="BY229" s="78">
        <v>0.28599999999999998</v>
      </c>
      <c r="BZ229" s="78">
        <v>47206</v>
      </c>
      <c r="CA229" s="78">
        <v>4725</v>
      </c>
      <c r="CB229" s="78">
        <v>987</v>
      </c>
      <c r="CC229" s="78">
        <v>879</v>
      </c>
      <c r="CD229" s="78">
        <v>840</v>
      </c>
      <c r="CE229" s="78">
        <v>476</v>
      </c>
      <c r="CF229" s="78">
        <v>264.44120060166802</v>
      </c>
      <c r="CG229" s="78">
        <v>173.13843839737501</v>
      </c>
      <c r="CH229" s="78">
        <v>65.177246000273499</v>
      </c>
      <c r="CI229" s="78">
        <v>918.56100000000004</v>
      </c>
      <c r="CJ229" s="78">
        <v>601.41240000000005</v>
      </c>
      <c r="CK229" s="78">
        <v>226.39920000000001</v>
      </c>
      <c r="CL229" s="78">
        <v>165710</v>
      </c>
    </row>
    <row r="230" spans="1:90" x14ac:dyDescent="0.35">
      <c r="A230" s="72">
        <v>597</v>
      </c>
      <c r="B230" s="72" t="s">
        <v>256</v>
      </c>
      <c r="C230" s="72">
        <v>8</v>
      </c>
      <c r="D230" s="78">
        <v>4359600000</v>
      </c>
      <c r="E230" s="78">
        <v>925750000</v>
      </c>
      <c r="F230" s="78">
        <v>935200000</v>
      </c>
      <c r="G230" s="78">
        <v>46671</v>
      </c>
      <c r="H230" s="78">
        <v>1</v>
      </c>
      <c r="I230" s="78">
        <f t="shared" si="11"/>
        <v>935.2</v>
      </c>
      <c r="J230" s="78">
        <v>8632</v>
      </c>
      <c r="K230" s="78">
        <v>11455</v>
      </c>
      <c r="L230" s="78">
        <v>3838</v>
      </c>
      <c r="M230" s="78">
        <v>6575</v>
      </c>
      <c r="N230" s="78">
        <f t="shared" si="12"/>
        <v>4435.3999999999996</v>
      </c>
      <c r="O230" s="78">
        <v>838</v>
      </c>
      <c r="P230" s="78">
        <v>30</v>
      </c>
      <c r="Q230" s="78">
        <v>2609</v>
      </c>
      <c r="R230" s="78">
        <v>7132</v>
      </c>
      <c r="S230" s="78">
        <v>3680</v>
      </c>
      <c r="T230" s="78">
        <v>0</v>
      </c>
      <c r="U230" s="78">
        <v>1717</v>
      </c>
      <c r="V230" s="78">
        <v>21468</v>
      </c>
      <c r="W230" s="78">
        <v>45150</v>
      </c>
      <c r="X230" s="78">
        <v>19530</v>
      </c>
      <c r="Y230" s="78">
        <v>564.29999999999995</v>
      </c>
      <c r="Z230" s="78">
        <v>1678.4</v>
      </c>
      <c r="AA230" s="78">
        <v>0</v>
      </c>
      <c r="AB230" s="399">
        <f>IF((J230-'[2]Basisgegevens aanvullend'!D230*1.1)&lt;=0,0,J230-'[2]Basisgegevens aanvullend'!D230*1.1)</f>
        <v>0</v>
      </c>
      <c r="AC230" s="399">
        <v>0</v>
      </c>
      <c r="AD230" s="78">
        <v>2349</v>
      </c>
      <c r="AE230" s="78">
        <v>3194.64</v>
      </c>
      <c r="AF230" s="78">
        <v>178</v>
      </c>
      <c r="AG230" s="78">
        <v>0</v>
      </c>
      <c r="AH230" s="78">
        <v>228</v>
      </c>
      <c r="AI230" s="78">
        <v>9</v>
      </c>
      <c r="AJ230" s="78">
        <v>310.08</v>
      </c>
      <c r="AK230" s="78">
        <v>12.33</v>
      </c>
      <c r="AL230" s="78">
        <v>237</v>
      </c>
      <c r="AM230" s="78">
        <v>21396</v>
      </c>
      <c r="AN230" s="78">
        <v>29098.560000000001</v>
      </c>
      <c r="AO230" s="78">
        <v>0</v>
      </c>
      <c r="AP230" s="78">
        <v>0</v>
      </c>
      <c r="AQ230" s="78">
        <v>0</v>
      </c>
      <c r="AR230" s="78">
        <v>0</v>
      </c>
      <c r="AS230" s="78">
        <v>2380</v>
      </c>
      <c r="AT230" s="78">
        <v>0</v>
      </c>
      <c r="AU230" s="400">
        <v>7.2109300000000002E-4</v>
      </c>
      <c r="AV230" s="400">
        <v>2.511381E-3</v>
      </c>
      <c r="AW230" s="78">
        <v>36950.892</v>
      </c>
      <c r="AX230" s="78">
        <v>0</v>
      </c>
      <c r="AY230" s="78">
        <v>2210</v>
      </c>
      <c r="AZ230" s="78">
        <v>100094.24281757</v>
      </c>
      <c r="BA230" s="78">
        <v>4</v>
      </c>
      <c r="BB230" s="78">
        <v>5.48</v>
      </c>
      <c r="BC230" s="78">
        <v>4844</v>
      </c>
      <c r="BD230" s="78">
        <v>1</v>
      </c>
      <c r="BE230" s="78">
        <v>0</v>
      </c>
      <c r="BF230" s="78">
        <v>0</v>
      </c>
      <c r="BG230" s="78">
        <v>0</v>
      </c>
      <c r="BH230" s="78">
        <v>0</v>
      </c>
      <c r="BI230" s="78">
        <v>0</v>
      </c>
      <c r="BJ230" s="78">
        <v>0</v>
      </c>
      <c r="BK230" s="78">
        <v>0</v>
      </c>
      <c r="BL230" s="78">
        <v>0</v>
      </c>
      <c r="BM230" s="78">
        <v>958.15200000000004</v>
      </c>
      <c r="BN230" s="78">
        <v>218</v>
      </c>
      <c r="BO230" s="78">
        <v>130</v>
      </c>
      <c r="BP230" s="78">
        <v>14244.64</v>
      </c>
      <c r="BQ230" s="78">
        <v>3070.08</v>
      </c>
      <c r="BR230" s="78">
        <v>324.69109963099601</v>
      </c>
      <c r="BS230" s="78">
        <v>692</v>
      </c>
      <c r="BT230" s="78">
        <v>301.33333333333297</v>
      </c>
      <c r="BU230" s="78">
        <v>270.66666666666703</v>
      </c>
      <c r="BV230" s="78">
        <f t="shared" si="13"/>
        <v>1771</v>
      </c>
      <c r="BW230" s="78">
        <v>442</v>
      </c>
      <c r="BX230" s="78">
        <v>9273.08886791228</v>
      </c>
      <c r="BY230" s="78">
        <v>2.3370000000000002</v>
      </c>
      <c r="BZ230" s="78">
        <v>35216</v>
      </c>
      <c r="CA230" s="78">
        <v>6119</v>
      </c>
      <c r="CB230" s="78">
        <v>1498</v>
      </c>
      <c r="CC230" s="78">
        <v>1316</v>
      </c>
      <c r="CD230" s="78">
        <v>1333</v>
      </c>
      <c r="CE230" s="78">
        <v>744</v>
      </c>
      <c r="CF230" s="78">
        <v>790.02193868012705</v>
      </c>
      <c r="CG230" s="78">
        <v>556.18705365488904</v>
      </c>
      <c r="CH230" s="78">
        <v>224.29906524584001</v>
      </c>
      <c r="CI230" s="78">
        <v>1726.7641000000001</v>
      </c>
      <c r="CJ230" s="78">
        <v>1215.6673000000001</v>
      </c>
      <c r="CK230" s="78">
        <v>490.25420000000003</v>
      </c>
      <c r="CL230" s="78">
        <v>27783</v>
      </c>
    </row>
    <row r="231" spans="1:90" x14ac:dyDescent="0.35">
      <c r="A231" s="72">
        <v>603</v>
      </c>
      <c r="B231" s="72" t="s">
        <v>258</v>
      </c>
      <c r="C231" s="72">
        <v>8</v>
      </c>
      <c r="D231" s="78">
        <v>5974000000</v>
      </c>
      <c r="E231" s="78">
        <v>799750000</v>
      </c>
      <c r="F231" s="78">
        <v>801500000</v>
      </c>
      <c r="G231" s="78">
        <v>55220</v>
      </c>
      <c r="H231" s="78">
        <v>2</v>
      </c>
      <c r="I231" s="78">
        <f t="shared" si="11"/>
        <v>801.5</v>
      </c>
      <c r="J231" s="78">
        <v>10867</v>
      </c>
      <c r="K231" s="78">
        <v>11910</v>
      </c>
      <c r="L231" s="78">
        <v>3705</v>
      </c>
      <c r="M231" s="78">
        <v>9017</v>
      </c>
      <c r="N231" s="78">
        <f t="shared" si="12"/>
        <v>6273</v>
      </c>
      <c r="O231" s="78">
        <v>1352</v>
      </c>
      <c r="P231" s="78">
        <v>64</v>
      </c>
      <c r="Q231" s="78">
        <v>3697</v>
      </c>
      <c r="R231" s="78">
        <v>11293</v>
      </c>
      <c r="S231" s="78">
        <v>7250</v>
      </c>
      <c r="T231" s="78">
        <v>0</v>
      </c>
      <c r="U231" s="78">
        <v>2499</v>
      </c>
      <c r="V231" s="78">
        <v>27665</v>
      </c>
      <c r="W231" s="78">
        <v>40320</v>
      </c>
      <c r="X231" s="78">
        <v>11890</v>
      </c>
      <c r="Y231" s="78">
        <v>1290.74</v>
      </c>
      <c r="Z231" s="78">
        <v>1656</v>
      </c>
      <c r="AA231" s="78">
        <v>0</v>
      </c>
      <c r="AB231" s="399">
        <f>IF((J231-'[2]Basisgegevens aanvullend'!D231*1.1)&lt;=0,0,J231-'[2]Basisgegevens aanvullend'!D231*1.1)</f>
        <v>2560.8999999999996</v>
      </c>
      <c r="AC231" s="399">
        <v>0</v>
      </c>
      <c r="AD231" s="78">
        <v>1399</v>
      </c>
      <c r="AE231" s="78">
        <v>1440.97</v>
      </c>
      <c r="AF231" s="78">
        <v>50</v>
      </c>
      <c r="AG231" s="78">
        <v>0</v>
      </c>
      <c r="AH231" s="78">
        <v>195</v>
      </c>
      <c r="AI231" s="78">
        <v>8</v>
      </c>
      <c r="AJ231" s="78">
        <v>198.9</v>
      </c>
      <c r="AK231" s="78">
        <v>8.24</v>
      </c>
      <c r="AL231" s="78">
        <v>203</v>
      </c>
      <c r="AM231" s="78">
        <v>27440</v>
      </c>
      <c r="AN231" s="78">
        <v>27988.799999999999</v>
      </c>
      <c r="AO231" s="78">
        <v>0</v>
      </c>
      <c r="AP231" s="78">
        <v>0</v>
      </c>
      <c r="AQ231" s="78">
        <v>0</v>
      </c>
      <c r="AR231" s="78">
        <v>0</v>
      </c>
      <c r="AS231" s="78">
        <v>4042</v>
      </c>
      <c r="AT231" s="78">
        <v>0</v>
      </c>
      <c r="AU231" s="400">
        <v>2.4989299999999999E-3</v>
      </c>
      <c r="AV231" s="400">
        <v>7.041121E-3</v>
      </c>
      <c r="AW231" s="78">
        <v>86847.6</v>
      </c>
      <c r="AX231" s="78">
        <v>0</v>
      </c>
      <c r="AY231" s="78">
        <v>1228.79</v>
      </c>
      <c r="AZ231" s="78">
        <v>47927.072877846796</v>
      </c>
      <c r="BA231" s="78">
        <v>2</v>
      </c>
      <c r="BB231" s="78">
        <v>2.06</v>
      </c>
      <c r="BC231" s="78">
        <v>6547</v>
      </c>
      <c r="BD231" s="78">
        <v>1</v>
      </c>
      <c r="BE231" s="78">
        <v>0</v>
      </c>
      <c r="BF231" s="78">
        <v>0</v>
      </c>
      <c r="BG231" s="78">
        <v>0</v>
      </c>
      <c r="BH231" s="78">
        <v>0</v>
      </c>
      <c r="BI231" s="78">
        <v>0</v>
      </c>
      <c r="BJ231" s="78">
        <v>0</v>
      </c>
      <c r="BK231" s="78">
        <v>0</v>
      </c>
      <c r="BL231" s="78">
        <v>0</v>
      </c>
      <c r="BM231" s="78">
        <v>1945.193</v>
      </c>
      <c r="BN231" s="78">
        <v>145</v>
      </c>
      <c r="BO231" s="78">
        <v>185</v>
      </c>
      <c r="BP231" s="78">
        <v>18246.439999999999</v>
      </c>
      <c r="BQ231" s="78">
        <v>3951.36</v>
      </c>
      <c r="BR231" s="78">
        <v>434.25337551816602</v>
      </c>
      <c r="BS231" s="78">
        <v>960</v>
      </c>
      <c r="BT231" s="78">
        <v>491.33333333333297</v>
      </c>
      <c r="BU231" s="78">
        <v>464.66666666666703</v>
      </c>
      <c r="BV231" s="78">
        <f t="shared" si="13"/>
        <v>2345</v>
      </c>
      <c r="BW231" s="78">
        <v>590</v>
      </c>
      <c r="BX231" s="78">
        <v>9588.7070707070707</v>
      </c>
      <c r="BY231" s="78">
        <v>3.6659999999999999</v>
      </c>
      <c r="BZ231" s="78">
        <v>43310</v>
      </c>
      <c r="CA231" s="78">
        <v>6431</v>
      </c>
      <c r="CB231" s="78">
        <v>1774</v>
      </c>
      <c r="CC231" s="78">
        <v>1910</v>
      </c>
      <c r="CD231" s="78">
        <v>1523</v>
      </c>
      <c r="CE231" s="78">
        <v>988</v>
      </c>
      <c r="CF231" s="78">
        <v>979.35612244898005</v>
      </c>
      <c r="CG231" s="78">
        <v>619.29872448979597</v>
      </c>
      <c r="CH231" s="78">
        <v>303.59125364431497</v>
      </c>
      <c r="CI231" s="78">
        <v>1907.6651999999999</v>
      </c>
      <c r="CJ231" s="78">
        <v>1206.3177000000001</v>
      </c>
      <c r="CK231" s="78">
        <v>591.35839999999996</v>
      </c>
      <c r="CL231" s="78">
        <v>44982</v>
      </c>
    </row>
    <row r="232" spans="1:90" x14ac:dyDescent="0.35">
      <c r="A232" s="72">
        <v>599</v>
      </c>
      <c r="B232" s="72" t="s">
        <v>262</v>
      </c>
      <c r="C232" s="72">
        <v>8</v>
      </c>
      <c r="D232" s="78">
        <v>63652800000</v>
      </c>
      <c r="E232" s="78">
        <v>23568300000</v>
      </c>
      <c r="F232" s="78">
        <v>23608200000</v>
      </c>
      <c r="G232" s="78">
        <v>651631</v>
      </c>
      <c r="H232" s="78">
        <v>7</v>
      </c>
      <c r="I232" s="78">
        <f t="shared" si="11"/>
        <v>23608.2</v>
      </c>
      <c r="J232" s="78">
        <v>121710</v>
      </c>
      <c r="K232" s="78">
        <v>100853</v>
      </c>
      <c r="L232" s="78">
        <v>30576</v>
      </c>
      <c r="M232" s="78">
        <v>124536</v>
      </c>
      <c r="N232" s="78">
        <f t="shared" si="12"/>
        <v>91892</v>
      </c>
      <c r="O232" s="78">
        <v>33376.666666666701</v>
      </c>
      <c r="P232" s="78">
        <v>647</v>
      </c>
      <c r="Q232" s="78">
        <v>62222.666666666701</v>
      </c>
      <c r="R232" s="78">
        <v>158558</v>
      </c>
      <c r="S232" s="78">
        <v>178215</v>
      </c>
      <c r="T232" s="78">
        <v>47888.800000000003</v>
      </c>
      <c r="U232" s="78">
        <v>34328</v>
      </c>
      <c r="V232" s="78">
        <v>338409</v>
      </c>
      <c r="W232" s="78">
        <v>738960</v>
      </c>
      <c r="X232" s="78">
        <v>1449830</v>
      </c>
      <c r="Y232" s="78">
        <v>21038.835599999999</v>
      </c>
      <c r="Z232" s="78">
        <v>26701.599999999999</v>
      </c>
      <c r="AA232" s="78">
        <v>4891.8999999999996</v>
      </c>
      <c r="AB232" s="399">
        <f>IF((J232-'[2]Basisgegevens aanvullend'!D232*1.1)&lt;=0,0,J232-'[2]Basisgegevens aanvullend'!D232*1.1)</f>
        <v>0</v>
      </c>
      <c r="AC232" s="399">
        <v>0</v>
      </c>
      <c r="AD232" s="78">
        <v>21895</v>
      </c>
      <c r="AE232" s="78">
        <v>25617.15</v>
      </c>
      <c r="AF232" s="78">
        <v>7510</v>
      </c>
      <c r="AG232" s="78">
        <v>3010</v>
      </c>
      <c r="AH232" s="78">
        <v>1888</v>
      </c>
      <c r="AI232" s="78">
        <v>457</v>
      </c>
      <c r="AJ232" s="78">
        <v>2492.16</v>
      </c>
      <c r="AK232" s="78">
        <v>488.99</v>
      </c>
      <c r="AL232" s="78">
        <v>2344</v>
      </c>
      <c r="AM232" s="78">
        <v>326440</v>
      </c>
      <c r="AN232" s="78">
        <v>430900.8</v>
      </c>
      <c r="AO232" s="78">
        <v>25</v>
      </c>
      <c r="AP232" s="78">
        <v>0</v>
      </c>
      <c r="AQ232" s="78">
        <v>0</v>
      </c>
      <c r="AR232" s="78">
        <v>12900</v>
      </c>
      <c r="AS232" s="78">
        <v>152086</v>
      </c>
      <c r="AT232" s="78">
        <v>143539</v>
      </c>
      <c r="AU232" s="400">
        <v>0.17663910499999999</v>
      </c>
      <c r="AV232" s="400">
        <v>0.18705828599999999</v>
      </c>
      <c r="AW232" s="78">
        <v>1309677.28</v>
      </c>
      <c r="AX232" s="78">
        <v>199781.28</v>
      </c>
      <c r="AY232" s="78">
        <v>14899.95</v>
      </c>
      <c r="AZ232" s="78">
        <v>654133.59101615404</v>
      </c>
      <c r="BA232" s="78">
        <v>11</v>
      </c>
      <c r="BB232" s="78">
        <v>11.77</v>
      </c>
      <c r="BC232" s="78">
        <v>83888</v>
      </c>
      <c r="BD232" s="78">
        <v>1</v>
      </c>
      <c r="BE232" s="78">
        <v>0</v>
      </c>
      <c r="BF232" s="78">
        <v>0</v>
      </c>
      <c r="BG232" s="78">
        <v>1</v>
      </c>
      <c r="BH232" s="78">
        <v>0</v>
      </c>
      <c r="BI232" s="78">
        <v>0</v>
      </c>
      <c r="BJ232" s="78">
        <v>0</v>
      </c>
      <c r="BK232" s="78">
        <v>0</v>
      </c>
      <c r="BL232" s="78">
        <v>0</v>
      </c>
      <c r="BM232" s="78">
        <v>33957.089999999997</v>
      </c>
      <c r="BN232" s="78">
        <v>3055</v>
      </c>
      <c r="BO232" s="78">
        <v>5347</v>
      </c>
      <c r="BP232" s="78">
        <v>177427.26</v>
      </c>
      <c r="BQ232" s="78">
        <v>35751.040000000001</v>
      </c>
      <c r="BR232" s="78">
        <v>3990.4447597980502</v>
      </c>
      <c r="BS232" s="78">
        <v>14084</v>
      </c>
      <c r="BT232" s="78">
        <v>9677.3333333333303</v>
      </c>
      <c r="BU232" s="78">
        <v>9538.3333333333303</v>
      </c>
      <c r="BV232" s="78">
        <f t="shared" si="13"/>
        <v>28846</v>
      </c>
      <c r="BW232" s="78">
        <v>8288</v>
      </c>
      <c r="BX232" s="78">
        <v>92679.575636843307</v>
      </c>
      <c r="BY232" s="78">
        <v>111.827</v>
      </c>
      <c r="BZ232" s="78">
        <v>550778</v>
      </c>
      <c r="CA232" s="78">
        <v>57582</v>
      </c>
      <c r="CB232" s="78">
        <v>12695</v>
      </c>
      <c r="CC232" s="78">
        <v>20726</v>
      </c>
      <c r="CD232" s="78">
        <v>13333</v>
      </c>
      <c r="CE232" s="78">
        <v>7160</v>
      </c>
      <c r="CF232" s="78">
        <v>11452.7203161377</v>
      </c>
      <c r="CG232" s="78">
        <v>6438.1262467834804</v>
      </c>
      <c r="CH232" s="78">
        <v>2660.4316015194199</v>
      </c>
      <c r="CI232" s="78">
        <v>22714.4355</v>
      </c>
      <c r="CJ232" s="78">
        <v>12768.879300000001</v>
      </c>
      <c r="CK232" s="78">
        <v>5276.4933000000001</v>
      </c>
      <c r="CL232" s="78">
        <v>647621</v>
      </c>
    </row>
    <row r="233" spans="1:90" x14ac:dyDescent="0.35">
      <c r="A233" s="72">
        <v>606</v>
      </c>
      <c r="B233" s="72" t="s">
        <v>267</v>
      </c>
      <c r="C233" s="72">
        <v>8</v>
      </c>
      <c r="D233" s="78">
        <v>6639200000</v>
      </c>
      <c r="E233" s="78">
        <v>1119300000</v>
      </c>
      <c r="F233" s="78">
        <v>1139600000</v>
      </c>
      <c r="G233" s="78">
        <v>79279</v>
      </c>
      <c r="H233" s="78">
        <v>1</v>
      </c>
      <c r="I233" s="78">
        <f t="shared" si="11"/>
        <v>1139.5999999999999</v>
      </c>
      <c r="J233" s="78">
        <v>14934</v>
      </c>
      <c r="K233" s="78">
        <v>13848</v>
      </c>
      <c r="L233" s="78">
        <v>4049</v>
      </c>
      <c r="M233" s="78">
        <v>13780</v>
      </c>
      <c r="N233" s="78">
        <f t="shared" si="12"/>
        <v>9996.2000000000007</v>
      </c>
      <c r="O233" s="78">
        <v>2315.6666666666702</v>
      </c>
      <c r="P233" s="78">
        <v>93</v>
      </c>
      <c r="Q233" s="78">
        <v>5860.6666666666697</v>
      </c>
      <c r="R233" s="78">
        <v>15639</v>
      </c>
      <c r="S233" s="78">
        <v>16520</v>
      </c>
      <c r="T233" s="78">
        <v>664.19999999999902</v>
      </c>
      <c r="U233" s="78">
        <v>3772</v>
      </c>
      <c r="V233" s="78">
        <v>38580</v>
      </c>
      <c r="W233" s="78">
        <v>78330</v>
      </c>
      <c r="X233" s="78">
        <v>52300</v>
      </c>
      <c r="Y233" s="78">
        <v>1334.04</v>
      </c>
      <c r="Z233" s="78">
        <v>3205.6</v>
      </c>
      <c r="AA233" s="78">
        <v>347.3</v>
      </c>
      <c r="AB233" s="399">
        <f>IF((J233-'[2]Basisgegevens aanvullend'!D233*1.1)&lt;=0,0,J233-'[2]Basisgegevens aanvullend'!D233*1.1)</f>
        <v>0</v>
      </c>
      <c r="AC233" s="399">
        <v>437.5</v>
      </c>
      <c r="AD233" s="78">
        <v>1783</v>
      </c>
      <c r="AE233" s="78">
        <v>2442.71</v>
      </c>
      <c r="AF233" s="78">
        <v>203</v>
      </c>
      <c r="AG233" s="78">
        <v>0</v>
      </c>
      <c r="AH233" s="78">
        <v>264</v>
      </c>
      <c r="AI233" s="78">
        <v>18</v>
      </c>
      <c r="AJ233" s="78">
        <v>364.32</v>
      </c>
      <c r="AK233" s="78">
        <v>24.12</v>
      </c>
      <c r="AL233" s="78">
        <v>282</v>
      </c>
      <c r="AM233" s="78">
        <v>37838</v>
      </c>
      <c r="AN233" s="78">
        <v>52216.44</v>
      </c>
      <c r="AO233" s="78">
        <v>33</v>
      </c>
      <c r="AP233" s="78">
        <v>0</v>
      </c>
      <c r="AQ233" s="78">
        <v>0</v>
      </c>
      <c r="AR233" s="78">
        <v>6850</v>
      </c>
      <c r="AS233" s="78">
        <v>13298</v>
      </c>
      <c r="AT233" s="78">
        <v>13298</v>
      </c>
      <c r="AU233" s="400">
        <v>1.3840837E-2</v>
      </c>
      <c r="AV233" s="400">
        <v>1.9156579E-2</v>
      </c>
      <c r="AW233" s="78">
        <v>125130.266</v>
      </c>
      <c r="AX233" s="78">
        <v>0</v>
      </c>
      <c r="AY233" s="78">
        <v>2194.7399999999998</v>
      </c>
      <c r="AZ233" s="78">
        <v>230787.31651560901</v>
      </c>
      <c r="BA233" s="78">
        <v>2</v>
      </c>
      <c r="BB233" s="78">
        <v>2.68</v>
      </c>
      <c r="BC233" s="78">
        <v>8671</v>
      </c>
      <c r="BD233" s="78">
        <v>1</v>
      </c>
      <c r="BE233" s="78">
        <v>0</v>
      </c>
      <c r="BF233" s="78">
        <v>0</v>
      </c>
      <c r="BG233" s="78">
        <v>0</v>
      </c>
      <c r="BH233" s="78">
        <v>0</v>
      </c>
      <c r="BI233" s="78">
        <v>0</v>
      </c>
      <c r="BJ233" s="78">
        <v>0</v>
      </c>
      <c r="BK233" s="78">
        <v>0</v>
      </c>
      <c r="BL233" s="78">
        <v>0</v>
      </c>
      <c r="BM233" s="78">
        <v>3225.7440000000001</v>
      </c>
      <c r="BN233" s="78">
        <v>445</v>
      </c>
      <c r="BO233" s="78">
        <v>720</v>
      </c>
      <c r="BP233" s="78">
        <v>21904.28</v>
      </c>
      <c r="BQ233" s="78">
        <v>4719.6000000000004</v>
      </c>
      <c r="BR233" s="78">
        <v>436.80211815700801</v>
      </c>
      <c r="BS233" s="78">
        <v>1467</v>
      </c>
      <c r="BT233" s="78">
        <v>742</v>
      </c>
      <c r="BU233" s="78">
        <v>741.66666666666697</v>
      </c>
      <c r="BV233" s="78">
        <f t="shared" si="13"/>
        <v>3544.9999999999995</v>
      </c>
      <c r="BW233" s="78">
        <v>868</v>
      </c>
      <c r="BX233" s="78">
        <v>11845.4285355011</v>
      </c>
      <c r="BY233" s="78">
        <v>6.3570000000000002</v>
      </c>
      <c r="BZ233" s="78">
        <v>65431</v>
      </c>
      <c r="CA233" s="78">
        <v>8086</v>
      </c>
      <c r="CB233" s="78">
        <v>1713</v>
      </c>
      <c r="CC233" s="78">
        <v>2363</v>
      </c>
      <c r="CD233" s="78">
        <v>1710</v>
      </c>
      <c r="CE233" s="78">
        <v>913</v>
      </c>
      <c r="CF233" s="78">
        <v>1420.7823775040999</v>
      </c>
      <c r="CG233" s="78">
        <v>796.77940694539905</v>
      </c>
      <c r="CH233" s="78">
        <v>314.90751096781003</v>
      </c>
      <c r="CI233" s="78">
        <v>2950.9086000000002</v>
      </c>
      <c r="CJ233" s="78">
        <v>1654.8792000000001</v>
      </c>
      <c r="CK233" s="78">
        <v>654.05039999999997</v>
      </c>
      <c r="CL233" s="78">
        <v>66794</v>
      </c>
    </row>
    <row r="234" spans="1:90" x14ac:dyDescent="0.35">
      <c r="A234" s="72">
        <v>518</v>
      </c>
      <c r="B234" s="72" t="s">
        <v>270</v>
      </c>
      <c r="C234" s="72">
        <v>8</v>
      </c>
      <c r="D234" s="78">
        <v>61804400000</v>
      </c>
      <c r="E234" s="78">
        <v>9925650000</v>
      </c>
      <c r="F234" s="78">
        <v>10058300000</v>
      </c>
      <c r="G234" s="78">
        <v>548320</v>
      </c>
      <c r="H234" s="78">
        <v>3</v>
      </c>
      <c r="I234" s="78">
        <f t="shared" si="11"/>
        <v>10058.299999999999</v>
      </c>
      <c r="J234" s="78">
        <v>109024</v>
      </c>
      <c r="K234" s="78">
        <v>81345</v>
      </c>
      <c r="L234" s="78">
        <v>24091</v>
      </c>
      <c r="M234" s="78">
        <v>92148</v>
      </c>
      <c r="N234" s="78">
        <f t="shared" si="12"/>
        <v>64936.800000000003</v>
      </c>
      <c r="O234" s="78">
        <v>23681</v>
      </c>
      <c r="P234" s="78">
        <v>1065</v>
      </c>
      <c r="Q234" s="78">
        <v>49786</v>
      </c>
      <c r="R234" s="78">
        <v>128810</v>
      </c>
      <c r="S234" s="78">
        <v>137955</v>
      </c>
      <c r="T234" s="78">
        <v>28291</v>
      </c>
      <c r="U234" s="78">
        <v>24904</v>
      </c>
      <c r="V234" s="78">
        <v>278065</v>
      </c>
      <c r="W234" s="78">
        <v>611130</v>
      </c>
      <c r="X234" s="78">
        <v>1016770</v>
      </c>
      <c r="Y234" s="78">
        <v>13300.06</v>
      </c>
      <c r="Z234" s="78">
        <v>21476</v>
      </c>
      <c r="AA234" s="78">
        <v>3337.5</v>
      </c>
      <c r="AB234" s="399">
        <f>IF((J234-'[2]Basisgegevens aanvullend'!D234*1.1)&lt;=0,0,J234-'[2]Basisgegevens aanvullend'!D234*1.1)</f>
        <v>0</v>
      </c>
      <c r="AC234" s="399">
        <v>2514.1</v>
      </c>
      <c r="AD234" s="78">
        <v>8283</v>
      </c>
      <c r="AE234" s="78">
        <v>8448.66</v>
      </c>
      <c r="AF234" s="78">
        <v>357</v>
      </c>
      <c r="AG234" s="78">
        <v>1173</v>
      </c>
      <c r="AH234" s="78">
        <v>1535</v>
      </c>
      <c r="AI234" s="78">
        <v>24</v>
      </c>
      <c r="AJ234" s="78">
        <v>1565.7</v>
      </c>
      <c r="AK234" s="78">
        <v>24</v>
      </c>
      <c r="AL234" s="78">
        <v>1559</v>
      </c>
      <c r="AM234" s="78">
        <v>272112</v>
      </c>
      <c r="AN234" s="78">
        <v>277554.24</v>
      </c>
      <c r="AO234" s="78">
        <v>0</v>
      </c>
      <c r="AP234" s="78">
        <v>0</v>
      </c>
      <c r="AQ234" s="78">
        <v>130</v>
      </c>
      <c r="AR234" s="78">
        <v>9850</v>
      </c>
      <c r="AS234" s="78">
        <v>130270</v>
      </c>
      <c r="AT234" s="78">
        <v>116262</v>
      </c>
      <c r="AU234" s="400">
        <v>0.11285255199999999</v>
      </c>
      <c r="AV234" s="400">
        <v>0.10392003900000001</v>
      </c>
      <c r="AW234" s="78">
        <v>1358927.328</v>
      </c>
      <c r="AX234" s="78">
        <v>433746.52799999999</v>
      </c>
      <c r="AY234" s="78">
        <v>6054.72</v>
      </c>
      <c r="AZ234" s="78">
        <v>407683.53555555601</v>
      </c>
      <c r="BA234" s="78">
        <v>3</v>
      </c>
      <c r="BB234" s="78">
        <v>3</v>
      </c>
      <c r="BC234" s="78">
        <v>77336</v>
      </c>
      <c r="BD234" s="78">
        <v>1</v>
      </c>
      <c r="BE234" s="78">
        <v>0</v>
      </c>
      <c r="BF234" s="78">
        <v>1</v>
      </c>
      <c r="BG234" s="78">
        <v>0</v>
      </c>
      <c r="BH234" s="78">
        <v>0</v>
      </c>
      <c r="BI234" s="78">
        <v>0</v>
      </c>
      <c r="BJ234" s="78">
        <v>0</v>
      </c>
      <c r="BK234" s="78">
        <v>0</v>
      </c>
      <c r="BL234" s="78">
        <v>0</v>
      </c>
      <c r="BM234" s="78">
        <v>24857.472000000002</v>
      </c>
      <c r="BN234" s="78">
        <v>1767</v>
      </c>
      <c r="BO234" s="78">
        <v>4161</v>
      </c>
      <c r="BP234" s="78">
        <v>164457.82999999999</v>
      </c>
      <c r="BQ234" s="78">
        <v>36009.47</v>
      </c>
      <c r="BR234" s="78">
        <v>4462.7654680030801</v>
      </c>
      <c r="BS234" s="78">
        <v>9686</v>
      </c>
      <c r="BT234" s="78">
        <v>6369.3333333333303</v>
      </c>
      <c r="BU234" s="78">
        <v>6073.3333333333303</v>
      </c>
      <c r="BV234" s="78">
        <f t="shared" si="13"/>
        <v>26105</v>
      </c>
      <c r="BW234" s="78">
        <v>6202</v>
      </c>
      <c r="BX234" s="78">
        <v>75037.099470538902</v>
      </c>
      <c r="BY234" s="78">
        <v>72.549000000000007</v>
      </c>
      <c r="BZ234" s="78">
        <v>466975</v>
      </c>
      <c r="CA234" s="78">
        <v>47905</v>
      </c>
      <c r="CB234" s="78">
        <v>9349</v>
      </c>
      <c r="CC234" s="78">
        <v>17526</v>
      </c>
      <c r="CD234" s="78">
        <v>10727</v>
      </c>
      <c r="CE234" s="78">
        <v>5027</v>
      </c>
      <c r="CF234" s="78">
        <v>8102.06568177809</v>
      </c>
      <c r="CG234" s="78">
        <v>4339.1906068089602</v>
      </c>
      <c r="CH234" s="78">
        <v>1594.1150114658701</v>
      </c>
      <c r="CI234" s="78">
        <v>16785.374400000001</v>
      </c>
      <c r="CJ234" s="78">
        <v>8989.6751999999997</v>
      </c>
      <c r="CK234" s="78">
        <v>3302.5920000000001</v>
      </c>
      <c r="CL234" s="78">
        <v>547158</v>
      </c>
    </row>
    <row r="235" spans="1:90" x14ac:dyDescent="0.35">
      <c r="A235" s="72">
        <v>610</v>
      </c>
      <c r="B235" s="72" t="s">
        <v>276</v>
      </c>
      <c r="C235" s="72">
        <v>8</v>
      </c>
      <c r="D235" s="78">
        <v>2069600000</v>
      </c>
      <c r="E235" s="78">
        <v>429450000</v>
      </c>
      <c r="F235" s="78">
        <v>440300000</v>
      </c>
      <c r="G235" s="78">
        <v>25597</v>
      </c>
      <c r="H235" s="78">
        <v>1</v>
      </c>
      <c r="I235" s="78">
        <f t="shared" si="11"/>
        <v>440.3</v>
      </c>
      <c r="J235" s="78">
        <v>5504</v>
      </c>
      <c r="K235" s="78">
        <v>5161</v>
      </c>
      <c r="L235" s="78">
        <v>1685</v>
      </c>
      <c r="M235" s="78">
        <v>3413</v>
      </c>
      <c r="N235" s="78">
        <f t="shared" si="12"/>
        <v>2242.5</v>
      </c>
      <c r="O235" s="78">
        <v>436</v>
      </c>
      <c r="P235" s="78">
        <v>60</v>
      </c>
      <c r="Q235" s="78">
        <v>2120</v>
      </c>
      <c r="R235" s="78">
        <v>3588</v>
      </c>
      <c r="S235" s="78">
        <v>1485</v>
      </c>
      <c r="T235" s="78">
        <v>0</v>
      </c>
      <c r="U235" s="78">
        <v>736</v>
      </c>
      <c r="V235" s="78">
        <v>11512</v>
      </c>
      <c r="W235" s="78">
        <v>25170</v>
      </c>
      <c r="X235" s="78">
        <v>9650</v>
      </c>
      <c r="Y235" s="78">
        <v>1043.0999999999999</v>
      </c>
      <c r="Z235" s="78">
        <v>268</v>
      </c>
      <c r="AA235" s="78">
        <v>0</v>
      </c>
      <c r="AB235" s="399">
        <f>IF((J235-'[2]Basisgegevens aanvullend'!D235*1.1)&lt;=0,0,J235-'[2]Basisgegevens aanvullend'!D235*1.1)</f>
        <v>0</v>
      </c>
      <c r="AC235" s="399">
        <v>0</v>
      </c>
      <c r="AD235" s="78">
        <v>1283</v>
      </c>
      <c r="AE235" s="78">
        <v>1988.65</v>
      </c>
      <c r="AF235" s="78">
        <v>118</v>
      </c>
      <c r="AG235" s="78">
        <v>0</v>
      </c>
      <c r="AH235" s="78">
        <v>113</v>
      </c>
      <c r="AI235" s="78">
        <v>5</v>
      </c>
      <c r="AJ235" s="78">
        <v>161.59</v>
      </c>
      <c r="AK235" s="78">
        <v>8.4</v>
      </c>
      <c r="AL235" s="78">
        <v>118</v>
      </c>
      <c r="AM235" s="78">
        <v>11705</v>
      </c>
      <c r="AN235" s="78">
        <v>16738.150000000001</v>
      </c>
      <c r="AO235" s="78">
        <v>0</v>
      </c>
      <c r="AP235" s="78">
        <v>0</v>
      </c>
      <c r="AQ235" s="78">
        <v>0</v>
      </c>
      <c r="AR235" s="78">
        <v>0</v>
      </c>
      <c r="AS235" s="78">
        <v>3255</v>
      </c>
      <c r="AT235" s="78">
        <v>0</v>
      </c>
      <c r="AU235" s="400">
        <v>6.9931099999999999E-4</v>
      </c>
      <c r="AV235" s="400">
        <v>1.142985E-3</v>
      </c>
      <c r="AW235" s="78">
        <v>19044.035</v>
      </c>
      <c r="AX235" s="78">
        <v>0</v>
      </c>
      <c r="AY235" s="78">
        <v>1148.55</v>
      </c>
      <c r="AZ235" s="78">
        <v>55081.053354746597</v>
      </c>
      <c r="BA235" s="78">
        <v>1</v>
      </c>
      <c r="BB235" s="78">
        <v>1.68</v>
      </c>
      <c r="BC235" s="78">
        <v>2476</v>
      </c>
      <c r="BD235" s="78">
        <v>1</v>
      </c>
      <c r="BE235" s="78">
        <v>0</v>
      </c>
      <c r="BF235" s="78">
        <v>0</v>
      </c>
      <c r="BG235" s="78">
        <v>0</v>
      </c>
      <c r="BH235" s="78">
        <v>0</v>
      </c>
      <c r="BI235" s="78">
        <v>0</v>
      </c>
      <c r="BJ235" s="78">
        <v>0</v>
      </c>
      <c r="BK235" s="78">
        <v>0</v>
      </c>
      <c r="BL235" s="78">
        <v>0</v>
      </c>
      <c r="BM235" s="78">
        <v>555.904</v>
      </c>
      <c r="BN235" s="78">
        <v>117</v>
      </c>
      <c r="BO235" s="78">
        <v>92</v>
      </c>
      <c r="BP235" s="78">
        <v>6567.66</v>
      </c>
      <c r="BQ235" s="78">
        <v>1712.27</v>
      </c>
      <c r="BR235" s="78">
        <v>353.17910272536699</v>
      </c>
      <c r="BS235" s="78">
        <v>341</v>
      </c>
      <c r="BT235" s="78">
        <v>146.333333333333</v>
      </c>
      <c r="BU235" s="78">
        <v>135.333333333333</v>
      </c>
      <c r="BV235" s="78">
        <f t="shared" si="13"/>
        <v>1684</v>
      </c>
      <c r="BW235" s="78">
        <v>779</v>
      </c>
      <c r="BX235" s="78">
        <v>4483.6362886597899</v>
      </c>
      <c r="BY235" s="78">
        <v>1.089</v>
      </c>
      <c r="BZ235" s="78">
        <v>20436</v>
      </c>
      <c r="CA235" s="78">
        <v>2746</v>
      </c>
      <c r="CB235" s="78">
        <v>730</v>
      </c>
      <c r="CC235" s="78">
        <v>552</v>
      </c>
      <c r="CD235" s="78">
        <v>576</v>
      </c>
      <c r="CE235" s="78">
        <v>374</v>
      </c>
      <c r="CF235" s="78">
        <v>316.68966253737699</v>
      </c>
      <c r="CG235" s="78">
        <v>219.74775736864601</v>
      </c>
      <c r="CH235" s="78">
        <v>99.624092268261407</v>
      </c>
      <c r="CI235" s="78">
        <v>796.25009999999997</v>
      </c>
      <c r="CJ235" s="78">
        <v>552.50990000000002</v>
      </c>
      <c r="CK235" s="78">
        <v>250.48400000000001</v>
      </c>
      <c r="CL235" s="78">
        <v>220816</v>
      </c>
    </row>
    <row r="236" spans="1:90" x14ac:dyDescent="0.35">
      <c r="A236" s="72">
        <v>1525</v>
      </c>
      <c r="B236" s="72" t="s">
        <v>293</v>
      </c>
      <c r="C236" s="72">
        <v>8</v>
      </c>
      <c r="D236" s="78">
        <v>4915200000</v>
      </c>
      <c r="E236" s="78">
        <v>533400000</v>
      </c>
      <c r="F236" s="78">
        <v>553000000</v>
      </c>
      <c r="G236" s="78">
        <v>37791</v>
      </c>
      <c r="H236" s="78">
        <v>2</v>
      </c>
      <c r="I236" s="78">
        <f t="shared" si="11"/>
        <v>553</v>
      </c>
      <c r="J236" s="78">
        <v>7470</v>
      </c>
      <c r="K236" s="78">
        <v>7537</v>
      </c>
      <c r="L236" s="78">
        <v>2433</v>
      </c>
      <c r="M236" s="78">
        <v>3972</v>
      </c>
      <c r="N236" s="78">
        <f t="shared" si="12"/>
        <v>2320</v>
      </c>
      <c r="O236" s="78">
        <v>277</v>
      </c>
      <c r="P236" s="78">
        <v>35</v>
      </c>
      <c r="Q236" s="78">
        <v>1478</v>
      </c>
      <c r="R236" s="78">
        <v>5010</v>
      </c>
      <c r="S236" s="78">
        <v>1120</v>
      </c>
      <c r="T236" s="78">
        <v>0</v>
      </c>
      <c r="U236" s="78">
        <v>1084</v>
      </c>
      <c r="V236" s="78">
        <v>16683</v>
      </c>
      <c r="W236" s="78">
        <v>35270</v>
      </c>
      <c r="X236" s="78">
        <v>13510</v>
      </c>
      <c r="Y236" s="78">
        <v>484.4</v>
      </c>
      <c r="Z236" s="78">
        <v>1692.8</v>
      </c>
      <c r="AA236" s="78">
        <v>0</v>
      </c>
      <c r="AB236" s="399">
        <f>IF((J236-'[2]Basisgegevens aanvullend'!D236*1.1)&lt;=0,0,J236-'[2]Basisgegevens aanvullend'!D236*1.1)</f>
        <v>0</v>
      </c>
      <c r="AC236" s="399">
        <v>0</v>
      </c>
      <c r="AD236" s="78">
        <v>2833</v>
      </c>
      <c r="AE236" s="78">
        <v>3031.31</v>
      </c>
      <c r="AF236" s="78">
        <v>516</v>
      </c>
      <c r="AG236" s="78">
        <v>0</v>
      </c>
      <c r="AH236" s="78">
        <v>194</v>
      </c>
      <c r="AI236" s="78">
        <v>23</v>
      </c>
      <c r="AJ236" s="78">
        <v>201.76</v>
      </c>
      <c r="AK236" s="78">
        <v>25.3</v>
      </c>
      <c r="AL236" s="78">
        <v>217</v>
      </c>
      <c r="AM236" s="78">
        <v>16520</v>
      </c>
      <c r="AN236" s="78">
        <v>17180.8</v>
      </c>
      <c r="AO236" s="78">
        <v>0</v>
      </c>
      <c r="AP236" s="78">
        <v>0</v>
      </c>
      <c r="AQ236" s="78">
        <v>0</v>
      </c>
      <c r="AR236" s="78">
        <v>0</v>
      </c>
      <c r="AS236" s="78">
        <v>1524</v>
      </c>
      <c r="AT236" s="78">
        <v>0</v>
      </c>
      <c r="AU236" s="400">
        <v>3.3695699999999998E-4</v>
      </c>
      <c r="AV236" s="400">
        <v>3.8505499999999998E-4</v>
      </c>
      <c r="AW236" s="78">
        <v>23260.16</v>
      </c>
      <c r="AX236" s="78">
        <v>0</v>
      </c>
      <c r="AY236" s="78">
        <v>3051.64</v>
      </c>
      <c r="AZ236" s="78">
        <v>51846.453502538097</v>
      </c>
      <c r="BA236" s="78">
        <v>7</v>
      </c>
      <c r="BB236" s="78">
        <v>7.7</v>
      </c>
      <c r="BC236" s="78">
        <v>4380</v>
      </c>
      <c r="BD236" s="78">
        <v>1</v>
      </c>
      <c r="BE236" s="78">
        <v>0</v>
      </c>
      <c r="BF236" s="78">
        <v>0</v>
      </c>
      <c r="BG236" s="78">
        <v>0</v>
      </c>
      <c r="BH236" s="78">
        <v>0</v>
      </c>
      <c r="BI236" s="78">
        <v>0</v>
      </c>
      <c r="BJ236" s="78">
        <v>0</v>
      </c>
      <c r="BK236" s="78">
        <v>0</v>
      </c>
      <c r="BL236" s="78">
        <v>0</v>
      </c>
      <c r="BM236" s="78">
        <v>425.79</v>
      </c>
      <c r="BN236" s="78">
        <v>48</v>
      </c>
      <c r="BO236" s="78">
        <v>51</v>
      </c>
      <c r="BP236" s="78">
        <v>13552.56</v>
      </c>
      <c r="BQ236" s="78">
        <v>3515.88</v>
      </c>
      <c r="BR236" s="78">
        <v>259.29284819515402</v>
      </c>
      <c r="BS236" s="78">
        <v>442</v>
      </c>
      <c r="BT236" s="78">
        <v>85</v>
      </c>
      <c r="BU236" s="78">
        <v>51</v>
      </c>
      <c r="BV236" s="78">
        <f t="shared" si="13"/>
        <v>1201</v>
      </c>
      <c r="BW236" s="78">
        <v>319</v>
      </c>
      <c r="BX236" s="78">
        <v>4834.0987500000001</v>
      </c>
      <c r="BY236" s="78">
        <v>0.19</v>
      </c>
      <c r="BZ236" s="78">
        <v>30254</v>
      </c>
      <c r="CA236" s="78">
        <v>4142</v>
      </c>
      <c r="CB236" s="78">
        <v>962</v>
      </c>
      <c r="CC236" s="78">
        <v>834</v>
      </c>
      <c r="CD236" s="78">
        <v>745</v>
      </c>
      <c r="CE236" s="78">
        <v>436</v>
      </c>
      <c r="CF236" s="78">
        <v>359.09443099273602</v>
      </c>
      <c r="CG236" s="78">
        <v>226.24213075060501</v>
      </c>
      <c r="CH236" s="78">
        <v>91.704600484261505</v>
      </c>
      <c r="CI236" s="78">
        <v>771.19119999999998</v>
      </c>
      <c r="CJ236" s="78">
        <v>485.87759999999997</v>
      </c>
      <c r="CK236" s="78">
        <v>196.94479999999999</v>
      </c>
      <c r="CL236" s="78">
        <v>46485</v>
      </c>
    </row>
    <row r="237" spans="1:90" x14ac:dyDescent="0.35">
      <c r="A237" s="72">
        <v>622</v>
      </c>
      <c r="B237" s="72" t="s">
        <v>318</v>
      </c>
      <c r="C237" s="72">
        <v>8</v>
      </c>
      <c r="D237" s="78">
        <v>6245600000</v>
      </c>
      <c r="E237" s="78">
        <v>944300000</v>
      </c>
      <c r="F237" s="78">
        <v>961100000</v>
      </c>
      <c r="G237" s="78">
        <v>73924</v>
      </c>
      <c r="H237" s="78">
        <v>1</v>
      </c>
      <c r="I237" s="78">
        <f t="shared" si="11"/>
        <v>961.1</v>
      </c>
      <c r="J237" s="78">
        <v>14180</v>
      </c>
      <c r="K237" s="78">
        <v>15716</v>
      </c>
      <c r="L237" s="78">
        <v>4943</v>
      </c>
      <c r="M237" s="78">
        <v>12566</v>
      </c>
      <c r="N237" s="78">
        <f t="shared" si="12"/>
        <v>8986.6</v>
      </c>
      <c r="O237" s="78">
        <v>2330</v>
      </c>
      <c r="P237" s="78">
        <v>66</v>
      </c>
      <c r="Q237" s="78">
        <v>5769</v>
      </c>
      <c r="R237" s="78">
        <v>13974</v>
      </c>
      <c r="S237" s="78">
        <v>11510</v>
      </c>
      <c r="T237" s="78">
        <v>0</v>
      </c>
      <c r="U237" s="78">
        <v>3485</v>
      </c>
      <c r="V237" s="78">
        <v>35972</v>
      </c>
      <c r="W237" s="78">
        <v>74440</v>
      </c>
      <c r="X237" s="78">
        <v>53270</v>
      </c>
      <c r="Y237" s="78">
        <v>1156.48</v>
      </c>
      <c r="Z237" s="78">
        <v>3112</v>
      </c>
      <c r="AA237" s="78">
        <v>105</v>
      </c>
      <c r="AB237" s="399">
        <f>IF((J237-'[2]Basisgegevens aanvullend'!D237*1.1)&lt;=0,0,J237-'[2]Basisgegevens aanvullend'!D237*1.1)</f>
        <v>0</v>
      </c>
      <c r="AC237" s="399">
        <v>0</v>
      </c>
      <c r="AD237" s="78">
        <v>2336</v>
      </c>
      <c r="AE237" s="78">
        <v>3153.6</v>
      </c>
      <c r="AF237" s="78">
        <v>334</v>
      </c>
      <c r="AG237" s="78">
        <v>0</v>
      </c>
      <c r="AH237" s="78">
        <v>235</v>
      </c>
      <c r="AI237" s="78">
        <v>12</v>
      </c>
      <c r="AJ237" s="78">
        <v>326.64999999999998</v>
      </c>
      <c r="AK237" s="78">
        <v>15.72</v>
      </c>
      <c r="AL237" s="78">
        <v>247</v>
      </c>
      <c r="AM237" s="78">
        <v>35794</v>
      </c>
      <c r="AN237" s="78">
        <v>49753.66</v>
      </c>
      <c r="AO237" s="78">
        <v>10</v>
      </c>
      <c r="AP237" s="78">
        <v>0</v>
      </c>
      <c r="AQ237" s="78">
        <v>0</v>
      </c>
      <c r="AR237" s="78">
        <v>0</v>
      </c>
      <c r="AS237" s="78">
        <v>6938</v>
      </c>
      <c r="AT237" s="78">
        <v>6540</v>
      </c>
      <c r="AU237" s="400">
        <v>3.1864559999999998E-3</v>
      </c>
      <c r="AV237" s="400">
        <v>1.1512477E-2</v>
      </c>
      <c r="AW237" s="78">
        <v>100330.58199999999</v>
      </c>
      <c r="AX237" s="78">
        <v>0</v>
      </c>
      <c r="AY237" s="78">
        <v>2155.9499999999998</v>
      </c>
      <c r="AZ237" s="78">
        <v>151191.19213483101</v>
      </c>
      <c r="BA237" s="78">
        <v>1</v>
      </c>
      <c r="BB237" s="78">
        <v>1.31</v>
      </c>
      <c r="BC237" s="78">
        <v>6594</v>
      </c>
      <c r="BD237" s="78">
        <v>1</v>
      </c>
      <c r="BE237" s="78">
        <v>0</v>
      </c>
      <c r="BF237" s="78">
        <v>0</v>
      </c>
      <c r="BG237" s="78">
        <v>0</v>
      </c>
      <c r="BH237" s="78">
        <v>0</v>
      </c>
      <c r="BI237" s="78">
        <v>0</v>
      </c>
      <c r="BJ237" s="78">
        <v>0</v>
      </c>
      <c r="BK237" s="78">
        <v>0</v>
      </c>
      <c r="BL237" s="78">
        <v>0</v>
      </c>
      <c r="BM237" s="78">
        <v>2892.72</v>
      </c>
      <c r="BN237" s="78">
        <v>377</v>
      </c>
      <c r="BO237" s="78">
        <v>415</v>
      </c>
      <c r="BP237" s="78">
        <v>20931</v>
      </c>
      <c r="BQ237" s="78">
        <v>4670.01</v>
      </c>
      <c r="BR237" s="78">
        <v>509.75134381070097</v>
      </c>
      <c r="BS237" s="78">
        <v>1390</v>
      </c>
      <c r="BT237" s="78">
        <v>766</v>
      </c>
      <c r="BU237" s="78">
        <v>703</v>
      </c>
      <c r="BV237" s="78">
        <f t="shared" si="13"/>
        <v>3439</v>
      </c>
      <c r="BW237" s="78">
        <v>1005</v>
      </c>
      <c r="BX237" s="78">
        <v>12499.467997874601</v>
      </c>
      <c r="BY237" s="78">
        <v>6.585</v>
      </c>
      <c r="BZ237" s="78">
        <v>58208</v>
      </c>
      <c r="CA237" s="78">
        <v>8657</v>
      </c>
      <c r="CB237" s="78">
        <v>2116</v>
      </c>
      <c r="CC237" s="78">
        <v>2328</v>
      </c>
      <c r="CD237" s="78">
        <v>1924</v>
      </c>
      <c r="CE237" s="78">
        <v>1174</v>
      </c>
      <c r="CF237" s="78">
        <v>1421.0246410012901</v>
      </c>
      <c r="CG237" s="78">
        <v>893.78935017041999</v>
      </c>
      <c r="CH237" s="78">
        <v>396.43072581997001</v>
      </c>
      <c r="CI237" s="78">
        <v>2973.7640000000001</v>
      </c>
      <c r="CJ237" s="78">
        <v>1870.424</v>
      </c>
      <c r="CK237" s="78">
        <v>829.60659999999996</v>
      </c>
      <c r="CL237" s="78">
        <v>45549</v>
      </c>
    </row>
    <row r="238" spans="1:90" x14ac:dyDescent="0.35">
      <c r="A238" s="72">
        <v>626</v>
      </c>
      <c r="B238" s="72" t="s">
        <v>322</v>
      </c>
      <c r="C238" s="72">
        <v>8</v>
      </c>
      <c r="D238" s="78">
        <v>3574400000</v>
      </c>
      <c r="E238" s="78">
        <v>199500000</v>
      </c>
      <c r="F238" s="78">
        <v>210350000</v>
      </c>
      <c r="G238" s="78">
        <v>25650</v>
      </c>
      <c r="H238" s="78">
        <v>1</v>
      </c>
      <c r="I238" s="78">
        <f t="shared" si="11"/>
        <v>210.35</v>
      </c>
      <c r="J238" s="78">
        <v>5435</v>
      </c>
      <c r="K238" s="78">
        <v>6049</v>
      </c>
      <c r="L238" s="78">
        <v>1985</v>
      </c>
      <c r="M238" s="78">
        <v>2708</v>
      </c>
      <c r="N238" s="78">
        <f t="shared" si="12"/>
        <v>1550.2</v>
      </c>
      <c r="O238" s="78">
        <v>297.33333333333297</v>
      </c>
      <c r="P238" s="78">
        <v>6</v>
      </c>
      <c r="Q238" s="78">
        <v>1057.3333333333301</v>
      </c>
      <c r="R238" s="78">
        <v>3852</v>
      </c>
      <c r="S238" s="78">
        <v>1175</v>
      </c>
      <c r="T238" s="78">
        <v>0</v>
      </c>
      <c r="U238" s="78">
        <v>838</v>
      </c>
      <c r="V238" s="78">
        <v>11622</v>
      </c>
      <c r="W238" s="78">
        <v>20310</v>
      </c>
      <c r="X238" s="78">
        <v>4930</v>
      </c>
      <c r="Y238" s="78">
        <v>0</v>
      </c>
      <c r="Z238" s="78">
        <v>0</v>
      </c>
      <c r="AA238" s="78">
        <v>0</v>
      </c>
      <c r="AB238" s="399">
        <f>IF((J238-'[2]Basisgegevens aanvullend'!D238*1.1)&lt;=0,0,J238-'[2]Basisgegevens aanvullend'!D238*1.1)</f>
        <v>0</v>
      </c>
      <c r="AC238" s="399">
        <v>0</v>
      </c>
      <c r="AD238" s="78">
        <v>1110</v>
      </c>
      <c r="AE238" s="78">
        <v>1143.3</v>
      </c>
      <c r="AF238" s="78">
        <v>46</v>
      </c>
      <c r="AG238" s="78">
        <v>0</v>
      </c>
      <c r="AH238" s="78">
        <v>101</v>
      </c>
      <c r="AI238" s="78">
        <v>3</v>
      </c>
      <c r="AJ238" s="78">
        <v>106.05</v>
      </c>
      <c r="AK238" s="78">
        <v>3.03</v>
      </c>
      <c r="AL238" s="78">
        <v>104</v>
      </c>
      <c r="AM238" s="78">
        <v>11578</v>
      </c>
      <c r="AN238" s="78">
        <v>12156.9</v>
      </c>
      <c r="AO238" s="78">
        <v>0</v>
      </c>
      <c r="AP238" s="78">
        <v>0</v>
      </c>
      <c r="AQ238" s="78">
        <v>0</v>
      </c>
      <c r="AR238" s="78">
        <v>0</v>
      </c>
      <c r="AS238" s="78">
        <v>891</v>
      </c>
      <c r="AT238" s="78">
        <v>0</v>
      </c>
      <c r="AU238" s="400">
        <v>2.69614E-4</v>
      </c>
      <c r="AV238" s="400">
        <v>5.9376000000000003E-4</v>
      </c>
      <c r="AW238" s="78">
        <v>21535.08</v>
      </c>
      <c r="AX238" s="78">
        <v>0</v>
      </c>
      <c r="AY238" s="78">
        <v>1115.49</v>
      </c>
      <c r="AZ238" s="78">
        <v>32932.958044982697</v>
      </c>
      <c r="BA238" s="78">
        <v>1</v>
      </c>
      <c r="BB238" s="78">
        <v>1.01</v>
      </c>
      <c r="BC238" s="78">
        <v>2918</v>
      </c>
      <c r="BD238" s="78">
        <v>1</v>
      </c>
      <c r="BE238" s="78">
        <v>0</v>
      </c>
      <c r="BF238" s="78">
        <v>0</v>
      </c>
      <c r="BG238" s="78">
        <v>0</v>
      </c>
      <c r="BH238" s="78">
        <v>0</v>
      </c>
      <c r="BI238" s="78">
        <v>0</v>
      </c>
      <c r="BJ238" s="78">
        <v>0</v>
      </c>
      <c r="BK238" s="78">
        <v>0</v>
      </c>
      <c r="BL238" s="78">
        <v>0</v>
      </c>
      <c r="BM238" s="78">
        <v>478.28</v>
      </c>
      <c r="BN238" s="78">
        <v>43</v>
      </c>
      <c r="BO238" s="78">
        <v>34</v>
      </c>
      <c r="BP238" s="78">
        <v>10062.34</v>
      </c>
      <c r="BQ238" s="78">
        <v>2500.6799999999998</v>
      </c>
      <c r="BR238" s="78">
        <v>284.94776031434202</v>
      </c>
      <c r="BS238" s="78">
        <v>314</v>
      </c>
      <c r="BT238" s="78">
        <v>102.333333333333</v>
      </c>
      <c r="BU238" s="78">
        <v>81.6666666666667</v>
      </c>
      <c r="BV238" s="78">
        <f t="shared" si="13"/>
        <v>759.99999999999704</v>
      </c>
      <c r="BW238" s="78">
        <v>208</v>
      </c>
      <c r="BX238" s="78">
        <v>3914.72151898734</v>
      </c>
      <c r="BY238" s="78">
        <v>0.32400000000000001</v>
      </c>
      <c r="BZ238" s="78">
        <v>19601</v>
      </c>
      <c r="CA238" s="78">
        <v>3188</v>
      </c>
      <c r="CB238" s="78">
        <v>876</v>
      </c>
      <c r="CC238" s="78">
        <v>739</v>
      </c>
      <c r="CD238" s="78">
        <v>686</v>
      </c>
      <c r="CE238" s="78">
        <v>398</v>
      </c>
      <c r="CF238" s="78">
        <v>269.79210571774001</v>
      </c>
      <c r="CG238" s="78">
        <v>184.502988426326</v>
      </c>
      <c r="CH238" s="78">
        <v>80.736793919502503</v>
      </c>
      <c r="CI238" s="78">
        <v>546.66949999999997</v>
      </c>
      <c r="CJ238" s="78">
        <v>373.85140000000001</v>
      </c>
      <c r="CK238" s="78">
        <v>163.59389999999999</v>
      </c>
      <c r="CL238" s="78">
        <v>0</v>
      </c>
    </row>
    <row r="239" spans="1:90" x14ac:dyDescent="0.35">
      <c r="A239" s="72">
        <v>627</v>
      </c>
      <c r="B239" s="72" t="s">
        <v>328</v>
      </c>
      <c r="C239" s="72">
        <v>8</v>
      </c>
      <c r="D239" s="78">
        <v>2926400000</v>
      </c>
      <c r="E239" s="78">
        <v>556500000</v>
      </c>
      <c r="F239" s="78">
        <v>562100000</v>
      </c>
      <c r="G239" s="78">
        <v>30479</v>
      </c>
      <c r="H239" s="78">
        <v>1</v>
      </c>
      <c r="I239" s="78">
        <f t="shared" si="11"/>
        <v>562.1</v>
      </c>
      <c r="J239" s="78">
        <v>6573</v>
      </c>
      <c r="K239" s="78">
        <v>5890</v>
      </c>
      <c r="L239" s="78">
        <v>1786</v>
      </c>
      <c r="M239" s="78">
        <v>3315</v>
      </c>
      <c r="N239" s="78">
        <f t="shared" si="12"/>
        <v>2030.6</v>
      </c>
      <c r="O239" s="78">
        <v>300</v>
      </c>
      <c r="P239" s="78">
        <v>8</v>
      </c>
      <c r="Q239" s="78">
        <v>1476</v>
      </c>
      <c r="R239" s="78">
        <v>3663</v>
      </c>
      <c r="S239" s="78">
        <v>1955</v>
      </c>
      <c r="T239" s="78">
        <v>0</v>
      </c>
      <c r="U239" s="78">
        <v>776</v>
      </c>
      <c r="V239" s="78">
        <v>12964</v>
      </c>
      <c r="W239" s="78">
        <v>28900</v>
      </c>
      <c r="X239" s="78">
        <v>9620</v>
      </c>
      <c r="Y239" s="78">
        <v>0</v>
      </c>
      <c r="Z239" s="78">
        <v>701.6</v>
      </c>
      <c r="AA239" s="78">
        <v>0</v>
      </c>
      <c r="AB239" s="399">
        <f>IF((J239-'[2]Basisgegevens aanvullend'!D239*1.1)&lt;=0,0,J239-'[2]Basisgegevens aanvullend'!D239*1.1)</f>
        <v>426.19999999999982</v>
      </c>
      <c r="AC239" s="399">
        <v>0</v>
      </c>
      <c r="AD239" s="78">
        <v>2776</v>
      </c>
      <c r="AE239" s="78">
        <v>3858.64</v>
      </c>
      <c r="AF239" s="78">
        <v>163</v>
      </c>
      <c r="AG239" s="78">
        <v>0</v>
      </c>
      <c r="AH239" s="78">
        <v>140</v>
      </c>
      <c r="AI239" s="78">
        <v>51</v>
      </c>
      <c r="AJ239" s="78">
        <v>196</v>
      </c>
      <c r="AK239" s="78">
        <v>70.89</v>
      </c>
      <c r="AL239" s="78">
        <v>191</v>
      </c>
      <c r="AM239" s="78">
        <v>12844</v>
      </c>
      <c r="AN239" s="78">
        <v>17981.599999999999</v>
      </c>
      <c r="AO239" s="78">
        <v>0</v>
      </c>
      <c r="AP239" s="78">
        <v>0</v>
      </c>
      <c r="AQ239" s="78">
        <v>0</v>
      </c>
      <c r="AR239" s="78">
        <v>0</v>
      </c>
      <c r="AS239" s="78">
        <v>1491</v>
      </c>
      <c r="AT239" s="78">
        <v>0</v>
      </c>
      <c r="AU239" s="400">
        <v>1.8527100000000001E-4</v>
      </c>
      <c r="AV239" s="400">
        <v>7.0727699999999997E-4</v>
      </c>
      <c r="AW239" s="78">
        <v>20280.675999999999</v>
      </c>
      <c r="AX239" s="78">
        <v>0</v>
      </c>
      <c r="AY239" s="78">
        <v>5009.5600000000004</v>
      </c>
      <c r="AZ239" s="78">
        <v>145303.62871725101</v>
      </c>
      <c r="BA239" s="78">
        <v>3</v>
      </c>
      <c r="BB239" s="78">
        <v>4.17</v>
      </c>
      <c r="BC239" s="78">
        <v>3313</v>
      </c>
      <c r="BD239" s="78">
        <v>1</v>
      </c>
      <c r="BE239" s="78">
        <v>0</v>
      </c>
      <c r="BF239" s="78">
        <v>0</v>
      </c>
      <c r="BG239" s="78">
        <v>0</v>
      </c>
      <c r="BH239" s="78">
        <v>0</v>
      </c>
      <c r="BI239" s="78">
        <v>0</v>
      </c>
      <c r="BJ239" s="78">
        <v>0</v>
      </c>
      <c r="BK239" s="78">
        <v>0</v>
      </c>
      <c r="BL239" s="78">
        <v>0</v>
      </c>
      <c r="BM239" s="78">
        <v>519.26700000000005</v>
      </c>
      <c r="BN239" s="78">
        <v>86</v>
      </c>
      <c r="BO239" s="78">
        <v>56</v>
      </c>
      <c r="BP239" s="78">
        <v>9271</v>
      </c>
      <c r="BQ239" s="78">
        <v>2414</v>
      </c>
      <c r="BR239" s="78">
        <v>238.294593628928</v>
      </c>
      <c r="BS239" s="78">
        <v>291</v>
      </c>
      <c r="BT239" s="78">
        <v>100.333333333333</v>
      </c>
      <c r="BU239" s="78">
        <v>85.6666666666667</v>
      </c>
      <c r="BV239" s="78">
        <f t="shared" si="13"/>
        <v>1176</v>
      </c>
      <c r="BW239" s="78">
        <v>403</v>
      </c>
      <c r="BX239" s="78">
        <v>4325.6850677682596</v>
      </c>
      <c r="BY239" s="78">
        <v>0.27600000000000002</v>
      </c>
      <c r="BZ239" s="78">
        <v>24589</v>
      </c>
      <c r="CA239" s="78">
        <v>3424</v>
      </c>
      <c r="CB239" s="78">
        <v>680</v>
      </c>
      <c r="CC239" s="78">
        <v>621</v>
      </c>
      <c r="CD239" s="78">
        <v>582</v>
      </c>
      <c r="CE239" s="78">
        <v>358</v>
      </c>
      <c r="CF239" s="78">
        <v>330.42307692307702</v>
      </c>
      <c r="CG239" s="78">
        <v>196.83097165991899</v>
      </c>
      <c r="CH239" s="78">
        <v>85.530566801619401</v>
      </c>
      <c r="CI239" s="78">
        <v>837.04499999999996</v>
      </c>
      <c r="CJ239" s="78">
        <v>498.6225</v>
      </c>
      <c r="CK239" s="78">
        <v>216.6705</v>
      </c>
      <c r="CL239" s="78">
        <v>21170</v>
      </c>
    </row>
    <row r="240" spans="1:90" x14ac:dyDescent="0.35">
      <c r="A240" s="72">
        <v>629</v>
      </c>
      <c r="B240" s="72" t="s">
        <v>330</v>
      </c>
      <c r="C240" s="72">
        <v>8</v>
      </c>
      <c r="D240" s="78">
        <v>6065600000</v>
      </c>
      <c r="E240" s="78">
        <v>389200000</v>
      </c>
      <c r="F240" s="78">
        <v>404250000</v>
      </c>
      <c r="G240" s="78">
        <v>26949</v>
      </c>
      <c r="H240" s="78">
        <v>1</v>
      </c>
      <c r="I240" s="78">
        <f t="shared" si="11"/>
        <v>404.25</v>
      </c>
      <c r="J240" s="78">
        <v>5581</v>
      </c>
      <c r="K240" s="78">
        <v>6777</v>
      </c>
      <c r="L240" s="78">
        <v>2370</v>
      </c>
      <c r="M240" s="78">
        <v>2880</v>
      </c>
      <c r="N240" s="78">
        <f t="shared" si="12"/>
        <v>1643.8999999999999</v>
      </c>
      <c r="O240" s="78">
        <v>352.66666666666703</v>
      </c>
      <c r="P240" s="78">
        <v>13</v>
      </c>
      <c r="Q240" s="78">
        <v>1040.6666666666699</v>
      </c>
      <c r="R240" s="78">
        <v>4577</v>
      </c>
      <c r="S240" s="78">
        <v>1335</v>
      </c>
      <c r="T240" s="78">
        <v>0</v>
      </c>
      <c r="U240" s="78">
        <v>900</v>
      </c>
      <c r="V240" s="78">
        <v>12512</v>
      </c>
      <c r="W240" s="78">
        <v>21110</v>
      </c>
      <c r="X240" s="78">
        <v>5080</v>
      </c>
      <c r="Y240" s="78">
        <v>0</v>
      </c>
      <c r="Z240" s="78">
        <v>1509.6</v>
      </c>
      <c r="AA240" s="78">
        <v>0</v>
      </c>
      <c r="AB240" s="399">
        <f>IF((J240-'[2]Basisgegevens aanvullend'!D240*1.1)&lt;=0,0,J240-'[2]Basisgegevens aanvullend'!D240*1.1)</f>
        <v>0</v>
      </c>
      <c r="AC240" s="399">
        <v>0</v>
      </c>
      <c r="AD240" s="78">
        <v>5127</v>
      </c>
      <c r="AE240" s="78">
        <v>5127</v>
      </c>
      <c r="AF240" s="78">
        <v>175</v>
      </c>
      <c r="AG240" s="78">
        <v>939</v>
      </c>
      <c r="AH240" s="78">
        <v>133</v>
      </c>
      <c r="AI240" s="78">
        <v>16</v>
      </c>
      <c r="AJ240" s="78">
        <v>133</v>
      </c>
      <c r="AK240" s="78">
        <v>16</v>
      </c>
      <c r="AL240" s="78">
        <v>149</v>
      </c>
      <c r="AM240" s="78">
        <v>12361</v>
      </c>
      <c r="AN240" s="78">
        <v>12361</v>
      </c>
      <c r="AO240" s="78">
        <v>0</v>
      </c>
      <c r="AP240" s="78">
        <v>0</v>
      </c>
      <c r="AQ240" s="78">
        <v>0</v>
      </c>
      <c r="AR240" s="78">
        <v>0</v>
      </c>
      <c r="AS240" s="78">
        <v>1617</v>
      </c>
      <c r="AT240" s="78">
        <v>0</v>
      </c>
      <c r="AU240" s="400">
        <v>7.3021800000000003E-4</v>
      </c>
      <c r="AV240" s="400">
        <v>4.3625000000000001E-4</v>
      </c>
      <c r="AW240" s="78">
        <v>17886.366999999998</v>
      </c>
      <c r="AX240" s="78">
        <v>0</v>
      </c>
      <c r="AY240" s="78">
        <v>2895</v>
      </c>
      <c r="AZ240" s="78">
        <v>14714.7029422859</v>
      </c>
      <c r="BA240" s="78">
        <v>2</v>
      </c>
      <c r="BB240" s="78">
        <v>2</v>
      </c>
      <c r="BC240" s="78">
        <v>3563</v>
      </c>
      <c r="BD240" s="78">
        <v>1</v>
      </c>
      <c r="BE240" s="78">
        <v>0</v>
      </c>
      <c r="BF240" s="78">
        <v>0</v>
      </c>
      <c r="BG240" s="78">
        <v>0</v>
      </c>
      <c r="BH240" s="78">
        <v>0</v>
      </c>
      <c r="BI240" s="78">
        <v>0</v>
      </c>
      <c r="BJ240" s="78">
        <v>0</v>
      </c>
      <c r="BK240" s="78">
        <v>0</v>
      </c>
      <c r="BL240" s="78">
        <v>0</v>
      </c>
      <c r="BM240" s="78">
        <v>558.1</v>
      </c>
      <c r="BN240" s="78">
        <v>24</v>
      </c>
      <c r="BO240" s="78">
        <v>20</v>
      </c>
      <c r="BP240" s="78">
        <v>11767.07</v>
      </c>
      <c r="BQ240" s="78">
        <v>2899.33</v>
      </c>
      <c r="BR240" s="78">
        <v>150.87020444122601</v>
      </c>
      <c r="BS240" s="78">
        <v>394</v>
      </c>
      <c r="BT240" s="78">
        <v>111.666666666667</v>
      </c>
      <c r="BU240" s="78">
        <v>107.333333333333</v>
      </c>
      <c r="BV240" s="78">
        <f t="shared" si="13"/>
        <v>688.00000000000296</v>
      </c>
      <c r="BW240" s="78">
        <v>166</v>
      </c>
      <c r="BX240" s="78">
        <v>3863.7315567382602</v>
      </c>
      <c r="BY240" s="78">
        <v>0.498</v>
      </c>
      <c r="BZ240" s="78">
        <v>20172</v>
      </c>
      <c r="CA240" s="78">
        <v>3272</v>
      </c>
      <c r="CB240" s="78">
        <v>1135</v>
      </c>
      <c r="CC240" s="78">
        <v>824</v>
      </c>
      <c r="CD240" s="78">
        <v>801</v>
      </c>
      <c r="CE240" s="78">
        <v>529</v>
      </c>
      <c r="CF240" s="78">
        <v>280.74370196586</v>
      </c>
      <c r="CG240" s="78">
        <v>215.844163093601</v>
      </c>
      <c r="CH240" s="78">
        <v>105.06277809238701</v>
      </c>
      <c r="CI240" s="78">
        <v>202.2338</v>
      </c>
      <c r="CJ240" s="78">
        <v>155.48339999999999</v>
      </c>
      <c r="CK240" s="78">
        <v>75.682000000000002</v>
      </c>
      <c r="CL240" s="78">
        <v>18034</v>
      </c>
    </row>
    <row r="241" spans="1:90" x14ac:dyDescent="0.35">
      <c r="A241" s="72">
        <v>1783</v>
      </c>
      <c r="B241" s="72" t="s">
        <v>340</v>
      </c>
      <c r="C241" s="72">
        <v>8</v>
      </c>
      <c r="D241" s="78">
        <v>12196400000</v>
      </c>
      <c r="E241" s="78">
        <v>3099950000</v>
      </c>
      <c r="F241" s="78">
        <v>3140900000</v>
      </c>
      <c r="G241" s="78">
        <v>111382</v>
      </c>
      <c r="H241" s="78">
        <v>1</v>
      </c>
      <c r="I241" s="78">
        <f t="shared" si="11"/>
        <v>3140.9</v>
      </c>
      <c r="J241" s="78">
        <v>22500</v>
      </c>
      <c r="K241" s="78">
        <v>21818</v>
      </c>
      <c r="L241" s="78">
        <v>7088</v>
      </c>
      <c r="M241" s="78">
        <v>12324</v>
      </c>
      <c r="N241" s="78">
        <f t="shared" si="12"/>
        <v>7675.2</v>
      </c>
      <c r="O241" s="78">
        <v>1143.6666666666699</v>
      </c>
      <c r="P241" s="78">
        <v>103</v>
      </c>
      <c r="Q241" s="78">
        <v>5117.6666666666697</v>
      </c>
      <c r="R241" s="78">
        <v>14450</v>
      </c>
      <c r="S241" s="78">
        <v>5015</v>
      </c>
      <c r="T241" s="78">
        <v>0</v>
      </c>
      <c r="U241" s="78">
        <v>2984</v>
      </c>
      <c r="V241" s="78">
        <v>48289</v>
      </c>
      <c r="W241" s="78">
        <v>112550</v>
      </c>
      <c r="X241" s="78">
        <v>99620</v>
      </c>
      <c r="Y241" s="78">
        <v>1667.26</v>
      </c>
      <c r="Z241" s="78">
        <v>3372</v>
      </c>
      <c r="AA241" s="78">
        <v>0</v>
      </c>
      <c r="AB241" s="399">
        <f>IF((J241-'[2]Basisgegevens aanvullend'!D241*1.1)&lt;=0,0,J241-'[2]Basisgegevens aanvullend'!D241*1.1)</f>
        <v>0</v>
      </c>
      <c r="AC241" s="399">
        <v>0</v>
      </c>
      <c r="AD241" s="78">
        <v>8088</v>
      </c>
      <c r="AE241" s="78">
        <v>8896.7999999999993</v>
      </c>
      <c r="AF241" s="78">
        <v>233</v>
      </c>
      <c r="AG241" s="78">
        <v>753</v>
      </c>
      <c r="AH241" s="78">
        <v>670</v>
      </c>
      <c r="AI241" s="78">
        <v>115</v>
      </c>
      <c r="AJ241" s="78">
        <v>723.6</v>
      </c>
      <c r="AK241" s="78">
        <v>128.80000000000001</v>
      </c>
      <c r="AL241" s="78">
        <v>784</v>
      </c>
      <c r="AM241" s="78">
        <v>46488</v>
      </c>
      <c r="AN241" s="78">
        <v>50207.040000000001</v>
      </c>
      <c r="AO241" s="78">
        <v>5</v>
      </c>
      <c r="AP241" s="78">
        <v>0</v>
      </c>
      <c r="AQ241" s="78">
        <v>0</v>
      </c>
      <c r="AR241" s="78">
        <v>0</v>
      </c>
      <c r="AS241" s="78">
        <v>4323</v>
      </c>
      <c r="AT241" s="78">
        <v>1048</v>
      </c>
      <c r="AU241" s="400">
        <v>1.1044729999999999E-3</v>
      </c>
      <c r="AV241" s="400">
        <v>1.0410599999999999E-3</v>
      </c>
      <c r="AW241" s="78">
        <v>67082.183999999994</v>
      </c>
      <c r="AX241" s="78">
        <v>0</v>
      </c>
      <c r="AY241" s="78">
        <v>6403.1</v>
      </c>
      <c r="AZ241" s="78">
        <v>113391.186179546</v>
      </c>
      <c r="BA241" s="78">
        <v>5</v>
      </c>
      <c r="BB241" s="78">
        <v>5.6</v>
      </c>
      <c r="BC241" s="78">
        <v>15547</v>
      </c>
      <c r="BD241" s="78">
        <v>1</v>
      </c>
      <c r="BE241" s="78">
        <v>0</v>
      </c>
      <c r="BF241" s="78">
        <v>0</v>
      </c>
      <c r="BG241" s="78">
        <v>0</v>
      </c>
      <c r="BH241" s="78">
        <v>0</v>
      </c>
      <c r="BI241" s="78">
        <v>0</v>
      </c>
      <c r="BJ241" s="78">
        <v>0</v>
      </c>
      <c r="BK241" s="78">
        <v>0</v>
      </c>
      <c r="BL241" s="78">
        <v>0</v>
      </c>
      <c r="BM241" s="78">
        <v>2070</v>
      </c>
      <c r="BN241" s="78">
        <v>486</v>
      </c>
      <c r="BO241" s="78">
        <v>259</v>
      </c>
      <c r="BP241" s="78">
        <v>33352.25</v>
      </c>
      <c r="BQ241" s="78">
        <v>9252.9599999999991</v>
      </c>
      <c r="BR241" s="78">
        <v>821.31298992161305</v>
      </c>
      <c r="BS241" s="78">
        <v>1197</v>
      </c>
      <c r="BT241" s="78">
        <v>414.33333333333297</v>
      </c>
      <c r="BU241" s="78">
        <v>316.33333333333297</v>
      </c>
      <c r="BV241" s="78">
        <f t="shared" si="13"/>
        <v>3974</v>
      </c>
      <c r="BW241" s="78">
        <v>1164</v>
      </c>
      <c r="BX241" s="78">
        <v>15305.3752570781</v>
      </c>
      <c r="BY241" s="78">
        <v>1.194</v>
      </c>
      <c r="BZ241" s="78">
        <v>89564</v>
      </c>
      <c r="CA241" s="78">
        <v>12269</v>
      </c>
      <c r="CB241" s="78">
        <v>2461</v>
      </c>
      <c r="CC241" s="78">
        <v>2233</v>
      </c>
      <c r="CD241" s="78">
        <v>2120</v>
      </c>
      <c r="CE241" s="78">
        <v>1180</v>
      </c>
      <c r="CF241" s="78">
        <v>1229.6697986577201</v>
      </c>
      <c r="CG241" s="78">
        <v>808.497986577181</v>
      </c>
      <c r="CH241" s="78">
        <v>289.42147651006701</v>
      </c>
      <c r="CI241" s="78">
        <v>3090.92</v>
      </c>
      <c r="CJ241" s="78">
        <v>2032.2550000000001</v>
      </c>
      <c r="CK241" s="78">
        <v>727.495</v>
      </c>
      <c r="CL241" s="78">
        <v>256723</v>
      </c>
    </row>
    <row r="242" spans="1:90" x14ac:dyDescent="0.35">
      <c r="A242" s="72">
        <v>614</v>
      </c>
      <c r="B242" s="72" t="s">
        <v>342</v>
      </c>
      <c r="C242" s="72">
        <v>8</v>
      </c>
      <c r="D242" s="78">
        <v>2134800000</v>
      </c>
      <c r="E242" s="78">
        <v>161350000</v>
      </c>
      <c r="F242" s="78">
        <v>172900000</v>
      </c>
      <c r="G242" s="78">
        <v>14900</v>
      </c>
      <c r="H242" s="78">
        <v>2</v>
      </c>
      <c r="I242" s="78">
        <f t="shared" si="11"/>
        <v>172.9</v>
      </c>
      <c r="J242" s="78">
        <v>2404</v>
      </c>
      <c r="K242" s="78">
        <v>4070</v>
      </c>
      <c r="L242" s="78">
        <v>1324</v>
      </c>
      <c r="M242" s="78">
        <v>1590</v>
      </c>
      <c r="N242" s="78">
        <f t="shared" si="12"/>
        <v>869.3</v>
      </c>
      <c r="O242" s="78">
        <v>116.333333333333</v>
      </c>
      <c r="P242" s="78">
        <v>7</v>
      </c>
      <c r="Q242" s="78">
        <v>575.33333333333303</v>
      </c>
      <c r="R242" s="78">
        <v>2069</v>
      </c>
      <c r="S242" s="78">
        <v>295</v>
      </c>
      <c r="T242" s="78">
        <v>0</v>
      </c>
      <c r="U242" s="78">
        <v>404</v>
      </c>
      <c r="V242" s="78">
        <v>6855</v>
      </c>
      <c r="W242" s="78">
        <v>11920</v>
      </c>
      <c r="X242" s="78">
        <v>900</v>
      </c>
      <c r="Y242" s="78">
        <v>480.94</v>
      </c>
      <c r="Z242" s="78">
        <v>0</v>
      </c>
      <c r="AA242" s="78">
        <v>0</v>
      </c>
      <c r="AB242" s="399">
        <f>IF((J242-'[2]Basisgegevens aanvullend'!D242*1.1)&lt;=0,0,J242-'[2]Basisgegevens aanvullend'!D242*1.1)</f>
        <v>0</v>
      </c>
      <c r="AC242" s="399">
        <v>0</v>
      </c>
      <c r="AD242" s="78">
        <v>5320</v>
      </c>
      <c r="AE242" s="78">
        <v>5852</v>
      </c>
      <c r="AF242" s="78">
        <v>520</v>
      </c>
      <c r="AG242" s="78">
        <v>3909</v>
      </c>
      <c r="AH242" s="78">
        <v>77</v>
      </c>
      <c r="AI242" s="78">
        <v>35</v>
      </c>
      <c r="AJ242" s="78">
        <v>81.62</v>
      </c>
      <c r="AK242" s="78">
        <v>38.5</v>
      </c>
      <c r="AL242" s="78">
        <v>113</v>
      </c>
      <c r="AM242" s="78">
        <v>7207</v>
      </c>
      <c r="AN242" s="78">
        <v>7639.42</v>
      </c>
      <c r="AO242" s="78">
        <v>0</v>
      </c>
      <c r="AP242" s="78">
        <v>0</v>
      </c>
      <c r="AQ242" s="78">
        <v>0</v>
      </c>
      <c r="AR242" s="78">
        <v>0</v>
      </c>
      <c r="AS242" s="78">
        <v>0</v>
      </c>
      <c r="AT242" s="78">
        <v>0</v>
      </c>
      <c r="AU242" s="400">
        <v>1.92802E-4</v>
      </c>
      <c r="AV242" s="400">
        <v>6.8749000000000002E-5</v>
      </c>
      <c r="AW242" s="78">
        <v>4468.34</v>
      </c>
      <c r="AX242" s="78">
        <v>0</v>
      </c>
      <c r="AY242" s="78">
        <v>1966.8</v>
      </c>
      <c r="AZ242" s="78">
        <v>6791.7465753424704</v>
      </c>
      <c r="BA242" s="78">
        <v>6</v>
      </c>
      <c r="BB242" s="78">
        <v>6.6</v>
      </c>
      <c r="BC242" s="78">
        <v>1909</v>
      </c>
      <c r="BD242" s="78">
        <v>1</v>
      </c>
      <c r="BE242" s="78">
        <v>0</v>
      </c>
      <c r="BF242" s="78">
        <v>0</v>
      </c>
      <c r="BG242" s="78">
        <v>0</v>
      </c>
      <c r="BH242" s="78">
        <v>0</v>
      </c>
      <c r="BI242" s="78">
        <v>0</v>
      </c>
      <c r="BJ242" s="78">
        <v>0</v>
      </c>
      <c r="BK242" s="78">
        <v>0</v>
      </c>
      <c r="BL242" s="78">
        <v>0</v>
      </c>
      <c r="BM242" s="78">
        <v>209.148</v>
      </c>
      <c r="BN242" s="78">
        <v>30</v>
      </c>
      <c r="BO242" s="78">
        <v>23</v>
      </c>
      <c r="BP242" s="78">
        <v>6317.74</v>
      </c>
      <c r="BQ242" s="78">
        <v>1273.0899999999999</v>
      </c>
      <c r="BR242" s="78">
        <v>71.734283582089503</v>
      </c>
      <c r="BS242" s="78">
        <v>136</v>
      </c>
      <c r="BT242" s="78">
        <v>35.6666666666667</v>
      </c>
      <c r="BU242" s="78">
        <v>22.3333333333333</v>
      </c>
      <c r="BV242" s="78">
        <f t="shared" si="13"/>
        <v>459</v>
      </c>
      <c r="BW242" s="78">
        <v>122</v>
      </c>
      <c r="BX242" s="78">
        <v>2671.58183422714</v>
      </c>
      <c r="BY242" s="78">
        <v>7.0000000000000007E-2</v>
      </c>
      <c r="BZ242" s="78">
        <v>10830</v>
      </c>
      <c r="CA242" s="78">
        <v>2198</v>
      </c>
      <c r="CB242" s="78">
        <v>548</v>
      </c>
      <c r="CC242" s="78">
        <v>386</v>
      </c>
      <c r="CD242" s="78">
        <v>438</v>
      </c>
      <c r="CE242" s="78">
        <v>300</v>
      </c>
      <c r="CF242" s="78">
        <v>161.50863049812699</v>
      </c>
      <c r="CG242" s="78">
        <v>112.89923685306</v>
      </c>
      <c r="CH242" s="78">
        <v>51.3836270292771</v>
      </c>
      <c r="CI242" s="78">
        <v>332.20589999999999</v>
      </c>
      <c r="CJ242" s="78">
        <v>232.2216</v>
      </c>
      <c r="CK242" s="78">
        <v>105.6906</v>
      </c>
      <c r="CL242" s="78">
        <v>10426</v>
      </c>
    </row>
    <row r="243" spans="1:90" x14ac:dyDescent="0.35">
      <c r="A243" s="72">
        <v>637</v>
      </c>
      <c r="B243" s="72" t="s">
        <v>358</v>
      </c>
      <c r="C243" s="72">
        <v>8</v>
      </c>
      <c r="D243" s="78">
        <v>11557200000</v>
      </c>
      <c r="E243" s="78">
        <v>1362200000</v>
      </c>
      <c r="F243" s="78">
        <v>1377250000</v>
      </c>
      <c r="G243" s="78">
        <v>125267</v>
      </c>
      <c r="H243" s="78">
        <v>1</v>
      </c>
      <c r="I243" s="78">
        <f t="shared" si="11"/>
        <v>1377.25</v>
      </c>
      <c r="J243" s="78">
        <v>25415</v>
      </c>
      <c r="K243" s="78">
        <v>24742</v>
      </c>
      <c r="L243" s="78">
        <v>6904</v>
      </c>
      <c r="M243" s="78">
        <v>15649</v>
      </c>
      <c r="N243" s="78">
        <f t="shared" si="12"/>
        <v>9978.2999999999993</v>
      </c>
      <c r="O243" s="78">
        <v>2789</v>
      </c>
      <c r="P243" s="78">
        <v>160</v>
      </c>
      <c r="Q243" s="78">
        <v>8698</v>
      </c>
      <c r="R243" s="78">
        <v>19401</v>
      </c>
      <c r="S243" s="78">
        <v>16450</v>
      </c>
      <c r="T243" s="78">
        <v>0</v>
      </c>
      <c r="U243" s="78">
        <v>5759</v>
      </c>
      <c r="V243" s="78">
        <v>56780</v>
      </c>
      <c r="W243" s="78">
        <v>135060</v>
      </c>
      <c r="X243" s="78">
        <v>134200</v>
      </c>
      <c r="Y243" s="78">
        <v>3499.6997999999999</v>
      </c>
      <c r="Z243" s="78">
        <v>5944</v>
      </c>
      <c r="AA243" s="78">
        <v>0</v>
      </c>
      <c r="AB243" s="399">
        <f>IF((J243-'[2]Basisgegevens aanvullend'!D243*1.1)&lt;=0,0,J243-'[2]Basisgegevens aanvullend'!D243*1.1)</f>
        <v>0</v>
      </c>
      <c r="AC243" s="399">
        <v>0</v>
      </c>
      <c r="AD243" s="78">
        <v>3404</v>
      </c>
      <c r="AE243" s="78">
        <v>4050.76</v>
      </c>
      <c r="AF243" s="78">
        <v>301</v>
      </c>
      <c r="AG243" s="78">
        <v>0</v>
      </c>
      <c r="AH243" s="78">
        <v>432</v>
      </c>
      <c r="AI243" s="78">
        <v>17</v>
      </c>
      <c r="AJ243" s="78">
        <v>514.08000000000004</v>
      </c>
      <c r="AK243" s="78">
        <v>20.23</v>
      </c>
      <c r="AL243" s="78">
        <v>449</v>
      </c>
      <c r="AM243" s="78">
        <v>56707</v>
      </c>
      <c r="AN243" s="78">
        <v>67481.33</v>
      </c>
      <c r="AO243" s="78">
        <v>0</v>
      </c>
      <c r="AP243" s="78">
        <v>0</v>
      </c>
      <c r="AQ243" s="78">
        <v>0</v>
      </c>
      <c r="AR243" s="78">
        <v>0</v>
      </c>
      <c r="AS243" s="78">
        <v>0</v>
      </c>
      <c r="AT243" s="78">
        <v>0</v>
      </c>
      <c r="AU243" s="400">
        <v>2.10132E-4</v>
      </c>
      <c r="AV243" s="400">
        <v>2.9735289999999999E-3</v>
      </c>
      <c r="AW243" s="78">
        <v>142504.69099999999</v>
      </c>
      <c r="AX243" s="78">
        <v>0</v>
      </c>
      <c r="AY243" s="78">
        <v>3359.37</v>
      </c>
      <c r="AZ243" s="78">
        <v>116558.49225641</v>
      </c>
      <c r="BA243" s="78">
        <v>1</v>
      </c>
      <c r="BB243" s="78">
        <v>1.19</v>
      </c>
      <c r="BC243" s="78">
        <v>12086</v>
      </c>
      <c r="BD243" s="78">
        <v>1</v>
      </c>
      <c r="BE243" s="78">
        <v>0</v>
      </c>
      <c r="BF243" s="78">
        <v>0</v>
      </c>
      <c r="BG243" s="78">
        <v>0</v>
      </c>
      <c r="BH243" s="78">
        <v>0</v>
      </c>
      <c r="BI243" s="78">
        <v>0</v>
      </c>
      <c r="BJ243" s="78">
        <v>0</v>
      </c>
      <c r="BK243" s="78">
        <v>0</v>
      </c>
      <c r="BL243" s="78">
        <v>0</v>
      </c>
      <c r="BM243" s="78">
        <v>4269.72</v>
      </c>
      <c r="BN243" s="78">
        <v>362</v>
      </c>
      <c r="BO243" s="78">
        <v>380</v>
      </c>
      <c r="BP243" s="78">
        <v>39292.400000000001</v>
      </c>
      <c r="BQ243" s="78">
        <v>9077.0400000000009</v>
      </c>
      <c r="BR243" s="78">
        <v>1138.0990229220799</v>
      </c>
      <c r="BS243" s="78">
        <v>2412</v>
      </c>
      <c r="BT243" s="78">
        <v>1040</v>
      </c>
      <c r="BU243" s="78">
        <v>1014.33333333333</v>
      </c>
      <c r="BV243" s="78">
        <f t="shared" si="13"/>
        <v>5909</v>
      </c>
      <c r="BW243" s="78">
        <v>1514</v>
      </c>
      <c r="BX243" s="78">
        <v>22757.5299006266</v>
      </c>
      <c r="BY243" s="78">
        <v>6.7569999999999997</v>
      </c>
      <c r="BZ243" s="78">
        <v>100525</v>
      </c>
      <c r="CA243" s="78">
        <v>15586</v>
      </c>
      <c r="CB243" s="78">
        <v>2252</v>
      </c>
      <c r="CC243" s="78">
        <v>3690</v>
      </c>
      <c r="CD243" s="78">
        <v>2542</v>
      </c>
      <c r="CE243" s="78">
        <v>1234</v>
      </c>
      <c r="CF243" s="78">
        <v>1794.99247535578</v>
      </c>
      <c r="CG243" s="78">
        <v>882.80337700812902</v>
      </c>
      <c r="CH243" s="78">
        <v>303.35918316962602</v>
      </c>
      <c r="CI243" s="78">
        <v>4346.6460999999999</v>
      </c>
      <c r="CJ243" s="78">
        <v>2137.7437</v>
      </c>
      <c r="CK243" s="78">
        <v>734.59640000000002</v>
      </c>
      <c r="CL243" s="78">
        <v>48382</v>
      </c>
    </row>
    <row r="244" spans="1:90" x14ac:dyDescent="0.35">
      <c r="A244" s="72">
        <v>638</v>
      </c>
      <c r="B244" s="72" t="s">
        <v>359</v>
      </c>
      <c r="C244" s="72">
        <v>8</v>
      </c>
      <c r="D244" s="78">
        <v>1116000000</v>
      </c>
      <c r="E244" s="78">
        <v>292600000</v>
      </c>
      <c r="F244" s="78">
        <v>302050000</v>
      </c>
      <c r="G244" s="78">
        <v>8843</v>
      </c>
      <c r="H244" s="78">
        <v>2</v>
      </c>
      <c r="I244" s="78">
        <f t="shared" si="11"/>
        <v>302.05</v>
      </c>
      <c r="J244" s="78">
        <v>1680</v>
      </c>
      <c r="K244" s="78">
        <v>1839</v>
      </c>
      <c r="L244" s="78">
        <v>595</v>
      </c>
      <c r="M244" s="78">
        <v>885</v>
      </c>
      <c r="N244" s="78">
        <f t="shared" si="12"/>
        <v>480.59999999999997</v>
      </c>
      <c r="O244" s="78">
        <v>47.3333333333333</v>
      </c>
      <c r="P244" s="78">
        <v>5</v>
      </c>
      <c r="Q244" s="78">
        <v>530.33333333333303</v>
      </c>
      <c r="R244" s="78">
        <v>988</v>
      </c>
      <c r="S244" s="78">
        <v>325</v>
      </c>
      <c r="T244" s="78">
        <v>0</v>
      </c>
      <c r="U244" s="78">
        <v>225</v>
      </c>
      <c r="V244" s="78">
        <v>3983</v>
      </c>
      <c r="W244" s="78">
        <v>4250</v>
      </c>
      <c r="X244" s="78">
        <v>170</v>
      </c>
      <c r="Y244" s="78">
        <v>0</v>
      </c>
      <c r="Z244" s="78">
        <v>0</v>
      </c>
      <c r="AA244" s="78">
        <v>0</v>
      </c>
      <c r="AB244" s="399">
        <f>IF((J244-'[2]Basisgegevens aanvullend'!D244*1.1)&lt;=0,0,J244-'[2]Basisgegevens aanvullend'!D244*1.1)</f>
        <v>0</v>
      </c>
      <c r="AC244" s="399">
        <v>0</v>
      </c>
      <c r="AD244" s="78">
        <v>2119</v>
      </c>
      <c r="AE244" s="78">
        <v>2818.27</v>
      </c>
      <c r="AF244" s="78">
        <v>76</v>
      </c>
      <c r="AG244" s="78">
        <v>0</v>
      </c>
      <c r="AH244" s="78">
        <v>75</v>
      </c>
      <c r="AI244" s="78">
        <v>13</v>
      </c>
      <c r="AJ244" s="78">
        <v>97.5</v>
      </c>
      <c r="AK244" s="78">
        <v>17.29</v>
      </c>
      <c r="AL244" s="78">
        <v>88</v>
      </c>
      <c r="AM244" s="78">
        <v>4044</v>
      </c>
      <c r="AN244" s="78">
        <v>5257.2</v>
      </c>
      <c r="AO244" s="78">
        <v>0</v>
      </c>
      <c r="AP244" s="78">
        <v>0</v>
      </c>
      <c r="AQ244" s="78">
        <v>0</v>
      </c>
      <c r="AR244" s="78">
        <v>0</v>
      </c>
      <c r="AS244" s="78">
        <v>0</v>
      </c>
      <c r="AT244" s="78">
        <v>0</v>
      </c>
      <c r="AU244" s="400">
        <v>9.7362999999999996E-5</v>
      </c>
      <c r="AV244" s="400">
        <v>4.3390999999999998E-5</v>
      </c>
      <c r="AW244" s="78">
        <v>3251.3760000000002</v>
      </c>
      <c r="AX244" s="78">
        <v>0</v>
      </c>
      <c r="AY244" s="78">
        <v>1856.68</v>
      </c>
      <c r="AZ244" s="78">
        <v>15388.6732027335</v>
      </c>
      <c r="BA244" s="78">
        <v>4</v>
      </c>
      <c r="BB244" s="78">
        <v>5.32</v>
      </c>
      <c r="BC244" s="78">
        <v>1126</v>
      </c>
      <c r="BD244" s="78">
        <v>1</v>
      </c>
      <c r="BE244" s="78">
        <v>0</v>
      </c>
      <c r="BF244" s="78">
        <v>0</v>
      </c>
      <c r="BG244" s="78">
        <v>0</v>
      </c>
      <c r="BH244" s="78">
        <v>0</v>
      </c>
      <c r="BI244" s="78">
        <v>0</v>
      </c>
      <c r="BJ244" s="78">
        <v>0</v>
      </c>
      <c r="BK244" s="78">
        <v>0</v>
      </c>
      <c r="BL244" s="78">
        <v>0</v>
      </c>
      <c r="BM244" s="78">
        <v>97.44</v>
      </c>
      <c r="BN244" s="78">
        <v>10</v>
      </c>
      <c r="BO244" s="78">
        <v>9</v>
      </c>
      <c r="BP244" s="78">
        <v>2731.44</v>
      </c>
      <c r="BQ244" s="78">
        <v>587.14</v>
      </c>
      <c r="BR244" s="78">
        <v>77.463362831858404</v>
      </c>
      <c r="BS244" s="78">
        <v>96</v>
      </c>
      <c r="BT244" s="78">
        <v>19.6666666666667</v>
      </c>
      <c r="BU244" s="78">
        <v>15.6666666666667</v>
      </c>
      <c r="BV244" s="78">
        <f t="shared" si="13"/>
        <v>482.99999999999972</v>
      </c>
      <c r="BW244" s="78">
        <v>298</v>
      </c>
      <c r="BX244" s="78">
        <v>1297.3158861127299</v>
      </c>
      <c r="BY244" s="78">
        <v>4.3999999999999997E-2</v>
      </c>
      <c r="BZ244" s="78">
        <v>7004</v>
      </c>
      <c r="CA244" s="78">
        <v>1034</v>
      </c>
      <c r="CB244" s="78">
        <v>210</v>
      </c>
      <c r="CC244" s="78">
        <v>197</v>
      </c>
      <c r="CD244" s="78">
        <v>159</v>
      </c>
      <c r="CE244" s="78">
        <v>100</v>
      </c>
      <c r="CF244" s="78">
        <v>71.781008902077104</v>
      </c>
      <c r="CG244" s="78">
        <v>46.586350148367998</v>
      </c>
      <c r="CH244" s="78">
        <v>17.945252225519301</v>
      </c>
      <c r="CI244" s="78">
        <v>200.04480000000001</v>
      </c>
      <c r="CJ244" s="78">
        <v>129.8304</v>
      </c>
      <c r="CK244" s="78">
        <v>50.011200000000002</v>
      </c>
      <c r="CL244" s="78">
        <v>115705</v>
      </c>
    </row>
    <row r="245" spans="1:90" x14ac:dyDescent="0.35">
      <c r="A245" s="72">
        <v>1892</v>
      </c>
      <c r="B245" s="72" t="s">
        <v>360</v>
      </c>
      <c r="C245" s="72">
        <v>8</v>
      </c>
      <c r="D245" s="78">
        <v>4556800000</v>
      </c>
      <c r="E245" s="78">
        <v>710150000</v>
      </c>
      <c r="F245" s="78">
        <v>725900000</v>
      </c>
      <c r="G245" s="78">
        <v>45064</v>
      </c>
      <c r="H245" s="78">
        <v>5</v>
      </c>
      <c r="I245" s="78">
        <f t="shared" si="11"/>
        <v>725.9</v>
      </c>
      <c r="J245" s="78">
        <v>9843</v>
      </c>
      <c r="K245" s="78">
        <v>8386</v>
      </c>
      <c r="L245" s="78">
        <v>2523</v>
      </c>
      <c r="M245" s="78">
        <v>4441</v>
      </c>
      <c r="N245" s="78">
        <f t="shared" si="12"/>
        <v>2531</v>
      </c>
      <c r="O245" s="78">
        <v>485.33333333333297</v>
      </c>
      <c r="P245" s="78">
        <v>33</v>
      </c>
      <c r="Q245" s="78">
        <v>1963.3333333333301</v>
      </c>
      <c r="R245" s="78">
        <v>4899</v>
      </c>
      <c r="S245" s="78">
        <v>2675</v>
      </c>
      <c r="T245" s="78">
        <v>0</v>
      </c>
      <c r="U245" s="78">
        <v>1376</v>
      </c>
      <c r="V245" s="78">
        <v>18860</v>
      </c>
      <c r="W245" s="78">
        <v>31110</v>
      </c>
      <c r="X245" s="78">
        <v>4230</v>
      </c>
      <c r="Y245" s="78">
        <v>0</v>
      </c>
      <c r="Z245" s="78">
        <v>628.79999999999995</v>
      </c>
      <c r="AA245" s="78">
        <v>0</v>
      </c>
      <c r="AB245" s="399">
        <f>IF((J245-'[2]Basisgegevens aanvullend'!D245*1.1)&lt;=0,0,J245-'[2]Basisgegevens aanvullend'!D245*1.1)</f>
        <v>0</v>
      </c>
      <c r="AC245" s="399">
        <v>128.19999999999999</v>
      </c>
      <c r="AD245" s="78">
        <v>5809</v>
      </c>
      <c r="AE245" s="78">
        <v>8016.42</v>
      </c>
      <c r="AF245" s="78">
        <v>596</v>
      </c>
      <c r="AG245" s="78">
        <v>0</v>
      </c>
      <c r="AH245" s="78">
        <v>230</v>
      </c>
      <c r="AI245" s="78">
        <v>40</v>
      </c>
      <c r="AJ245" s="78">
        <v>331.2</v>
      </c>
      <c r="AK245" s="78">
        <v>53.6</v>
      </c>
      <c r="AL245" s="78">
        <v>271</v>
      </c>
      <c r="AM245" s="78">
        <v>19100</v>
      </c>
      <c r="AN245" s="78">
        <v>27504</v>
      </c>
      <c r="AO245" s="78">
        <v>0</v>
      </c>
      <c r="AP245" s="78">
        <v>0</v>
      </c>
      <c r="AQ245" s="78">
        <v>0</v>
      </c>
      <c r="AR245" s="78">
        <v>0</v>
      </c>
      <c r="AS245" s="78">
        <v>0</v>
      </c>
      <c r="AT245" s="78">
        <v>0</v>
      </c>
      <c r="AU245" s="400">
        <v>2.5454699999999999E-4</v>
      </c>
      <c r="AV245" s="400">
        <v>4.1769300000000001E-4</v>
      </c>
      <c r="AW245" s="78">
        <v>22748.1</v>
      </c>
      <c r="AX245" s="78">
        <v>0</v>
      </c>
      <c r="AY245" s="78">
        <v>6474.96</v>
      </c>
      <c r="AZ245" s="78">
        <v>109191.232899297</v>
      </c>
      <c r="BA245" s="78">
        <v>12</v>
      </c>
      <c r="BB245" s="78">
        <v>16.079999999999998</v>
      </c>
      <c r="BC245" s="78">
        <v>5630</v>
      </c>
      <c r="BD245" s="78">
        <v>1</v>
      </c>
      <c r="BE245" s="78">
        <v>0</v>
      </c>
      <c r="BF245" s="78">
        <v>0</v>
      </c>
      <c r="BG245" s="78">
        <v>0</v>
      </c>
      <c r="BH245" s="78">
        <v>0</v>
      </c>
      <c r="BI245" s="78">
        <v>0</v>
      </c>
      <c r="BJ245" s="78">
        <v>0</v>
      </c>
      <c r="BK245" s="78">
        <v>0</v>
      </c>
      <c r="BL245" s="78">
        <v>0</v>
      </c>
      <c r="BM245" s="78">
        <v>728.38199999999995</v>
      </c>
      <c r="BN245" s="78">
        <v>94</v>
      </c>
      <c r="BO245" s="78">
        <v>96</v>
      </c>
      <c r="BP245" s="78">
        <v>14680.8</v>
      </c>
      <c r="BQ245" s="78">
        <v>4188.8</v>
      </c>
      <c r="BR245" s="78">
        <v>357.917731542718</v>
      </c>
      <c r="BS245" s="78">
        <v>589</v>
      </c>
      <c r="BT245" s="78">
        <v>182</v>
      </c>
      <c r="BU245" s="78">
        <v>131.666666666667</v>
      </c>
      <c r="BV245" s="78">
        <f t="shared" si="13"/>
        <v>1477.999999999997</v>
      </c>
      <c r="BW245" s="78">
        <v>481</v>
      </c>
      <c r="BX245" s="78">
        <v>5761.5379104477597</v>
      </c>
      <c r="BY245" s="78">
        <v>0.53200000000000003</v>
      </c>
      <c r="BZ245" s="78">
        <v>36678</v>
      </c>
      <c r="CA245" s="78">
        <v>4988</v>
      </c>
      <c r="CB245" s="78">
        <v>875</v>
      </c>
      <c r="CC245" s="78">
        <v>942</v>
      </c>
      <c r="CD245" s="78">
        <v>818</v>
      </c>
      <c r="CE245" s="78">
        <v>412</v>
      </c>
      <c r="CF245" s="78">
        <v>412.51324607329798</v>
      </c>
      <c r="CG245" s="78">
        <v>233.48806282722501</v>
      </c>
      <c r="CH245" s="78">
        <v>81.363036649214706</v>
      </c>
      <c r="CI245" s="78">
        <v>1059.9765</v>
      </c>
      <c r="CJ245" s="78">
        <v>599.96100000000001</v>
      </c>
      <c r="CK245" s="78">
        <v>209.06700000000001</v>
      </c>
      <c r="CL245" s="78">
        <v>31390</v>
      </c>
    </row>
    <row r="246" spans="1:90" x14ac:dyDescent="0.35">
      <c r="A246" s="72">
        <v>642</v>
      </c>
      <c r="B246" s="72" t="s">
        <v>364</v>
      </c>
      <c r="C246" s="72">
        <v>8</v>
      </c>
      <c r="D246" s="78">
        <v>3918800000</v>
      </c>
      <c r="E246" s="78">
        <v>624750000</v>
      </c>
      <c r="F246" s="78">
        <v>626850000</v>
      </c>
      <c r="G246" s="78">
        <v>44775</v>
      </c>
      <c r="H246" s="78">
        <v>2</v>
      </c>
      <c r="I246" s="78">
        <f t="shared" si="11"/>
        <v>626.85</v>
      </c>
      <c r="J246" s="78">
        <v>8738</v>
      </c>
      <c r="K246" s="78">
        <v>10171</v>
      </c>
      <c r="L246" s="78">
        <v>3452</v>
      </c>
      <c r="M246" s="78">
        <v>6494</v>
      </c>
      <c r="N246" s="78">
        <f t="shared" si="12"/>
        <v>4414.8999999999996</v>
      </c>
      <c r="O246" s="78">
        <v>1059</v>
      </c>
      <c r="P246" s="78">
        <v>81</v>
      </c>
      <c r="Q246" s="78">
        <v>3202</v>
      </c>
      <c r="R246" s="78">
        <v>6999</v>
      </c>
      <c r="S246" s="78">
        <v>4435</v>
      </c>
      <c r="T246" s="78">
        <v>0</v>
      </c>
      <c r="U246" s="78">
        <v>1906</v>
      </c>
      <c r="V246" s="78">
        <v>20696</v>
      </c>
      <c r="W246" s="78">
        <v>42520</v>
      </c>
      <c r="X246" s="78">
        <v>21560</v>
      </c>
      <c r="Y246" s="78">
        <v>603.9</v>
      </c>
      <c r="Z246" s="78">
        <v>2523.1999999999998</v>
      </c>
      <c r="AA246" s="78">
        <v>0</v>
      </c>
      <c r="AB246" s="399">
        <f>IF((J246-'[2]Basisgegevens aanvullend'!D246*1.1)&lt;=0,0,J246-'[2]Basisgegevens aanvullend'!D246*1.1)</f>
        <v>0</v>
      </c>
      <c r="AC246" s="399">
        <v>0</v>
      </c>
      <c r="AD246" s="78">
        <v>2028</v>
      </c>
      <c r="AE246" s="78">
        <v>2717.52</v>
      </c>
      <c r="AF246" s="78">
        <v>249</v>
      </c>
      <c r="AG246" s="78">
        <v>0</v>
      </c>
      <c r="AH246" s="78">
        <v>190</v>
      </c>
      <c r="AI246" s="78">
        <v>41</v>
      </c>
      <c r="AJ246" s="78">
        <v>254.6</v>
      </c>
      <c r="AK246" s="78">
        <v>54.53</v>
      </c>
      <c r="AL246" s="78">
        <v>231</v>
      </c>
      <c r="AM246" s="78">
        <v>20791</v>
      </c>
      <c r="AN246" s="78">
        <v>27859.94</v>
      </c>
      <c r="AO246" s="78">
        <v>0</v>
      </c>
      <c r="AP246" s="78">
        <v>0</v>
      </c>
      <c r="AQ246" s="78">
        <v>0</v>
      </c>
      <c r="AR246" s="78">
        <v>0</v>
      </c>
      <c r="AS246" s="78">
        <v>2450</v>
      </c>
      <c r="AT246" s="78">
        <v>0</v>
      </c>
      <c r="AU246" s="400">
        <v>3.7453299999999997E-4</v>
      </c>
      <c r="AV246" s="400">
        <v>2.1429280000000001E-3</v>
      </c>
      <c r="AW246" s="78">
        <v>43473.981</v>
      </c>
      <c r="AX246" s="78">
        <v>0</v>
      </c>
      <c r="AY246" s="78">
        <v>1725.92</v>
      </c>
      <c r="AZ246" s="78">
        <v>75307.735177865601</v>
      </c>
      <c r="BA246" s="78">
        <v>3</v>
      </c>
      <c r="BB246" s="78">
        <v>3.99</v>
      </c>
      <c r="BC246" s="78">
        <v>4467</v>
      </c>
      <c r="BD246" s="78">
        <v>1</v>
      </c>
      <c r="BE246" s="78">
        <v>0</v>
      </c>
      <c r="BF246" s="78">
        <v>0</v>
      </c>
      <c r="BG246" s="78">
        <v>0</v>
      </c>
      <c r="BH246" s="78">
        <v>0</v>
      </c>
      <c r="BI246" s="78">
        <v>0</v>
      </c>
      <c r="BJ246" s="78">
        <v>0</v>
      </c>
      <c r="BK246" s="78">
        <v>0</v>
      </c>
      <c r="BL246" s="78">
        <v>0</v>
      </c>
      <c r="BM246" s="78">
        <v>1441.77</v>
      </c>
      <c r="BN246" s="78">
        <v>219</v>
      </c>
      <c r="BO246" s="78">
        <v>159</v>
      </c>
      <c r="BP246" s="78">
        <v>13544.05</v>
      </c>
      <c r="BQ246" s="78">
        <v>2970.7</v>
      </c>
      <c r="BR246" s="78">
        <v>471.91453936444299</v>
      </c>
      <c r="BS246" s="78">
        <v>788</v>
      </c>
      <c r="BT246" s="78">
        <v>405</v>
      </c>
      <c r="BU246" s="78">
        <v>387.33333333333297</v>
      </c>
      <c r="BV246" s="78">
        <f t="shared" si="13"/>
        <v>2143</v>
      </c>
      <c r="BW246" s="78">
        <v>474</v>
      </c>
      <c r="BX246" s="78">
        <v>8702.9460848961699</v>
      </c>
      <c r="BY246" s="78">
        <v>2.968</v>
      </c>
      <c r="BZ246" s="78">
        <v>34604</v>
      </c>
      <c r="CA246" s="78">
        <v>5392</v>
      </c>
      <c r="CB246" s="78">
        <v>1327</v>
      </c>
      <c r="CC246" s="78">
        <v>1212</v>
      </c>
      <c r="CD246" s="78">
        <v>1196</v>
      </c>
      <c r="CE246" s="78">
        <v>722</v>
      </c>
      <c r="CF246" s="78">
        <v>717.09476696647596</v>
      </c>
      <c r="CG246" s="78">
        <v>514.516026165168</v>
      </c>
      <c r="CH246" s="78">
        <v>215.74423548650901</v>
      </c>
      <c r="CI246" s="78">
        <v>1543.6267</v>
      </c>
      <c r="CJ246" s="78">
        <v>1107.5533</v>
      </c>
      <c r="CK246" s="78">
        <v>464.41359999999997</v>
      </c>
      <c r="CL246" s="78">
        <v>23814</v>
      </c>
    </row>
    <row r="247" spans="1:90" x14ac:dyDescent="0.35">
      <c r="A247" s="72">
        <v>654</v>
      </c>
      <c r="B247" s="72" t="s">
        <v>57</v>
      </c>
      <c r="C247" s="72">
        <v>9</v>
      </c>
      <c r="D247" s="78">
        <v>1863200000</v>
      </c>
      <c r="E247" s="78">
        <v>786100000</v>
      </c>
      <c r="F247" s="78">
        <v>815150000</v>
      </c>
      <c r="G247" s="78">
        <v>22818</v>
      </c>
      <c r="H247" s="78">
        <v>6</v>
      </c>
      <c r="I247" s="78">
        <f t="shared" si="11"/>
        <v>815.15</v>
      </c>
      <c r="J247" s="78">
        <v>4654</v>
      </c>
      <c r="K247" s="78">
        <v>4824</v>
      </c>
      <c r="L247" s="78">
        <v>1501</v>
      </c>
      <c r="M247" s="78">
        <v>2679</v>
      </c>
      <c r="N247" s="78">
        <f t="shared" si="12"/>
        <v>1655.1</v>
      </c>
      <c r="O247" s="78">
        <v>202</v>
      </c>
      <c r="P247" s="78">
        <v>27</v>
      </c>
      <c r="Q247" s="78">
        <v>1152</v>
      </c>
      <c r="R247" s="78">
        <v>2867</v>
      </c>
      <c r="S247" s="78">
        <v>305</v>
      </c>
      <c r="T247" s="78">
        <v>0</v>
      </c>
      <c r="U247" s="78">
        <v>533</v>
      </c>
      <c r="V247" s="78">
        <v>9824</v>
      </c>
      <c r="W247" s="78">
        <v>18080</v>
      </c>
      <c r="X247" s="78">
        <v>5250</v>
      </c>
      <c r="Y247" s="78">
        <v>0</v>
      </c>
      <c r="Z247" s="78">
        <v>0</v>
      </c>
      <c r="AA247" s="78">
        <v>0</v>
      </c>
      <c r="AB247" s="399">
        <f>IF((J247-'[2]Basisgegevens aanvullend'!D247*1.1)&lt;=0,0,J247-'[2]Basisgegevens aanvullend'!D247*1.1)</f>
        <v>0</v>
      </c>
      <c r="AC247" s="399">
        <v>0</v>
      </c>
      <c r="AD247" s="78">
        <v>14141</v>
      </c>
      <c r="AE247" s="78">
        <v>15837.92</v>
      </c>
      <c r="AF247" s="78">
        <v>279</v>
      </c>
      <c r="AG247" s="78">
        <v>5032</v>
      </c>
      <c r="AH247" s="78">
        <v>120</v>
      </c>
      <c r="AI247" s="78">
        <v>166</v>
      </c>
      <c r="AJ247" s="78">
        <v>134.4</v>
      </c>
      <c r="AK247" s="78">
        <v>185.92</v>
      </c>
      <c r="AL247" s="78">
        <v>287</v>
      </c>
      <c r="AM247" s="78">
        <v>10239</v>
      </c>
      <c r="AN247" s="78">
        <v>11467.68</v>
      </c>
      <c r="AO247" s="78">
        <v>0</v>
      </c>
      <c r="AP247" s="78">
        <v>0</v>
      </c>
      <c r="AQ247" s="78">
        <v>0</v>
      </c>
      <c r="AR247" s="78">
        <v>0</v>
      </c>
      <c r="AS247" s="78">
        <v>0</v>
      </c>
      <c r="AT247" s="78">
        <v>0</v>
      </c>
      <c r="AU247" s="400">
        <v>6.57707E-4</v>
      </c>
      <c r="AV247" s="400">
        <v>2.03131E-4</v>
      </c>
      <c r="AW247" s="78">
        <v>3266.241</v>
      </c>
      <c r="AX247" s="78">
        <v>0</v>
      </c>
      <c r="AY247" s="78">
        <v>2550.2399999999998</v>
      </c>
      <c r="AZ247" s="78">
        <v>5786.4675728155298</v>
      </c>
      <c r="BA247" s="78">
        <v>18</v>
      </c>
      <c r="BB247" s="78">
        <v>20.16</v>
      </c>
      <c r="BC247" s="78">
        <v>2642</v>
      </c>
      <c r="BD247" s="78">
        <v>1</v>
      </c>
      <c r="BE247" s="78">
        <v>0</v>
      </c>
      <c r="BF247" s="78">
        <v>0</v>
      </c>
      <c r="BG247" s="78">
        <v>0</v>
      </c>
      <c r="BH247" s="78">
        <v>0</v>
      </c>
      <c r="BI247" s="78">
        <v>0</v>
      </c>
      <c r="BJ247" s="78">
        <v>0</v>
      </c>
      <c r="BK247" s="78">
        <v>0</v>
      </c>
      <c r="BL247" s="78">
        <v>0</v>
      </c>
      <c r="BM247" s="78">
        <v>353.70400000000001</v>
      </c>
      <c r="BN247" s="78">
        <v>120</v>
      </c>
      <c r="BO247" s="78">
        <v>45</v>
      </c>
      <c r="BP247" s="78">
        <v>6609.51</v>
      </c>
      <c r="BQ247" s="78">
        <v>1543.1</v>
      </c>
      <c r="BR247" s="78">
        <v>177.39271934445401</v>
      </c>
      <c r="BS247" s="78">
        <v>215</v>
      </c>
      <c r="BT247" s="78">
        <v>60.3333333333333</v>
      </c>
      <c r="BU247" s="78">
        <v>48.3333333333333</v>
      </c>
      <c r="BV247" s="78">
        <f t="shared" si="13"/>
        <v>950</v>
      </c>
      <c r="BW247" s="78">
        <v>265</v>
      </c>
      <c r="BX247" s="78">
        <v>3642.9324842781102</v>
      </c>
      <c r="BY247" s="78">
        <v>0.14799999999999999</v>
      </c>
      <c r="BZ247" s="78">
        <v>17994</v>
      </c>
      <c r="CA247" s="78">
        <v>2729</v>
      </c>
      <c r="CB247" s="78">
        <v>594</v>
      </c>
      <c r="CC247" s="78">
        <v>509</v>
      </c>
      <c r="CD247" s="78">
        <v>447</v>
      </c>
      <c r="CE247" s="78">
        <v>304</v>
      </c>
      <c r="CF247" s="78">
        <v>272.85953706416598</v>
      </c>
      <c r="CG247" s="78">
        <v>167.46592440667999</v>
      </c>
      <c r="CH247" s="78">
        <v>70.154644008203903</v>
      </c>
      <c r="CI247" s="78">
        <v>738.5</v>
      </c>
      <c r="CJ247" s="78">
        <v>453.25</v>
      </c>
      <c r="CK247" s="78">
        <v>189.875</v>
      </c>
      <c r="CL247" s="78">
        <v>0</v>
      </c>
    </row>
    <row r="248" spans="1:90" x14ac:dyDescent="0.35">
      <c r="A248" s="72">
        <v>664</v>
      </c>
      <c r="B248" s="72" t="s">
        <v>116</v>
      </c>
      <c r="C248" s="72">
        <v>9</v>
      </c>
      <c r="D248" s="78">
        <v>3522400000</v>
      </c>
      <c r="E248" s="78">
        <v>782600000</v>
      </c>
      <c r="F248" s="78">
        <v>810950000</v>
      </c>
      <c r="G248" s="78">
        <v>38594</v>
      </c>
      <c r="H248" s="78">
        <v>3</v>
      </c>
      <c r="I248" s="78">
        <f t="shared" si="11"/>
        <v>810.95</v>
      </c>
      <c r="J248" s="78">
        <v>6887</v>
      </c>
      <c r="K248" s="78">
        <v>9217</v>
      </c>
      <c r="L248" s="78">
        <v>2975</v>
      </c>
      <c r="M248" s="78">
        <v>6035</v>
      </c>
      <c r="N248" s="78">
        <f t="shared" si="12"/>
        <v>4103.8999999999996</v>
      </c>
      <c r="O248" s="78">
        <v>706.66666666666697</v>
      </c>
      <c r="P248" s="78">
        <v>40</v>
      </c>
      <c r="Q248" s="78">
        <v>2926.6666666666702</v>
      </c>
      <c r="R248" s="78">
        <v>7024</v>
      </c>
      <c r="S248" s="78">
        <v>1435</v>
      </c>
      <c r="T248" s="78">
        <v>0</v>
      </c>
      <c r="U248" s="78">
        <v>1202</v>
      </c>
      <c r="V248" s="78">
        <v>18882</v>
      </c>
      <c r="W248" s="78">
        <v>43640</v>
      </c>
      <c r="X248" s="78">
        <v>51560</v>
      </c>
      <c r="Y248" s="78">
        <v>3435.3</v>
      </c>
      <c r="Z248" s="78">
        <v>4214.3999999999996</v>
      </c>
      <c r="AA248" s="78">
        <v>0</v>
      </c>
      <c r="AB248" s="399">
        <f>IF((J248-'[2]Basisgegevens aanvullend'!D248*1.1)&lt;=0,0,J248-'[2]Basisgegevens aanvullend'!D248*1.1)</f>
        <v>0</v>
      </c>
      <c r="AC248" s="399">
        <v>0</v>
      </c>
      <c r="AD248" s="78">
        <v>9265</v>
      </c>
      <c r="AE248" s="78">
        <v>10747.4</v>
      </c>
      <c r="AF248" s="78">
        <v>619</v>
      </c>
      <c r="AG248" s="78">
        <v>308</v>
      </c>
      <c r="AH248" s="78">
        <v>228</v>
      </c>
      <c r="AI248" s="78">
        <v>45</v>
      </c>
      <c r="AJ248" s="78">
        <v>278.16000000000003</v>
      </c>
      <c r="AK248" s="78">
        <v>51.75</v>
      </c>
      <c r="AL248" s="78">
        <v>273</v>
      </c>
      <c r="AM248" s="78">
        <v>19311</v>
      </c>
      <c r="AN248" s="78">
        <v>23559.42</v>
      </c>
      <c r="AO248" s="78">
        <v>21</v>
      </c>
      <c r="AP248" s="78">
        <v>0</v>
      </c>
      <c r="AQ248" s="78">
        <v>0</v>
      </c>
      <c r="AR248" s="78">
        <v>2350</v>
      </c>
      <c r="AS248" s="78">
        <v>2371</v>
      </c>
      <c r="AT248" s="78">
        <v>2371</v>
      </c>
      <c r="AU248" s="400">
        <v>1.723544E-3</v>
      </c>
      <c r="AV248" s="400">
        <v>1.8454540000000001E-3</v>
      </c>
      <c r="AW248" s="78">
        <v>26031.227999999999</v>
      </c>
      <c r="AX248" s="78">
        <v>0</v>
      </c>
      <c r="AY248" s="78">
        <v>2969.6</v>
      </c>
      <c r="AZ248" s="78">
        <v>16867.655297450401</v>
      </c>
      <c r="BA248" s="78">
        <v>7</v>
      </c>
      <c r="BB248" s="78">
        <v>8.0500000000000007</v>
      </c>
      <c r="BC248" s="78">
        <v>4771</v>
      </c>
      <c r="BD248" s="78">
        <v>1</v>
      </c>
      <c r="BE248" s="78">
        <v>0</v>
      </c>
      <c r="BF248" s="78">
        <v>0</v>
      </c>
      <c r="BG248" s="78">
        <v>0</v>
      </c>
      <c r="BH248" s="78">
        <v>0</v>
      </c>
      <c r="BI248" s="78">
        <v>0</v>
      </c>
      <c r="BJ248" s="78">
        <v>0</v>
      </c>
      <c r="BK248" s="78">
        <v>0</v>
      </c>
      <c r="BL248" s="78">
        <v>0</v>
      </c>
      <c r="BM248" s="78">
        <v>695.58699999999999</v>
      </c>
      <c r="BN248" s="78">
        <v>121</v>
      </c>
      <c r="BO248" s="78">
        <v>85</v>
      </c>
      <c r="BP248" s="78">
        <v>11881.32</v>
      </c>
      <c r="BQ248" s="78">
        <v>2511.96</v>
      </c>
      <c r="BR248" s="78">
        <v>307.73799346893099</v>
      </c>
      <c r="BS248" s="78">
        <v>438</v>
      </c>
      <c r="BT248" s="78">
        <v>160.666666666667</v>
      </c>
      <c r="BU248" s="78">
        <v>145</v>
      </c>
      <c r="BV248" s="78">
        <f t="shared" si="13"/>
        <v>2220.0000000000032</v>
      </c>
      <c r="BW248" s="78">
        <v>702</v>
      </c>
      <c r="BX248" s="78">
        <v>7868.5465847382002</v>
      </c>
      <c r="BY248" s="78">
        <v>1.8129999999999999</v>
      </c>
      <c r="BZ248" s="78">
        <v>29377</v>
      </c>
      <c r="CA248" s="78">
        <v>4944</v>
      </c>
      <c r="CB248" s="78">
        <v>1298</v>
      </c>
      <c r="CC248" s="78">
        <v>1152</v>
      </c>
      <c r="CD248" s="78">
        <v>955</v>
      </c>
      <c r="CE248" s="78">
        <v>644</v>
      </c>
      <c r="CF248" s="78">
        <v>654.97487442390297</v>
      </c>
      <c r="CG248" s="78">
        <v>431.83288281290498</v>
      </c>
      <c r="CH248" s="78">
        <v>186.37669204080601</v>
      </c>
      <c r="CI248" s="78">
        <v>1384.4344000000001</v>
      </c>
      <c r="CJ248" s="78">
        <v>912.77440000000001</v>
      </c>
      <c r="CK248" s="78">
        <v>393.94839999999999</v>
      </c>
      <c r="CL248" s="78">
        <v>95475</v>
      </c>
    </row>
    <row r="249" spans="1:90" x14ac:dyDescent="0.35">
      <c r="A249" s="72">
        <v>677</v>
      </c>
      <c r="B249" s="72" t="s">
        <v>161</v>
      </c>
      <c r="C249" s="72">
        <v>9</v>
      </c>
      <c r="D249" s="78">
        <v>2331200000</v>
      </c>
      <c r="E249" s="78">
        <v>287000000</v>
      </c>
      <c r="F249" s="78">
        <v>337050000</v>
      </c>
      <c r="G249" s="78">
        <v>27575</v>
      </c>
      <c r="H249" s="78">
        <v>4</v>
      </c>
      <c r="I249" s="78">
        <f t="shared" si="11"/>
        <v>337.05</v>
      </c>
      <c r="J249" s="78">
        <v>4471</v>
      </c>
      <c r="K249" s="78">
        <v>7056</v>
      </c>
      <c r="L249" s="78">
        <v>2338</v>
      </c>
      <c r="M249" s="78">
        <v>3894</v>
      </c>
      <c r="N249" s="78">
        <f t="shared" si="12"/>
        <v>2511.3999999999996</v>
      </c>
      <c r="O249" s="78">
        <v>276.66666666666703</v>
      </c>
      <c r="P249" s="78">
        <v>26</v>
      </c>
      <c r="Q249" s="78">
        <v>1846.6666666666699</v>
      </c>
      <c r="R249" s="78">
        <v>4282</v>
      </c>
      <c r="S249" s="78">
        <v>395</v>
      </c>
      <c r="T249" s="78">
        <v>0</v>
      </c>
      <c r="U249" s="78">
        <v>748</v>
      </c>
      <c r="V249" s="78">
        <v>13301</v>
      </c>
      <c r="W249" s="78">
        <v>26990</v>
      </c>
      <c r="X249" s="78">
        <v>21050</v>
      </c>
      <c r="Y249" s="78">
        <v>417.2</v>
      </c>
      <c r="Z249" s="78">
        <v>945.6</v>
      </c>
      <c r="AA249" s="78">
        <v>0</v>
      </c>
      <c r="AB249" s="399">
        <f>IF((J249-'[2]Basisgegevens aanvullend'!D249*1.1)&lt;=0,0,J249-'[2]Basisgegevens aanvullend'!D249*1.1)</f>
        <v>0</v>
      </c>
      <c r="AC249" s="399">
        <v>0</v>
      </c>
      <c r="AD249" s="78">
        <v>20121</v>
      </c>
      <c r="AE249" s="78">
        <v>20925.84</v>
      </c>
      <c r="AF249" s="78">
        <v>340</v>
      </c>
      <c r="AG249" s="78">
        <v>4721</v>
      </c>
      <c r="AH249" s="78">
        <v>204</v>
      </c>
      <c r="AI249" s="78">
        <v>88</v>
      </c>
      <c r="AJ249" s="78">
        <v>208.08</v>
      </c>
      <c r="AK249" s="78">
        <v>91.52</v>
      </c>
      <c r="AL249" s="78">
        <v>292</v>
      </c>
      <c r="AM249" s="78">
        <v>13826</v>
      </c>
      <c r="AN249" s="78">
        <v>14102.52</v>
      </c>
      <c r="AO249" s="78">
        <v>15</v>
      </c>
      <c r="AP249" s="78">
        <v>0</v>
      </c>
      <c r="AQ249" s="78">
        <v>0</v>
      </c>
      <c r="AR249" s="78">
        <v>4550</v>
      </c>
      <c r="AS249" s="78">
        <v>874</v>
      </c>
      <c r="AT249" s="78">
        <v>874</v>
      </c>
      <c r="AU249" s="400">
        <v>1.272037E-3</v>
      </c>
      <c r="AV249" s="400">
        <v>3.3927099999999998E-4</v>
      </c>
      <c r="AW249" s="78">
        <v>7065.0860000000002</v>
      </c>
      <c r="AX249" s="78">
        <v>0</v>
      </c>
      <c r="AY249" s="78">
        <v>3101.28</v>
      </c>
      <c r="AZ249" s="78">
        <v>4734.58208298715</v>
      </c>
      <c r="BA249" s="78">
        <v>16</v>
      </c>
      <c r="BB249" s="78">
        <v>16.64</v>
      </c>
      <c r="BC249" s="78">
        <v>2685</v>
      </c>
      <c r="BD249" s="78">
        <v>1</v>
      </c>
      <c r="BE249" s="78">
        <v>0</v>
      </c>
      <c r="BF249" s="78">
        <v>0</v>
      </c>
      <c r="BG249" s="78">
        <v>0</v>
      </c>
      <c r="BH249" s="78">
        <v>0</v>
      </c>
      <c r="BI249" s="78">
        <v>0</v>
      </c>
      <c r="BJ249" s="78">
        <v>0</v>
      </c>
      <c r="BK249" s="78">
        <v>0</v>
      </c>
      <c r="BL249" s="78">
        <v>0</v>
      </c>
      <c r="BM249" s="78">
        <v>388.97699999999998</v>
      </c>
      <c r="BN249" s="78">
        <v>55</v>
      </c>
      <c r="BO249" s="78">
        <v>55</v>
      </c>
      <c r="BP249" s="78">
        <v>8533.7900000000009</v>
      </c>
      <c r="BQ249" s="78">
        <v>1797.45</v>
      </c>
      <c r="BR249" s="78">
        <v>106.130463666925</v>
      </c>
      <c r="BS249" s="78">
        <v>247</v>
      </c>
      <c r="BT249" s="78">
        <v>77</v>
      </c>
      <c r="BU249" s="78">
        <v>51.6666666666667</v>
      </c>
      <c r="BV249" s="78">
        <f t="shared" si="13"/>
        <v>1570.000000000003</v>
      </c>
      <c r="BW249" s="78">
        <v>497</v>
      </c>
      <c r="BX249" s="78">
        <v>4295.2395485556699</v>
      </c>
      <c r="BY249" s="78">
        <v>0.42799999999999999</v>
      </c>
      <c r="BZ249" s="78">
        <v>20519</v>
      </c>
      <c r="CA249" s="78">
        <v>3855</v>
      </c>
      <c r="CB249" s="78">
        <v>863</v>
      </c>
      <c r="CC249" s="78">
        <v>752</v>
      </c>
      <c r="CD249" s="78">
        <v>735</v>
      </c>
      <c r="CE249" s="78">
        <v>454</v>
      </c>
      <c r="CF249" s="78">
        <v>422.50227108346598</v>
      </c>
      <c r="CG249" s="78">
        <v>295.35197454071999</v>
      </c>
      <c r="CH249" s="78">
        <v>117.886489223203</v>
      </c>
      <c r="CI249" s="78">
        <v>1053.9105999999999</v>
      </c>
      <c r="CJ249" s="78">
        <v>736.74059999999997</v>
      </c>
      <c r="CK249" s="78">
        <v>294.06189999999998</v>
      </c>
      <c r="CL249" s="78">
        <v>109681</v>
      </c>
    </row>
    <row r="250" spans="1:90" x14ac:dyDescent="0.35">
      <c r="A250" s="72">
        <v>678</v>
      </c>
      <c r="B250" s="72" t="s">
        <v>165</v>
      </c>
      <c r="C250" s="72">
        <v>9</v>
      </c>
      <c r="D250" s="78">
        <v>1163600000</v>
      </c>
      <c r="E250" s="78">
        <v>168350000</v>
      </c>
      <c r="F250" s="78">
        <v>177450000</v>
      </c>
      <c r="G250" s="78">
        <v>12882</v>
      </c>
      <c r="H250" s="78">
        <v>2</v>
      </c>
      <c r="I250" s="78">
        <f t="shared" si="11"/>
        <v>177.45</v>
      </c>
      <c r="J250" s="78">
        <v>2773</v>
      </c>
      <c r="K250" s="78">
        <v>2772</v>
      </c>
      <c r="L250" s="78">
        <v>876</v>
      </c>
      <c r="M250" s="78">
        <v>1260</v>
      </c>
      <c r="N250" s="78">
        <f t="shared" si="12"/>
        <v>689.4</v>
      </c>
      <c r="O250" s="78">
        <v>81.3333333333333</v>
      </c>
      <c r="P250" s="78">
        <v>12</v>
      </c>
      <c r="Q250" s="78">
        <v>526.33333333333303</v>
      </c>
      <c r="R250" s="78">
        <v>1481</v>
      </c>
      <c r="S250" s="78">
        <v>195</v>
      </c>
      <c r="T250" s="78">
        <v>0</v>
      </c>
      <c r="U250" s="78">
        <v>310</v>
      </c>
      <c r="V250" s="78">
        <v>5458</v>
      </c>
      <c r="W250" s="78">
        <v>12550</v>
      </c>
      <c r="X250" s="78">
        <v>6100</v>
      </c>
      <c r="Y250" s="78">
        <v>464.46</v>
      </c>
      <c r="Z250" s="78">
        <v>289.60000000000002</v>
      </c>
      <c r="AA250" s="78">
        <v>0</v>
      </c>
      <c r="AB250" s="399">
        <f>IF((J250-'[2]Basisgegevens aanvullend'!D250*1.1)&lt;=0,0,J250-'[2]Basisgegevens aanvullend'!D250*1.1)</f>
        <v>0</v>
      </c>
      <c r="AC250" s="399">
        <v>274</v>
      </c>
      <c r="AD250" s="78">
        <v>3708</v>
      </c>
      <c r="AE250" s="78">
        <v>4375.4399999999996</v>
      </c>
      <c r="AF250" s="78">
        <v>112</v>
      </c>
      <c r="AG250" s="78">
        <v>1142</v>
      </c>
      <c r="AH250" s="78">
        <v>92</v>
      </c>
      <c r="AI250" s="78">
        <v>30</v>
      </c>
      <c r="AJ250" s="78">
        <v>106.72</v>
      </c>
      <c r="AK250" s="78">
        <v>35.4</v>
      </c>
      <c r="AL250" s="78">
        <v>122</v>
      </c>
      <c r="AM250" s="78">
        <v>5706</v>
      </c>
      <c r="AN250" s="78">
        <v>6618.96</v>
      </c>
      <c r="AO250" s="78">
        <v>0</v>
      </c>
      <c r="AP250" s="78">
        <v>0</v>
      </c>
      <c r="AQ250" s="78">
        <v>0</v>
      </c>
      <c r="AR250" s="78">
        <v>0</v>
      </c>
      <c r="AS250" s="78">
        <v>0</v>
      </c>
      <c r="AT250" s="78">
        <v>0</v>
      </c>
      <c r="AU250" s="400">
        <v>2.8052699999999998E-4</v>
      </c>
      <c r="AV250" s="400">
        <v>8.8933999999999999E-5</v>
      </c>
      <c r="AW250" s="78">
        <v>3726.018</v>
      </c>
      <c r="AX250" s="78">
        <v>0</v>
      </c>
      <c r="AY250" s="78">
        <v>830.72</v>
      </c>
      <c r="AZ250" s="78">
        <v>4958.1536544502596</v>
      </c>
      <c r="BA250" s="78">
        <v>4</v>
      </c>
      <c r="BB250" s="78">
        <v>4.72</v>
      </c>
      <c r="BC250" s="78">
        <v>1452</v>
      </c>
      <c r="BD250" s="78">
        <v>1</v>
      </c>
      <c r="BE250" s="78">
        <v>0</v>
      </c>
      <c r="BF250" s="78">
        <v>0</v>
      </c>
      <c r="BG250" s="78">
        <v>0</v>
      </c>
      <c r="BH250" s="78">
        <v>0</v>
      </c>
      <c r="BI250" s="78">
        <v>0</v>
      </c>
      <c r="BJ250" s="78">
        <v>0</v>
      </c>
      <c r="BK250" s="78">
        <v>0</v>
      </c>
      <c r="BL250" s="78">
        <v>0</v>
      </c>
      <c r="BM250" s="78">
        <v>188.56399999999999</v>
      </c>
      <c r="BN250" s="78">
        <v>35</v>
      </c>
      <c r="BO250" s="78">
        <v>30</v>
      </c>
      <c r="BP250" s="78">
        <v>3849.84</v>
      </c>
      <c r="BQ250" s="78">
        <v>990.08</v>
      </c>
      <c r="BR250" s="78">
        <v>117.112232024477</v>
      </c>
      <c r="BS250" s="78">
        <v>143</v>
      </c>
      <c r="BT250" s="78">
        <v>34.6666666666667</v>
      </c>
      <c r="BU250" s="78">
        <v>24.6666666666667</v>
      </c>
      <c r="BV250" s="78">
        <f t="shared" si="13"/>
        <v>444.99999999999972</v>
      </c>
      <c r="BW250" s="78">
        <v>103</v>
      </c>
      <c r="BX250" s="78">
        <v>1965.12652225286</v>
      </c>
      <c r="BY250" s="78">
        <v>6.2E-2</v>
      </c>
      <c r="BZ250" s="78">
        <v>10110</v>
      </c>
      <c r="CA250" s="78">
        <v>1551</v>
      </c>
      <c r="CB250" s="78">
        <v>345</v>
      </c>
      <c r="CC250" s="78">
        <v>251</v>
      </c>
      <c r="CD250" s="78">
        <v>265</v>
      </c>
      <c r="CE250" s="78">
        <v>162</v>
      </c>
      <c r="CF250" s="78">
        <v>113.087697160883</v>
      </c>
      <c r="CG250" s="78">
        <v>73.217034700315494</v>
      </c>
      <c r="CH250" s="78">
        <v>29.238485804416399</v>
      </c>
      <c r="CI250" s="78">
        <v>384.97680000000003</v>
      </c>
      <c r="CJ250" s="78">
        <v>249.24780000000001</v>
      </c>
      <c r="CK250" s="78">
        <v>99.534599999999998</v>
      </c>
      <c r="CL250" s="78">
        <v>0</v>
      </c>
    </row>
    <row r="251" spans="1:90" x14ac:dyDescent="0.35">
      <c r="A251" s="72">
        <v>687</v>
      </c>
      <c r="B251" s="72" t="s">
        <v>200</v>
      </c>
      <c r="C251" s="72">
        <v>9</v>
      </c>
      <c r="D251" s="78">
        <v>4148400000</v>
      </c>
      <c r="E251" s="78">
        <v>717850000</v>
      </c>
      <c r="F251" s="78">
        <v>749000000</v>
      </c>
      <c r="G251" s="78">
        <v>48964</v>
      </c>
      <c r="H251" s="78">
        <v>2</v>
      </c>
      <c r="I251" s="78">
        <f t="shared" si="11"/>
        <v>749</v>
      </c>
      <c r="J251" s="78">
        <v>9390</v>
      </c>
      <c r="K251" s="78">
        <v>11184</v>
      </c>
      <c r="L251" s="78">
        <v>3684</v>
      </c>
      <c r="M251" s="78">
        <v>7462</v>
      </c>
      <c r="N251" s="78">
        <f t="shared" si="12"/>
        <v>5027.2999999999993</v>
      </c>
      <c r="O251" s="78">
        <v>1250</v>
      </c>
      <c r="P251" s="78">
        <v>52</v>
      </c>
      <c r="Q251" s="78">
        <v>3538</v>
      </c>
      <c r="R251" s="78">
        <v>9494</v>
      </c>
      <c r="S251" s="78">
        <v>2405</v>
      </c>
      <c r="T251" s="78">
        <v>0</v>
      </c>
      <c r="U251" s="78">
        <v>1706</v>
      </c>
      <c r="V251" s="78">
        <v>24099</v>
      </c>
      <c r="W251" s="78">
        <v>54820</v>
      </c>
      <c r="X251" s="78">
        <v>69380</v>
      </c>
      <c r="Y251" s="78">
        <v>1642.92</v>
      </c>
      <c r="Z251" s="78">
        <v>3325.6</v>
      </c>
      <c r="AA251" s="78">
        <v>0</v>
      </c>
      <c r="AB251" s="399">
        <f>IF((J251-'[2]Basisgegevens aanvullend'!D251*1.1)&lt;=0,0,J251-'[2]Basisgegevens aanvullend'!D251*1.1)</f>
        <v>0</v>
      </c>
      <c r="AC251" s="399">
        <v>0</v>
      </c>
      <c r="AD251" s="78">
        <v>4835</v>
      </c>
      <c r="AE251" s="78">
        <v>5221.8</v>
      </c>
      <c r="AF251" s="78">
        <v>469</v>
      </c>
      <c r="AG251" s="78">
        <v>0</v>
      </c>
      <c r="AH251" s="78">
        <v>256</v>
      </c>
      <c r="AI251" s="78">
        <v>27</v>
      </c>
      <c r="AJ251" s="78">
        <v>286.72000000000003</v>
      </c>
      <c r="AK251" s="78">
        <v>28.62</v>
      </c>
      <c r="AL251" s="78">
        <v>283</v>
      </c>
      <c r="AM251" s="78">
        <v>24347</v>
      </c>
      <c r="AN251" s="78">
        <v>27268.639999999999</v>
      </c>
      <c r="AO251" s="78">
        <v>0</v>
      </c>
      <c r="AP251" s="78">
        <v>0</v>
      </c>
      <c r="AQ251" s="78">
        <v>77</v>
      </c>
      <c r="AR251" s="78">
        <v>8700</v>
      </c>
      <c r="AS251" s="78">
        <v>4287</v>
      </c>
      <c r="AT251" s="78">
        <v>4287</v>
      </c>
      <c r="AU251" s="400">
        <v>3.8971890000000001E-3</v>
      </c>
      <c r="AV251" s="400">
        <v>2.3647749999999999E-3</v>
      </c>
      <c r="AW251" s="78">
        <v>42631.597000000002</v>
      </c>
      <c r="AX251" s="78">
        <v>0</v>
      </c>
      <c r="AY251" s="78">
        <v>1846.8</v>
      </c>
      <c r="AZ251" s="78">
        <v>23449.546425339398</v>
      </c>
      <c r="BA251" s="78">
        <v>5</v>
      </c>
      <c r="BB251" s="78">
        <v>5.3</v>
      </c>
      <c r="BC251" s="78">
        <v>4983</v>
      </c>
      <c r="BD251" s="78">
        <v>1</v>
      </c>
      <c r="BE251" s="78">
        <v>0</v>
      </c>
      <c r="BF251" s="78">
        <v>0</v>
      </c>
      <c r="BG251" s="78">
        <v>0</v>
      </c>
      <c r="BH251" s="78">
        <v>0</v>
      </c>
      <c r="BI251" s="78">
        <v>0</v>
      </c>
      <c r="BJ251" s="78">
        <v>0</v>
      </c>
      <c r="BK251" s="78">
        <v>0</v>
      </c>
      <c r="BL251" s="78">
        <v>0</v>
      </c>
      <c r="BM251" s="78">
        <v>1267.6500000000001</v>
      </c>
      <c r="BN251" s="78">
        <v>196</v>
      </c>
      <c r="BO251" s="78">
        <v>186</v>
      </c>
      <c r="BP251" s="78">
        <v>14630.49</v>
      </c>
      <c r="BQ251" s="78">
        <v>3054</v>
      </c>
      <c r="BR251" s="78">
        <v>398.358859233749</v>
      </c>
      <c r="BS251" s="78">
        <v>658</v>
      </c>
      <c r="BT251" s="78">
        <v>375</v>
      </c>
      <c r="BU251" s="78">
        <v>346</v>
      </c>
      <c r="BV251" s="78">
        <f t="shared" si="13"/>
        <v>2288</v>
      </c>
      <c r="BW251" s="78">
        <v>684</v>
      </c>
      <c r="BX251" s="78">
        <v>7191.2151702101501</v>
      </c>
      <c r="BY251" s="78">
        <v>3.4119999999999999</v>
      </c>
      <c r="BZ251" s="78">
        <v>37780</v>
      </c>
      <c r="CA251" s="78">
        <v>6149</v>
      </c>
      <c r="CB251" s="78">
        <v>1351</v>
      </c>
      <c r="CC251" s="78">
        <v>1555</v>
      </c>
      <c r="CD251" s="78">
        <v>1235</v>
      </c>
      <c r="CE251" s="78">
        <v>702</v>
      </c>
      <c r="CF251" s="78">
        <v>810.04221875385099</v>
      </c>
      <c r="CG251" s="78">
        <v>533.76475541134403</v>
      </c>
      <c r="CH251" s="78">
        <v>198.84543886310399</v>
      </c>
      <c r="CI251" s="78">
        <v>1840.6715999999999</v>
      </c>
      <c r="CJ251" s="78">
        <v>1212.8820000000001</v>
      </c>
      <c r="CK251" s="78">
        <v>451.83960000000002</v>
      </c>
      <c r="CL251" s="78">
        <v>168902</v>
      </c>
    </row>
    <row r="252" spans="1:90" x14ac:dyDescent="0.35">
      <c r="A252" s="72">
        <v>1695</v>
      </c>
      <c r="B252" s="72" t="s">
        <v>218</v>
      </c>
      <c r="C252" s="72">
        <v>9</v>
      </c>
      <c r="D252" s="78">
        <v>1164400000</v>
      </c>
      <c r="E252" s="78">
        <v>178150000</v>
      </c>
      <c r="F252" s="78">
        <v>194250000</v>
      </c>
      <c r="G252" s="78">
        <v>7581</v>
      </c>
      <c r="H252" s="78">
        <v>5</v>
      </c>
      <c r="I252" s="78">
        <f t="shared" si="11"/>
        <v>194.25</v>
      </c>
      <c r="J252" s="78">
        <v>1090</v>
      </c>
      <c r="K252" s="78">
        <v>2181</v>
      </c>
      <c r="L252" s="78">
        <v>692</v>
      </c>
      <c r="M252" s="78">
        <v>1173</v>
      </c>
      <c r="N252" s="78">
        <f t="shared" si="12"/>
        <v>533.29999999999995</v>
      </c>
      <c r="O252" s="78">
        <v>98.3333333333333</v>
      </c>
      <c r="P252" s="78">
        <v>9</v>
      </c>
      <c r="Q252" s="78">
        <v>121.333333333333</v>
      </c>
      <c r="R252" s="78">
        <v>1390</v>
      </c>
      <c r="S252" s="78">
        <v>105</v>
      </c>
      <c r="T252" s="78">
        <v>0</v>
      </c>
      <c r="U252" s="78">
        <v>196</v>
      </c>
      <c r="V252" s="78">
        <v>3824</v>
      </c>
      <c r="W252" s="78">
        <v>5400</v>
      </c>
      <c r="X252" s="78">
        <v>460</v>
      </c>
      <c r="Y252" s="78">
        <v>0</v>
      </c>
      <c r="Z252" s="78">
        <v>0</v>
      </c>
      <c r="AA252" s="78">
        <v>0</v>
      </c>
      <c r="AB252" s="399">
        <f>IF((J252-'[2]Basisgegevens aanvullend'!D252*1.1)&lt;=0,0,J252-'[2]Basisgegevens aanvullend'!D252*1.1)</f>
        <v>0</v>
      </c>
      <c r="AC252" s="399">
        <v>0</v>
      </c>
      <c r="AD252" s="78">
        <v>8592</v>
      </c>
      <c r="AE252" s="78">
        <v>9451.2000000000007</v>
      </c>
      <c r="AF252" s="78">
        <v>722</v>
      </c>
      <c r="AG252" s="78">
        <v>2845</v>
      </c>
      <c r="AH252" s="78">
        <v>73</v>
      </c>
      <c r="AI252" s="78">
        <v>32</v>
      </c>
      <c r="AJ252" s="78">
        <v>78.84</v>
      </c>
      <c r="AK252" s="78">
        <v>35.520000000000003</v>
      </c>
      <c r="AL252" s="78">
        <v>105</v>
      </c>
      <c r="AM252" s="78">
        <v>6397</v>
      </c>
      <c r="AN252" s="78">
        <v>6908.76</v>
      </c>
      <c r="AO252" s="78">
        <v>0</v>
      </c>
      <c r="AP252" s="78">
        <v>0</v>
      </c>
      <c r="AQ252" s="78">
        <v>0</v>
      </c>
      <c r="AR252" s="78">
        <v>0</v>
      </c>
      <c r="AS252" s="78">
        <v>0</v>
      </c>
      <c r="AT252" s="78">
        <v>0</v>
      </c>
      <c r="AU252" s="400">
        <v>5.3019199999999997E-4</v>
      </c>
      <c r="AV252" s="400">
        <v>1.0336900000000001E-4</v>
      </c>
      <c r="AW252" s="78">
        <v>1509.692</v>
      </c>
      <c r="AX252" s="78">
        <v>0</v>
      </c>
      <c r="AY252" s="78">
        <v>1848</v>
      </c>
      <c r="AZ252" s="78">
        <v>1686.8009877603599</v>
      </c>
      <c r="BA252" s="78">
        <v>11</v>
      </c>
      <c r="BB252" s="78">
        <v>12.21</v>
      </c>
      <c r="BC252" s="78">
        <v>1136</v>
      </c>
      <c r="BD252" s="78">
        <v>1</v>
      </c>
      <c r="BE252" s="78">
        <v>0</v>
      </c>
      <c r="BF252" s="78">
        <v>0</v>
      </c>
      <c r="BG252" s="78">
        <v>0</v>
      </c>
      <c r="BH252" s="78">
        <v>0</v>
      </c>
      <c r="BI252" s="78">
        <v>0</v>
      </c>
      <c r="BJ252" s="78">
        <v>0</v>
      </c>
      <c r="BK252" s="78">
        <v>0</v>
      </c>
      <c r="BL252" s="78">
        <v>0</v>
      </c>
      <c r="BM252" s="78">
        <v>110.09</v>
      </c>
      <c r="BN252" s="78">
        <v>32</v>
      </c>
      <c r="BO252" s="78">
        <v>16</v>
      </c>
      <c r="BP252" s="78">
        <v>2371.1999999999998</v>
      </c>
      <c r="BQ252" s="78">
        <v>340.79</v>
      </c>
      <c r="BR252" s="78">
        <v>59.418522114347397</v>
      </c>
      <c r="BS252" s="78">
        <v>60</v>
      </c>
      <c r="BT252" s="78">
        <v>24.3333333333333</v>
      </c>
      <c r="BU252" s="78">
        <v>20.3333333333333</v>
      </c>
      <c r="BV252" s="78">
        <f t="shared" si="13"/>
        <v>22.999999999999702</v>
      </c>
      <c r="BW252" s="78">
        <v>54</v>
      </c>
      <c r="BX252" s="78">
        <v>1427.5498863636401</v>
      </c>
      <c r="BY252" s="78">
        <v>0.217</v>
      </c>
      <c r="BZ252" s="78">
        <v>5400</v>
      </c>
      <c r="CA252" s="78">
        <v>1247</v>
      </c>
      <c r="CB252" s="78">
        <v>242</v>
      </c>
      <c r="CC252" s="78">
        <v>267</v>
      </c>
      <c r="CD252" s="78">
        <v>232</v>
      </c>
      <c r="CE252" s="78">
        <v>92</v>
      </c>
      <c r="CF252" s="78">
        <v>64.776317023604804</v>
      </c>
      <c r="CG252" s="78">
        <v>40.9332968579021</v>
      </c>
      <c r="CH252" s="78">
        <v>11.4213068625918</v>
      </c>
      <c r="CI252" s="78">
        <v>374.28089999999997</v>
      </c>
      <c r="CJ252" s="78">
        <v>236.5147</v>
      </c>
      <c r="CK252" s="78">
        <v>65.992900000000006</v>
      </c>
      <c r="CL252" s="78">
        <v>0</v>
      </c>
    </row>
    <row r="253" spans="1:90" x14ac:dyDescent="0.35">
      <c r="A253" s="72">
        <v>703</v>
      </c>
      <c r="B253" s="72" t="s">
        <v>250</v>
      </c>
      <c r="C253" s="72">
        <v>9</v>
      </c>
      <c r="D253" s="78">
        <v>1592000000</v>
      </c>
      <c r="E253" s="78">
        <v>365750000</v>
      </c>
      <c r="F253" s="78">
        <v>380100000</v>
      </c>
      <c r="G253" s="78">
        <v>22896</v>
      </c>
      <c r="H253" s="78">
        <v>5</v>
      </c>
      <c r="I253" s="78">
        <f t="shared" si="11"/>
        <v>380.1</v>
      </c>
      <c r="J253" s="78">
        <v>5609</v>
      </c>
      <c r="K253" s="78">
        <v>3991</v>
      </c>
      <c r="L253" s="78">
        <v>1278</v>
      </c>
      <c r="M253" s="78">
        <v>2646</v>
      </c>
      <c r="N253" s="78">
        <f t="shared" si="12"/>
        <v>1705.8</v>
      </c>
      <c r="O253" s="78">
        <v>224.666666666667</v>
      </c>
      <c r="P253" s="78">
        <v>23</v>
      </c>
      <c r="Q253" s="78">
        <v>995.66666666666697</v>
      </c>
      <c r="R253" s="78">
        <v>2874</v>
      </c>
      <c r="S253" s="78">
        <v>495</v>
      </c>
      <c r="T253" s="78">
        <v>0</v>
      </c>
      <c r="U253" s="78">
        <v>496</v>
      </c>
      <c r="V253" s="78">
        <v>9359</v>
      </c>
      <c r="W253" s="78">
        <v>21270</v>
      </c>
      <c r="X253" s="78">
        <v>5490</v>
      </c>
      <c r="Y253" s="78">
        <v>152.46</v>
      </c>
      <c r="Z253" s="78">
        <v>696</v>
      </c>
      <c r="AA253" s="78">
        <v>0</v>
      </c>
      <c r="AB253" s="399">
        <f>IF((J253-'[2]Basisgegevens aanvullend'!D253*1.1)&lt;=0,0,J253-'[2]Basisgegevens aanvullend'!D253*1.1)</f>
        <v>0</v>
      </c>
      <c r="AC253" s="399">
        <v>0</v>
      </c>
      <c r="AD253" s="78">
        <v>10171</v>
      </c>
      <c r="AE253" s="78">
        <v>12205.2</v>
      </c>
      <c r="AF253" s="78">
        <v>1186</v>
      </c>
      <c r="AG253" s="78">
        <v>10000</v>
      </c>
      <c r="AH253" s="78">
        <v>132</v>
      </c>
      <c r="AI253" s="78">
        <v>65</v>
      </c>
      <c r="AJ253" s="78">
        <v>165</v>
      </c>
      <c r="AK253" s="78">
        <v>77.349999999999994</v>
      </c>
      <c r="AL253" s="78">
        <v>197</v>
      </c>
      <c r="AM253" s="78">
        <v>9402</v>
      </c>
      <c r="AN253" s="78">
        <v>11752.5</v>
      </c>
      <c r="AO253" s="78">
        <v>0</v>
      </c>
      <c r="AP253" s="78">
        <v>0</v>
      </c>
      <c r="AQ253" s="78">
        <v>0</v>
      </c>
      <c r="AR253" s="78">
        <v>0</v>
      </c>
      <c r="AS253" s="78">
        <v>822</v>
      </c>
      <c r="AT253" s="78">
        <v>0</v>
      </c>
      <c r="AU253" s="400">
        <v>6.4446999999999996E-4</v>
      </c>
      <c r="AV253" s="400">
        <v>2.5352799999999999E-4</v>
      </c>
      <c r="AW253" s="78">
        <v>4870.2359999999999</v>
      </c>
      <c r="AX253" s="78">
        <v>0</v>
      </c>
      <c r="AY253" s="78">
        <v>3067.2</v>
      </c>
      <c r="AZ253" s="78">
        <v>9889.8140001761003</v>
      </c>
      <c r="BA253" s="78">
        <v>12</v>
      </c>
      <c r="BB253" s="78">
        <v>14.28</v>
      </c>
      <c r="BC253" s="78">
        <v>2563</v>
      </c>
      <c r="BD253" s="78">
        <v>1</v>
      </c>
      <c r="BE253" s="78">
        <v>0</v>
      </c>
      <c r="BF253" s="78">
        <v>0</v>
      </c>
      <c r="BG253" s="78">
        <v>0</v>
      </c>
      <c r="BH253" s="78">
        <v>0</v>
      </c>
      <c r="BI253" s="78">
        <v>0</v>
      </c>
      <c r="BJ253" s="78">
        <v>0</v>
      </c>
      <c r="BK253" s="78">
        <v>0</v>
      </c>
      <c r="BL253" s="78">
        <v>0</v>
      </c>
      <c r="BM253" s="78">
        <v>409.45699999999999</v>
      </c>
      <c r="BN253" s="78">
        <v>218</v>
      </c>
      <c r="BO253" s="78">
        <v>101</v>
      </c>
      <c r="BP253" s="78">
        <v>5864.96</v>
      </c>
      <c r="BQ253" s="78">
        <v>1647.34</v>
      </c>
      <c r="BR253" s="78">
        <v>350.29104541583899</v>
      </c>
      <c r="BS253" s="78">
        <v>197</v>
      </c>
      <c r="BT253" s="78">
        <v>81.3333333333333</v>
      </c>
      <c r="BU253" s="78">
        <v>58</v>
      </c>
      <c r="BV253" s="78">
        <f t="shared" si="13"/>
        <v>771</v>
      </c>
      <c r="BW253" s="78">
        <v>170</v>
      </c>
      <c r="BX253" s="78">
        <v>3519.9200351957802</v>
      </c>
      <c r="BY253" s="78">
        <v>0.251</v>
      </c>
      <c r="BZ253" s="78">
        <v>18905</v>
      </c>
      <c r="CA253" s="78">
        <v>2189</v>
      </c>
      <c r="CB253" s="78">
        <v>524</v>
      </c>
      <c r="CC253" s="78">
        <v>442</v>
      </c>
      <c r="CD253" s="78">
        <v>401</v>
      </c>
      <c r="CE253" s="78">
        <v>260</v>
      </c>
      <c r="CF253" s="78">
        <v>248.92125079770301</v>
      </c>
      <c r="CG253" s="78">
        <v>159.11365666879399</v>
      </c>
      <c r="CH253" s="78">
        <v>68.036056158264202</v>
      </c>
      <c r="CI253" s="78">
        <v>666.65480000000002</v>
      </c>
      <c r="CJ253" s="78">
        <v>426.1343</v>
      </c>
      <c r="CK253" s="78">
        <v>182.21250000000001</v>
      </c>
      <c r="CL253" s="78">
        <v>7938</v>
      </c>
    </row>
    <row r="254" spans="1:90" x14ac:dyDescent="0.35">
      <c r="A254" s="72">
        <v>1676</v>
      </c>
      <c r="B254" s="72" t="s">
        <v>269</v>
      </c>
      <c r="C254" s="72">
        <v>9</v>
      </c>
      <c r="D254" s="78">
        <v>4331200000</v>
      </c>
      <c r="E254" s="78">
        <v>625100000</v>
      </c>
      <c r="F254" s="78">
        <v>738500000</v>
      </c>
      <c r="G254" s="78">
        <v>34065</v>
      </c>
      <c r="H254" s="78">
        <v>9</v>
      </c>
      <c r="I254" s="78">
        <f t="shared" si="11"/>
        <v>738.5</v>
      </c>
      <c r="J254" s="78">
        <v>5752</v>
      </c>
      <c r="K254" s="78">
        <v>9493</v>
      </c>
      <c r="L254" s="78">
        <v>3065</v>
      </c>
      <c r="M254" s="78">
        <v>4829</v>
      </c>
      <c r="N254" s="78">
        <f t="shared" si="12"/>
        <v>2619.7999999999997</v>
      </c>
      <c r="O254" s="78">
        <v>417.33333333333297</v>
      </c>
      <c r="P254" s="78">
        <v>67</v>
      </c>
      <c r="Q254" s="78">
        <v>1862.3333333333301</v>
      </c>
      <c r="R254" s="78">
        <v>5401</v>
      </c>
      <c r="S254" s="78">
        <v>445</v>
      </c>
      <c r="T254" s="78">
        <v>0</v>
      </c>
      <c r="U254" s="78">
        <v>858</v>
      </c>
      <c r="V254" s="78">
        <v>16120</v>
      </c>
      <c r="W254" s="78">
        <v>33290</v>
      </c>
      <c r="X254" s="78">
        <v>5870</v>
      </c>
      <c r="Y254" s="78">
        <v>156.41999999999999</v>
      </c>
      <c r="Z254" s="78">
        <v>633.6</v>
      </c>
      <c r="AA254" s="78">
        <v>0</v>
      </c>
      <c r="AB254" s="399">
        <f>IF((J254-'[2]Basisgegevens aanvullend'!D254*1.1)&lt;=0,0,J254-'[2]Basisgegevens aanvullend'!D254*1.1)</f>
        <v>0</v>
      </c>
      <c r="AC254" s="399">
        <v>0</v>
      </c>
      <c r="AD254" s="78">
        <v>22901</v>
      </c>
      <c r="AE254" s="78">
        <v>24275.06</v>
      </c>
      <c r="AF254" s="78">
        <v>7310</v>
      </c>
      <c r="AG254" s="78">
        <v>10000</v>
      </c>
      <c r="AH254" s="78">
        <v>247</v>
      </c>
      <c r="AI254" s="78">
        <v>111</v>
      </c>
      <c r="AJ254" s="78">
        <v>261.82</v>
      </c>
      <c r="AK254" s="78">
        <v>116.55</v>
      </c>
      <c r="AL254" s="78">
        <v>358</v>
      </c>
      <c r="AM254" s="78">
        <v>22092</v>
      </c>
      <c r="AN254" s="78">
        <v>23417.52</v>
      </c>
      <c r="AO254" s="78">
        <v>10</v>
      </c>
      <c r="AP254" s="78">
        <v>46</v>
      </c>
      <c r="AQ254" s="78">
        <v>0</v>
      </c>
      <c r="AR254" s="78">
        <v>6500</v>
      </c>
      <c r="AS254" s="78">
        <v>2425</v>
      </c>
      <c r="AT254" s="78">
        <v>1819</v>
      </c>
      <c r="AU254" s="400">
        <v>2.0994310000000001E-3</v>
      </c>
      <c r="AV254" s="400">
        <v>5.4060000000000002E-4</v>
      </c>
      <c r="AW254" s="78">
        <v>10825.08</v>
      </c>
      <c r="AX254" s="78">
        <v>0</v>
      </c>
      <c r="AY254" s="78">
        <v>7827.04</v>
      </c>
      <c r="AZ254" s="78">
        <v>9549.8365165006107</v>
      </c>
      <c r="BA254" s="78">
        <v>24</v>
      </c>
      <c r="BB254" s="78">
        <v>25.2</v>
      </c>
      <c r="BC254" s="78">
        <v>4919</v>
      </c>
      <c r="BD254" s="78">
        <v>1</v>
      </c>
      <c r="BE254" s="78">
        <v>0</v>
      </c>
      <c r="BF254" s="78">
        <v>0</v>
      </c>
      <c r="BG254" s="78">
        <v>0</v>
      </c>
      <c r="BH254" s="78">
        <v>0</v>
      </c>
      <c r="BI254" s="78">
        <v>0</v>
      </c>
      <c r="BJ254" s="78">
        <v>0</v>
      </c>
      <c r="BK254" s="78">
        <v>0</v>
      </c>
      <c r="BL254" s="78">
        <v>0</v>
      </c>
      <c r="BM254" s="78">
        <v>563.69600000000003</v>
      </c>
      <c r="BN254" s="78">
        <v>160</v>
      </c>
      <c r="BO254" s="78">
        <v>105</v>
      </c>
      <c r="BP254" s="78">
        <v>11167.59</v>
      </c>
      <c r="BQ254" s="78">
        <v>2060.52</v>
      </c>
      <c r="BR254" s="78">
        <v>240.20690278692101</v>
      </c>
      <c r="BS254" s="78">
        <v>315</v>
      </c>
      <c r="BT254" s="78">
        <v>131</v>
      </c>
      <c r="BU254" s="78">
        <v>103.666666666667</v>
      </c>
      <c r="BV254" s="78">
        <f t="shared" si="13"/>
        <v>1444.999999999997</v>
      </c>
      <c r="BW254" s="78">
        <v>311</v>
      </c>
      <c r="BX254" s="78">
        <v>7009.8258163657301</v>
      </c>
      <c r="BY254" s="78">
        <v>0.84199999999999997</v>
      </c>
      <c r="BZ254" s="78">
        <v>24572</v>
      </c>
      <c r="CA254" s="78">
        <v>5191</v>
      </c>
      <c r="CB254" s="78">
        <v>1237</v>
      </c>
      <c r="CC254" s="78">
        <v>1057</v>
      </c>
      <c r="CD254" s="78">
        <v>969</v>
      </c>
      <c r="CE254" s="78">
        <v>594</v>
      </c>
      <c r="CF254" s="78">
        <v>382.67674271229401</v>
      </c>
      <c r="CG254" s="78">
        <v>249.979105558573</v>
      </c>
      <c r="CH254" s="78">
        <v>106.015806626833</v>
      </c>
      <c r="CI254" s="78">
        <v>1351.1449</v>
      </c>
      <c r="CJ254" s="78">
        <v>882.61959999999999</v>
      </c>
      <c r="CK254" s="78">
        <v>374.31779999999998</v>
      </c>
      <c r="CL254" s="78">
        <v>19845</v>
      </c>
    </row>
    <row r="255" spans="1:90" x14ac:dyDescent="0.35">
      <c r="A255" s="72">
        <v>1714</v>
      </c>
      <c r="B255" s="72" t="s">
        <v>277</v>
      </c>
      <c r="C255" s="72">
        <v>9</v>
      </c>
      <c r="D255" s="78">
        <v>3667600000</v>
      </c>
      <c r="E255" s="78">
        <v>434700000</v>
      </c>
      <c r="F255" s="78">
        <v>485100000</v>
      </c>
      <c r="G255" s="78">
        <v>23166</v>
      </c>
      <c r="H255" s="78">
        <v>10</v>
      </c>
      <c r="I255" s="78">
        <f t="shared" si="11"/>
        <v>485.1</v>
      </c>
      <c r="J255" s="78">
        <v>3534</v>
      </c>
      <c r="K255" s="78">
        <v>6727</v>
      </c>
      <c r="L255" s="78">
        <v>2177</v>
      </c>
      <c r="M255" s="78">
        <v>3787</v>
      </c>
      <c r="N255" s="78">
        <f t="shared" si="12"/>
        <v>1952.8</v>
      </c>
      <c r="O255" s="78">
        <v>245</v>
      </c>
      <c r="P255" s="78">
        <v>23</v>
      </c>
      <c r="Q255" s="78">
        <v>1251</v>
      </c>
      <c r="R255" s="78">
        <v>4202</v>
      </c>
      <c r="S255" s="78">
        <v>385</v>
      </c>
      <c r="T255" s="78">
        <v>0</v>
      </c>
      <c r="U255" s="78">
        <v>627</v>
      </c>
      <c r="V255" s="78">
        <v>11471</v>
      </c>
      <c r="W255" s="78">
        <v>20720</v>
      </c>
      <c r="X255" s="78">
        <v>8220</v>
      </c>
      <c r="Y255" s="78">
        <v>0</v>
      </c>
      <c r="Z255" s="78">
        <v>601.6</v>
      </c>
      <c r="AA255" s="78">
        <v>0</v>
      </c>
      <c r="AB255" s="399">
        <f>IF((J255-'[2]Basisgegevens aanvullend'!D255*1.1)&lt;=0,0,J255-'[2]Basisgegevens aanvullend'!D255*1.1)</f>
        <v>0</v>
      </c>
      <c r="AC255" s="399">
        <v>0</v>
      </c>
      <c r="AD255" s="78">
        <v>27882</v>
      </c>
      <c r="AE255" s="78">
        <v>28439.64</v>
      </c>
      <c r="AF255" s="78">
        <v>477</v>
      </c>
      <c r="AG255" s="78">
        <v>2357</v>
      </c>
      <c r="AH255" s="78">
        <v>204</v>
      </c>
      <c r="AI255" s="78">
        <v>120</v>
      </c>
      <c r="AJ255" s="78">
        <v>208.08</v>
      </c>
      <c r="AK255" s="78">
        <v>122.4</v>
      </c>
      <c r="AL255" s="78">
        <v>324</v>
      </c>
      <c r="AM255" s="78">
        <v>18342</v>
      </c>
      <c r="AN255" s="78">
        <v>18708.84</v>
      </c>
      <c r="AO255" s="78">
        <v>24</v>
      </c>
      <c r="AP255" s="78">
        <v>0</v>
      </c>
      <c r="AQ255" s="78">
        <v>0</v>
      </c>
      <c r="AR255" s="78">
        <v>7800</v>
      </c>
      <c r="AS255" s="78">
        <v>1274</v>
      </c>
      <c r="AT255" s="78">
        <v>0</v>
      </c>
      <c r="AU255" s="400">
        <v>1.3058499999999999E-3</v>
      </c>
      <c r="AV255" s="400">
        <v>5.7956200000000005E-4</v>
      </c>
      <c r="AW255" s="78">
        <v>7960.4279999999999</v>
      </c>
      <c r="AX255" s="78">
        <v>0</v>
      </c>
      <c r="AY255" s="78">
        <v>5490.66</v>
      </c>
      <c r="AZ255" s="78">
        <v>4485.2297175499798</v>
      </c>
      <c r="BA255" s="78">
        <v>24</v>
      </c>
      <c r="BB255" s="78">
        <v>24.48</v>
      </c>
      <c r="BC255" s="78">
        <v>3117</v>
      </c>
      <c r="BD255" s="78">
        <v>1</v>
      </c>
      <c r="BE255" s="78">
        <v>0</v>
      </c>
      <c r="BF255" s="78">
        <v>0</v>
      </c>
      <c r="BG255" s="78">
        <v>0</v>
      </c>
      <c r="BH255" s="78">
        <v>0</v>
      </c>
      <c r="BI255" s="78">
        <v>0</v>
      </c>
      <c r="BJ255" s="78">
        <v>0</v>
      </c>
      <c r="BK255" s="78">
        <v>0</v>
      </c>
      <c r="BL255" s="78">
        <v>0</v>
      </c>
      <c r="BM255" s="78">
        <v>399.34199999999998</v>
      </c>
      <c r="BN255" s="78">
        <v>93</v>
      </c>
      <c r="BO255" s="78">
        <v>39</v>
      </c>
      <c r="BP255" s="78">
        <v>7329.4</v>
      </c>
      <c r="BQ255" s="78">
        <v>1337.16</v>
      </c>
      <c r="BR255" s="78">
        <v>88.308504892367907</v>
      </c>
      <c r="BS255" s="78">
        <v>202</v>
      </c>
      <c r="BT255" s="78">
        <v>54.3333333333333</v>
      </c>
      <c r="BU255" s="78">
        <v>47.6666666666667</v>
      </c>
      <c r="BV255" s="78">
        <f t="shared" si="13"/>
        <v>1006</v>
      </c>
      <c r="BW255" s="78">
        <v>215</v>
      </c>
      <c r="BX255" s="78">
        <v>4571.1179146919403</v>
      </c>
      <c r="BY255" s="78">
        <v>0.56399999999999995</v>
      </c>
      <c r="BZ255" s="78">
        <v>16439</v>
      </c>
      <c r="CA255" s="78">
        <v>3711</v>
      </c>
      <c r="CB255" s="78">
        <v>839</v>
      </c>
      <c r="CC255" s="78">
        <v>810</v>
      </c>
      <c r="CD255" s="78">
        <v>770</v>
      </c>
      <c r="CE255" s="78">
        <v>468</v>
      </c>
      <c r="CF255" s="78">
        <v>245.83007305637301</v>
      </c>
      <c r="CG255" s="78">
        <v>166.72580961727201</v>
      </c>
      <c r="CH255" s="78">
        <v>70.374048631555993</v>
      </c>
      <c r="CI255" s="78">
        <v>1083.3828000000001</v>
      </c>
      <c r="CJ255" s="78">
        <v>734.7672</v>
      </c>
      <c r="CK255" s="78">
        <v>310.14120000000003</v>
      </c>
      <c r="CL255" s="78">
        <v>17596</v>
      </c>
    </row>
    <row r="256" spans="1:90" x14ac:dyDescent="0.35">
      <c r="A256" s="72">
        <v>715</v>
      </c>
      <c r="B256" s="72" t="s">
        <v>290</v>
      </c>
      <c r="C256" s="72">
        <v>9</v>
      </c>
      <c r="D256" s="78">
        <v>4112000000</v>
      </c>
      <c r="E256" s="78">
        <v>1416100000</v>
      </c>
      <c r="F256" s="78">
        <v>1456350000</v>
      </c>
      <c r="G256" s="78">
        <v>54463</v>
      </c>
      <c r="H256" s="78">
        <v>9</v>
      </c>
      <c r="I256" s="78">
        <f t="shared" si="11"/>
        <v>1456.35</v>
      </c>
      <c r="J256" s="78">
        <v>9247</v>
      </c>
      <c r="K256" s="78">
        <v>13874</v>
      </c>
      <c r="L256" s="78">
        <v>4705</v>
      </c>
      <c r="M256" s="78">
        <v>8476</v>
      </c>
      <c r="N256" s="78">
        <f t="shared" si="12"/>
        <v>5752.2</v>
      </c>
      <c r="O256" s="78">
        <v>1008</v>
      </c>
      <c r="P256" s="78">
        <v>61</v>
      </c>
      <c r="Q256" s="78">
        <v>4016</v>
      </c>
      <c r="R256" s="78">
        <v>9558</v>
      </c>
      <c r="S256" s="78">
        <v>2685</v>
      </c>
      <c r="T256" s="78">
        <v>0</v>
      </c>
      <c r="U256" s="78">
        <v>1800</v>
      </c>
      <c r="V256" s="78">
        <v>26509</v>
      </c>
      <c r="W256" s="78">
        <v>55420</v>
      </c>
      <c r="X256" s="78">
        <v>50680</v>
      </c>
      <c r="Y256" s="78">
        <v>1234.4000000000001</v>
      </c>
      <c r="Z256" s="78">
        <v>1861.6</v>
      </c>
      <c r="AA256" s="78">
        <v>0</v>
      </c>
      <c r="AB256" s="399">
        <f>IF((J256-'[2]Basisgegevens aanvullend'!D256*1.1)&lt;=0,0,J256-'[2]Basisgegevens aanvullend'!D256*1.1)</f>
        <v>0</v>
      </c>
      <c r="AC256" s="399">
        <v>0</v>
      </c>
      <c r="AD256" s="78">
        <v>25002</v>
      </c>
      <c r="AE256" s="78">
        <v>25002</v>
      </c>
      <c r="AF256" s="78">
        <v>1289</v>
      </c>
      <c r="AG256" s="78">
        <v>5485</v>
      </c>
      <c r="AH256" s="78">
        <v>317</v>
      </c>
      <c r="AI256" s="78">
        <v>202</v>
      </c>
      <c r="AJ256" s="78">
        <v>320.17</v>
      </c>
      <c r="AK256" s="78">
        <v>202</v>
      </c>
      <c r="AL256" s="78">
        <v>520</v>
      </c>
      <c r="AM256" s="78">
        <v>27238</v>
      </c>
      <c r="AN256" s="78">
        <v>27510.38</v>
      </c>
      <c r="AO256" s="78">
        <v>13</v>
      </c>
      <c r="AP256" s="78">
        <v>0</v>
      </c>
      <c r="AQ256" s="78">
        <v>0</v>
      </c>
      <c r="AR256" s="78">
        <v>3000</v>
      </c>
      <c r="AS256" s="78">
        <v>3331</v>
      </c>
      <c r="AT256" s="78">
        <v>1539</v>
      </c>
      <c r="AU256" s="400">
        <v>2.6003659999999998E-3</v>
      </c>
      <c r="AV256" s="400">
        <v>1.7233699999999999E-3</v>
      </c>
      <c r="AW256" s="78">
        <v>23860.488000000001</v>
      </c>
      <c r="AX256" s="78">
        <v>0</v>
      </c>
      <c r="AY256" s="78">
        <v>5205</v>
      </c>
      <c r="AZ256" s="78">
        <v>10989.5483245217</v>
      </c>
      <c r="BA256" s="78">
        <v>26</v>
      </c>
      <c r="BB256" s="78">
        <v>26</v>
      </c>
      <c r="BC256" s="78">
        <v>4872</v>
      </c>
      <c r="BD256" s="78">
        <v>1</v>
      </c>
      <c r="BE256" s="78">
        <v>0</v>
      </c>
      <c r="BF256" s="78">
        <v>0</v>
      </c>
      <c r="BG256" s="78">
        <v>0</v>
      </c>
      <c r="BH256" s="78">
        <v>0</v>
      </c>
      <c r="BI256" s="78">
        <v>0</v>
      </c>
      <c r="BJ256" s="78">
        <v>0</v>
      </c>
      <c r="BK256" s="78">
        <v>0</v>
      </c>
      <c r="BL256" s="78">
        <v>0</v>
      </c>
      <c r="BM256" s="78">
        <v>1266.8389999999999</v>
      </c>
      <c r="BN256" s="78">
        <v>254</v>
      </c>
      <c r="BO256" s="78">
        <v>195</v>
      </c>
      <c r="BP256" s="78">
        <v>16526.72</v>
      </c>
      <c r="BQ256" s="78">
        <v>3259.34</v>
      </c>
      <c r="BR256" s="78">
        <v>407.80295433790002</v>
      </c>
      <c r="BS256" s="78">
        <v>666</v>
      </c>
      <c r="BT256" s="78">
        <v>295</v>
      </c>
      <c r="BU256" s="78">
        <v>282</v>
      </c>
      <c r="BV256" s="78">
        <f t="shared" si="13"/>
        <v>3008</v>
      </c>
      <c r="BW256" s="78">
        <v>648</v>
      </c>
      <c r="BX256" s="78">
        <v>10781.204322198901</v>
      </c>
      <c r="BY256" s="78">
        <v>2.552</v>
      </c>
      <c r="BZ256" s="78">
        <v>40589</v>
      </c>
      <c r="CA256" s="78">
        <v>7472</v>
      </c>
      <c r="CB256" s="78">
        <v>1697</v>
      </c>
      <c r="CC256" s="78">
        <v>1655</v>
      </c>
      <c r="CD256" s="78">
        <v>1561</v>
      </c>
      <c r="CE256" s="78">
        <v>839</v>
      </c>
      <c r="CF256" s="78">
        <v>976.50975842572905</v>
      </c>
      <c r="CG256" s="78">
        <v>691.62401791614695</v>
      </c>
      <c r="CH256" s="78">
        <v>254.475402011895</v>
      </c>
      <c r="CI256" s="78">
        <v>2246.8015999999998</v>
      </c>
      <c r="CJ256" s="78">
        <v>1591.3225</v>
      </c>
      <c r="CK256" s="78">
        <v>585.5095</v>
      </c>
      <c r="CL256" s="78">
        <v>34772</v>
      </c>
    </row>
    <row r="257" spans="1:90" x14ac:dyDescent="0.35">
      <c r="A257" s="72">
        <v>716</v>
      </c>
      <c r="B257" s="72" t="s">
        <v>294</v>
      </c>
      <c r="C257" s="72">
        <v>9</v>
      </c>
      <c r="D257" s="78">
        <v>1874000000</v>
      </c>
      <c r="E257" s="78">
        <v>310450000</v>
      </c>
      <c r="F257" s="78">
        <v>344750000</v>
      </c>
      <c r="G257" s="78">
        <v>26085</v>
      </c>
      <c r="H257" s="78">
        <v>7</v>
      </c>
      <c r="I257" s="78">
        <f t="shared" si="11"/>
        <v>344.75</v>
      </c>
      <c r="J257" s="78">
        <v>5669</v>
      </c>
      <c r="K257" s="78">
        <v>5078</v>
      </c>
      <c r="L257" s="78">
        <v>1667</v>
      </c>
      <c r="M257" s="78">
        <v>3247</v>
      </c>
      <c r="N257" s="78">
        <f t="shared" si="12"/>
        <v>2084.8000000000002</v>
      </c>
      <c r="O257" s="78">
        <v>297.66666666666703</v>
      </c>
      <c r="P257" s="78">
        <v>29</v>
      </c>
      <c r="Q257" s="78">
        <v>1409.6666666666699</v>
      </c>
      <c r="R257" s="78">
        <v>3208</v>
      </c>
      <c r="S257" s="78">
        <v>525</v>
      </c>
      <c r="T257" s="78">
        <v>0</v>
      </c>
      <c r="U257" s="78">
        <v>626</v>
      </c>
      <c r="V257" s="78">
        <v>10965</v>
      </c>
      <c r="W257" s="78">
        <v>23240</v>
      </c>
      <c r="X257" s="78">
        <v>2710</v>
      </c>
      <c r="Y257" s="78">
        <v>159.30000000000001</v>
      </c>
      <c r="Z257" s="78">
        <v>228</v>
      </c>
      <c r="AA257" s="78">
        <v>0</v>
      </c>
      <c r="AB257" s="399">
        <f>IF((J257-'[2]Basisgegevens aanvullend'!D257*1.1)&lt;=0,0,J257-'[2]Basisgegevens aanvullend'!D257*1.1)</f>
        <v>0</v>
      </c>
      <c r="AC257" s="399">
        <v>0</v>
      </c>
      <c r="AD257" s="78">
        <v>14674</v>
      </c>
      <c r="AE257" s="78">
        <v>17902.28</v>
      </c>
      <c r="AF257" s="78">
        <v>1552</v>
      </c>
      <c r="AG257" s="78">
        <v>9174</v>
      </c>
      <c r="AH257" s="78">
        <v>164</v>
      </c>
      <c r="AI257" s="78">
        <v>66</v>
      </c>
      <c r="AJ257" s="78">
        <v>213.2</v>
      </c>
      <c r="AK257" s="78">
        <v>80.52</v>
      </c>
      <c r="AL257" s="78">
        <v>231</v>
      </c>
      <c r="AM257" s="78">
        <v>11622</v>
      </c>
      <c r="AN257" s="78">
        <v>15108.6</v>
      </c>
      <c r="AO257" s="78">
        <v>16</v>
      </c>
      <c r="AP257" s="78">
        <v>0</v>
      </c>
      <c r="AQ257" s="78">
        <v>0</v>
      </c>
      <c r="AR257" s="78">
        <v>1300</v>
      </c>
      <c r="AS257" s="78">
        <v>1288</v>
      </c>
      <c r="AT257" s="78">
        <v>669</v>
      </c>
      <c r="AU257" s="400">
        <v>9.7933099999999995E-4</v>
      </c>
      <c r="AV257" s="400">
        <v>2.2477799999999999E-4</v>
      </c>
      <c r="AW257" s="78">
        <v>5671.5360000000001</v>
      </c>
      <c r="AX257" s="78">
        <v>0</v>
      </c>
      <c r="AY257" s="78">
        <v>4429.82</v>
      </c>
      <c r="AZ257" s="78">
        <v>14189.847744360901</v>
      </c>
      <c r="BA257" s="78">
        <v>11</v>
      </c>
      <c r="BB257" s="78">
        <v>13.42</v>
      </c>
      <c r="BC257" s="78">
        <v>2884</v>
      </c>
      <c r="BD257" s="78">
        <v>1</v>
      </c>
      <c r="BE257" s="78">
        <v>0</v>
      </c>
      <c r="BF257" s="78">
        <v>0</v>
      </c>
      <c r="BG257" s="78">
        <v>0</v>
      </c>
      <c r="BH257" s="78">
        <v>0</v>
      </c>
      <c r="BI257" s="78">
        <v>0</v>
      </c>
      <c r="BJ257" s="78">
        <v>0</v>
      </c>
      <c r="BK257" s="78">
        <v>0</v>
      </c>
      <c r="BL257" s="78">
        <v>0</v>
      </c>
      <c r="BM257" s="78">
        <v>515.87900000000002</v>
      </c>
      <c r="BN257" s="78">
        <v>172</v>
      </c>
      <c r="BO257" s="78">
        <v>40</v>
      </c>
      <c r="BP257" s="78">
        <v>6619.74</v>
      </c>
      <c r="BQ257" s="78">
        <v>1741.55</v>
      </c>
      <c r="BR257" s="78">
        <v>351.80774371348701</v>
      </c>
      <c r="BS257" s="78">
        <v>252</v>
      </c>
      <c r="BT257" s="78">
        <v>88</v>
      </c>
      <c r="BU257" s="78">
        <v>78</v>
      </c>
      <c r="BV257" s="78">
        <f t="shared" si="13"/>
        <v>1112.000000000003</v>
      </c>
      <c r="BW257" s="78">
        <v>272</v>
      </c>
      <c r="BX257" s="78">
        <v>4597.9762239391202</v>
      </c>
      <c r="BY257" s="78">
        <v>0.52900000000000003</v>
      </c>
      <c r="BZ257" s="78">
        <v>21007</v>
      </c>
      <c r="CA257" s="78">
        <v>2873</v>
      </c>
      <c r="CB257" s="78">
        <v>538</v>
      </c>
      <c r="CC257" s="78">
        <v>577</v>
      </c>
      <c r="CD257" s="78">
        <v>529</v>
      </c>
      <c r="CE257" s="78">
        <v>281</v>
      </c>
      <c r="CF257" s="78">
        <v>321.27661331956602</v>
      </c>
      <c r="CG257" s="78">
        <v>208.98227499569799</v>
      </c>
      <c r="CH257" s="78">
        <v>67.986508346239901</v>
      </c>
      <c r="CI257" s="78">
        <v>908.9325</v>
      </c>
      <c r="CJ257" s="78">
        <v>591.23749999999995</v>
      </c>
      <c r="CK257" s="78">
        <v>192.3425</v>
      </c>
      <c r="CL257" s="78">
        <v>7938</v>
      </c>
    </row>
    <row r="258" spans="1:90" x14ac:dyDescent="0.35">
      <c r="A258" s="72">
        <v>717</v>
      </c>
      <c r="B258" s="72" t="s">
        <v>312</v>
      </c>
      <c r="C258" s="72">
        <v>9</v>
      </c>
      <c r="D258" s="78">
        <v>3518400000</v>
      </c>
      <c r="E258" s="78">
        <v>448700000</v>
      </c>
      <c r="F258" s="78">
        <v>534800000</v>
      </c>
      <c r="G258" s="78">
        <v>21953</v>
      </c>
      <c r="H258" s="78">
        <v>10</v>
      </c>
      <c r="I258" s="78">
        <f t="shared" si="11"/>
        <v>534.79999999999995</v>
      </c>
      <c r="J258" s="78">
        <v>4015</v>
      </c>
      <c r="K258" s="78">
        <v>6067</v>
      </c>
      <c r="L258" s="78">
        <v>1903</v>
      </c>
      <c r="M258" s="78">
        <v>2447</v>
      </c>
      <c r="N258" s="78">
        <f t="shared" si="12"/>
        <v>934.39999999999986</v>
      </c>
      <c r="O258" s="78">
        <v>157</v>
      </c>
      <c r="P258" s="78">
        <v>15</v>
      </c>
      <c r="Q258" s="78">
        <v>801</v>
      </c>
      <c r="R258" s="78">
        <v>2968</v>
      </c>
      <c r="S258" s="78">
        <v>205</v>
      </c>
      <c r="T258" s="78">
        <v>0</v>
      </c>
      <c r="U258" s="78">
        <v>400</v>
      </c>
      <c r="V258" s="78">
        <v>9850</v>
      </c>
      <c r="W258" s="78">
        <v>15760</v>
      </c>
      <c r="X258" s="78">
        <v>3310</v>
      </c>
      <c r="Y258" s="78">
        <v>0</v>
      </c>
      <c r="Z258" s="78">
        <v>0</v>
      </c>
      <c r="AA258" s="78">
        <v>0</v>
      </c>
      <c r="AB258" s="399">
        <f>IF((J258-'[2]Basisgegevens aanvullend'!D258*1.1)&lt;=0,0,J258-'[2]Basisgegevens aanvullend'!D258*1.1)</f>
        <v>0</v>
      </c>
      <c r="AC258" s="399">
        <v>0</v>
      </c>
      <c r="AD258" s="78">
        <v>13263</v>
      </c>
      <c r="AE258" s="78">
        <v>14324.04</v>
      </c>
      <c r="AF258" s="78">
        <v>1196</v>
      </c>
      <c r="AG258" s="78">
        <v>6196</v>
      </c>
      <c r="AH258" s="78">
        <v>164</v>
      </c>
      <c r="AI258" s="78">
        <v>72</v>
      </c>
      <c r="AJ258" s="78">
        <v>180.4</v>
      </c>
      <c r="AK258" s="78">
        <v>77.760000000000005</v>
      </c>
      <c r="AL258" s="78">
        <v>236</v>
      </c>
      <c r="AM258" s="78">
        <v>15126</v>
      </c>
      <c r="AN258" s="78">
        <v>16638.599999999999</v>
      </c>
      <c r="AO258" s="78">
        <v>14</v>
      </c>
      <c r="AP258" s="78">
        <v>0</v>
      </c>
      <c r="AQ258" s="78">
        <v>0</v>
      </c>
      <c r="AR258" s="78">
        <v>3200</v>
      </c>
      <c r="AS258" s="78">
        <v>591</v>
      </c>
      <c r="AT258" s="78">
        <v>0</v>
      </c>
      <c r="AU258" s="400">
        <v>7.0332599999999999E-4</v>
      </c>
      <c r="AV258" s="400">
        <v>2.5701400000000002E-4</v>
      </c>
      <c r="AW258" s="78">
        <v>5248.7219999999998</v>
      </c>
      <c r="AX258" s="78">
        <v>0</v>
      </c>
      <c r="AY258" s="78">
        <v>2980.8</v>
      </c>
      <c r="AZ258" s="78">
        <v>5896.5645646310304</v>
      </c>
      <c r="BA258" s="78">
        <v>14</v>
      </c>
      <c r="BB258" s="78">
        <v>15.12</v>
      </c>
      <c r="BC258" s="78">
        <v>3070</v>
      </c>
      <c r="BD258" s="78">
        <v>1</v>
      </c>
      <c r="BE258" s="78">
        <v>0</v>
      </c>
      <c r="BF258" s="78">
        <v>0</v>
      </c>
      <c r="BG258" s="78">
        <v>0</v>
      </c>
      <c r="BH258" s="78">
        <v>0</v>
      </c>
      <c r="BI258" s="78">
        <v>0</v>
      </c>
      <c r="BJ258" s="78">
        <v>0</v>
      </c>
      <c r="BK258" s="78">
        <v>0</v>
      </c>
      <c r="BL258" s="78">
        <v>0</v>
      </c>
      <c r="BM258" s="78">
        <v>289.08</v>
      </c>
      <c r="BN258" s="78">
        <v>59</v>
      </c>
      <c r="BO258" s="78">
        <v>26</v>
      </c>
      <c r="BP258" s="78">
        <v>6860.16</v>
      </c>
      <c r="BQ258" s="78">
        <v>1375.51</v>
      </c>
      <c r="BR258" s="78">
        <v>121.582435897436</v>
      </c>
      <c r="BS258" s="78">
        <v>145</v>
      </c>
      <c r="BT258" s="78">
        <v>36.6666666666667</v>
      </c>
      <c r="BU258" s="78">
        <v>29.6666666666667</v>
      </c>
      <c r="BV258" s="78">
        <f t="shared" si="13"/>
        <v>644</v>
      </c>
      <c r="BW258" s="78">
        <v>172</v>
      </c>
      <c r="BX258" s="78">
        <v>3213.0844241316299</v>
      </c>
      <c r="BY258" s="78">
        <v>0.11700000000000001</v>
      </c>
      <c r="BZ258" s="78">
        <v>15886</v>
      </c>
      <c r="CA258" s="78">
        <v>3458</v>
      </c>
      <c r="CB258" s="78">
        <v>706</v>
      </c>
      <c r="CC258" s="78">
        <v>688</v>
      </c>
      <c r="CD258" s="78">
        <v>570</v>
      </c>
      <c r="CE258" s="78">
        <v>327</v>
      </c>
      <c r="CF258" s="78">
        <v>130.22049451275899</v>
      </c>
      <c r="CG258" s="78">
        <v>81.295147428269203</v>
      </c>
      <c r="CH258" s="78">
        <v>30.269469787121501</v>
      </c>
      <c r="CI258" s="78">
        <v>844.25400000000002</v>
      </c>
      <c r="CJ258" s="78">
        <v>527.05799999999999</v>
      </c>
      <c r="CK258" s="78">
        <v>196.245</v>
      </c>
      <c r="CL258" s="78">
        <v>44982</v>
      </c>
    </row>
    <row r="259" spans="1:90" x14ac:dyDescent="0.35">
      <c r="A259" s="72">
        <v>718</v>
      </c>
      <c r="B259" s="72" t="s">
        <v>320</v>
      </c>
      <c r="C259" s="72">
        <v>9</v>
      </c>
      <c r="D259" s="78">
        <v>3346800000</v>
      </c>
      <c r="E259" s="78">
        <v>800800000</v>
      </c>
      <c r="F259" s="78">
        <v>831600000</v>
      </c>
      <c r="G259" s="78">
        <v>44358</v>
      </c>
      <c r="H259" s="78">
        <v>1</v>
      </c>
      <c r="I259" s="78">
        <f t="shared" si="11"/>
        <v>831.6</v>
      </c>
      <c r="J259" s="78">
        <v>7595</v>
      </c>
      <c r="K259" s="78">
        <v>10815</v>
      </c>
      <c r="L259" s="78">
        <v>3453</v>
      </c>
      <c r="M259" s="78">
        <v>7716</v>
      </c>
      <c r="N259" s="78">
        <f t="shared" si="12"/>
        <v>5383.5</v>
      </c>
      <c r="O259" s="78">
        <v>1670.6666666666699</v>
      </c>
      <c r="P259" s="78">
        <v>35</v>
      </c>
      <c r="Q259" s="78">
        <v>3995.6666666666702</v>
      </c>
      <c r="R259" s="78">
        <v>9988</v>
      </c>
      <c r="S259" s="78">
        <v>3450</v>
      </c>
      <c r="T259" s="78">
        <v>0</v>
      </c>
      <c r="U259" s="78">
        <v>1775</v>
      </c>
      <c r="V259" s="78">
        <v>23016</v>
      </c>
      <c r="W259" s="78">
        <v>49950</v>
      </c>
      <c r="X259" s="78">
        <v>66740</v>
      </c>
      <c r="Y259" s="78">
        <v>0</v>
      </c>
      <c r="Z259" s="78">
        <v>1165.5999999999999</v>
      </c>
      <c r="AA259" s="78">
        <v>0</v>
      </c>
      <c r="AB259" s="399">
        <f>IF((J259-'[2]Basisgegevens aanvullend'!D259*1.1)&lt;=0,0,J259-'[2]Basisgegevens aanvullend'!D259*1.1)</f>
        <v>0</v>
      </c>
      <c r="AC259" s="399">
        <v>0</v>
      </c>
      <c r="AD259" s="78">
        <v>3432</v>
      </c>
      <c r="AE259" s="78">
        <v>3775.2</v>
      </c>
      <c r="AF259" s="78">
        <v>517</v>
      </c>
      <c r="AG259" s="78">
        <v>10000</v>
      </c>
      <c r="AH259" s="78">
        <v>194</v>
      </c>
      <c r="AI259" s="78">
        <v>102</v>
      </c>
      <c r="AJ259" s="78">
        <v>223.1</v>
      </c>
      <c r="AK259" s="78">
        <v>109.14</v>
      </c>
      <c r="AL259" s="78">
        <v>297</v>
      </c>
      <c r="AM259" s="78">
        <v>23325</v>
      </c>
      <c r="AN259" s="78">
        <v>26823.75</v>
      </c>
      <c r="AO259" s="78">
        <v>16</v>
      </c>
      <c r="AP259" s="78">
        <v>0</v>
      </c>
      <c r="AQ259" s="78">
        <v>0</v>
      </c>
      <c r="AR259" s="78">
        <v>3200</v>
      </c>
      <c r="AS259" s="78">
        <v>6521</v>
      </c>
      <c r="AT259" s="78">
        <v>5750</v>
      </c>
      <c r="AU259" s="400">
        <v>3.673599E-3</v>
      </c>
      <c r="AV259" s="400">
        <v>5.5830760000000002E-3</v>
      </c>
      <c r="AW259" s="78">
        <v>45063.9</v>
      </c>
      <c r="AX259" s="78">
        <v>0</v>
      </c>
      <c r="AY259" s="78">
        <v>1290.3</v>
      </c>
      <c r="AZ259" s="78">
        <v>20177.329805013898</v>
      </c>
      <c r="BA259" s="78">
        <v>3</v>
      </c>
      <c r="BB259" s="78">
        <v>3.21</v>
      </c>
      <c r="BC259" s="78">
        <v>3708</v>
      </c>
      <c r="BD259" s="78">
        <v>1</v>
      </c>
      <c r="BE259" s="78">
        <v>0</v>
      </c>
      <c r="BF259" s="78">
        <v>0</v>
      </c>
      <c r="BG259" s="78">
        <v>0</v>
      </c>
      <c r="BH259" s="78">
        <v>0</v>
      </c>
      <c r="BI259" s="78">
        <v>0</v>
      </c>
      <c r="BJ259" s="78">
        <v>0</v>
      </c>
      <c r="BK259" s="78">
        <v>0</v>
      </c>
      <c r="BL259" s="78">
        <v>0</v>
      </c>
      <c r="BM259" s="78">
        <v>1207.605</v>
      </c>
      <c r="BN259" s="78">
        <v>213</v>
      </c>
      <c r="BO259" s="78">
        <v>148</v>
      </c>
      <c r="BP259" s="78">
        <v>12794.22</v>
      </c>
      <c r="BQ259" s="78">
        <v>2413.4</v>
      </c>
      <c r="BR259" s="78">
        <v>317.36002283105</v>
      </c>
      <c r="BS259" s="78">
        <v>670</v>
      </c>
      <c r="BT259" s="78">
        <v>416.33333333333297</v>
      </c>
      <c r="BU259" s="78">
        <v>396</v>
      </c>
      <c r="BV259" s="78">
        <f t="shared" si="13"/>
        <v>2325</v>
      </c>
      <c r="BW259" s="78">
        <v>528</v>
      </c>
      <c r="BX259" s="78">
        <v>7986.4399098286704</v>
      </c>
      <c r="BY259" s="78">
        <v>5.0529999999999999</v>
      </c>
      <c r="BZ259" s="78">
        <v>33543</v>
      </c>
      <c r="CA259" s="78">
        <v>6029</v>
      </c>
      <c r="CB259" s="78">
        <v>1333</v>
      </c>
      <c r="CC259" s="78">
        <v>1654</v>
      </c>
      <c r="CD259" s="78">
        <v>1326</v>
      </c>
      <c r="CE259" s="78">
        <v>725</v>
      </c>
      <c r="CF259" s="78">
        <v>910.75202572347303</v>
      </c>
      <c r="CG259" s="78">
        <v>576.54803858520904</v>
      </c>
      <c r="CH259" s="78">
        <v>223.64893890675199</v>
      </c>
      <c r="CI259" s="78">
        <v>2165.1702</v>
      </c>
      <c r="CJ259" s="78">
        <v>1370.6525999999999</v>
      </c>
      <c r="CK259" s="78">
        <v>531.69029999999998</v>
      </c>
      <c r="CL259" s="78">
        <v>3544</v>
      </c>
    </row>
    <row r="260" spans="1:90" x14ac:dyDescent="0.35">
      <c r="A260" s="72">
        <v>1723</v>
      </c>
      <c r="B260" s="72" t="s">
        <v>21</v>
      </c>
      <c r="C260" s="72">
        <v>10</v>
      </c>
      <c r="D260" s="78">
        <v>1166800000</v>
      </c>
      <c r="E260" s="78">
        <v>190400000</v>
      </c>
      <c r="F260" s="78">
        <v>221200000</v>
      </c>
      <c r="G260" s="78">
        <v>10373</v>
      </c>
      <c r="H260" s="78">
        <v>2</v>
      </c>
      <c r="I260" s="78">
        <f t="shared" si="11"/>
        <v>221.2</v>
      </c>
      <c r="J260" s="78">
        <v>1885</v>
      </c>
      <c r="K260" s="78">
        <v>2438</v>
      </c>
      <c r="L260" s="78">
        <v>780</v>
      </c>
      <c r="M260" s="78">
        <v>975</v>
      </c>
      <c r="N260" s="78">
        <f t="shared" si="12"/>
        <v>508.4</v>
      </c>
      <c r="O260" s="78">
        <v>78.6666666666667</v>
      </c>
      <c r="P260" s="78">
        <v>6</v>
      </c>
      <c r="Q260" s="78">
        <v>403.66666666666703</v>
      </c>
      <c r="R260" s="78">
        <v>1095</v>
      </c>
      <c r="S260" s="78">
        <v>110</v>
      </c>
      <c r="T260" s="78">
        <v>0</v>
      </c>
      <c r="U260" s="78">
        <v>209</v>
      </c>
      <c r="V260" s="78">
        <v>4401</v>
      </c>
      <c r="W260" s="78">
        <v>6320</v>
      </c>
      <c r="X260" s="78">
        <v>360</v>
      </c>
      <c r="Y260" s="78">
        <v>0</v>
      </c>
      <c r="Z260" s="78">
        <v>0</v>
      </c>
      <c r="AA260" s="78">
        <v>0</v>
      </c>
      <c r="AB260" s="399">
        <f>IF((J260-'[2]Basisgegevens aanvullend'!D260*1.1)&lt;=0,0,J260-'[2]Basisgegevens aanvullend'!D260*1.1)</f>
        <v>0</v>
      </c>
      <c r="AC260" s="399">
        <v>0</v>
      </c>
      <c r="AD260" s="78">
        <v>9298</v>
      </c>
      <c r="AE260" s="78">
        <v>9298</v>
      </c>
      <c r="AF260" s="78">
        <v>54</v>
      </c>
      <c r="AG260" s="78">
        <v>0</v>
      </c>
      <c r="AH260" s="78">
        <v>57</v>
      </c>
      <c r="AI260" s="78">
        <v>99</v>
      </c>
      <c r="AJ260" s="78">
        <v>57</v>
      </c>
      <c r="AK260" s="78">
        <v>99</v>
      </c>
      <c r="AL260" s="78">
        <v>156</v>
      </c>
      <c r="AM260" s="78">
        <v>4666</v>
      </c>
      <c r="AN260" s="78">
        <v>4666</v>
      </c>
      <c r="AO260" s="78">
        <v>0</v>
      </c>
      <c r="AP260" s="78">
        <v>0</v>
      </c>
      <c r="AQ260" s="78">
        <v>0</v>
      </c>
      <c r="AR260" s="78">
        <v>0</v>
      </c>
      <c r="AS260" s="78">
        <v>0</v>
      </c>
      <c r="AT260" s="78">
        <v>0</v>
      </c>
      <c r="AU260" s="400">
        <v>7.2244999999999997E-5</v>
      </c>
      <c r="AV260" s="400">
        <v>2.7603999999999999E-5</v>
      </c>
      <c r="AW260" s="78">
        <v>1479.1220000000001</v>
      </c>
      <c r="AX260" s="78">
        <v>0</v>
      </c>
      <c r="AY260" s="78">
        <v>752</v>
      </c>
      <c r="AZ260" s="78">
        <v>834.099230111206</v>
      </c>
      <c r="BA260" s="78">
        <v>8</v>
      </c>
      <c r="BB260" s="78">
        <v>8</v>
      </c>
      <c r="BC260" s="78">
        <v>1581</v>
      </c>
      <c r="BD260" s="78">
        <v>1</v>
      </c>
      <c r="BE260" s="78">
        <v>0</v>
      </c>
      <c r="BF260" s="78">
        <v>0</v>
      </c>
      <c r="BG260" s="78">
        <v>0</v>
      </c>
      <c r="BH260" s="78">
        <v>0</v>
      </c>
      <c r="BI260" s="78">
        <v>0</v>
      </c>
      <c r="BJ260" s="78">
        <v>0</v>
      </c>
      <c r="BK260" s="78">
        <v>0</v>
      </c>
      <c r="BL260" s="78">
        <v>0</v>
      </c>
      <c r="BM260" s="78">
        <v>160.22499999999999</v>
      </c>
      <c r="BN260" s="78">
        <v>20</v>
      </c>
      <c r="BO260" s="78">
        <v>10</v>
      </c>
      <c r="BP260" s="78">
        <v>3350.88</v>
      </c>
      <c r="BQ260" s="78">
        <v>751.68</v>
      </c>
      <c r="BR260" s="78">
        <v>32.059823066841403</v>
      </c>
      <c r="BS260" s="78">
        <v>84</v>
      </c>
      <c r="BT260" s="78">
        <v>25.6666666666667</v>
      </c>
      <c r="BU260" s="78">
        <v>16.3333333333333</v>
      </c>
      <c r="BV260" s="78">
        <f t="shared" si="13"/>
        <v>325.00000000000034</v>
      </c>
      <c r="BW260" s="78">
        <v>70</v>
      </c>
      <c r="BX260" s="78">
        <v>1699.4924747623199</v>
      </c>
      <c r="BY260" s="78">
        <v>0.05</v>
      </c>
      <c r="BZ260" s="78">
        <v>7935</v>
      </c>
      <c r="CA260" s="78">
        <v>1397</v>
      </c>
      <c r="CB260" s="78">
        <v>261</v>
      </c>
      <c r="CC260" s="78">
        <v>216</v>
      </c>
      <c r="CD260" s="78">
        <v>182</v>
      </c>
      <c r="CE260" s="78">
        <v>116</v>
      </c>
      <c r="CF260" s="78">
        <v>90.326532361765999</v>
      </c>
      <c r="CG260" s="78">
        <v>54.370252893270496</v>
      </c>
      <c r="CH260" s="78">
        <v>19.612516073724802</v>
      </c>
      <c r="CI260" s="78">
        <v>300.84410000000003</v>
      </c>
      <c r="CJ260" s="78">
        <v>181.08709999999999</v>
      </c>
      <c r="CK260" s="78">
        <v>65.322000000000003</v>
      </c>
      <c r="CL260" s="78">
        <v>0</v>
      </c>
    </row>
    <row r="261" spans="1:90" x14ac:dyDescent="0.35">
      <c r="A261" s="72">
        <v>1959</v>
      </c>
      <c r="B261" s="72" t="s">
        <v>22</v>
      </c>
      <c r="C261" s="72">
        <v>10</v>
      </c>
      <c r="D261" s="78">
        <v>5196400000</v>
      </c>
      <c r="E261" s="78">
        <v>699650000</v>
      </c>
      <c r="F261" s="78">
        <v>745850000</v>
      </c>
      <c r="G261" s="78">
        <v>56352</v>
      </c>
      <c r="H261" s="78">
        <v>11</v>
      </c>
      <c r="I261" s="78">
        <f t="shared" si="11"/>
        <v>745.85</v>
      </c>
      <c r="J261" s="78">
        <v>11874</v>
      </c>
      <c r="K261" s="78">
        <v>11282</v>
      </c>
      <c r="L261" s="78">
        <v>3508</v>
      </c>
      <c r="M261" s="78">
        <v>5872</v>
      </c>
      <c r="N261" s="78">
        <f t="shared" si="12"/>
        <v>3588.2999999999997</v>
      </c>
      <c r="O261" s="78">
        <v>489.33333333333297</v>
      </c>
      <c r="P261" s="78">
        <v>65</v>
      </c>
      <c r="Q261" s="78">
        <v>2518.3333333333298</v>
      </c>
      <c r="R261" s="78">
        <v>6217</v>
      </c>
      <c r="S261" s="78">
        <v>685</v>
      </c>
      <c r="T261" s="78">
        <v>0</v>
      </c>
      <c r="U261" s="78">
        <v>1287</v>
      </c>
      <c r="V261" s="78">
        <v>23364</v>
      </c>
      <c r="W261" s="78">
        <v>45350</v>
      </c>
      <c r="X261" s="78">
        <v>4900</v>
      </c>
      <c r="Y261" s="78">
        <v>126.72</v>
      </c>
      <c r="Z261" s="78">
        <v>1578.4</v>
      </c>
      <c r="AA261" s="78">
        <v>0</v>
      </c>
      <c r="AB261" s="399">
        <f>IF((J261-'[2]Basisgegevens aanvullend'!D261*1.1)&lt;=0,0,J261-'[2]Basisgegevens aanvullend'!D261*1.1)</f>
        <v>0</v>
      </c>
      <c r="AC261" s="399">
        <v>0</v>
      </c>
      <c r="AD261" s="78">
        <v>19955</v>
      </c>
      <c r="AE261" s="78">
        <v>22150.05</v>
      </c>
      <c r="AF261" s="78">
        <v>2709</v>
      </c>
      <c r="AG261" s="78">
        <v>0</v>
      </c>
      <c r="AH261" s="78">
        <v>333</v>
      </c>
      <c r="AI261" s="78">
        <v>112</v>
      </c>
      <c r="AJ261" s="78">
        <v>386.28</v>
      </c>
      <c r="AK261" s="78">
        <v>123.2</v>
      </c>
      <c r="AL261" s="78">
        <v>445</v>
      </c>
      <c r="AM261" s="78">
        <v>22837</v>
      </c>
      <c r="AN261" s="78">
        <v>26490.92</v>
      </c>
      <c r="AO261" s="78">
        <v>6</v>
      </c>
      <c r="AP261" s="78">
        <v>0</v>
      </c>
      <c r="AQ261" s="78">
        <v>0</v>
      </c>
      <c r="AR261" s="78">
        <v>1700</v>
      </c>
      <c r="AS261" s="78">
        <v>669</v>
      </c>
      <c r="AT261" s="78">
        <v>0</v>
      </c>
      <c r="AU261" s="400">
        <v>5.2329999999999998E-4</v>
      </c>
      <c r="AV261" s="400">
        <v>1.9591199999999999E-4</v>
      </c>
      <c r="AW261" s="78">
        <v>11555.522000000001</v>
      </c>
      <c r="AX261" s="78">
        <v>0</v>
      </c>
      <c r="AY261" s="78">
        <v>9381.7199999999993</v>
      </c>
      <c r="AZ261" s="78">
        <v>30044.4377832686</v>
      </c>
      <c r="BA261" s="78">
        <v>24</v>
      </c>
      <c r="BB261" s="78">
        <v>26.4</v>
      </c>
      <c r="BC261" s="78">
        <v>7265</v>
      </c>
      <c r="BD261" s="78">
        <v>1</v>
      </c>
      <c r="BE261" s="78">
        <v>0</v>
      </c>
      <c r="BF261" s="78">
        <v>0</v>
      </c>
      <c r="BG261" s="78">
        <v>0</v>
      </c>
      <c r="BH261" s="78">
        <v>0</v>
      </c>
      <c r="BI261" s="78">
        <v>0</v>
      </c>
      <c r="BJ261" s="78">
        <v>0</v>
      </c>
      <c r="BK261" s="78">
        <v>0</v>
      </c>
      <c r="BL261" s="78">
        <v>0</v>
      </c>
      <c r="BM261" s="78">
        <v>724.31399999999996</v>
      </c>
      <c r="BN261" s="78">
        <v>324</v>
      </c>
      <c r="BO261" s="78">
        <v>117</v>
      </c>
      <c r="BP261" s="78">
        <v>16311.6</v>
      </c>
      <c r="BQ261" s="78">
        <v>4225.5600000000004</v>
      </c>
      <c r="BR261" s="78">
        <v>555.70828178849001</v>
      </c>
      <c r="BS261" s="78">
        <v>499</v>
      </c>
      <c r="BT261" s="78">
        <v>164.666666666667</v>
      </c>
      <c r="BU261" s="78">
        <v>126.666666666667</v>
      </c>
      <c r="BV261" s="78">
        <f t="shared" si="13"/>
        <v>2028.9999999999968</v>
      </c>
      <c r="BW261" s="78">
        <v>520</v>
      </c>
      <c r="BX261" s="78">
        <v>9278.3502049422004</v>
      </c>
      <c r="BY261" s="78">
        <v>0.38200000000000001</v>
      </c>
      <c r="BZ261" s="78">
        <v>45070</v>
      </c>
      <c r="CA261" s="78">
        <v>6625</v>
      </c>
      <c r="CB261" s="78">
        <v>1149</v>
      </c>
      <c r="CC261" s="78">
        <v>1082</v>
      </c>
      <c r="CD261" s="78">
        <v>1095</v>
      </c>
      <c r="CE261" s="78">
        <v>572</v>
      </c>
      <c r="CF261" s="78">
        <v>621.12142137758894</v>
      </c>
      <c r="CG261" s="78">
        <v>378.20370889346202</v>
      </c>
      <c r="CH261" s="78">
        <v>129.94369225379899</v>
      </c>
      <c r="CI261" s="78">
        <v>1625.8688999999999</v>
      </c>
      <c r="CJ261" s="78">
        <v>989.9991</v>
      </c>
      <c r="CK261" s="78">
        <v>340.14510000000001</v>
      </c>
      <c r="CL261" s="78">
        <v>39268</v>
      </c>
    </row>
    <row r="262" spans="1:90" x14ac:dyDescent="0.35">
      <c r="A262" s="72">
        <v>743</v>
      </c>
      <c r="B262" s="72" t="s">
        <v>31</v>
      </c>
      <c r="C262" s="72">
        <v>10</v>
      </c>
      <c r="D262" s="78">
        <v>1783200000</v>
      </c>
      <c r="E262" s="78">
        <v>274750000</v>
      </c>
      <c r="F262" s="78">
        <v>308000000</v>
      </c>
      <c r="G262" s="78">
        <v>16817</v>
      </c>
      <c r="H262" s="78">
        <v>2</v>
      </c>
      <c r="I262" s="78">
        <f t="shared" ref="I262:I325" si="14">F262/1000000</f>
        <v>308</v>
      </c>
      <c r="J262" s="78">
        <v>3073</v>
      </c>
      <c r="K262" s="78">
        <v>3851</v>
      </c>
      <c r="L262" s="78">
        <v>1277</v>
      </c>
      <c r="M262" s="78">
        <v>2186</v>
      </c>
      <c r="N262" s="78">
        <f t="shared" ref="N262:N325" si="15">IF(M262-0.1*AM262&lt;=0,0,M262-0.1*AM262)</f>
        <v>1475.4</v>
      </c>
      <c r="O262" s="78">
        <v>190.333333333333</v>
      </c>
      <c r="P262" s="78">
        <v>18</v>
      </c>
      <c r="Q262" s="78">
        <v>906.33333333333303</v>
      </c>
      <c r="R262" s="78">
        <v>2316</v>
      </c>
      <c r="S262" s="78">
        <v>270</v>
      </c>
      <c r="T262" s="78">
        <v>0</v>
      </c>
      <c r="U262" s="78">
        <v>364</v>
      </c>
      <c r="V262" s="78">
        <v>7423</v>
      </c>
      <c r="W262" s="78">
        <v>16230</v>
      </c>
      <c r="X262" s="78">
        <v>7830</v>
      </c>
      <c r="Y262" s="78">
        <v>0</v>
      </c>
      <c r="Z262" s="78">
        <v>709.6</v>
      </c>
      <c r="AA262" s="78">
        <v>0</v>
      </c>
      <c r="AB262" s="399">
        <f>IF((J262-'[2]Basisgegevens aanvullend'!D262*1.1)&lt;=0,0,J262-'[2]Basisgegevens aanvullend'!D262*1.1)</f>
        <v>0</v>
      </c>
      <c r="AC262" s="399">
        <v>0</v>
      </c>
      <c r="AD262" s="78">
        <v>7020</v>
      </c>
      <c r="AE262" s="78">
        <v>7020</v>
      </c>
      <c r="AF262" s="78">
        <v>113</v>
      </c>
      <c r="AG262" s="78">
        <v>0</v>
      </c>
      <c r="AH262" s="78">
        <v>114</v>
      </c>
      <c r="AI262" s="78">
        <v>97</v>
      </c>
      <c r="AJ262" s="78">
        <v>114</v>
      </c>
      <c r="AK262" s="78">
        <v>97</v>
      </c>
      <c r="AL262" s="78">
        <v>211</v>
      </c>
      <c r="AM262" s="78">
        <v>7106</v>
      </c>
      <c r="AN262" s="78">
        <v>7106</v>
      </c>
      <c r="AO262" s="78">
        <v>0</v>
      </c>
      <c r="AP262" s="78">
        <v>0</v>
      </c>
      <c r="AQ262" s="78">
        <v>0</v>
      </c>
      <c r="AR262" s="78">
        <v>0</v>
      </c>
      <c r="AS262" s="78">
        <v>538</v>
      </c>
      <c r="AT262" s="78">
        <v>0</v>
      </c>
      <c r="AU262" s="400">
        <v>1.2217599999999999E-4</v>
      </c>
      <c r="AV262" s="400">
        <v>7.5828000000000007E-5</v>
      </c>
      <c r="AW262" s="78">
        <v>6928.35</v>
      </c>
      <c r="AX262" s="78">
        <v>0</v>
      </c>
      <c r="AY262" s="78">
        <v>1059</v>
      </c>
      <c r="AZ262" s="78">
        <v>2496.7339127996602</v>
      </c>
      <c r="BA262" s="78">
        <v>2</v>
      </c>
      <c r="BB262" s="78">
        <v>2</v>
      </c>
      <c r="BC262" s="78">
        <v>2267</v>
      </c>
      <c r="BD262" s="78">
        <v>1</v>
      </c>
      <c r="BE262" s="78">
        <v>0</v>
      </c>
      <c r="BF262" s="78">
        <v>0</v>
      </c>
      <c r="BG262" s="78">
        <v>0</v>
      </c>
      <c r="BH262" s="78">
        <v>0</v>
      </c>
      <c r="BI262" s="78">
        <v>0</v>
      </c>
      <c r="BJ262" s="78">
        <v>0</v>
      </c>
      <c r="BK262" s="78">
        <v>0</v>
      </c>
      <c r="BL262" s="78">
        <v>0</v>
      </c>
      <c r="BM262" s="78">
        <v>264.27800000000002</v>
      </c>
      <c r="BN262" s="78">
        <v>30</v>
      </c>
      <c r="BO262" s="78">
        <v>39</v>
      </c>
      <c r="BP262" s="78">
        <v>4909.6000000000004</v>
      </c>
      <c r="BQ262" s="78">
        <v>1163.69</v>
      </c>
      <c r="BR262" s="78">
        <v>46.172859065716501</v>
      </c>
      <c r="BS262" s="78">
        <v>128</v>
      </c>
      <c r="BT262" s="78">
        <v>54</v>
      </c>
      <c r="BU262" s="78">
        <v>32.3333333333333</v>
      </c>
      <c r="BV262" s="78">
        <f t="shared" ref="BV262:BV325" si="16">Q262-O262</f>
        <v>716</v>
      </c>
      <c r="BW262" s="78">
        <v>148</v>
      </c>
      <c r="BX262" s="78">
        <v>2327.7680856408101</v>
      </c>
      <c r="BY262" s="78">
        <v>0.20399999999999999</v>
      </c>
      <c r="BZ262" s="78">
        <v>12966</v>
      </c>
      <c r="CA262" s="78">
        <v>2219</v>
      </c>
      <c r="CB262" s="78">
        <v>355</v>
      </c>
      <c r="CC262" s="78">
        <v>392</v>
      </c>
      <c r="CD262" s="78">
        <v>396</v>
      </c>
      <c r="CE262" s="78">
        <v>155</v>
      </c>
      <c r="CF262" s="78">
        <v>280.50455952715998</v>
      </c>
      <c r="CG262" s="78">
        <v>180.63580073177599</v>
      </c>
      <c r="CH262" s="78">
        <v>47.339037433155099</v>
      </c>
      <c r="CI262" s="78">
        <v>596.33140000000003</v>
      </c>
      <c r="CJ262" s="78">
        <v>384.01799999999997</v>
      </c>
      <c r="CK262" s="78">
        <v>100.6392</v>
      </c>
      <c r="CL262" s="78">
        <v>3650</v>
      </c>
    </row>
    <row r="263" spans="1:90" x14ac:dyDescent="0.35">
      <c r="A263" s="72">
        <v>744</v>
      </c>
      <c r="B263" s="72" t="s">
        <v>32</v>
      </c>
      <c r="C263" s="72">
        <v>10</v>
      </c>
      <c r="D263" s="78">
        <v>759600000</v>
      </c>
      <c r="E263" s="78">
        <v>172550000</v>
      </c>
      <c r="F263" s="78">
        <v>194600000</v>
      </c>
      <c r="G263" s="78">
        <v>6899</v>
      </c>
      <c r="H263" s="78">
        <v>1</v>
      </c>
      <c r="I263" s="78">
        <f t="shared" si="14"/>
        <v>194.6</v>
      </c>
      <c r="J263" s="78">
        <v>1156</v>
      </c>
      <c r="K263" s="78">
        <v>1877</v>
      </c>
      <c r="L263" s="78">
        <v>631</v>
      </c>
      <c r="M263" s="78">
        <v>947</v>
      </c>
      <c r="N263" s="78">
        <f t="shared" si="15"/>
        <v>552.70000000000005</v>
      </c>
      <c r="O263" s="78">
        <v>55.3333333333333</v>
      </c>
      <c r="P263" s="78">
        <v>6</v>
      </c>
      <c r="Q263" s="78">
        <v>93.3333333333333</v>
      </c>
      <c r="R263" s="78">
        <v>970</v>
      </c>
      <c r="S263" s="78">
        <v>105</v>
      </c>
      <c r="T263" s="78">
        <v>0</v>
      </c>
      <c r="U263" s="78">
        <v>195</v>
      </c>
      <c r="V263" s="78">
        <v>3199</v>
      </c>
      <c r="W263" s="78">
        <v>4940</v>
      </c>
      <c r="X263" s="78">
        <v>440</v>
      </c>
      <c r="Y263" s="78">
        <v>0</v>
      </c>
      <c r="Z263" s="78">
        <v>153.6</v>
      </c>
      <c r="AA263" s="78">
        <v>0</v>
      </c>
      <c r="AB263" s="399">
        <f>IF((J263-'[2]Basisgegevens aanvullend'!D263*1.1)&lt;=0,0,J263-'[2]Basisgegevens aanvullend'!D263*1.1)</f>
        <v>0</v>
      </c>
      <c r="AC263" s="399">
        <v>0</v>
      </c>
      <c r="AD263" s="78">
        <v>7611</v>
      </c>
      <c r="AE263" s="78">
        <v>7611</v>
      </c>
      <c r="AF263" s="78">
        <v>18</v>
      </c>
      <c r="AG263" s="78">
        <v>0</v>
      </c>
      <c r="AH263" s="78">
        <v>52</v>
      </c>
      <c r="AI263" s="78">
        <v>87</v>
      </c>
      <c r="AJ263" s="78">
        <v>52</v>
      </c>
      <c r="AK263" s="78">
        <v>87</v>
      </c>
      <c r="AL263" s="78">
        <v>139</v>
      </c>
      <c r="AM263" s="78">
        <v>3943</v>
      </c>
      <c r="AN263" s="78">
        <v>3943</v>
      </c>
      <c r="AO263" s="78">
        <v>0</v>
      </c>
      <c r="AP263" s="78">
        <v>0</v>
      </c>
      <c r="AQ263" s="78">
        <v>0</v>
      </c>
      <c r="AR263" s="78">
        <v>0</v>
      </c>
      <c r="AS263" s="78">
        <v>0</v>
      </c>
      <c r="AT263" s="78">
        <v>0</v>
      </c>
      <c r="AU263" s="400">
        <v>9.7893000000000006E-5</v>
      </c>
      <c r="AV263" s="400">
        <v>3.1458000000000003E-5</v>
      </c>
      <c r="AW263" s="78">
        <v>1372.164</v>
      </c>
      <c r="AX263" s="78">
        <v>0</v>
      </c>
      <c r="AY263" s="78">
        <v>408</v>
      </c>
      <c r="AZ263" s="78">
        <v>368.959496657491</v>
      </c>
      <c r="BA263" s="78">
        <v>5</v>
      </c>
      <c r="BB263" s="78">
        <v>5</v>
      </c>
      <c r="BC263" s="78">
        <v>1132</v>
      </c>
      <c r="BD263" s="78">
        <v>2</v>
      </c>
      <c r="BE263" s="78">
        <v>0</v>
      </c>
      <c r="BF263" s="78">
        <v>0</v>
      </c>
      <c r="BG263" s="78">
        <v>0</v>
      </c>
      <c r="BH263" s="78">
        <v>0</v>
      </c>
      <c r="BI263" s="78">
        <v>0</v>
      </c>
      <c r="BJ263" s="78">
        <v>0</v>
      </c>
      <c r="BK263" s="78">
        <v>0</v>
      </c>
      <c r="BL263" s="78">
        <v>0</v>
      </c>
      <c r="BM263" s="78">
        <v>130.62799999999999</v>
      </c>
      <c r="BN263" s="78">
        <v>3</v>
      </c>
      <c r="BO263" s="78">
        <v>13</v>
      </c>
      <c r="BP263" s="78">
        <v>1978.6</v>
      </c>
      <c r="BQ263" s="78">
        <v>336.6</v>
      </c>
      <c r="BR263" s="78">
        <v>47.313847715736003</v>
      </c>
      <c r="BS263" s="78">
        <v>71</v>
      </c>
      <c r="BT263" s="78">
        <v>18</v>
      </c>
      <c r="BU263" s="78">
        <v>11.6666666666667</v>
      </c>
      <c r="BV263" s="78">
        <f t="shared" si="16"/>
        <v>38</v>
      </c>
      <c r="BW263" s="78">
        <v>56</v>
      </c>
      <c r="BX263" s="78">
        <v>1622.32615250036</v>
      </c>
      <c r="BY263" s="78">
        <v>0.159</v>
      </c>
      <c r="BZ263" s="78">
        <v>5022</v>
      </c>
      <c r="CA263" s="78">
        <v>1044</v>
      </c>
      <c r="CB263" s="78">
        <v>202</v>
      </c>
      <c r="CC263" s="78">
        <v>205</v>
      </c>
      <c r="CD263" s="78">
        <v>185</v>
      </c>
      <c r="CE263" s="78">
        <v>90</v>
      </c>
      <c r="CF263" s="78">
        <v>86.065888917068193</v>
      </c>
      <c r="CG263" s="78">
        <v>59.713466903373103</v>
      </c>
      <c r="CH263" s="78">
        <v>19.624144052751699</v>
      </c>
      <c r="CI263" s="78">
        <v>283.11540000000002</v>
      </c>
      <c r="CJ263" s="78">
        <v>196.42859999999999</v>
      </c>
      <c r="CK263" s="78">
        <v>64.554000000000002</v>
      </c>
      <c r="CL263" s="78">
        <v>0</v>
      </c>
    </row>
    <row r="264" spans="1:90" x14ac:dyDescent="0.35">
      <c r="A264" s="72">
        <v>1724</v>
      </c>
      <c r="B264" s="72" t="s">
        <v>41</v>
      </c>
      <c r="C264" s="72">
        <v>10</v>
      </c>
      <c r="D264" s="78">
        <v>2140000000</v>
      </c>
      <c r="E264" s="78">
        <v>301350000</v>
      </c>
      <c r="F264" s="78">
        <v>347900000</v>
      </c>
      <c r="G264" s="78">
        <v>18754</v>
      </c>
      <c r="H264" s="78">
        <v>5</v>
      </c>
      <c r="I264" s="78">
        <f t="shared" si="14"/>
        <v>347.9</v>
      </c>
      <c r="J264" s="78">
        <v>3307</v>
      </c>
      <c r="K264" s="78">
        <v>4291</v>
      </c>
      <c r="L264" s="78">
        <v>1438</v>
      </c>
      <c r="M264" s="78">
        <v>1917</v>
      </c>
      <c r="N264" s="78">
        <f t="shared" si="15"/>
        <v>1030.5</v>
      </c>
      <c r="O264" s="78">
        <v>127.666666666667</v>
      </c>
      <c r="P264" s="78">
        <v>28</v>
      </c>
      <c r="Q264" s="78">
        <v>877.66666666666697</v>
      </c>
      <c r="R264" s="78">
        <v>2258</v>
      </c>
      <c r="S264" s="78">
        <v>190</v>
      </c>
      <c r="T264" s="78">
        <v>0</v>
      </c>
      <c r="U264" s="78">
        <v>449</v>
      </c>
      <c r="V264" s="78">
        <v>8124</v>
      </c>
      <c r="W264" s="78">
        <v>14780</v>
      </c>
      <c r="X264" s="78">
        <v>3420</v>
      </c>
      <c r="Y264" s="78">
        <v>0</v>
      </c>
      <c r="Z264" s="78">
        <v>0</v>
      </c>
      <c r="AA264" s="78">
        <v>0</v>
      </c>
      <c r="AB264" s="399">
        <f>IF((J264-'[2]Basisgegevens aanvullend'!D264*1.1)&lt;=0,0,J264-'[2]Basisgegevens aanvullend'!D264*1.1)</f>
        <v>0</v>
      </c>
      <c r="AC264" s="399">
        <v>0</v>
      </c>
      <c r="AD264" s="78">
        <v>10105</v>
      </c>
      <c r="AE264" s="78">
        <v>10105</v>
      </c>
      <c r="AF264" s="78">
        <v>71</v>
      </c>
      <c r="AG264" s="78">
        <v>0</v>
      </c>
      <c r="AH264" s="78">
        <v>159</v>
      </c>
      <c r="AI264" s="78">
        <v>78</v>
      </c>
      <c r="AJ264" s="78">
        <v>159</v>
      </c>
      <c r="AK264" s="78">
        <v>78</v>
      </c>
      <c r="AL264" s="78">
        <v>237</v>
      </c>
      <c r="AM264" s="78">
        <v>8865</v>
      </c>
      <c r="AN264" s="78">
        <v>8865</v>
      </c>
      <c r="AO264" s="78">
        <v>0</v>
      </c>
      <c r="AP264" s="78">
        <v>0</v>
      </c>
      <c r="AQ264" s="78">
        <v>0</v>
      </c>
      <c r="AR264" s="78">
        <v>0</v>
      </c>
      <c r="AS264" s="78">
        <v>0</v>
      </c>
      <c r="AT264" s="78">
        <v>0</v>
      </c>
      <c r="AU264" s="400">
        <v>1.2627999999999999E-4</v>
      </c>
      <c r="AV264" s="400">
        <v>6.2057999999999994E-5</v>
      </c>
      <c r="AW264" s="78">
        <v>4512.2849999999999</v>
      </c>
      <c r="AX264" s="78">
        <v>0</v>
      </c>
      <c r="AY264" s="78">
        <v>690</v>
      </c>
      <c r="AZ264" s="78">
        <v>1271.6450471698099</v>
      </c>
      <c r="BA264" s="78">
        <v>9</v>
      </c>
      <c r="BB264" s="78">
        <v>9</v>
      </c>
      <c r="BC264" s="78">
        <v>2642</v>
      </c>
      <c r="BD264" s="78">
        <v>1</v>
      </c>
      <c r="BE264" s="78">
        <v>0</v>
      </c>
      <c r="BF264" s="78">
        <v>0</v>
      </c>
      <c r="BG264" s="78">
        <v>0</v>
      </c>
      <c r="BH264" s="78">
        <v>0</v>
      </c>
      <c r="BI264" s="78">
        <v>0</v>
      </c>
      <c r="BJ264" s="78">
        <v>0</v>
      </c>
      <c r="BK264" s="78">
        <v>0</v>
      </c>
      <c r="BL264" s="78">
        <v>0</v>
      </c>
      <c r="BM264" s="78">
        <v>241.411</v>
      </c>
      <c r="BN264" s="78">
        <v>42</v>
      </c>
      <c r="BO264" s="78">
        <v>27</v>
      </c>
      <c r="BP264" s="78">
        <v>5820.29</v>
      </c>
      <c r="BQ264" s="78">
        <v>1286.52</v>
      </c>
      <c r="BR264" s="78">
        <v>96.311559830568299</v>
      </c>
      <c r="BS264" s="78">
        <v>185</v>
      </c>
      <c r="BT264" s="78">
        <v>36</v>
      </c>
      <c r="BU264" s="78">
        <v>25.6666666666667</v>
      </c>
      <c r="BV264" s="78">
        <f t="shared" si="16"/>
        <v>750</v>
      </c>
      <c r="BW264" s="78">
        <v>172</v>
      </c>
      <c r="BX264" s="78">
        <v>3160.8566246310702</v>
      </c>
      <c r="BY264" s="78">
        <v>9.1999999999999998E-2</v>
      </c>
      <c r="BZ264" s="78">
        <v>14463</v>
      </c>
      <c r="CA264" s="78">
        <v>2403</v>
      </c>
      <c r="CB264" s="78">
        <v>450</v>
      </c>
      <c r="CC264" s="78">
        <v>354</v>
      </c>
      <c r="CD264" s="78">
        <v>433</v>
      </c>
      <c r="CE264" s="78">
        <v>241</v>
      </c>
      <c r="CF264" s="78">
        <v>164.25228426395901</v>
      </c>
      <c r="CG264" s="78">
        <v>114.616243654822</v>
      </c>
      <c r="CH264" s="78">
        <v>39.406598984771598</v>
      </c>
      <c r="CI264" s="78">
        <v>570.99329999999998</v>
      </c>
      <c r="CJ264" s="78">
        <v>398.44260000000003</v>
      </c>
      <c r="CK264" s="78">
        <v>136.98990000000001</v>
      </c>
      <c r="CL264" s="78">
        <v>0</v>
      </c>
    </row>
    <row r="265" spans="1:90" x14ac:dyDescent="0.35">
      <c r="A265" s="72">
        <v>748</v>
      </c>
      <c r="B265" s="72" t="s">
        <v>44</v>
      </c>
      <c r="C265" s="72">
        <v>10</v>
      </c>
      <c r="D265" s="78">
        <v>6084400000</v>
      </c>
      <c r="E265" s="78">
        <v>1134700000</v>
      </c>
      <c r="F265" s="78">
        <v>1208550000</v>
      </c>
      <c r="G265" s="78">
        <v>67514</v>
      </c>
      <c r="H265" s="78">
        <v>2</v>
      </c>
      <c r="I265" s="78">
        <f t="shared" si="14"/>
        <v>1208.55</v>
      </c>
      <c r="J265" s="78">
        <v>12296</v>
      </c>
      <c r="K265" s="78">
        <v>14905</v>
      </c>
      <c r="L265" s="78">
        <v>4804</v>
      </c>
      <c r="M265" s="78">
        <v>9814</v>
      </c>
      <c r="N265" s="78">
        <f t="shared" si="15"/>
        <v>6660.7999999999993</v>
      </c>
      <c r="O265" s="78">
        <v>1706.6666666666699</v>
      </c>
      <c r="P265" s="78">
        <v>48</v>
      </c>
      <c r="Q265" s="78">
        <v>5714.6666666666697</v>
      </c>
      <c r="R265" s="78">
        <v>10796</v>
      </c>
      <c r="S265" s="78">
        <v>7925</v>
      </c>
      <c r="T265" s="78">
        <v>0</v>
      </c>
      <c r="U265" s="78">
        <v>2268</v>
      </c>
      <c r="V265" s="78">
        <v>31939</v>
      </c>
      <c r="W265" s="78">
        <v>74120</v>
      </c>
      <c r="X265" s="78">
        <v>84460</v>
      </c>
      <c r="Y265" s="78">
        <v>2356.92</v>
      </c>
      <c r="Z265" s="78">
        <v>4131.2</v>
      </c>
      <c r="AA265" s="78">
        <v>0</v>
      </c>
      <c r="AB265" s="399">
        <f>IF((J265-'[2]Basisgegevens aanvullend'!D265*1.1)&lt;=0,0,J265-'[2]Basisgegevens aanvullend'!D265*1.1)</f>
        <v>0</v>
      </c>
      <c r="AC265" s="399">
        <v>0</v>
      </c>
      <c r="AD265" s="78">
        <v>7984</v>
      </c>
      <c r="AE265" s="78">
        <v>8303.36</v>
      </c>
      <c r="AF265" s="78">
        <v>1329</v>
      </c>
      <c r="AG265" s="78">
        <v>0</v>
      </c>
      <c r="AH265" s="78">
        <v>347</v>
      </c>
      <c r="AI265" s="78">
        <v>106</v>
      </c>
      <c r="AJ265" s="78">
        <v>350.47</v>
      </c>
      <c r="AK265" s="78">
        <v>111.3</v>
      </c>
      <c r="AL265" s="78">
        <v>453</v>
      </c>
      <c r="AM265" s="78">
        <v>31532</v>
      </c>
      <c r="AN265" s="78">
        <v>31847.32</v>
      </c>
      <c r="AO265" s="78">
        <v>39</v>
      </c>
      <c r="AP265" s="78">
        <v>0</v>
      </c>
      <c r="AQ265" s="78">
        <v>0</v>
      </c>
      <c r="AR265" s="78">
        <v>1100</v>
      </c>
      <c r="AS265" s="78">
        <v>4083</v>
      </c>
      <c r="AT265" s="78">
        <v>4083</v>
      </c>
      <c r="AU265" s="400">
        <v>1.541239E-3</v>
      </c>
      <c r="AV265" s="400">
        <v>1.7147130000000001E-3</v>
      </c>
      <c r="AW265" s="78">
        <v>58491.86</v>
      </c>
      <c r="AX265" s="78">
        <v>0</v>
      </c>
      <c r="AY265" s="78">
        <v>2022.8</v>
      </c>
      <c r="AZ265" s="78">
        <v>18479.103034467898</v>
      </c>
      <c r="BA265" s="78">
        <v>8</v>
      </c>
      <c r="BB265" s="78">
        <v>8.4</v>
      </c>
      <c r="BC265" s="78">
        <v>6730</v>
      </c>
      <c r="BD265" s="78">
        <v>1</v>
      </c>
      <c r="BE265" s="78">
        <v>0</v>
      </c>
      <c r="BF265" s="78">
        <v>0</v>
      </c>
      <c r="BG265" s="78">
        <v>0</v>
      </c>
      <c r="BH265" s="78">
        <v>0</v>
      </c>
      <c r="BI265" s="78">
        <v>0</v>
      </c>
      <c r="BJ265" s="78">
        <v>0</v>
      </c>
      <c r="BK265" s="78">
        <v>0</v>
      </c>
      <c r="BL265" s="78">
        <v>0</v>
      </c>
      <c r="BM265" s="78">
        <v>1930.472</v>
      </c>
      <c r="BN265" s="78">
        <v>221</v>
      </c>
      <c r="BO265" s="78">
        <v>350</v>
      </c>
      <c r="BP265" s="78">
        <v>19875.05</v>
      </c>
      <c r="BQ265" s="78">
        <v>4378.5</v>
      </c>
      <c r="BR265" s="78">
        <v>547.65809249129802</v>
      </c>
      <c r="BS265" s="78">
        <v>869</v>
      </c>
      <c r="BT265" s="78">
        <v>514.33333333333303</v>
      </c>
      <c r="BU265" s="78">
        <v>425</v>
      </c>
      <c r="BV265" s="78">
        <f t="shared" si="16"/>
        <v>4008</v>
      </c>
      <c r="BW265" s="78">
        <v>1019</v>
      </c>
      <c r="BX265" s="78">
        <v>13866.1768804077</v>
      </c>
      <c r="BY265" s="78">
        <v>5.524</v>
      </c>
      <c r="BZ265" s="78">
        <v>52609</v>
      </c>
      <c r="CA265" s="78">
        <v>8545</v>
      </c>
      <c r="CB265" s="78">
        <v>1556</v>
      </c>
      <c r="CC265" s="78">
        <v>1920</v>
      </c>
      <c r="CD265" s="78">
        <v>1624</v>
      </c>
      <c r="CE265" s="78">
        <v>776</v>
      </c>
      <c r="CF265" s="78">
        <v>1125.0609158949601</v>
      </c>
      <c r="CG265" s="78">
        <v>704.06083978180902</v>
      </c>
      <c r="CH265" s="78">
        <v>231.30711657998199</v>
      </c>
      <c r="CI265" s="78">
        <v>2477.6552000000001</v>
      </c>
      <c r="CJ265" s="78">
        <v>1550.5116</v>
      </c>
      <c r="CK265" s="78">
        <v>509.39400000000001</v>
      </c>
      <c r="CL265" s="78">
        <v>100313</v>
      </c>
    </row>
    <row r="266" spans="1:90" x14ac:dyDescent="0.35">
      <c r="A266" s="72">
        <v>1721</v>
      </c>
      <c r="B266" s="72" t="s">
        <v>46</v>
      </c>
      <c r="C266" s="72">
        <v>10</v>
      </c>
      <c r="D266" s="78">
        <v>3264000000</v>
      </c>
      <c r="E266" s="78">
        <v>360850000</v>
      </c>
      <c r="F266" s="78">
        <v>411950000</v>
      </c>
      <c r="G266" s="78">
        <v>31455</v>
      </c>
      <c r="H266" s="78">
        <v>4</v>
      </c>
      <c r="I266" s="78">
        <f t="shared" si="14"/>
        <v>411.95</v>
      </c>
      <c r="J266" s="78">
        <v>6110</v>
      </c>
      <c r="K266" s="78">
        <v>6766</v>
      </c>
      <c r="L266" s="78">
        <v>2134</v>
      </c>
      <c r="M266" s="78">
        <v>3301</v>
      </c>
      <c r="N266" s="78">
        <f t="shared" si="15"/>
        <v>2000.6</v>
      </c>
      <c r="O266" s="78">
        <v>265.66666666666703</v>
      </c>
      <c r="P266" s="78">
        <v>61</v>
      </c>
      <c r="Q266" s="78">
        <v>1709.6666666666699</v>
      </c>
      <c r="R266" s="78">
        <v>3481</v>
      </c>
      <c r="S266" s="78">
        <v>490</v>
      </c>
      <c r="T266" s="78">
        <v>0</v>
      </c>
      <c r="U266" s="78">
        <v>786</v>
      </c>
      <c r="V266" s="78">
        <v>13270</v>
      </c>
      <c r="W266" s="78">
        <v>25380</v>
      </c>
      <c r="X266" s="78">
        <v>6400</v>
      </c>
      <c r="Y266" s="78">
        <v>0</v>
      </c>
      <c r="Z266" s="78">
        <v>759.2</v>
      </c>
      <c r="AA266" s="78">
        <v>0</v>
      </c>
      <c r="AB266" s="399">
        <f>IF((J266-'[2]Basisgegevens aanvullend'!D266*1.1)&lt;=0,0,J266-'[2]Basisgegevens aanvullend'!D266*1.1)</f>
        <v>0</v>
      </c>
      <c r="AC266" s="399">
        <v>0</v>
      </c>
      <c r="AD266" s="78">
        <v>8971</v>
      </c>
      <c r="AE266" s="78">
        <v>8971</v>
      </c>
      <c r="AF266" s="78">
        <v>69</v>
      </c>
      <c r="AG266" s="78">
        <v>0</v>
      </c>
      <c r="AH266" s="78">
        <v>187</v>
      </c>
      <c r="AI266" s="78">
        <v>151</v>
      </c>
      <c r="AJ266" s="78">
        <v>187</v>
      </c>
      <c r="AK266" s="78">
        <v>151</v>
      </c>
      <c r="AL266" s="78">
        <v>338</v>
      </c>
      <c r="AM266" s="78">
        <v>13004</v>
      </c>
      <c r="AN266" s="78">
        <v>13004</v>
      </c>
      <c r="AO266" s="78">
        <v>0</v>
      </c>
      <c r="AP266" s="78">
        <v>0</v>
      </c>
      <c r="AQ266" s="78">
        <v>0</v>
      </c>
      <c r="AR266" s="78">
        <v>0</v>
      </c>
      <c r="AS266" s="78">
        <v>0</v>
      </c>
      <c r="AT266" s="78">
        <v>0</v>
      </c>
      <c r="AU266" s="400">
        <v>1.39025E-4</v>
      </c>
      <c r="AV266" s="400">
        <v>9.2204E-5</v>
      </c>
      <c r="AW266" s="78">
        <v>8920.7440000000006</v>
      </c>
      <c r="AX266" s="78">
        <v>0</v>
      </c>
      <c r="AY266" s="78">
        <v>1123</v>
      </c>
      <c r="AZ266" s="78">
        <v>3907.5182522123901</v>
      </c>
      <c r="BA266" s="78">
        <v>8</v>
      </c>
      <c r="BB266" s="78">
        <v>8</v>
      </c>
      <c r="BC266" s="78">
        <v>3923</v>
      </c>
      <c r="BD266" s="78">
        <v>1</v>
      </c>
      <c r="BE266" s="78">
        <v>0</v>
      </c>
      <c r="BF266" s="78">
        <v>0</v>
      </c>
      <c r="BG266" s="78">
        <v>0</v>
      </c>
      <c r="BH266" s="78">
        <v>0</v>
      </c>
      <c r="BI266" s="78">
        <v>0</v>
      </c>
      <c r="BJ266" s="78">
        <v>0</v>
      </c>
      <c r="BK266" s="78">
        <v>0</v>
      </c>
      <c r="BL266" s="78">
        <v>0</v>
      </c>
      <c r="BM266" s="78">
        <v>446.03</v>
      </c>
      <c r="BN266" s="78">
        <v>72</v>
      </c>
      <c r="BO266" s="78">
        <v>43</v>
      </c>
      <c r="BP266" s="78">
        <v>9337.43</v>
      </c>
      <c r="BQ266" s="78">
        <v>2411.2800000000002</v>
      </c>
      <c r="BR266" s="78">
        <v>155.477787787788</v>
      </c>
      <c r="BS266" s="78">
        <v>310</v>
      </c>
      <c r="BT266" s="78">
        <v>83.6666666666667</v>
      </c>
      <c r="BU266" s="78">
        <v>62.6666666666667</v>
      </c>
      <c r="BV266" s="78">
        <f t="shared" si="16"/>
        <v>1444.000000000003</v>
      </c>
      <c r="BW266" s="78">
        <v>324</v>
      </c>
      <c r="BX266" s="78">
        <v>4923.85534571063</v>
      </c>
      <c r="BY266" s="78">
        <v>0.155</v>
      </c>
      <c r="BZ266" s="78">
        <v>24689</v>
      </c>
      <c r="CA266" s="78">
        <v>3806</v>
      </c>
      <c r="CB266" s="78">
        <v>826</v>
      </c>
      <c r="CC266" s="78">
        <v>592</v>
      </c>
      <c r="CD266" s="78">
        <v>594</v>
      </c>
      <c r="CE266" s="78">
        <v>343</v>
      </c>
      <c r="CF266" s="78">
        <v>343.84350968932603</v>
      </c>
      <c r="CG266" s="78">
        <v>212.92143955705899</v>
      </c>
      <c r="CH266" s="78">
        <v>78.153245155336805</v>
      </c>
      <c r="CI266" s="78">
        <v>895.11749999999995</v>
      </c>
      <c r="CJ266" s="78">
        <v>554.29200000000003</v>
      </c>
      <c r="CK266" s="78">
        <v>203.45400000000001</v>
      </c>
      <c r="CL266" s="78">
        <v>9790</v>
      </c>
    </row>
    <row r="267" spans="1:90" x14ac:dyDescent="0.35">
      <c r="A267" s="72">
        <v>753</v>
      </c>
      <c r="B267" s="72" t="s">
        <v>47</v>
      </c>
      <c r="C267" s="72">
        <v>10</v>
      </c>
      <c r="D267" s="78">
        <v>3268000000</v>
      </c>
      <c r="E267" s="78">
        <v>483000000</v>
      </c>
      <c r="F267" s="78">
        <v>494550000</v>
      </c>
      <c r="G267" s="78">
        <v>30216</v>
      </c>
      <c r="H267" s="78">
        <v>1</v>
      </c>
      <c r="I267" s="78">
        <f t="shared" si="14"/>
        <v>494.55</v>
      </c>
      <c r="J267" s="78">
        <v>5731</v>
      </c>
      <c r="K267" s="78">
        <v>5886</v>
      </c>
      <c r="L267" s="78">
        <v>1924</v>
      </c>
      <c r="M267" s="78">
        <v>3157</v>
      </c>
      <c r="N267" s="78">
        <f t="shared" si="15"/>
        <v>1854.3999999999999</v>
      </c>
      <c r="O267" s="78">
        <v>406.66666666666703</v>
      </c>
      <c r="P267" s="78">
        <v>48</v>
      </c>
      <c r="Q267" s="78">
        <v>1644.6666666666699</v>
      </c>
      <c r="R267" s="78">
        <v>3891</v>
      </c>
      <c r="S267" s="78">
        <v>1275</v>
      </c>
      <c r="T267" s="78">
        <v>0</v>
      </c>
      <c r="U267" s="78">
        <v>948</v>
      </c>
      <c r="V267" s="78">
        <v>13116</v>
      </c>
      <c r="W267" s="78">
        <v>29930</v>
      </c>
      <c r="X267" s="78">
        <v>18400</v>
      </c>
      <c r="Y267" s="78">
        <v>0</v>
      </c>
      <c r="Z267" s="78">
        <v>1470.4</v>
      </c>
      <c r="AA267" s="78">
        <v>0</v>
      </c>
      <c r="AB267" s="399">
        <f>IF((J267-'[2]Basisgegevens aanvullend'!D267*1.1)&lt;=0,0,J267-'[2]Basisgegevens aanvullend'!D267*1.1)</f>
        <v>0</v>
      </c>
      <c r="AC267" s="399">
        <v>0</v>
      </c>
      <c r="AD267" s="78">
        <v>3430</v>
      </c>
      <c r="AE267" s="78">
        <v>3430</v>
      </c>
      <c r="AF267" s="78">
        <v>80</v>
      </c>
      <c r="AG267" s="78">
        <v>0</v>
      </c>
      <c r="AH267" s="78">
        <v>178</v>
      </c>
      <c r="AI267" s="78">
        <v>52</v>
      </c>
      <c r="AJ267" s="78">
        <v>178</v>
      </c>
      <c r="AK267" s="78">
        <v>52</v>
      </c>
      <c r="AL267" s="78">
        <v>230</v>
      </c>
      <c r="AM267" s="78">
        <v>13026</v>
      </c>
      <c r="AN267" s="78">
        <v>13026</v>
      </c>
      <c r="AO267" s="78">
        <v>0</v>
      </c>
      <c r="AP267" s="78">
        <v>0</v>
      </c>
      <c r="AQ267" s="78">
        <v>0</v>
      </c>
      <c r="AR267" s="78">
        <v>0</v>
      </c>
      <c r="AS267" s="78">
        <v>0</v>
      </c>
      <c r="AT267" s="78">
        <v>0</v>
      </c>
      <c r="AU267" s="400">
        <v>7.6761999999999995E-5</v>
      </c>
      <c r="AV267" s="400">
        <v>2.15054E-4</v>
      </c>
      <c r="AW267" s="78">
        <v>18718.362000000001</v>
      </c>
      <c r="AX267" s="78">
        <v>0</v>
      </c>
      <c r="AY267" s="78">
        <v>486</v>
      </c>
      <c r="AZ267" s="78">
        <v>4183.7538461538497</v>
      </c>
      <c r="BA267" s="78">
        <v>2</v>
      </c>
      <c r="BB267" s="78">
        <v>2</v>
      </c>
      <c r="BC267" s="78">
        <v>3258</v>
      </c>
      <c r="BD267" s="78">
        <v>1</v>
      </c>
      <c r="BE267" s="78">
        <v>0</v>
      </c>
      <c r="BF267" s="78">
        <v>0</v>
      </c>
      <c r="BG267" s="78">
        <v>0</v>
      </c>
      <c r="BH267" s="78">
        <v>0</v>
      </c>
      <c r="BI267" s="78">
        <v>0</v>
      </c>
      <c r="BJ267" s="78">
        <v>0</v>
      </c>
      <c r="BK267" s="78">
        <v>0</v>
      </c>
      <c r="BL267" s="78">
        <v>0</v>
      </c>
      <c r="BM267" s="78">
        <v>395.43900000000002</v>
      </c>
      <c r="BN267" s="78">
        <v>40</v>
      </c>
      <c r="BO267" s="78">
        <v>47</v>
      </c>
      <c r="BP267" s="78">
        <v>10037.719999999999</v>
      </c>
      <c r="BQ267" s="78">
        <v>2436.8200000000002</v>
      </c>
      <c r="BR267" s="78">
        <v>213.076326170687</v>
      </c>
      <c r="BS267" s="78">
        <v>367</v>
      </c>
      <c r="BT267" s="78">
        <v>117.333333333333</v>
      </c>
      <c r="BU267" s="78">
        <v>105.666666666667</v>
      </c>
      <c r="BV267" s="78">
        <f t="shared" si="16"/>
        <v>1238.000000000003</v>
      </c>
      <c r="BW267" s="78">
        <v>240</v>
      </c>
      <c r="BX267" s="78">
        <v>5321.5950060023997</v>
      </c>
      <c r="BY267" s="78">
        <v>0.54100000000000004</v>
      </c>
      <c r="BZ267" s="78">
        <v>24330</v>
      </c>
      <c r="CA267" s="78">
        <v>3346</v>
      </c>
      <c r="CB267" s="78">
        <v>616</v>
      </c>
      <c r="CC267" s="78">
        <v>649</v>
      </c>
      <c r="CD267" s="78">
        <v>609</v>
      </c>
      <c r="CE267" s="78">
        <v>343</v>
      </c>
      <c r="CF267" s="78">
        <v>299.10136649777399</v>
      </c>
      <c r="CG267" s="78">
        <v>188.913618916014</v>
      </c>
      <c r="CH267" s="78">
        <v>71.038354061108606</v>
      </c>
      <c r="CI267" s="78">
        <v>776.31949999999995</v>
      </c>
      <c r="CJ267" s="78">
        <v>490.32650000000001</v>
      </c>
      <c r="CK267" s="78">
        <v>184.38050000000001</v>
      </c>
      <c r="CL267" s="78">
        <v>8760</v>
      </c>
    </row>
    <row r="268" spans="1:90" x14ac:dyDescent="0.35">
      <c r="A268" s="72">
        <v>1728</v>
      </c>
      <c r="B268" s="72" t="s">
        <v>50</v>
      </c>
      <c r="C268" s="72">
        <v>10</v>
      </c>
      <c r="D268" s="78">
        <v>2314800000</v>
      </c>
      <c r="E268" s="78">
        <v>445550000</v>
      </c>
      <c r="F268" s="78">
        <v>477400000</v>
      </c>
      <c r="G268" s="78">
        <v>20529</v>
      </c>
      <c r="H268" s="78">
        <v>4</v>
      </c>
      <c r="I268" s="78">
        <f t="shared" si="14"/>
        <v>477.4</v>
      </c>
      <c r="J268" s="78">
        <v>3800</v>
      </c>
      <c r="K268" s="78">
        <v>4494</v>
      </c>
      <c r="L268" s="78">
        <v>1546</v>
      </c>
      <c r="M268" s="78">
        <v>2315</v>
      </c>
      <c r="N268" s="78">
        <f t="shared" si="15"/>
        <v>1354.3</v>
      </c>
      <c r="O268" s="78">
        <v>131.333333333333</v>
      </c>
      <c r="P268" s="78">
        <v>32</v>
      </c>
      <c r="Q268" s="78">
        <v>1050.3333333333301</v>
      </c>
      <c r="R268" s="78">
        <v>2593</v>
      </c>
      <c r="S268" s="78">
        <v>225</v>
      </c>
      <c r="T268" s="78">
        <v>0</v>
      </c>
      <c r="U268" s="78">
        <v>477</v>
      </c>
      <c r="V268" s="78">
        <v>8956</v>
      </c>
      <c r="W268" s="78">
        <v>18340</v>
      </c>
      <c r="X268" s="78">
        <v>4570</v>
      </c>
      <c r="Y268" s="78">
        <v>694.98</v>
      </c>
      <c r="Z268" s="78">
        <v>1626.4</v>
      </c>
      <c r="AA268" s="78">
        <v>0</v>
      </c>
      <c r="AB268" s="399">
        <f>IF((J268-'[2]Basisgegevens aanvullend'!D268*1.1)&lt;=0,0,J268-'[2]Basisgegevens aanvullend'!D268*1.1)</f>
        <v>0</v>
      </c>
      <c r="AC268" s="399">
        <v>0</v>
      </c>
      <c r="AD268" s="78">
        <v>7531</v>
      </c>
      <c r="AE268" s="78">
        <v>7531</v>
      </c>
      <c r="AF268" s="78">
        <v>32</v>
      </c>
      <c r="AG268" s="78">
        <v>0</v>
      </c>
      <c r="AH268" s="78">
        <v>175</v>
      </c>
      <c r="AI268" s="78">
        <v>87</v>
      </c>
      <c r="AJ268" s="78">
        <v>175</v>
      </c>
      <c r="AK268" s="78">
        <v>87</v>
      </c>
      <c r="AL268" s="78">
        <v>262</v>
      </c>
      <c r="AM268" s="78">
        <v>9607</v>
      </c>
      <c r="AN268" s="78">
        <v>9607</v>
      </c>
      <c r="AO268" s="78">
        <v>0</v>
      </c>
      <c r="AP268" s="78">
        <v>0</v>
      </c>
      <c r="AQ268" s="78">
        <v>0</v>
      </c>
      <c r="AR268" s="78">
        <v>0</v>
      </c>
      <c r="AS268" s="78">
        <v>0</v>
      </c>
      <c r="AT268" s="78">
        <v>0</v>
      </c>
      <c r="AU268" s="400">
        <v>1.09221E-4</v>
      </c>
      <c r="AV268" s="400">
        <v>7.9597000000000004E-5</v>
      </c>
      <c r="AW268" s="78">
        <v>6628.83</v>
      </c>
      <c r="AX268" s="78">
        <v>0</v>
      </c>
      <c r="AY268" s="78">
        <v>621</v>
      </c>
      <c r="AZ268" s="78">
        <v>1685.64180880603</v>
      </c>
      <c r="BA268" s="78">
        <v>9</v>
      </c>
      <c r="BB268" s="78">
        <v>9</v>
      </c>
      <c r="BC268" s="78">
        <v>2678</v>
      </c>
      <c r="BD268" s="78">
        <v>1</v>
      </c>
      <c r="BE268" s="78">
        <v>0</v>
      </c>
      <c r="BF268" s="78">
        <v>0</v>
      </c>
      <c r="BG268" s="78">
        <v>0</v>
      </c>
      <c r="BH268" s="78">
        <v>0</v>
      </c>
      <c r="BI268" s="78">
        <v>0</v>
      </c>
      <c r="BJ268" s="78">
        <v>0</v>
      </c>
      <c r="BK268" s="78">
        <v>0</v>
      </c>
      <c r="BL268" s="78">
        <v>0</v>
      </c>
      <c r="BM268" s="78">
        <v>262.2</v>
      </c>
      <c r="BN268" s="78">
        <v>63</v>
      </c>
      <c r="BO268" s="78">
        <v>58</v>
      </c>
      <c r="BP268" s="78">
        <v>6097</v>
      </c>
      <c r="BQ268" s="78">
        <v>1417.26</v>
      </c>
      <c r="BR268" s="78">
        <v>135.43437499999999</v>
      </c>
      <c r="BS268" s="78">
        <v>185</v>
      </c>
      <c r="BT268" s="78">
        <v>39</v>
      </c>
      <c r="BU268" s="78">
        <v>27.6666666666667</v>
      </c>
      <c r="BV268" s="78">
        <f t="shared" si="16"/>
        <v>918.99999999999704</v>
      </c>
      <c r="BW268" s="78">
        <v>216</v>
      </c>
      <c r="BX268" s="78">
        <v>3496.8770377636101</v>
      </c>
      <c r="BY268" s="78">
        <v>0.10199999999999999</v>
      </c>
      <c r="BZ268" s="78">
        <v>16035</v>
      </c>
      <c r="CA268" s="78">
        <v>2459</v>
      </c>
      <c r="CB268" s="78">
        <v>489</v>
      </c>
      <c r="CC268" s="78">
        <v>448</v>
      </c>
      <c r="CD268" s="78">
        <v>458</v>
      </c>
      <c r="CE268" s="78">
        <v>228</v>
      </c>
      <c r="CF268" s="78">
        <v>208.21287602789599</v>
      </c>
      <c r="CG268" s="78">
        <v>148.582512751119</v>
      </c>
      <c r="CH268" s="78">
        <v>47.365962319142298</v>
      </c>
      <c r="CI268" s="78">
        <v>629.34969999999998</v>
      </c>
      <c r="CJ268" s="78">
        <v>449.10939999999999</v>
      </c>
      <c r="CK268" s="78">
        <v>143.1696</v>
      </c>
      <c r="CL268" s="78">
        <v>33099</v>
      </c>
    </row>
    <row r="269" spans="1:90" x14ac:dyDescent="0.35">
      <c r="A269" s="72">
        <v>755</v>
      </c>
      <c r="B269" s="72" t="s">
        <v>54</v>
      </c>
      <c r="C269" s="72">
        <v>10</v>
      </c>
      <c r="D269" s="78">
        <v>1028000000</v>
      </c>
      <c r="E269" s="78">
        <v>149800000</v>
      </c>
      <c r="F269" s="78">
        <v>178150000</v>
      </c>
      <c r="G269" s="78">
        <v>10959</v>
      </c>
      <c r="H269" s="78">
        <v>1</v>
      </c>
      <c r="I269" s="78">
        <f t="shared" si="14"/>
        <v>178.15</v>
      </c>
      <c r="J269" s="78">
        <v>2189</v>
      </c>
      <c r="K269" s="78">
        <v>2070</v>
      </c>
      <c r="L269" s="78">
        <v>649</v>
      </c>
      <c r="M269" s="78">
        <v>1118</v>
      </c>
      <c r="N269" s="78">
        <f t="shared" si="15"/>
        <v>660.2</v>
      </c>
      <c r="O269" s="78">
        <v>67.3333333333333</v>
      </c>
      <c r="P269" s="78">
        <v>24</v>
      </c>
      <c r="Q269" s="78">
        <v>641.33333333333303</v>
      </c>
      <c r="R269" s="78">
        <v>1133</v>
      </c>
      <c r="S269" s="78">
        <v>110</v>
      </c>
      <c r="T269" s="78">
        <v>0</v>
      </c>
      <c r="U269" s="78">
        <v>239</v>
      </c>
      <c r="V269" s="78">
        <v>4582</v>
      </c>
      <c r="W269" s="78">
        <v>9360</v>
      </c>
      <c r="X269" s="78">
        <v>2200</v>
      </c>
      <c r="Y269" s="78">
        <v>0</v>
      </c>
      <c r="Z269" s="78">
        <v>0</v>
      </c>
      <c r="AA269" s="78">
        <v>0</v>
      </c>
      <c r="AB269" s="399">
        <f>IF((J269-'[2]Basisgegevens aanvullend'!D269*1.1)&lt;=0,0,J269-'[2]Basisgegevens aanvullend'!D269*1.1)</f>
        <v>0</v>
      </c>
      <c r="AC269" s="399">
        <v>0</v>
      </c>
      <c r="AD269" s="78">
        <v>3451</v>
      </c>
      <c r="AE269" s="78">
        <v>3451</v>
      </c>
      <c r="AF269" s="78">
        <v>1</v>
      </c>
      <c r="AG269" s="78">
        <v>0</v>
      </c>
      <c r="AH269" s="78">
        <v>70</v>
      </c>
      <c r="AI269" s="78">
        <v>79</v>
      </c>
      <c r="AJ269" s="78">
        <v>70</v>
      </c>
      <c r="AK269" s="78">
        <v>79</v>
      </c>
      <c r="AL269" s="78">
        <v>149</v>
      </c>
      <c r="AM269" s="78">
        <v>4578</v>
      </c>
      <c r="AN269" s="78">
        <v>4578</v>
      </c>
      <c r="AO269" s="78">
        <v>0</v>
      </c>
      <c r="AP269" s="78">
        <v>0</v>
      </c>
      <c r="AQ269" s="78">
        <v>0</v>
      </c>
      <c r="AR269" s="78">
        <v>0</v>
      </c>
      <c r="AS269" s="78">
        <v>0</v>
      </c>
      <c r="AT269" s="78">
        <v>0</v>
      </c>
      <c r="AU269" s="400">
        <v>5.3584000000000001E-5</v>
      </c>
      <c r="AV269" s="400">
        <v>2.7067E-5</v>
      </c>
      <c r="AW269" s="78">
        <v>2522.4780000000001</v>
      </c>
      <c r="AX269" s="78">
        <v>0</v>
      </c>
      <c r="AY269" s="78">
        <v>166</v>
      </c>
      <c r="AZ269" s="78">
        <v>526.99710312862101</v>
      </c>
      <c r="BA269" s="78">
        <v>6</v>
      </c>
      <c r="BB269" s="78">
        <v>6</v>
      </c>
      <c r="BC269" s="78">
        <v>1432</v>
      </c>
      <c r="BD269" s="78">
        <v>1</v>
      </c>
      <c r="BE269" s="78">
        <v>0</v>
      </c>
      <c r="BF269" s="78">
        <v>0</v>
      </c>
      <c r="BG269" s="78">
        <v>0</v>
      </c>
      <c r="BH269" s="78">
        <v>0</v>
      </c>
      <c r="BI269" s="78">
        <v>0</v>
      </c>
      <c r="BJ269" s="78">
        <v>0</v>
      </c>
      <c r="BK269" s="78">
        <v>0</v>
      </c>
      <c r="BL269" s="78">
        <v>0</v>
      </c>
      <c r="BM269" s="78">
        <v>177.309</v>
      </c>
      <c r="BN269" s="78">
        <v>55</v>
      </c>
      <c r="BO269" s="78">
        <v>5</v>
      </c>
      <c r="BP269" s="78">
        <v>2793.05</v>
      </c>
      <c r="BQ269" s="78">
        <v>714.86</v>
      </c>
      <c r="BR269" s="78">
        <v>29.075160371876802</v>
      </c>
      <c r="BS269" s="78">
        <v>116</v>
      </c>
      <c r="BT269" s="78">
        <v>22.3333333333333</v>
      </c>
      <c r="BU269" s="78">
        <v>17</v>
      </c>
      <c r="BV269" s="78">
        <f t="shared" si="16"/>
        <v>573.99999999999977</v>
      </c>
      <c r="BW269" s="78">
        <v>149</v>
      </c>
      <c r="BX269" s="78">
        <v>1498.59371349096</v>
      </c>
      <c r="BY269" s="78">
        <v>5.6000000000000001E-2</v>
      </c>
      <c r="BZ269" s="78">
        <v>8889</v>
      </c>
      <c r="CA269" s="78">
        <v>1216</v>
      </c>
      <c r="CB269" s="78">
        <v>205</v>
      </c>
      <c r="CC269" s="78">
        <v>170</v>
      </c>
      <c r="CD269" s="78">
        <v>190</v>
      </c>
      <c r="CE269" s="78">
        <v>105</v>
      </c>
      <c r="CF269" s="78">
        <v>100.082743556138</v>
      </c>
      <c r="CG269" s="78">
        <v>62.876190476190501</v>
      </c>
      <c r="CH269" s="78">
        <v>20.045391000436901</v>
      </c>
      <c r="CI269" s="78">
        <v>311.7448</v>
      </c>
      <c r="CJ269" s="78">
        <v>195.85120000000001</v>
      </c>
      <c r="CK269" s="78">
        <v>62.438800000000001</v>
      </c>
      <c r="CL269" s="78">
        <v>7670</v>
      </c>
    </row>
    <row r="270" spans="1:90" x14ac:dyDescent="0.35">
      <c r="A270" s="72">
        <v>756</v>
      </c>
      <c r="B270" s="72" t="s">
        <v>58</v>
      </c>
      <c r="C270" s="72">
        <v>10</v>
      </c>
      <c r="D270" s="78">
        <v>2649600000</v>
      </c>
      <c r="E270" s="78">
        <v>491750000</v>
      </c>
      <c r="F270" s="78">
        <v>525350000</v>
      </c>
      <c r="G270" s="78">
        <v>29609</v>
      </c>
      <c r="H270" s="78">
        <v>6</v>
      </c>
      <c r="I270" s="78">
        <f t="shared" si="14"/>
        <v>525.35</v>
      </c>
      <c r="J270" s="78">
        <v>5126</v>
      </c>
      <c r="K270" s="78">
        <v>6981</v>
      </c>
      <c r="L270" s="78">
        <v>2093</v>
      </c>
      <c r="M270" s="78">
        <v>3607</v>
      </c>
      <c r="N270" s="78">
        <f t="shared" si="15"/>
        <v>2286.1999999999998</v>
      </c>
      <c r="O270" s="78">
        <v>292.33333333333297</v>
      </c>
      <c r="P270" s="78">
        <v>78</v>
      </c>
      <c r="Q270" s="78">
        <v>1809.3333333333301</v>
      </c>
      <c r="R270" s="78">
        <v>3813</v>
      </c>
      <c r="S270" s="78">
        <v>840</v>
      </c>
      <c r="T270" s="78">
        <v>0</v>
      </c>
      <c r="U270" s="78">
        <v>753</v>
      </c>
      <c r="V270" s="78">
        <v>13564</v>
      </c>
      <c r="W270" s="78">
        <v>28140</v>
      </c>
      <c r="X270" s="78">
        <v>11760</v>
      </c>
      <c r="Y270" s="78">
        <v>435.6</v>
      </c>
      <c r="Z270" s="78">
        <v>2176.8000000000002</v>
      </c>
      <c r="AA270" s="78">
        <v>0</v>
      </c>
      <c r="AB270" s="399">
        <f>IF((J270-'[2]Basisgegevens aanvullend'!D270*1.1)&lt;=0,0,J270-'[2]Basisgegevens aanvullend'!D270*1.1)</f>
        <v>0</v>
      </c>
      <c r="AC270" s="399">
        <v>165.7</v>
      </c>
      <c r="AD270" s="78">
        <v>11134</v>
      </c>
      <c r="AE270" s="78">
        <v>11134</v>
      </c>
      <c r="AF270" s="78">
        <v>250</v>
      </c>
      <c r="AG270" s="78">
        <v>0</v>
      </c>
      <c r="AH270" s="78">
        <v>188</v>
      </c>
      <c r="AI270" s="78">
        <v>140</v>
      </c>
      <c r="AJ270" s="78">
        <v>188</v>
      </c>
      <c r="AK270" s="78">
        <v>140</v>
      </c>
      <c r="AL270" s="78">
        <v>327</v>
      </c>
      <c r="AM270" s="78">
        <v>13208</v>
      </c>
      <c r="AN270" s="78">
        <v>13208</v>
      </c>
      <c r="AO270" s="78">
        <v>0</v>
      </c>
      <c r="AP270" s="78">
        <v>0</v>
      </c>
      <c r="AQ270" s="78">
        <v>0</v>
      </c>
      <c r="AR270" s="78">
        <v>0</v>
      </c>
      <c r="AS270" s="78">
        <v>736</v>
      </c>
      <c r="AT270" s="78">
        <v>0</v>
      </c>
      <c r="AU270" s="400">
        <v>2.3918100000000001E-4</v>
      </c>
      <c r="AV270" s="400">
        <v>1.3863100000000001E-4</v>
      </c>
      <c r="AW270" s="78">
        <v>8888.9840000000004</v>
      </c>
      <c r="AX270" s="78">
        <v>0</v>
      </c>
      <c r="AY270" s="78">
        <v>1159</v>
      </c>
      <c r="AZ270" s="78">
        <v>3014.4791813071001</v>
      </c>
      <c r="BA270" s="78">
        <v>13</v>
      </c>
      <c r="BB270" s="78">
        <v>13</v>
      </c>
      <c r="BC270" s="78">
        <v>3082</v>
      </c>
      <c r="BD270" s="78">
        <v>1</v>
      </c>
      <c r="BE270" s="78">
        <v>0</v>
      </c>
      <c r="BF270" s="78">
        <v>0</v>
      </c>
      <c r="BG270" s="78">
        <v>0</v>
      </c>
      <c r="BH270" s="78">
        <v>0</v>
      </c>
      <c r="BI270" s="78">
        <v>0</v>
      </c>
      <c r="BJ270" s="78">
        <v>0</v>
      </c>
      <c r="BK270" s="78">
        <v>0</v>
      </c>
      <c r="BL270" s="78">
        <v>0</v>
      </c>
      <c r="BM270" s="78">
        <v>379.32400000000001</v>
      </c>
      <c r="BN270" s="78">
        <v>75</v>
      </c>
      <c r="BO270" s="78">
        <v>57</v>
      </c>
      <c r="BP270" s="78">
        <v>8898.4</v>
      </c>
      <c r="BQ270" s="78">
        <v>1898.88</v>
      </c>
      <c r="BR270" s="78">
        <v>149.131726001864</v>
      </c>
      <c r="BS270" s="78">
        <v>291</v>
      </c>
      <c r="BT270" s="78">
        <v>75.3333333333333</v>
      </c>
      <c r="BU270" s="78">
        <v>62.6666666666667</v>
      </c>
      <c r="BV270" s="78">
        <f t="shared" si="16"/>
        <v>1516.999999999997</v>
      </c>
      <c r="BW270" s="78">
        <v>358</v>
      </c>
      <c r="BX270" s="78">
        <v>5908.8936420909304</v>
      </c>
      <c r="BY270" s="78">
        <v>0.28100000000000003</v>
      </c>
      <c r="BZ270" s="78">
        <v>22628</v>
      </c>
      <c r="CA270" s="78">
        <v>4076</v>
      </c>
      <c r="CB270" s="78">
        <v>812</v>
      </c>
      <c r="CC270" s="78">
        <v>689</v>
      </c>
      <c r="CD270" s="78">
        <v>611</v>
      </c>
      <c r="CE270" s="78">
        <v>358</v>
      </c>
      <c r="CF270" s="78">
        <v>423.72937613567501</v>
      </c>
      <c r="CG270" s="78">
        <v>244.232904300424</v>
      </c>
      <c r="CH270" s="78">
        <v>92.431162931556599</v>
      </c>
      <c r="CI270" s="78">
        <v>1024.9775999999999</v>
      </c>
      <c r="CJ270" s="78">
        <v>590.78570000000002</v>
      </c>
      <c r="CK270" s="78">
        <v>223.58580000000001</v>
      </c>
      <c r="CL270" s="78">
        <v>21131</v>
      </c>
    </row>
    <row r="271" spans="1:90" x14ac:dyDescent="0.35">
      <c r="A271" s="72">
        <v>757</v>
      </c>
      <c r="B271" s="72" t="s">
        <v>59</v>
      </c>
      <c r="C271" s="72">
        <v>10</v>
      </c>
      <c r="D271" s="78">
        <v>3317200000</v>
      </c>
      <c r="E271" s="78">
        <v>453250000</v>
      </c>
      <c r="F271" s="78">
        <v>474600000</v>
      </c>
      <c r="G271" s="78">
        <v>32973</v>
      </c>
      <c r="H271" s="78">
        <v>3</v>
      </c>
      <c r="I271" s="78">
        <f t="shared" si="14"/>
        <v>474.6</v>
      </c>
      <c r="J271" s="78">
        <v>6180</v>
      </c>
      <c r="K271" s="78">
        <v>7461</v>
      </c>
      <c r="L271" s="78">
        <v>2371</v>
      </c>
      <c r="M271" s="78">
        <v>4200</v>
      </c>
      <c r="N271" s="78">
        <f t="shared" si="15"/>
        <v>2723.7</v>
      </c>
      <c r="O271" s="78">
        <v>430.66666666666703</v>
      </c>
      <c r="P271" s="78">
        <v>112</v>
      </c>
      <c r="Q271" s="78">
        <v>2253.6666666666702</v>
      </c>
      <c r="R271" s="78">
        <v>4991</v>
      </c>
      <c r="S271" s="78">
        <v>1480</v>
      </c>
      <c r="T271" s="78">
        <v>0</v>
      </c>
      <c r="U271" s="78">
        <v>1003</v>
      </c>
      <c r="V271" s="78">
        <v>15210</v>
      </c>
      <c r="W271" s="78">
        <v>31030</v>
      </c>
      <c r="X271" s="78">
        <v>17750</v>
      </c>
      <c r="Y271" s="78">
        <v>933.76</v>
      </c>
      <c r="Z271" s="78">
        <v>1685.6</v>
      </c>
      <c r="AA271" s="78">
        <v>0</v>
      </c>
      <c r="AB271" s="399">
        <f>IF((J271-'[2]Basisgegevens aanvullend'!D271*1.1)&lt;=0,0,J271-'[2]Basisgegevens aanvullend'!D271*1.1)</f>
        <v>0</v>
      </c>
      <c r="AC271" s="399">
        <v>0</v>
      </c>
      <c r="AD271" s="78">
        <v>6898</v>
      </c>
      <c r="AE271" s="78">
        <v>6898</v>
      </c>
      <c r="AF271" s="78">
        <v>133</v>
      </c>
      <c r="AG271" s="78">
        <v>0</v>
      </c>
      <c r="AH271" s="78">
        <v>191</v>
      </c>
      <c r="AI271" s="78">
        <v>59</v>
      </c>
      <c r="AJ271" s="78">
        <v>191</v>
      </c>
      <c r="AK271" s="78">
        <v>59</v>
      </c>
      <c r="AL271" s="78">
        <v>250</v>
      </c>
      <c r="AM271" s="78">
        <v>14763</v>
      </c>
      <c r="AN271" s="78">
        <v>14763</v>
      </c>
      <c r="AO271" s="78">
        <v>0</v>
      </c>
      <c r="AP271" s="78">
        <v>0</v>
      </c>
      <c r="AQ271" s="78">
        <v>0</v>
      </c>
      <c r="AR271" s="78">
        <v>0</v>
      </c>
      <c r="AS271" s="78">
        <v>1588</v>
      </c>
      <c r="AT271" s="78">
        <v>0</v>
      </c>
      <c r="AU271" s="400">
        <v>3.7831099999999999E-4</v>
      </c>
      <c r="AV271" s="400">
        <v>3.9722299999999999E-4</v>
      </c>
      <c r="AW271" s="78">
        <v>17139.843000000001</v>
      </c>
      <c r="AX271" s="78">
        <v>0</v>
      </c>
      <c r="AY271" s="78">
        <v>1784</v>
      </c>
      <c r="AZ271" s="78">
        <v>8366.3535770160706</v>
      </c>
      <c r="BA271" s="78">
        <v>5</v>
      </c>
      <c r="BB271" s="78">
        <v>5</v>
      </c>
      <c r="BC271" s="78">
        <v>3801</v>
      </c>
      <c r="BD271" s="78">
        <v>1</v>
      </c>
      <c r="BE271" s="78">
        <v>0</v>
      </c>
      <c r="BF271" s="78">
        <v>0</v>
      </c>
      <c r="BG271" s="78">
        <v>0</v>
      </c>
      <c r="BH271" s="78">
        <v>0</v>
      </c>
      <c r="BI271" s="78">
        <v>0</v>
      </c>
      <c r="BJ271" s="78">
        <v>0</v>
      </c>
      <c r="BK271" s="78">
        <v>0</v>
      </c>
      <c r="BL271" s="78">
        <v>0</v>
      </c>
      <c r="BM271" s="78">
        <v>667.44</v>
      </c>
      <c r="BN271" s="78">
        <v>85</v>
      </c>
      <c r="BO271" s="78">
        <v>84</v>
      </c>
      <c r="BP271" s="78">
        <v>9896.0400000000009</v>
      </c>
      <c r="BQ271" s="78">
        <v>2249.94</v>
      </c>
      <c r="BR271" s="78">
        <v>271.15959731543597</v>
      </c>
      <c r="BS271" s="78">
        <v>387</v>
      </c>
      <c r="BT271" s="78">
        <v>131.333333333333</v>
      </c>
      <c r="BU271" s="78">
        <v>117.666666666667</v>
      </c>
      <c r="BV271" s="78">
        <f t="shared" si="16"/>
        <v>1823.0000000000032</v>
      </c>
      <c r="BW271" s="78">
        <v>424</v>
      </c>
      <c r="BX271" s="78">
        <v>5229.8966621191503</v>
      </c>
      <c r="BY271" s="78">
        <v>0.59699999999999998</v>
      </c>
      <c r="BZ271" s="78">
        <v>25512</v>
      </c>
      <c r="CA271" s="78">
        <v>4280</v>
      </c>
      <c r="CB271" s="78">
        <v>810</v>
      </c>
      <c r="CC271" s="78">
        <v>869</v>
      </c>
      <c r="CD271" s="78">
        <v>727</v>
      </c>
      <c r="CE271" s="78">
        <v>384</v>
      </c>
      <c r="CF271" s="78">
        <v>484.66842105263203</v>
      </c>
      <c r="CG271" s="78">
        <v>292.79359886202002</v>
      </c>
      <c r="CH271" s="78">
        <v>95.752916073968706</v>
      </c>
      <c r="CI271" s="78">
        <v>1139.3299</v>
      </c>
      <c r="CJ271" s="78">
        <v>688.28189999999995</v>
      </c>
      <c r="CK271" s="78">
        <v>225.09030000000001</v>
      </c>
      <c r="CL271" s="78">
        <v>113090</v>
      </c>
    </row>
    <row r="272" spans="1:90" x14ac:dyDescent="0.35">
      <c r="A272" s="72">
        <v>758</v>
      </c>
      <c r="B272" s="72" t="s">
        <v>60</v>
      </c>
      <c r="C272" s="72">
        <v>10</v>
      </c>
      <c r="D272" s="78">
        <v>21343600000</v>
      </c>
      <c r="E272" s="78">
        <v>3279500000</v>
      </c>
      <c r="F272" s="78">
        <v>3305400000</v>
      </c>
      <c r="G272" s="78">
        <v>184126</v>
      </c>
      <c r="H272" s="78">
        <v>1</v>
      </c>
      <c r="I272" s="78">
        <f t="shared" si="14"/>
        <v>3305.4</v>
      </c>
      <c r="J272" s="78">
        <v>34232</v>
      </c>
      <c r="K272" s="78">
        <v>34701</v>
      </c>
      <c r="L272" s="78">
        <v>11272</v>
      </c>
      <c r="M272" s="78">
        <v>25901</v>
      </c>
      <c r="N272" s="78">
        <f t="shared" si="15"/>
        <v>17181.900000000001</v>
      </c>
      <c r="O272" s="78">
        <v>4285.6666666666697</v>
      </c>
      <c r="P272" s="78">
        <v>189</v>
      </c>
      <c r="Q272" s="78">
        <v>12065.666666666701</v>
      </c>
      <c r="R272" s="78">
        <v>37559</v>
      </c>
      <c r="S272" s="78">
        <v>14585</v>
      </c>
      <c r="T272" s="78">
        <v>0</v>
      </c>
      <c r="U272" s="78">
        <v>6337</v>
      </c>
      <c r="V272" s="78">
        <v>91097</v>
      </c>
      <c r="W272" s="78">
        <v>205540</v>
      </c>
      <c r="X272" s="78">
        <v>289030</v>
      </c>
      <c r="Y272" s="78">
        <v>6977.9323999999997</v>
      </c>
      <c r="Z272" s="78">
        <v>9054.4</v>
      </c>
      <c r="AA272" s="78">
        <v>0</v>
      </c>
      <c r="AB272" s="399">
        <f>IF((J272-'[2]Basisgegevens aanvullend'!D272*1.1)&lt;=0,0,J272-'[2]Basisgegevens aanvullend'!D272*1.1)</f>
        <v>0</v>
      </c>
      <c r="AC272" s="399">
        <v>0</v>
      </c>
      <c r="AD272" s="78">
        <v>12559</v>
      </c>
      <c r="AE272" s="78">
        <v>12559</v>
      </c>
      <c r="AF272" s="78">
        <v>310</v>
      </c>
      <c r="AG272" s="78">
        <v>0</v>
      </c>
      <c r="AH272" s="78">
        <v>925</v>
      </c>
      <c r="AI272" s="78">
        <v>126</v>
      </c>
      <c r="AJ272" s="78">
        <v>925</v>
      </c>
      <c r="AK272" s="78">
        <v>126</v>
      </c>
      <c r="AL272" s="78">
        <v>1051</v>
      </c>
      <c r="AM272" s="78">
        <v>87191</v>
      </c>
      <c r="AN272" s="78">
        <v>87191</v>
      </c>
      <c r="AO272" s="78">
        <v>0</v>
      </c>
      <c r="AP272" s="78">
        <v>42</v>
      </c>
      <c r="AQ272" s="78">
        <v>0</v>
      </c>
      <c r="AR272" s="78">
        <v>0</v>
      </c>
      <c r="AS272" s="78">
        <v>12005</v>
      </c>
      <c r="AT272" s="78">
        <v>9613</v>
      </c>
      <c r="AU272" s="400">
        <v>5.6601309999999997E-3</v>
      </c>
      <c r="AV272" s="400">
        <v>7.3612529999999999E-3</v>
      </c>
      <c r="AW272" s="78">
        <v>191994.58199999999</v>
      </c>
      <c r="AX272" s="78">
        <v>0</v>
      </c>
      <c r="AY272" s="78">
        <v>3477</v>
      </c>
      <c r="AZ272" s="78">
        <v>49747.929287434898</v>
      </c>
      <c r="BA272" s="78">
        <v>6</v>
      </c>
      <c r="BB272" s="78">
        <v>6</v>
      </c>
      <c r="BC272" s="78">
        <v>24345</v>
      </c>
      <c r="BD272" s="78">
        <v>1</v>
      </c>
      <c r="BE272" s="78">
        <v>0</v>
      </c>
      <c r="BF272" s="78">
        <v>0</v>
      </c>
      <c r="BG272" s="78">
        <v>0</v>
      </c>
      <c r="BH272" s="78">
        <v>0</v>
      </c>
      <c r="BI272" s="78">
        <v>0</v>
      </c>
      <c r="BJ272" s="78">
        <v>0</v>
      </c>
      <c r="BK272" s="78">
        <v>0</v>
      </c>
      <c r="BL272" s="78">
        <v>0</v>
      </c>
      <c r="BM272" s="78">
        <v>4381.6959999999999</v>
      </c>
      <c r="BN272" s="78">
        <v>498</v>
      </c>
      <c r="BO272" s="78">
        <v>648</v>
      </c>
      <c r="BP272" s="78">
        <v>58378.32</v>
      </c>
      <c r="BQ272" s="78">
        <v>13665.37</v>
      </c>
      <c r="BR272" s="78">
        <v>1398.1610033003301</v>
      </c>
      <c r="BS272" s="78">
        <v>2434</v>
      </c>
      <c r="BT272" s="78">
        <v>1156</v>
      </c>
      <c r="BU272" s="78">
        <v>1019</v>
      </c>
      <c r="BV272" s="78">
        <f t="shared" si="16"/>
        <v>7780.0000000000309</v>
      </c>
      <c r="BW272" s="78">
        <v>2126</v>
      </c>
      <c r="BX272" s="78">
        <v>27696.293958895902</v>
      </c>
      <c r="BY272" s="78">
        <v>10.586</v>
      </c>
      <c r="BZ272" s="78">
        <v>149425</v>
      </c>
      <c r="CA272" s="78">
        <v>19101</v>
      </c>
      <c r="CB272" s="78">
        <v>4328</v>
      </c>
      <c r="CC272" s="78">
        <v>4925</v>
      </c>
      <c r="CD272" s="78">
        <v>4138</v>
      </c>
      <c r="CE272" s="78">
        <v>2185</v>
      </c>
      <c r="CF272" s="78">
        <v>2435.4704281405202</v>
      </c>
      <c r="CG272" s="78">
        <v>1563.8719409113301</v>
      </c>
      <c r="CH272" s="78">
        <v>592.95497356378496</v>
      </c>
      <c r="CI272" s="78">
        <v>5083.2566999999999</v>
      </c>
      <c r="CJ272" s="78">
        <v>3264.0767999999998</v>
      </c>
      <c r="CK272" s="78">
        <v>1237.6016999999999</v>
      </c>
      <c r="CL272" s="78">
        <v>178728</v>
      </c>
    </row>
    <row r="273" spans="1:90" x14ac:dyDescent="0.35">
      <c r="A273" s="72">
        <v>1706</v>
      </c>
      <c r="B273" s="72" t="s">
        <v>71</v>
      </c>
      <c r="C273" s="72">
        <v>10</v>
      </c>
      <c r="D273" s="78">
        <v>2071600000</v>
      </c>
      <c r="E273" s="78">
        <v>351050000</v>
      </c>
      <c r="F273" s="78">
        <v>374500000</v>
      </c>
      <c r="G273" s="78">
        <v>21001</v>
      </c>
      <c r="H273" s="78">
        <v>4</v>
      </c>
      <c r="I273" s="78">
        <f t="shared" si="14"/>
        <v>374.5</v>
      </c>
      <c r="J273" s="78">
        <v>3636</v>
      </c>
      <c r="K273" s="78">
        <v>5062</v>
      </c>
      <c r="L273" s="78">
        <v>1663</v>
      </c>
      <c r="M273" s="78">
        <v>2507</v>
      </c>
      <c r="N273" s="78">
        <f t="shared" si="15"/>
        <v>1596.6</v>
      </c>
      <c r="O273" s="78">
        <v>248</v>
      </c>
      <c r="P273" s="78">
        <v>16</v>
      </c>
      <c r="Q273" s="78">
        <v>1181</v>
      </c>
      <c r="R273" s="78">
        <v>2569</v>
      </c>
      <c r="S273" s="78">
        <v>665</v>
      </c>
      <c r="T273" s="78">
        <v>0</v>
      </c>
      <c r="U273" s="78">
        <v>546</v>
      </c>
      <c r="V273" s="78">
        <v>9775</v>
      </c>
      <c r="W273" s="78">
        <v>17990</v>
      </c>
      <c r="X273" s="78">
        <v>5260</v>
      </c>
      <c r="Y273" s="78">
        <v>0</v>
      </c>
      <c r="Z273" s="78">
        <v>351.2</v>
      </c>
      <c r="AA273" s="78">
        <v>0</v>
      </c>
      <c r="AB273" s="399">
        <f>IF((J273-'[2]Basisgegevens aanvullend'!D273*1.1)&lt;=0,0,J273-'[2]Basisgegevens aanvullend'!D273*1.1)</f>
        <v>0</v>
      </c>
      <c r="AC273" s="399">
        <v>206.9</v>
      </c>
      <c r="AD273" s="78">
        <v>7651</v>
      </c>
      <c r="AE273" s="78">
        <v>7651</v>
      </c>
      <c r="AF273" s="78">
        <v>154</v>
      </c>
      <c r="AG273" s="78">
        <v>0</v>
      </c>
      <c r="AH273" s="78">
        <v>161</v>
      </c>
      <c r="AI273" s="78">
        <v>72</v>
      </c>
      <c r="AJ273" s="78">
        <v>161</v>
      </c>
      <c r="AK273" s="78">
        <v>72</v>
      </c>
      <c r="AL273" s="78">
        <v>232</v>
      </c>
      <c r="AM273" s="78">
        <v>9104</v>
      </c>
      <c r="AN273" s="78">
        <v>9104</v>
      </c>
      <c r="AO273" s="78">
        <v>0</v>
      </c>
      <c r="AP273" s="78">
        <v>0</v>
      </c>
      <c r="AQ273" s="78">
        <v>0</v>
      </c>
      <c r="AR273" s="78">
        <v>0</v>
      </c>
      <c r="AS273" s="78">
        <v>0</v>
      </c>
      <c r="AT273" s="78">
        <v>0</v>
      </c>
      <c r="AU273" s="400">
        <v>1.6137500000000001E-4</v>
      </c>
      <c r="AV273" s="400">
        <v>1.0402400000000001E-4</v>
      </c>
      <c r="AW273" s="78">
        <v>5389.5680000000002</v>
      </c>
      <c r="AX273" s="78">
        <v>0</v>
      </c>
      <c r="AY273" s="78">
        <v>697</v>
      </c>
      <c r="AZ273" s="78">
        <v>1875.4256245996201</v>
      </c>
      <c r="BA273" s="78">
        <v>10</v>
      </c>
      <c r="BB273" s="78">
        <v>10</v>
      </c>
      <c r="BC273" s="78">
        <v>2541</v>
      </c>
      <c r="BD273" s="78">
        <v>1</v>
      </c>
      <c r="BE273" s="78">
        <v>0</v>
      </c>
      <c r="BF273" s="78">
        <v>0</v>
      </c>
      <c r="BG273" s="78">
        <v>0</v>
      </c>
      <c r="BH273" s="78">
        <v>0</v>
      </c>
      <c r="BI273" s="78">
        <v>0</v>
      </c>
      <c r="BJ273" s="78">
        <v>0</v>
      </c>
      <c r="BK273" s="78">
        <v>0</v>
      </c>
      <c r="BL273" s="78">
        <v>0</v>
      </c>
      <c r="BM273" s="78">
        <v>341.78399999999999</v>
      </c>
      <c r="BN273" s="78">
        <v>42</v>
      </c>
      <c r="BO273" s="78">
        <v>31</v>
      </c>
      <c r="BP273" s="78">
        <v>6116.85</v>
      </c>
      <c r="BQ273" s="78">
        <v>1323.96</v>
      </c>
      <c r="BR273" s="78">
        <v>114.388868035191</v>
      </c>
      <c r="BS273" s="78">
        <v>201</v>
      </c>
      <c r="BT273" s="78">
        <v>75.3333333333333</v>
      </c>
      <c r="BU273" s="78">
        <v>52.3333333333333</v>
      </c>
      <c r="BV273" s="78">
        <f t="shared" si="16"/>
        <v>933</v>
      </c>
      <c r="BW273" s="78">
        <v>181</v>
      </c>
      <c r="BX273" s="78">
        <v>3506.56492761851</v>
      </c>
      <c r="BY273" s="78">
        <v>0.27100000000000002</v>
      </c>
      <c r="BZ273" s="78">
        <v>15939</v>
      </c>
      <c r="CA273" s="78">
        <v>2892</v>
      </c>
      <c r="CB273" s="78">
        <v>507</v>
      </c>
      <c r="CC273" s="78">
        <v>502</v>
      </c>
      <c r="CD273" s="78">
        <v>481</v>
      </c>
      <c r="CE273" s="78">
        <v>231</v>
      </c>
      <c r="CF273" s="78">
        <v>300.59011423550101</v>
      </c>
      <c r="CG273" s="78">
        <v>200.97798769771501</v>
      </c>
      <c r="CH273" s="78">
        <v>58.048615992970099</v>
      </c>
      <c r="CI273" s="78">
        <v>743.36180000000002</v>
      </c>
      <c r="CJ273" s="78">
        <v>497.02019999999999</v>
      </c>
      <c r="CK273" s="78">
        <v>143.5547</v>
      </c>
      <c r="CL273" s="78">
        <v>0</v>
      </c>
    </row>
    <row r="274" spans="1:90" x14ac:dyDescent="0.35">
      <c r="A274" s="72">
        <v>1684</v>
      </c>
      <c r="B274" s="72" t="s">
        <v>72</v>
      </c>
      <c r="C274" s="72">
        <v>10</v>
      </c>
      <c r="D274" s="78">
        <v>2296000000</v>
      </c>
      <c r="E274" s="78">
        <v>444850000</v>
      </c>
      <c r="F274" s="78">
        <v>465500000</v>
      </c>
      <c r="G274" s="78">
        <v>25404</v>
      </c>
      <c r="H274" s="78">
        <v>3</v>
      </c>
      <c r="I274" s="78">
        <f t="shared" si="14"/>
        <v>465.5</v>
      </c>
      <c r="J274" s="78">
        <v>4527</v>
      </c>
      <c r="K274" s="78">
        <v>5506</v>
      </c>
      <c r="L274" s="78">
        <v>1802</v>
      </c>
      <c r="M274" s="78">
        <v>3405</v>
      </c>
      <c r="N274" s="78">
        <f t="shared" si="15"/>
        <v>2264</v>
      </c>
      <c r="O274" s="78">
        <v>380.33333333333297</v>
      </c>
      <c r="P274" s="78">
        <v>50</v>
      </c>
      <c r="Q274" s="78">
        <v>2014.3333333333301</v>
      </c>
      <c r="R274" s="78">
        <v>3671</v>
      </c>
      <c r="S274" s="78">
        <v>1745</v>
      </c>
      <c r="T274" s="78">
        <v>0</v>
      </c>
      <c r="U274" s="78">
        <v>757</v>
      </c>
      <c r="V274" s="78">
        <v>11560</v>
      </c>
      <c r="W274" s="78">
        <v>25730</v>
      </c>
      <c r="X274" s="78">
        <v>14580</v>
      </c>
      <c r="Y274" s="78">
        <v>251.88</v>
      </c>
      <c r="Z274" s="78">
        <v>754.4</v>
      </c>
      <c r="AA274" s="78">
        <v>0</v>
      </c>
      <c r="AB274" s="399">
        <f>IF((J274-'[2]Basisgegevens aanvullend'!D274*1.1)&lt;=0,0,J274-'[2]Basisgegevens aanvullend'!D274*1.1)</f>
        <v>0</v>
      </c>
      <c r="AC274" s="399">
        <v>0</v>
      </c>
      <c r="AD274" s="78">
        <v>5118</v>
      </c>
      <c r="AE274" s="78">
        <v>5118</v>
      </c>
      <c r="AF274" s="78">
        <v>588</v>
      </c>
      <c r="AG274" s="78">
        <v>0</v>
      </c>
      <c r="AH274" s="78">
        <v>146</v>
      </c>
      <c r="AI274" s="78">
        <v>79</v>
      </c>
      <c r="AJ274" s="78">
        <v>146</v>
      </c>
      <c r="AK274" s="78">
        <v>79</v>
      </c>
      <c r="AL274" s="78">
        <v>225</v>
      </c>
      <c r="AM274" s="78">
        <v>11410</v>
      </c>
      <c r="AN274" s="78">
        <v>11410</v>
      </c>
      <c r="AO274" s="78">
        <v>0</v>
      </c>
      <c r="AP274" s="78">
        <v>0</v>
      </c>
      <c r="AQ274" s="78">
        <v>0</v>
      </c>
      <c r="AR274" s="78">
        <v>0</v>
      </c>
      <c r="AS274" s="78">
        <v>0</v>
      </c>
      <c r="AT274" s="78">
        <v>0</v>
      </c>
      <c r="AU274" s="400">
        <v>1.6914100000000001E-4</v>
      </c>
      <c r="AV274" s="400">
        <v>1.9411E-4</v>
      </c>
      <c r="AW274" s="78">
        <v>9995.16</v>
      </c>
      <c r="AX274" s="78">
        <v>0</v>
      </c>
      <c r="AY274" s="78">
        <v>1093</v>
      </c>
      <c r="AZ274" s="78">
        <v>4866.2060988433204</v>
      </c>
      <c r="BA274" s="78">
        <v>5</v>
      </c>
      <c r="BB274" s="78">
        <v>5</v>
      </c>
      <c r="BC274" s="78">
        <v>2475</v>
      </c>
      <c r="BD274" s="78">
        <v>1</v>
      </c>
      <c r="BE274" s="78">
        <v>0</v>
      </c>
      <c r="BF274" s="78">
        <v>0</v>
      </c>
      <c r="BG274" s="78">
        <v>0</v>
      </c>
      <c r="BH274" s="78">
        <v>0</v>
      </c>
      <c r="BI274" s="78">
        <v>0</v>
      </c>
      <c r="BJ274" s="78">
        <v>0</v>
      </c>
      <c r="BK274" s="78">
        <v>0</v>
      </c>
      <c r="BL274" s="78">
        <v>0</v>
      </c>
      <c r="BM274" s="78">
        <v>448.173</v>
      </c>
      <c r="BN274" s="78">
        <v>82</v>
      </c>
      <c r="BO274" s="78">
        <v>71</v>
      </c>
      <c r="BP274" s="78">
        <v>7196.16</v>
      </c>
      <c r="BQ274" s="78">
        <v>1569.53</v>
      </c>
      <c r="BR274" s="78">
        <v>184.62512721585</v>
      </c>
      <c r="BS274" s="78">
        <v>296</v>
      </c>
      <c r="BT274" s="78">
        <v>111.333333333333</v>
      </c>
      <c r="BU274" s="78">
        <v>107.666666666667</v>
      </c>
      <c r="BV274" s="78">
        <f t="shared" si="16"/>
        <v>1633.999999999997</v>
      </c>
      <c r="BW274" s="78">
        <v>369</v>
      </c>
      <c r="BX274" s="78">
        <v>4822.41311579785</v>
      </c>
      <c r="BY274" s="78">
        <v>0.69499999999999995</v>
      </c>
      <c r="BZ274" s="78">
        <v>19898</v>
      </c>
      <c r="CA274" s="78">
        <v>3169</v>
      </c>
      <c r="CB274" s="78">
        <v>535</v>
      </c>
      <c r="CC274" s="78">
        <v>615</v>
      </c>
      <c r="CD274" s="78">
        <v>600</v>
      </c>
      <c r="CE274" s="78">
        <v>276</v>
      </c>
      <c r="CF274" s="78">
        <v>380.37581069237501</v>
      </c>
      <c r="CG274" s="78">
        <v>250.607537248028</v>
      </c>
      <c r="CH274" s="78">
        <v>76.194215600350603</v>
      </c>
      <c r="CI274" s="78">
        <v>931.47029999999995</v>
      </c>
      <c r="CJ274" s="78">
        <v>613.69169999999997</v>
      </c>
      <c r="CK274" s="78">
        <v>186.5856</v>
      </c>
      <c r="CL274" s="78">
        <v>12729</v>
      </c>
    </row>
    <row r="275" spans="1:90" x14ac:dyDescent="0.35">
      <c r="A275" s="72">
        <v>762</v>
      </c>
      <c r="B275" s="72" t="s">
        <v>83</v>
      </c>
      <c r="C275" s="72">
        <v>10</v>
      </c>
      <c r="D275" s="78">
        <v>3259600000</v>
      </c>
      <c r="E275" s="78">
        <v>507500000</v>
      </c>
      <c r="F275" s="78">
        <v>574000000</v>
      </c>
      <c r="G275" s="78">
        <v>32437</v>
      </c>
      <c r="H275" s="78">
        <v>3</v>
      </c>
      <c r="I275" s="78">
        <f t="shared" si="14"/>
        <v>574</v>
      </c>
      <c r="J275" s="78">
        <v>6045</v>
      </c>
      <c r="K275" s="78">
        <v>7219</v>
      </c>
      <c r="L275" s="78">
        <v>2339</v>
      </c>
      <c r="M275" s="78">
        <v>3991</v>
      </c>
      <c r="N275" s="78">
        <f t="shared" si="15"/>
        <v>2553.3000000000002</v>
      </c>
      <c r="O275" s="78">
        <v>358</v>
      </c>
      <c r="P275" s="78">
        <v>67</v>
      </c>
      <c r="Q275" s="78">
        <v>2120</v>
      </c>
      <c r="R275" s="78">
        <v>4225</v>
      </c>
      <c r="S275" s="78">
        <v>660</v>
      </c>
      <c r="T275" s="78">
        <v>0</v>
      </c>
      <c r="U275" s="78">
        <v>842</v>
      </c>
      <c r="V275" s="78">
        <v>14448</v>
      </c>
      <c r="W275" s="78">
        <v>31680</v>
      </c>
      <c r="X275" s="78">
        <v>22560</v>
      </c>
      <c r="Y275" s="78">
        <v>712.34</v>
      </c>
      <c r="Z275" s="78">
        <v>2255.1999999999998</v>
      </c>
      <c r="AA275" s="78">
        <v>0</v>
      </c>
      <c r="AB275" s="399">
        <f>IF((J275-'[2]Basisgegevens aanvullend'!D275*1.1)&lt;=0,0,J275-'[2]Basisgegevens aanvullend'!D275*1.1)</f>
        <v>0</v>
      </c>
      <c r="AC275" s="399">
        <v>0</v>
      </c>
      <c r="AD275" s="78">
        <v>11689</v>
      </c>
      <c r="AE275" s="78">
        <v>11689</v>
      </c>
      <c r="AF275" s="78">
        <v>147</v>
      </c>
      <c r="AG275" s="78">
        <v>0</v>
      </c>
      <c r="AH275" s="78">
        <v>219</v>
      </c>
      <c r="AI275" s="78">
        <v>189</v>
      </c>
      <c r="AJ275" s="78">
        <v>219</v>
      </c>
      <c r="AK275" s="78">
        <v>189</v>
      </c>
      <c r="AL275" s="78">
        <v>407</v>
      </c>
      <c r="AM275" s="78">
        <v>14377</v>
      </c>
      <c r="AN275" s="78">
        <v>14377</v>
      </c>
      <c r="AO275" s="78">
        <v>0</v>
      </c>
      <c r="AP275" s="78">
        <v>0</v>
      </c>
      <c r="AQ275" s="78">
        <v>0</v>
      </c>
      <c r="AR275" s="78">
        <v>0</v>
      </c>
      <c r="AS275" s="78">
        <v>720</v>
      </c>
      <c r="AT275" s="78">
        <v>0</v>
      </c>
      <c r="AU275" s="400">
        <v>2.331E-4</v>
      </c>
      <c r="AV275" s="400">
        <v>1.51934E-4</v>
      </c>
      <c r="AW275" s="78">
        <v>12809.906999999999</v>
      </c>
      <c r="AX275" s="78">
        <v>0</v>
      </c>
      <c r="AY275" s="78">
        <v>2226</v>
      </c>
      <c r="AZ275" s="78">
        <v>6100.4361270699601</v>
      </c>
      <c r="BA275" s="78">
        <v>6</v>
      </c>
      <c r="BB275" s="78">
        <v>6</v>
      </c>
      <c r="BC275" s="78">
        <v>3965</v>
      </c>
      <c r="BD275" s="78">
        <v>1</v>
      </c>
      <c r="BE275" s="78">
        <v>0</v>
      </c>
      <c r="BF275" s="78">
        <v>0</v>
      </c>
      <c r="BG275" s="78">
        <v>0</v>
      </c>
      <c r="BH275" s="78">
        <v>0</v>
      </c>
      <c r="BI275" s="78">
        <v>0</v>
      </c>
      <c r="BJ275" s="78">
        <v>0</v>
      </c>
      <c r="BK275" s="78">
        <v>0</v>
      </c>
      <c r="BL275" s="78">
        <v>0</v>
      </c>
      <c r="BM275" s="78">
        <v>598.45500000000004</v>
      </c>
      <c r="BN275" s="78">
        <v>91</v>
      </c>
      <c r="BO275" s="78">
        <v>55</v>
      </c>
      <c r="BP275" s="78">
        <v>8848</v>
      </c>
      <c r="BQ275" s="78">
        <v>1993.32</v>
      </c>
      <c r="BR275" s="78">
        <v>115.49821669735999</v>
      </c>
      <c r="BS275" s="78">
        <v>353</v>
      </c>
      <c r="BT275" s="78">
        <v>102</v>
      </c>
      <c r="BU275" s="78">
        <v>78</v>
      </c>
      <c r="BV275" s="78">
        <f t="shared" si="16"/>
        <v>1762</v>
      </c>
      <c r="BW275" s="78">
        <v>535</v>
      </c>
      <c r="BX275" s="78">
        <v>5791.4095272704899</v>
      </c>
      <c r="BY275" s="78">
        <v>0.46100000000000002</v>
      </c>
      <c r="BZ275" s="78">
        <v>25218</v>
      </c>
      <c r="CA275" s="78">
        <v>4095</v>
      </c>
      <c r="CB275" s="78">
        <v>785</v>
      </c>
      <c r="CC275" s="78">
        <v>748</v>
      </c>
      <c r="CD275" s="78">
        <v>760</v>
      </c>
      <c r="CE275" s="78">
        <v>404</v>
      </c>
      <c r="CF275" s="78">
        <v>446.83193990401298</v>
      </c>
      <c r="CG275" s="78">
        <v>285.752222299506</v>
      </c>
      <c r="CH275" s="78">
        <v>102.828176949294</v>
      </c>
      <c r="CI275" s="78">
        <v>1180.5072</v>
      </c>
      <c r="CJ275" s="78">
        <v>754.94280000000003</v>
      </c>
      <c r="CK275" s="78">
        <v>271.66680000000002</v>
      </c>
      <c r="CL275" s="78">
        <v>109673</v>
      </c>
    </row>
    <row r="276" spans="1:90" x14ac:dyDescent="0.35">
      <c r="A276" s="72">
        <v>766</v>
      </c>
      <c r="B276" s="72" t="s">
        <v>89</v>
      </c>
      <c r="C276" s="72">
        <v>10</v>
      </c>
      <c r="D276" s="78">
        <v>2538400000</v>
      </c>
      <c r="E276" s="78">
        <v>319900000</v>
      </c>
      <c r="F276" s="78">
        <v>345800000</v>
      </c>
      <c r="G276" s="78">
        <v>26368</v>
      </c>
      <c r="H276" s="78">
        <v>2</v>
      </c>
      <c r="I276" s="78">
        <f t="shared" si="14"/>
        <v>345.8</v>
      </c>
      <c r="J276" s="78">
        <v>4849</v>
      </c>
      <c r="K276" s="78">
        <v>5726</v>
      </c>
      <c r="L276" s="78">
        <v>1825</v>
      </c>
      <c r="M276" s="78">
        <v>3157</v>
      </c>
      <c r="N276" s="78">
        <f t="shared" si="15"/>
        <v>1999</v>
      </c>
      <c r="O276" s="78">
        <v>288.66666666666703</v>
      </c>
      <c r="P276" s="78">
        <v>26</v>
      </c>
      <c r="Q276" s="78">
        <v>1424.6666666666699</v>
      </c>
      <c r="R276" s="78">
        <v>3323</v>
      </c>
      <c r="S276" s="78">
        <v>1265</v>
      </c>
      <c r="T276" s="78">
        <v>0</v>
      </c>
      <c r="U276" s="78">
        <v>741</v>
      </c>
      <c r="V276" s="78">
        <v>11750</v>
      </c>
      <c r="W276" s="78">
        <v>24100</v>
      </c>
      <c r="X276" s="78">
        <v>10250</v>
      </c>
      <c r="Y276" s="78">
        <v>0</v>
      </c>
      <c r="Z276" s="78">
        <v>1042.4000000000001</v>
      </c>
      <c r="AA276" s="78">
        <v>0</v>
      </c>
      <c r="AB276" s="399">
        <f>IF((J276-'[2]Basisgegevens aanvullend'!D276*1.1)&lt;=0,0,J276-'[2]Basisgegevens aanvullend'!D276*1.1)</f>
        <v>0</v>
      </c>
      <c r="AC276" s="399">
        <v>0</v>
      </c>
      <c r="AD276" s="78">
        <v>2925</v>
      </c>
      <c r="AE276" s="78">
        <v>2925</v>
      </c>
      <c r="AF276" s="78">
        <v>49</v>
      </c>
      <c r="AG276" s="78">
        <v>0</v>
      </c>
      <c r="AH276" s="78">
        <v>150</v>
      </c>
      <c r="AI276" s="78">
        <v>51</v>
      </c>
      <c r="AJ276" s="78">
        <v>150</v>
      </c>
      <c r="AK276" s="78">
        <v>51</v>
      </c>
      <c r="AL276" s="78">
        <v>202</v>
      </c>
      <c r="AM276" s="78">
        <v>11580</v>
      </c>
      <c r="AN276" s="78">
        <v>11580</v>
      </c>
      <c r="AO276" s="78">
        <v>0</v>
      </c>
      <c r="AP276" s="78">
        <v>0</v>
      </c>
      <c r="AQ276" s="78">
        <v>0</v>
      </c>
      <c r="AR276" s="78">
        <v>0</v>
      </c>
      <c r="AS276" s="78">
        <v>1346</v>
      </c>
      <c r="AT276" s="78">
        <v>0</v>
      </c>
      <c r="AU276" s="400">
        <v>2.5246600000000002E-4</v>
      </c>
      <c r="AV276" s="400">
        <v>2.0193899999999999E-4</v>
      </c>
      <c r="AW276" s="78">
        <v>14104.44</v>
      </c>
      <c r="AX276" s="78">
        <v>0</v>
      </c>
      <c r="AY276" s="78">
        <v>644</v>
      </c>
      <c r="AZ276" s="78">
        <v>5709.8157363819801</v>
      </c>
      <c r="BA276" s="78">
        <v>3</v>
      </c>
      <c r="BB276" s="78">
        <v>3</v>
      </c>
      <c r="BC276" s="78">
        <v>2844</v>
      </c>
      <c r="BD276" s="78">
        <v>1</v>
      </c>
      <c r="BE276" s="78">
        <v>0</v>
      </c>
      <c r="BF276" s="78">
        <v>0</v>
      </c>
      <c r="BG276" s="78">
        <v>0</v>
      </c>
      <c r="BH276" s="78">
        <v>0</v>
      </c>
      <c r="BI276" s="78">
        <v>0</v>
      </c>
      <c r="BJ276" s="78">
        <v>0</v>
      </c>
      <c r="BK276" s="78">
        <v>0</v>
      </c>
      <c r="BL276" s="78">
        <v>0</v>
      </c>
      <c r="BM276" s="78">
        <v>368.524</v>
      </c>
      <c r="BN276" s="78">
        <v>112</v>
      </c>
      <c r="BO276" s="78">
        <v>68</v>
      </c>
      <c r="BP276" s="78">
        <v>7689.44</v>
      </c>
      <c r="BQ276" s="78">
        <v>1873.99</v>
      </c>
      <c r="BR276" s="78">
        <v>208.974373493976</v>
      </c>
      <c r="BS276" s="78">
        <v>280</v>
      </c>
      <c r="BT276" s="78">
        <v>84.3333333333333</v>
      </c>
      <c r="BU276" s="78">
        <v>66.3333333333333</v>
      </c>
      <c r="BV276" s="78">
        <f t="shared" si="16"/>
        <v>1136.000000000003</v>
      </c>
      <c r="BW276" s="78">
        <v>274</v>
      </c>
      <c r="BX276" s="78">
        <v>4945.7446602089904</v>
      </c>
      <c r="BY276" s="78">
        <v>0.47399999999999998</v>
      </c>
      <c r="BZ276" s="78">
        <v>20642</v>
      </c>
      <c r="CA276" s="78">
        <v>3271</v>
      </c>
      <c r="CB276" s="78">
        <v>630</v>
      </c>
      <c r="CC276" s="78">
        <v>616</v>
      </c>
      <c r="CD276" s="78">
        <v>564</v>
      </c>
      <c r="CE276" s="78">
        <v>312</v>
      </c>
      <c r="CF276" s="78">
        <v>341.79792746113998</v>
      </c>
      <c r="CG276" s="78">
        <v>213.88264248704701</v>
      </c>
      <c r="CH276" s="78">
        <v>74.574093264248702</v>
      </c>
      <c r="CI276" s="78">
        <v>873.97199999999998</v>
      </c>
      <c r="CJ276" s="78">
        <v>546.89459999999997</v>
      </c>
      <c r="CK276" s="78">
        <v>190.6848</v>
      </c>
      <c r="CL276" s="78">
        <v>20433</v>
      </c>
    </row>
    <row r="277" spans="1:90" x14ac:dyDescent="0.35">
      <c r="A277" s="72">
        <v>1719</v>
      </c>
      <c r="B277" s="72" t="s">
        <v>92</v>
      </c>
      <c r="C277" s="72">
        <v>10</v>
      </c>
      <c r="D277" s="78">
        <v>2678000000</v>
      </c>
      <c r="E277" s="78">
        <v>335300000</v>
      </c>
      <c r="F277" s="78">
        <v>362600000</v>
      </c>
      <c r="G277" s="78">
        <v>27325</v>
      </c>
      <c r="H277" s="78">
        <v>5</v>
      </c>
      <c r="I277" s="78">
        <f t="shared" si="14"/>
        <v>362.6</v>
      </c>
      <c r="J277" s="78">
        <v>4668</v>
      </c>
      <c r="K277" s="78">
        <v>6356</v>
      </c>
      <c r="L277" s="78">
        <v>2027</v>
      </c>
      <c r="M277" s="78">
        <v>3037</v>
      </c>
      <c r="N277" s="78">
        <f t="shared" si="15"/>
        <v>1832</v>
      </c>
      <c r="O277" s="78">
        <v>165.666666666667</v>
      </c>
      <c r="P277" s="78">
        <v>31</v>
      </c>
      <c r="Q277" s="78">
        <v>1337.6666666666699</v>
      </c>
      <c r="R277" s="78">
        <v>3337</v>
      </c>
      <c r="S277" s="78">
        <v>370</v>
      </c>
      <c r="T277" s="78">
        <v>0</v>
      </c>
      <c r="U277" s="78">
        <v>673</v>
      </c>
      <c r="V277" s="78">
        <v>12212</v>
      </c>
      <c r="W277" s="78">
        <v>19350</v>
      </c>
      <c r="X277" s="78">
        <v>2660</v>
      </c>
      <c r="Y277" s="78">
        <v>0</v>
      </c>
      <c r="Z277" s="78">
        <v>398.4</v>
      </c>
      <c r="AA277" s="78">
        <v>0</v>
      </c>
      <c r="AB277" s="399">
        <f>IF((J277-'[2]Basisgegevens aanvullend'!D277*1.1)&lt;=0,0,J277-'[2]Basisgegevens aanvullend'!D277*1.1)</f>
        <v>0</v>
      </c>
      <c r="AC277" s="399">
        <v>0</v>
      </c>
      <c r="AD277" s="78">
        <v>9472</v>
      </c>
      <c r="AE277" s="78">
        <v>9472</v>
      </c>
      <c r="AF277" s="78">
        <v>2471</v>
      </c>
      <c r="AG277" s="78">
        <v>0</v>
      </c>
      <c r="AH277" s="78">
        <v>155</v>
      </c>
      <c r="AI277" s="78">
        <v>57</v>
      </c>
      <c r="AJ277" s="78">
        <v>155</v>
      </c>
      <c r="AK277" s="78">
        <v>57</v>
      </c>
      <c r="AL277" s="78">
        <v>212</v>
      </c>
      <c r="AM277" s="78">
        <v>12050</v>
      </c>
      <c r="AN277" s="78">
        <v>12050</v>
      </c>
      <c r="AO277" s="78">
        <v>0</v>
      </c>
      <c r="AP277" s="78">
        <v>0</v>
      </c>
      <c r="AQ277" s="78">
        <v>0</v>
      </c>
      <c r="AR277" s="78">
        <v>0</v>
      </c>
      <c r="AS277" s="78">
        <v>1237</v>
      </c>
      <c r="AT277" s="78">
        <v>0</v>
      </c>
      <c r="AU277" s="400">
        <v>2.5231400000000001E-4</v>
      </c>
      <c r="AV277" s="400">
        <v>1.0967999999999999E-4</v>
      </c>
      <c r="AW277" s="78">
        <v>9495.4</v>
      </c>
      <c r="AX277" s="78">
        <v>0</v>
      </c>
      <c r="AY277" s="78">
        <v>4757</v>
      </c>
      <c r="AZ277" s="78">
        <v>11117.154400067</v>
      </c>
      <c r="BA277" s="78">
        <v>7</v>
      </c>
      <c r="BB277" s="78">
        <v>7</v>
      </c>
      <c r="BC277" s="78">
        <v>3255</v>
      </c>
      <c r="BD277" s="78">
        <v>1</v>
      </c>
      <c r="BE277" s="78">
        <v>0</v>
      </c>
      <c r="BF277" s="78">
        <v>0</v>
      </c>
      <c r="BG277" s="78">
        <v>0</v>
      </c>
      <c r="BH277" s="78">
        <v>0</v>
      </c>
      <c r="BI277" s="78">
        <v>0</v>
      </c>
      <c r="BJ277" s="78">
        <v>0</v>
      </c>
      <c r="BK277" s="78">
        <v>0</v>
      </c>
      <c r="BL277" s="78">
        <v>0</v>
      </c>
      <c r="BM277" s="78">
        <v>317.42399999999998</v>
      </c>
      <c r="BN277" s="78">
        <v>100</v>
      </c>
      <c r="BO277" s="78">
        <v>42</v>
      </c>
      <c r="BP277" s="78">
        <v>8429.0400000000009</v>
      </c>
      <c r="BQ277" s="78">
        <v>1907.06</v>
      </c>
      <c r="BR277" s="78">
        <v>137.67288963693201</v>
      </c>
      <c r="BS277" s="78">
        <v>279</v>
      </c>
      <c r="BT277" s="78">
        <v>53.6666666666667</v>
      </c>
      <c r="BU277" s="78">
        <v>42.3333333333333</v>
      </c>
      <c r="BV277" s="78">
        <f t="shared" si="16"/>
        <v>1172.000000000003</v>
      </c>
      <c r="BW277" s="78">
        <v>385</v>
      </c>
      <c r="BX277" s="78">
        <v>5081.2156057494904</v>
      </c>
      <c r="BY277" s="78">
        <v>0.13400000000000001</v>
      </c>
      <c r="BZ277" s="78">
        <v>20969</v>
      </c>
      <c r="CA277" s="78">
        <v>3735</v>
      </c>
      <c r="CB277" s="78">
        <v>594</v>
      </c>
      <c r="CC277" s="78">
        <v>609</v>
      </c>
      <c r="CD277" s="78">
        <v>628</v>
      </c>
      <c r="CE277" s="78">
        <v>305</v>
      </c>
      <c r="CF277" s="78">
        <v>341.31452282157699</v>
      </c>
      <c r="CG277" s="78">
        <v>210.41394190871401</v>
      </c>
      <c r="CH277" s="78">
        <v>63.245809128630697</v>
      </c>
      <c r="CI277" s="78">
        <v>891.26499999999999</v>
      </c>
      <c r="CJ277" s="78">
        <v>549.44799999999998</v>
      </c>
      <c r="CK277" s="78">
        <v>165.15199999999999</v>
      </c>
      <c r="CL277" s="78">
        <v>97820</v>
      </c>
    </row>
    <row r="278" spans="1:90" x14ac:dyDescent="0.35">
      <c r="A278" s="72">
        <v>770</v>
      </c>
      <c r="B278" s="72" t="s">
        <v>100</v>
      </c>
      <c r="C278" s="72">
        <v>10</v>
      </c>
      <c r="D278" s="78">
        <v>2330000000</v>
      </c>
      <c r="E278" s="78">
        <v>319550000</v>
      </c>
      <c r="F278" s="78">
        <v>350350000</v>
      </c>
      <c r="G278" s="78">
        <v>19528</v>
      </c>
      <c r="H278" s="78">
        <v>4</v>
      </c>
      <c r="I278" s="78">
        <f t="shared" si="14"/>
        <v>350.35</v>
      </c>
      <c r="J278" s="78">
        <v>3551</v>
      </c>
      <c r="K278" s="78">
        <v>4435</v>
      </c>
      <c r="L278" s="78">
        <v>1503</v>
      </c>
      <c r="M278" s="78">
        <v>1936</v>
      </c>
      <c r="N278" s="78">
        <f t="shared" si="15"/>
        <v>1043.4000000000001</v>
      </c>
      <c r="O278" s="78">
        <v>127</v>
      </c>
      <c r="P278" s="78">
        <v>24</v>
      </c>
      <c r="Q278" s="78">
        <v>1145</v>
      </c>
      <c r="R278" s="78">
        <v>2409</v>
      </c>
      <c r="S278" s="78">
        <v>225</v>
      </c>
      <c r="T278" s="78">
        <v>0</v>
      </c>
      <c r="U278" s="78">
        <v>421</v>
      </c>
      <c r="V278" s="78">
        <v>8632</v>
      </c>
      <c r="W278" s="78">
        <v>15710</v>
      </c>
      <c r="X278" s="78">
        <v>4840</v>
      </c>
      <c r="Y278" s="78">
        <v>432.5</v>
      </c>
      <c r="Z278" s="78">
        <v>879.2</v>
      </c>
      <c r="AA278" s="78">
        <v>0</v>
      </c>
      <c r="AB278" s="399">
        <f>IF((J278-'[2]Basisgegevens aanvullend'!D278*1.1)&lt;=0,0,J278-'[2]Basisgegevens aanvullend'!D278*1.1)</f>
        <v>0</v>
      </c>
      <c r="AC278" s="399">
        <v>0</v>
      </c>
      <c r="AD278" s="78">
        <v>8248</v>
      </c>
      <c r="AE278" s="78">
        <v>8248</v>
      </c>
      <c r="AF278" s="78">
        <v>85</v>
      </c>
      <c r="AG278" s="78">
        <v>0</v>
      </c>
      <c r="AH278" s="78">
        <v>130</v>
      </c>
      <c r="AI278" s="78">
        <v>90</v>
      </c>
      <c r="AJ278" s="78">
        <v>130</v>
      </c>
      <c r="AK278" s="78">
        <v>90</v>
      </c>
      <c r="AL278" s="78">
        <v>219</v>
      </c>
      <c r="AM278" s="78">
        <v>8926</v>
      </c>
      <c r="AN278" s="78">
        <v>8926</v>
      </c>
      <c r="AO278" s="78">
        <v>0</v>
      </c>
      <c r="AP278" s="78">
        <v>0</v>
      </c>
      <c r="AQ278" s="78">
        <v>0</v>
      </c>
      <c r="AR278" s="78">
        <v>0</v>
      </c>
      <c r="AS278" s="78">
        <v>0</v>
      </c>
      <c r="AT278" s="78">
        <v>0</v>
      </c>
      <c r="AU278" s="400">
        <v>9.4083E-5</v>
      </c>
      <c r="AV278" s="400">
        <v>5.6078000000000001E-5</v>
      </c>
      <c r="AW278" s="78">
        <v>5177.08</v>
      </c>
      <c r="AX278" s="78">
        <v>0</v>
      </c>
      <c r="AY278" s="78">
        <v>527</v>
      </c>
      <c r="AZ278" s="78">
        <v>1235.0001200048</v>
      </c>
      <c r="BA278" s="78">
        <v>11</v>
      </c>
      <c r="BB278" s="78">
        <v>11</v>
      </c>
      <c r="BC278" s="78">
        <v>2575</v>
      </c>
      <c r="BD278" s="78">
        <v>1</v>
      </c>
      <c r="BE278" s="78">
        <v>0</v>
      </c>
      <c r="BF278" s="78">
        <v>0</v>
      </c>
      <c r="BG278" s="78">
        <v>0</v>
      </c>
      <c r="BH278" s="78">
        <v>0</v>
      </c>
      <c r="BI278" s="78">
        <v>0</v>
      </c>
      <c r="BJ278" s="78">
        <v>0</v>
      </c>
      <c r="BK278" s="78">
        <v>0</v>
      </c>
      <c r="BL278" s="78">
        <v>0</v>
      </c>
      <c r="BM278" s="78">
        <v>273.42700000000002</v>
      </c>
      <c r="BN278" s="78">
        <v>30</v>
      </c>
      <c r="BO278" s="78">
        <v>23</v>
      </c>
      <c r="BP278" s="78">
        <v>6305.53</v>
      </c>
      <c r="BQ278" s="78">
        <v>1448.37</v>
      </c>
      <c r="BR278" s="78">
        <v>104.67114613483901</v>
      </c>
      <c r="BS278" s="78">
        <v>158</v>
      </c>
      <c r="BT278" s="78">
        <v>47.3333333333333</v>
      </c>
      <c r="BU278" s="78">
        <v>21.3333333333333</v>
      </c>
      <c r="BV278" s="78">
        <f t="shared" si="16"/>
        <v>1018</v>
      </c>
      <c r="BW278" s="78">
        <v>411</v>
      </c>
      <c r="BX278" s="78">
        <v>2948.9069704344201</v>
      </c>
      <c r="BY278" s="78">
        <v>9.6000000000000002E-2</v>
      </c>
      <c r="BZ278" s="78">
        <v>15093</v>
      </c>
      <c r="CA278" s="78">
        <v>2387</v>
      </c>
      <c r="CB278" s="78">
        <v>545</v>
      </c>
      <c r="CC278" s="78">
        <v>397</v>
      </c>
      <c r="CD278" s="78">
        <v>441</v>
      </c>
      <c r="CE278" s="78">
        <v>265</v>
      </c>
      <c r="CF278" s="78">
        <v>165.756352229442</v>
      </c>
      <c r="CG278" s="78">
        <v>116.77757114048801</v>
      </c>
      <c r="CH278" s="78">
        <v>46.407102845619498</v>
      </c>
      <c r="CI278" s="78">
        <v>496.3</v>
      </c>
      <c r="CJ278" s="78">
        <v>349.65</v>
      </c>
      <c r="CK278" s="78">
        <v>138.94999999999999</v>
      </c>
      <c r="CL278" s="78">
        <v>121910</v>
      </c>
    </row>
    <row r="279" spans="1:90" x14ac:dyDescent="0.35">
      <c r="A279" s="72">
        <v>772</v>
      </c>
      <c r="B279" s="72" t="s">
        <v>102</v>
      </c>
      <c r="C279" s="72">
        <v>10</v>
      </c>
      <c r="D279" s="78">
        <v>26680400000</v>
      </c>
      <c r="E279" s="78">
        <v>5798800000</v>
      </c>
      <c r="F279" s="78">
        <v>5899600000</v>
      </c>
      <c r="G279" s="78">
        <v>235691</v>
      </c>
      <c r="H279" s="78">
        <v>1</v>
      </c>
      <c r="I279" s="78">
        <f t="shared" si="14"/>
        <v>5899.6</v>
      </c>
      <c r="J279" s="78">
        <v>39697</v>
      </c>
      <c r="K279" s="78">
        <v>39462</v>
      </c>
      <c r="L279" s="78">
        <v>13016</v>
      </c>
      <c r="M279" s="78">
        <v>38203</v>
      </c>
      <c r="N279" s="78">
        <f t="shared" si="15"/>
        <v>26428.9</v>
      </c>
      <c r="O279" s="78">
        <v>6444.3333333333303</v>
      </c>
      <c r="P279" s="78">
        <v>465</v>
      </c>
      <c r="Q279" s="78">
        <v>18352.333333333299</v>
      </c>
      <c r="R279" s="78">
        <v>58638</v>
      </c>
      <c r="S279" s="78">
        <v>26605</v>
      </c>
      <c r="T279" s="78">
        <v>0</v>
      </c>
      <c r="U279" s="78">
        <v>8377</v>
      </c>
      <c r="V279" s="78">
        <v>124285</v>
      </c>
      <c r="W279" s="78">
        <v>275610</v>
      </c>
      <c r="X279" s="78">
        <v>538170</v>
      </c>
      <c r="Y279" s="78">
        <v>6983.3278</v>
      </c>
      <c r="Z279" s="78">
        <v>11314.4</v>
      </c>
      <c r="AA279" s="78">
        <v>0</v>
      </c>
      <c r="AB279" s="399">
        <f>IF((J279-'[2]Basisgegevens aanvullend'!D279*1.1)&lt;=0,0,J279-'[2]Basisgegevens aanvullend'!D279*1.1)</f>
        <v>0</v>
      </c>
      <c r="AC279" s="399">
        <v>0</v>
      </c>
      <c r="AD279" s="78">
        <v>8750</v>
      </c>
      <c r="AE279" s="78">
        <v>8750</v>
      </c>
      <c r="AF279" s="78">
        <v>142</v>
      </c>
      <c r="AG279" s="78">
        <v>0</v>
      </c>
      <c r="AH279" s="78">
        <v>1124</v>
      </c>
      <c r="AI279" s="78">
        <v>137</v>
      </c>
      <c r="AJ279" s="78">
        <v>1124</v>
      </c>
      <c r="AK279" s="78">
        <v>137</v>
      </c>
      <c r="AL279" s="78">
        <v>1261</v>
      </c>
      <c r="AM279" s="78">
        <v>117741</v>
      </c>
      <c r="AN279" s="78">
        <v>117741</v>
      </c>
      <c r="AO279" s="78">
        <v>9</v>
      </c>
      <c r="AP279" s="78">
        <v>0</v>
      </c>
      <c r="AQ279" s="78">
        <v>0</v>
      </c>
      <c r="AR279" s="78">
        <v>0</v>
      </c>
      <c r="AS279" s="78">
        <v>19215</v>
      </c>
      <c r="AT279" s="78">
        <v>18701</v>
      </c>
      <c r="AU279" s="400">
        <v>9.5433710000000001E-3</v>
      </c>
      <c r="AV279" s="400">
        <v>1.5647069999999999E-2</v>
      </c>
      <c r="AW279" s="78">
        <v>319195.85100000002</v>
      </c>
      <c r="AX279" s="78">
        <v>0</v>
      </c>
      <c r="AY279" s="78">
        <v>1733</v>
      </c>
      <c r="AZ279" s="78">
        <v>45934.829397210997</v>
      </c>
      <c r="BA279" s="78">
        <v>3</v>
      </c>
      <c r="BB279" s="78">
        <v>3</v>
      </c>
      <c r="BC279" s="78">
        <v>27662</v>
      </c>
      <c r="BD279" s="78">
        <v>1</v>
      </c>
      <c r="BE279" s="78">
        <v>0</v>
      </c>
      <c r="BF279" s="78">
        <v>0</v>
      </c>
      <c r="BG279" s="78">
        <v>0</v>
      </c>
      <c r="BH279" s="78">
        <v>0</v>
      </c>
      <c r="BI279" s="78">
        <v>0</v>
      </c>
      <c r="BJ279" s="78">
        <v>0</v>
      </c>
      <c r="BK279" s="78">
        <v>0</v>
      </c>
      <c r="BL279" s="78">
        <v>0</v>
      </c>
      <c r="BM279" s="78">
        <v>6589.7020000000002</v>
      </c>
      <c r="BN279" s="78">
        <v>689</v>
      </c>
      <c r="BO279" s="78">
        <v>897</v>
      </c>
      <c r="BP279" s="78">
        <v>71761.11</v>
      </c>
      <c r="BQ279" s="78">
        <v>14132.48</v>
      </c>
      <c r="BR279" s="78">
        <v>1570.3564802369699</v>
      </c>
      <c r="BS279" s="78">
        <v>3162</v>
      </c>
      <c r="BT279" s="78">
        <v>1704.3333333333301</v>
      </c>
      <c r="BU279" s="78">
        <v>1656</v>
      </c>
      <c r="BV279" s="78">
        <f t="shared" si="16"/>
        <v>11907.999999999969</v>
      </c>
      <c r="BW279" s="78">
        <v>2876</v>
      </c>
      <c r="BX279" s="78">
        <v>32268.291370598199</v>
      </c>
      <c r="BY279" s="78">
        <v>16.306999999999999</v>
      </c>
      <c r="BZ279" s="78">
        <v>196229</v>
      </c>
      <c r="CA279" s="78">
        <v>21066</v>
      </c>
      <c r="CB279" s="78">
        <v>5380</v>
      </c>
      <c r="CC279" s="78">
        <v>6100</v>
      </c>
      <c r="CD279" s="78">
        <v>4891</v>
      </c>
      <c r="CE279" s="78">
        <v>2991</v>
      </c>
      <c r="CF279" s="78">
        <v>3104.5949660695901</v>
      </c>
      <c r="CG279" s="78">
        <v>2103.2502951393299</v>
      </c>
      <c r="CH279" s="78">
        <v>924.80162390331304</v>
      </c>
      <c r="CI279" s="78">
        <v>6662.3927000000003</v>
      </c>
      <c r="CJ279" s="78">
        <v>4513.5290000000005</v>
      </c>
      <c r="CK279" s="78">
        <v>1984.604</v>
      </c>
      <c r="CL279" s="78">
        <v>340061</v>
      </c>
    </row>
    <row r="280" spans="1:90" x14ac:dyDescent="0.35">
      <c r="A280" s="72">
        <v>777</v>
      </c>
      <c r="B280" s="72" t="s">
        <v>109</v>
      </c>
      <c r="C280" s="72">
        <v>10</v>
      </c>
      <c r="D280" s="78">
        <v>4345200000</v>
      </c>
      <c r="E280" s="78">
        <v>760900000</v>
      </c>
      <c r="F280" s="78">
        <v>789600000</v>
      </c>
      <c r="G280" s="78">
        <v>43869</v>
      </c>
      <c r="H280" s="78">
        <v>1</v>
      </c>
      <c r="I280" s="78">
        <f t="shared" si="14"/>
        <v>789.6</v>
      </c>
      <c r="J280" s="78">
        <v>8765</v>
      </c>
      <c r="K280" s="78">
        <v>9244</v>
      </c>
      <c r="L280" s="78">
        <v>2927</v>
      </c>
      <c r="M280" s="78">
        <v>5165</v>
      </c>
      <c r="N280" s="78">
        <f t="shared" si="15"/>
        <v>3242.2</v>
      </c>
      <c r="O280" s="78">
        <v>667</v>
      </c>
      <c r="P280" s="78">
        <v>36</v>
      </c>
      <c r="Q280" s="78">
        <v>2795</v>
      </c>
      <c r="R280" s="78">
        <v>5765</v>
      </c>
      <c r="S280" s="78">
        <v>2655</v>
      </c>
      <c r="T280" s="78">
        <v>0</v>
      </c>
      <c r="U280" s="78">
        <v>1436</v>
      </c>
      <c r="V280" s="78">
        <v>19441</v>
      </c>
      <c r="W280" s="78">
        <v>46790</v>
      </c>
      <c r="X280" s="78">
        <v>37830</v>
      </c>
      <c r="Y280" s="78">
        <v>364.32</v>
      </c>
      <c r="Z280" s="78">
        <v>2598.4</v>
      </c>
      <c r="AA280" s="78">
        <v>0</v>
      </c>
      <c r="AB280" s="399">
        <f>IF((J280-'[2]Basisgegevens aanvullend'!D280*1.1)&lt;=0,0,J280-'[2]Basisgegevens aanvullend'!D280*1.1)</f>
        <v>0</v>
      </c>
      <c r="AC280" s="399">
        <v>0</v>
      </c>
      <c r="AD280" s="78">
        <v>5529</v>
      </c>
      <c r="AE280" s="78">
        <v>5584.29</v>
      </c>
      <c r="AF280" s="78">
        <v>64</v>
      </c>
      <c r="AG280" s="78">
        <v>0</v>
      </c>
      <c r="AH280" s="78">
        <v>251</v>
      </c>
      <c r="AI280" s="78">
        <v>98</v>
      </c>
      <c r="AJ280" s="78">
        <v>251</v>
      </c>
      <c r="AK280" s="78">
        <v>98.98</v>
      </c>
      <c r="AL280" s="78">
        <v>349</v>
      </c>
      <c r="AM280" s="78">
        <v>19228</v>
      </c>
      <c r="AN280" s="78">
        <v>19228</v>
      </c>
      <c r="AO280" s="78">
        <v>0</v>
      </c>
      <c r="AP280" s="78">
        <v>0</v>
      </c>
      <c r="AQ280" s="78">
        <v>0</v>
      </c>
      <c r="AR280" s="78">
        <v>0</v>
      </c>
      <c r="AS280" s="78">
        <v>542</v>
      </c>
      <c r="AT280" s="78">
        <v>0</v>
      </c>
      <c r="AU280" s="400">
        <v>1.68302E-4</v>
      </c>
      <c r="AV280" s="400">
        <v>2.28271E-4</v>
      </c>
      <c r="AW280" s="78">
        <v>32110.76</v>
      </c>
      <c r="AX280" s="78">
        <v>0</v>
      </c>
      <c r="AY280" s="78">
        <v>1003.94</v>
      </c>
      <c r="AZ280" s="78">
        <v>8413.1533667083895</v>
      </c>
      <c r="BA280" s="78">
        <v>3</v>
      </c>
      <c r="BB280" s="78">
        <v>3.03</v>
      </c>
      <c r="BC280" s="78">
        <v>4451</v>
      </c>
      <c r="BD280" s="78">
        <v>1</v>
      </c>
      <c r="BE280" s="78">
        <v>0</v>
      </c>
      <c r="BF280" s="78">
        <v>0</v>
      </c>
      <c r="BG280" s="78">
        <v>0</v>
      </c>
      <c r="BH280" s="78">
        <v>0</v>
      </c>
      <c r="BI280" s="78">
        <v>0</v>
      </c>
      <c r="BJ280" s="78">
        <v>0</v>
      </c>
      <c r="BK280" s="78">
        <v>0</v>
      </c>
      <c r="BL280" s="78">
        <v>0</v>
      </c>
      <c r="BM280" s="78">
        <v>937.85500000000002</v>
      </c>
      <c r="BN280" s="78">
        <v>154</v>
      </c>
      <c r="BO280" s="78">
        <v>91</v>
      </c>
      <c r="BP280" s="78">
        <v>13061.01</v>
      </c>
      <c r="BQ280" s="78">
        <v>3341.96</v>
      </c>
      <c r="BR280" s="78">
        <v>360.55393928622198</v>
      </c>
      <c r="BS280" s="78">
        <v>575</v>
      </c>
      <c r="BT280" s="78">
        <v>218.333333333333</v>
      </c>
      <c r="BU280" s="78">
        <v>177</v>
      </c>
      <c r="BV280" s="78">
        <f t="shared" si="16"/>
        <v>2128</v>
      </c>
      <c r="BW280" s="78">
        <v>474</v>
      </c>
      <c r="BX280" s="78">
        <v>7963.0063393955998</v>
      </c>
      <c r="BY280" s="78">
        <v>1.5169999999999999</v>
      </c>
      <c r="BZ280" s="78">
        <v>34625</v>
      </c>
      <c r="CA280" s="78">
        <v>5406</v>
      </c>
      <c r="CB280" s="78">
        <v>911</v>
      </c>
      <c r="CC280" s="78">
        <v>1113</v>
      </c>
      <c r="CD280" s="78">
        <v>923</v>
      </c>
      <c r="CE280" s="78">
        <v>454</v>
      </c>
      <c r="CF280" s="78">
        <v>560.15125858123599</v>
      </c>
      <c r="CG280" s="78">
        <v>337.068743499064</v>
      </c>
      <c r="CH280" s="78">
        <v>110.95109215727101</v>
      </c>
      <c r="CI280" s="78">
        <v>1440.7514000000001</v>
      </c>
      <c r="CJ280" s="78">
        <v>866.96630000000005</v>
      </c>
      <c r="CK280" s="78">
        <v>285.37459999999999</v>
      </c>
      <c r="CL280" s="78">
        <v>39403</v>
      </c>
    </row>
    <row r="281" spans="1:90" x14ac:dyDescent="0.35">
      <c r="A281" s="72">
        <v>779</v>
      </c>
      <c r="B281" s="72" t="s">
        <v>110</v>
      </c>
      <c r="C281" s="72">
        <v>10</v>
      </c>
      <c r="D281" s="78">
        <v>2056800000</v>
      </c>
      <c r="E281" s="78">
        <v>508900000</v>
      </c>
      <c r="F281" s="78">
        <v>517300000</v>
      </c>
      <c r="G281" s="78">
        <v>21770</v>
      </c>
      <c r="H281" s="78">
        <v>2</v>
      </c>
      <c r="I281" s="78">
        <f t="shared" si="14"/>
        <v>517.29999999999995</v>
      </c>
      <c r="J281" s="78">
        <v>4084</v>
      </c>
      <c r="K281" s="78">
        <v>4688</v>
      </c>
      <c r="L281" s="78">
        <v>1513</v>
      </c>
      <c r="M281" s="78">
        <v>2777</v>
      </c>
      <c r="N281" s="78">
        <f t="shared" si="15"/>
        <v>1798.8</v>
      </c>
      <c r="O281" s="78">
        <v>291.33333333333297</v>
      </c>
      <c r="P281" s="78">
        <v>40</v>
      </c>
      <c r="Q281" s="78">
        <v>1282.3333333333301</v>
      </c>
      <c r="R281" s="78">
        <v>2908</v>
      </c>
      <c r="S281" s="78">
        <v>475</v>
      </c>
      <c r="T281" s="78">
        <v>0</v>
      </c>
      <c r="U281" s="78">
        <v>724</v>
      </c>
      <c r="V281" s="78">
        <v>9880</v>
      </c>
      <c r="W281" s="78">
        <v>20370</v>
      </c>
      <c r="X281" s="78">
        <v>7020</v>
      </c>
      <c r="Y281" s="78">
        <v>0</v>
      </c>
      <c r="Z281" s="78">
        <v>1221.5999999999999</v>
      </c>
      <c r="AA281" s="78">
        <v>0</v>
      </c>
      <c r="AB281" s="399">
        <f>IF((J281-'[2]Basisgegevens aanvullend'!D281*1.1)&lt;=0,0,J281-'[2]Basisgegevens aanvullend'!D281*1.1)</f>
        <v>0</v>
      </c>
      <c r="AC281" s="399">
        <v>0</v>
      </c>
      <c r="AD281" s="78">
        <v>2658</v>
      </c>
      <c r="AE281" s="78">
        <v>2658</v>
      </c>
      <c r="AF281" s="78">
        <v>306</v>
      </c>
      <c r="AG281" s="78">
        <v>0</v>
      </c>
      <c r="AH281" s="78">
        <v>147</v>
      </c>
      <c r="AI281" s="78">
        <v>44</v>
      </c>
      <c r="AJ281" s="78">
        <v>147</v>
      </c>
      <c r="AK281" s="78">
        <v>44</v>
      </c>
      <c r="AL281" s="78">
        <v>190</v>
      </c>
      <c r="AM281" s="78">
        <v>9782</v>
      </c>
      <c r="AN281" s="78">
        <v>9782</v>
      </c>
      <c r="AO281" s="78">
        <v>13</v>
      </c>
      <c r="AP281" s="78">
        <v>0</v>
      </c>
      <c r="AQ281" s="78">
        <v>0</v>
      </c>
      <c r="AR281" s="78">
        <v>3600</v>
      </c>
      <c r="AS281" s="78">
        <v>1532</v>
      </c>
      <c r="AT281" s="78">
        <v>537</v>
      </c>
      <c r="AU281" s="400">
        <v>3.0082299999999998E-4</v>
      </c>
      <c r="AV281" s="400">
        <v>1.6282199999999999E-4</v>
      </c>
      <c r="AW281" s="78">
        <v>10662.38</v>
      </c>
      <c r="AX281" s="78">
        <v>0</v>
      </c>
      <c r="AY281" s="78">
        <v>1093</v>
      </c>
      <c r="AZ281" s="78">
        <v>8027.8711201079605</v>
      </c>
      <c r="BA281" s="78">
        <v>2</v>
      </c>
      <c r="BB281" s="78">
        <v>2</v>
      </c>
      <c r="BC281" s="78">
        <v>2431</v>
      </c>
      <c r="BD281" s="78">
        <v>1</v>
      </c>
      <c r="BE281" s="78">
        <v>0</v>
      </c>
      <c r="BF281" s="78">
        <v>0</v>
      </c>
      <c r="BG281" s="78">
        <v>0</v>
      </c>
      <c r="BH281" s="78">
        <v>0</v>
      </c>
      <c r="BI281" s="78">
        <v>0</v>
      </c>
      <c r="BJ281" s="78">
        <v>0</v>
      </c>
      <c r="BK281" s="78">
        <v>0</v>
      </c>
      <c r="BL281" s="78">
        <v>0</v>
      </c>
      <c r="BM281" s="78">
        <v>383.89600000000002</v>
      </c>
      <c r="BN281" s="78">
        <v>197</v>
      </c>
      <c r="BO281" s="78">
        <v>53</v>
      </c>
      <c r="BP281" s="78">
        <v>6368.35</v>
      </c>
      <c r="BQ281" s="78">
        <v>1539.85</v>
      </c>
      <c r="BR281" s="78">
        <v>195.35943886145799</v>
      </c>
      <c r="BS281" s="78">
        <v>268</v>
      </c>
      <c r="BT281" s="78">
        <v>75.3333333333333</v>
      </c>
      <c r="BU281" s="78">
        <v>67</v>
      </c>
      <c r="BV281" s="78">
        <f t="shared" si="16"/>
        <v>990.99999999999704</v>
      </c>
      <c r="BW281" s="78">
        <v>216</v>
      </c>
      <c r="BX281" s="78">
        <v>4132.6218158187903</v>
      </c>
      <c r="BY281" s="78">
        <v>0.48699999999999999</v>
      </c>
      <c r="BZ281" s="78">
        <v>17082</v>
      </c>
      <c r="CA281" s="78">
        <v>2699</v>
      </c>
      <c r="CB281" s="78">
        <v>476</v>
      </c>
      <c r="CC281" s="78">
        <v>544</v>
      </c>
      <c r="CD281" s="78">
        <v>507</v>
      </c>
      <c r="CE281" s="78">
        <v>228</v>
      </c>
      <c r="CF281" s="78">
        <v>302.129257820487</v>
      </c>
      <c r="CG281" s="78">
        <v>192.16377019014499</v>
      </c>
      <c r="CH281" s="78">
        <v>58.476630545900598</v>
      </c>
      <c r="CI281" s="78">
        <v>738.03560000000004</v>
      </c>
      <c r="CJ281" s="78">
        <v>469.41399999999999</v>
      </c>
      <c r="CK281" s="78">
        <v>142.84559999999999</v>
      </c>
      <c r="CL281" s="78">
        <v>56933</v>
      </c>
    </row>
    <row r="282" spans="1:90" x14ac:dyDescent="0.35">
      <c r="A282" s="72">
        <v>1771</v>
      </c>
      <c r="B282" s="72" t="s">
        <v>111</v>
      </c>
      <c r="C282" s="72">
        <v>10</v>
      </c>
      <c r="D282" s="78">
        <v>4239200000</v>
      </c>
      <c r="E282" s="78">
        <v>408450000</v>
      </c>
      <c r="F282" s="78">
        <v>428050000</v>
      </c>
      <c r="G282" s="78">
        <v>40066</v>
      </c>
      <c r="H282" s="78">
        <v>2</v>
      </c>
      <c r="I282" s="78">
        <f t="shared" si="14"/>
        <v>428.05</v>
      </c>
      <c r="J282" s="78">
        <v>7485</v>
      </c>
      <c r="K282" s="78">
        <v>8936</v>
      </c>
      <c r="L282" s="78">
        <v>3021</v>
      </c>
      <c r="M282" s="78">
        <v>5132</v>
      </c>
      <c r="N282" s="78">
        <f t="shared" si="15"/>
        <v>3305.3</v>
      </c>
      <c r="O282" s="78">
        <v>686.66666666666697</v>
      </c>
      <c r="P282" s="78">
        <v>70</v>
      </c>
      <c r="Q282" s="78">
        <v>2522.6666666666702</v>
      </c>
      <c r="R282" s="78">
        <v>5928</v>
      </c>
      <c r="S282" s="78">
        <v>1660</v>
      </c>
      <c r="T282" s="78">
        <v>0</v>
      </c>
      <c r="U282" s="78">
        <v>1338</v>
      </c>
      <c r="V282" s="78">
        <v>18218</v>
      </c>
      <c r="W282" s="78">
        <v>36400</v>
      </c>
      <c r="X282" s="78">
        <v>18210</v>
      </c>
      <c r="Y282" s="78">
        <v>324.72000000000003</v>
      </c>
      <c r="Z282" s="78">
        <v>828.8</v>
      </c>
      <c r="AA282" s="78">
        <v>0</v>
      </c>
      <c r="AB282" s="399">
        <f>IF((J282-'[2]Basisgegevens aanvullend'!D282*1.1)&lt;=0,0,J282-'[2]Basisgegevens aanvullend'!D282*1.1)</f>
        <v>0</v>
      </c>
      <c r="AC282" s="399">
        <v>0</v>
      </c>
      <c r="AD282" s="78">
        <v>3101</v>
      </c>
      <c r="AE282" s="78">
        <v>3101</v>
      </c>
      <c r="AF282" s="78">
        <v>37</v>
      </c>
      <c r="AG282" s="78">
        <v>0</v>
      </c>
      <c r="AH282" s="78">
        <v>229</v>
      </c>
      <c r="AI282" s="78">
        <v>23</v>
      </c>
      <c r="AJ282" s="78">
        <v>229</v>
      </c>
      <c r="AK282" s="78">
        <v>23</v>
      </c>
      <c r="AL282" s="78">
        <v>252</v>
      </c>
      <c r="AM282" s="78">
        <v>18267</v>
      </c>
      <c r="AN282" s="78">
        <v>18267</v>
      </c>
      <c r="AO282" s="78">
        <v>0</v>
      </c>
      <c r="AP282" s="78">
        <v>0</v>
      </c>
      <c r="AQ282" s="78">
        <v>0</v>
      </c>
      <c r="AR282" s="78">
        <v>0</v>
      </c>
      <c r="AS282" s="78">
        <v>1074</v>
      </c>
      <c r="AT282" s="78">
        <v>0</v>
      </c>
      <c r="AU282" s="400">
        <v>2.8959599999999998E-4</v>
      </c>
      <c r="AV282" s="400">
        <v>5.5208099999999995E-4</v>
      </c>
      <c r="AW282" s="78">
        <v>25007.523000000001</v>
      </c>
      <c r="AX282" s="78">
        <v>0</v>
      </c>
      <c r="AY282" s="78">
        <v>469</v>
      </c>
      <c r="AZ282" s="78">
        <v>5988.1943913320601</v>
      </c>
      <c r="BA282" s="78">
        <v>2</v>
      </c>
      <c r="BB282" s="78">
        <v>2</v>
      </c>
      <c r="BC282" s="78">
        <v>4115</v>
      </c>
      <c r="BD282" s="78">
        <v>1</v>
      </c>
      <c r="BE282" s="78">
        <v>0</v>
      </c>
      <c r="BF282" s="78">
        <v>0</v>
      </c>
      <c r="BG282" s="78">
        <v>0</v>
      </c>
      <c r="BH282" s="78">
        <v>0</v>
      </c>
      <c r="BI282" s="78">
        <v>0</v>
      </c>
      <c r="BJ282" s="78">
        <v>0</v>
      </c>
      <c r="BK282" s="78">
        <v>0</v>
      </c>
      <c r="BL282" s="78">
        <v>0</v>
      </c>
      <c r="BM282" s="78">
        <v>920.65499999999997</v>
      </c>
      <c r="BN282" s="78">
        <v>103</v>
      </c>
      <c r="BO282" s="78">
        <v>130</v>
      </c>
      <c r="BP282" s="78">
        <v>12564.3</v>
      </c>
      <c r="BQ282" s="78">
        <v>2825.46</v>
      </c>
      <c r="BR282" s="78">
        <v>316.62606963155298</v>
      </c>
      <c r="BS282" s="78">
        <v>506</v>
      </c>
      <c r="BT282" s="78">
        <v>210.333333333333</v>
      </c>
      <c r="BU282" s="78">
        <v>203.333333333333</v>
      </c>
      <c r="BV282" s="78">
        <f t="shared" si="16"/>
        <v>1836.0000000000032</v>
      </c>
      <c r="BW282" s="78">
        <v>399</v>
      </c>
      <c r="BX282" s="78">
        <v>7475.3155132658703</v>
      </c>
      <c r="BY282" s="78">
        <v>1.2190000000000001</v>
      </c>
      <c r="BZ282" s="78">
        <v>31130</v>
      </c>
      <c r="CA282" s="78">
        <v>4922</v>
      </c>
      <c r="CB282" s="78">
        <v>993</v>
      </c>
      <c r="CC282" s="78">
        <v>1045</v>
      </c>
      <c r="CD282" s="78">
        <v>1017</v>
      </c>
      <c r="CE282" s="78">
        <v>525</v>
      </c>
      <c r="CF282" s="78">
        <v>556.22117479608005</v>
      </c>
      <c r="CG282" s="78">
        <v>380.88665352821999</v>
      </c>
      <c r="CH282" s="78">
        <v>135.70783379865301</v>
      </c>
      <c r="CI282" s="78">
        <v>1321.5126</v>
      </c>
      <c r="CJ282" s="78">
        <v>904.93949999999995</v>
      </c>
      <c r="CK282" s="78">
        <v>322.42500000000001</v>
      </c>
      <c r="CL282" s="78">
        <v>12427</v>
      </c>
    </row>
    <row r="283" spans="1:90" x14ac:dyDescent="0.35">
      <c r="A283" s="72">
        <v>1652</v>
      </c>
      <c r="B283" s="72" t="s">
        <v>112</v>
      </c>
      <c r="C283" s="72">
        <v>10</v>
      </c>
      <c r="D283" s="78">
        <v>3020800000</v>
      </c>
      <c r="E283" s="78">
        <v>405300000</v>
      </c>
      <c r="F283" s="78">
        <v>457800000</v>
      </c>
      <c r="G283" s="78">
        <v>30760</v>
      </c>
      <c r="H283" s="78">
        <v>4</v>
      </c>
      <c r="I283" s="78">
        <f t="shared" si="14"/>
        <v>457.8</v>
      </c>
      <c r="J283" s="78">
        <v>5956</v>
      </c>
      <c r="K283" s="78">
        <v>6290</v>
      </c>
      <c r="L283" s="78">
        <v>1884</v>
      </c>
      <c r="M283" s="78">
        <v>3831</v>
      </c>
      <c r="N283" s="78">
        <f t="shared" si="15"/>
        <v>2501.6</v>
      </c>
      <c r="O283" s="78">
        <v>355.33333333333297</v>
      </c>
      <c r="P283" s="78">
        <v>57</v>
      </c>
      <c r="Q283" s="78">
        <v>1932.3333333333301</v>
      </c>
      <c r="R283" s="78">
        <v>3918</v>
      </c>
      <c r="S283" s="78">
        <v>435</v>
      </c>
      <c r="T283" s="78">
        <v>0</v>
      </c>
      <c r="U283" s="78">
        <v>811</v>
      </c>
      <c r="V283" s="78">
        <v>13303</v>
      </c>
      <c r="W283" s="78">
        <v>26220</v>
      </c>
      <c r="X283" s="78">
        <v>11240</v>
      </c>
      <c r="Y283" s="78">
        <v>378.18</v>
      </c>
      <c r="Z283" s="78">
        <v>1544.8</v>
      </c>
      <c r="AA283" s="78">
        <v>0</v>
      </c>
      <c r="AB283" s="399">
        <f>IF((J283-'[2]Basisgegevens aanvullend'!D283*1.1)&lt;=0,0,J283-'[2]Basisgegevens aanvullend'!D283*1.1)</f>
        <v>0</v>
      </c>
      <c r="AC283" s="399">
        <v>0</v>
      </c>
      <c r="AD283" s="78">
        <v>12201</v>
      </c>
      <c r="AE283" s="78">
        <v>12201</v>
      </c>
      <c r="AF283" s="78">
        <v>133</v>
      </c>
      <c r="AG283" s="78">
        <v>0</v>
      </c>
      <c r="AH283" s="78">
        <v>194</v>
      </c>
      <c r="AI283" s="78">
        <v>176</v>
      </c>
      <c r="AJ283" s="78">
        <v>194</v>
      </c>
      <c r="AK283" s="78">
        <v>176</v>
      </c>
      <c r="AL283" s="78">
        <v>371</v>
      </c>
      <c r="AM283" s="78">
        <v>13294</v>
      </c>
      <c r="AN283" s="78">
        <v>13294</v>
      </c>
      <c r="AO283" s="78">
        <v>8</v>
      </c>
      <c r="AP283" s="78">
        <v>0</v>
      </c>
      <c r="AQ283" s="78">
        <v>0</v>
      </c>
      <c r="AR283" s="78">
        <v>0</v>
      </c>
      <c r="AS283" s="78">
        <v>663</v>
      </c>
      <c r="AT283" s="78">
        <v>663</v>
      </c>
      <c r="AU283" s="400">
        <v>2.2607899999999999E-4</v>
      </c>
      <c r="AV283" s="400">
        <v>1.18987E-4</v>
      </c>
      <c r="AW283" s="78">
        <v>10289.556</v>
      </c>
      <c r="AX283" s="78">
        <v>0</v>
      </c>
      <c r="AY283" s="78">
        <v>1043</v>
      </c>
      <c r="AZ283" s="78">
        <v>2601.1577752553899</v>
      </c>
      <c r="BA283" s="78">
        <v>11</v>
      </c>
      <c r="BB283" s="78">
        <v>11</v>
      </c>
      <c r="BC283" s="78">
        <v>3604</v>
      </c>
      <c r="BD283" s="78">
        <v>1</v>
      </c>
      <c r="BE283" s="78">
        <v>0</v>
      </c>
      <c r="BF283" s="78">
        <v>0</v>
      </c>
      <c r="BG283" s="78">
        <v>0</v>
      </c>
      <c r="BH283" s="78">
        <v>0</v>
      </c>
      <c r="BI283" s="78">
        <v>0</v>
      </c>
      <c r="BJ283" s="78">
        <v>0</v>
      </c>
      <c r="BK283" s="78">
        <v>0</v>
      </c>
      <c r="BL283" s="78">
        <v>0</v>
      </c>
      <c r="BM283" s="78">
        <v>541.99599999999998</v>
      </c>
      <c r="BN283" s="78">
        <v>120</v>
      </c>
      <c r="BO283" s="78">
        <v>70</v>
      </c>
      <c r="BP283" s="78">
        <v>8646.66</v>
      </c>
      <c r="BQ283" s="78">
        <v>2100.8000000000002</v>
      </c>
      <c r="BR283" s="78">
        <v>167.13756421356399</v>
      </c>
      <c r="BS283" s="78">
        <v>334</v>
      </c>
      <c r="BT283" s="78">
        <v>107</v>
      </c>
      <c r="BU283" s="78">
        <v>79</v>
      </c>
      <c r="BV283" s="78">
        <f t="shared" si="16"/>
        <v>1576.999999999997</v>
      </c>
      <c r="BW283" s="78">
        <v>381</v>
      </c>
      <c r="BX283" s="78">
        <v>4581.7512091918097</v>
      </c>
      <c r="BY283" s="78">
        <v>0.58799999999999997</v>
      </c>
      <c r="BZ283" s="78">
        <v>24470</v>
      </c>
      <c r="CA283" s="78">
        <v>3776</v>
      </c>
      <c r="CB283" s="78">
        <v>630</v>
      </c>
      <c r="CC283" s="78">
        <v>716</v>
      </c>
      <c r="CD283" s="78">
        <v>610</v>
      </c>
      <c r="CE283" s="78">
        <v>370</v>
      </c>
      <c r="CF283" s="78">
        <v>440.51794794644201</v>
      </c>
      <c r="CG283" s="78">
        <v>246.32122762148299</v>
      </c>
      <c r="CH283" s="78">
        <v>95.592959229727697</v>
      </c>
      <c r="CI283" s="78">
        <v>1098.3972000000001</v>
      </c>
      <c r="CJ283" s="78">
        <v>614.18280000000004</v>
      </c>
      <c r="CK283" s="78">
        <v>238.3536</v>
      </c>
      <c r="CL283" s="78">
        <v>46248</v>
      </c>
    </row>
    <row r="284" spans="1:90" x14ac:dyDescent="0.35">
      <c r="A284" s="72">
        <v>784</v>
      </c>
      <c r="B284" s="72" t="s">
        <v>114</v>
      </c>
      <c r="C284" s="72">
        <v>10</v>
      </c>
      <c r="D284" s="78">
        <v>2499200000</v>
      </c>
      <c r="E284" s="78">
        <v>606200000</v>
      </c>
      <c r="F284" s="78">
        <v>626850000</v>
      </c>
      <c r="G284" s="78">
        <v>26723</v>
      </c>
      <c r="H284" s="78">
        <v>2</v>
      </c>
      <c r="I284" s="78">
        <f t="shared" si="14"/>
        <v>626.85</v>
      </c>
      <c r="J284" s="78">
        <v>5147</v>
      </c>
      <c r="K284" s="78">
        <v>5714</v>
      </c>
      <c r="L284" s="78">
        <v>1879</v>
      </c>
      <c r="M284" s="78">
        <v>3261</v>
      </c>
      <c r="N284" s="78">
        <f t="shared" si="15"/>
        <v>2096</v>
      </c>
      <c r="O284" s="78">
        <v>426</v>
      </c>
      <c r="P284" s="78">
        <v>24</v>
      </c>
      <c r="Q284" s="78">
        <v>1551</v>
      </c>
      <c r="R284" s="78">
        <v>3334</v>
      </c>
      <c r="S284" s="78">
        <v>1605</v>
      </c>
      <c r="T284" s="78">
        <v>0</v>
      </c>
      <c r="U284" s="78">
        <v>837</v>
      </c>
      <c r="V284" s="78">
        <v>12219</v>
      </c>
      <c r="W284" s="78">
        <v>21180</v>
      </c>
      <c r="X284" s="78">
        <v>5380</v>
      </c>
      <c r="Y284" s="78">
        <v>0</v>
      </c>
      <c r="Z284" s="78">
        <v>0</v>
      </c>
      <c r="AA284" s="78">
        <v>0</v>
      </c>
      <c r="AB284" s="399">
        <f>IF((J284-'[2]Basisgegevens aanvullend'!D284*1.1)&lt;=0,0,J284-'[2]Basisgegevens aanvullend'!D284*1.1)</f>
        <v>0</v>
      </c>
      <c r="AC284" s="399">
        <v>0</v>
      </c>
      <c r="AD284" s="78">
        <v>6538</v>
      </c>
      <c r="AE284" s="78">
        <v>6538</v>
      </c>
      <c r="AF284" s="78">
        <v>28</v>
      </c>
      <c r="AG284" s="78">
        <v>0</v>
      </c>
      <c r="AH284" s="78">
        <v>180</v>
      </c>
      <c r="AI284" s="78">
        <v>71</v>
      </c>
      <c r="AJ284" s="78">
        <v>180</v>
      </c>
      <c r="AK284" s="78">
        <v>71</v>
      </c>
      <c r="AL284" s="78">
        <v>251</v>
      </c>
      <c r="AM284" s="78">
        <v>11650</v>
      </c>
      <c r="AN284" s="78">
        <v>11650</v>
      </c>
      <c r="AO284" s="78">
        <v>0</v>
      </c>
      <c r="AP284" s="78">
        <v>0</v>
      </c>
      <c r="AQ284" s="78">
        <v>0</v>
      </c>
      <c r="AR284" s="78">
        <v>0</v>
      </c>
      <c r="AS284" s="78">
        <v>0</v>
      </c>
      <c r="AT284" s="78">
        <v>0</v>
      </c>
      <c r="AU284" s="400">
        <v>1.98715E-4</v>
      </c>
      <c r="AV284" s="400">
        <v>1.15251E-4</v>
      </c>
      <c r="AW284" s="78">
        <v>12675.2</v>
      </c>
      <c r="AX284" s="78">
        <v>0</v>
      </c>
      <c r="AY284" s="78">
        <v>530</v>
      </c>
      <c r="AZ284" s="78">
        <v>2157.04995431008</v>
      </c>
      <c r="BA284" s="78">
        <v>7</v>
      </c>
      <c r="BB284" s="78">
        <v>7</v>
      </c>
      <c r="BC284" s="78">
        <v>2844</v>
      </c>
      <c r="BD284" s="78">
        <v>1</v>
      </c>
      <c r="BE284" s="78">
        <v>0</v>
      </c>
      <c r="BF284" s="78">
        <v>0</v>
      </c>
      <c r="BG284" s="78">
        <v>0</v>
      </c>
      <c r="BH284" s="78">
        <v>0</v>
      </c>
      <c r="BI284" s="78">
        <v>0</v>
      </c>
      <c r="BJ284" s="78">
        <v>0</v>
      </c>
      <c r="BK284" s="78">
        <v>0</v>
      </c>
      <c r="BL284" s="78">
        <v>0</v>
      </c>
      <c r="BM284" s="78">
        <v>571.31700000000001</v>
      </c>
      <c r="BN284" s="78">
        <v>74</v>
      </c>
      <c r="BO284" s="78">
        <v>107</v>
      </c>
      <c r="BP284" s="78">
        <v>7532.81</v>
      </c>
      <c r="BQ284" s="78">
        <v>1806.35</v>
      </c>
      <c r="BR284" s="78">
        <v>176.94657020338099</v>
      </c>
      <c r="BS284" s="78">
        <v>336</v>
      </c>
      <c r="BT284" s="78">
        <v>137</v>
      </c>
      <c r="BU284" s="78">
        <v>124</v>
      </c>
      <c r="BV284" s="78">
        <f t="shared" si="16"/>
        <v>1125</v>
      </c>
      <c r="BW284" s="78">
        <v>233</v>
      </c>
      <c r="BX284" s="78">
        <v>5150.5597381862199</v>
      </c>
      <c r="BY284" s="78">
        <v>0.63900000000000001</v>
      </c>
      <c r="BZ284" s="78">
        <v>21009</v>
      </c>
      <c r="CA284" s="78">
        <v>3296</v>
      </c>
      <c r="CB284" s="78">
        <v>539</v>
      </c>
      <c r="CC284" s="78">
        <v>621</v>
      </c>
      <c r="CD284" s="78">
        <v>575</v>
      </c>
      <c r="CE284" s="78">
        <v>257</v>
      </c>
      <c r="CF284" s="78">
        <v>359.28858369098702</v>
      </c>
      <c r="CG284" s="78">
        <v>227.77133047210299</v>
      </c>
      <c r="CH284" s="78">
        <v>70.886180257510702</v>
      </c>
      <c r="CI284" s="78">
        <v>897.05240000000003</v>
      </c>
      <c r="CJ284" s="78">
        <v>568.68719999999996</v>
      </c>
      <c r="CK284" s="78">
        <v>176.98480000000001</v>
      </c>
      <c r="CL284" s="78">
        <v>9125</v>
      </c>
    </row>
    <row r="285" spans="1:90" x14ac:dyDescent="0.35">
      <c r="A285" s="72">
        <v>785</v>
      </c>
      <c r="B285" s="72" t="s">
        <v>117</v>
      </c>
      <c r="C285" s="72">
        <v>10</v>
      </c>
      <c r="D285" s="78">
        <v>2648000000</v>
      </c>
      <c r="E285" s="78">
        <v>238350000</v>
      </c>
      <c r="F285" s="78">
        <v>251300000</v>
      </c>
      <c r="G285" s="78">
        <v>23952</v>
      </c>
      <c r="H285" s="78">
        <v>2</v>
      </c>
      <c r="I285" s="78">
        <f t="shared" si="14"/>
        <v>251.3</v>
      </c>
      <c r="J285" s="78">
        <v>4813</v>
      </c>
      <c r="K285" s="78">
        <v>5622</v>
      </c>
      <c r="L285" s="78">
        <v>1726</v>
      </c>
      <c r="M285" s="78">
        <v>2599</v>
      </c>
      <c r="N285" s="78">
        <f t="shared" si="15"/>
        <v>1544.3</v>
      </c>
      <c r="O285" s="78">
        <v>260.66666666666703</v>
      </c>
      <c r="P285" s="78">
        <v>54</v>
      </c>
      <c r="Q285" s="78">
        <v>1265.6666666666699</v>
      </c>
      <c r="R285" s="78">
        <v>2921</v>
      </c>
      <c r="S285" s="78">
        <v>675</v>
      </c>
      <c r="T285" s="78">
        <v>0</v>
      </c>
      <c r="U285" s="78">
        <v>691</v>
      </c>
      <c r="V285" s="78">
        <v>10632</v>
      </c>
      <c r="W285" s="78">
        <v>19220</v>
      </c>
      <c r="X285" s="78">
        <v>5370</v>
      </c>
      <c r="Y285" s="78">
        <v>1650.42</v>
      </c>
      <c r="Z285" s="78">
        <v>1204</v>
      </c>
      <c r="AA285" s="78">
        <v>0</v>
      </c>
      <c r="AB285" s="399">
        <f>IF((J285-'[2]Basisgegevens aanvullend'!D285*1.1)&lt;=0,0,J285-'[2]Basisgegevens aanvullend'!D285*1.1)</f>
        <v>0</v>
      </c>
      <c r="AC285" s="399">
        <v>0</v>
      </c>
      <c r="AD285" s="78">
        <v>4298</v>
      </c>
      <c r="AE285" s="78">
        <v>4298</v>
      </c>
      <c r="AF285" s="78">
        <v>40</v>
      </c>
      <c r="AG285" s="78">
        <v>0</v>
      </c>
      <c r="AH285" s="78">
        <v>135</v>
      </c>
      <c r="AI285" s="78">
        <v>32</v>
      </c>
      <c r="AJ285" s="78">
        <v>135</v>
      </c>
      <c r="AK285" s="78">
        <v>32</v>
      </c>
      <c r="AL285" s="78">
        <v>167</v>
      </c>
      <c r="AM285" s="78">
        <v>10547</v>
      </c>
      <c r="AN285" s="78">
        <v>10547</v>
      </c>
      <c r="AO285" s="78">
        <v>0</v>
      </c>
      <c r="AP285" s="78">
        <v>0</v>
      </c>
      <c r="AQ285" s="78">
        <v>0</v>
      </c>
      <c r="AR285" s="78">
        <v>0</v>
      </c>
      <c r="AS285" s="78">
        <v>891</v>
      </c>
      <c r="AT285" s="78">
        <v>0</v>
      </c>
      <c r="AU285" s="400">
        <v>1.16285E-4</v>
      </c>
      <c r="AV285" s="400">
        <v>1.0025400000000001E-4</v>
      </c>
      <c r="AW285" s="78">
        <v>12456.007</v>
      </c>
      <c r="AX285" s="78">
        <v>0</v>
      </c>
      <c r="AY285" s="78">
        <v>402</v>
      </c>
      <c r="AZ285" s="78">
        <v>2219.6182572614098</v>
      </c>
      <c r="BA285" s="78">
        <v>3</v>
      </c>
      <c r="BB285" s="78">
        <v>3</v>
      </c>
      <c r="BC285" s="78">
        <v>2693</v>
      </c>
      <c r="BD285" s="78">
        <v>1</v>
      </c>
      <c r="BE285" s="78">
        <v>0</v>
      </c>
      <c r="BF285" s="78">
        <v>0</v>
      </c>
      <c r="BG285" s="78">
        <v>0</v>
      </c>
      <c r="BH285" s="78">
        <v>0</v>
      </c>
      <c r="BI285" s="78">
        <v>0</v>
      </c>
      <c r="BJ285" s="78">
        <v>0</v>
      </c>
      <c r="BK285" s="78">
        <v>0</v>
      </c>
      <c r="BL285" s="78">
        <v>0</v>
      </c>
      <c r="BM285" s="78">
        <v>428.35700000000003</v>
      </c>
      <c r="BN285" s="78">
        <v>37</v>
      </c>
      <c r="BO285" s="78">
        <v>47</v>
      </c>
      <c r="BP285" s="78">
        <v>7574.64</v>
      </c>
      <c r="BQ285" s="78">
        <v>1859.9</v>
      </c>
      <c r="BR285" s="78">
        <v>170.99429475100899</v>
      </c>
      <c r="BS285" s="78">
        <v>245</v>
      </c>
      <c r="BT285" s="78">
        <v>70</v>
      </c>
      <c r="BU285" s="78">
        <v>68.6666666666667</v>
      </c>
      <c r="BV285" s="78">
        <f t="shared" si="16"/>
        <v>1005.000000000003</v>
      </c>
      <c r="BW285" s="78">
        <v>235</v>
      </c>
      <c r="BX285" s="78">
        <v>4528.5953413654597</v>
      </c>
      <c r="BY285" s="78">
        <v>0.32700000000000001</v>
      </c>
      <c r="BZ285" s="78">
        <v>18330</v>
      </c>
      <c r="CA285" s="78">
        <v>3400</v>
      </c>
      <c r="CB285" s="78">
        <v>496</v>
      </c>
      <c r="CC285" s="78">
        <v>624</v>
      </c>
      <c r="CD285" s="78">
        <v>527</v>
      </c>
      <c r="CE285" s="78">
        <v>274</v>
      </c>
      <c r="CF285" s="78">
        <v>302.21249644448602</v>
      </c>
      <c r="CG285" s="78">
        <v>171.45873708163501</v>
      </c>
      <c r="CH285" s="78">
        <v>56.664843083341196</v>
      </c>
      <c r="CI285" s="78">
        <v>812.18399999999997</v>
      </c>
      <c r="CJ285" s="78">
        <v>460.7885</v>
      </c>
      <c r="CK285" s="78">
        <v>152.28450000000001</v>
      </c>
      <c r="CL285" s="78">
        <v>27828</v>
      </c>
    </row>
    <row r="286" spans="1:90" x14ac:dyDescent="0.35">
      <c r="A286" s="72">
        <v>786</v>
      </c>
      <c r="B286" s="72" t="s">
        <v>121</v>
      </c>
      <c r="C286" s="72">
        <v>10</v>
      </c>
      <c r="D286" s="78">
        <v>1090000000</v>
      </c>
      <c r="E286" s="78">
        <v>138250000</v>
      </c>
      <c r="F286" s="78">
        <v>152600000</v>
      </c>
      <c r="G286" s="78">
        <v>12486</v>
      </c>
      <c r="H286" s="78">
        <v>1</v>
      </c>
      <c r="I286" s="78">
        <f t="shared" si="14"/>
        <v>152.6</v>
      </c>
      <c r="J286" s="78">
        <v>2211</v>
      </c>
      <c r="K286" s="78">
        <v>2871</v>
      </c>
      <c r="L286" s="78">
        <v>873</v>
      </c>
      <c r="M286" s="78">
        <v>1411</v>
      </c>
      <c r="N286" s="78">
        <f t="shared" si="15"/>
        <v>847.1</v>
      </c>
      <c r="O286" s="78">
        <v>139.666666666667</v>
      </c>
      <c r="P286" s="78">
        <v>18</v>
      </c>
      <c r="Q286" s="78">
        <v>785.66666666666697</v>
      </c>
      <c r="R286" s="78">
        <v>1703</v>
      </c>
      <c r="S286" s="78">
        <v>380</v>
      </c>
      <c r="T286" s="78">
        <v>0</v>
      </c>
      <c r="U286" s="78">
        <v>359</v>
      </c>
      <c r="V286" s="78">
        <v>5984</v>
      </c>
      <c r="W286" s="78">
        <v>11230</v>
      </c>
      <c r="X286" s="78">
        <v>3160</v>
      </c>
      <c r="Y286" s="78">
        <v>385.13260000000002</v>
      </c>
      <c r="Z286" s="78">
        <v>542.4</v>
      </c>
      <c r="AA286" s="78">
        <v>0</v>
      </c>
      <c r="AB286" s="399">
        <f>IF((J286-'[2]Basisgegevens aanvullend'!D286*1.1)&lt;=0,0,J286-'[2]Basisgegevens aanvullend'!D286*1.1)</f>
        <v>0</v>
      </c>
      <c r="AC286" s="399">
        <v>0</v>
      </c>
      <c r="AD286" s="78">
        <v>2713</v>
      </c>
      <c r="AE286" s="78">
        <v>2713</v>
      </c>
      <c r="AF286" s="78">
        <v>90</v>
      </c>
      <c r="AG286" s="78">
        <v>0</v>
      </c>
      <c r="AH286" s="78">
        <v>63</v>
      </c>
      <c r="AI286" s="78">
        <v>25</v>
      </c>
      <c r="AJ286" s="78">
        <v>63</v>
      </c>
      <c r="AK286" s="78">
        <v>25</v>
      </c>
      <c r="AL286" s="78">
        <v>88</v>
      </c>
      <c r="AM286" s="78">
        <v>5639</v>
      </c>
      <c r="AN286" s="78">
        <v>5639</v>
      </c>
      <c r="AO286" s="78">
        <v>8</v>
      </c>
      <c r="AP286" s="78">
        <v>0</v>
      </c>
      <c r="AQ286" s="78">
        <v>0</v>
      </c>
      <c r="AR286" s="78">
        <v>2950</v>
      </c>
      <c r="AS286" s="78">
        <v>0</v>
      </c>
      <c r="AT286" s="78">
        <v>0</v>
      </c>
      <c r="AU286" s="400">
        <v>1.5497899999999999E-4</v>
      </c>
      <c r="AV286" s="400">
        <v>8.1524000000000001E-5</v>
      </c>
      <c r="AW286" s="78">
        <v>3603.3209999999999</v>
      </c>
      <c r="AX286" s="78">
        <v>0</v>
      </c>
      <c r="AY286" s="78">
        <v>549</v>
      </c>
      <c r="AZ286" s="78">
        <v>2445.52764894756</v>
      </c>
      <c r="BA286" s="78">
        <v>2</v>
      </c>
      <c r="BB286" s="78">
        <v>2</v>
      </c>
      <c r="BC286" s="78">
        <v>1235</v>
      </c>
      <c r="BD286" s="78">
        <v>1</v>
      </c>
      <c r="BE286" s="78">
        <v>0</v>
      </c>
      <c r="BF286" s="78">
        <v>0</v>
      </c>
      <c r="BG286" s="78">
        <v>0</v>
      </c>
      <c r="BH286" s="78">
        <v>0</v>
      </c>
      <c r="BI286" s="78">
        <v>0</v>
      </c>
      <c r="BJ286" s="78">
        <v>0</v>
      </c>
      <c r="BK286" s="78">
        <v>0</v>
      </c>
      <c r="BL286" s="78">
        <v>0</v>
      </c>
      <c r="BM286" s="78">
        <v>185.72399999999999</v>
      </c>
      <c r="BN286" s="78">
        <v>34</v>
      </c>
      <c r="BO286" s="78">
        <v>41</v>
      </c>
      <c r="BP286" s="78">
        <v>3502.62</v>
      </c>
      <c r="BQ286" s="78">
        <v>773.76</v>
      </c>
      <c r="BR286" s="78">
        <v>94.180842105263196</v>
      </c>
      <c r="BS286" s="78">
        <v>134</v>
      </c>
      <c r="BT286" s="78">
        <v>48</v>
      </c>
      <c r="BU286" s="78">
        <v>37.6666666666667</v>
      </c>
      <c r="BV286" s="78">
        <f t="shared" si="16"/>
        <v>646</v>
      </c>
      <c r="BW286" s="78">
        <v>174</v>
      </c>
      <c r="BX286" s="78">
        <v>2180.4114248954602</v>
      </c>
      <c r="BY286" s="78">
        <v>0.17899999999999999</v>
      </c>
      <c r="BZ286" s="78">
        <v>9615</v>
      </c>
      <c r="CA286" s="78">
        <v>1692</v>
      </c>
      <c r="CB286" s="78">
        <v>306</v>
      </c>
      <c r="CC286" s="78">
        <v>335</v>
      </c>
      <c r="CD286" s="78">
        <v>292</v>
      </c>
      <c r="CE286" s="78">
        <v>137</v>
      </c>
      <c r="CF286" s="78">
        <v>151.72388721404499</v>
      </c>
      <c r="CG286" s="78">
        <v>89.532115623337504</v>
      </c>
      <c r="CH286" s="78">
        <v>29.443447419755302</v>
      </c>
      <c r="CI286" s="78">
        <v>457.63099999999997</v>
      </c>
      <c r="CJ286" s="78">
        <v>270.04759999999999</v>
      </c>
      <c r="CK286" s="78">
        <v>88.807599999999994</v>
      </c>
      <c r="CL286" s="78">
        <v>173010</v>
      </c>
    </row>
    <row r="287" spans="1:90" x14ac:dyDescent="0.35">
      <c r="A287" s="72">
        <v>1655</v>
      </c>
      <c r="B287" s="72" t="s">
        <v>128</v>
      </c>
      <c r="C287" s="72">
        <v>10</v>
      </c>
      <c r="D287" s="78">
        <v>2959600000</v>
      </c>
      <c r="E287" s="78">
        <v>594300000</v>
      </c>
      <c r="F287" s="78">
        <v>629300000</v>
      </c>
      <c r="G287" s="78">
        <v>30430</v>
      </c>
      <c r="H287" s="78">
        <v>5</v>
      </c>
      <c r="I287" s="78">
        <f t="shared" si="14"/>
        <v>629.29999999999995</v>
      </c>
      <c r="J287" s="78">
        <v>5344</v>
      </c>
      <c r="K287" s="78">
        <v>7297</v>
      </c>
      <c r="L287" s="78">
        <v>2421</v>
      </c>
      <c r="M287" s="78">
        <v>3750</v>
      </c>
      <c r="N287" s="78">
        <f t="shared" si="15"/>
        <v>2370.6</v>
      </c>
      <c r="O287" s="78">
        <v>417.33333333333297</v>
      </c>
      <c r="P287" s="78">
        <v>19</v>
      </c>
      <c r="Q287" s="78">
        <v>1902.3333333333301</v>
      </c>
      <c r="R287" s="78">
        <v>3764</v>
      </c>
      <c r="S287" s="78">
        <v>1670</v>
      </c>
      <c r="T287" s="78">
        <v>0</v>
      </c>
      <c r="U287" s="78">
        <v>920</v>
      </c>
      <c r="V287" s="78">
        <v>13642</v>
      </c>
      <c r="W287" s="78">
        <v>26190</v>
      </c>
      <c r="X287" s="78">
        <v>4930</v>
      </c>
      <c r="Y287" s="78">
        <v>0</v>
      </c>
      <c r="Z287" s="78">
        <v>1025.5999999999999</v>
      </c>
      <c r="AA287" s="78">
        <v>0</v>
      </c>
      <c r="AB287" s="399">
        <f>IF((J287-'[2]Basisgegevens aanvullend'!D287*1.1)&lt;=0,0,J287-'[2]Basisgegevens aanvullend'!D287*1.1)</f>
        <v>0</v>
      </c>
      <c r="AC287" s="399">
        <v>0</v>
      </c>
      <c r="AD287" s="78">
        <v>7448</v>
      </c>
      <c r="AE287" s="78">
        <v>7448</v>
      </c>
      <c r="AF287" s="78">
        <v>74</v>
      </c>
      <c r="AG287" s="78">
        <v>0</v>
      </c>
      <c r="AH287" s="78">
        <v>194</v>
      </c>
      <c r="AI287" s="78">
        <v>107</v>
      </c>
      <c r="AJ287" s="78">
        <v>194</v>
      </c>
      <c r="AK287" s="78">
        <v>107</v>
      </c>
      <c r="AL287" s="78">
        <v>301</v>
      </c>
      <c r="AM287" s="78">
        <v>13794</v>
      </c>
      <c r="AN287" s="78">
        <v>13794</v>
      </c>
      <c r="AO287" s="78">
        <v>10</v>
      </c>
      <c r="AP287" s="78">
        <v>0</v>
      </c>
      <c r="AQ287" s="78">
        <v>0</v>
      </c>
      <c r="AR287" s="78">
        <v>0</v>
      </c>
      <c r="AS287" s="78">
        <v>1296</v>
      </c>
      <c r="AT287" s="78">
        <v>616</v>
      </c>
      <c r="AU287" s="400">
        <v>2.9650100000000001E-4</v>
      </c>
      <c r="AV287" s="400">
        <v>1.6897E-4</v>
      </c>
      <c r="AW287" s="78">
        <v>10455.852000000001</v>
      </c>
      <c r="AX287" s="78">
        <v>0</v>
      </c>
      <c r="AY287" s="78">
        <v>983</v>
      </c>
      <c r="AZ287" s="78">
        <v>4187.0579633076304</v>
      </c>
      <c r="BA287" s="78">
        <v>9</v>
      </c>
      <c r="BB287" s="78">
        <v>9</v>
      </c>
      <c r="BC287" s="78">
        <v>3386</v>
      </c>
      <c r="BD287" s="78">
        <v>1</v>
      </c>
      <c r="BE287" s="78">
        <v>0</v>
      </c>
      <c r="BF287" s="78">
        <v>0</v>
      </c>
      <c r="BG287" s="78">
        <v>0</v>
      </c>
      <c r="BH287" s="78">
        <v>0</v>
      </c>
      <c r="BI287" s="78">
        <v>0</v>
      </c>
      <c r="BJ287" s="78">
        <v>0</v>
      </c>
      <c r="BK287" s="78">
        <v>0</v>
      </c>
      <c r="BL287" s="78">
        <v>0</v>
      </c>
      <c r="BM287" s="78">
        <v>603.87199999999996</v>
      </c>
      <c r="BN287" s="78">
        <v>125</v>
      </c>
      <c r="BO287" s="78">
        <v>127</v>
      </c>
      <c r="BP287" s="78">
        <v>9067.98</v>
      </c>
      <c r="BQ287" s="78">
        <v>2026.75</v>
      </c>
      <c r="BR287" s="78">
        <v>154.20970836090899</v>
      </c>
      <c r="BS287" s="78">
        <v>343</v>
      </c>
      <c r="BT287" s="78">
        <v>135.333333333333</v>
      </c>
      <c r="BU287" s="78">
        <v>120.666666666667</v>
      </c>
      <c r="BV287" s="78">
        <f t="shared" si="16"/>
        <v>1484.999999999997</v>
      </c>
      <c r="BW287" s="78">
        <v>310</v>
      </c>
      <c r="BX287" s="78">
        <v>7009.5511028926203</v>
      </c>
      <c r="BY287" s="78">
        <v>0.88300000000000001</v>
      </c>
      <c r="BZ287" s="78">
        <v>23133</v>
      </c>
      <c r="CA287" s="78">
        <v>4086</v>
      </c>
      <c r="CB287" s="78">
        <v>790</v>
      </c>
      <c r="CC287" s="78">
        <v>698</v>
      </c>
      <c r="CD287" s="78">
        <v>693</v>
      </c>
      <c r="CE287" s="78">
        <v>318</v>
      </c>
      <c r="CF287" s="78">
        <v>421.73788603740797</v>
      </c>
      <c r="CG287" s="78">
        <v>275.31544149630298</v>
      </c>
      <c r="CH287" s="78">
        <v>80.429230100043497</v>
      </c>
      <c r="CI287" s="78">
        <v>1073.625</v>
      </c>
      <c r="CJ287" s="78">
        <v>700.875</v>
      </c>
      <c r="CK287" s="78">
        <v>204.75</v>
      </c>
      <c r="CL287" s="78">
        <v>8354</v>
      </c>
    </row>
    <row r="288" spans="1:90" x14ac:dyDescent="0.35">
      <c r="A288" s="72">
        <v>1658</v>
      </c>
      <c r="B288" s="72" t="s">
        <v>140</v>
      </c>
      <c r="C288" s="72">
        <v>10</v>
      </c>
      <c r="D288" s="78">
        <v>2067600000</v>
      </c>
      <c r="E288" s="78">
        <v>233800000</v>
      </c>
      <c r="F288" s="78">
        <v>279650000</v>
      </c>
      <c r="G288" s="78">
        <v>16243</v>
      </c>
      <c r="H288" s="78">
        <v>2</v>
      </c>
      <c r="I288" s="78">
        <f t="shared" si="14"/>
        <v>279.64999999999998</v>
      </c>
      <c r="J288" s="78">
        <v>2827</v>
      </c>
      <c r="K288" s="78">
        <v>4040</v>
      </c>
      <c r="L288" s="78">
        <v>1329</v>
      </c>
      <c r="M288" s="78">
        <v>1602</v>
      </c>
      <c r="N288" s="78">
        <f t="shared" si="15"/>
        <v>872.9</v>
      </c>
      <c r="O288" s="78">
        <v>116</v>
      </c>
      <c r="P288" s="78">
        <v>18</v>
      </c>
      <c r="Q288" s="78">
        <v>842</v>
      </c>
      <c r="R288" s="78">
        <v>1961</v>
      </c>
      <c r="S288" s="78">
        <v>230</v>
      </c>
      <c r="T288" s="78">
        <v>0</v>
      </c>
      <c r="U288" s="78">
        <v>360</v>
      </c>
      <c r="V288" s="78">
        <v>7217</v>
      </c>
      <c r="W288" s="78">
        <v>11800</v>
      </c>
      <c r="X288" s="78">
        <v>2230</v>
      </c>
      <c r="Y288" s="78">
        <v>2280.14</v>
      </c>
      <c r="Z288" s="78">
        <v>0</v>
      </c>
      <c r="AA288" s="78">
        <v>0</v>
      </c>
      <c r="AB288" s="399">
        <f>IF((J288-'[2]Basisgegevens aanvullend'!D288*1.1)&lt;=0,0,J288-'[2]Basisgegevens aanvullend'!D288*1.1)</f>
        <v>0</v>
      </c>
      <c r="AC288" s="399">
        <v>0</v>
      </c>
      <c r="AD288" s="78">
        <v>10397</v>
      </c>
      <c r="AE288" s="78">
        <v>10397</v>
      </c>
      <c r="AF288" s="78">
        <v>107</v>
      </c>
      <c r="AG288" s="78">
        <v>0</v>
      </c>
      <c r="AH288" s="78">
        <v>109</v>
      </c>
      <c r="AI288" s="78">
        <v>64</v>
      </c>
      <c r="AJ288" s="78">
        <v>109</v>
      </c>
      <c r="AK288" s="78">
        <v>64</v>
      </c>
      <c r="AL288" s="78">
        <v>173</v>
      </c>
      <c r="AM288" s="78">
        <v>7291</v>
      </c>
      <c r="AN288" s="78">
        <v>7291</v>
      </c>
      <c r="AO288" s="78">
        <v>0</v>
      </c>
      <c r="AP288" s="78">
        <v>0</v>
      </c>
      <c r="AQ288" s="78">
        <v>0</v>
      </c>
      <c r="AR288" s="78">
        <v>0</v>
      </c>
      <c r="AS288" s="78">
        <v>0</v>
      </c>
      <c r="AT288" s="78">
        <v>0</v>
      </c>
      <c r="AU288" s="400">
        <v>9.9848999999999999E-5</v>
      </c>
      <c r="AV288" s="400">
        <v>5.0760999999999997E-5</v>
      </c>
      <c r="AW288" s="78">
        <v>4265.2349999999997</v>
      </c>
      <c r="AX288" s="78">
        <v>0</v>
      </c>
      <c r="AY288" s="78">
        <v>1383</v>
      </c>
      <c r="AZ288" s="78">
        <v>2138.6204303122599</v>
      </c>
      <c r="BA288" s="78">
        <v>7</v>
      </c>
      <c r="BB288" s="78">
        <v>7</v>
      </c>
      <c r="BC288" s="78">
        <v>2259</v>
      </c>
      <c r="BD288" s="78">
        <v>1</v>
      </c>
      <c r="BE288" s="78">
        <v>0</v>
      </c>
      <c r="BF288" s="78">
        <v>0</v>
      </c>
      <c r="BG288" s="78">
        <v>0</v>
      </c>
      <c r="BH288" s="78">
        <v>0</v>
      </c>
      <c r="BI288" s="78">
        <v>0</v>
      </c>
      <c r="BJ288" s="78">
        <v>0</v>
      </c>
      <c r="BK288" s="78">
        <v>0</v>
      </c>
      <c r="BL288" s="78">
        <v>0</v>
      </c>
      <c r="BM288" s="78">
        <v>183.755</v>
      </c>
      <c r="BN288" s="78">
        <v>46</v>
      </c>
      <c r="BO288" s="78">
        <v>21</v>
      </c>
      <c r="BP288" s="78">
        <v>5553.36</v>
      </c>
      <c r="BQ288" s="78">
        <v>1227.1500000000001</v>
      </c>
      <c r="BR288" s="78">
        <v>66.119599664991597</v>
      </c>
      <c r="BS288" s="78">
        <v>137</v>
      </c>
      <c r="BT288" s="78">
        <v>24.3333333333333</v>
      </c>
      <c r="BU288" s="78">
        <v>19.3333333333333</v>
      </c>
      <c r="BV288" s="78">
        <f t="shared" si="16"/>
        <v>726</v>
      </c>
      <c r="BW288" s="78">
        <v>262</v>
      </c>
      <c r="BX288" s="78">
        <v>2707.9309484893502</v>
      </c>
      <c r="BY288" s="78">
        <v>7.8E-2</v>
      </c>
      <c r="BZ288" s="78">
        <v>12203</v>
      </c>
      <c r="CA288" s="78">
        <v>2204</v>
      </c>
      <c r="CB288" s="78">
        <v>507</v>
      </c>
      <c r="CC288" s="78">
        <v>372</v>
      </c>
      <c r="CD288" s="78">
        <v>372</v>
      </c>
      <c r="CE288" s="78">
        <v>231</v>
      </c>
      <c r="CF288" s="78">
        <v>158.39345768755999</v>
      </c>
      <c r="CG288" s="78">
        <v>105.23646962008</v>
      </c>
      <c r="CH288" s="78">
        <v>42.022754080373097</v>
      </c>
      <c r="CI288" s="78">
        <v>422.16930000000002</v>
      </c>
      <c r="CJ288" s="78">
        <v>280.4889</v>
      </c>
      <c r="CK288" s="78">
        <v>112.00409999999999</v>
      </c>
      <c r="CL288" s="78">
        <v>191625</v>
      </c>
    </row>
    <row r="289" spans="1:90" x14ac:dyDescent="0.35">
      <c r="A289" s="72">
        <v>794</v>
      </c>
      <c r="B289" s="72" t="s">
        <v>144</v>
      </c>
      <c r="C289" s="72">
        <v>10</v>
      </c>
      <c r="D289" s="78">
        <v>8168000000</v>
      </c>
      <c r="E289" s="78">
        <v>1488900000</v>
      </c>
      <c r="F289" s="78">
        <v>1499400000</v>
      </c>
      <c r="G289" s="78">
        <v>92627</v>
      </c>
      <c r="H289" s="78">
        <v>1</v>
      </c>
      <c r="I289" s="78">
        <f t="shared" si="14"/>
        <v>1499.4</v>
      </c>
      <c r="J289" s="78">
        <v>18365</v>
      </c>
      <c r="K289" s="78">
        <v>16320</v>
      </c>
      <c r="L289" s="78">
        <v>5300</v>
      </c>
      <c r="M289" s="78">
        <v>13924</v>
      </c>
      <c r="N289" s="78">
        <f t="shared" si="15"/>
        <v>9786.7999999999993</v>
      </c>
      <c r="O289" s="78">
        <v>2368.3333333333298</v>
      </c>
      <c r="P289" s="78">
        <v>259</v>
      </c>
      <c r="Q289" s="78">
        <v>8141.3333333333303</v>
      </c>
      <c r="R289" s="78">
        <v>14515</v>
      </c>
      <c r="S289" s="78">
        <v>8570</v>
      </c>
      <c r="T289" s="78">
        <v>0</v>
      </c>
      <c r="U289" s="78">
        <v>3557</v>
      </c>
      <c r="V289" s="78">
        <v>42022</v>
      </c>
      <c r="W289" s="78">
        <v>106810</v>
      </c>
      <c r="X289" s="78">
        <v>146020</v>
      </c>
      <c r="Y289" s="78">
        <v>3220.04</v>
      </c>
      <c r="Z289" s="78">
        <v>4009.6</v>
      </c>
      <c r="AA289" s="78">
        <v>0</v>
      </c>
      <c r="AB289" s="399">
        <f>IF((J289-'[2]Basisgegevens aanvullend'!D289*1.1)&lt;=0,0,J289-'[2]Basisgegevens aanvullend'!D289*1.1)</f>
        <v>0</v>
      </c>
      <c r="AC289" s="399">
        <v>0</v>
      </c>
      <c r="AD289" s="78">
        <v>5312</v>
      </c>
      <c r="AE289" s="78">
        <v>5312</v>
      </c>
      <c r="AF289" s="78">
        <v>164</v>
      </c>
      <c r="AG289" s="78">
        <v>0</v>
      </c>
      <c r="AH289" s="78">
        <v>505</v>
      </c>
      <c r="AI289" s="78">
        <v>87</v>
      </c>
      <c r="AJ289" s="78">
        <v>505</v>
      </c>
      <c r="AK289" s="78">
        <v>87</v>
      </c>
      <c r="AL289" s="78">
        <v>592</v>
      </c>
      <c r="AM289" s="78">
        <v>41372</v>
      </c>
      <c r="AN289" s="78">
        <v>41372</v>
      </c>
      <c r="AO289" s="78">
        <v>10</v>
      </c>
      <c r="AP289" s="78">
        <v>0</v>
      </c>
      <c r="AQ289" s="78">
        <v>0</v>
      </c>
      <c r="AR289" s="78">
        <v>0</v>
      </c>
      <c r="AS289" s="78">
        <v>4770</v>
      </c>
      <c r="AT289" s="78">
        <v>4770</v>
      </c>
      <c r="AU289" s="400">
        <v>1.2117849999999999E-3</v>
      </c>
      <c r="AV289" s="400">
        <v>1.999514E-3</v>
      </c>
      <c r="AW289" s="78">
        <v>73807.648000000001</v>
      </c>
      <c r="AX289" s="78">
        <v>0</v>
      </c>
      <c r="AY289" s="78">
        <v>1477</v>
      </c>
      <c r="AZ289" s="78">
        <v>24983.579072315599</v>
      </c>
      <c r="BA289" s="78">
        <v>1</v>
      </c>
      <c r="BB289" s="78">
        <v>1</v>
      </c>
      <c r="BC289" s="78">
        <v>9035</v>
      </c>
      <c r="BD289" s="78">
        <v>1</v>
      </c>
      <c r="BE289" s="78">
        <v>0</v>
      </c>
      <c r="BF289" s="78">
        <v>0</v>
      </c>
      <c r="BG289" s="78">
        <v>0</v>
      </c>
      <c r="BH289" s="78">
        <v>0</v>
      </c>
      <c r="BI289" s="78">
        <v>0</v>
      </c>
      <c r="BJ289" s="78">
        <v>0</v>
      </c>
      <c r="BK289" s="78">
        <v>0</v>
      </c>
      <c r="BL289" s="78">
        <v>0</v>
      </c>
      <c r="BM289" s="78">
        <v>2864.94</v>
      </c>
      <c r="BN289" s="78">
        <v>511</v>
      </c>
      <c r="BO289" s="78">
        <v>459</v>
      </c>
      <c r="BP289" s="78">
        <v>25264.98</v>
      </c>
      <c r="BQ289" s="78">
        <v>5991.84</v>
      </c>
      <c r="BR289" s="78">
        <v>806.59859416445602</v>
      </c>
      <c r="BS289" s="78">
        <v>1343</v>
      </c>
      <c r="BT289" s="78">
        <v>688</v>
      </c>
      <c r="BU289" s="78">
        <v>598.66666666666697</v>
      </c>
      <c r="BV289" s="78">
        <f t="shared" si="16"/>
        <v>5773</v>
      </c>
      <c r="BW289" s="78">
        <v>1162</v>
      </c>
      <c r="BX289" s="78">
        <v>15457.282835225</v>
      </c>
      <c r="BY289" s="78">
        <v>6.4290000000000003</v>
      </c>
      <c r="BZ289" s="78">
        <v>76307</v>
      </c>
      <c r="CA289" s="78">
        <v>9492</v>
      </c>
      <c r="CB289" s="78">
        <v>1528</v>
      </c>
      <c r="CC289" s="78">
        <v>2315</v>
      </c>
      <c r="CD289" s="78">
        <v>1893</v>
      </c>
      <c r="CE289" s="78">
        <v>862</v>
      </c>
      <c r="CF289" s="78">
        <v>1441.80958135937</v>
      </c>
      <c r="CG289" s="78">
        <v>897.73049405394897</v>
      </c>
      <c r="CH289" s="78">
        <v>277.48033452576601</v>
      </c>
      <c r="CI289" s="78">
        <v>3174.2759999999998</v>
      </c>
      <c r="CJ289" s="78">
        <v>1976.4359999999999</v>
      </c>
      <c r="CK289" s="78">
        <v>610.89840000000004</v>
      </c>
      <c r="CL289" s="78">
        <v>17521</v>
      </c>
    </row>
    <row r="290" spans="1:90" x14ac:dyDescent="0.35">
      <c r="A290" s="72">
        <v>797</v>
      </c>
      <c r="B290" s="72" t="s">
        <v>149</v>
      </c>
      <c r="C290" s="72">
        <v>10</v>
      </c>
      <c r="D290" s="78">
        <v>4740800000</v>
      </c>
      <c r="E290" s="78">
        <v>540050000</v>
      </c>
      <c r="F290" s="78">
        <v>562100000</v>
      </c>
      <c r="G290" s="78">
        <v>45005</v>
      </c>
      <c r="H290" s="78">
        <v>2</v>
      </c>
      <c r="I290" s="78">
        <f t="shared" si="14"/>
        <v>562.1</v>
      </c>
      <c r="J290" s="78">
        <v>8407</v>
      </c>
      <c r="K290" s="78">
        <v>9510</v>
      </c>
      <c r="L290" s="78">
        <v>3051</v>
      </c>
      <c r="M290" s="78">
        <v>5155</v>
      </c>
      <c r="N290" s="78">
        <f t="shared" si="15"/>
        <v>3212.6</v>
      </c>
      <c r="O290" s="78">
        <v>487.33333333333297</v>
      </c>
      <c r="P290" s="78">
        <v>64</v>
      </c>
      <c r="Q290" s="78">
        <v>2509.3333333333298</v>
      </c>
      <c r="R290" s="78">
        <v>5719</v>
      </c>
      <c r="S290" s="78">
        <v>1900</v>
      </c>
      <c r="T290" s="78">
        <v>0</v>
      </c>
      <c r="U290" s="78">
        <v>1206</v>
      </c>
      <c r="V290" s="78">
        <v>19759</v>
      </c>
      <c r="W290" s="78">
        <v>45940</v>
      </c>
      <c r="X290" s="78">
        <v>33040</v>
      </c>
      <c r="Y290" s="78">
        <v>180.18</v>
      </c>
      <c r="Z290" s="78">
        <v>947.2</v>
      </c>
      <c r="AA290" s="78">
        <v>0</v>
      </c>
      <c r="AB290" s="399">
        <f>IF((J290-'[2]Basisgegevens aanvullend'!D290*1.1)&lt;=0,0,J290-'[2]Basisgegevens aanvullend'!D290*1.1)</f>
        <v>0</v>
      </c>
      <c r="AC290" s="399">
        <v>0</v>
      </c>
      <c r="AD290" s="78">
        <v>7878</v>
      </c>
      <c r="AE290" s="78">
        <v>7878</v>
      </c>
      <c r="AF290" s="78">
        <v>244</v>
      </c>
      <c r="AG290" s="78">
        <v>0</v>
      </c>
      <c r="AH290" s="78">
        <v>288</v>
      </c>
      <c r="AI290" s="78">
        <v>57</v>
      </c>
      <c r="AJ290" s="78">
        <v>288</v>
      </c>
      <c r="AK290" s="78">
        <v>57</v>
      </c>
      <c r="AL290" s="78">
        <v>345</v>
      </c>
      <c r="AM290" s="78">
        <v>19424</v>
      </c>
      <c r="AN290" s="78">
        <v>19424</v>
      </c>
      <c r="AO290" s="78">
        <v>16</v>
      </c>
      <c r="AP290" s="78">
        <v>0</v>
      </c>
      <c r="AQ290" s="78">
        <v>0</v>
      </c>
      <c r="AR290" s="78">
        <v>6900</v>
      </c>
      <c r="AS290" s="78">
        <v>1162</v>
      </c>
      <c r="AT290" s="78">
        <v>0</v>
      </c>
      <c r="AU290" s="400">
        <v>3.7964100000000001E-4</v>
      </c>
      <c r="AV290" s="400">
        <v>2.0282000000000001E-4</v>
      </c>
      <c r="AW290" s="78">
        <v>21327.552</v>
      </c>
      <c r="AX290" s="78">
        <v>0</v>
      </c>
      <c r="AY290" s="78">
        <v>1702</v>
      </c>
      <c r="AZ290" s="78">
        <v>9430.9911351883802</v>
      </c>
      <c r="BA290" s="78">
        <v>3</v>
      </c>
      <c r="BB290" s="78">
        <v>3</v>
      </c>
      <c r="BC290" s="78">
        <v>5680</v>
      </c>
      <c r="BD290" s="78">
        <v>1</v>
      </c>
      <c r="BE290" s="78">
        <v>0</v>
      </c>
      <c r="BF290" s="78">
        <v>0</v>
      </c>
      <c r="BG290" s="78">
        <v>0</v>
      </c>
      <c r="BH290" s="78">
        <v>0</v>
      </c>
      <c r="BI290" s="78">
        <v>0</v>
      </c>
      <c r="BJ290" s="78">
        <v>0</v>
      </c>
      <c r="BK290" s="78">
        <v>0</v>
      </c>
      <c r="BL290" s="78">
        <v>0</v>
      </c>
      <c r="BM290" s="78">
        <v>790.25800000000004</v>
      </c>
      <c r="BN290" s="78">
        <v>168</v>
      </c>
      <c r="BO290" s="78">
        <v>70</v>
      </c>
      <c r="BP290" s="78">
        <v>13723.59</v>
      </c>
      <c r="BQ290" s="78">
        <v>3312.4</v>
      </c>
      <c r="BR290" s="78">
        <v>291.70921251071098</v>
      </c>
      <c r="BS290" s="78">
        <v>463</v>
      </c>
      <c r="BT290" s="78">
        <v>129.333333333333</v>
      </c>
      <c r="BU290" s="78">
        <v>116</v>
      </c>
      <c r="BV290" s="78">
        <f t="shared" si="16"/>
        <v>2021.9999999999968</v>
      </c>
      <c r="BW290" s="78">
        <v>442</v>
      </c>
      <c r="BX290" s="78">
        <v>7654.1932515886501</v>
      </c>
      <c r="BY290" s="78">
        <v>0.44900000000000001</v>
      </c>
      <c r="BZ290" s="78">
        <v>35495</v>
      </c>
      <c r="CA290" s="78">
        <v>5491</v>
      </c>
      <c r="CB290" s="78">
        <v>968</v>
      </c>
      <c r="CC290" s="78">
        <v>995</v>
      </c>
      <c r="CD290" s="78">
        <v>978</v>
      </c>
      <c r="CE290" s="78">
        <v>485</v>
      </c>
      <c r="CF290" s="78">
        <v>551.58674835255397</v>
      </c>
      <c r="CG290" s="78">
        <v>351.295428336079</v>
      </c>
      <c r="CH290" s="78">
        <v>114.121396210873</v>
      </c>
      <c r="CI290" s="78">
        <v>1384.0250000000001</v>
      </c>
      <c r="CJ290" s="78">
        <v>881.46</v>
      </c>
      <c r="CK290" s="78">
        <v>286.35000000000002</v>
      </c>
      <c r="CL290" s="78">
        <v>1144</v>
      </c>
    </row>
    <row r="291" spans="1:90" x14ac:dyDescent="0.35">
      <c r="A291" s="72">
        <v>798</v>
      </c>
      <c r="B291" s="72" t="s">
        <v>151</v>
      </c>
      <c r="C291" s="72">
        <v>10</v>
      </c>
      <c r="D291" s="78">
        <v>1836000000</v>
      </c>
      <c r="E291" s="78">
        <v>260750000</v>
      </c>
      <c r="F291" s="78">
        <v>299600000</v>
      </c>
      <c r="G291" s="78">
        <v>15698</v>
      </c>
      <c r="H291" s="78">
        <v>2</v>
      </c>
      <c r="I291" s="78">
        <f t="shared" si="14"/>
        <v>299.60000000000002</v>
      </c>
      <c r="J291" s="78">
        <v>2870</v>
      </c>
      <c r="K291" s="78">
        <v>3603</v>
      </c>
      <c r="L291" s="78">
        <v>1292</v>
      </c>
      <c r="M291" s="78">
        <v>1632</v>
      </c>
      <c r="N291" s="78">
        <f t="shared" si="15"/>
        <v>887.09999999999991</v>
      </c>
      <c r="O291" s="78">
        <v>114.333333333333</v>
      </c>
      <c r="P291" s="78">
        <v>15</v>
      </c>
      <c r="Q291" s="78">
        <v>702.33333333333303</v>
      </c>
      <c r="R291" s="78">
        <v>1893</v>
      </c>
      <c r="S291" s="78">
        <v>180</v>
      </c>
      <c r="T291" s="78">
        <v>0</v>
      </c>
      <c r="U291" s="78">
        <v>333</v>
      </c>
      <c r="V291" s="78">
        <v>6843</v>
      </c>
      <c r="W291" s="78">
        <v>12030</v>
      </c>
      <c r="X291" s="78">
        <v>1640</v>
      </c>
      <c r="Y291" s="78">
        <v>0</v>
      </c>
      <c r="Z291" s="78">
        <v>0</v>
      </c>
      <c r="AA291" s="78">
        <v>0</v>
      </c>
      <c r="AB291" s="399">
        <f>IF((J291-'[2]Basisgegevens aanvullend'!D291*1.1)&lt;=0,0,J291-'[2]Basisgegevens aanvullend'!D291*1.1)</f>
        <v>0</v>
      </c>
      <c r="AC291" s="399">
        <v>0</v>
      </c>
      <c r="AD291" s="78">
        <v>9484</v>
      </c>
      <c r="AE291" s="78">
        <v>9484</v>
      </c>
      <c r="AF291" s="78">
        <v>167</v>
      </c>
      <c r="AG291" s="78">
        <v>0</v>
      </c>
      <c r="AH291" s="78">
        <v>106</v>
      </c>
      <c r="AI291" s="78">
        <v>97</v>
      </c>
      <c r="AJ291" s="78">
        <v>106</v>
      </c>
      <c r="AK291" s="78">
        <v>97</v>
      </c>
      <c r="AL291" s="78">
        <v>203</v>
      </c>
      <c r="AM291" s="78">
        <v>7449</v>
      </c>
      <c r="AN291" s="78">
        <v>7449</v>
      </c>
      <c r="AO291" s="78">
        <v>0</v>
      </c>
      <c r="AP291" s="78">
        <v>0</v>
      </c>
      <c r="AQ291" s="78">
        <v>0</v>
      </c>
      <c r="AR291" s="78">
        <v>0</v>
      </c>
      <c r="AS291" s="78">
        <v>0</v>
      </c>
      <c r="AT291" s="78">
        <v>0</v>
      </c>
      <c r="AU291" s="400">
        <v>1.2509899999999999E-4</v>
      </c>
      <c r="AV291" s="400">
        <v>4.1677000000000001E-5</v>
      </c>
      <c r="AW291" s="78">
        <v>4402.3590000000004</v>
      </c>
      <c r="AX291" s="78">
        <v>0</v>
      </c>
      <c r="AY291" s="78">
        <v>1195</v>
      </c>
      <c r="AZ291" s="78">
        <v>1943.7477981556301</v>
      </c>
      <c r="BA291" s="78">
        <v>9</v>
      </c>
      <c r="BB291" s="78">
        <v>9</v>
      </c>
      <c r="BC291" s="78">
        <v>2200</v>
      </c>
      <c r="BD291" s="78">
        <v>1</v>
      </c>
      <c r="BE291" s="78">
        <v>0</v>
      </c>
      <c r="BF291" s="78">
        <v>0</v>
      </c>
      <c r="BG291" s="78">
        <v>0</v>
      </c>
      <c r="BH291" s="78">
        <v>0</v>
      </c>
      <c r="BI291" s="78">
        <v>0</v>
      </c>
      <c r="BJ291" s="78">
        <v>0</v>
      </c>
      <c r="BK291" s="78">
        <v>0</v>
      </c>
      <c r="BL291" s="78">
        <v>0</v>
      </c>
      <c r="BM291" s="78">
        <v>186.55</v>
      </c>
      <c r="BN291" s="78">
        <v>19</v>
      </c>
      <c r="BO291" s="78">
        <v>39</v>
      </c>
      <c r="BP291" s="78">
        <v>5068.4399999999996</v>
      </c>
      <c r="BQ291" s="78">
        <v>1158.8399999999999</v>
      </c>
      <c r="BR291" s="78">
        <v>60.997605633802799</v>
      </c>
      <c r="BS291" s="78">
        <v>120</v>
      </c>
      <c r="BT291" s="78">
        <v>35.3333333333333</v>
      </c>
      <c r="BU291" s="78">
        <v>20.6666666666667</v>
      </c>
      <c r="BV291" s="78">
        <f t="shared" si="16"/>
        <v>588</v>
      </c>
      <c r="BW291" s="78">
        <v>169</v>
      </c>
      <c r="BX291" s="78">
        <v>2690.6926356489198</v>
      </c>
      <c r="BY291" s="78">
        <v>7.6999999999999999E-2</v>
      </c>
      <c r="BZ291" s="78">
        <v>12095</v>
      </c>
      <c r="CA291" s="78">
        <v>1982</v>
      </c>
      <c r="CB291" s="78">
        <v>329</v>
      </c>
      <c r="CC291" s="78">
        <v>369</v>
      </c>
      <c r="CD291" s="78">
        <v>409</v>
      </c>
      <c r="CE291" s="78">
        <v>159</v>
      </c>
      <c r="CF291" s="78">
        <v>144.45594039468401</v>
      </c>
      <c r="CG291" s="78">
        <v>104.91812323801901</v>
      </c>
      <c r="CH291" s="78">
        <v>27.509746274667702</v>
      </c>
      <c r="CI291" s="78">
        <v>452.32769999999999</v>
      </c>
      <c r="CJ291" s="78">
        <v>328.5249</v>
      </c>
      <c r="CK291" s="78">
        <v>86.139899999999997</v>
      </c>
      <c r="CL291" s="78">
        <v>8760</v>
      </c>
    </row>
    <row r="292" spans="1:90" x14ac:dyDescent="0.35">
      <c r="A292" s="72">
        <v>1659</v>
      </c>
      <c r="B292" s="72" t="s">
        <v>171</v>
      </c>
      <c r="C292" s="72">
        <v>10</v>
      </c>
      <c r="D292" s="78">
        <v>2321600000</v>
      </c>
      <c r="E292" s="78">
        <v>317450000</v>
      </c>
      <c r="F292" s="78">
        <v>345800000</v>
      </c>
      <c r="G292" s="78">
        <v>22805</v>
      </c>
      <c r="H292" s="78">
        <v>4</v>
      </c>
      <c r="I292" s="78">
        <f t="shared" si="14"/>
        <v>345.8</v>
      </c>
      <c r="J292" s="78">
        <v>4192</v>
      </c>
      <c r="K292" s="78">
        <v>5155</v>
      </c>
      <c r="L292" s="78">
        <v>1648</v>
      </c>
      <c r="M292" s="78">
        <v>2670</v>
      </c>
      <c r="N292" s="78">
        <f t="shared" si="15"/>
        <v>1687.6999999999998</v>
      </c>
      <c r="O292" s="78">
        <v>205.666666666667</v>
      </c>
      <c r="P292" s="78">
        <v>34</v>
      </c>
      <c r="Q292" s="78">
        <v>1266.6666666666699</v>
      </c>
      <c r="R292" s="78">
        <v>2758</v>
      </c>
      <c r="S292" s="78">
        <v>310</v>
      </c>
      <c r="T292" s="78">
        <v>0</v>
      </c>
      <c r="U292" s="78">
        <v>579</v>
      </c>
      <c r="V292" s="78">
        <v>9925</v>
      </c>
      <c r="W292" s="78">
        <v>16840</v>
      </c>
      <c r="X292" s="78">
        <v>3510</v>
      </c>
      <c r="Y292" s="78">
        <v>0</v>
      </c>
      <c r="Z292" s="78">
        <v>393.6</v>
      </c>
      <c r="AA292" s="78">
        <v>0</v>
      </c>
      <c r="AB292" s="399">
        <f>IF((J292-'[2]Basisgegevens aanvullend'!D292*1.1)&lt;=0,0,J292-'[2]Basisgegevens aanvullend'!D292*1.1)</f>
        <v>0</v>
      </c>
      <c r="AC292" s="399">
        <v>92.7</v>
      </c>
      <c r="AD292" s="78">
        <v>5530</v>
      </c>
      <c r="AE292" s="78">
        <v>5530</v>
      </c>
      <c r="AF292" s="78">
        <v>86</v>
      </c>
      <c r="AG292" s="78">
        <v>0</v>
      </c>
      <c r="AH292" s="78">
        <v>144</v>
      </c>
      <c r="AI292" s="78">
        <v>87</v>
      </c>
      <c r="AJ292" s="78">
        <v>144</v>
      </c>
      <c r="AK292" s="78">
        <v>87</v>
      </c>
      <c r="AL292" s="78">
        <v>231</v>
      </c>
      <c r="AM292" s="78">
        <v>9823</v>
      </c>
      <c r="AN292" s="78">
        <v>9823</v>
      </c>
      <c r="AO292" s="78">
        <v>0</v>
      </c>
      <c r="AP292" s="78">
        <v>0</v>
      </c>
      <c r="AQ292" s="78">
        <v>0</v>
      </c>
      <c r="AR292" s="78">
        <v>0</v>
      </c>
      <c r="AS292" s="78">
        <v>0</v>
      </c>
      <c r="AT292" s="78">
        <v>0</v>
      </c>
      <c r="AU292" s="400">
        <v>1.6757E-4</v>
      </c>
      <c r="AV292" s="400">
        <v>8.5952999999999995E-5</v>
      </c>
      <c r="AW292" s="78">
        <v>6375.1270000000004</v>
      </c>
      <c r="AX292" s="78">
        <v>0</v>
      </c>
      <c r="AY292" s="78">
        <v>1294</v>
      </c>
      <c r="AZ292" s="78">
        <v>5254.5708689458697</v>
      </c>
      <c r="BA292" s="78">
        <v>7</v>
      </c>
      <c r="BB292" s="78">
        <v>7</v>
      </c>
      <c r="BC292" s="78">
        <v>2673</v>
      </c>
      <c r="BD292" s="78">
        <v>1</v>
      </c>
      <c r="BE292" s="78">
        <v>0</v>
      </c>
      <c r="BF292" s="78">
        <v>0</v>
      </c>
      <c r="BG292" s="78">
        <v>0</v>
      </c>
      <c r="BH292" s="78">
        <v>0</v>
      </c>
      <c r="BI292" s="78">
        <v>0</v>
      </c>
      <c r="BJ292" s="78">
        <v>0</v>
      </c>
      <c r="BK292" s="78">
        <v>0</v>
      </c>
      <c r="BL292" s="78">
        <v>0</v>
      </c>
      <c r="BM292" s="78">
        <v>364.70400000000001</v>
      </c>
      <c r="BN292" s="78">
        <v>60</v>
      </c>
      <c r="BO292" s="78">
        <v>37</v>
      </c>
      <c r="BP292" s="78">
        <v>6672.3</v>
      </c>
      <c r="BQ292" s="78">
        <v>1536.48</v>
      </c>
      <c r="BR292" s="78">
        <v>115.288970042796</v>
      </c>
      <c r="BS292" s="78">
        <v>230</v>
      </c>
      <c r="BT292" s="78">
        <v>70.3333333333333</v>
      </c>
      <c r="BU292" s="78">
        <v>51</v>
      </c>
      <c r="BV292" s="78">
        <f t="shared" si="16"/>
        <v>1061.000000000003</v>
      </c>
      <c r="BW292" s="78">
        <v>245</v>
      </c>
      <c r="BX292" s="78">
        <v>3946.0355281267998</v>
      </c>
      <c r="BY292" s="78">
        <v>0.114</v>
      </c>
      <c r="BZ292" s="78">
        <v>17650</v>
      </c>
      <c r="CA292" s="78">
        <v>2975</v>
      </c>
      <c r="CB292" s="78">
        <v>532</v>
      </c>
      <c r="CC292" s="78">
        <v>510</v>
      </c>
      <c r="CD292" s="78">
        <v>535</v>
      </c>
      <c r="CE292" s="78">
        <v>259</v>
      </c>
      <c r="CF292" s="78">
        <v>308.74446706708699</v>
      </c>
      <c r="CG292" s="78">
        <v>193.80287081339699</v>
      </c>
      <c r="CH292" s="78">
        <v>63.570090603685202</v>
      </c>
      <c r="CI292" s="78">
        <v>793.19579999999996</v>
      </c>
      <c r="CJ292" s="78">
        <v>497.89920000000001</v>
      </c>
      <c r="CK292" s="78">
        <v>163.31800000000001</v>
      </c>
      <c r="CL292" s="78">
        <v>0</v>
      </c>
    </row>
    <row r="293" spans="1:90" x14ac:dyDescent="0.35">
      <c r="A293" s="72">
        <v>1685</v>
      </c>
      <c r="B293" s="72" t="s">
        <v>172</v>
      </c>
      <c r="C293" s="72">
        <v>10</v>
      </c>
      <c r="D293" s="78">
        <v>1678800000</v>
      </c>
      <c r="E293" s="78">
        <v>198100000</v>
      </c>
      <c r="F293" s="78">
        <v>226100000</v>
      </c>
      <c r="G293" s="78">
        <v>15817</v>
      </c>
      <c r="H293" s="78">
        <v>3</v>
      </c>
      <c r="I293" s="78">
        <f t="shared" si="14"/>
        <v>226.1</v>
      </c>
      <c r="J293" s="78">
        <v>2979</v>
      </c>
      <c r="K293" s="78">
        <v>3566</v>
      </c>
      <c r="L293" s="78">
        <v>1122</v>
      </c>
      <c r="M293" s="78">
        <v>1614</v>
      </c>
      <c r="N293" s="78">
        <f t="shared" si="15"/>
        <v>930.3</v>
      </c>
      <c r="O293" s="78">
        <v>135</v>
      </c>
      <c r="P293" s="78">
        <v>18</v>
      </c>
      <c r="Q293" s="78">
        <v>897</v>
      </c>
      <c r="R293" s="78">
        <v>1840</v>
      </c>
      <c r="S293" s="78">
        <v>185</v>
      </c>
      <c r="T293" s="78">
        <v>0</v>
      </c>
      <c r="U293" s="78">
        <v>374</v>
      </c>
      <c r="V293" s="78">
        <v>6779</v>
      </c>
      <c r="W293" s="78">
        <v>12390</v>
      </c>
      <c r="X293" s="78">
        <v>1930</v>
      </c>
      <c r="Y293" s="78">
        <v>515.54</v>
      </c>
      <c r="Z293" s="78">
        <v>0</v>
      </c>
      <c r="AA293" s="78">
        <v>0</v>
      </c>
      <c r="AB293" s="399">
        <f>IF((J293-'[2]Basisgegevens aanvullend'!D293*1.1)&lt;=0,0,J293-'[2]Basisgegevens aanvullend'!D293*1.1)</f>
        <v>0</v>
      </c>
      <c r="AC293" s="399">
        <v>0</v>
      </c>
      <c r="AD293" s="78">
        <v>7036</v>
      </c>
      <c r="AE293" s="78">
        <v>7036</v>
      </c>
      <c r="AF293" s="78">
        <v>35</v>
      </c>
      <c r="AG293" s="78">
        <v>0</v>
      </c>
      <c r="AH293" s="78">
        <v>104</v>
      </c>
      <c r="AI293" s="78">
        <v>85</v>
      </c>
      <c r="AJ293" s="78">
        <v>104</v>
      </c>
      <c r="AK293" s="78">
        <v>85</v>
      </c>
      <c r="AL293" s="78">
        <v>190</v>
      </c>
      <c r="AM293" s="78">
        <v>6837</v>
      </c>
      <c r="AN293" s="78">
        <v>6837</v>
      </c>
      <c r="AO293" s="78">
        <v>0</v>
      </c>
      <c r="AP293" s="78">
        <v>0</v>
      </c>
      <c r="AQ293" s="78">
        <v>0</v>
      </c>
      <c r="AR293" s="78">
        <v>0</v>
      </c>
      <c r="AS293" s="78">
        <v>0</v>
      </c>
      <c r="AT293" s="78">
        <v>0</v>
      </c>
      <c r="AU293" s="400">
        <v>1.0674400000000001E-4</v>
      </c>
      <c r="AV293" s="400">
        <v>4.6297000000000001E-5</v>
      </c>
      <c r="AW293" s="78">
        <v>3350.13</v>
      </c>
      <c r="AX293" s="78">
        <v>0</v>
      </c>
      <c r="AY293" s="78">
        <v>501</v>
      </c>
      <c r="AZ293" s="78">
        <v>1120.6784047517999</v>
      </c>
      <c r="BA293" s="78">
        <v>6</v>
      </c>
      <c r="BB293" s="78">
        <v>6</v>
      </c>
      <c r="BC293" s="78">
        <v>1962</v>
      </c>
      <c r="BD293" s="78">
        <v>1</v>
      </c>
      <c r="BE293" s="78">
        <v>0</v>
      </c>
      <c r="BF293" s="78">
        <v>0</v>
      </c>
      <c r="BG293" s="78">
        <v>0</v>
      </c>
      <c r="BH293" s="78">
        <v>0</v>
      </c>
      <c r="BI293" s="78">
        <v>0</v>
      </c>
      <c r="BJ293" s="78">
        <v>0</v>
      </c>
      <c r="BK293" s="78">
        <v>0</v>
      </c>
      <c r="BL293" s="78">
        <v>0</v>
      </c>
      <c r="BM293" s="78">
        <v>217.46700000000001</v>
      </c>
      <c r="BN293" s="78">
        <v>27</v>
      </c>
      <c r="BO293" s="78">
        <v>21</v>
      </c>
      <c r="BP293" s="78">
        <v>4467.0600000000004</v>
      </c>
      <c r="BQ293" s="78">
        <v>1134</v>
      </c>
      <c r="BR293" s="78">
        <v>102.39793191140301</v>
      </c>
      <c r="BS293" s="78">
        <v>157</v>
      </c>
      <c r="BT293" s="78">
        <v>45.3333333333333</v>
      </c>
      <c r="BU293" s="78">
        <v>28.6666666666667</v>
      </c>
      <c r="BV293" s="78">
        <f t="shared" si="16"/>
        <v>762</v>
      </c>
      <c r="BW293" s="78">
        <v>193</v>
      </c>
      <c r="BX293" s="78">
        <v>2569.5334901462202</v>
      </c>
      <c r="BY293" s="78">
        <v>0.107</v>
      </c>
      <c r="BZ293" s="78">
        <v>12251</v>
      </c>
      <c r="CA293" s="78">
        <v>2079</v>
      </c>
      <c r="CB293" s="78">
        <v>365</v>
      </c>
      <c r="CC293" s="78">
        <v>359</v>
      </c>
      <c r="CD293" s="78">
        <v>326</v>
      </c>
      <c r="CE293" s="78">
        <v>183</v>
      </c>
      <c r="CF293" s="78">
        <v>169.26915313734099</v>
      </c>
      <c r="CG293" s="78">
        <v>98.377490127248805</v>
      </c>
      <c r="CH293" s="78">
        <v>34.5613865730584</v>
      </c>
      <c r="CI293" s="78">
        <v>539.52279999999996</v>
      </c>
      <c r="CJ293" s="78">
        <v>313.56509999999997</v>
      </c>
      <c r="CK293" s="78">
        <v>110.1598</v>
      </c>
      <c r="CL293" s="78">
        <v>17464</v>
      </c>
    </row>
    <row r="294" spans="1:90" x14ac:dyDescent="0.35">
      <c r="A294" s="72">
        <v>809</v>
      </c>
      <c r="B294" s="72" t="s">
        <v>188</v>
      </c>
      <c r="C294" s="72">
        <v>10</v>
      </c>
      <c r="D294" s="78">
        <v>2349200000</v>
      </c>
      <c r="E294" s="78">
        <v>369600000</v>
      </c>
      <c r="F294" s="78">
        <v>400050000</v>
      </c>
      <c r="G294" s="78">
        <v>23504</v>
      </c>
      <c r="H294" s="78">
        <v>2</v>
      </c>
      <c r="I294" s="78">
        <f t="shared" si="14"/>
        <v>400.05</v>
      </c>
      <c r="J294" s="78">
        <v>4247</v>
      </c>
      <c r="K294" s="78">
        <v>5402</v>
      </c>
      <c r="L294" s="78">
        <v>1763</v>
      </c>
      <c r="M294" s="78">
        <v>2927</v>
      </c>
      <c r="N294" s="78">
        <f t="shared" si="15"/>
        <v>1846.3</v>
      </c>
      <c r="O294" s="78">
        <v>224.333333333333</v>
      </c>
      <c r="P294" s="78">
        <v>26</v>
      </c>
      <c r="Q294" s="78">
        <v>1364.3333333333301</v>
      </c>
      <c r="R294" s="78">
        <v>3016</v>
      </c>
      <c r="S294" s="78">
        <v>560</v>
      </c>
      <c r="T294" s="78">
        <v>0</v>
      </c>
      <c r="U294" s="78">
        <v>665</v>
      </c>
      <c r="V294" s="78">
        <v>10479</v>
      </c>
      <c r="W294" s="78">
        <v>18550</v>
      </c>
      <c r="X294" s="78">
        <v>5110</v>
      </c>
      <c r="Y294" s="78">
        <v>0</v>
      </c>
      <c r="Z294" s="78">
        <v>286.39999999999998</v>
      </c>
      <c r="AA294" s="78">
        <v>0</v>
      </c>
      <c r="AB294" s="399">
        <f>IF((J294-'[2]Basisgegevens aanvullend'!D294*1.1)&lt;=0,0,J294-'[2]Basisgegevens aanvullend'!D294*1.1)</f>
        <v>0</v>
      </c>
      <c r="AC294" s="399">
        <v>22.5</v>
      </c>
      <c r="AD294" s="78">
        <v>4991</v>
      </c>
      <c r="AE294" s="78">
        <v>4991</v>
      </c>
      <c r="AF294" s="78">
        <v>80</v>
      </c>
      <c r="AG294" s="78">
        <v>0</v>
      </c>
      <c r="AH294" s="78">
        <v>137</v>
      </c>
      <c r="AI294" s="78">
        <v>37</v>
      </c>
      <c r="AJ294" s="78">
        <v>137</v>
      </c>
      <c r="AK294" s="78">
        <v>37</v>
      </c>
      <c r="AL294" s="78">
        <v>174</v>
      </c>
      <c r="AM294" s="78">
        <v>10807</v>
      </c>
      <c r="AN294" s="78">
        <v>10807</v>
      </c>
      <c r="AO294" s="78">
        <v>0</v>
      </c>
      <c r="AP294" s="78">
        <v>0</v>
      </c>
      <c r="AQ294" s="78">
        <v>0</v>
      </c>
      <c r="AR294" s="78">
        <v>0</v>
      </c>
      <c r="AS294" s="78">
        <v>1032</v>
      </c>
      <c r="AT294" s="78">
        <v>0</v>
      </c>
      <c r="AU294" s="400">
        <v>1.93668E-4</v>
      </c>
      <c r="AV294" s="400">
        <v>1.16977E-4</v>
      </c>
      <c r="AW294" s="78">
        <v>11595.911</v>
      </c>
      <c r="AX294" s="78">
        <v>0</v>
      </c>
      <c r="AY294" s="78">
        <v>517</v>
      </c>
      <c r="AZ294" s="78">
        <v>2396.2863340563999</v>
      </c>
      <c r="BA294" s="78">
        <v>6</v>
      </c>
      <c r="BB294" s="78">
        <v>6</v>
      </c>
      <c r="BC294" s="78">
        <v>2749</v>
      </c>
      <c r="BD294" s="78">
        <v>1</v>
      </c>
      <c r="BE294" s="78">
        <v>0</v>
      </c>
      <c r="BF294" s="78">
        <v>0</v>
      </c>
      <c r="BG294" s="78">
        <v>0</v>
      </c>
      <c r="BH294" s="78">
        <v>0</v>
      </c>
      <c r="BI294" s="78">
        <v>0</v>
      </c>
      <c r="BJ294" s="78">
        <v>0</v>
      </c>
      <c r="BK294" s="78">
        <v>0</v>
      </c>
      <c r="BL294" s="78">
        <v>0</v>
      </c>
      <c r="BM294" s="78">
        <v>352.50099999999998</v>
      </c>
      <c r="BN294" s="78">
        <v>86</v>
      </c>
      <c r="BO294" s="78">
        <v>48</v>
      </c>
      <c r="BP294" s="78">
        <v>7027.65</v>
      </c>
      <c r="BQ294" s="78">
        <v>1601.6</v>
      </c>
      <c r="BR294" s="78">
        <v>229.951728323699</v>
      </c>
      <c r="BS294" s="78">
        <v>247</v>
      </c>
      <c r="BT294" s="78">
        <v>70.3333333333333</v>
      </c>
      <c r="BU294" s="78">
        <v>74.6666666666667</v>
      </c>
      <c r="BV294" s="78">
        <f t="shared" si="16"/>
        <v>1139.999999999997</v>
      </c>
      <c r="BW294" s="78">
        <v>238</v>
      </c>
      <c r="BX294" s="78">
        <v>5064.7264251537899</v>
      </c>
      <c r="BY294" s="78">
        <v>0.11899999999999999</v>
      </c>
      <c r="BZ294" s="78">
        <v>18102</v>
      </c>
      <c r="CA294" s="78">
        <v>3045</v>
      </c>
      <c r="CB294" s="78">
        <v>594</v>
      </c>
      <c r="CC294" s="78">
        <v>547</v>
      </c>
      <c r="CD294" s="78">
        <v>562</v>
      </c>
      <c r="CE294" s="78">
        <v>325</v>
      </c>
      <c r="CF294" s="78">
        <v>317.25539927824599</v>
      </c>
      <c r="CG294" s="78">
        <v>205.01156657721799</v>
      </c>
      <c r="CH294" s="78">
        <v>72.779106134912595</v>
      </c>
      <c r="CI294" s="78">
        <v>805.3809</v>
      </c>
      <c r="CJ294" s="78">
        <v>520.44000000000005</v>
      </c>
      <c r="CK294" s="78">
        <v>184.75620000000001</v>
      </c>
      <c r="CL294" s="78">
        <v>14600</v>
      </c>
    </row>
    <row r="295" spans="1:90" x14ac:dyDescent="0.35">
      <c r="A295" s="72">
        <v>1948</v>
      </c>
      <c r="B295" s="72" t="s">
        <v>198</v>
      </c>
      <c r="C295" s="72">
        <v>10</v>
      </c>
      <c r="D295" s="78">
        <v>8357200000</v>
      </c>
      <c r="E295" s="78">
        <v>1590750000</v>
      </c>
      <c r="F295" s="78">
        <v>1739500000</v>
      </c>
      <c r="G295" s="78">
        <v>81647</v>
      </c>
      <c r="H295" s="78">
        <v>6</v>
      </c>
      <c r="I295" s="78">
        <f t="shared" si="14"/>
        <v>1739.5</v>
      </c>
      <c r="J295" s="78">
        <v>15308</v>
      </c>
      <c r="K295" s="78">
        <v>17224</v>
      </c>
      <c r="L295" s="78">
        <v>5454</v>
      </c>
      <c r="M295" s="78">
        <v>9329</v>
      </c>
      <c r="N295" s="78">
        <f t="shared" si="15"/>
        <v>5794.1</v>
      </c>
      <c r="O295" s="78">
        <v>796.66666666666697</v>
      </c>
      <c r="P295" s="78">
        <v>179</v>
      </c>
      <c r="Q295" s="78">
        <v>5118.6666666666697</v>
      </c>
      <c r="R295" s="78">
        <v>10612</v>
      </c>
      <c r="S295" s="78">
        <v>3380</v>
      </c>
      <c r="T295" s="78">
        <v>0</v>
      </c>
      <c r="U295" s="78">
        <v>2269</v>
      </c>
      <c r="V295" s="78">
        <v>35835</v>
      </c>
      <c r="W295" s="78">
        <v>77410</v>
      </c>
      <c r="X295" s="78">
        <v>47150</v>
      </c>
      <c r="Y295" s="78">
        <v>1564.32</v>
      </c>
      <c r="Z295" s="78">
        <v>3306.4</v>
      </c>
      <c r="AA295" s="78">
        <v>0</v>
      </c>
      <c r="AB295" s="399">
        <f>IF((J295-'[2]Basisgegevens aanvullend'!D295*1.1)&lt;=0,0,J295-'[2]Basisgegevens aanvullend'!D295*1.1)</f>
        <v>0</v>
      </c>
      <c r="AC295" s="399">
        <v>0</v>
      </c>
      <c r="AD295" s="78">
        <v>18398</v>
      </c>
      <c r="AE295" s="78">
        <v>18398</v>
      </c>
      <c r="AF295" s="78">
        <v>154</v>
      </c>
      <c r="AG295" s="78">
        <v>0</v>
      </c>
      <c r="AH295" s="78">
        <v>533</v>
      </c>
      <c r="AI295" s="78">
        <v>340</v>
      </c>
      <c r="AJ295" s="78">
        <v>533</v>
      </c>
      <c r="AK295" s="78">
        <v>340</v>
      </c>
      <c r="AL295" s="78">
        <v>873</v>
      </c>
      <c r="AM295" s="78">
        <v>35349</v>
      </c>
      <c r="AN295" s="78">
        <v>35349</v>
      </c>
      <c r="AO295" s="78">
        <v>0</v>
      </c>
      <c r="AP295" s="78">
        <v>0</v>
      </c>
      <c r="AQ295" s="78">
        <v>0</v>
      </c>
      <c r="AR295" s="78">
        <v>0</v>
      </c>
      <c r="AS295" s="78">
        <v>1732</v>
      </c>
      <c r="AT295" s="78">
        <v>0</v>
      </c>
      <c r="AU295" s="400">
        <v>4.7864099999999997E-4</v>
      </c>
      <c r="AV295" s="400">
        <v>3.5838999999999999E-4</v>
      </c>
      <c r="AW295" s="78">
        <v>35242.953000000001</v>
      </c>
      <c r="AX295" s="78">
        <v>0</v>
      </c>
      <c r="AY295" s="78">
        <v>2943</v>
      </c>
      <c r="AZ295" s="78">
        <v>12952.087160413999</v>
      </c>
      <c r="BA295" s="78">
        <v>18</v>
      </c>
      <c r="BB295" s="78">
        <v>18</v>
      </c>
      <c r="BC295" s="78">
        <v>10159</v>
      </c>
      <c r="BD295" s="78">
        <v>1</v>
      </c>
      <c r="BE295" s="78">
        <v>0</v>
      </c>
      <c r="BF295" s="78">
        <v>0</v>
      </c>
      <c r="BG295" s="78">
        <v>0</v>
      </c>
      <c r="BH295" s="78">
        <v>0</v>
      </c>
      <c r="BI295" s="78">
        <v>0</v>
      </c>
      <c r="BJ295" s="78">
        <v>0</v>
      </c>
      <c r="BK295" s="78">
        <v>0</v>
      </c>
      <c r="BL295" s="78">
        <v>0</v>
      </c>
      <c r="BM295" s="78">
        <v>1408.336</v>
      </c>
      <c r="BN295" s="78">
        <v>177</v>
      </c>
      <c r="BO295" s="78">
        <v>165</v>
      </c>
      <c r="BP295" s="78">
        <v>24115.5</v>
      </c>
      <c r="BQ295" s="78">
        <v>5782.04</v>
      </c>
      <c r="BR295" s="78">
        <v>546.343401088071</v>
      </c>
      <c r="BS295" s="78">
        <v>879</v>
      </c>
      <c r="BT295" s="78">
        <v>262.33333333333297</v>
      </c>
      <c r="BU295" s="78">
        <v>208</v>
      </c>
      <c r="BV295" s="78">
        <f t="shared" si="16"/>
        <v>4322.0000000000027</v>
      </c>
      <c r="BW295" s="78">
        <v>862</v>
      </c>
      <c r="BX295" s="78">
        <v>13450.346218193499</v>
      </c>
      <c r="BY295" s="78">
        <v>0.59899999999999998</v>
      </c>
      <c r="BZ295" s="78">
        <v>64423</v>
      </c>
      <c r="CA295" s="78">
        <v>9952</v>
      </c>
      <c r="CB295" s="78">
        <v>1818</v>
      </c>
      <c r="CC295" s="78">
        <v>1814</v>
      </c>
      <c r="CD295" s="78">
        <v>1705</v>
      </c>
      <c r="CE295" s="78">
        <v>908</v>
      </c>
      <c r="CF295" s="78">
        <v>990.84371552236303</v>
      </c>
      <c r="CG295" s="78">
        <v>609.09433364451604</v>
      </c>
      <c r="CH295" s="78">
        <v>209.31471045857</v>
      </c>
      <c r="CI295" s="78">
        <v>2598.7455</v>
      </c>
      <c r="CJ295" s="78">
        <v>1597.5083999999999</v>
      </c>
      <c r="CK295" s="78">
        <v>548.98230000000001</v>
      </c>
      <c r="CL295" s="78">
        <v>33953</v>
      </c>
    </row>
    <row r="296" spans="1:90" x14ac:dyDescent="0.35">
      <c r="A296" s="72">
        <v>815</v>
      </c>
      <c r="B296" s="72" t="s">
        <v>204</v>
      </c>
      <c r="C296" s="72">
        <v>10</v>
      </c>
      <c r="D296" s="78">
        <v>1044000000</v>
      </c>
      <c r="E296" s="78">
        <v>143150000</v>
      </c>
      <c r="F296" s="78">
        <v>163800000</v>
      </c>
      <c r="G296" s="78">
        <v>11004</v>
      </c>
      <c r="H296" s="78">
        <v>3</v>
      </c>
      <c r="I296" s="78">
        <f t="shared" si="14"/>
        <v>163.80000000000001</v>
      </c>
      <c r="J296" s="78">
        <v>1909</v>
      </c>
      <c r="K296" s="78">
        <v>2448</v>
      </c>
      <c r="L296" s="78">
        <v>766</v>
      </c>
      <c r="M296" s="78">
        <v>1375</v>
      </c>
      <c r="N296" s="78">
        <f t="shared" si="15"/>
        <v>904.8</v>
      </c>
      <c r="O296" s="78">
        <v>95.6666666666667</v>
      </c>
      <c r="P296" s="78">
        <v>19</v>
      </c>
      <c r="Q296" s="78">
        <v>711.66666666666697</v>
      </c>
      <c r="R296" s="78">
        <v>1300</v>
      </c>
      <c r="S296" s="78">
        <v>120</v>
      </c>
      <c r="T296" s="78">
        <v>0</v>
      </c>
      <c r="U296" s="78">
        <v>239</v>
      </c>
      <c r="V296" s="78">
        <v>4773</v>
      </c>
      <c r="W296" s="78">
        <v>8570</v>
      </c>
      <c r="X296" s="78">
        <v>1200</v>
      </c>
      <c r="Y296" s="78">
        <v>0</v>
      </c>
      <c r="Z296" s="78">
        <v>346.4</v>
      </c>
      <c r="AA296" s="78">
        <v>0</v>
      </c>
      <c r="AB296" s="399">
        <f>IF((J296-'[2]Basisgegevens aanvullend'!D296*1.1)&lt;=0,0,J296-'[2]Basisgegevens aanvullend'!D296*1.1)</f>
        <v>0</v>
      </c>
      <c r="AC296" s="399">
        <v>0</v>
      </c>
      <c r="AD296" s="78">
        <v>5221</v>
      </c>
      <c r="AE296" s="78">
        <v>5221</v>
      </c>
      <c r="AF296" s="78">
        <v>97</v>
      </c>
      <c r="AG296" s="78">
        <v>0</v>
      </c>
      <c r="AH296" s="78">
        <v>76</v>
      </c>
      <c r="AI296" s="78">
        <v>67</v>
      </c>
      <c r="AJ296" s="78">
        <v>76</v>
      </c>
      <c r="AK296" s="78">
        <v>67</v>
      </c>
      <c r="AL296" s="78">
        <v>143</v>
      </c>
      <c r="AM296" s="78">
        <v>4702</v>
      </c>
      <c r="AN296" s="78">
        <v>4702</v>
      </c>
      <c r="AO296" s="78">
        <v>0</v>
      </c>
      <c r="AP296" s="78">
        <v>0</v>
      </c>
      <c r="AQ296" s="78">
        <v>0</v>
      </c>
      <c r="AR296" s="78">
        <v>0</v>
      </c>
      <c r="AS296" s="78">
        <v>0</v>
      </c>
      <c r="AT296" s="78">
        <v>0</v>
      </c>
      <c r="AU296" s="400">
        <v>1.1184900000000001E-4</v>
      </c>
      <c r="AV296" s="400">
        <v>4.4675000000000002E-5</v>
      </c>
      <c r="AW296" s="78">
        <v>1518.7460000000001</v>
      </c>
      <c r="AX296" s="78">
        <v>0</v>
      </c>
      <c r="AY296" s="78">
        <v>752</v>
      </c>
      <c r="AZ296" s="78">
        <v>1556.0376081233601</v>
      </c>
      <c r="BA296" s="78">
        <v>6</v>
      </c>
      <c r="BB296" s="78">
        <v>6</v>
      </c>
      <c r="BC296" s="78">
        <v>1337</v>
      </c>
      <c r="BD296" s="78">
        <v>1</v>
      </c>
      <c r="BE296" s="78">
        <v>0</v>
      </c>
      <c r="BF296" s="78">
        <v>0</v>
      </c>
      <c r="BG296" s="78">
        <v>0</v>
      </c>
      <c r="BH296" s="78">
        <v>0</v>
      </c>
      <c r="BI296" s="78">
        <v>0</v>
      </c>
      <c r="BJ296" s="78">
        <v>0</v>
      </c>
      <c r="BK296" s="78">
        <v>0</v>
      </c>
      <c r="BL296" s="78">
        <v>0</v>
      </c>
      <c r="BM296" s="78">
        <v>152.72</v>
      </c>
      <c r="BN296" s="78">
        <v>35</v>
      </c>
      <c r="BO296" s="78">
        <v>9</v>
      </c>
      <c r="BP296" s="78">
        <v>3157.92</v>
      </c>
      <c r="BQ296" s="78">
        <v>665.6</v>
      </c>
      <c r="BR296" s="78">
        <v>51.689846153846098</v>
      </c>
      <c r="BS296" s="78">
        <v>98</v>
      </c>
      <c r="BT296" s="78">
        <v>28</v>
      </c>
      <c r="BU296" s="78">
        <v>15.3333333333333</v>
      </c>
      <c r="BV296" s="78">
        <f t="shared" si="16"/>
        <v>616.00000000000023</v>
      </c>
      <c r="BW296" s="78">
        <v>134</v>
      </c>
      <c r="BX296" s="78">
        <v>2214.4003364110099</v>
      </c>
      <c r="BY296" s="78">
        <v>5.5E-2</v>
      </c>
      <c r="BZ296" s="78">
        <v>8556</v>
      </c>
      <c r="CA296" s="78">
        <v>1408</v>
      </c>
      <c r="CB296" s="78">
        <v>274</v>
      </c>
      <c r="CC296" s="78">
        <v>223</v>
      </c>
      <c r="CD296" s="78">
        <v>243</v>
      </c>
      <c r="CE296" s="78">
        <v>128</v>
      </c>
      <c r="CF296" s="78">
        <v>162.79472564866001</v>
      </c>
      <c r="CG296" s="78">
        <v>100.062951935347</v>
      </c>
      <c r="CH296" s="78">
        <v>36.561463207145898</v>
      </c>
      <c r="CI296" s="78">
        <v>383.32260000000002</v>
      </c>
      <c r="CJ296" s="78">
        <v>235.61199999999999</v>
      </c>
      <c r="CK296" s="78">
        <v>86.088999999999999</v>
      </c>
      <c r="CL296" s="78">
        <v>3969</v>
      </c>
    </row>
    <row r="297" spans="1:90" x14ac:dyDescent="0.35">
      <c r="A297" s="72">
        <v>1709</v>
      </c>
      <c r="B297" s="72" t="s">
        <v>205</v>
      </c>
      <c r="C297" s="72">
        <v>10</v>
      </c>
      <c r="D297" s="78">
        <v>3382800000</v>
      </c>
      <c r="E297" s="78">
        <v>1872850000</v>
      </c>
      <c r="F297" s="78">
        <v>1910300000</v>
      </c>
      <c r="G297" s="78">
        <v>37185</v>
      </c>
      <c r="H297" s="78">
        <v>7</v>
      </c>
      <c r="I297" s="78">
        <f t="shared" si="14"/>
        <v>1910.3</v>
      </c>
      <c r="J297" s="78">
        <v>6681</v>
      </c>
      <c r="K297" s="78">
        <v>8222</v>
      </c>
      <c r="L297" s="78">
        <v>2614</v>
      </c>
      <c r="M297" s="78">
        <v>4590</v>
      </c>
      <c r="N297" s="78">
        <f t="shared" si="15"/>
        <v>2913.8999999999996</v>
      </c>
      <c r="O297" s="78">
        <v>473.33333333333297</v>
      </c>
      <c r="P297" s="78">
        <v>29</v>
      </c>
      <c r="Q297" s="78">
        <v>2055.3333333333298</v>
      </c>
      <c r="R297" s="78">
        <v>5089</v>
      </c>
      <c r="S297" s="78">
        <v>1135</v>
      </c>
      <c r="T297" s="78">
        <v>0</v>
      </c>
      <c r="U297" s="78">
        <v>1075</v>
      </c>
      <c r="V297" s="78">
        <v>16776</v>
      </c>
      <c r="W297" s="78">
        <v>30140</v>
      </c>
      <c r="X297" s="78">
        <v>4860</v>
      </c>
      <c r="Y297" s="78">
        <v>247.5</v>
      </c>
      <c r="Z297" s="78">
        <v>815.2</v>
      </c>
      <c r="AA297" s="78">
        <v>0</v>
      </c>
      <c r="AB297" s="399">
        <f>IF((J297-'[2]Basisgegevens aanvullend'!D297*1.1)&lt;=0,0,J297-'[2]Basisgegevens aanvullend'!D297*1.1)</f>
        <v>0</v>
      </c>
      <c r="AC297" s="399">
        <v>348</v>
      </c>
      <c r="AD297" s="78">
        <v>15920</v>
      </c>
      <c r="AE297" s="78">
        <v>16875.2</v>
      </c>
      <c r="AF297" s="78">
        <v>2482</v>
      </c>
      <c r="AG297" s="78">
        <v>0</v>
      </c>
      <c r="AH297" s="78">
        <v>203</v>
      </c>
      <c r="AI297" s="78">
        <v>313</v>
      </c>
      <c r="AJ297" s="78">
        <v>221.27</v>
      </c>
      <c r="AK297" s="78">
        <v>328.65</v>
      </c>
      <c r="AL297" s="78">
        <v>516</v>
      </c>
      <c r="AM297" s="78">
        <v>16761</v>
      </c>
      <c r="AN297" s="78">
        <v>18269.490000000002</v>
      </c>
      <c r="AO297" s="78">
        <v>27</v>
      </c>
      <c r="AP297" s="78">
        <v>0</v>
      </c>
      <c r="AQ297" s="78">
        <v>0</v>
      </c>
      <c r="AR297" s="78">
        <v>12350</v>
      </c>
      <c r="AS297" s="78">
        <v>1513</v>
      </c>
      <c r="AT297" s="78">
        <v>1513</v>
      </c>
      <c r="AU297" s="400">
        <v>4.8159199999999998E-4</v>
      </c>
      <c r="AV297" s="400">
        <v>1.94336E-4</v>
      </c>
      <c r="AW297" s="78">
        <v>12537.227999999999</v>
      </c>
      <c r="AX297" s="78">
        <v>0</v>
      </c>
      <c r="AY297" s="78">
        <v>3800.1</v>
      </c>
      <c r="AZ297" s="78">
        <v>10099.2778774046</v>
      </c>
      <c r="BA297" s="78">
        <v>20</v>
      </c>
      <c r="BB297" s="78">
        <v>21</v>
      </c>
      <c r="BC297" s="78">
        <v>4588</v>
      </c>
      <c r="BD297" s="78">
        <v>1</v>
      </c>
      <c r="BE297" s="78">
        <v>0</v>
      </c>
      <c r="BF297" s="78">
        <v>0</v>
      </c>
      <c r="BG297" s="78">
        <v>0</v>
      </c>
      <c r="BH297" s="78">
        <v>0</v>
      </c>
      <c r="BI297" s="78">
        <v>0</v>
      </c>
      <c r="BJ297" s="78">
        <v>0</v>
      </c>
      <c r="BK297" s="78">
        <v>0</v>
      </c>
      <c r="BL297" s="78">
        <v>0</v>
      </c>
      <c r="BM297" s="78">
        <v>587.928</v>
      </c>
      <c r="BN297" s="78">
        <v>142</v>
      </c>
      <c r="BO297" s="78">
        <v>68</v>
      </c>
      <c r="BP297" s="78">
        <v>11668.14</v>
      </c>
      <c r="BQ297" s="78">
        <v>2598.2800000000002</v>
      </c>
      <c r="BR297" s="78">
        <v>297.31393644067799</v>
      </c>
      <c r="BS297" s="78">
        <v>416</v>
      </c>
      <c r="BT297" s="78">
        <v>135.666666666667</v>
      </c>
      <c r="BU297" s="78">
        <v>121</v>
      </c>
      <c r="BV297" s="78">
        <f t="shared" si="16"/>
        <v>1581.9999999999968</v>
      </c>
      <c r="BW297" s="78">
        <v>316</v>
      </c>
      <c r="BX297" s="78">
        <v>7559.9050930539497</v>
      </c>
      <c r="BY297" s="78">
        <v>0.78400000000000003</v>
      </c>
      <c r="BZ297" s="78">
        <v>28963</v>
      </c>
      <c r="CA297" s="78">
        <v>4747</v>
      </c>
      <c r="CB297" s="78">
        <v>861</v>
      </c>
      <c r="CC297" s="78">
        <v>931</v>
      </c>
      <c r="CD297" s="78">
        <v>898</v>
      </c>
      <c r="CE297" s="78">
        <v>429</v>
      </c>
      <c r="CF297" s="78">
        <v>510.94517630212999</v>
      </c>
      <c r="CG297" s="78">
        <v>322.49176660103802</v>
      </c>
      <c r="CH297" s="78">
        <v>104.65770538750699</v>
      </c>
      <c r="CI297" s="78">
        <v>1241.4336000000001</v>
      </c>
      <c r="CJ297" s="78">
        <v>783.55200000000002</v>
      </c>
      <c r="CK297" s="78">
        <v>254.28479999999999</v>
      </c>
      <c r="CL297" s="78">
        <v>26592</v>
      </c>
    </row>
    <row r="298" spans="1:90" x14ac:dyDescent="0.35">
      <c r="A298" s="72">
        <v>820</v>
      </c>
      <c r="B298" s="72" t="s">
        <v>222</v>
      </c>
      <c r="C298" s="72">
        <v>10</v>
      </c>
      <c r="D298" s="78">
        <v>3052400000</v>
      </c>
      <c r="E298" s="78">
        <v>230300000</v>
      </c>
      <c r="F298" s="78">
        <v>246400000</v>
      </c>
      <c r="G298" s="78">
        <v>23702</v>
      </c>
      <c r="H298" s="78">
        <v>2</v>
      </c>
      <c r="I298" s="78">
        <f t="shared" si="14"/>
        <v>246.4</v>
      </c>
      <c r="J298" s="78">
        <v>4455</v>
      </c>
      <c r="K298" s="78">
        <v>6153</v>
      </c>
      <c r="L298" s="78">
        <v>2171</v>
      </c>
      <c r="M298" s="78">
        <v>2098</v>
      </c>
      <c r="N298" s="78">
        <f t="shared" si="15"/>
        <v>1048.0999999999999</v>
      </c>
      <c r="O298" s="78">
        <v>312.33333333333297</v>
      </c>
      <c r="P298" s="78">
        <v>31</v>
      </c>
      <c r="Q298" s="78">
        <v>1019.33333333333</v>
      </c>
      <c r="R298" s="78">
        <v>2934</v>
      </c>
      <c r="S298" s="78">
        <v>455</v>
      </c>
      <c r="T298" s="78">
        <v>0</v>
      </c>
      <c r="U298" s="78">
        <v>660</v>
      </c>
      <c r="V298" s="78">
        <v>10421</v>
      </c>
      <c r="W298" s="78">
        <v>19800</v>
      </c>
      <c r="X298" s="78">
        <v>7540</v>
      </c>
      <c r="Y298" s="78">
        <v>0</v>
      </c>
      <c r="Z298" s="78">
        <v>512.79999999999995</v>
      </c>
      <c r="AA298" s="78">
        <v>0</v>
      </c>
      <c r="AB298" s="399">
        <f>IF((J298-'[2]Basisgegevens aanvullend'!D298*1.1)&lt;=0,0,J298-'[2]Basisgegevens aanvullend'!D298*1.1)</f>
        <v>0</v>
      </c>
      <c r="AC298" s="399">
        <v>48.099999999999902</v>
      </c>
      <c r="AD298" s="78">
        <v>3362</v>
      </c>
      <c r="AE298" s="78">
        <v>3362</v>
      </c>
      <c r="AF298" s="78">
        <v>32</v>
      </c>
      <c r="AG298" s="78">
        <v>0</v>
      </c>
      <c r="AH298" s="78">
        <v>147</v>
      </c>
      <c r="AI298" s="78">
        <v>29</v>
      </c>
      <c r="AJ298" s="78">
        <v>147</v>
      </c>
      <c r="AK298" s="78">
        <v>29</v>
      </c>
      <c r="AL298" s="78">
        <v>176</v>
      </c>
      <c r="AM298" s="78">
        <v>10499</v>
      </c>
      <c r="AN298" s="78">
        <v>10499</v>
      </c>
      <c r="AO298" s="78">
        <v>0</v>
      </c>
      <c r="AP298" s="78">
        <v>0</v>
      </c>
      <c r="AQ298" s="78">
        <v>0</v>
      </c>
      <c r="AR298" s="78">
        <v>0</v>
      </c>
      <c r="AS298" s="78">
        <v>0</v>
      </c>
      <c r="AT298" s="78">
        <v>0</v>
      </c>
      <c r="AU298" s="400">
        <v>8.1248999999999994E-5</v>
      </c>
      <c r="AV298" s="400">
        <v>6.7951E-5</v>
      </c>
      <c r="AW298" s="78">
        <v>11664.388999999999</v>
      </c>
      <c r="AX298" s="78">
        <v>0</v>
      </c>
      <c r="AY298" s="78">
        <v>523</v>
      </c>
      <c r="AZ298" s="78">
        <v>3652.3706540954599</v>
      </c>
      <c r="BA298" s="78">
        <v>3</v>
      </c>
      <c r="BB298" s="78">
        <v>3</v>
      </c>
      <c r="BC298" s="78">
        <v>3044</v>
      </c>
      <c r="BD298" s="78">
        <v>1</v>
      </c>
      <c r="BE298" s="78">
        <v>0</v>
      </c>
      <c r="BF298" s="78">
        <v>0</v>
      </c>
      <c r="BG298" s="78">
        <v>0</v>
      </c>
      <c r="BH298" s="78">
        <v>0</v>
      </c>
      <c r="BI298" s="78">
        <v>0</v>
      </c>
      <c r="BJ298" s="78">
        <v>0</v>
      </c>
      <c r="BK298" s="78">
        <v>0</v>
      </c>
      <c r="BL298" s="78">
        <v>0</v>
      </c>
      <c r="BM298" s="78">
        <v>356.4</v>
      </c>
      <c r="BN298" s="78">
        <v>20</v>
      </c>
      <c r="BO298" s="78">
        <v>38</v>
      </c>
      <c r="BP298" s="78">
        <v>8951.43</v>
      </c>
      <c r="BQ298" s="78">
        <v>2041.8</v>
      </c>
      <c r="BR298" s="78">
        <v>143.87838008415099</v>
      </c>
      <c r="BS298" s="78">
        <v>262</v>
      </c>
      <c r="BT298" s="78">
        <v>102.666666666667</v>
      </c>
      <c r="BU298" s="78">
        <v>71.3333333333333</v>
      </c>
      <c r="BV298" s="78">
        <f t="shared" si="16"/>
        <v>706.99999999999704</v>
      </c>
      <c r="BW298" s="78">
        <v>166</v>
      </c>
      <c r="BX298" s="78">
        <v>4004.9416276782299</v>
      </c>
      <c r="BY298" s="78">
        <v>0.45100000000000001</v>
      </c>
      <c r="BZ298" s="78">
        <v>17549</v>
      </c>
      <c r="CA298" s="78">
        <v>3354</v>
      </c>
      <c r="CB298" s="78">
        <v>628</v>
      </c>
      <c r="CC298" s="78">
        <v>599</v>
      </c>
      <c r="CD298" s="78">
        <v>613</v>
      </c>
      <c r="CE298" s="78">
        <v>299</v>
      </c>
      <c r="CF298" s="78">
        <v>201.653681302981</v>
      </c>
      <c r="CG298" s="78">
        <v>147.44677588341699</v>
      </c>
      <c r="CH298" s="78">
        <v>46.4202781217259</v>
      </c>
      <c r="CI298" s="78">
        <v>597.91999999999996</v>
      </c>
      <c r="CJ298" s="78">
        <v>437.19200000000001</v>
      </c>
      <c r="CK298" s="78">
        <v>137.63999999999999</v>
      </c>
      <c r="CL298" s="78">
        <v>10585</v>
      </c>
    </row>
    <row r="299" spans="1:90" x14ac:dyDescent="0.35">
      <c r="A299" s="72">
        <v>823</v>
      </c>
      <c r="B299" s="72" t="s">
        <v>225</v>
      </c>
      <c r="C299" s="72">
        <v>10</v>
      </c>
      <c r="D299" s="78">
        <v>2325600000</v>
      </c>
      <c r="E299" s="78">
        <v>511350000</v>
      </c>
      <c r="F299" s="78">
        <v>547750000</v>
      </c>
      <c r="G299" s="78">
        <v>18842</v>
      </c>
      <c r="H299" s="78">
        <v>2</v>
      </c>
      <c r="I299" s="78">
        <f t="shared" si="14"/>
        <v>547.75</v>
      </c>
      <c r="J299" s="78">
        <v>3338</v>
      </c>
      <c r="K299" s="78">
        <v>4162</v>
      </c>
      <c r="L299" s="78">
        <v>1257</v>
      </c>
      <c r="M299" s="78">
        <v>1945</v>
      </c>
      <c r="N299" s="78">
        <f t="shared" si="15"/>
        <v>1117.0999999999999</v>
      </c>
      <c r="O299" s="78">
        <v>123.666666666667</v>
      </c>
      <c r="P299" s="78">
        <v>27</v>
      </c>
      <c r="Q299" s="78">
        <v>836.66666666666697</v>
      </c>
      <c r="R299" s="78">
        <v>2179</v>
      </c>
      <c r="S299" s="78">
        <v>235</v>
      </c>
      <c r="T299" s="78">
        <v>0</v>
      </c>
      <c r="U299" s="78">
        <v>423</v>
      </c>
      <c r="V299" s="78">
        <v>8086</v>
      </c>
      <c r="W299" s="78">
        <v>14650</v>
      </c>
      <c r="X299" s="78">
        <v>3060</v>
      </c>
      <c r="Y299" s="78">
        <v>0</v>
      </c>
      <c r="Z299" s="78">
        <v>720</v>
      </c>
      <c r="AA299" s="78">
        <v>0</v>
      </c>
      <c r="AB299" s="399">
        <f>IF((J299-'[2]Basisgegevens aanvullend'!D299*1.1)&lt;=0,0,J299-'[2]Basisgegevens aanvullend'!D299*1.1)</f>
        <v>0</v>
      </c>
      <c r="AC299" s="399">
        <v>0</v>
      </c>
      <c r="AD299" s="78">
        <v>10176</v>
      </c>
      <c r="AE299" s="78">
        <v>10176</v>
      </c>
      <c r="AF299" s="78">
        <v>108</v>
      </c>
      <c r="AG299" s="78">
        <v>0</v>
      </c>
      <c r="AH299" s="78">
        <v>130</v>
      </c>
      <c r="AI299" s="78">
        <v>108</v>
      </c>
      <c r="AJ299" s="78">
        <v>130</v>
      </c>
      <c r="AK299" s="78">
        <v>108</v>
      </c>
      <c r="AL299" s="78">
        <v>238</v>
      </c>
      <c r="AM299" s="78">
        <v>8279</v>
      </c>
      <c r="AN299" s="78">
        <v>8279</v>
      </c>
      <c r="AO299" s="78">
        <v>10</v>
      </c>
      <c r="AP299" s="78">
        <v>0</v>
      </c>
      <c r="AQ299" s="78">
        <v>0</v>
      </c>
      <c r="AR299" s="78">
        <v>0</v>
      </c>
      <c r="AS299" s="78">
        <v>0</v>
      </c>
      <c r="AT299" s="78">
        <v>0</v>
      </c>
      <c r="AU299" s="400">
        <v>1.8325500000000001E-4</v>
      </c>
      <c r="AV299" s="400">
        <v>5.5822000000000002E-5</v>
      </c>
      <c r="AW299" s="78">
        <v>5099.8639999999996</v>
      </c>
      <c r="AX299" s="78">
        <v>0</v>
      </c>
      <c r="AY299" s="78">
        <v>1325</v>
      </c>
      <c r="AZ299" s="78">
        <v>2427.6205756515001</v>
      </c>
      <c r="BA299" s="78">
        <v>9</v>
      </c>
      <c r="BB299" s="78">
        <v>9</v>
      </c>
      <c r="BC299" s="78">
        <v>2719</v>
      </c>
      <c r="BD299" s="78">
        <v>1</v>
      </c>
      <c r="BE299" s="78">
        <v>0</v>
      </c>
      <c r="BF299" s="78">
        <v>0</v>
      </c>
      <c r="BG299" s="78">
        <v>0</v>
      </c>
      <c r="BH299" s="78">
        <v>0</v>
      </c>
      <c r="BI299" s="78">
        <v>0</v>
      </c>
      <c r="BJ299" s="78">
        <v>0</v>
      </c>
      <c r="BK299" s="78">
        <v>0</v>
      </c>
      <c r="BL299" s="78">
        <v>0</v>
      </c>
      <c r="BM299" s="78">
        <v>196.94200000000001</v>
      </c>
      <c r="BN299" s="78">
        <v>24</v>
      </c>
      <c r="BO299" s="78">
        <v>36</v>
      </c>
      <c r="BP299" s="78">
        <v>5953.08</v>
      </c>
      <c r="BQ299" s="78">
        <v>1378.5</v>
      </c>
      <c r="BR299" s="78">
        <v>75.882027548209393</v>
      </c>
      <c r="BS299" s="78">
        <v>170</v>
      </c>
      <c r="BT299" s="78">
        <v>40.6666666666667</v>
      </c>
      <c r="BU299" s="78">
        <v>25.6666666666667</v>
      </c>
      <c r="BV299" s="78">
        <f t="shared" si="16"/>
        <v>713</v>
      </c>
      <c r="BW299" s="78">
        <v>114</v>
      </c>
      <c r="BX299" s="78">
        <v>2998.6911103986299</v>
      </c>
      <c r="BY299" s="78">
        <v>9.4E-2</v>
      </c>
      <c r="BZ299" s="78">
        <v>14680</v>
      </c>
      <c r="CA299" s="78">
        <v>2419</v>
      </c>
      <c r="CB299" s="78">
        <v>486</v>
      </c>
      <c r="CC299" s="78">
        <v>394</v>
      </c>
      <c r="CD299" s="78">
        <v>397</v>
      </c>
      <c r="CE299" s="78">
        <v>208</v>
      </c>
      <c r="CF299" s="78">
        <v>196.46063534243299</v>
      </c>
      <c r="CG299" s="78">
        <v>114.15226476627601</v>
      </c>
      <c r="CH299" s="78">
        <v>38.8603454523493</v>
      </c>
      <c r="CI299" s="78">
        <v>537.99199999999996</v>
      </c>
      <c r="CJ299" s="78">
        <v>312.59699999999998</v>
      </c>
      <c r="CK299" s="78">
        <v>106.416</v>
      </c>
      <c r="CL299" s="78">
        <v>4593</v>
      </c>
    </row>
    <row r="300" spans="1:90" x14ac:dyDescent="0.35">
      <c r="A300" s="72">
        <v>824</v>
      </c>
      <c r="B300" s="72" t="s">
        <v>226</v>
      </c>
      <c r="C300" s="72">
        <v>10</v>
      </c>
      <c r="D300" s="78">
        <v>4161200000</v>
      </c>
      <c r="E300" s="78">
        <v>450800000</v>
      </c>
      <c r="F300" s="78">
        <v>489300000</v>
      </c>
      <c r="G300" s="78">
        <v>32373</v>
      </c>
      <c r="H300" s="78">
        <v>4</v>
      </c>
      <c r="I300" s="78">
        <f t="shared" si="14"/>
        <v>489.3</v>
      </c>
      <c r="J300" s="78">
        <v>5763</v>
      </c>
      <c r="K300" s="78">
        <v>7930</v>
      </c>
      <c r="L300" s="78">
        <v>2740</v>
      </c>
      <c r="M300" s="78">
        <v>3864</v>
      </c>
      <c r="N300" s="78">
        <f t="shared" si="15"/>
        <v>2371.3999999999996</v>
      </c>
      <c r="O300" s="78">
        <v>288</v>
      </c>
      <c r="P300" s="78">
        <v>34</v>
      </c>
      <c r="Q300" s="78">
        <v>1671</v>
      </c>
      <c r="R300" s="78">
        <v>4415</v>
      </c>
      <c r="S300" s="78">
        <v>760</v>
      </c>
      <c r="T300" s="78">
        <v>0</v>
      </c>
      <c r="U300" s="78">
        <v>871</v>
      </c>
      <c r="V300" s="78">
        <v>14985</v>
      </c>
      <c r="W300" s="78">
        <v>27700</v>
      </c>
      <c r="X300" s="78">
        <v>9430</v>
      </c>
      <c r="Y300" s="78">
        <v>612.74</v>
      </c>
      <c r="Z300" s="78">
        <v>1293.5999999999999</v>
      </c>
      <c r="AA300" s="78">
        <v>0</v>
      </c>
      <c r="AB300" s="399">
        <f>IF((J300-'[2]Basisgegevens aanvullend'!D300*1.1)&lt;=0,0,J300-'[2]Basisgegevens aanvullend'!D300*1.1)</f>
        <v>0</v>
      </c>
      <c r="AC300" s="399">
        <v>0</v>
      </c>
      <c r="AD300" s="78">
        <v>8009</v>
      </c>
      <c r="AE300" s="78">
        <v>8009</v>
      </c>
      <c r="AF300" s="78">
        <v>135</v>
      </c>
      <c r="AG300" s="78">
        <v>0</v>
      </c>
      <c r="AH300" s="78">
        <v>204</v>
      </c>
      <c r="AI300" s="78">
        <v>83</v>
      </c>
      <c r="AJ300" s="78">
        <v>204</v>
      </c>
      <c r="AK300" s="78">
        <v>83</v>
      </c>
      <c r="AL300" s="78">
        <v>287</v>
      </c>
      <c r="AM300" s="78">
        <v>14926</v>
      </c>
      <c r="AN300" s="78">
        <v>14926</v>
      </c>
      <c r="AO300" s="78">
        <v>10</v>
      </c>
      <c r="AP300" s="78">
        <v>0</v>
      </c>
      <c r="AQ300" s="78">
        <v>0</v>
      </c>
      <c r="AR300" s="78">
        <v>0</v>
      </c>
      <c r="AS300" s="78">
        <v>1176</v>
      </c>
      <c r="AT300" s="78">
        <v>1176</v>
      </c>
      <c r="AU300" s="400">
        <v>2.8360800000000003E-4</v>
      </c>
      <c r="AV300" s="400">
        <v>1.5185200000000001E-4</v>
      </c>
      <c r="AW300" s="78">
        <v>13806.55</v>
      </c>
      <c r="AX300" s="78">
        <v>0</v>
      </c>
      <c r="AY300" s="78">
        <v>1366</v>
      </c>
      <c r="AZ300" s="78">
        <v>5429.9506385068798</v>
      </c>
      <c r="BA300" s="78">
        <v>5</v>
      </c>
      <c r="BB300" s="78">
        <v>5</v>
      </c>
      <c r="BC300" s="78">
        <v>4868</v>
      </c>
      <c r="BD300" s="78">
        <v>1</v>
      </c>
      <c r="BE300" s="78">
        <v>0</v>
      </c>
      <c r="BF300" s="78">
        <v>0</v>
      </c>
      <c r="BG300" s="78">
        <v>0</v>
      </c>
      <c r="BH300" s="78">
        <v>0</v>
      </c>
      <c r="BI300" s="78">
        <v>0</v>
      </c>
      <c r="BJ300" s="78">
        <v>0</v>
      </c>
      <c r="BK300" s="78">
        <v>0</v>
      </c>
      <c r="BL300" s="78">
        <v>0</v>
      </c>
      <c r="BM300" s="78">
        <v>524.43299999999999</v>
      </c>
      <c r="BN300" s="78">
        <v>73</v>
      </c>
      <c r="BO300" s="78">
        <v>91</v>
      </c>
      <c r="BP300" s="78">
        <v>10936.38</v>
      </c>
      <c r="BQ300" s="78">
        <v>2456.2199999999998</v>
      </c>
      <c r="BR300" s="78">
        <v>226.93171698113201</v>
      </c>
      <c r="BS300" s="78">
        <v>341</v>
      </c>
      <c r="BT300" s="78">
        <v>90.3333333333333</v>
      </c>
      <c r="BU300" s="78">
        <v>68.3333333333333</v>
      </c>
      <c r="BV300" s="78">
        <f t="shared" si="16"/>
        <v>1383</v>
      </c>
      <c r="BW300" s="78">
        <v>429</v>
      </c>
      <c r="BX300" s="78">
        <v>6071.4341037295299</v>
      </c>
      <c r="BY300" s="78">
        <v>0.23499999999999999</v>
      </c>
      <c r="BZ300" s="78">
        <v>24443</v>
      </c>
      <c r="CA300" s="78">
        <v>4251</v>
      </c>
      <c r="CB300" s="78">
        <v>939</v>
      </c>
      <c r="CC300" s="78">
        <v>826</v>
      </c>
      <c r="CD300" s="78">
        <v>837</v>
      </c>
      <c r="CE300" s="78">
        <v>469</v>
      </c>
      <c r="CF300" s="78">
        <v>406.08993702264502</v>
      </c>
      <c r="CG300" s="78">
        <v>292.33391397561297</v>
      </c>
      <c r="CH300" s="78">
        <v>105.812166688999</v>
      </c>
      <c r="CI300" s="78">
        <v>886.42079999999999</v>
      </c>
      <c r="CJ300" s="78">
        <v>638.11199999999997</v>
      </c>
      <c r="CK300" s="78">
        <v>230.96879999999999</v>
      </c>
      <c r="CL300" s="78">
        <v>143399</v>
      </c>
    </row>
    <row r="301" spans="1:90" x14ac:dyDescent="0.35">
      <c r="A301" s="72">
        <v>826</v>
      </c>
      <c r="B301" s="72" t="s">
        <v>233</v>
      </c>
      <c r="C301" s="72">
        <v>10</v>
      </c>
      <c r="D301" s="78">
        <v>5736400000</v>
      </c>
      <c r="E301" s="78">
        <v>1101100000</v>
      </c>
      <c r="F301" s="78">
        <v>1132250000</v>
      </c>
      <c r="G301" s="78">
        <v>56206</v>
      </c>
      <c r="H301" s="78">
        <v>2</v>
      </c>
      <c r="I301" s="78">
        <f t="shared" si="14"/>
        <v>1132.25</v>
      </c>
      <c r="J301" s="78">
        <v>10358</v>
      </c>
      <c r="K301" s="78">
        <v>12737</v>
      </c>
      <c r="L301" s="78">
        <v>4128</v>
      </c>
      <c r="M301" s="78">
        <v>7432</v>
      </c>
      <c r="N301" s="78">
        <f t="shared" si="15"/>
        <v>4831.8999999999996</v>
      </c>
      <c r="O301" s="78">
        <v>845.33333333333303</v>
      </c>
      <c r="P301" s="78">
        <v>65</v>
      </c>
      <c r="Q301" s="78">
        <v>3539.3333333333298</v>
      </c>
      <c r="R301" s="78">
        <v>8237</v>
      </c>
      <c r="S301" s="78">
        <v>4410</v>
      </c>
      <c r="T301" s="78">
        <v>0</v>
      </c>
      <c r="U301" s="78">
        <v>1863</v>
      </c>
      <c r="V301" s="78">
        <v>25702</v>
      </c>
      <c r="W301" s="78">
        <v>57120</v>
      </c>
      <c r="X301" s="78">
        <v>46280</v>
      </c>
      <c r="Y301" s="78">
        <v>1643.18</v>
      </c>
      <c r="Z301" s="78">
        <v>1844.8</v>
      </c>
      <c r="AA301" s="78">
        <v>0</v>
      </c>
      <c r="AB301" s="399">
        <f>IF((J301-'[2]Basisgegevens aanvullend'!D301*1.1)&lt;=0,0,J301-'[2]Basisgegevens aanvullend'!D301*1.1)</f>
        <v>0</v>
      </c>
      <c r="AC301" s="399">
        <v>0</v>
      </c>
      <c r="AD301" s="78">
        <v>7142</v>
      </c>
      <c r="AE301" s="78">
        <v>7142</v>
      </c>
      <c r="AF301" s="78">
        <v>167</v>
      </c>
      <c r="AG301" s="78">
        <v>0</v>
      </c>
      <c r="AH301" s="78">
        <v>323</v>
      </c>
      <c r="AI301" s="78">
        <v>132</v>
      </c>
      <c r="AJ301" s="78">
        <v>323</v>
      </c>
      <c r="AK301" s="78">
        <v>132</v>
      </c>
      <c r="AL301" s="78">
        <v>455</v>
      </c>
      <c r="AM301" s="78">
        <v>26001</v>
      </c>
      <c r="AN301" s="78">
        <v>26001</v>
      </c>
      <c r="AO301" s="78">
        <v>10</v>
      </c>
      <c r="AP301" s="78">
        <v>0</v>
      </c>
      <c r="AQ301" s="78">
        <v>0</v>
      </c>
      <c r="AR301" s="78">
        <v>0</v>
      </c>
      <c r="AS301" s="78">
        <v>1991</v>
      </c>
      <c r="AT301" s="78">
        <v>1991</v>
      </c>
      <c r="AU301" s="400">
        <v>4.02929E-4</v>
      </c>
      <c r="AV301" s="400">
        <v>8.4261600000000002E-4</v>
      </c>
      <c r="AW301" s="78">
        <v>39989.538</v>
      </c>
      <c r="AX301" s="78">
        <v>0</v>
      </c>
      <c r="AY301" s="78">
        <v>1364</v>
      </c>
      <c r="AZ301" s="78">
        <v>10489.120809960301</v>
      </c>
      <c r="BA301" s="78">
        <v>7</v>
      </c>
      <c r="BB301" s="78">
        <v>7</v>
      </c>
      <c r="BC301" s="78">
        <v>6515</v>
      </c>
      <c r="BD301" s="78">
        <v>1</v>
      </c>
      <c r="BE301" s="78">
        <v>0</v>
      </c>
      <c r="BF301" s="78">
        <v>0</v>
      </c>
      <c r="BG301" s="78">
        <v>0</v>
      </c>
      <c r="BH301" s="78">
        <v>0</v>
      </c>
      <c r="BI301" s="78">
        <v>0</v>
      </c>
      <c r="BJ301" s="78">
        <v>0</v>
      </c>
      <c r="BK301" s="78">
        <v>0</v>
      </c>
      <c r="BL301" s="78">
        <v>0</v>
      </c>
      <c r="BM301" s="78">
        <v>1274.0340000000001</v>
      </c>
      <c r="BN301" s="78">
        <v>198</v>
      </c>
      <c r="BO301" s="78">
        <v>153</v>
      </c>
      <c r="BP301" s="78">
        <v>17704.400000000001</v>
      </c>
      <c r="BQ301" s="78">
        <v>3916.44</v>
      </c>
      <c r="BR301" s="78">
        <v>506.57169555035102</v>
      </c>
      <c r="BS301" s="78">
        <v>705</v>
      </c>
      <c r="BT301" s="78">
        <v>273.33333333333297</v>
      </c>
      <c r="BU301" s="78">
        <v>233.333333333333</v>
      </c>
      <c r="BV301" s="78">
        <f t="shared" si="16"/>
        <v>2693.9999999999968</v>
      </c>
      <c r="BW301" s="78">
        <v>575</v>
      </c>
      <c r="BX301" s="78">
        <v>11134.5349033618</v>
      </c>
      <c r="BY301" s="78">
        <v>1.6839999999999999</v>
      </c>
      <c r="BZ301" s="78">
        <v>43469</v>
      </c>
      <c r="CA301" s="78">
        <v>7350</v>
      </c>
      <c r="CB301" s="78">
        <v>1259</v>
      </c>
      <c r="CC301" s="78">
        <v>1525</v>
      </c>
      <c r="CD301" s="78">
        <v>1374</v>
      </c>
      <c r="CE301" s="78">
        <v>720</v>
      </c>
      <c r="CF301" s="78">
        <v>852.24004461366906</v>
      </c>
      <c r="CG301" s="78">
        <v>537.06361293796397</v>
      </c>
      <c r="CH301" s="78">
        <v>186.950171147264</v>
      </c>
      <c r="CI301" s="78">
        <v>1971.5214000000001</v>
      </c>
      <c r="CJ301" s="78">
        <v>1242.4110000000001</v>
      </c>
      <c r="CK301" s="78">
        <v>432.4794</v>
      </c>
      <c r="CL301" s="78">
        <v>9030</v>
      </c>
    </row>
    <row r="302" spans="1:90" x14ac:dyDescent="0.35">
      <c r="A302" s="72">
        <v>828</v>
      </c>
      <c r="B302" s="72" t="s">
        <v>238</v>
      </c>
      <c r="C302" s="72">
        <v>10</v>
      </c>
      <c r="D302" s="78">
        <v>8401200000</v>
      </c>
      <c r="E302" s="78">
        <v>1262800000</v>
      </c>
      <c r="F302" s="78">
        <v>1353100000</v>
      </c>
      <c r="G302" s="78">
        <v>92526</v>
      </c>
      <c r="H302" s="78">
        <v>6</v>
      </c>
      <c r="I302" s="78">
        <f t="shared" si="14"/>
        <v>1353.1</v>
      </c>
      <c r="J302" s="78">
        <v>17007</v>
      </c>
      <c r="K302" s="78">
        <v>18699</v>
      </c>
      <c r="L302" s="78">
        <v>5999</v>
      </c>
      <c r="M302" s="78">
        <v>12558</v>
      </c>
      <c r="N302" s="78">
        <f t="shared" si="15"/>
        <v>8447.2999999999993</v>
      </c>
      <c r="O302" s="78">
        <v>1549.6666666666699</v>
      </c>
      <c r="P302" s="78">
        <v>361</v>
      </c>
      <c r="Q302" s="78">
        <v>7781.6666666666697</v>
      </c>
      <c r="R302" s="78">
        <v>14163</v>
      </c>
      <c r="S302" s="78">
        <v>6335</v>
      </c>
      <c r="T302" s="78">
        <v>0</v>
      </c>
      <c r="U302" s="78">
        <v>2958</v>
      </c>
      <c r="V302" s="78">
        <v>41974</v>
      </c>
      <c r="W302" s="78">
        <v>96620</v>
      </c>
      <c r="X302" s="78">
        <v>99050</v>
      </c>
      <c r="Y302" s="78">
        <v>3435.38</v>
      </c>
      <c r="Z302" s="78">
        <v>4248</v>
      </c>
      <c r="AA302" s="78">
        <v>0</v>
      </c>
      <c r="AB302" s="399">
        <f>IF((J302-'[2]Basisgegevens aanvullend'!D302*1.1)&lt;=0,0,J302-'[2]Basisgegevens aanvullend'!D302*1.1)</f>
        <v>0</v>
      </c>
      <c r="AC302" s="399">
        <v>0</v>
      </c>
      <c r="AD302" s="78">
        <v>16197</v>
      </c>
      <c r="AE302" s="78">
        <v>16197</v>
      </c>
      <c r="AF302" s="78">
        <v>896</v>
      </c>
      <c r="AG302" s="78">
        <v>0</v>
      </c>
      <c r="AH302" s="78">
        <v>589</v>
      </c>
      <c r="AI302" s="78">
        <v>188</v>
      </c>
      <c r="AJ302" s="78">
        <v>589</v>
      </c>
      <c r="AK302" s="78">
        <v>188</v>
      </c>
      <c r="AL302" s="78">
        <v>777</v>
      </c>
      <c r="AM302" s="78">
        <v>41107</v>
      </c>
      <c r="AN302" s="78">
        <v>41107</v>
      </c>
      <c r="AO302" s="78">
        <v>10</v>
      </c>
      <c r="AP302" s="78">
        <v>0</v>
      </c>
      <c r="AQ302" s="78">
        <v>0</v>
      </c>
      <c r="AR302" s="78">
        <v>1400</v>
      </c>
      <c r="AS302" s="78">
        <v>2590</v>
      </c>
      <c r="AT302" s="78">
        <v>0</v>
      </c>
      <c r="AU302" s="400">
        <v>7.3687700000000004E-4</v>
      </c>
      <c r="AV302" s="400">
        <v>1.0370729999999999E-3</v>
      </c>
      <c r="AW302" s="78">
        <v>57590.906999999999</v>
      </c>
      <c r="AX302" s="78">
        <v>0</v>
      </c>
      <c r="AY302" s="78">
        <v>3495</v>
      </c>
      <c r="AZ302" s="78">
        <v>18951.238869712699</v>
      </c>
      <c r="BA302" s="78">
        <v>23</v>
      </c>
      <c r="BB302" s="78">
        <v>23</v>
      </c>
      <c r="BC302" s="78">
        <v>10288</v>
      </c>
      <c r="BD302" s="78">
        <v>1</v>
      </c>
      <c r="BE302" s="78">
        <v>0</v>
      </c>
      <c r="BF302" s="78">
        <v>0</v>
      </c>
      <c r="BG302" s="78">
        <v>0</v>
      </c>
      <c r="BH302" s="78">
        <v>0</v>
      </c>
      <c r="BI302" s="78">
        <v>0</v>
      </c>
      <c r="BJ302" s="78">
        <v>0</v>
      </c>
      <c r="BK302" s="78">
        <v>0</v>
      </c>
      <c r="BL302" s="78">
        <v>0</v>
      </c>
      <c r="BM302" s="78">
        <v>2091.8609999999999</v>
      </c>
      <c r="BN302" s="78">
        <v>368</v>
      </c>
      <c r="BO302" s="78">
        <v>278</v>
      </c>
      <c r="BP302" s="78">
        <v>27593.95</v>
      </c>
      <c r="BQ302" s="78">
        <v>6186.24</v>
      </c>
      <c r="BR302" s="78">
        <v>731.32918061308999</v>
      </c>
      <c r="BS302" s="78">
        <v>1116</v>
      </c>
      <c r="BT302" s="78">
        <v>443.33333333333297</v>
      </c>
      <c r="BU302" s="78">
        <v>389.66666666666703</v>
      </c>
      <c r="BV302" s="78">
        <f t="shared" si="16"/>
        <v>6232</v>
      </c>
      <c r="BW302" s="78">
        <v>1377</v>
      </c>
      <c r="BX302" s="78">
        <v>17101.128142305399</v>
      </c>
      <c r="BY302" s="78">
        <v>3.327</v>
      </c>
      <c r="BZ302" s="78">
        <v>73827</v>
      </c>
      <c r="CA302" s="78">
        <v>10738</v>
      </c>
      <c r="CB302" s="78">
        <v>1962</v>
      </c>
      <c r="CC302" s="78">
        <v>2255</v>
      </c>
      <c r="CD302" s="78">
        <v>2032</v>
      </c>
      <c r="CE302" s="78">
        <v>1049</v>
      </c>
      <c r="CF302" s="78">
        <v>1381.34017563919</v>
      </c>
      <c r="CG302" s="78">
        <v>852.80596978616802</v>
      </c>
      <c r="CH302" s="78">
        <v>298.99582796117397</v>
      </c>
      <c r="CI302" s="78">
        <v>3127.0744</v>
      </c>
      <c r="CJ302" s="78">
        <v>1930.58</v>
      </c>
      <c r="CK302" s="78">
        <v>676.86599999999999</v>
      </c>
      <c r="CL302" s="78">
        <v>21223</v>
      </c>
    </row>
    <row r="303" spans="1:90" x14ac:dyDescent="0.35">
      <c r="A303" s="72">
        <v>1667</v>
      </c>
      <c r="B303" s="72" t="s">
        <v>253</v>
      </c>
      <c r="C303" s="72">
        <v>10</v>
      </c>
      <c r="D303" s="78">
        <v>1356800000</v>
      </c>
      <c r="E303" s="78">
        <v>171150000</v>
      </c>
      <c r="F303" s="78">
        <v>206150000</v>
      </c>
      <c r="G303" s="78">
        <v>13127</v>
      </c>
      <c r="H303" s="78">
        <v>3</v>
      </c>
      <c r="I303" s="78">
        <f t="shared" si="14"/>
        <v>206.15</v>
      </c>
      <c r="J303" s="78">
        <v>2631</v>
      </c>
      <c r="K303" s="78">
        <v>2752</v>
      </c>
      <c r="L303" s="78">
        <v>764</v>
      </c>
      <c r="M303" s="78">
        <v>1376</v>
      </c>
      <c r="N303" s="78">
        <f t="shared" si="15"/>
        <v>798.8</v>
      </c>
      <c r="O303" s="78">
        <v>77.3333333333333</v>
      </c>
      <c r="P303" s="78">
        <v>28</v>
      </c>
      <c r="Q303" s="78">
        <v>651.33333333333303</v>
      </c>
      <c r="R303" s="78">
        <v>1570</v>
      </c>
      <c r="S303" s="78">
        <v>125</v>
      </c>
      <c r="T303" s="78">
        <v>0</v>
      </c>
      <c r="U303" s="78">
        <v>294</v>
      </c>
      <c r="V303" s="78">
        <v>5588</v>
      </c>
      <c r="W303" s="78">
        <v>11730</v>
      </c>
      <c r="X303" s="78">
        <v>2540</v>
      </c>
      <c r="Y303" s="78">
        <v>0</v>
      </c>
      <c r="Z303" s="78">
        <v>0</v>
      </c>
      <c r="AA303" s="78">
        <v>0</v>
      </c>
      <c r="AB303" s="399">
        <f>IF((J303-'[2]Basisgegevens aanvullend'!D303*1.1)&lt;=0,0,J303-'[2]Basisgegevens aanvullend'!D303*1.1)</f>
        <v>0</v>
      </c>
      <c r="AC303" s="399">
        <v>0</v>
      </c>
      <c r="AD303" s="78">
        <v>7779</v>
      </c>
      <c r="AE303" s="78">
        <v>7779</v>
      </c>
      <c r="AF303" s="78">
        <v>87</v>
      </c>
      <c r="AG303" s="78">
        <v>0</v>
      </c>
      <c r="AH303" s="78">
        <v>86</v>
      </c>
      <c r="AI303" s="78">
        <v>98</v>
      </c>
      <c r="AJ303" s="78">
        <v>86</v>
      </c>
      <c r="AK303" s="78">
        <v>98</v>
      </c>
      <c r="AL303" s="78">
        <v>183</v>
      </c>
      <c r="AM303" s="78">
        <v>5772</v>
      </c>
      <c r="AN303" s="78">
        <v>5772</v>
      </c>
      <c r="AO303" s="78">
        <v>0</v>
      </c>
      <c r="AP303" s="78">
        <v>0</v>
      </c>
      <c r="AQ303" s="78">
        <v>0</v>
      </c>
      <c r="AR303" s="78">
        <v>0</v>
      </c>
      <c r="AS303" s="78">
        <v>0</v>
      </c>
      <c r="AT303" s="78">
        <v>0</v>
      </c>
      <c r="AU303" s="400">
        <v>8.0006999999999995E-5</v>
      </c>
      <c r="AV303" s="400">
        <v>4.1189999999999997E-5</v>
      </c>
      <c r="AW303" s="78">
        <v>3295.8119999999999</v>
      </c>
      <c r="AX303" s="78">
        <v>0</v>
      </c>
      <c r="AY303" s="78">
        <v>396</v>
      </c>
      <c r="AZ303" s="78">
        <v>660.85583524027504</v>
      </c>
      <c r="BA303" s="78">
        <v>8</v>
      </c>
      <c r="BB303" s="78">
        <v>8</v>
      </c>
      <c r="BC303" s="78">
        <v>1680</v>
      </c>
      <c r="BD303" s="78">
        <v>1</v>
      </c>
      <c r="BE303" s="78">
        <v>0</v>
      </c>
      <c r="BF303" s="78">
        <v>0</v>
      </c>
      <c r="BG303" s="78">
        <v>0</v>
      </c>
      <c r="BH303" s="78">
        <v>0</v>
      </c>
      <c r="BI303" s="78">
        <v>0</v>
      </c>
      <c r="BJ303" s="78">
        <v>0</v>
      </c>
      <c r="BK303" s="78">
        <v>0</v>
      </c>
      <c r="BL303" s="78">
        <v>0</v>
      </c>
      <c r="BM303" s="78">
        <v>231.52799999999999</v>
      </c>
      <c r="BN303" s="78">
        <v>33</v>
      </c>
      <c r="BO303" s="78">
        <v>29</v>
      </c>
      <c r="BP303" s="78">
        <v>3857</v>
      </c>
      <c r="BQ303" s="78">
        <v>976.25</v>
      </c>
      <c r="BR303" s="78">
        <v>98.202140578265201</v>
      </c>
      <c r="BS303" s="78">
        <v>120</v>
      </c>
      <c r="BT303" s="78">
        <v>23</v>
      </c>
      <c r="BU303" s="78">
        <v>17.3333333333333</v>
      </c>
      <c r="BV303" s="78">
        <f t="shared" si="16"/>
        <v>573.99999999999977</v>
      </c>
      <c r="BW303" s="78">
        <v>115</v>
      </c>
      <c r="BX303" s="78">
        <v>2403.3062172056102</v>
      </c>
      <c r="BY303" s="78">
        <v>6.4000000000000001E-2</v>
      </c>
      <c r="BZ303" s="78">
        <v>10375</v>
      </c>
      <c r="CA303" s="78">
        <v>1740</v>
      </c>
      <c r="CB303" s="78">
        <v>248</v>
      </c>
      <c r="CC303" s="78">
        <v>264</v>
      </c>
      <c r="CD303" s="78">
        <v>261</v>
      </c>
      <c r="CE303" s="78">
        <v>137</v>
      </c>
      <c r="CF303" s="78">
        <v>146.142203742204</v>
      </c>
      <c r="CG303" s="78">
        <v>74.870200970200997</v>
      </c>
      <c r="CH303" s="78">
        <v>26.2945252945253</v>
      </c>
      <c r="CI303" s="78">
        <v>453.9744</v>
      </c>
      <c r="CJ303" s="78">
        <v>232.57589999999999</v>
      </c>
      <c r="CK303" s="78">
        <v>81.680999999999997</v>
      </c>
      <c r="CL303" s="78">
        <v>0</v>
      </c>
    </row>
    <row r="304" spans="1:90" x14ac:dyDescent="0.35">
      <c r="A304" s="72">
        <v>1674</v>
      </c>
      <c r="B304" s="72" t="s">
        <v>261</v>
      </c>
      <c r="C304" s="72">
        <v>10</v>
      </c>
      <c r="D304" s="78">
        <v>6668400000</v>
      </c>
      <c r="E304" s="78">
        <v>1320900000</v>
      </c>
      <c r="F304" s="78">
        <v>1394750000</v>
      </c>
      <c r="G304" s="78">
        <v>77200</v>
      </c>
      <c r="H304" s="78">
        <v>4</v>
      </c>
      <c r="I304" s="78">
        <f t="shared" si="14"/>
        <v>1394.75</v>
      </c>
      <c r="J304" s="78">
        <v>13832</v>
      </c>
      <c r="K304" s="78">
        <v>16887</v>
      </c>
      <c r="L304" s="78">
        <v>5589</v>
      </c>
      <c r="M304" s="78">
        <v>11415</v>
      </c>
      <c r="N304" s="78">
        <f t="shared" si="15"/>
        <v>7825.7</v>
      </c>
      <c r="O304" s="78">
        <v>1742.6666666666699</v>
      </c>
      <c r="P304" s="78">
        <v>86</v>
      </c>
      <c r="Q304" s="78">
        <v>5883.6666666666697</v>
      </c>
      <c r="R304" s="78">
        <v>13041</v>
      </c>
      <c r="S304" s="78">
        <v>7615</v>
      </c>
      <c r="T304" s="78">
        <v>0</v>
      </c>
      <c r="U304" s="78">
        <v>2615</v>
      </c>
      <c r="V304" s="78">
        <v>36710</v>
      </c>
      <c r="W304" s="78">
        <v>83330</v>
      </c>
      <c r="X304" s="78">
        <v>85370</v>
      </c>
      <c r="Y304" s="78">
        <v>2413.2600000000002</v>
      </c>
      <c r="Z304" s="78">
        <v>3169.6</v>
      </c>
      <c r="AA304" s="78">
        <v>0</v>
      </c>
      <c r="AB304" s="399">
        <f>IF((J304-'[2]Basisgegevens aanvullend'!D304*1.1)&lt;=0,0,J304-'[2]Basisgegevens aanvullend'!D304*1.1)</f>
        <v>0</v>
      </c>
      <c r="AC304" s="399">
        <v>0</v>
      </c>
      <c r="AD304" s="78">
        <v>10650</v>
      </c>
      <c r="AE304" s="78">
        <v>10650</v>
      </c>
      <c r="AF304" s="78">
        <v>67</v>
      </c>
      <c r="AG304" s="78">
        <v>0</v>
      </c>
      <c r="AH304" s="78">
        <v>466</v>
      </c>
      <c r="AI304" s="78">
        <v>121</v>
      </c>
      <c r="AJ304" s="78">
        <v>466</v>
      </c>
      <c r="AK304" s="78">
        <v>121</v>
      </c>
      <c r="AL304" s="78">
        <v>588</v>
      </c>
      <c r="AM304" s="78">
        <v>35893</v>
      </c>
      <c r="AN304" s="78">
        <v>35893</v>
      </c>
      <c r="AO304" s="78">
        <v>10</v>
      </c>
      <c r="AP304" s="78">
        <v>0</v>
      </c>
      <c r="AQ304" s="78">
        <v>0</v>
      </c>
      <c r="AR304" s="78">
        <v>0</v>
      </c>
      <c r="AS304" s="78">
        <v>3464</v>
      </c>
      <c r="AT304" s="78">
        <v>3464</v>
      </c>
      <c r="AU304" s="400">
        <v>1.117552E-3</v>
      </c>
      <c r="AV304" s="400">
        <v>1.6063830000000001E-3</v>
      </c>
      <c r="AW304" s="78">
        <v>62633.285000000003</v>
      </c>
      <c r="AX304" s="78">
        <v>0</v>
      </c>
      <c r="AY304" s="78">
        <v>1313</v>
      </c>
      <c r="AZ304" s="78">
        <v>9458.2065876644592</v>
      </c>
      <c r="BA304" s="78">
        <v>9</v>
      </c>
      <c r="BB304" s="78">
        <v>9</v>
      </c>
      <c r="BC304" s="78">
        <v>8056</v>
      </c>
      <c r="BD304" s="78">
        <v>1</v>
      </c>
      <c r="BE304" s="78">
        <v>0</v>
      </c>
      <c r="BF304" s="78">
        <v>0</v>
      </c>
      <c r="BG304" s="78">
        <v>0</v>
      </c>
      <c r="BH304" s="78">
        <v>0</v>
      </c>
      <c r="BI304" s="78">
        <v>0</v>
      </c>
      <c r="BJ304" s="78">
        <v>0</v>
      </c>
      <c r="BK304" s="78">
        <v>0</v>
      </c>
      <c r="BL304" s="78">
        <v>0</v>
      </c>
      <c r="BM304" s="78">
        <v>2088.6320000000001</v>
      </c>
      <c r="BN304" s="78">
        <v>224</v>
      </c>
      <c r="BO304" s="78">
        <v>313</v>
      </c>
      <c r="BP304" s="78">
        <v>22734.080000000002</v>
      </c>
      <c r="BQ304" s="78">
        <v>4847.16</v>
      </c>
      <c r="BR304" s="78">
        <v>565.40025548902202</v>
      </c>
      <c r="BS304" s="78">
        <v>1035</v>
      </c>
      <c r="BT304" s="78">
        <v>533.33333333333303</v>
      </c>
      <c r="BU304" s="78">
        <v>451</v>
      </c>
      <c r="BV304" s="78">
        <f t="shared" si="16"/>
        <v>4141</v>
      </c>
      <c r="BW304" s="78">
        <v>1037</v>
      </c>
      <c r="BX304" s="78">
        <v>14966.992479061801</v>
      </c>
      <c r="BY304" s="78">
        <v>4.8289999999999997</v>
      </c>
      <c r="BZ304" s="78">
        <v>60313</v>
      </c>
      <c r="CA304" s="78">
        <v>9492</v>
      </c>
      <c r="CB304" s="78">
        <v>1806</v>
      </c>
      <c r="CC304" s="78">
        <v>2076</v>
      </c>
      <c r="CD304" s="78">
        <v>1894</v>
      </c>
      <c r="CE304" s="78">
        <v>883</v>
      </c>
      <c r="CF304" s="78">
        <v>1280.26385089015</v>
      </c>
      <c r="CG304" s="78">
        <v>842.89850945866897</v>
      </c>
      <c r="CH304" s="78">
        <v>267.08501657704801</v>
      </c>
      <c r="CI304" s="78">
        <v>2803.88</v>
      </c>
      <c r="CJ304" s="78">
        <v>1846.0150000000001</v>
      </c>
      <c r="CK304" s="78">
        <v>584.9375</v>
      </c>
      <c r="CL304" s="78">
        <v>87296</v>
      </c>
    </row>
    <row r="305" spans="1:90" x14ac:dyDescent="0.35">
      <c r="A305" s="72">
        <v>840</v>
      </c>
      <c r="B305" s="72" t="s">
        <v>264</v>
      </c>
      <c r="C305" s="72">
        <v>10</v>
      </c>
      <c r="D305" s="78">
        <v>2186000000</v>
      </c>
      <c r="E305" s="78">
        <v>277900000</v>
      </c>
      <c r="F305" s="78">
        <v>315700000</v>
      </c>
      <c r="G305" s="78">
        <v>23080</v>
      </c>
      <c r="H305" s="78">
        <v>2</v>
      </c>
      <c r="I305" s="78">
        <f t="shared" si="14"/>
        <v>315.7</v>
      </c>
      <c r="J305" s="78">
        <v>3642</v>
      </c>
      <c r="K305" s="78">
        <v>5239</v>
      </c>
      <c r="L305" s="78">
        <v>1694</v>
      </c>
      <c r="M305" s="78">
        <v>2955</v>
      </c>
      <c r="N305" s="78">
        <f t="shared" si="15"/>
        <v>1945</v>
      </c>
      <c r="O305" s="78">
        <v>293.33333333333297</v>
      </c>
      <c r="P305" s="78">
        <v>18</v>
      </c>
      <c r="Q305" s="78">
        <v>1988.3333333333301</v>
      </c>
      <c r="R305" s="78">
        <v>2822</v>
      </c>
      <c r="S305" s="78">
        <v>430</v>
      </c>
      <c r="T305" s="78">
        <v>0</v>
      </c>
      <c r="U305" s="78">
        <v>581</v>
      </c>
      <c r="V305" s="78">
        <v>10221</v>
      </c>
      <c r="W305" s="78">
        <v>21310</v>
      </c>
      <c r="X305" s="78">
        <v>9300</v>
      </c>
      <c r="Y305" s="78">
        <v>0</v>
      </c>
      <c r="Z305" s="78">
        <v>304.8</v>
      </c>
      <c r="AA305" s="78">
        <v>0</v>
      </c>
      <c r="AB305" s="399">
        <f>IF((J305-'[2]Basisgegevens aanvullend'!D305*1.1)&lt;=0,0,J305-'[2]Basisgegevens aanvullend'!D305*1.1)</f>
        <v>0</v>
      </c>
      <c r="AC305" s="399">
        <v>0</v>
      </c>
      <c r="AD305" s="78">
        <v>6438</v>
      </c>
      <c r="AE305" s="78">
        <v>6438</v>
      </c>
      <c r="AF305" s="78">
        <v>9</v>
      </c>
      <c r="AG305" s="78">
        <v>0</v>
      </c>
      <c r="AH305" s="78">
        <v>146</v>
      </c>
      <c r="AI305" s="78">
        <v>64</v>
      </c>
      <c r="AJ305" s="78">
        <v>146</v>
      </c>
      <c r="AK305" s="78">
        <v>64</v>
      </c>
      <c r="AL305" s="78">
        <v>210</v>
      </c>
      <c r="AM305" s="78">
        <v>10100</v>
      </c>
      <c r="AN305" s="78">
        <v>10100</v>
      </c>
      <c r="AO305" s="78">
        <v>0</v>
      </c>
      <c r="AP305" s="78">
        <v>0</v>
      </c>
      <c r="AQ305" s="78">
        <v>0</v>
      </c>
      <c r="AR305" s="78">
        <v>0</v>
      </c>
      <c r="AS305" s="78">
        <v>637</v>
      </c>
      <c r="AT305" s="78">
        <v>0</v>
      </c>
      <c r="AU305" s="400">
        <v>1.4663499999999999E-4</v>
      </c>
      <c r="AV305" s="400">
        <v>1.07153E-4</v>
      </c>
      <c r="AW305" s="78">
        <v>6837.7</v>
      </c>
      <c r="AX305" s="78">
        <v>0</v>
      </c>
      <c r="AY305" s="78">
        <v>237</v>
      </c>
      <c r="AZ305" s="78">
        <v>848.45044206607702</v>
      </c>
      <c r="BA305" s="78">
        <v>6</v>
      </c>
      <c r="BB305" s="78">
        <v>6</v>
      </c>
      <c r="BC305" s="78">
        <v>2764</v>
      </c>
      <c r="BD305" s="78">
        <v>1</v>
      </c>
      <c r="BE305" s="78">
        <v>0</v>
      </c>
      <c r="BF305" s="78">
        <v>0</v>
      </c>
      <c r="BG305" s="78">
        <v>0</v>
      </c>
      <c r="BH305" s="78">
        <v>0</v>
      </c>
      <c r="BI305" s="78">
        <v>0</v>
      </c>
      <c r="BJ305" s="78">
        <v>0</v>
      </c>
      <c r="BK305" s="78">
        <v>0</v>
      </c>
      <c r="BL305" s="78">
        <v>0</v>
      </c>
      <c r="BM305" s="78">
        <v>349.63200000000001</v>
      </c>
      <c r="BN305" s="78">
        <v>116</v>
      </c>
      <c r="BO305" s="78">
        <v>59</v>
      </c>
      <c r="BP305" s="78">
        <v>6508.45</v>
      </c>
      <c r="BQ305" s="78">
        <v>1417</v>
      </c>
      <c r="BR305" s="78">
        <v>113.312366197183</v>
      </c>
      <c r="BS305" s="78">
        <v>184</v>
      </c>
      <c r="BT305" s="78">
        <v>71.6666666666667</v>
      </c>
      <c r="BU305" s="78">
        <v>66.3333333333333</v>
      </c>
      <c r="BV305" s="78">
        <f t="shared" si="16"/>
        <v>1694.999999999997</v>
      </c>
      <c r="BW305" s="78">
        <v>230</v>
      </c>
      <c r="BX305" s="78">
        <v>5995.1102019407299</v>
      </c>
      <c r="BY305" s="78">
        <v>0.67400000000000004</v>
      </c>
      <c r="BZ305" s="78">
        <v>17841</v>
      </c>
      <c r="CA305" s="78">
        <v>3105</v>
      </c>
      <c r="CB305" s="78">
        <v>440</v>
      </c>
      <c r="CC305" s="78">
        <v>589</v>
      </c>
      <c r="CD305" s="78">
        <v>517</v>
      </c>
      <c r="CE305" s="78">
        <v>221</v>
      </c>
      <c r="CF305" s="78">
        <v>359.15099009901002</v>
      </c>
      <c r="CG305" s="78">
        <v>215.10544554455399</v>
      </c>
      <c r="CH305" s="78">
        <v>57.001980198019801</v>
      </c>
      <c r="CI305" s="78">
        <v>890.53750000000002</v>
      </c>
      <c r="CJ305" s="78">
        <v>533.36749999999995</v>
      </c>
      <c r="CK305" s="78">
        <v>141.34</v>
      </c>
      <c r="CL305" s="78">
        <v>7938</v>
      </c>
    </row>
    <row r="306" spans="1:90" x14ac:dyDescent="0.35">
      <c r="A306" s="72">
        <v>796</v>
      </c>
      <c r="B306" s="72" t="s">
        <v>271</v>
      </c>
      <c r="C306" s="72">
        <v>10</v>
      </c>
      <c r="D306" s="78">
        <v>18351600000</v>
      </c>
      <c r="E306" s="78">
        <v>3228750000</v>
      </c>
      <c r="F306" s="78">
        <v>3333050000</v>
      </c>
      <c r="G306" s="78">
        <v>155490</v>
      </c>
      <c r="H306" s="78">
        <v>5</v>
      </c>
      <c r="I306" s="78">
        <f t="shared" si="14"/>
        <v>3333.05</v>
      </c>
      <c r="J306" s="78">
        <v>28336</v>
      </c>
      <c r="K306" s="78">
        <v>28816</v>
      </c>
      <c r="L306" s="78">
        <v>8806</v>
      </c>
      <c r="M306" s="78">
        <v>21931</v>
      </c>
      <c r="N306" s="78">
        <f t="shared" si="15"/>
        <v>14473.599999999999</v>
      </c>
      <c r="O306" s="78">
        <v>3309</v>
      </c>
      <c r="P306" s="78">
        <v>511</v>
      </c>
      <c r="Q306" s="78">
        <v>12188</v>
      </c>
      <c r="R306" s="78">
        <v>29623</v>
      </c>
      <c r="S306" s="78">
        <v>11675</v>
      </c>
      <c r="T306" s="78">
        <v>0</v>
      </c>
      <c r="U306" s="78">
        <v>5316</v>
      </c>
      <c r="V306" s="78">
        <v>76011</v>
      </c>
      <c r="W306" s="78">
        <v>178370</v>
      </c>
      <c r="X306" s="78">
        <v>261800</v>
      </c>
      <c r="Y306" s="78">
        <v>4934.18</v>
      </c>
      <c r="Z306" s="78">
        <v>6538.4</v>
      </c>
      <c r="AA306" s="78">
        <v>0</v>
      </c>
      <c r="AB306" s="399">
        <f>IF((J306-'[2]Basisgegevens aanvullend'!D306*1.1)&lt;=0,0,J306-'[2]Basisgegevens aanvullend'!D306*1.1)</f>
        <v>0</v>
      </c>
      <c r="AC306" s="399">
        <v>0</v>
      </c>
      <c r="AD306" s="78">
        <v>10942</v>
      </c>
      <c r="AE306" s="78">
        <v>10942</v>
      </c>
      <c r="AF306" s="78">
        <v>840</v>
      </c>
      <c r="AG306" s="78">
        <v>0</v>
      </c>
      <c r="AH306" s="78">
        <v>807</v>
      </c>
      <c r="AI306" s="78">
        <v>82</v>
      </c>
      <c r="AJ306" s="78">
        <v>807</v>
      </c>
      <c r="AK306" s="78">
        <v>82</v>
      </c>
      <c r="AL306" s="78">
        <v>889</v>
      </c>
      <c r="AM306" s="78">
        <v>74574</v>
      </c>
      <c r="AN306" s="78">
        <v>74574</v>
      </c>
      <c r="AO306" s="78">
        <v>0</v>
      </c>
      <c r="AP306" s="78">
        <v>54</v>
      </c>
      <c r="AQ306" s="78">
        <v>0</v>
      </c>
      <c r="AR306" s="78">
        <v>7350</v>
      </c>
      <c r="AS306" s="78">
        <v>8390</v>
      </c>
      <c r="AT306" s="78">
        <v>8390</v>
      </c>
      <c r="AU306" s="400">
        <v>3.4843320000000001E-3</v>
      </c>
      <c r="AV306" s="400">
        <v>5.3910310000000001E-3</v>
      </c>
      <c r="AW306" s="78">
        <v>148551.408</v>
      </c>
      <c r="AX306" s="78">
        <v>0</v>
      </c>
      <c r="AY306" s="78">
        <v>5152</v>
      </c>
      <c r="AZ306" s="78">
        <v>67992.232218638601</v>
      </c>
      <c r="BA306" s="78">
        <v>8</v>
      </c>
      <c r="BB306" s="78">
        <v>8</v>
      </c>
      <c r="BC306" s="78">
        <v>22064</v>
      </c>
      <c r="BD306" s="78">
        <v>1</v>
      </c>
      <c r="BE306" s="78">
        <v>0</v>
      </c>
      <c r="BF306" s="78">
        <v>0</v>
      </c>
      <c r="BG306" s="78">
        <v>0</v>
      </c>
      <c r="BH306" s="78">
        <v>0</v>
      </c>
      <c r="BI306" s="78">
        <v>0</v>
      </c>
      <c r="BJ306" s="78">
        <v>0</v>
      </c>
      <c r="BK306" s="78">
        <v>0</v>
      </c>
      <c r="BL306" s="78">
        <v>0</v>
      </c>
      <c r="BM306" s="78">
        <v>3598.672</v>
      </c>
      <c r="BN306" s="78">
        <v>515</v>
      </c>
      <c r="BO306" s="78">
        <v>691</v>
      </c>
      <c r="BP306" s="78">
        <v>50923.38</v>
      </c>
      <c r="BQ306" s="78">
        <v>11097.27</v>
      </c>
      <c r="BR306" s="78">
        <v>1369.3308471953601</v>
      </c>
      <c r="BS306" s="78">
        <v>1980</v>
      </c>
      <c r="BT306" s="78">
        <v>786.33333333333303</v>
      </c>
      <c r="BU306" s="78">
        <v>780.66666666666697</v>
      </c>
      <c r="BV306" s="78">
        <f t="shared" si="16"/>
        <v>8879</v>
      </c>
      <c r="BW306" s="78">
        <v>2280</v>
      </c>
      <c r="BX306" s="78">
        <v>24383.112759249801</v>
      </c>
      <c r="BY306" s="78">
        <v>7.3159999999999998</v>
      </c>
      <c r="BZ306" s="78">
        <v>126674</v>
      </c>
      <c r="CA306" s="78">
        <v>17022</v>
      </c>
      <c r="CB306" s="78">
        <v>2988</v>
      </c>
      <c r="CC306" s="78">
        <v>4613</v>
      </c>
      <c r="CD306" s="78">
        <v>3219</v>
      </c>
      <c r="CE306" s="78">
        <v>1580</v>
      </c>
      <c r="CF306" s="78">
        <v>2187.7117923136698</v>
      </c>
      <c r="CG306" s="78">
        <v>1202.73686807735</v>
      </c>
      <c r="CH306" s="78">
        <v>409.12850054978901</v>
      </c>
      <c r="CI306" s="78">
        <v>4719.5864000000001</v>
      </c>
      <c r="CJ306" s="78">
        <v>2594.6839</v>
      </c>
      <c r="CK306" s="78">
        <v>882.61959999999999</v>
      </c>
      <c r="CL306" s="78">
        <v>218253</v>
      </c>
    </row>
    <row r="307" spans="1:90" x14ac:dyDescent="0.35">
      <c r="A307" s="72">
        <v>1702</v>
      </c>
      <c r="B307" s="72" t="s">
        <v>273</v>
      </c>
      <c r="C307" s="72">
        <v>10</v>
      </c>
      <c r="D307" s="78">
        <v>1096800000</v>
      </c>
      <c r="E307" s="78">
        <v>198800000</v>
      </c>
      <c r="F307" s="78">
        <v>242200000</v>
      </c>
      <c r="G307" s="78">
        <v>11691</v>
      </c>
      <c r="H307" s="78">
        <v>2</v>
      </c>
      <c r="I307" s="78">
        <f t="shared" si="14"/>
        <v>242.2</v>
      </c>
      <c r="J307" s="78">
        <v>2092</v>
      </c>
      <c r="K307" s="78">
        <v>2596</v>
      </c>
      <c r="L307" s="78">
        <v>775</v>
      </c>
      <c r="M307" s="78">
        <v>1232</v>
      </c>
      <c r="N307" s="78">
        <f t="shared" si="15"/>
        <v>725.5</v>
      </c>
      <c r="O307" s="78">
        <v>72</v>
      </c>
      <c r="P307" s="78">
        <v>25</v>
      </c>
      <c r="Q307" s="78">
        <v>735</v>
      </c>
      <c r="R307" s="78">
        <v>1254</v>
      </c>
      <c r="S307" s="78">
        <v>125</v>
      </c>
      <c r="T307" s="78">
        <v>0</v>
      </c>
      <c r="U307" s="78">
        <v>215</v>
      </c>
      <c r="V307" s="78">
        <v>5021</v>
      </c>
      <c r="W307" s="78">
        <v>9270</v>
      </c>
      <c r="X307" s="78">
        <v>1110</v>
      </c>
      <c r="Y307" s="78">
        <v>321.77999999999997</v>
      </c>
      <c r="Z307" s="78">
        <v>689.6</v>
      </c>
      <c r="AA307" s="78">
        <v>0</v>
      </c>
      <c r="AB307" s="399">
        <f>IF((J307-'[2]Basisgegevens aanvullend'!D307*1.1)&lt;=0,0,J307-'[2]Basisgegevens aanvullend'!D307*1.1)</f>
        <v>0</v>
      </c>
      <c r="AC307" s="399">
        <v>0</v>
      </c>
      <c r="AD307" s="78">
        <v>9926</v>
      </c>
      <c r="AE307" s="78">
        <v>9926</v>
      </c>
      <c r="AF307" s="78">
        <v>50</v>
      </c>
      <c r="AG307" s="78">
        <v>0</v>
      </c>
      <c r="AH307" s="78">
        <v>68</v>
      </c>
      <c r="AI307" s="78">
        <v>160</v>
      </c>
      <c r="AJ307" s="78">
        <v>68</v>
      </c>
      <c r="AK307" s="78">
        <v>160</v>
      </c>
      <c r="AL307" s="78">
        <v>228</v>
      </c>
      <c r="AM307" s="78">
        <v>5065</v>
      </c>
      <c r="AN307" s="78">
        <v>5065</v>
      </c>
      <c r="AO307" s="78">
        <v>0</v>
      </c>
      <c r="AP307" s="78">
        <v>0</v>
      </c>
      <c r="AQ307" s="78">
        <v>0</v>
      </c>
      <c r="AR307" s="78">
        <v>0</v>
      </c>
      <c r="AS307" s="78">
        <v>0</v>
      </c>
      <c r="AT307" s="78">
        <v>0</v>
      </c>
      <c r="AU307" s="400">
        <v>1.09211E-4</v>
      </c>
      <c r="AV307" s="400">
        <v>4.1091999999999999E-5</v>
      </c>
      <c r="AW307" s="78">
        <v>1387.81</v>
      </c>
      <c r="AX307" s="78">
        <v>0</v>
      </c>
      <c r="AY307" s="78">
        <v>722</v>
      </c>
      <c r="AZ307" s="78">
        <v>846.12089013632703</v>
      </c>
      <c r="BA307" s="78">
        <v>7</v>
      </c>
      <c r="BB307" s="78">
        <v>7</v>
      </c>
      <c r="BC307" s="78">
        <v>1560</v>
      </c>
      <c r="BD307" s="78">
        <v>1</v>
      </c>
      <c r="BE307" s="78">
        <v>0</v>
      </c>
      <c r="BF307" s="78">
        <v>0</v>
      </c>
      <c r="BG307" s="78">
        <v>0</v>
      </c>
      <c r="BH307" s="78">
        <v>0</v>
      </c>
      <c r="BI307" s="78">
        <v>0</v>
      </c>
      <c r="BJ307" s="78">
        <v>0</v>
      </c>
      <c r="BK307" s="78">
        <v>0</v>
      </c>
      <c r="BL307" s="78">
        <v>0</v>
      </c>
      <c r="BM307" s="78">
        <v>146.44</v>
      </c>
      <c r="BN307" s="78">
        <v>9</v>
      </c>
      <c r="BO307" s="78">
        <v>16</v>
      </c>
      <c r="BP307" s="78">
        <v>3244.38</v>
      </c>
      <c r="BQ307" s="78">
        <v>721.38</v>
      </c>
      <c r="BR307" s="78">
        <v>50.5068571428571</v>
      </c>
      <c r="BS307" s="78">
        <v>90</v>
      </c>
      <c r="BT307" s="78">
        <v>22.6666666666667</v>
      </c>
      <c r="BU307" s="78">
        <v>13.6666666666667</v>
      </c>
      <c r="BV307" s="78">
        <f t="shared" si="16"/>
        <v>663</v>
      </c>
      <c r="BW307" s="78">
        <v>263</v>
      </c>
      <c r="BX307" s="78">
        <v>1900.7096296296299</v>
      </c>
      <c r="BY307" s="78">
        <v>5.8000000000000003E-2</v>
      </c>
      <c r="BZ307" s="78">
        <v>9095</v>
      </c>
      <c r="CA307" s="78">
        <v>1460</v>
      </c>
      <c r="CB307" s="78">
        <v>361</v>
      </c>
      <c r="CC307" s="78">
        <v>211</v>
      </c>
      <c r="CD307" s="78">
        <v>238</v>
      </c>
      <c r="CE307" s="78">
        <v>166</v>
      </c>
      <c r="CF307" s="78">
        <v>125.189930898322</v>
      </c>
      <c r="CG307" s="78">
        <v>71.189239881540004</v>
      </c>
      <c r="CH307" s="78">
        <v>35.8094768015795</v>
      </c>
      <c r="CI307" s="78">
        <v>362.71</v>
      </c>
      <c r="CJ307" s="78">
        <v>206.255</v>
      </c>
      <c r="CK307" s="78">
        <v>103.75</v>
      </c>
      <c r="CL307" s="78">
        <v>46720</v>
      </c>
    </row>
    <row r="308" spans="1:90" x14ac:dyDescent="0.35">
      <c r="A308" s="72">
        <v>845</v>
      </c>
      <c r="B308" s="72" t="s">
        <v>274</v>
      </c>
      <c r="C308" s="72">
        <v>10</v>
      </c>
      <c r="D308" s="78">
        <v>3422800000</v>
      </c>
      <c r="E308" s="78">
        <v>235200000</v>
      </c>
      <c r="F308" s="78">
        <v>260050000</v>
      </c>
      <c r="G308" s="78">
        <v>29498</v>
      </c>
      <c r="H308" s="78">
        <v>4</v>
      </c>
      <c r="I308" s="78">
        <f t="shared" si="14"/>
        <v>260.05</v>
      </c>
      <c r="J308" s="78">
        <v>5903</v>
      </c>
      <c r="K308" s="78">
        <v>6478</v>
      </c>
      <c r="L308" s="78">
        <v>2175</v>
      </c>
      <c r="M308" s="78">
        <v>2931</v>
      </c>
      <c r="N308" s="78">
        <f t="shared" si="15"/>
        <v>1690.8999999999999</v>
      </c>
      <c r="O308" s="78">
        <v>227</v>
      </c>
      <c r="P308" s="78">
        <v>50</v>
      </c>
      <c r="Q308" s="78">
        <v>1598</v>
      </c>
      <c r="R308" s="78">
        <v>3316</v>
      </c>
      <c r="S308" s="78">
        <v>460</v>
      </c>
      <c r="T308" s="78">
        <v>0</v>
      </c>
      <c r="U308" s="78">
        <v>695</v>
      </c>
      <c r="V308" s="78">
        <v>12511</v>
      </c>
      <c r="W308" s="78">
        <v>23510</v>
      </c>
      <c r="X308" s="78">
        <v>4570</v>
      </c>
      <c r="Y308" s="78">
        <v>1125.4688000000001</v>
      </c>
      <c r="Z308" s="78">
        <v>782.4</v>
      </c>
      <c r="AA308" s="78">
        <v>0</v>
      </c>
      <c r="AB308" s="399">
        <f>IF((J308-'[2]Basisgegevens aanvullend'!D308*1.1)&lt;=0,0,J308-'[2]Basisgegevens aanvullend'!D308*1.1)</f>
        <v>0</v>
      </c>
      <c r="AC308" s="399">
        <v>0</v>
      </c>
      <c r="AD308" s="78">
        <v>5835</v>
      </c>
      <c r="AE308" s="78">
        <v>5835</v>
      </c>
      <c r="AF308" s="78">
        <v>99</v>
      </c>
      <c r="AG308" s="78">
        <v>0</v>
      </c>
      <c r="AH308" s="78">
        <v>169</v>
      </c>
      <c r="AI308" s="78">
        <v>58</v>
      </c>
      <c r="AJ308" s="78">
        <v>169</v>
      </c>
      <c r="AK308" s="78">
        <v>58</v>
      </c>
      <c r="AL308" s="78">
        <v>226</v>
      </c>
      <c r="AM308" s="78">
        <v>12401</v>
      </c>
      <c r="AN308" s="78">
        <v>12401</v>
      </c>
      <c r="AO308" s="78">
        <v>0</v>
      </c>
      <c r="AP308" s="78">
        <v>0</v>
      </c>
      <c r="AQ308" s="78">
        <v>0</v>
      </c>
      <c r="AR308" s="78">
        <v>0</v>
      </c>
      <c r="AS308" s="78">
        <v>0</v>
      </c>
      <c r="AT308" s="78">
        <v>0</v>
      </c>
      <c r="AU308" s="400">
        <v>1.9521E-4</v>
      </c>
      <c r="AV308" s="400">
        <v>1.06859E-4</v>
      </c>
      <c r="AW308" s="78">
        <v>7874.6350000000002</v>
      </c>
      <c r="AX308" s="78">
        <v>0</v>
      </c>
      <c r="AY308" s="78">
        <v>1302</v>
      </c>
      <c r="AZ308" s="78">
        <v>6472.2608695652198</v>
      </c>
      <c r="BA308" s="78">
        <v>7</v>
      </c>
      <c r="BB308" s="78">
        <v>7</v>
      </c>
      <c r="BC308" s="78">
        <v>3943</v>
      </c>
      <c r="BD308" s="78">
        <v>1</v>
      </c>
      <c r="BE308" s="78">
        <v>0</v>
      </c>
      <c r="BF308" s="78">
        <v>0</v>
      </c>
      <c r="BG308" s="78">
        <v>0</v>
      </c>
      <c r="BH308" s="78">
        <v>0</v>
      </c>
      <c r="BI308" s="78">
        <v>0</v>
      </c>
      <c r="BJ308" s="78">
        <v>0</v>
      </c>
      <c r="BK308" s="78">
        <v>0</v>
      </c>
      <c r="BL308" s="78">
        <v>0</v>
      </c>
      <c r="BM308" s="78">
        <v>407.30700000000002</v>
      </c>
      <c r="BN308" s="78">
        <v>77</v>
      </c>
      <c r="BO308" s="78">
        <v>65</v>
      </c>
      <c r="BP308" s="78">
        <v>9440.34</v>
      </c>
      <c r="BQ308" s="78">
        <v>2470.16</v>
      </c>
      <c r="BR308" s="78">
        <v>184.507308788599</v>
      </c>
      <c r="BS308" s="78">
        <v>269</v>
      </c>
      <c r="BT308" s="78">
        <v>63.6666666666667</v>
      </c>
      <c r="BU308" s="78">
        <v>40</v>
      </c>
      <c r="BV308" s="78">
        <f t="shared" si="16"/>
        <v>1371</v>
      </c>
      <c r="BW308" s="78">
        <v>373</v>
      </c>
      <c r="BX308" s="78">
        <v>4885.0659380991501</v>
      </c>
      <c r="BY308" s="78">
        <v>0.14299999999999999</v>
      </c>
      <c r="BZ308" s="78">
        <v>23020</v>
      </c>
      <c r="CA308" s="78">
        <v>3581</v>
      </c>
      <c r="CB308" s="78">
        <v>722</v>
      </c>
      <c r="CC308" s="78">
        <v>639</v>
      </c>
      <c r="CD308" s="78">
        <v>656</v>
      </c>
      <c r="CE308" s="78">
        <v>339</v>
      </c>
      <c r="CF308" s="78">
        <v>296.56539795177798</v>
      </c>
      <c r="CG308" s="78">
        <v>195.39228288041301</v>
      </c>
      <c r="CH308" s="78">
        <v>69.130416901862802</v>
      </c>
      <c r="CI308" s="78">
        <v>768.21</v>
      </c>
      <c r="CJ308" s="78">
        <v>506.13560000000001</v>
      </c>
      <c r="CK308" s="78">
        <v>179.07239999999999</v>
      </c>
      <c r="CL308" s="78">
        <v>124569</v>
      </c>
    </row>
    <row r="309" spans="1:90" x14ac:dyDescent="0.35">
      <c r="A309" s="72">
        <v>847</v>
      </c>
      <c r="B309" s="72" t="s">
        <v>280</v>
      </c>
      <c r="C309" s="72">
        <v>10</v>
      </c>
      <c r="D309" s="78">
        <v>2025600000</v>
      </c>
      <c r="E309" s="78">
        <v>315700000</v>
      </c>
      <c r="F309" s="78">
        <v>351750000</v>
      </c>
      <c r="G309" s="78">
        <v>19428</v>
      </c>
      <c r="H309" s="78">
        <v>3</v>
      </c>
      <c r="I309" s="78">
        <f t="shared" si="14"/>
        <v>351.75</v>
      </c>
      <c r="J309" s="78">
        <v>3450</v>
      </c>
      <c r="K309" s="78">
        <v>3974</v>
      </c>
      <c r="L309" s="78">
        <v>1349</v>
      </c>
      <c r="M309" s="78">
        <v>2358</v>
      </c>
      <c r="N309" s="78">
        <f t="shared" si="15"/>
        <v>1533.8</v>
      </c>
      <c r="O309" s="78">
        <v>179.666666666667</v>
      </c>
      <c r="P309" s="78">
        <v>21</v>
      </c>
      <c r="Q309" s="78">
        <v>1031.6666666666699</v>
      </c>
      <c r="R309" s="78">
        <v>2418</v>
      </c>
      <c r="S309" s="78">
        <v>240</v>
      </c>
      <c r="T309" s="78">
        <v>0</v>
      </c>
      <c r="U309" s="78">
        <v>403</v>
      </c>
      <c r="V309" s="78">
        <v>8445</v>
      </c>
      <c r="W309" s="78">
        <v>16730</v>
      </c>
      <c r="X309" s="78">
        <v>6210</v>
      </c>
      <c r="Y309" s="78">
        <v>316.8</v>
      </c>
      <c r="Z309" s="78">
        <v>438.4</v>
      </c>
      <c r="AA309" s="78">
        <v>0</v>
      </c>
      <c r="AB309" s="399">
        <f>IF((J309-'[2]Basisgegevens aanvullend'!D309*1.1)&lt;=0,0,J309-'[2]Basisgegevens aanvullend'!D309*1.1)</f>
        <v>0</v>
      </c>
      <c r="AC309" s="399">
        <v>0</v>
      </c>
      <c r="AD309" s="78">
        <v>8016</v>
      </c>
      <c r="AE309" s="78">
        <v>8016</v>
      </c>
      <c r="AF309" s="78">
        <v>134</v>
      </c>
      <c r="AG309" s="78">
        <v>0</v>
      </c>
      <c r="AH309" s="78">
        <v>133</v>
      </c>
      <c r="AI309" s="78">
        <v>130</v>
      </c>
      <c r="AJ309" s="78">
        <v>133</v>
      </c>
      <c r="AK309" s="78">
        <v>130</v>
      </c>
      <c r="AL309" s="78">
        <v>263</v>
      </c>
      <c r="AM309" s="78">
        <v>8242</v>
      </c>
      <c r="AN309" s="78">
        <v>8242</v>
      </c>
      <c r="AO309" s="78">
        <v>0</v>
      </c>
      <c r="AP309" s="78">
        <v>0</v>
      </c>
      <c r="AQ309" s="78">
        <v>0</v>
      </c>
      <c r="AR309" s="78">
        <v>0</v>
      </c>
      <c r="AS309" s="78">
        <v>0</v>
      </c>
      <c r="AT309" s="78">
        <v>0</v>
      </c>
      <c r="AU309" s="400">
        <v>1.2492100000000001E-4</v>
      </c>
      <c r="AV309" s="400">
        <v>7.0666000000000004E-5</v>
      </c>
      <c r="AW309" s="78">
        <v>6066.1120000000001</v>
      </c>
      <c r="AX309" s="78">
        <v>0</v>
      </c>
      <c r="AY309" s="78">
        <v>911</v>
      </c>
      <c r="AZ309" s="78">
        <v>2171.6451533742302</v>
      </c>
      <c r="BA309" s="78">
        <v>5</v>
      </c>
      <c r="BB309" s="78">
        <v>5</v>
      </c>
      <c r="BC309" s="78">
        <v>2704</v>
      </c>
      <c r="BD309" s="78">
        <v>1</v>
      </c>
      <c r="BE309" s="78">
        <v>0</v>
      </c>
      <c r="BF309" s="78">
        <v>0</v>
      </c>
      <c r="BG309" s="78">
        <v>0</v>
      </c>
      <c r="BH309" s="78">
        <v>0</v>
      </c>
      <c r="BI309" s="78">
        <v>0</v>
      </c>
      <c r="BJ309" s="78">
        <v>0</v>
      </c>
      <c r="BK309" s="78">
        <v>0</v>
      </c>
      <c r="BL309" s="78">
        <v>0</v>
      </c>
      <c r="BM309" s="78">
        <v>351.9</v>
      </c>
      <c r="BN309" s="78">
        <v>31</v>
      </c>
      <c r="BO309" s="78">
        <v>49</v>
      </c>
      <c r="BP309" s="78">
        <v>5506.73</v>
      </c>
      <c r="BQ309" s="78">
        <v>1271.5999999999999</v>
      </c>
      <c r="BR309" s="78">
        <v>50.596874999999997</v>
      </c>
      <c r="BS309" s="78">
        <v>167</v>
      </c>
      <c r="BT309" s="78">
        <v>56.6666666666667</v>
      </c>
      <c r="BU309" s="78">
        <v>32.3333333333333</v>
      </c>
      <c r="BV309" s="78">
        <f t="shared" si="16"/>
        <v>852.00000000000296</v>
      </c>
      <c r="BW309" s="78">
        <v>214</v>
      </c>
      <c r="BX309" s="78">
        <v>2988.0681288723699</v>
      </c>
      <c r="BY309" s="78">
        <v>0.13600000000000001</v>
      </c>
      <c r="BZ309" s="78">
        <v>15454</v>
      </c>
      <c r="CA309" s="78">
        <v>2174</v>
      </c>
      <c r="CB309" s="78">
        <v>451</v>
      </c>
      <c r="CC309" s="78">
        <v>377</v>
      </c>
      <c r="CD309" s="78">
        <v>420</v>
      </c>
      <c r="CE309" s="78">
        <v>192</v>
      </c>
      <c r="CF309" s="78">
        <v>248.251540888134</v>
      </c>
      <c r="CG309" s="78">
        <v>170.277481193885</v>
      </c>
      <c r="CH309" s="78">
        <v>53.409439456442598</v>
      </c>
      <c r="CI309" s="78">
        <v>609.77139999999997</v>
      </c>
      <c r="CJ309" s="78">
        <v>418.24650000000003</v>
      </c>
      <c r="CK309" s="78">
        <v>131.18770000000001</v>
      </c>
      <c r="CL309" s="78">
        <v>0</v>
      </c>
    </row>
    <row r="310" spans="1:90" x14ac:dyDescent="0.35">
      <c r="A310" s="72">
        <v>848</v>
      </c>
      <c r="B310" s="72" t="s">
        <v>281</v>
      </c>
      <c r="C310" s="72">
        <v>10</v>
      </c>
      <c r="D310" s="78">
        <v>2191200000</v>
      </c>
      <c r="E310" s="78">
        <v>469350000</v>
      </c>
      <c r="F310" s="78">
        <v>479850000</v>
      </c>
      <c r="G310" s="78">
        <v>17552</v>
      </c>
      <c r="H310" s="78">
        <v>1</v>
      </c>
      <c r="I310" s="78">
        <f t="shared" si="14"/>
        <v>479.85</v>
      </c>
      <c r="J310" s="78">
        <v>3605</v>
      </c>
      <c r="K310" s="78">
        <v>3875</v>
      </c>
      <c r="L310" s="78">
        <v>1449</v>
      </c>
      <c r="M310" s="78">
        <v>1624</v>
      </c>
      <c r="N310" s="78">
        <f t="shared" si="15"/>
        <v>888.9</v>
      </c>
      <c r="O310" s="78">
        <v>194.333333333333</v>
      </c>
      <c r="P310" s="78">
        <v>22</v>
      </c>
      <c r="Q310" s="78">
        <v>802.33333333333303</v>
      </c>
      <c r="R310" s="78">
        <v>2134</v>
      </c>
      <c r="S310" s="78">
        <v>350</v>
      </c>
      <c r="T310" s="78">
        <v>0</v>
      </c>
      <c r="U310" s="78">
        <v>491</v>
      </c>
      <c r="V310" s="78">
        <v>7616</v>
      </c>
      <c r="W310" s="78">
        <v>15450</v>
      </c>
      <c r="X310" s="78">
        <v>5460</v>
      </c>
      <c r="Y310" s="78">
        <v>467.1</v>
      </c>
      <c r="Z310" s="78">
        <v>0</v>
      </c>
      <c r="AA310" s="78">
        <v>0</v>
      </c>
      <c r="AB310" s="399">
        <f>IF((J310-'[2]Basisgegevens aanvullend'!D310*1.1)&lt;=0,0,J310-'[2]Basisgegevens aanvullend'!D310*1.1)</f>
        <v>0</v>
      </c>
      <c r="AC310" s="399">
        <v>0</v>
      </c>
      <c r="AD310" s="78">
        <v>2594</v>
      </c>
      <c r="AE310" s="78">
        <v>2594</v>
      </c>
      <c r="AF310" s="78">
        <v>57</v>
      </c>
      <c r="AG310" s="78">
        <v>0</v>
      </c>
      <c r="AH310" s="78">
        <v>142</v>
      </c>
      <c r="AI310" s="78">
        <v>35</v>
      </c>
      <c r="AJ310" s="78">
        <v>142</v>
      </c>
      <c r="AK310" s="78">
        <v>35</v>
      </c>
      <c r="AL310" s="78">
        <v>177</v>
      </c>
      <c r="AM310" s="78">
        <v>7351</v>
      </c>
      <c r="AN310" s="78">
        <v>7351</v>
      </c>
      <c r="AO310" s="78">
        <v>0</v>
      </c>
      <c r="AP310" s="78">
        <v>0</v>
      </c>
      <c r="AQ310" s="78">
        <v>0</v>
      </c>
      <c r="AR310" s="78">
        <v>0</v>
      </c>
      <c r="AS310" s="78">
        <v>0</v>
      </c>
      <c r="AT310" s="78">
        <v>0</v>
      </c>
      <c r="AU310" s="400">
        <v>3.9898000000000003E-5</v>
      </c>
      <c r="AV310" s="400">
        <v>5.3606999999999997E-5</v>
      </c>
      <c r="AW310" s="78">
        <v>5108.9449999999997</v>
      </c>
      <c r="AX310" s="78">
        <v>0</v>
      </c>
      <c r="AY310" s="78">
        <v>563</v>
      </c>
      <c r="AZ310" s="78">
        <v>3727.56544700113</v>
      </c>
      <c r="BA310" s="78">
        <v>2</v>
      </c>
      <c r="BB310" s="78">
        <v>2</v>
      </c>
      <c r="BC310" s="78">
        <v>2271</v>
      </c>
      <c r="BD310" s="78">
        <v>1</v>
      </c>
      <c r="BE310" s="78">
        <v>0</v>
      </c>
      <c r="BF310" s="78">
        <v>0</v>
      </c>
      <c r="BG310" s="78">
        <v>0</v>
      </c>
      <c r="BH310" s="78">
        <v>0</v>
      </c>
      <c r="BI310" s="78">
        <v>0</v>
      </c>
      <c r="BJ310" s="78">
        <v>0</v>
      </c>
      <c r="BK310" s="78">
        <v>0</v>
      </c>
      <c r="BL310" s="78">
        <v>0</v>
      </c>
      <c r="BM310" s="78">
        <v>281.19</v>
      </c>
      <c r="BN310" s="78">
        <v>31</v>
      </c>
      <c r="BO310" s="78">
        <v>35</v>
      </c>
      <c r="BP310" s="78">
        <v>6270.45</v>
      </c>
      <c r="BQ310" s="78">
        <v>1595.8</v>
      </c>
      <c r="BR310" s="78">
        <v>108.063980477223</v>
      </c>
      <c r="BS310" s="78">
        <v>188</v>
      </c>
      <c r="BT310" s="78">
        <v>74</v>
      </c>
      <c r="BU310" s="78">
        <v>51</v>
      </c>
      <c r="BV310" s="78">
        <f t="shared" si="16"/>
        <v>608</v>
      </c>
      <c r="BW310" s="78">
        <v>200</v>
      </c>
      <c r="BX310" s="78">
        <v>2810.18443135897</v>
      </c>
      <c r="BY310" s="78">
        <v>0.16700000000000001</v>
      </c>
      <c r="BZ310" s="78">
        <v>13677</v>
      </c>
      <c r="CA310" s="78">
        <v>1761</v>
      </c>
      <c r="CB310" s="78">
        <v>665</v>
      </c>
      <c r="CC310" s="78">
        <v>368</v>
      </c>
      <c r="CD310" s="78">
        <v>454</v>
      </c>
      <c r="CE310" s="78">
        <v>317</v>
      </c>
      <c r="CF310" s="78">
        <v>133.135478166236</v>
      </c>
      <c r="CG310" s="78">
        <v>115.843585906679</v>
      </c>
      <c r="CH310" s="78">
        <v>59.493783158753899</v>
      </c>
      <c r="CI310" s="78">
        <v>335.25450000000001</v>
      </c>
      <c r="CJ310" s="78">
        <v>291.71100000000001</v>
      </c>
      <c r="CK310" s="78">
        <v>149.81399999999999</v>
      </c>
      <c r="CL310" s="78">
        <v>64240</v>
      </c>
    </row>
    <row r="311" spans="1:90" x14ac:dyDescent="0.35">
      <c r="A311" s="72">
        <v>851</v>
      </c>
      <c r="B311" s="72" t="s">
        <v>285</v>
      </c>
      <c r="C311" s="72">
        <v>10</v>
      </c>
      <c r="D311" s="78">
        <v>2031600000</v>
      </c>
      <c r="E311" s="78">
        <v>423850000</v>
      </c>
      <c r="F311" s="78">
        <v>466200000</v>
      </c>
      <c r="G311" s="78">
        <v>24310</v>
      </c>
      <c r="H311" s="78">
        <v>4</v>
      </c>
      <c r="I311" s="78">
        <f t="shared" si="14"/>
        <v>466.2</v>
      </c>
      <c r="J311" s="78">
        <v>4079</v>
      </c>
      <c r="K311" s="78">
        <v>5447</v>
      </c>
      <c r="L311" s="78">
        <v>1704</v>
      </c>
      <c r="M311" s="78">
        <v>3464</v>
      </c>
      <c r="N311" s="78">
        <f t="shared" si="15"/>
        <v>2402.1</v>
      </c>
      <c r="O311" s="78">
        <v>317.66666666666703</v>
      </c>
      <c r="P311" s="78">
        <v>13</v>
      </c>
      <c r="Q311" s="78">
        <v>1348.6666666666699</v>
      </c>
      <c r="R311" s="78">
        <v>3886</v>
      </c>
      <c r="S311" s="78">
        <v>470</v>
      </c>
      <c r="T311" s="78">
        <v>0</v>
      </c>
      <c r="U311" s="78">
        <v>637</v>
      </c>
      <c r="V311" s="78">
        <v>11475</v>
      </c>
      <c r="W311" s="78">
        <v>22370</v>
      </c>
      <c r="X311" s="78">
        <v>4940</v>
      </c>
      <c r="Y311" s="78">
        <v>0</v>
      </c>
      <c r="Z311" s="78">
        <v>411.2</v>
      </c>
      <c r="AA311" s="78">
        <v>0</v>
      </c>
      <c r="AB311" s="399">
        <f>IF((J311-'[2]Basisgegevens aanvullend'!D311*1.1)&lt;=0,0,J311-'[2]Basisgegevens aanvullend'!D311*1.1)</f>
        <v>0</v>
      </c>
      <c r="AC311" s="399">
        <v>125.7</v>
      </c>
      <c r="AD311" s="78">
        <v>14642</v>
      </c>
      <c r="AE311" s="78">
        <v>15374.1</v>
      </c>
      <c r="AF311" s="78">
        <v>1272</v>
      </c>
      <c r="AG311" s="78">
        <v>0</v>
      </c>
      <c r="AH311" s="78">
        <v>134</v>
      </c>
      <c r="AI311" s="78">
        <v>89</v>
      </c>
      <c r="AJ311" s="78">
        <v>146.06</v>
      </c>
      <c r="AK311" s="78">
        <v>93.45</v>
      </c>
      <c r="AL311" s="78">
        <v>224</v>
      </c>
      <c r="AM311" s="78">
        <v>10619</v>
      </c>
      <c r="AN311" s="78">
        <v>11574.71</v>
      </c>
      <c r="AO311" s="78">
        <v>8</v>
      </c>
      <c r="AP311" s="78">
        <v>0</v>
      </c>
      <c r="AQ311" s="78">
        <v>0</v>
      </c>
      <c r="AR311" s="78">
        <v>6200</v>
      </c>
      <c r="AS311" s="78">
        <v>1329</v>
      </c>
      <c r="AT311" s="78">
        <v>747</v>
      </c>
      <c r="AU311" s="400">
        <v>3.2956100000000002E-4</v>
      </c>
      <c r="AV311" s="400">
        <v>1.27284E-4</v>
      </c>
      <c r="AW311" s="78">
        <v>7783.7269999999999</v>
      </c>
      <c r="AX311" s="78">
        <v>0</v>
      </c>
      <c r="AY311" s="78">
        <v>3623.55</v>
      </c>
      <c r="AZ311" s="78">
        <v>6667.6827636043699</v>
      </c>
      <c r="BA311" s="78">
        <v>8</v>
      </c>
      <c r="BB311" s="78">
        <v>8.4</v>
      </c>
      <c r="BC311" s="78">
        <v>2550</v>
      </c>
      <c r="BD311" s="78">
        <v>1</v>
      </c>
      <c r="BE311" s="78">
        <v>0</v>
      </c>
      <c r="BF311" s="78">
        <v>0</v>
      </c>
      <c r="BG311" s="78">
        <v>0</v>
      </c>
      <c r="BH311" s="78">
        <v>0</v>
      </c>
      <c r="BI311" s="78">
        <v>0</v>
      </c>
      <c r="BJ311" s="78">
        <v>0</v>
      </c>
      <c r="BK311" s="78">
        <v>0</v>
      </c>
      <c r="BL311" s="78">
        <v>0</v>
      </c>
      <c r="BM311" s="78">
        <v>432.37400000000002</v>
      </c>
      <c r="BN311" s="78">
        <v>65</v>
      </c>
      <c r="BO311" s="78">
        <v>67</v>
      </c>
      <c r="BP311" s="78">
        <v>7280.65</v>
      </c>
      <c r="BQ311" s="78">
        <v>1548.36</v>
      </c>
      <c r="BR311" s="78">
        <v>149.623124500286</v>
      </c>
      <c r="BS311" s="78">
        <v>231</v>
      </c>
      <c r="BT311" s="78">
        <v>97</v>
      </c>
      <c r="BU311" s="78">
        <v>72.6666666666667</v>
      </c>
      <c r="BV311" s="78">
        <f t="shared" si="16"/>
        <v>1031.000000000003</v>
      </c>
      <c r="BW311" s="78">
        <v>201</v>
      </c>
      <c r="BX311" s="78">
        <v>5162.56941349934</v>
      </c>
      <c r="BY311" s="78">
        <v>0.61199999999999999</v>
      </c>
      <c r="BZ311" s="78">
        <v>18863</v>
      </c>
      <c r="CA311" s="78">
        <v>3146</v>
      </c>
      <c r="CB311" s="78">
        <v>597</v>
      </c>
      <c r="CC311" s="78">
        <v>605</v>
      </c>
      <c r="CD311" s="78">
        <v>558</v>
      </c>
      <c r="CE311" s="78">
        <v>270</v>
      </c>
      <c r="CF311" s="78">
        <v>439.97405593747101</v>
      </c>
      <c r="CG311" s="78">
        <v>263.30581033995702</v>
      </c>
      <c r="CH311" s="78">
        <v>90.256888595912997</v>
      </c>
      <c r="CI311" s="78">
        <v>920.56849999999997</v>
      </c>
      <c r="CJ311" s="78">
        <v>550.9212</v>
      </c>
      <c r="CK311" s="78">
        <v>188.8467</v>
      </c>
      <c r="CL311" s="78">
        <v>11907</v>
      </c>
    </row>
    <row r="312" spans="1:90" x14ac:dyDescent="0.35">
      <c r="A312" s="72">
        <v>855</v>
      </c>
      <c r="B312" s="72" t="s">
        <v>296</v>
      </c>
      <c r="C312" s="72">
        <v>10</v>
      </c>
      <c r="D312" s="78">
        <v>20122000000</v>
      </c>
      <c r="E312" s="78">
        <v>4477550000</v>
      </c>
      <c r="F312" s="78">
        <v>4665150000</v>
      </c>
      <c r="G312" s="78">
        <v>221947</v>
      </c>
      <c r="H312" s="78">
        <v>2</v>
      </c>
      <c r="I312" s="78">
        <f t="shared" si="14"/>
        <v>4665.1499999999996</v>
      </c>
      <c r="J312" s="78">
        <v>39091</v>
      </c>
      <c r="K312" s="78">
        <v>37848</v>
      </c>
      <c r="L312" s="78">
        <v>12152</v>
      </c>
      <c r="M312" s="78">
        <v>35456</v>
      </c>
      <c r="N312" s="78">
        <f t="shared" si="15"/>
        <v>24810.699999999997</v>
      </c>
      <c r="O312" s="78">
        <v>6660</v>
      </c>
      <c r="P312" s="78">
        <v>418</v>
      </c>
      <c r="Q312" s="78">
        <v>18159</v>
      </c>
      <c r="R312" s="78">
        <v>49649</v>
      </c>
      <c r="S312" s="78">
        <v>24495</v>
      </c>
      <c r="T312" s="78">
        <v>0</v>
      </c>
      <c r="U312" s="78">
        <v>8328</v>
      </c>
      <c r="V312" s="78">
        <v>113533</v>
      </c>
      <c r="W312" s="78">
        <v>248960</v>
      </c>
      <c r="X312" s="78">
        <v>384230</v>
      </c>
      <c r="Y312" s="78">
        <v>5958.4</v>
      </c>
      <c r="Z312" s="78">
        <v>8804.7999999999993</v>
      </c>
      <c r="AA312" s="78">
        <v>0</v>
      </c>
      <c r="AB312" s="399">
        <f>IF((J312-'[2]Basisgegevens aanvullend'!D312*1.1)&lt;=0,0,J312-'[2]Basisgegevens aanvullend'!D312*1.1)</f>
        <v>0</v>
      </c>
      <c r="AC312" s="399">
        <v>0</v>
      </c>
      <c r="AD312" s="78">
        <v>12580</v>
      </c>
      <c r="AE312" s="78">
        <v>12580</v>
      </c>
      <c r="AF312" s="78">
        <v>268</v>
      </c>
      <c r="AG312" s="78">
        <v>0</v>
      </c>
      <c r="AH312" s="78">
        <v>1074</v>
      </c>
      <c r="AI312" s="78">
        <v>239</v>
      </c>
      <c r="AJ312" s="78">
        <v>1074</v>
      </c>
      <c r="AK312" s="78">
        <v>239</v>
      </c>
      <c r="AL312" s="78">
        <v>1313</v>
      </c>
      <c r="AM312" s="78">
        <v>106453</v>
      </c>
      <c r="AN312" s="78">
        <v>106453</v>
      </c>
      <c r="AO312" s="78">
        <v>10</v>
      </c>
      <c r="AP312" s="78">
        <v>0</v>
      </c>
      <c r="AQ312" s="78">
        <v>0</v>
      </c>
      <c r="AR312" s="78">
        <v>0</v>
      </c>
      <c r="AS312" s="78">
        <v>16436</v>
      </c>
      <c r="AT312" s="78">
        <v>16436</v>
      </c>
      <c r="AU312" s="400">
        <v>8.612115E-3</v>
      </c>
      <c r="AV312" s="400">
        <v>1.1803869E-2</v>
      </c>
      <c r="AW312" s="78">
        <v>298813.571</v>
      </c>
      <c r="AX312" s="78">
        <v>0</v>
      </c>
      <c r="AY312" s="78">
        <v>2990</v>
      </c>
      <c r="AZ312" s="78">
        <v>51651.738013698603</v>
      </c>
      <c r="BA312" s="78">
        <v>4</v>
      </c>
      <c r="BB312" s="78">
        <v>4</v>
      </c>
      <c r="BC312" s="78">
        <v>22772</v>
      </c>
      <c r="BD312" s="78">
        <v>1</v>
      </c>
      <c r="BE312" s="78">
        <v>0</v>
      </c>
      <c r="BF312" s="78">
        <v>0</v>
      </c>
      <c r="BG312" s="78">
        <v>0</v>
      </c>
      <c r="BH312" s="78">
        <v>0</v>
      </c>
      <c r="BI312" s="78">
        <v>0</v>
      </c>
      <c r="BJ312" s="78">
        <v>0</v>
      </c>
      <c r="BK312" s="78">
        <v>0</v>
      </c>
      <c r="BL312" s="78">
        <v>0</v>
      </c>
      <c r="BM312" s="78">
        <v>6567.2879999999996</v>
      </c>
      <c r="BN312" s="78">
        <v>806</v>
      </c>
      <c r="BO312" s="78">
        <v>866</v>
      </c>
      <c r="BP312" s="78">
        <v>58146.3</v>
      </c>
      <c r="BQ312" s="78">
        <v>12995.48</v>
      </c>
      <c r="BR312" s="78">
        <v>1661.35439603486</v>
      </c>
      <c r="BS312" s="78">
        <v>3318</v>
      </c>
      <c r="BT312" s="78">
        <v>1942.3333333333301</v>
      </c>
      <c r="BU312" s="78">
        <v>1802.6666666666699</v>
      </c>
      <c r="BV312" s="78">
        <f t="shared" si="16"/>
        <v>11499</v>
      </c>
      <c r="BW312" s="78">
        <v>3104</v>
      </c>
      <c r="BX312" s="78">
        <v>35298.874966189302</v>
      </c>
      <c r="BY312" s="78">
        <v>18.138000000000002</v>
      </c>
      <c r="BZ312" s="78">
        <v>184099</v>
      </c>
      <c r="CA312" s="78">
        <v>21692</v>
      </c>
      <c r="CB312" s="78">
        <v>4004</v>
      </c>
      <c r="CC312" s="78">
        <v>5776</v>
      </c>
      <c r="CD312" s="78">
        <v>4504</v>
      </c>
      <c r="CE312" s="78">
        <v>2033</v>
      </c>
      <c r="CF312" s="78">
        <v>3262.2412510685499</v>
      </c>
      <c r="CG312" s="78">
        <v>1995.7542211116599</v>
      </c>
      <c r="CH312" s="78">
        <v>638.13792565733195</v>
      </c>
      <c r="CI312" s="78">
        <v>7418.41</v>
      </c>
      <c r="CJ312" s="78">
        <v>4538.3900000000003</v>
      </c>
      <c r="CK312" s="78">
        <v>1451.14</v>
      </c>
      <c r="CL312" s="78">
        <v>614190</v>
      </c>
    </row>
    <row r="313" spans="1:90" x14ac:dyDescent="0.35">
      <c r="A313" s="72">
        <v>856</v>
      </c>
      <c r="B313" s="72" t="s">
        <v>301</v>
      </c>
      <c r="C313" s="72">
        <v>10</v>
      </c>
      <c r="D313" s="78">
        <v>4324400000</v>
      </c>
      <c r="E313" s="78">
        <v>844550000</v>
      </c>
      <c r="F313" s="78">
        <v>881300000</v>
      </c>
      <c r="G313" s="78">
        <v>42291</v>
      </c>
      <c r="H313" s="78">
        <v>2</v>
      </c>
      <c r="I313" s="78">
        <f t="shared" si="14"/>
        <v>881.3</v>
      </c>
      <c r="J313" s="78">
        <v>7964</v>
      </c>
      <c r="K313" s="78">
        <v>9175</v>
      </c>
      <c r="L313" s="78">
        <v>3003</v>
      </c>
      <c r="M313" s="78">
        <v>5654</v>
      </c>
      <c r="N313" s="78">
        <f t="shared" si="15"/>
        <v>3723.3999999999996</v>
      </c>
      <c r="O313" s="78">
        <v>614</v>
      </c>
      <c r="P313" s="78">
        <v>79</v>
      </c>
      <c r="Q313" s="78">
        <v>3047</v>
      </c>
      <c r="R313" s="78">
        <v>6512</v>
      </c>
      <c r="S313" s="78">
        <v>2235</v>
      </c>
      <c r="T313" s="78">
        <v>0</v>
      </c>
      <c r="U313" s="78">
        <v>1371</v>
      </c>
      <c r="V313" s="78">
        <v>19342</v>
      </c>
      <c r="W313" s="78">
        <v>46770</v>
      </c>
      <c r="X313" s="78">
        <v>44080</v>
      </c>
      <c r="Y313" s="78">
        <v>471.8</v>
      </c>
      <c r="Z313" s="78">
        <v>2208</v>
      </c>
      <c r="AA313" s="78">
        <v>0</v>
      </c>
      <c r="AB313" s="399">
        <f>IF((J313-'[2]Basisgegevens aanvullend'!D313*1.1)&lt;=0,0,J313-'[2]Basisgegevens aanvullend'!D313*1.1)</f>
        <v>0</v>
      </c>
      <c r="AC313" s="399">
        <v>0</v>
      </c>
      <c r="AD313" s="78">
        <v>6697</v>
      </c>
      <c r="AE313" s="78">
        <v>6697</v>
      </c>
      <c r="AF313" s="78">
        <v>56</v>
      </c>
      <c r="AG313" s="78">
        <v>0</v>
      </c>
      <c r="AH313" s="78">
        <v>294</v>
      </c>
      <c r="AI313" s="78">
        <v>107</v>
      </c>
      <c r="AJ313" s="78">
        <v>294</v>
      </c>
      <c r="AK313" s="78">
        <v>107</v>
      </c>
      <c r="AL313" s="78">
        <v>401</v>
      </c>
      <c r="AM313" s="78">
        <v>19306</v>
      </c>
      <c r="AN313" s="78">
        <v>19306</v>
      </c>
      <c r="AO313" s="78">
        <v>0</v>
      </c>
      <c r="AP313" s="78">
        <v>0</v>
      </c>
      <c r="AQ313" s="78">
        <v>0</v>
      </c>
      <c r="AR313" s="78">
        <v>0</v>
      </c>
      <c r="AS313" s="78">
        <v>550</v>
      </c>
      <c r="AT313" s="78">
        <v>0</v>
      </c>
      <c r="AU313" s="400">
        <v>1.9106799999999999E-4</v>
      </c>
      <c r="AV313" s="400">
        <v>3.5193300000000002E-4</v>
      </c>
      <c r="AW313" s="78">
        <v>26719.504000000001</v>
      </c>
      <c r="AX313" s="78">
        <v>0</v>
      </c>
      <c r="AY313" s="78">
        <v>631</v>
      </c>
      <c r="AZ313" s="78">
        <v>3951.66903598401</v>
      </c>
      <c r="BA313" s="78">
        <v>8</v>
      </c>
      <c r="BB313" s="78">
        <v>8</v>
      </c>
      <c r="BC313" s="78">
        <v>5206</v>
      </c>
      <c r="BD313" s="78">
        <v>1</v>
      </c>
      <c r="BE313" s="78">
        <v>0</v>
      </c>
      <c r="BF313" s="78">
        <v>0</v>
      </c>
      <c r="BG313" s="78">
        <v>0</v>
      </c>
      <c r="BH313" s="78">
        <v>0</v>
      </c>
      <c r="BI313" s="78">
        <v>0</v>
      </c>
      <c r="BJ313" s="78">
        <v>0</v>
      </c>
      <c r="BK313" s="78">
        <v>0</v>
      </c>
      <c r="BL313" s="78">
        <v>0</v>
      </c>
      <c r="BM313" s="78">
        <v>884.00400000000002</v>
      </c>
      <c r="BN313" s="78">
        <v>146</v>
      </c>
      <c r="BO313" s="78">
        <v>133</v>
      </c>
      <c r="BP313" s="78">
        <v>12814.6</v>
      </c>
      <c r="BQ313" s="78">
        <v>2949.54</v>
      </c>
      <c r="BR313" s="78">
        <v>332.97010891089099</v>
      </c>
      <c r="BS313" s="78">
        <v>537</v>
      </c>
      <c r="BT313" s="78">
        <v>194.666666666667</v>
      </c>
      <c r="BU313" s="78">
        <v>166.666666666667</v>
      </c>
      <c r="BV313" s="78">
        <f t="shared" si="16"/>
        <v>2433</v>
      </c>
      <c r="BW313" s="78">
        <v>595</v>
      </c>
      <c r="BX313" s="78">
        <v>7121.6843115933398</v>
      </c>
      <c r="BY313" s="78">
        <v>1.1579999999999999</v>
      </c>
      <c r="BZ313" s="78">
        <v>33116</v>
      </c>
      <c r="CA313" s="78">
        <v>5208</v>
      </c>
      <c r="CB313" s="78">
        <v>964</v>
      </c>
      <c r="CC313" s="78">
        <v>1114</v>
      </c>
      <c r="CD313" s="78">
        <v>1051</v>
      </c>
      <c r="CE313" s="78">
        <v>461</v>
      </c>
      <c r="CF313" s="78">
        <v>621.78812804309496</v>
      </c>
      <c r="CG313" s="78">
        <v>398.06783383404098</v>
      </c>
      <c r="CH313" s="78">
        <v>130.56779239614599</v>
      </c>
      <c r="CI313" s="78">
        <v>1435.6472000000001</v>
      </c>
      <c r="CJ313" s="78">
        <v>919.0992</v>
      </c>
      <c r="CK313" s="78">
        <v>301.46809999999999</v>
      </c>
      <c r="CL313" s="78">
        <v>29838</v>
      </c>
    </row>
    <row r="314" spans="1:90" x14ac:dyDescent="0.35">
      <c r="A314" s="72">
        <v>858</v>
      </c>
      <c r="B314" s="72" t="s">
        <v>309</v>
      </c>
      <c r="C314" s="72">
        <v>10</v>
      </c>
      <c r="D314" s="78">
        <v>3533600000</v>
      </c>
      <c r="E314" s="78">
        <v>434700000</v>
      </c>
      <c r="F314" s="78">
        <v>461300000</v>
      </c>
      <c r="G314" s="78">
        <v>31221</v>
      </c>
      <c r="H314" s="78">
        <v>1</v>
      </c>
      <c r="I314" s="78">
        <f t="shared" si="14"/>
        <v>461.3</v>
      </c>
      <c r="J314" s="78">
        <v>5123</v>
      </c>
      <c r="K314" s="78">
        <v>8039</v>
      </c>
      <c r="L314" s="78">
        <v>2827</v>
      </c>
      <c r="M314" s="78">
        <v>4644</v>
      </c>
      <c r="N314" s="78">
        <f t="shared" si="15"/>
        <v>3149.3999999999996</v>
      </c>
      <c r="O314" s="78">
        <v>502.33333333333297</v>
      </c>
      <c r="P314" s="78">
        <v>57</v>
      </c>
      <c r="Q314" s="78">
        <v>1880.3333333333301</v>
      </c>
      <c r="R314" s="78">
        <v>5167</v>
      </c>
      <c r="S314" s="78">
        <v>620</v>
      </c>
      <c r="T314" s="78">
        <v>0</v>
      </c>
      <c r="U314" s="78">
        <v>1028</v>
      </c>
      <c r="V314" s="78">
        <v>14946</v>
      </c>
      <c r="W314" s="78">
        <v>31840</v>
      </c>
      <c r="X314" s="78">
        <v>22620</v>
      </c>
      <c r="Y314" s="78">
        <v>205.92</v>
      </c>
      <c r="Z314" s="78">
        <v>1914.4</v>
      </c>
      <c r="AA314" s="78">
        <v>0</v>
      </c>
      <c r="AB314" s="399">
        <f>IF((J314-'[2]Basisgegevens aanvullend'!D314*1.1)&lt;=0,0,J314-'[2]Basisgegevens aanvullend'!D314*1.1)</f>
        <v>0</v>
      </c>
      <c r="AC314" s="399">
        <v>0</v>
      </c>
      <c r="AD314" s="78">
        <v>5496</v>
      </c>
      <c r="AE314" s="78">
        <v>5496</v>
      </c>
      <c r="AF314" s="78">
        <v>154</v>
      </c>
      <c r="AG314" s="78">
        <v>0</v>
      </c>
      <c r="AH314" s="78">
        <v>183</v>
      </c>
      <c r="AI314" s="78">
        <v>52</v>
      </c>
      <c r="AJ314" s="78">
        <v>183</v>
      </c>
      <c r="AK314" s="78">
        <v>52</v>
      </c>
      <c r="AL314" s="78">
        <v>236</v>
      </c>
      <c r="AM314" s="78">
        <v>14946</v>
      </c>
      <c r="AN314" s="78">
        <v>14946</v>
      </c>
      <c r="AO314" s="78">
        <v>0</v>
      </c>
      <c r="AP314" s="78">
        <v>0</v>
      </c>
      <c r="AQ314" s="78">
        <v>0</v>
      </c>
      <c r="AR314" s="78">
        <v>0</v>
      </c>
      <c r="AS314" s="78">
        <v>1372</v>
      </c>
      <c r="AT314" s="78">
        <v>0</v>
      </c>
      <c r="AU314" s="400">
        <v>3.6847799999999999E-4</v>
      </c>
      <c r="AV314" s="400">
        <v>5.0010799999999998E-4</v>
      </c>
      <c r="AW314" s="78">
        <v>22179.864000000001</v>
      </c>
      <c r="AX314" s="78">
        <v>0</v>
      </c>
      <c r="AY314" s="78">
        <v>1307</v>
      </c>
      <c r="AZ314" s="78">
        <v>7222.2738053097401</v>
      </c>
      <c r="BA314" s="78">
        <v>3</v>
      </c>
      <c r="BB314" s="78">
        <v>3</v>
      </c>
      <c r="BC314" s="78">
        <v>3657</v>
      </c>
      <c r="BD314" s="78">
        <v>1</v>
      </c>
      <c r="BE314" s="78">
        <v>0</v>
      </c>
      <c r="BF314" s="78">
        <v>0</v>
      </c>
      <c r="BG314" s="78">
        <v>0</v>
      </c>
      <c r="BH314" s="78">
        <v>0</v>
      </c>
      <c r="BI314" s="78">
        <v>0</v>
      </c>
      <c r="BJ314" s="78">
        <v>0</v>
      </c>
      <c r="BK314" s="78">
        <v>0</v>
      </c>
      <c r="BL314" s="78">
        <v>0</v>
      </c>
      <c r="BM314" s="78">
        <v>578.899</v>
      </c>
      <c r="BN314" s="78">
        <v>86</v>
      </c>
      <c r="BO314" s="78">
        <v>43</v>
      </c>
      <c r="BP314" s="78">
        <v>9788.0300000000007</v>
      </c>
      <c r="BQ314" s="78">
        <v>1989.23</v>
      </c>
      <c r="BR314" s="78">
        <v>183.06743555952599</v>
      </c>
      <c r="BS314" s="78">
        <v>374</v>
      </c>
      <c r="BT314" s="78">
        <v>127.333333333333</v>
      </c>
      <c r="BU314" s="78">
        <v>132.333333333333</v>
      </c>
      <c r="BV314" s="78">
        <f t="shared" si="16"/>
        <v>1377.999999999997</v>
      </c>
      <c r="BW314" s="78">
        <v>306</v>
      </c>
      <c r="BX314" s="78">
        <v>6248.4438059821096</v>
      </c>
      <c r="BY314" s="78">
        <v>0.93400000000000005</v>
      </c>
      <c r="BZ314" s="78">
        <v>23182</v>
      </c>
      <c r="CA314" s="78">
        <v>4240</v>
      </c>
      <c r="CB314" s="78">
        <v>972</v>
      </c>
      <c r="CC314" s="78">
        <v>888</v>
      </c>
      <c r="CD314" s="78">
        <v>884</v>
      </c>
      <c r="CE314" s="78">
        <v>490</v>
      </c>
      <c r="CF314" s="78">
        <v>549.76479325572097</v>
      </c>
      <c r="CG314" s="78">
        <v>406.89759132878402</v>
      </c>
      <c r="CH314" s="78">
        <v>149.18875953432399</v>
      </c>
      <c r="CI314" s="78">
        <v>1182.1378999999999</v>
      </c>
      <c r="CJ314" s="78">
        <v>874.93610000000001</v>
      </c>
      <c r="CK314" s="78">
        <v>320.79480000000001</v>
      </c>
      <c r="CL314" s="78">
        <v>15347</v>
      </c>
    </row>
    <row r="315" spans="1:90" x14ac:dyDescent="0.35">
      <c r="A315" s="72">
        <v>861</v>
      </c>
      <c r="B315" s="72" t="s">
        <v>313</v>
      </c>
      <c r="C315" s="72">
        <v>10</v>
      </c>
      <c r="D315" s="78">
        <v>5617200000</v>
      </c>
      <c r="E315" s="78">
        <v>1068200000</v>
      </c>
      <c r="F315" s="78">
        <v>1090250000</v>
      </c>
      <c r="G315" s="78">
        <v>45500</v>
      </c>
      <c r="H315" s="78">
        <v>1</v>
      </c>
      <c r="I315" s="78">
        <f t="shared" si="14"/>
        <v>1090.25</v>
      </c>
      <c r="J315" s="78">
        <v>8421</v>
      </c>
      <c r="K315" s="78">
        <v>9952</v>
      </c>
      <c r="L315" s="78">
        <v>3349</v>
      </c>
      <c r="M315" s="78">
        <v>5248</v>
      </c>
      <c r="N315" s="78">
        <f t="shared" si="15"/>
        <v>3213.5</v>
      </c>
      <c r="O315" s="78">
        <v>487.66666666666703</v>
      </c>
      <c r="P315" s="78">
        <v>62</v>
      </c>
      <c r="Q315" s="78">
        <v>2753.6666666666702</v>
      </c>
      <c r="R315" s="78">
        <v>6537</v>
      </c>
      <c r="S315" s="78">
        <v>1305</v>
      </c>
      <c r="T315" s="78">
        <v>0</v>
      </c>
      <c r="U315" s="78">
        <v>1348</v>
      </c>
      <c r="V315" s="78">
        <v>20837</v>
      </c>
      <c r="W315" s="78">
        <v>46100</v>
      </c>
      <c r="X315" s="78">
        <v>34790</v>
      </c>
      <c r="Y315" s="78">
        <v>1253.8</v>
      </c>
      <c r="Z315" s="78">
        <v>1160.8</v>
      </c>
      <c r="AA315" s="78">
        <v>0</v>
      </c>
      <c r="AB315" s="399">
        <f>IF((J315-'[2]Basisgegevens aanvullend'!D315*1.1)&lt;=0,0,J315-'[2]Basisgegevens aanvullend'!D315*1.1)</f>
        <v>0</v>
      </c>
      <c r="AC315" s="399">
        <v>0</v>
      </c>
      <c r="AD315" s="78">
        <v>3168</v>
      </c>
      <c r="AE315" s="78">
        <v>3168</v>
      </c>
      <c r="AF315" s="78">
        <v>21</v>
      </c>
      <c r="AG315" s="78">
        <v>0</v>
      </c>
      <c r="AH315" s="78">
        <v>270</v>
      </c>
      <c r="AI315" s="78">
        <v>36</v>
      </c>
      <c r="AJ315" s="78">
        <v>270</v>
      </c>
      <c r="AK315" s="78">
        <v>36</v>
      </c>
      <c r="AL315" s="78">
        <v>306</v>
      </c>
      <c r="AM315" s="78">
        <v>20345</v>
      </c>
      <c r="AN315" s="78">
        <v>20345</v>
      </c>
      <c r="AO315" s="78">
        <v>0</v>
      </c>
      <c r="AP315" s="78">
        <v>0</v>
      </c>
      <c r="AQ315" s="78">
        <v>0</v>
      </c>
      <c r="AR315" s="78">
        <v>0</v>
      </c>
      <c r="AS315" s="78">
        <v>0</v>
      </c>
      <c r="AT315" s="78">
        <v>0</v>
      </c>
      <c r="AU315" s="400">
        <v>1.8201799999999999E-4</v>
      </c>
      <c r="AV315" s="400">
        <v>3.8190400000000002E-4</v>
      </c>
      <c r="AW315" s="78">
        <v>34260.980000000003</v>
      </c>
      <c r="AX315" s="78">
        <v>0</v>
      </c>
      <c r="AY315" s="78">
        <v>267</v>
      </c>
      <c r="AZ315" s="78">
        <v>3809.5014111006599</v>
      </c>
      <c r="BA315" s="78">
        <v>2</v>
      </c>
      <c r="BB315" s="78">
        <v>2</v>
      </c>
      <c r="BC315" s="78">
        <v>4632</v>
      </c>
      <c r="BD315" s="78">
        <v>1</v>
      </c>
      <c r="BE315" s="78">
        <v>0</v>
      </c>
      <c r="BF315" s="78">
        <v>0</v>
      </c>
      <c r="BG315" s="78">
        <v>0</v>
      </c>
      <c r="BH315" s="78">
        <v>0</v>
      </c>
      <c r="BI315" s="78">
        <v>0</v>
      </c>
      <c r="BJ315" s="78">
        <v>0</v>
      </c>
      <c r="BK315" s="78">
        <v>0</v>
      </c>
      <c r="BL315" s="78">
        <v>0</v>
      </c>
      <c r="BM315" s="78">
        <v>791.57399999999996</v>
      </c>
      <c r="BN315" s="78">
        <v>77</v>
      </c>
      <c r="BO315" s="78">
        <v>89</v>
      </c>
      <c r="BP315" s="78">
        <v>14713.88</v>
      </c>
      <c r="BQ315" s="78">
        <v>3582.11</v>
      </c>
      <c r="BR315" s="78">
        <v>300.62613681241203</v>
      </c>
      <c r="BS315" s="78">
        <v>484</v>
      </c>
      <c r="BT315" s="78">
        <v>142.666666666667</v>
      </c>
      <c r="BU315" s="78">
        <v>111.666666666667</v>
      </c>
      <c r="BV315" s="78">
        <f t="shared" si="16"/>
        <v>2266.0000000000032</v>
      </c>
      <c r="BW315" s="78">
        <v>766</v>
      </c>
      <c r="BX315" s="78">
        <v>7842.9406589539403</v>
      </c>
      <c r="BY315" s="78">
        <v>0.46600000000000003</v>
      </c>
      <c r="BZ315" s="78">
        <v>35548</v>
      </c>
      <c r="CA315" s="78">
        <v>5458</v>
      </c>
      <c r="CB315" s="78">
        <v>1145</v>
      </c>
      <c r="CC315" s="78">
        <v>1105</v>
      </c>
      <c r="CD315" s="78">
        <v>1038</v>
      </c>
      <c r="CE315" s="78">
        <v>642</v>
      </c>
      <c r="CF315" s="78">
        <v>533.71425411649102</v>
      </c>
      <c r="CG315" s="78">
        <v>363.60172032440403</v>
      </c>
      <c r="CH315" s="78">
        <v>144.05072499385599</v>
      </c>
      <c r="CI315" s="78">
        <v>1317.81</v>
      </c>
      <c r="CJ315" s="78">
        <v>897.78</v>
      </c>
      <c r="CK315" s="78">
        <v>355.68</v>
      </c>
      <c r="CL315" s="78">
        <v>152737</v>
      </c>
    </row>
    <row r="316" spans="1:90" x14ac:dyDescent="0.35">
      <c r="A316" s="72">
        <v>865</v>
      </c>
      <c r="B316" s="72" t="s">
        <v>324</v>
      </c>
      <c r="C316" s="72">
        <v>10</v>
      </c>
      <c r="D316" s="78">
        <v>4433200000</v>
      </c>
      <c r="E316" s="78">
        <v>499800000</v>
      </c>
      <c r="F316" s="78">
        <v>549150000</v>
      </c>
      <c r="G316" s="78">
        <v>31669</v>
      </c>
      <c r="H316" s="78">
        <v>2</v>
      </c>
      <c r="I316" s="78">
        <f t="shared" si="14"/>
        <v>549.15</v>
      </c>
      <c r="J316" s="78">
        <v>6519</v>
      </c>
      <c r="K316" s="78">
        <v>6902</v>
      </c>
      <c r="L316" s="78">
        <v>2125</v>
      </c>
      <c r="M316" s="78">
        <v>3702</v>
      </c>
      <c r="N316" s="78">
        <f t="shared" si="15"/>
        <v>2280.8000000000002</v>
      </c>
      <c r="O316" s="78">
        <v>256</v>
      </c>
      <c r="P316" s="78">
        <v>81</v>
      </c>
      <c r="Q316" s="78">
        <v>1868</v>
      </c>
      <c r="R316" s="78">
        <v>4320</v>
      </c>
      <c r="S316" s="78">
        <v>705</v>
      </c>
      <c r="T316" s="78">
        <v>0</v>
      </c>
      <c r="U316" s="78">
        <v>919</v>
      </c>
      <c r="V316" s="78">
        <v>14524</v>
      </c>
      <c r="W316" s="78">
        <v>28900</v>
      </c>
      <c r="X316" s="78">
        <v>14140</v>
      </c>
      <c r="Y316" s="78">
        <v>1869.1612</v>
      </c>
      <c r="Z316" s="78">
        <v>1767.2</v>
      </c>
      <c r="AA316" s="78">
        <v>0</v>
      </c>
      <c r="AB316" s="399">
        <f>IF((J316-'[2]Basisgegevens aanvullend'!D316*1.1)&lt;=0,0,J316-'[2]Basisgegevens aanvullend'!D316*1.1)</f>
        <v>0</v>
      </c>
      <c r="AC316" s="399">
        <v>77.199999999999804</v>
      </c>
      <c r="AD316" s="78">
        <v>5993</v>
      </c>
      <c r="AE316" s="78">
        <v>5993</v>
      </c>
      <c r="AF316" s="78">
        <v>118</v>
      </c>
      <c r="AG316" s="78">
        <v>0</v>
      </c>
      <c r="AH316" s="78">
        <v>170</v>
      </c>
      <c r="AI316" s="78">
        <v>38</v>
      </c>
      <c r="AJ316" s="78">
        <v>170</v>
      </c>
      <c r="AK316" s="78">
        <v>38</v>
      </c>
      <c r="AL316" s="78">
        <v>207</v>
      </c>
      <c r="AM316" s="78">
        <v>14212</v>
      </c>
      <c r="AN316" s="78">
        <v>14212</v>
      </c>
      <c r="AO316" s="78">
        <v>0</v>
      </c>
      <c r="AP316" s="78">
        <v>0</v>
      </c>
      <c r="AQ316" s="78">
        <v>0</v>
      </c>
      <c r="AR316" s="78">
        <v>0</v>
      </c>
      <c r="AS316" s="78">
        <v>1311</v>
      </c>
      <c r="AT316" s="78">
        <v>0</v>
      </c>
      <c r="AU316" s="400">
        <v>3.8613100000000001E-4</v>
      </c>
      <c r="AV316" s="400">
        <v>2.15088E-4</v>
      </c>
      <c r="AW316" s="78">
        <v>16485.919999999998</v>
      </c>
      <c r="AX316" s="78">
        <v>0</v>
      </c>
      <c r="AY316" s="78">
        <v>1305</v>
      </c>
      <c r="AZ316" s="78">
        <v>6762.8939617083997</v>
      </c>
      <c r="BA316" s="78">
        <v>5</v>
      </c>
      <c r="BB316" s="78">
        <v>5</v>
      </c>
      <c r="BC316" s="78">
        <v>4539</v>
      </c>
      <c r="BD316" s="78">
        <v>1</v>
      </c>
      <c r="BE316" s="78">
        <v>0</v>
      </c>
      <c r="BF316" s="78">
        <v>0</v>
      </c>
      <c r="BG316" s="78">
        <v>0</v>
      </c>
      <c r="BH316" s="78">
        <v>0</v>
      </c>
      <c r="BI316" s="78">
        <v>0</v>
      </c>
      <c r="BJ316" s="78">
        <v>0</v>
      </c>
      <c r="BK316" s="78">
        <v>0</v>
      </c>
      <c r="BL316" s="78">
        <v>0</v>
      </c>
      <c r="BM316" s="78">
        <v>482.40600000000001</v>
      </c>
      <c r="BN316" s="78">
        <v>55</v>
      </c>
      <c r="BO316" s="78">
        <v>51</v>
      </c>
      <c r="BP316" s="78">
        <v>11005.22</v>
      </c>
      <c r="BQ316" s="78">
        <v>3045.26</v>
      </c>
      <c r="BR316" s="78">
        <v>136.748022332506</v>
      </c>
      <c r="BS316" s="78">
        <v>341</v>
      </c>
      <c r="BT316" s="78">
        <v>65.6666666666667</v>
      </c>
      <c r="BU316" s="78">
        <v>57.3333333333333</v>
      </c>
      <c r="BV316" s="78">
        <f t="shared" si="16"/>
        <v>1612</v>
      </c>
      <c r="BW316" s="78">
        <v>596</v>
      </c>
      <c r="BX316" s="78">
        <v>4692.4218520875802</v>
      </c>
      <c r="BY316" s="78">
        <v>0.152</v>
      </c>
      <c r="BZ316" s="78">
        <v>24767</v>
      </c>
      <c r="CA316" s="78">
        <v>3883</v>
      </c>
      <c r="CB316" s="78">
        <v>894</v>
      </c>
      <c r="CC316" s="78">
        <v>877</v>
      </c>
      <c r="CD316" s="78">
        <v>725</v>
      </c>
      <c r="CE316" s="78">
        <v>405</v>
      </c>
      <c r="CF316" s="78">
        <v>390.29732620320902</v>
      </c>
      <c r="CG316" s="78">
        <v>234.14629890233601</v>
      </c>
      <c r="CH316" s="78">
        <v>92.759808612440196</v>
      </c>
      <c r="CI316" s="78">
        <v>719.87199999999996</v>
      </c>
      <c r="CJ316" s="78">
        <v>431.86399999999998</v>
      </c>
      <c r="CK316" s="78">
        <v>171.08799999999999</v>
      </c>
      <c r="CL316" s="78">
        <v>243402</v>
      </c>
    </row>
    <row r="317" spans="1:90" x14ac:dyDescent="0.35">
      <c r="A317" s="72">
        <v>866</v>
      </c>
      <c r="B317" s="72" t="s">
        <v>326</v>
      </c>
      <c r="C317" s="72">
        <v>10</v>
      </c>
      <c r="D317" s="78">
        <v>2430400000</v>
      </c>
      <c r="E317" s="78">
        <v>152950000</v>
      </c>
      <c r="F317" s="78">
        <v>160300000</v>
      </c>
      <c r="G317" s="78">
        <v>17544</v>
      </c>
      <c r="H317" s="78">
        <v>1</v>
      </c>
      <c r="I317" s="78">
        <f t="shared" si="14"/>
        <v>160.30000000000001</v>
      </c>
      <c r="J317" s="78">
        <v>3543</v>
      </c>
      <c r="K317" s="78">
        <v>4209</v>
      </c>
      <c r="L317" s="78">
        <v>1487</v>
      </c>
      <c r="M317" s="78">
        <v>1772</v>
      </c>
      <c r="N317" s="78">
        <f t="shared" si="15"/>
        <v>986.19999999999993</v>
      </c>
      <c r="O317" s="78">
        <v>180</v>
      </c>
      <c r="P317" s="78">
        <v>21</v>
      </c>
      <c r="Q317" s="78">
        <v>719</v>
      </c>
      <c r="R317" s="78">
        <v>2335</v>
      </c>
      <c r="S317" s="78">
        <v>480</v>
      </c>
      <c r="T317" s="78">
        <v>0</v>
      </c>
      <c r="U317" s="78">
        <v>482</v>
      </c>
      <c r="V317" s="78">
        <v>7703</v>
      </c>
      <c r="W317" s="78">
        <v>14300</v>
      </c>
      <c r="X317" s="78">
        <v>4330</v>
      </c>
      <c r="Y317" s="78">
        <v>0</v>
      </c>
      <c r="Z317" s="78">
        <v>0</v>
      </c>
      <c r="AA317" s="78">
        <v>0</v>
      </c>
      <c r="AB317" s="399">
        <f>IF((J317-'[2]Basisgegevens aanvullend'!D317*1.1)&lt;=0,0,J317-'[2]Basisgegevens aanvullend'!D317*1.1)</f>
        <v>0</v>
      </c>
      <c r="AC317" s="399">
        <v>0</v>
      </c>
      <c r="AD317" s="78">
        <v>2241</v>
      </c>
      <c r="AE317" s="78">
        <v>2241</v>
      </c>
      <c r="AF317" s="78">
        <v>25</v>
      </c>
      <c r="AG317" s="78">
        <v>0</v>
      </c>
      <c r="AH317" s="78">
        <v>95</v>
      </c>
      <c r="AI317" s="78">
        <v>11</v>
      </c>
      <c r="AJ317" s="78">
        <v>95</v>
      </c>
      <c r="AK317" s="78">
        <v>11</v>
      </c>
      <c r="AL317" s="78">
        <v>106</v>
      </c>
      <c r="AM317" s="78">
        <v>7858</v>
      </c>
      <c r="AN317" s="78">
        <v>7858</v>
      </c>
      <c r="AO317" s="78">
        <v>0</v>
      </c>
      <c r="AP317" s="78">
        <v>0</v>
      </c>
      <c r="AQ317" s="78">
        <v>0</v>
      </c>
      <c r="AR317" s="78">
        <v>0</v>
      </c>
      <c r="AS317" s="78">
        <v>559</v>
      </c>
      <c r="AT317" s="78">
        <v>0</v>
      </c>
      <c r="AU317" s="400">
        <v>1.1101E-4</v>
      </c>
      <c r="AV317" s="400">
        <v>9.2660999999999999E-5</v>
      </c>
      <c r="AW317" s="78">
        <v>6742.1639999999998</v>
      </c>
      <c r="AX317" s="78">
        <v>0</v>
      </c>
      <c r="AY317" s="78">
        <v>358</v>
      </c>
      <c r="AZ317" s="78">
        <v>2771.7352162400698</v>
      </c>
      <c r="BA317" s="78">
        <v>1</v>
      </c>
      <c r="BB317" s="78">
        <v>1</v>
      </c>
      <c r="BC317" s="78">
        <v>2227</v>
      </c>
      <c r="BD317" s="78">
        <v>1</v>
      </c>
      <c r="BE317" s="78">
        <v>0</v>
      </c>
      <c r="BF317" s="78">
        <v>0</v>
      </c>
      <c r="BG317" s="78">
        <v>0</v>
      </c>
      <c r="BH317" s="78">
        <v>0</v>
      </c>
      <c r="BI317" s="78">
        <v>0</v>
      </c>
      <c r="BJ317" s="78">
        <v>0</v>
      </c>
      <c r="BK317" s="78">
        <v>0</v>
      </c>
      <c r="BL317" s="78">
        <v>0</v>
      </c>
      <c r="BM317" s="78">
        <v>279.89699999999999</v>
      </c>
      <c r="BN317" s="78">
        <v>18</v>
      </c>
      <c r="BO317" s="78">
        <v>14</v>
      </c>
      <c r="BP317" s="78">
        <v>7001.2</v>
      </c>
      <c r="BQ317" s="78">
        <v>1708.68</v>
      </c>
      <c r="BR317" s="78">
        <v>118.01191672700899</v>
      </c>
      <c r="BS317" s="78">
        <v>183</v>
      </c>
      <c r="BT317" s="78">
        <v>60</v>
      </c>
      <c r="BU317" s="78">
        <v>44</v>
      </c>
      <c r="BV317" s="78">
        <f t="shared" si="16"/>
        <v>539</v>
      </c>
      <c r="BW317" s="78">
        <v>96</v>
      </c>
      <c r="BX317" s="78">
        <v>2710.8776535288698</v>
      </c>
      <c r="BY317" s="78">
        <v>0.26300000000000001</v>
      </c>
      <c r="BZ317" s="78">
        <v>13335</v>
      </c>
      <c r="CA317" s="78">
        <v>2107</v>
      </c>
      <c r="CB317" s="78">
        <v>615</v>
      </c>
      <c r="CC317" s="78">
        <v>422</v>
      </c>
      <c r="CD317" s="78">
        <v>488</v>
      </c>
      <c r="CE317" s="78">
        <v>316</v>
      </c>
      <c r="CF317" s="78">
        <v>163.404479511326</v>
      </c>
      <c r="CG317" s="78">
        <v>129.016747263935</v>
      </c>
      <c r="CH317" s="78">
        <v>58.609748027487903</v>
      </c>
      <c r="CI317" s="78">
        <v>339.5616</v>
      </c>
      <c r="CJ317" s="78">
        <v>268.10239999999999</v>
      </c>
      <c r="CK317" s="78">
        <v>121.7936</v>
      </c>
      <c r="CL317" s="78">
        <v>0</v>
      </c>
    </row>
    <row r="318" spans="1:90" x14ac:dyDescent="0.35">
      <c r="A318" s="72">
        <v>867</v>
      </c>
      <c r="B318" s="72" t="s">
        <v>327</v>
      </c>
      <c r="C318" s="72">
        <v>10</v>
      </c>
      <c r="D318" s="78">
        <v>4742400000</v>
      </c>
      <c r="E318" s="78">
        <v>1227800000</v>
      </c>
      <c r="F318" s="78">
        <v>1259650000</v>
      </c>
      <c r="G318" s="78">
        <v>48815</v>
      </c>
      <c r="H318" s="78">
        <v>2</v>
      </c>
      <c r="I318" s="78">
        <f t="shared" si="14"/>
        <v>1259.6500000000001</v>
      </c>
      <c r="J318" s="78">
        <v>8933</v>
      </c>
      <c r="K318" s="78">
        <v>10481</v>
      </c>
      <c r="L318" s="78">
        <v>3499</v>
      </c>
      <c r="M318" s="78">
        <v>7054</v>
      </c>
      <c r="N318" s="78">
        <f t="shared" si="15"/>
        <v>4847.6000000000004</v>
      </c>
      <c r="O318" s="78">
        <v>668.33333333333303</v>
      </c>
      <c r="P318" s="78">
        <v>101</v>
      </c>
      <c r="Q318" s="78">
        <v>3047.3333333333298</v>
      </c>
      <c r="R318" s="78">
        <v>7489</v>
      </c>
      <c r="S318" s="78">
        <v>2830</v>
      </c>
      <c r="T318" s="78">
        <v>0</v>
      </c>
      <c r="U318" s="78">
        <v>1555</v>
      </c>
      <c r="V318" s="78">
        <v>22478</v>
      </c>
      <c r="W318" s="78">
        <v>51640</v>
      </c>
      <c r="X318" s="78">
        <v>39920</v>
      </c>
      <c r="Y318" s="78">
        <v>732.6</v>
      </c>
      <c r="Z318" s="78">
        <v>3060.8</v>
      </c>
      <c r="AA318" s="78">
        <v>0</v>
      </c>
      <c r="AB318" s="399">
        <f>IF((J318-'[2]Basisgegevens aanvullend'!D318*1.1)&lt;=0,0,J318-'[2]Basisgegevens aanvullend'!D318*1.1)</f>
        <v>0</v>
      </c>
      <c r="AC318" s="399">
        <v>0</v>
      </c>
      <c r="AD318" s="78">
        <v>6449</v>
      </c>
      <c r="AE318" s="78">
        <v>6449</v>
      </c>
      <c r="AF318" s="78">
        <v>316</v>
      </c>
      <c r="AG318" s="78">
        <v>0</v>
      </c>
      <c r="AH318" s="78">
        <v>342</v>
      </c>
      <c r="AI318" s="78">
        <v>106</v>
      </c>
      <c r="AJ318" s="78">
        <v>342</v>
      </c>
      <c r="AK318" s="78">
        <v>106</v>
      </c>
      <c r="AL318" s="78">
        <v>449</v>
      </c>
      <c r="AM318" s="78">
        <v>22064</v>
      </c>
      <c r="AN318" s="78">
        <v>22064</v>
      </c>
      <c r="AO318" s="78">
        <v>0</v>
      </c>
      <c r="AP318" s="78">
        <v>0</v>
      </c>
      <c r="AQ318" s="78">
        <v>0</v>
      </c>
      <c r="AR318" s="78">
        <v>0</v>
      </c>
      <c r="AS318" s="78">
        <v>1316</v>
      </c>
      <c r="AT318" s="78">
        <v>0</v>
      </c>
      <c r="AU318" s="400">
        <v>6.2302500000000003E-4</v>
      </c>
      <c r="AV318" s="400">
        <v>6.6022499999999996E-4</v>
      </c>
      <c r="AW318" s="78">
        <v>28925.903999999999</v>
      </c>
      <c r="AX318" s="78">
        <v>0</v>
      </c>
      <c r="AY318" s="78">
        <v>2211</v>
      </c>
      <c r="AZ318" s="78">
        <v>15954.1707317073</v>
      </c>
      <c r="BA318" s="78">
        <v>3</v>
      </c>
      <c r="BB318" s="78">
        <v>3</v>
      </c>
      <c r="BC318" s="78">
        <v>5925</v>
      </c>
      <c r="BD318" s="78">
        <v>1</v>
      </c>
      <c r="BE318" s="78">
        <v>0</v>
      </c>
      <c r="BF318" s="78">
        <v>0</v>
      </c>
      <c r="BG318" s="78">
        <v>0</v>
      </c>
      <c r="BH318" s="78">
        <v>0</v>
      </c>
      <c r="BI318" s="78">
        <v>0</v>
      </c>
      <c r="BJ318" s="78">
        <v>0</v>
      </c>
      <c r="BK318" s="78">
        <v>0</v>
      </c>
      <c r="BL318" s="78">
        <v>0</v>
      </c>
      <c r="BM318" s="78">
        <v>946.89800000000002</v>
      </c>
      <c r="BN318" s="78">
        <v>193</v>
      </c>
      <c r="BO318" s="78">
        <v>134</v>
      </c>
      <c r="BP318" s="78">
        <v>14510.76</v>
      </c>
      <c r="BQ318" s="78">
        <v>3305.6</v>
      </c>
      <c r="BR318" s="78">
        <v>351.76698926606701</v>
      </c>
      <c r="BS318" s="78">
        <v>599</v>
      </c>
      <c r="BT318" s="78">
        <v>205.666666666667</v>
      </c>
      <c r="BU318" s="78">
        <v>180</v>
      </c>
      <c r="BV318" s="78">
        <f t="shared" si="16"/>
        <v>2378.9999999999968</v>
      </c>
      <c r="BW318" s="78">
        <v>500</v>
      </c>
      <c r="BX318" s="78">
        <v>9477.1175524806204</v>
      </c>
      <c r="BY318" s="78">
        <v>1.2569999999999999</v>
      </c>
      <c r="BZ318" s="78">
        <v>38334</v>
      </c>
      <c r="CA318" s="78">
        <v>5928</v>
      </c>
      <c r="CB318" s="78">
        <v>1054</v>
      </c>
      <c r="CC318" s="78">
        <v>1243</v>
      </c>
      <c r="CD318" s="78">
        <v>1142</v>
      </c>
      <c r="CE318" s="78">
        <v>539</v>
      </c>
      <c r="CF318" s="78">
        <v>804.34479695431503</v>
      </c>
      <c r="CG318" s="78">
        <v>529.93161711385096</v>
      </c>
      <c r="CH318" s="78">
        <v>164.77973168963001</v>
      </c>
      <c r="CI318" s="78">
        <v>1717.7411999999999</v>
      </c>
      <c r="CJ318" s="78">
        <v>1131.7103999999999</v>
      </c>
      <c r="CK318" s="78">
        <v>351.9</v>
      </c>
      <c r="CL318" s="78">
        <v>24872</v>
      </c>
    </row>
    <row r="319" spans="1:90" x14ac:dyDescent="0.35">
      <c r="A319" s="72">
        <v>873</v>
      </c>
      <c r="B319" s="72" t="s">
        <v>348</v>
      </c>
      <c r="C319" s="72">
        <v>10</v>
      </c>
      <c r="D319" s="78">
        <v>2144000000</v>
      </c>
      <c r="E319" s="78">
        <v>417200000</v>
      </c>
      <c r="F319" s="78">
        <v>442400000</v>
      </c>
      <c r="G319" s="78">
        <v>22028</v>
      </c>
      <c r="H319" s="78">
        <v>4</v>
      </c>
      <c r="I319" s="78">
        <f t="shared" si="14"/>
        <v>442.4</v>
      </c>
      <c r="J319" s="78">
        <v>3710</v>
      </c>
      <c r="K319" s="78">
        <v>5431</v>
      </c>
      <c r="L319" s="78">
        <v>1930</v>
      </c>
      <c r="M319" s="78">
        <v>2719</v>
      </c>
      <c r="N319" s="78">
        <f t="shared" si="15"/>
        <v>1667.6</v>
      </c>
      <c r="O319" s="78">
        <v>256.66666666666703</v>
      </c>
      <c r="P319" s="78">
        <v>21</v>
      </c>
      <c r="Q319" s="78">
        <v>1144.6666666666699</v>
      </c>
      <c r="R319" s="78">
        <v>2910</v>
      </c>
      <c r="S319" s="78">
        <v>415</v>
      </c>
      <c r="T319" s="78">
        <v>0</v>
      </c>
      <c r="U319" s="78">
        <v>592</v>
      </c>
      <c r="V319" s="78">
        <v>10078</v>
      </c>
      <c r="W319" s="78">
        <v>20190</v>
      </c>
      <c r="X319" s="78">
        <v>5820</v>
      </c>
      <c r="Y319" s="78">
        <v>207.6</v>
      </c>
      <c r="Z319" s="78">
        <v>461.6</v>
      </c>
      <c r="AA319" s="78">
        <v>0</v>
      </c>
      <c r="AB319" s="399">
        <f>IF((J319-'[2]Basisgegevens aanvullend'!D319*1.1)&lt;=0,0,J319-'[2]Basisgegevens aanvullend'!D319*1.1)</f>
        <v>0</v>
      </c>
      <c r="AC319" s="399">
        <v>102.9</v>
      </c>
      <c r="AD319" s="78">
        <v>9142</v>
      </c>
      <c r="AE319" s="78">
        <v>9690.52</v>
      </c>
      <c r="AF319" s="78">
        <v>55</v>
      </c>
      <c r="AG319" s="78">
        <v>0</v>
      </c>
      <c r="AH319" s="78">
        <v>157</v>
      </c>
      <c r="AI319" s="78">
        <v>62</v>
      </c>
      <c r="AJ319" s="78">
        <v>157</v>
      </c>
      <c r="AK319" s="78">
        <v>66.34</v>
      </c>
      <c r="AL319" s="78">
        <v>219</v>
      </c>
      <c r="AM319" s="78">
        <v>10514</v>
      </c>
      <c r="AN319" s="78">
        <v>10514</v>
      </c>
      <c r="AO319" s="78">
        <v>0</v>
      </c>
      <c r="AP319" s="78">
        <v>0</v>
      </c>
      <c r="AQ319" s="78">
        <v>0</v>
      </c>
      <c r="AR319" s="78">
        <v>0</v>
      </c>
      <c r="AS319" s="78">
        <v>0</v>
      </c>
      <c r="AT319" s="78">
        <v>0</v>
      </c>
      <c r="AU319" s="400">
        <v>1.8531600000000001E-4</v>
      </c>
      <c r="AV319" s="400">
        <v>1.19698E-4</v>
      </c>
      <c r="AW319" s="78">
        <v>6991.81</v>
      </c>
      <c r="AX319" s="78">
        <v>0</v>
      </c>
      <c r="AY319" s="78">
        <v>608.44000000000005</v>
      </c>
      <c r="AZ319" s="78">
        <v>1858.4283744699401</v>
      </c>
      <c r="BA319" s="78">
        <v>6</v>
      </c>
      <c r="BB319" s="78">
        <v>6.42</v>
      </c>
      <c r="BC319" s="78">
        <v>2118</v>
      </c>
      <c r="BD319" s="78">
        <v>1</v>
      </c>
      <c r="BE319" s="78">
        <v>0</v>
      </c>
      <c r="BF319" s="78">
        <v>0</v>
      </c>
      <c r="BG319" s="78">
        <v>0</v>
      </c>
      <c r="BH319" s="78">
        <v>0</v>
      </c>
      <c r="BI319" s="78">
        <v>0</v>
      </c>
      <c r="BJ319" s="78">
        <v>0</v>
      </c>
      <c r="BK319" s="78">
        <v>0</v>
      </c>
      <c r="BL319" s="78">
        <v>0</v>
      </c>
      <c r="BM319" s="78">
        <v>385.84</v>
      </c>
      <c r="BN319" s="78">
        <v>89</v>
      </c>
      <c r="BO319" s="78">
        <v>54</v>
      </c>
      <c r="BP319" s="78">
        <v>6741.99</v>
      </c>
      <c r="BQ319" s="78">
        <v>1372.16</v>
      </c>
      <c r="BR319" s="78">
        <v>84.621183449954401</v>
      </c>
      <c r="BS319" s="78">
        <v>215</v>
      </c>
      <c r="BT319" s="78">
        <v>84.3333333333333</v>
      </c>
      <c r="BU319" s="78">
        <v>65.6666666666667</v>
      </c>
      <c r="BV319" s="78">
        <f t="shared" si="16"/>
        <v>888.00000000000296</v>
      </c>
      <c r="BW319" s="78">
        <v>208</v>
      </c>
      <c r="BX319" s="78">
        <v>4271.3536588041698</v>
      </c>
      <c r="BY319" s="78">
        <v>0.48099999999999998</v>
      </c>
      <c r="BZ319" s="78">
        <v>16597</v>
      </c>
      <c r="CA319" s="78">
        <v>2960</v>
      </c>
      <c r="CB319" s="78">
        <v>541</v>
      </c>
      <c r="CC319" s="78">
        <v>515</v>
      </c>
      <c r="CD319" s="78">
        <v>557</v>
      </c>
      <c r="CE319" s="78">
        <v>273</v>
      </c>
      <c r="CF319" s="78">
        <v>279.94236256419998</v>
      </c>
      <c r="CG319" s="78">
        <v>208.72756324900101</v>
      </c>
      <c r="CH319" s="78">
        <v>62.3327753471562</v>
      </c>
      <c r="CI319" s="78">
        <v>785.95450000000005</v>
      </c>
      <c r="CJ319" s="78">
        <v>586.01480000000004</v>
      </c>
      <c r="CK319" s="78">
        <v>175.00290000000001</v>
      </c>
      <c r="CL319" s="78">
        <v>7938</v>
      </c>
    </row>
    <row r="320" spans="1:90" x14ac:dyDescent="0.35">
      <c r="A320" s="72">
        <v>879</v>
      </c>
      <c r="B320" s="72" t="s">
        <v>361</v>
      </c>
      <c r="C320" s="72">
        <v>10</v>
      </c>
      <c r="D320" s="78">
        <v>2360000000</v>
      </c>
      <c r="E320" s="78">
        <v>297150000</v>
      </c>
      <c r="F320" s="78">
        <v>344750000</v>
      </c>
      <c r="G320" s="78">
        <v>21988</v>
      </c>
      <c r="H320" s="78">
        <v>2</v>
      </c>
      <c r="I320" s="78">
        <f t="shared" si="14"/>
        <v>344.75</v>
      </c>
      <c r="J320" s="78">
        <v>3536</v>
      </c>
      <c r="K320" s="78">
        <v>4971</v>
      </c>
      <c r="L320" s="78">
        <v>1560</v>
      </c>
      <c r="M320" s="78">
        <v>2707</v>
      </c>
      <c r="N320" s="78">
        <f t="shared" si="15"/>
        <v>1726.9</v>
      </c>
      <c r="O320" s="78">
        <v>185.333333333333</v>
      </c>
      <c r="P320" s="78">
        <v>19</v>
      </c>
      <c r="Q320" s="78">
        <v>1105.3333333333301</v>
      </c>
      <c r="R320" s="78">
        <v>2958</v>
      </c>
      <c r="S320" s="78">
        <v>455</v>
      </c>
      <c r="T320" s="78">
        <v>0</v>
      </c>
      <c r="U320" s="78">
        <v>508</v>
      </c>
      <c r="V320" s="78">
        <v>10040</v>
      </c>
      <c r="W320" s="78">
        <v>18480</v>
      </c>
      <c r="X320" s="78">
        <v>4950</v>
      </c>
      <c r="Y320" s="78">
        <v>439.42</v>
      </c>
      <c r="Z320" s="78">
        <v>244.8</v>
      </c>
      <c r="AA320" s="78">
        <v>0</v>
      </c>
      <c r="AB320" s="399">
        <f>IF((J320-'[2]Basisgegevens aanvullend'!D320*1.1)&lt;=0,0,J320-'[2]Basisgegevens aanvullend'!D320*1.1)</f>
        <v>0</v>
      </c>
      <c r="AC320" s="399">
        <v>0</v>
      </c>
      <c r="AD320" s="78">
        <v>12058</v>
      </c>
      <c r="AE320" s="78">
        <v>12058</v>
      </c>
      <c r="AF320" s="78">
        <v>62</v>
      </c>
      <c r="AG320" s="78">
        <v>0</v>
      </c>
      <c r="AH320" s="78">
        <v>111</v>
      </c>
      <c r="AI320" s="78">
        <v>136</v>
      </c>
      <c r="AJ320" s="78">
        <v>111</v>
      </c>
      <c r="AK320" s="78">
        <v>136</v>
      </c>
      <c r="AL320" s="78">
        <v>247</v>
      </c>
      <c r="AM320" s="78">
        <v>9801</v>
      </c>
      <c r="AN320" s="78">
        <v>9801</v>
      </c>
      <c r="AO320" s="78">
        <v>0</v>
      </c>
      <c r="AP320" s="78">
        <v>0</v>
      </c>
      <c r="AQ320" s="78">
        <v>0</v>
      </c>
      <c r="AR320" s="78">
        <v>0</v>
      </c>
      <c r="AS320" s="78">
        <v>0</v>
      </c>
      <c r="AT320" s="78">
        <v>0</v>
      </c>
      <c r="AU320" s="400">
        <v>2.1311799999999999E-4</v>
      </c>
      <c r="AV320" s="400">
        <v>9.6386999999999997E-5</v>
      </c>
      <c r="AW320" s="78">
        <v>5537.5649999999996</v>
      </c>
      <c r="AX320" s="78">
        <v>0</v>
      </c>
      <c r="AY320" s="78">
        <v>1509</v>
      </c>
      <c r="AZ320" s="78">
        <v>2737.6148514851502</v>
      </c>
      <c r="BA320" s="78">
        <v>6</v>
      </c>
      <c r="BB320" s="78">
        <v>6</v>
      </c>
      <c r="BC320" s="78">
        <v>2777</v>
      </c>
      <c r="BD320" s="78">
        <v>1</v>
      </c>
      <c r="BE320" s="78">
        <v>0</v>
      </c>
      <c r="BF320" s="78">
        <v>0</v>
      </c>
      <c r="BG320" s="78">
        <v>0</v>
      </c>
      <c r="BH320" s="78">
        <v>0</v>
      </c>
      <c r="BI320" s="78">
        <v>0</v>
      </c>
      <c r="BJ320" s="78">
        <v>0</v>
      </c>
      <c r="BK320" s="78">
        <v>0</v>
      </c>
      <c r="BL320" s="78">
        <v>0</v>
      </c>
      <c r="BM320" s="78">
        <v>332.38400000000001</v>
      </c>
      <c r="BN320" s="78">
        <v>39</v>
      </c>
      <c r="BO320" s="78">
        <v>41</v>
      </c>
      <c r="BP320" s="78">
        <v>6523.92</v>
      </c>
      <c r="BQ320" s="78">
        <v>1447.59</v>
      </c>
      <c r="BR320" s="78">
        <v>91.790013236684501</v>
      </c>
      <c r="BS320" s="78">
        <v>179</v>
      </c>
      <c r="BT320" s="78">
        <v>70.3333333333333</v>
      </c>
      <c r="BU320" s="78">
        <v>49.6666666666667</v>
      </c>
      <c r="BV320" s="78">
        <f t="shared" si="16"/>
        <v>919.99999999999704</v>
      </c>
      <c r="BW320" s="78">
        <v>282</v>
      </c>
      <c r="BX320" s="78">
        <v>4273.4220422373901</v>
      </c>
      <c r="BY320" s="78">
        <v>0.189</v>
      </c>
      <c r="BZ320" s="78">
        <v>17017</v>
      </c>
      <c r="CA320" s="78">
        <v>2795</v>
      </c>
      <c r="CB320" s="78">
        <v>616</v>
      </c>
      <c r="CC320" s="78">
        <v>510</v>
      </c>
      <c r="CD320" s="78">
        <v>487</v>
      </c>
      <c r="CE320" s="78">
        <v>290</v>
      </c>
      <c r="CF320" s="78">
        <v>306.22918069584699</v>
      </c>
      <c r="CG320" s="78">
        <v>183.59655137230899</v>
      </c>
      <c r="CH320" s="78">
        <v>73.121467197224803</v>
      </c>
      <c r="CI320" s="78">
        <v>767.15319999999997</v>
      </c>
      <c r="CJ320" s="78">
        <v>459.93880000000001</v>
      </c>
      <c r="CK320" s="78">
        <v>183.18100000000001</v>
      </c>
      <c r="CL320" s="78">
        <v>60225</v>
      </c>
    </row>
    <row r="321" spans="1:90" x14ac:dyDescent="0.35">
      <c r="A321" s="72">
        <v>888</v>
      </c>
      <c r="B321" s="72" t="s">
        <v>36</v>
      </c>
      <c r="C321" s="72">
        <v>11</v>
      </c>
      <c r="D321" s="78">
        <v>1424400000</v>
      </c>
      <c r="E321" s="78">
        <v>326550000</v>
      </c>
      <c r="F321" s="78">
        <v>333200000</v>
      </c>
      <c r="G321" s="78">
        <v>15875</v>
      </c>
      <c r="H321" s="78">
        <v>2</v>
      </c>
      <c r="I321" s="78">
        <f t="shared" si="14"/>
        <v>333.2</v>
      </c>
      <c r="J321" s="78">
        <v>2426</v>
      </c>
      <c r="K321" s="78">
        <v>4193</v>
      </c>
      <c r="L321" s="78">
        <v>1427</v>
      </c>
      <c r="M321" s="78">
        <v>2200</v>
      </c>
      <c r="N321" s="78">
        <f t="shared" si="15"/>
        <v>1447.5</v>
      </c>
      <c r="O321" s="78">
        <v>233.666666666667</v>
      </c>
      <c r="P321" s="78">
        <v>12</v>
      </c>
      <c r="Q321" s="78">
        <v>1169.6666666666699</v>
      </c>
      <c r="R321" s="78">
        <v>2341</v>
      </c>
      <c r="S321" s="78">
        <v>405</v>
      </c>
      <c r="T321" s="78">
        <v>0</v>
      </c>
      <c r="U321" s="78">
        <v>510</v>
      </c>
      <c r="V321" s="78">
        <v>7485</v>
      </c>
      <c r="W321" s="78">
        <v>13500</v>
      </c>
      <c r="X321" s="78">
        <v>4830</v>
      </c>
      <c r="Y321" s="78">
        <v>0</v>
      </c>
      <c r="Z321" s="78">
        <v>0</v>
      </c>
      <c r="AA321" s="78">
        <v>0</v>
      </c>
      <c r="AB321" s="399">
        <f>IF((J321-'[2]Basisgegevens aanvullend'!D321*1.1)&lt;=0,0,J321-'[2]Basisgegevens aanvullend'!D321*1.1)</f>
        <v>0</v>
      </c>
      <c r="AC321" s="399">
        <v>0</v>
      </c>
      <c r="AD321" s="78">
        <v>2103</v>
      </c>
      <c r="AE321" s="78">
        <v>2103</v>
      </c>
      <c r="AF321" s="78">
        <v>0</v>
      </c>
      <c r="AG321" s="78">
        <v>0</v>
      </c>
      <c r="AH321" s="78">
        <v>99</v>
      </c>
      <c r="AI321" s="78">
        <v>30</v>
      </c>
      <c r="AJ321" s="78">
        <v>99</v>
      </c>
      <c r="AK321" s="78">
        <v>30</v>
      </c>
      <c r="AL321" s="78">
        <v>128</v>
      </c>
      <c r="AM321" s="78">
        <v>7525</v>
      </c>
      <c r="AN321" s="78">
        <v>7525</v>
      </c>
      <c r="AO321" s="78">
        <v>0</v>
      </c>
      <c r="AP321" s="78">
        <v>0</v>
      </c>
      <c r="AQ321" s="78">
        <v>0</v>
      </c>
      <c r="AR321" s="78">
        <v>0</v>
      </c>
      <c r="AS321" s="78">
        <v>644</v>
      </c>
      <c r="AT321" s="78">
        <v>0</v>
      </c>
      <c r="AU321" s="400">
        <v>3.9243999999999998E-4</v>
      </c>
      <c r="AV321" s="400">
        <v>5.1533299999999998E-4</v>
      </c>
      <c r="AW321" s="78">
        <v>6704.7749999999996</v>
      </c>
      <c r="AX321" s="78">
        <v>0</v>
      </c>
      <c r="AY321" s="78">
        <v>78</v>
      </c>
      <c r="AZ321" s="78">
        <v>588.80171184022799</v>
      </c>
      <c r="BA321" s="78">
        <v>3</v>
      </c>
      <c r="BB321" s="78">
        <v>3</v>
      </c>
      <c r="BC321" s="78">
        <v>1810</v>
      </c>
      <c r="BD321" s="78">
        <v>1</v>
      </c>
      <c r="BE321" s="78">
        <v>0</v>
      </c>
      <c r="BF321" s="78">
        <v>0</v>
      </c>
      <c r="BG321" s="78">
        <v>0</v>
      </c>
      <c r="BH321" s="78">
        <v>0</v>
      </c>
      <c r="BI321" s="78">
        <v>0</v>
      </c>
      <c r="BJ321" s="78">
        <v>0</v>
      </c>
      <c r="BK321" s="78">
        <v>0</v>
      </c>
      <c r="BL321" s="78">
        <v>0</v>
      </c>
      <c r="BM321" s="78">
        <v>276.56400000000002</v>
      </c>
      <c r="BN321" s="78">
        <v>32</v>
      </c>
      <c r="BO321" s="78">
        <v>30</v>
      </c>
      <c r="BP321" s="78">
        <v>5061.84</v>
      </c>
      <c r="BQ321" s="78">
        <v>988.72</v>
      </c>
      <c r="BR321" s="78">
        <v>70.979257731958796</v>
      </c>
      <c r="BS321" s="78">
        <v>182</v>
      </c>
      <c r="BT321" s="78">
        <v>59.3333333333333</v>
      </c>
      <c r="BU321" s="78">
        <v>51.6666666666667</v>
      </c>
      <c r="BV321" s="78">
        <f t="shared" si="16"/>
        <v>936.00000000000296</v>
      </c>
      <c r="BW321" s="78">
        <v>179</v>
      </c>
      <c r="BX321" s="78">
        <v>3384.3318625906099</v>
      </c>
      <c r="BY321" s="78">
        <v>0.58699999999999997</v>
      </c>
      <c r="BZ321" s="78">
        <v>11682</v>
      </c>
      <c r="CA321" s="78">
        <v>2281</v>
      </c>
      <c r="CB321" s="78">
        <v>485</v>
      </c>
      <c r="CC321" s="78">
        <v>471</v>
      </c>
      <c r="CD321" s="78">
        <v>439</v>
      </c>
      <c r="CE321" s="78">
        <v>234</v>
      </c>
      <c r="CF321" s="78">
        <v>272.76478405315601</v>
      </c>
      <c r="CG321" s="78">
        <v>187.93455149501699</v>
      </c>
      <c r="CH321" s="78">
        <v>66.748504983388699</v>
      </c>
      <c r="CI321" s="78">
        <v>631.43539999999996</v>
      </c>
      <c r="CJ321" s="78">
        <v>435.05810000000002</v>
      </c>
      <c r="CK321" s="78">
        <v>154.51910000000001</v>
      </c>
      <c r="CL321" s="78">
        <v>0</v>
      </c>
    </row>
    <row r="322" spans="1:90" x14ac:dyDescent="0.35">
      <c r="A322" s="72">
        <v>1954</v>
      </c>
      <c r="B322" s="72" t="s">
        <v>37</v>
      </c>
      <c r="C322" s="72">
        <v>11</v>
      </c>
      <c r="D322" s="78">
        <v>3221200000</v>
      </c>
      <c r="E322" s="78">
        <v>245000000</v>
      </c>
      <c r="F322" s="78">
        <v>278250000</v>
      </c>
      <c r="G322" s="78">
        <v>36065</v>
      </c>
      <c r="H322" s="78">
        <v>7</v>
      </c>
      <c r="I322" s="78">
        <f t="shared" si="14"/>
        <v>278.25</v>
      </c>
      <c r="J322" s="78">
        <v>5726</v>
      </c>
      <c r="K322" s="78">
        <v>9474</v>
      </c>
      <c r="L322" s="78">
        <v>3251</v>
      </c>
      <c r="M322" s="78">
        <v>4884</v>
      </c>
      <c r="N322" s="78">
        <f t="shared" si="15"/>
        <v>3199.7</v>
      </c>
      <c r="O322" s="78">
        <v>432.33333333333297</v>
      </c>
      <c r="P322" s="78">
        <v>35</v>
      </c>
      <c r="Q322" s="78">
        <v>2765.3333333333298</v>
      </c>
      <c r="R322" s="78">
        <v>4871</v>
      </c>
      <c r="S322" s="78">
        <v>650</v>
      </c>
      <c r="T322" s="78">
        <v>0</v>
      </c>
      <c r="U322" s="78">
        <v>1137</v>
      </c>
      <c r="V322" s="78">
        <v>16871</v>
      </c>
      <c r="W322" s="78">
        <v>25870</v>
      </c>
      <c r="X322" s="78">
        <v>5010</v>
      </c>
      <c r="Y322" s="78">
        <v>0</v>
      </c>
      <c r="Z322" s="78">
        <v>0</v>
      </c>
      <c r="AA322" s="78">
        <v>0</v>
      </c>
      <c r="AB322" s="399">
        <f>IF((J322-'[2]Basisgegevens aanvullend'!D322*1.1)&lt;=0,0,J322-'[2]Basisgegevens aanvullend'!D322*1.1)</f>
        <v>0</v>
      </c>
      <c r="AC322" s="399">
        <v>0</v>
      </c>
      <c r="AD322" s="78">
        <v>7831</v>
      </c>
      <c r="AE322" s="78">
        <v>7831</v>
      </c>
      <c r="AF322" s="78">
        <v>18</v>
      </c>
      <c r="AG322" s="78">
        <v>0</v>
      </c>
      <c r="AH322" s="78">
        <v>244</v>
      </c>
      <c r="AI322" s="78">
        <v>38</v>
      </c>
      <c r="AJ322" s="78">
        <v>244</v>
      </c>
      <c r="AK322" s="78">
        <v>38</v>
      </c>
      <c r="AL322" s="78">
        <v>281</v>
      </c>
      <c r="AM322" s="78">
        <v>16843</v>
      </c>
      <c r="AN322" s="78">
        <v>16843</v>
      </c>
      <c r="AO322" s="78">
        <v>0</v>
      </c>
      <c r="AP322" s="78">
        <v>0</v>
      </c>
      <c r="AQ322" s="78">
        <v>0</v>
      </c>
      <c r="AR322" s="78">
        <v>0</v>
      </c>
      <c r="AS322" s="78">
        <v>519</v>
      </c>
      <c r="AT322" s="78">
        <v>0</v>
      </c>
      <c r="AU322" s="400">
        <v>9.7348599999999997E-4</v>
      </c>
      <c r="AV322" s="400">
        <v>5.1974499999999995E-4</v>
      </c>
      <c r="AW322" s="78">
        <v>8438.3430000000008</v>
      </c>
      <c r="AX322" s="78">
        <v>0</v>
      </c>
      <c r="AY322" s="78">
        <v>481</v>
      </c>
      <c r="AZ322" s="78">
        <v>2210.1242196458102</v>
      </c>
      <c r="BA322" s="78">
        <v>12</v>
      </c>
      <c r="BB322" s="78">
        <v>12</v>
      </c>
      <c r="BC322" s="78">
        <v>3615</v>
      </c>
      <c r="BD322" s="78">
        <v>1</v>
      </c>
      <c r="BE322" s="78">
        <v>0</v>
      </c>
      <c r="BF322" s="78">
        <v>0</v>
      </c>
      <c r="BG322" s="78">
        <v>0</v>
      </c>
      <c r="BH322" s="78">
        <v>0</v>
      </c>
      <c r="BI322" s="78">
        <v>0</v>
      </c>
      <c r="BJ322" s="78">
        <v>0</v>
      </c>
      <c r="BK322" s="78">
        <v>0</v>
      </c>
      <c r="BL322" s="78">
        <v>0</v>
      </c>
      <c r="BM322" s="78">
        <v>595.50400000000002</v>
      </c>
      <c r="BN322" s="78">
        <v>55</v>
      </c>
      <c r="BO322" s="78">
        <v>53</v>
      </c>
      <c r="BP322" s="78">
        <v>11043.88</v>
      </c>
      <c r="BQ322" s="78">
        <v>2273.31</v>
      </c>
      <c r="BR322" s="78">
        <v>176.01928692380099</v>
      </c>
      <c r="BS322" s="78">
        <v>357</v>
      </c>
      <c r="BT322" s="78">
        <v>124.666666666667</v>
      </c>
      <c r="BU322" s="78">
        <v>99</v>
      </c>
      <c r="BV322" s="78">
        <f t="shared" si="16"/>
        <v>2332.9999999999968</v>
      </c>
      <c r="BW322" s="78">
        <v>455</v>
      </c>
      <c r="BX322" s="78">
        <v>7368.3871834826596</v>
      </c>
      <c r="BY322" s="78">
        <v>0.97499999999999998</v>
      </c>
      <c r="BZ322" s="78">
        <v>26591</v>
      </c>
      <c r="CA322" s="78">
        <v>5185</v>
      </c>
      <c r="CB322" s="78">
        <v>1038</v>
      </c>
      <c r="CC322" s="78">
        <v>896</v>
      </c>
      <c r="CD322" s="78">
        <v>987</v>
      </c>
      <c r="CE322" s="78">
        <v>477</v>
      </c>
      <c r="CF322" s="78">
        <v>594.80263017277196</v>
      </c>
      <c r="CG322" s="78">
        <v>422.497939796948</v>
      </c>
      <c r="CH322" s="78">
        <v>132.790494567476</v>
      </c>
      <c r="CI322" s="78">
        <v>1394.2343000000001</v>
      </c>
      <c r="CJ322" s="78">
        <v>990.34720000000004</v>
      </c>
      <c r="CK322" s="78">
        <v>311.2647</v>
      </c>
      <c r="CL322" s="78">
        <v>13627</v>
      </c>
    </row>
    <row r="323" spans="1:90" x14ac:dyDescent="0.35">
      <c r="A323" s="72">
        <v>889</v>
      </c>
      <c r="B323" s="72" t="s">
        <v>39</v>
      </c>
      <c r="C323" s="72">
        <v>11</v>
      </c>
      <c r="D323" s="78">
        <v>1163200000</v>
      </c>
      <c r="E323" s="78">
        <v>112350000</v>
      </c>
      <c r="F323" s="78">
        <v>118300000</v>
      </c>
      <c r="G323" s="78">
        <v>13450</v>
      </c>
      <c r="H323" s="78">
        <v>1</v>
      </c>
      <c r="I323" s="78">
        <f t="shared" si="14"/>
        <v>118.3</v>
      </c>
      <c r="J323" s="78">
        <v>2302</v>
      </c>
      <c r="K323" s="78">
        <v>3278</v>
      </c>
      <c r="L323" s="78">
        <v>1016</v>
      </c>
      <c r="M323" s="78">
        <v>1850</v>
      </c>
      <c r="N323" s="78">
        <f t="shared" si="15"/>
        <v>1194.1999999999998</v>
      </c>
      <c r="O323" s="78">
        <v>180.666666666667</v>
      </c>
      <c r="P323" s="78">
        <v>21</v>
      </c>
      <c r="Q323" s="78">
        <v>862.66666666666697</v>
      </c>
      <c r="R323" s="78">
        <v>1757</v>
      </c>
      <c r="S323" s="78">
        <v>575</v>
      </c>
      <c r="T323" s="78">
        <v>0</v>
      </c>
      <c r="U323" s="78">
        <v>396</v>
      </c>
      <c r="V323" s="78">
        <v>6029</v>
      </c>
      <c r="W323" s="78">
        <v>14020</v>
      </c>
      <c r="X323" s="78">
        <v>8890</v>
      </c>
      <c r="Y323" s="78">
        <v>0</v>
      </c>
      <c r="Z323" s="78">
        <v>301.60000000000002</v>
      </c>
      <c r="AA323" s="78">
        <v>0</v>
      </c>
      <c r="AB323" s="399">
        <f>IF((J323-'[2]Basisgegevens aanvullend'!D323*1.1)&lt;=0,0,J323-'[2]Basisgegevens aanvullend'!D323*1.1)</f>
        <v>0</v>
      </c>
      <c r="AC323" s="399">
        <v>44.8</v>
      </c>
      <c r="AD323" s="78">
        <v>2777</v>
      </c>
      <c r="AE323" s="78">
        <v>2777</v>
      </c>
      <c r="AF323" s="78">
        <v>139</v>
      </c>
      <c r="AG323" s="78">
        <v>0</v>
      </c>
      <c r="AH323" s="78">
        <v>96</v>
      </c>
      <c r="AI323" s="78">
        <v>14</v>
      </c>
      <c r="AJ323" s="78">
        <v>96</v>
      </c>
      <c r="AK323" s="78">
        <v>14</v>
      </c>
      <c r="AL323" s="78">
        <v>111</v>
      </c>
      <c r="AM323" s="78">
        <v>6558</v>
      </c>
      <c r="AN323" s="78">
        <v>6558</v>
      </c>
      <c r="AO323" s="78">
        <v>0</v>
      </c>
      <c r="AP323" s="78">
        <v>0</v>
      </c>
      <c r="AQ323" s="78">
        <v>0</v>
      </c>
      <c r="AR323" s="78">
        <v>0</v>
      </c>
      <c r="AS323" s="78">
        <v>0</v>
      </c>
      <c r="AT323" s="78">
        <v>0</v>
      </c>
      <c r="AU323" s="400">
        <v>2.4515099999999998E-4</v>
      </c>
      <c r="AV323" s="400">
        <v>1.3544699999999999E-4</v>
      </c>
      <c r="AW323" s="78">
        <v>4957.848</v>
      </c>
      <c r="AX323" s="78">
        <v>0</v>
      </c>
      <c r="AY323" s="78">
        <v>354</v>
      </c>
      <c r="AZ323" s="78">
        <v>1632.81893004115</v>
      </c>
      <c r="BA323" s="78">
        <v>3</v>
      </c>
      <c r="BB323" s="78">
        <v>3</v>
      </c>
      <c r="BC323" s="78">
        <v>1104</v>
      </c>
      <c r="BD323" s="78">
        <v>1</v>
      </c>
      <c r="BE323" s="78">
        <v>0</v>
      </c>
      <c r="BF323" s="78">
        <v>0</v>
      </c>
      <c r="BG323" s="78">
        <v>0</v>
      </c>
      <c r="BH323" s="78">
        <v>0</v>
      </c>
      <c r="BI323" s="78">
        <v>0</v>
      </c>
      <c r="BJ323" s="78">
        <v>0</v>
      </c>
      <c r="BK323" s="78">
        <v>0</v>
      </c>
      <c r="BL323" s="78">
        <v>0</v>
      </c>
      <c r="BM323" s="78">
        <v>214.08600000000001</v>
      </c>
      <c r="BN323" s="78">
        <v>47</v>
      </c>
      <c r="BO323" s="78">
        <v>17</v>
      </c>
      <c r="BP323" s="78">
        <v>3687.76</v>
      </c>
      <c r="BQ323" s="78">
        <v>804.6</v>
      </c>
      <c r="BR323" s="78">
        <v>57.853098510331598</v>
      </c>
      <c r="BS323" s="78">
        <v>153</v>
      </c>
      <c r="BT323" s="78">
        <v>53.6666666666667</v>
      </c>
      <c r="BU323" s="78">
        <v>51</v>
      </c>
      <c r="BV323" s="78">
        <f t="shared" si="16"/>
        <v>682</v>
      </c>
      <c r="BW323" s="78">
        <v>194</v>
      </c>
      <c r="BX323" s="78">
        <v>2704.7249666221601</v>
      </c>
      <c r="BY323" s="78">
        <v>0.41699999999999998</v>
      </c>
      <c r="BZ323" s="78">
        <v>10172</v>
      </c>
      <c r="CA323" s="78">
        <v>1907</v>
      </c>
      <c r="CB323" s="78">
        <v>355</v>
      </c>
      <c r="CC323" s="78">
        <v>366</v>
      </c>
      <c r="CD323" s="78">
        <v>313</v>
      </c>
      <c r="CE323" s="78">
        <v>207</v>
      </c>
      <c r="CF323" s="78">
        <v>210.505519975602</v>
      </c>
      <c r="CG323" s="78">
        <v>129.83601707837801</v>
      </c>
      <c r="CH323" s="78">
        <v>51.351692589203999</v>
      </c>
      <c r="CI323" s="78">
        <v>586.66999999999996</v>
      </c>
      <c r="CJ323" s="78">
        <v>361.84750000000003</v>
      </c>
      <c r="CK323" s="78">
        <v>143.11500000000001</v>
      </c>
      <c r="CL323" s="78">
        <v>0</v>
      </c>
    </row>
    <row r="324" spans="1:90" x14ac:dyDescent="0.35">
      <c r="A324" s="72">
        <v>893</v>
      </c>
      <c r="B324" s="72" t="s">
        <v>42</v>
      </c>
      <c r="C324" s="72">
        <v>11</v>
      </c>
      <c r="D324" s="78">
        <v>1167600000</v>
      </c>
      <c r="E324" s="78">
        <v>126000000</v>
      </c>
      <c r="F324" s="78">
        <v>139650000</v>
      </c>
      <c r="G324" s="78">
        <v>13108</v>
      </c>
      <c r="H324" s="78">
        <v>4</v>
      </c>
      <c r="I324" s="78">
        <f t="shared" si="14"/>
        <v>139.65</v>
      </c>
      <c r="J324" s="78">
        <v>2109</v>
      </c>
      <c r="K324" s="78">
        <v>3168</v>
      </c>
      <c r="L324" s="78">
        <v>960</v>
      </c>
      <c r="M324" s="78">
        <v>1750</v>
      </c>
      <c r="N324" s="78">
        <f t="shared" si="15"/>
        <v>1167.9000000000001</v>
      </c>
      <c r="O324" s="78">
        <v>161</v>
      </c>
      <c r="P324" s="78">
        <v>17</v>
      </c>
      <c r="Q324" s="78">
        <v>921</v>
      </c>
      <c r="R324" s="78">
        <v>1625</v>
      </c>
      <c r="S324" s="78">
        <v>160</v>
      </c>
      <c r="T324" s="78">
        <v>0</v>
      </c>
      <c r="U324" s="78">
        <v>361</v>
      </c>
      <c r="V324" s="78">
        <v>5830</v>
      </c>
      <c r="W324" s="78">
        <v>11100</v>
      </c>
      <c r="X324" s="78">
        <v>1330</v>
      </c>
      <c r="Y324" s="78">
        <v>0</v>
      </c>
      <c r="Z324" s="78">
        <v>0</v>
      </c>
      <c r="AA324" s="78">
        <v>0</v>
      </c>
      <c r="AB324" s="399">
        <f>IF((J324-'[2]Basisgegevens aanvullend'!D324*1.1)&lt;=0,0,J324-'[2]Basisgegevens aanvullend'!D324*1.1)</f>
        <v>0</v>
      </c>
      <c r="AC324" s="399">
        <v>0</v>
      </c>
      <c r="AD324" s="78">
        <v>10270</v>
      </c>
      <c r="AE324" s="78">
        <v>10270</v>
      </c>
      <c r="AF324" s="78">
        <v>580</v>
      </c>
      <c r="AG324" s="78">
        <v>0</v>
      </c>
      <c r="AH324" s="78">
        <v>74</v>
      </c>
      <c r="AI324" s="78">
        <v>61</v>
      </c>
      <c r="AJ324" s="78">
        <v>74</v>
      </c>
      <c r="AK324" s="78">
        <v>61</v>
      </c>
      <c r="AL324" s="78">
        <v>135</v>
      </c>
      <c r="AM324" s="78">
        <v>5821</v>
      </c>
      <c r="AN324" s="78">
        <v>5821</v>
      </c>
      <c r="AO324" s="78">
        <v>0</v>
      </c>
      <c r="AP324" s="78">
        <v>0</v>
      </c>
      <c r="AQ324" s="78">
        <v>0</v>
      </c>
      <c r="AR324" s="78">
        <v>0</v>
      </c>
      <c r="AS324" s="78">
        <v>0</v>
      </c>
      <c r="AT324" s="78">
        <v>0</v>
      </c>
      <c r="AU324" s="400">
        <v>1.9296600000000001E-4</v>
      </c>
      <c r="AV324" s="400">
        <v>1.29309E-4</v>
      </c>
      <c r="AW324" s="78">
        <v>1851.078</v>
      </c>
      <c r="AX324" s="78">
        <v>0</v>
      </c>
      <c r="AY324" s="78">
        <v>1446</v>
      </c>
      <c r="AZ324" s="78">
        <v>1746.9279262672801</v>
      </c>
      <c r="BA324" s="78">
        <v>11</v>
      </c>
      <c r="BB324" s="78">
        <v>11</v>
      </c>
      <c r="BC324" s="78">
        <v>1267</v>
      </c>
      <c r="BD324" s="78">
        <v>1</v>
      </c>
      <c r="BE324" s="78">
        <v>0</v>
      </c>
      <c r="BF324" s="78">
        <v>0</v>
      </c>
      <c r="BG324" s="78">
        <v>0</v>
      </c>
      <c r="BH324" s="78">
        <v>0</v>
      </c>
      <c r="BI324" s="78">
        <v>0</v>
      </c>
      <c r="BJ324" s="78">
        <v>0</v>
      </c>
      <c r="BK324" s="78">
        <v>0</v>
      </c>
      <c r="BL324" s="78">
        <v>0</v>
      </c>
      <c r="BM324" s="78">
        <v>177.15600000000001</v>
      </c>
      <c r="BN324" s="78">
        <v>42</v>
      </c>
      <c r="BO324" s="78">
        <v>23</v>
      </c>
      <c r="BP324" s="78">
        <v>3524.08</v>
      </c>
      <c r="BQ324" s="78">
        <v>713.7</v>
      </c>
      <c r="BR324" s="78">
        <v>59.9379288956127</v>
      </c>
      <c r="BS324" s="78">
        <v>120</v>
      </c>
      <c r="BT324" s="78">
        <v>47</v>
      </c>
      <c r="BU324" s="78">
        <v>34.6666666666667</v>
      </c>
      <c r="BV324" s="78">
        <f t="shared" si="16"/>
        <v>760</v>
      </c>
      <c r="BW324" s="78">
        <v>171</v>
      </c>
      <c r="BX324" s="78">
        <v>2902.8935727932799</v>
      </c>
      <c r="BY324" s="78">
        <v>0.249</v>
      </c>
      <c r="BZ324" s="78">
        <v>9940</v>
      </c>
      <c r="CA324" s="78">
        <v>1889</v>
      </c>
      <c r="CB324" s="78">
        <v>319</v>
      </c>
      <c r="CC324" s="78">
        <v>337</v>
      </c>
      <c r="CD324" s="78">
        <v>306</v>
      </c>
      <c r="CE324" s="78">
        <v>186</v>
      </c>
      <c r="CF324" s="78">
        <v>233.53987287407699</v>
      </c>
      <c r="CG324" s="78">
        <v>131.61697302868899</v>
      </c>
      <c r="CH324" s="78">
        <v>50.760814293076798</v>
      </c>
      <c r="CI324" s="78">
        <v>585.60839999999996</v>
      </c>
      <c r="CJ324" s="78">
        <v>330.03359999999998</v>
      </c>
      <c r="CK324" s="78">
        <v>127.2843</v>
      </c>
      <c r="CL324" s="78">
        <v>8760</v>
      </c>
    </row>
    <row r="325" spans="1:90" x14ac:dyDescent="0.35">
      <c r="A325" s="72">
        <v>899</v>
      </c>
      <c r="B325" s="72" t="s">
        <v>64</v>
      </c>
      <c r="C325" s="72">
        <v>11</v>
      </c>
      <c r="D325" s="78">
        <v>1989200000</v>
      </c>
      <c r="E325" s="78">
        <v>254800000</v>
      </c>
      <c r="F325" s="78">
        <v>259350000</v>
      </c>
      <c r="G325" s="78">
        <v>27670</v>
      </c>
      <c r="H325" s="78">
        <v>1</v>
      </c>
      <c r="I325" s="78">
        <f t="shared" si="14"/>
        <v>259.35000000000002</v>
      </c>
      <c r="J325" s="78">
        <v>4246</v>
      </c>
      <c r="K325" s="78">
        <v>7085</v>
      </c>
      <c r="L325" s="78">
        <v>2415</v>
      </c>
      <c r="M325" s="78">
        <v>5413</v>
      </c>
      <c r="N325" s="78">
        <f t="shared" si="15"/>
        <v>3937.2</v>
      </c>
      <c r="O325" s="78">
        <v>768</v>
      </c>
      <c r="P325" s="78">
        <v>48</v>
      </c>
      <c r="Q325" s="78">
        <v>3609</v>
      </c>
      <c r="R325" s="78">
        <v>5336</v>
      </c>
      <c r="S325" s="78">
        <v>860</v>
      </c>
      <c r="T325" s="78">
        <v>0</v>
      </c>
      <c r="U325" s="78">
        <v>1132</v>
      </c>
      <c r="V325" s="78">
        <v>14045</v>
      </c>
      <c r="W325" s="78">
        <v>28740</v>
      </c>
      <c r="X325" s="78">
        <v>23870</v>
      </c>
      <c r="Y325" s="78">
        <v>188.1</v>
      </c>
      <c r="Z325" s="78">
        <v>94.4</v>
      </c>
      <c r="AA325" s="78">
        <v>0</v>
      </c>
      <c r="AB325" s="399">
        <f>IF((J325-'[2]Basisgegevens aanvullend'!D325*1.1)&lt;=0,0,J325-'[2]Basisgegevens aanvullend'!D325*1.1)</f>
        <v>0</v>
      </c>
      <c r="AC325" s="399">
        <v>0</v>
      </c>
      <c r="AD325" s="78">
        <v>1725</v>
      </c>
      <c r="AE325" s="78">
        <v>1725</v>
      </c>
      <c r="AF325" s="78">
        <v>9</v>
      </c>
      <c r="AG325" s="78">
        <v>0</v>
      </c>
      <c r="AH325" s="78">
        <v>154</v>
      </c>
      <c r="AI325" s="78">
        <v>17</v>
      </c>
      <c r="AJ325" s="78">
        <v>154</v>
      </c>
      <c r="AK325" s="78">
        <v>17</v>
      </c>
      <c r="AL325" s="78">
        <v>171</v>
      </c>
      <c r="AM325" s="78">
        <v>14758</v>
      </c>
      <c r="AN325" s="78">
        <v>14758</v>
      </c>
      <c r="AO325" s="78">
        <v>0</v>
      </c>
      <c r="AP325" s="78">
        <v>0</v>
      </c>
      <c r="AQ325" s="78">
        <v>0</v>
      </c>
      <c r="AR325" s="78">
        <v>0</v>
      </c>
      <c r="AS325" s="78">
        <v>3867</v>
      </c>
      <c r="AT325" s="78">
        <v>0</v>
      </c>
      <c r="AU325" s="400">
        <v>1.477587E-3</v>
      </c>
      <c r="AV325" s="400">
        <v>2.2267609999999998E-3</v>
      </c>
      <c r="AW325" s="78">
        <v>24631.101999999999</v>
      </c>
      <c r="AX325" s="78">
        <v>0</v>
      </c>
      <c r="AY325" s="78">
        <v>159</v>
      </c>
      <c r="AZ325" s="78">
        <v>2537.2145328719698</v>
      </c>
      <c r="BA325" s="78">
        <v>1</v>
      </c>
      <c r="BB325" s="78">
        <v>1</v>
      </c>
      <c r="BC325" s="78">
        <v>1960</v>
      </c>
      <c r="BD325" s="78">
        <v>1</v>
      </c>
      <c r="BE325" s="78">
        <v>0</v>
      </c>
      <c r="BF325" s="78">
        <v>0</v>
      </c>
      <c r="BG325" s="78">
        <v>0</v>
      </c>
      <c r="BH325" s="78">
        <v>0</v>
      </c>
      <c r="BI325" s="78">
        <v>0</v>
      </c>
      <c r="BJ325" s="78">
        <v>0</v>
      </c>
      <c r="BK325" s="78">
        <v>0</v>
      </c>
      <c r="BL325" s="78">
        <v>0</v>
      </c>
      <c r="BM325" s="78">
        <v>853.44600000000003</v>
      </c>
      <c r="BN325" s="78">
        <v>123</v>
      </c>
      <c r="BO325" s="78">
        <v>92</v>
      </c>
      <c r="BP325" s="78">
        <v>7345.62</v>
      </c>
      <c r="BQ325" s="78">
        <v>1339</v>
      </c>
      <c r="BR325" s="78">
        <v>186.47944319600501</v>
      </c>
      <c r="BS325" s="78">
        <v>355</v>
      </c>
      <c r="BT325" s="78">
        <v>201.666666666667</v>
      </c>
      <c r="BU325" s="78">
        <v>204</v>
      </c>
      <c r="BV325" s="78">
        <f t="shared" si="16"/>
        <v>2841</v>
      </c>
      <c r="BW325" s="78">
        <v>604</v>
      </c>
      <c r="BX325" s="78">
        <v>7274.7802595161902</v>
      </c>
      <c r="BY325" s="78">
        <v>2.2309999999999999</v>
      </c>
      <c r="BZ325" s="78">
        <v>20585</v>
      </c>
      <c r="CA325" s="78">
        <v>3856</v>
      </c>
      <c r="CB325" s="78">
        <v>814</v>
      </c>
      <c r="CC325" s="78">
        <v>974</v>
      </c>
      <c r="CD325" s="78">
        <v>904</v>
      </c>
      <c r="CE325" s="78">
        <v>453</v>
      </c>
      <c r="CF325" s="78">
        <v>659.22355332700897</v>
      </c>
      <c r="CG325" s="78">
        <v>460.46938609567701</v>
      </c>
      <c r="CH325" s="78">
        <v>154.468003794552</v>
      </c>
      <c r="CI325" s="78">
        <v>1478.6464000000001</v>
      </c>
      <c r="CJ325" s="78">
        <v>1032.8384000000001</v>
      </c>
      <c r="CK325" s="78">
        <v>346.47359999999998</v>
      </c>
      <c r="CL325" s="78">
        <v>26592</v>
      </c>
    </row>
    <row r="326" spans="1:90" x14ac:dyDescent="0.35">
      <c r="A326" s="72">
        <v>1711</v>
      </c>
      <c r="B326" s="72" t="s">
        <v>96</v>
      </c>
      <c r="C326" s="72">
        <v>11</v>
      </c>
      <c r="D326" s="78">
        <v>2906000000</v>
      </c>
      <c r="E326" s="78">
        <v>376950000</v>
      </c>
      <c r="F326" s="78">
        <v>404600000</v>
      </c>
      <c r="G326" s="78">
        <v>31751</v>
      </c>
      <c r="H326" s="78">
        <v>5</v>
      </c>
      <c r="I326" s="78">
        <f t="shared" ref="I326:I357" si="17">F326/1000000</f>
        <v>404.6</v>
      </c>
      <c r="J326" s="78">
        <v>4802</v>
      </c>
      <c r="K326" s="78">
        <v>8341</v>
      </c>
      <c r="L326" s="78">
        <v>2675</v>
      </c>
      <c r="M326" s="78">
        <v>4560</v>
      </c>
      <c r="N326" s="78">
        <f t="shared" ref="N326:N357" si="18">IF(M326-0.1*AM326&lt;=0,0,M326-0.1*AM326)</f>
        <v>2980.5</v>
      </c>
      <c r="O326" s="78">
        <v>441</v>
      </c>
      <c r="P326" s="78">
        <v>28</v>
      </c>
      <c r="Q326" s="78">
        <v>2770</v>
      </c>
      <c r="R326" s="78">
        <v>4539</v>
      </c>
      <c r="S326" s="78">
        <v>600</v>
      </c>
      <c r="T326" s="78">
        <v>0</v>
      </c>
      <c r="U326" s="78">
        <v>935</v>
      </c>
      <c r="V326" s="78">
        <v>15252</v>
      </c>
      <c r="W326" s="78">
        <v>29570</v>
      </c>
      <c r="X326" s="78">
        <v>16780</v>
      </c>
      <c r="Y326" s="78">
        <v>243.54</v>
      </c>
      <c r="Z326" s="78">
        <v>1054.4000000000001</v>
      </c>
      <c r="AA326" s="78">
        <v>0</v>
      </c>
      <c r="AB326" s="399">
        <f>IF((J326-'[2]Basisgegevens aanvullend'!D326*1.1)&lt;=0,0,J326-'[2]Basisgegevens aanvullend'!D326*1.1)</f>
        <v>0</v>
      </c>
      <c r="AC326" s="399">
        <v>0</v>
      </c>
      <c r="AD326" s="78">
        <v>10267</v>
      </c>
      <c r="AE326" s="78">
        <v>10267</v>
      </c>
      <c r="AF326" s="78">
        <v>194</v>
      </c>
      <c r="AG326" s="78">
        <v>0</v>
      </c>
      <c r="AH326" s="78">
        <v>232</v>
      </c>
      <c r="AI326" s="78">
        <v>76</v>
      </c>
      <c r="AJ326" s="78">
        <v>232</v>
      </c>
      <c r="AK326" s="78">
        <v>76</v>
      </c>
      <c r="AL326" s="78">
        <v>308</v>
      </c>
      <c r="AM326" s="78">
        <v>15795</v>
      </c>
      <c r="AN326" s="78">
        <v>15795</v>
      </c>
      <c r="AO326" s="78">
        <v>29</v>
      </c>
      <c r="AP326" s="78">
        <v>0</v>
      </c>
      <c r="AQ326" s="78">
        <v>0</v>
      </c>
      <c r="AR326" s="78">
        <v>0</v>
      </c>
      <c r="AS326" s="78">
        <v>572</v>
      </c>
      <c r="AT326" s="78">
        <v>572</v>
      </c>
      <c r="AU326" s="400">
        <v>7.6928999999999995E-4</v>
      </c>
      <c r="AV326" s="400">
        <v>4.4813299999999997E-4</v>
      </c>
      <c r="AW326" s="78">
        <v>11309.22</v>
      </c>
      <c r="AX326" s="78">
        <v>0</v>
      </c>
      <c r="AY326" s="78">
        <v>1008</v>
      </c>
      <c r="AZ326" s="78">
        <v>3059.4597074849398</v>
      </c>
      <c r="BA326" s="78">
        <v>11</v>
      </c>
      <c r="BB326" s="78">
        <v>11</v>
      </c>
      <c r="BC326" s="78">
        <v>3469</v>
      </c>
      <c r="BD326" s="78">
        <v>1</v>
      </c>
      <c r="BE326" s="78">
        <v>0</v>
      </c>
      <c r="BF326" s="78">
        <v>0</v>
      </c>
      <c r="BG326" s="78">
        <v>0</v>
      </c>
      <c r="BH326" s="78">
        <v>0</v>
      </c>
      <c r="BI326" s="78">
        <v>0</v>
      </c>
      <c r="BJ326" s="78">
        <v>0</v>
      </c>
      <c r="BK326" s="78">
        <v>0</v>
      </c>
      <c r="BL326" s="78">
        <v>0</v>
      </c>
      <c r="BM326" s="78">
        <v>533.02200000000005</v>
      </c>
      <c r="BN326" s="78">
        <v>53</v>
      </c>
      <c r="BO326" s="78">
        <v>94</v>
      </c>
      <c r="BP326" s="78">
        <v>9127.0400000000009</v>
      </c>
      <c r="BQ326" s="78">
        <v>1808</v>
      </c>
      <c r="BR326" s="78">
        <v>157.791667684256</v>
      </c>
      <c r="BS326" s="78">
        <v>308</v>
      </c>
      <c r="BT326" s="78">
        <v>120.333333333333</v>
      </c>
      <c r="BU326" s="78">
        <v>90</v>
      </c>
      <c r="BV326" s="78">
        <f t="shared" ref="BV326:BV357" si="19">Q326-O326</f>
        <v>2329</v>
      </c>
      <c r="BW326" s="78">
        <v>611</v>
      </c>
      <c r="BX326" s="78">
        <v>7115.3980955393899</v>
      </c>
      <c r="BY326" s="78">
        <v>0.88400000000000001</v>
      </c>
      <c r="BZ326" s="78">
        <v>23410</v>
      </c>
      <c r="CA326" s="78">
        <v>4794</v>
      </c>
      <c r="CB326" s="78">
        <v>872</v>
      </c>
      <c r="CC326" s="78">
        <v>946</v>
      </c>
      <c r="CD326" s="78">
        <v>837</v>
      </c>
      <c r="CE326" s="78">
        <v>376</v>
      </c>
      <c r="CF326" s="78">
        <v>556.28452041785397</v>
      </c>
      <c r="CG326" s="78">
        <v>340.03551756885099</v>
      </c>
      <c r="CH326" s="78">
        <v>108.879297245964</v>
      </c>
      <c r="CI326" s="78">
        <v>1383.2016000000001</v>
      </c>
      <c r="CJ326" s="78">
        <v>845.49839999999995</v>
      </c>
      <c r="CK326" s="78">
        <v>270.72840000000002</v>
      </c>
      <c r="CL326" s="78">
        <v>145313</v>
      </c>
    </row>
    <row r="327" spans="1:90" x14ac:dyDescent="0.35">
      <c r="A327" s="72">
        <v>1903</v>
      </c>
      <c r="B327" s="72" t="s">
        <v>101</v>
      </c>
      <c r="C327" s="72">
        <v>11</v>
      </c>
      <c r="D327" s="78">
        <v>2722000000</v>
      </c>
      <c r="E327" s="78">
        <v>250250000</v>
      </c>
      <c r="F327" s="78">
        <v>268100000</v>
      </c>
      <c r="G327" s="78">
        <v>25900</v>
      </c>
      <c r="H327" s="78">
        <v>5</v>
      </c>
      <c r="I327" s="78">
        <f t="shared" si="17"/>
        <v>268.10000000000002</v>
      </c>
      <c r="J327" s="78">
        <v>4516</v>
      </c>
      <c r="K327" s="78">
        <v>6621</v>
      </c>
      <c r="L327" s="78">
        <v>2230</v>
      </c>
      <c r="M327" s="78">
        <v>2671</v>
      </c>
      <c r="N327" s="78">
        <f t="shared" si="18"/>
        <v>1489.8</v>
      </c>
      <c r="O327" s="78">
        <v>207</v>
      </c>
      <c r="P327" s="78">
        <v>14</v>
      </c>
      <c r="Q327" s="78">
        <v>1330</v>
      </c>
      <c r="R327" s="78">
        <v>3084</v>
      </c>
      <c r="S327" s="78">
        <v>320</v>
      </c>
      <c r="T327" s="78">
        <v>0</v>
      </c>
      <c r="U327" s="78">
        <v>584</v>
      </c>
      <c r="V327" s="78">
        <v>11519</v>
      </c>
      <c r="W327" s="78">
        <v>18090</v>
      </c>
      <c r="X327" s="78">
        <v>3240</v>
      </c>
      <c r="Y327" s="78">
        <v>269.88</v>
      </c>
      <c r="Z327" s="78">
        <v>0</v>
      </c>
      <c r="AA327" s="78">
        <v>0</v>
      </c>
      <c r="AB327" s="399">
        <f>IF((J327-'[2]Basisgegevens aanvullend'!D327*1.1)&lt;=0,0,J327-'[2]Basisgegevens aanvullend'!D327*1.1)</f>
        <v>0</v>
      </c>
      <c r="AC327" s="399">
        <v>0</v>
      </c>
      <c r="AD327" s="78">
        <v>7755</v>
      </c>
      <c r="AE327" s="78">
        <v>7755</v>
      </c>
      <c r="AF327" s="78">
        <v>122</v>
      </c>
      <c r="AG327" s="78">
        <v>0</v>
      </c>
      <c r="AH327" s="78">
        <v>186</v>
      </c>
      <c r="AI327" s="78">
        <v>39</v>
      </c>
      <c r="AJ327" s="78">
        <v>186</v>
      </c>
      <c r="AK327" s="78">
        <v>39</v>
      </c>
      <c r="AL327" s="78">
        <v>224</v>
      </c>
      <c r="AM327" s="78">
        <v>11812</v>
      </c>
      <c r="AN327" s="78">
        <v>11812</v>
      </c>
      <c r="AO327" s="78">
        <v>0</v>
      </c>
      <c r="AP327" s="78">
        <v>0</v>
      </c>
      <c r="AQ327" s="78">
        <v>0</v>
      </c>
      <c r="AR327" s="78">
        <v>0</v>
      </c>
      <c r="AS327" s="78">
        <v>0</v>
      </c>
      <c r="AT327" s="78">
        <v>0</v>
      </c>
      <c r="AU327" s="400">
        <v>6.6093399999999996E-4</v>
      </c>
      <c r="AV327" s="400">
        <v>2.08381E-4</v>
      </c>
      <c r="AW327" s="78">
        <v>5504.3919999999998</v>
      </c>
      <c r="AX327" s="78">
        <v>0</v>
      </c>
      <c r="AY327" s="78">
        <v>295</v>
      </c>
      <c r="AZ327" s="78">
        <v>969.97587914180497</v>
      </c>
      <c r="BA327" s="78">
        <v>21</v>
      </c>
      <c r="BB327" s="78">
        <v>21</v>
      </c>
      <c r="BC327" s="78">
        <v>2922</v>
      </c>
      <c r="BD327" s="78">
        <v>1</v>
      </c>
      <c r="BE327" s="78">
        <v>0</v>
      </c>
      <c r="BF327" s="78">
        <v>0</v>
      </c>
      <c r="BG327" s="78">
        <v>0</v>
      </c>
      <c r="BH327" s="78">
        <v>0</v>
      </c>
      <c r="BI327" s="78">
        <v>0</v>
      </c>
      <c r="BJ327" s="78">
        <v>0</v>
      </c>
      <c r="BK327" s="78">
        <v>0</v>
      </c>
      <c r="BL327" s="78">
        <v>0</v>
      </c>
      <c r="BM327" s="78">
        <v>343.21600000000001</v>
      </c>
      <c r="BN327" s="78">
        <v>29</v>
      </c>
      <c r="BO327" s="78">
        <v>34</v>
      </c>
      <c r="BP327" s="78">
        <v>8419.5</v>
      </c>
      <c r="BQ327" s="78">
        <v>1924.5</v>
      </c>
      <c r="BR327" s="78">
        <v>105.130214486819</v>
      </c>
      <c r="BS327" s="78">
        <v>191</v>
      </c>
      <c r="BT327" s="78">
        <v>61.6666666666667</v>
      </c>
      <c r="BU327" s="78">
        <v>35</v>
      </c>
      <c r="BV327" s="78">
        <f t="shared" si="19"/>
        <v>1123</v>
      </c>
      <c r="BW327" s="78">
        <v>211</v>
      </c>
      <c r="BX327" s="78">
        <v>4536.9627444892903</v>
      </c>
      <c r="BY327" s="78">
        <v>0.27700000000000002</v>
      </c>
      <c r="BZ327" s="78">
        <v>19279</v>
      </c>
      <c r="CA327" s="78">
        <v>3719</v>
      </c>
      <c r="CB327" s="78">
        <v>672</v>
      </c>
      <c r="CC327" s="78">
        <v>617</v>
      </c>
      <c r="CD327" s="78">
        <v>622</v>
      </c>
      <c r="CE327" s="78">
        <v>304</v>
      </c>
      <c r="CF327" s="78">
        <v>284.28794446325799</v>
      </c>
      <c r="CG327" s="78">
        <v>187.927700643414</v>
      </c>
      <c r="CH327" s="78">
        <v>60.4143413477819</v>
      </c>
      <c r="CI327" s="78">
        <v>855.61839999999995</v>
      </c>
      <c r="CJ327" s="78">
        <v>565.60400000000004</v>
      </c>
      <c r="CK327" s="78">
        <v>181.82839999999999</v>
      </c>
      <c r="CL327" s="78">
        <v>0</v>
      </c>
    </row>
    <row r="328" spans="1:90" x14ac:dyDescent="0.35">
      <c r="A328" s="72">
        <v>907</v>
      </c>
      <c r="B328" s="72" t="s">
        <v>113</v>
      </c>
      <c r="C328" s="72">
        <v>11</v>
      </c>
      <c r="D328" s="78">
        <v>1655200000</v>
      </c>
      <c r="E328" s="78">
        <v>221900000</v>
      </c>
      <c r="F328" s="78">
        <v>235550000</v>
      </c>
      <c r="G328" s="78">
        <v>17035</v>
      </c>
      <c r="H328" s="78">
        <v>3</v>
      </c>
      <c r="I328" s="78">
        <f t="shared" si="17"/>
        <v>235.55</v>
      </c>
      <c r="J328" s="78">
        <v>2961</v>
      </c>
      <c r="K328" s="78">
        <v>4189</v>
      </c>
      <c r="L328" s="78">
        <v>1314</v>
      </c>
      <c r="M328" s="78">
        <v>2237</v>
      </c>
      <c r="N328" s="78">
        <f t="shared" si="18"/>
        <v>1358.4</v>
      </c>
      <c r="O328" s="78">
        <v>248</v>
      </c>
      <c r="P328" s="78">
        <v>17</v>
      </c>
      <c r="Q328" s="78">
        <v>1550</v>
      </c>
      <c r="R328" s="78">
        <v>2344</v>
      </c>
      <c r="S328" s="78">
        <v>420</v>
      </c>
      <c r="T328" s="78">
        <v>0</v>
      </c>
      <c r="U328" s="78">
        <v>454</v>
      </c>
      <c r="V328" s="78">
        <v>8039</v>
      </c>
      <c r="W328" s="78">
        <v>15750</v>
      </c>
      <c r="X328" s="78">
        <v>5570</v>
      </c>
      <c r="Y328" s="78">
        <v>681.46</v>
      </c>
      <c r="Z328" s="78">
        <v>564.79999999999995</v>
      </c>
      <c r="AA328" s="78">
        <v>0</v>
      </c>
      <c r="AB328" s="399">
        <f>IF((J328-'[2]Basisgegevens aanvullend'!D328*1.1)&lt;=0,0,J328-'[2]Basisgegevens aanvullend'!D328*1.1)</f>
        <v>0</v>
      </c>
      <c r="AC328" s="399">
        <v>60.3</v>
      </c>
      <c r="AD328" s="78">
        <v>4744</v>
      </c>
      <c r="AE328" s="78">
        <v>4744</v>
      </c>
      <c r="AF328" s="78">
        <v>299</v>
      </c>
      <c r="AG328" s="78">
        <v>0</v>
      </c>
      <c r="AH328" s="78">
        <v>114</v>
      </c>
      <c r="AI328" s="78">
        <v>74</v>
      </c>
      <c r="AJ328" s="78">
        <v>114</v>
      </c>
      <c r="AK328" s="78">
        <v>74</v>
      </c>
      <c r="AL328" s="78">
        <v>188</v>
      </c>
      <c r="AM328" s="78">
        <v>8786</v>
      </c>
      <c r="AN328" s="78">
        <v>8786</v>
      </c>
      <c r="AO328" s="78">
        <v>5</v>
      </c>
      <c r="AP328" s="78">
        <v>0</v>
      </c>
      <c r="AQ328" s="78">
        <v>0</v>
      </c>
      <c r="AR328" s="78">
        <v>0</v>
      </c>
      <c r="AS328" s="78">
        <v>569</v>
      </c>
      <c r="AT328" s="78">
        <v>569</v>
      </c>
      <c r="AU328" s="400">
        <v>3.0259999999999998E-4</v>
      </c>
      <c r="AV328" s="400">
        <v>2.4564900000000002E-4</v>
      </c>
      <c r="AW328" s="78">
        <v>5658.1840000000002</v>
      </c>
      <c r="AX328" s="78">
        <v>0</v>
      </c>
      <c r="AY328" s="78">
        <v>923</v>
      </c>
      <c r="AZ328" s="78">
        <v>3117.8475114019402</v>
      </c>
      <c r="BA328" s="78">
        <v>5</v>
      </c>
      <c r="BB328" s="78">
        <v>5</v>
      </c>
      <c r="BC328" s="78">
        <v>1775</v>
      </c>
      <c r="BD328" s="78">
        <v>1</v>
      </c>
      <c r="BE328" s="78">
        <v>0</v>
      </c>
      <c r="BF328" s="78">
        <v>0</v>
      </c>
      <c r="BG328" s="78">
        <v>0</v>
      </c>
      <c r="BH328" s="78">
        <v>0</v>
      </c>
      <c r="BI328" s="78">
        <v>0</v>
      </c>
      <c r="BJ328" s="78">
        <v>0</v>
      </c>
      <c r="BK328" s="78">
        <v>0</v>
      </c>
      <c r="BL328" s="78">
        <v>0</v>
      </c>
      <c r="BM328" s="78">
        <v>287.21699999999998</v>
      </c>
      <c r="BN328" s="78">
        <v>31</v>
      </c>
      <c r="BO328" s="78">
        <v>28</v>
      </c>
      <c r="BP328" s="78">
        <v>4463.9799999999996</v>
      </c>
      <c r="BQ328" s="78">
        <v>976.2</v>
      </c>
      <c r="BR328" s="78">
        <v>107.634024232633</v>
      </c>
      <c r="BS328" s="78">
        <v>193</v>
      </c>
      <c r="BT328" s="78">
        <v>56.6666666666667</v>
      </c>
      <c r="BU328" s="78">
        <v>49</v>
      </c>
      <c r="BV328" s="78">
        <f t="shared" si="19"/>
        <v>1302</v>
      </c>
      <c r="BW328" s="78">
        <v>572</v>
      </c>
      <c r="BX328" s="78">
        <v>3285.46668636605</v>
      </c>
      <c r="BY328" s="78">
        <v>0.46200000000000002</v>
      </c>
      <c r="BZ328" s="78">
        <v>12846</v>
      </c>
      <c r="CA328" s="78">
        <v>2458</v>
      </c>
      <c r="CB328" s="78">
        <v>417</v>
      </c>
      <c r="CC328" s="78">
        <v>463</v>
      </c>
      <c r="CD328" s="78">
        <v>410</v>
      </c>
      <c r="CE328" s="78">
        <v>182</v>
      </c>
      <c r="CF328" s="78">
        <v>223.72010015934401</v>
      </c>
      <c r="CG328" s="78">
        <v>138.68481675392701</v>
      </c>
      <c r="CH328" s="78">
        <v>40.662326428408797</v>
      </c>
      <c r="CI328" s="78">
        <v>697.01990000000001</v>
      </c>
      <c r="CJ328" s="78">
        <v>432.0849</v>
      </c>
      <c r="CK328" s="78">
        <v>126.6871</v>
      </c>
      <c r="CL328" s="78">
        <v>387903</v>
      </c>
    </row>
    <row r="329" spans="1:90" x14ac:dyDescent="0.35">
      <c r="A329" s="72">
        <v>1729</v>
      </c>
      <c r="B329" s="72" t="s">
        <v>123</v>
      </c>
      <c r="C329" s="72">
        <v>11</v>
      </c>
      <c r="D329" s="78">
        <v>1487200000</v>
      </c>
      <c r="E329" s="78">
        <v>127750000</v>
      </c>
      <c r="F329" s="78">
        <v>147350000</v>
      </c>
      <c r="G329" s="78">
        <v>14206</v>
      </c>
      <c r="H329" s="78">
        <v>4</v>
      </c>
      <c r="I329" s="78">
        <f t="shared" si="17"/>
        <v>147.35</v>
      </c>
      <c r="J329" s="78">
        <v>1957</v>
      </c>
      <c r="K329" s="78">
        <v>4133</v>
      </c>
      <c r="L329" s="78">
        <v>1401</v>
      </c>
      <c r="M329" s="78">
        <v>2021</v>
      </c>
      <c r="N329" s="78">
        <f t="shared" si="18"/>
        <v>1295.5</v>
      </c>
      <c r="O329" s="78">
        <v>145</v>
      </c>
      <c r="P329" s="78">
        <v>21</v>
      </c>
      <c r="Q329" s="78">
        <v>1006</v>
      </c>
      <c r="R329" s="78">
        <v>2155</v>
      </c>
      <c r="S329" s="78">
        <v>160</v>
      </c>
      <c r="T329" s="78">
        <v>0</v>
      </c>
      <c r="U329" s="78">
        <v>352</v>
      </c>
      <c r="V329" s="78">
        <v>6858</v>
      </c>
      <c r="W329" s="78">
        <v>9220</v>
      </c>
      <c r="X329" s="78">
        <v>820</v>
      </c>
      <c r="Y329" s="78">
        <v>320.76</v>
      </c>
      <c r="Z329" s="78">
        <v>1019.2</v>
      </c>
      <c r="AA329" s="78">
        <v>0</v>
      </c>
      <c r="AB329" s="399">
        <f>IF((J329-'[2]Basisgegevens aanvullend'!D329*1.1)&lt;=0,0,J329-'[2]Basisgegevens aanvullend'!D329*1.1)</f>
        <v>0</v>
      </c>
      <c r="AC329" s="399">
        <v>0</v>
      </c>
      <c r="AD329" s="78">
        <v>7317</v>
      </c>
      <c r="AE329" s="78">
        <v>7317</v>
      </c>
      <c r="AF329" s="78">
        <v>19</v>
      </c>
      <c r="AG329" s="78">
        <v>0</v>
      </c>
      <c r="AH329" s="78">
        <v>88</v>
      </c>
      <c r="AI329" s="78">
        <v>31</v>
      </c>
      <c r="AJ329" s="78">
        <v>88</v>
      </c>
      <c r="AK329" s="78">
        <v>31</v>
      </c>
      <c r="AL329" s="78">
        <v>119</v>
      </c>
      <c r="AM329" s="78">
        <v>7255</v>
      </c>
      <c r="AN329" s="78">
        <v>7255</v>
      </c>
      <c r="AO329" s="78">
        <v>0</v>
      </c>
      <c r="AP329" s="78">
        <v>0</v>
      </c>
      <c r="AQ329" s="78">
        <v>0</v>
      </c>
      <c r="AR329" s="78">
        <v>0</v>
      </c>
      <c r="AS329" s="78">
        <v>0</v>
      </c>
      <c r="AT329" s="78">
        <v>0</v>
      </c>
      <c r="AU329" s="400">
        <v>5.7190500000000005E-4</v>
      </c>
      <c r="AV329" s="400">
        <v>1.8492500000000001E-4</v>
      </c>
      <c r="AW329" s="78">
        <v>2096.6950000000002</v>
      </c>
      <c r="AX329" s="78">
        <v>0</v>
      </c>
      <c r="AY329" s="78">
        <v>556</v>
      </c>
      <c r="AZ329" s="78">
        <v>1076.6815703380601</v>
      </c>
      <c r="BA329" s="78">
        <v>20</v>
      </c>
      <c r="BB329" s="78">
        <v>20</v>
      </c>
      <c r="BC329" s="78">
        <v>1677</v>
      </c>
      <c r="BD329" s="78">
        <v>1</v>
      </c>
      <c r="BE329" s="78">
        <v>0</v>
      </c>
      <c r="BF329" s="78">
        <v>0</v>
      </c>
      <c r="BG329" s="78">
        <v>0</v>
      </c>
      <c r="BH329" s="78">
        <v>0</v>
      </c>
      <c r="BI329" s="78">
        <v>0</v>
      </c>
      <c r="BJ329" s="78">
        <v>0</v>
      </c>
      <c r="BK329" s="78">
        <v>0</v>
      </c>
      <c r="BL329" s="78">
        <v>0</v>
      </c>
      <c r="BM329" s="78">
        <v>172.21600000000001</v>
      </c>
      <c r="BN329" s="78">
        <v>17</v>
      </c>
      <c r="BO329" s="78">
        <v>11</v>
      </c>
      <c r="BP329" s="78">
        <v>4478.4799999999996</v>
      </c>
      <c r="BQ329" s="78">
        <v>801.5</v>
      </c>
      <c r="BR329" s="78">
        <v>34.560216494845399</v>
      </c>
      <c r="BS329" s="78">
        <v>94</v>
      </c>
      <c r="BT329" s="78">
        <v>40.3333333333333</v>
      </c>
      <c r="BU329" s="78">
        <v>29</v>
      </c>
      <c r="BV329" s="78">
        <f t="shared" si="19"/>
        <v>861</v>
      </c>
      <c r="BW329" s="78">
        <v>169</v>
      </c>
      <c r="BX329" s="78">
        <v>3027.9400804459801</v>
      </c>
      <c r="BY329" s="78">
        <v>0.34100000000000003</v>
      </c>
      <c r="BZ329" s="78">
        <v>10073</v>
      </c>
      <c r="CA329" s="78">
        <v>2256</v>
      </c>
      <c r="CB329" s="78">
        <v>476</v>
      </c>
      <c r="CC329" s="78">
        <v>416</v>
      </c>
      <c r="CD329" s="78">
        <v>431</v>
      </c>
      <c r="CE329" s="78">
        <v>212</v>
      </c>
      <c r="CF329" s="78">
        <v>246.77891109579599</v>
      </c>
      <c r="CG329" s="78">
        <v>170.531013094418</v>
      </c>
      <c r="CH329" s="78">
        <v>55.534183321847003</v>
      </c>
      <c r="CI329" s="78">
        <v>610.01480000000004</v>
      </c>
      <c r="CJ329" s="78">
        <v>421.53699999999998</v>
      </c>
      <c r="CK329" s="78">
        <v>137.27539999999999</v>
      </c>
      <c r="CL329" s="78">
        <v>0</v>
      </c>
    </row>
    <row r="330" spans="1:90" x14ac:dyDescent="0.35">
      <c r="A330" s="72">
        <v>917</v>
      </c>
      <c r="B330" s="72" t="s">
        <v>139</v>
      </c>
      <c r="C330" s="72">
        <v>11</v>
      </c>
      <c r="D330" s="78">
        <v>5856400000</v>
      </c>
      <c r="E330" s="78">
        <v>1394750000</v>
      </c>
      <c r="F330" s="78">
        <v>1423800000</v>
      </c>
      <c r="G330" s="78">
        <v>86936</v>
      </c>
      <c r="H330" s="78">
        <v>1</v>
      </c>
      <c r="I330" s="78">
        <f t="shared" si="17"/>
        <v>1423.8</v>
      </c>
      <c r="J330" s="78">
        <v>13533</v>
      </c>
      <c r="K330" s="78">
        <v>20454</v>
      </c>
      <c r="L330" s="78">
        <v>6594</v>
      </c>
      <c r="M330" s="78">
        <v>19309</v>
      </c>
      <c r="N330" s="78">
        <f t="shared" si="18"/>
        <v>14668.4</v>
      </c>
      <c r="O330" s="78">
        <v>3853.3333333333298</v>
      </c>
      <c r="P330" s="78">
        <v>117</v>
      </c>
      <c r="Q330" s="78">
        <v>12839.333333333299</v>
      </c>
      <c r="R330" s="78">
        <v>20990</v>
      </c>
      <c r="S330" s="78">
        <v>5470</v>
      </c>
      <c r="T330" s="78">
        <v>0</v>
      </c>
      <c r="U330" s="78">
        <v>4181</v>
      </c>
      <c r="V330" s="78">
        <v>47004</v>
      </c>
      <c r="W330" s="78">
        <v>104140</v>
      </c>
      <c r="X330" s="78">
        <v>150480</v>
      </c>
      <c r="Y330" s="78">
        <v>5416.3257999999996</v>
      </c>
      <c r="Z330" s="78">
        <v>5276.8</v>
      </c>
      <c r="AA330" s="78">
        <v>0</v>
      </c>
      <c r="AB330" s="399">
        <f>IF((J330-'[2]Basisgegevens aanvullend'!D330*1.1)&lt;=0,0,J330-'[2]Basisgegevens aanvullend'!D330*1.1)</f>
        <v>0</v>
      </c>
      <c r="AC330" s="399">
        <v>0</v>
      </c>
      <c r="AD330" s="78">
        <v>4487</v>
      </c>
      <c r="AE330" s="78">
        <v>4487</v>
      </c>
      <c r="AF330" s="78">
        <v>66</v>
      </c>
      <c r="AG330" s="78">
        <v>0</v>
      </c>
      <c r="AH330" s="78">
        <v>473</v>
      </c>
      <c r="AI330" s="78">
        <v>52</v>
      </c>
      <c r="AJ330" s="78">
        <v>473</v>
      </c>
      <c r="AK330" s="78">
        <v>52</v>
      </c>
      <c r="AL330" s="78">
        <v>525</v>
      </c>
      <c r="AM330" s="78">
        <v>46406</v>
      </c>
      <c r="AN330" s="78">
        <v>46406</v>
      </c>
      <c r="AO330" s="78">
        <v>0</v>
      </c>
      <c r="AP330" s="78">
        <v>0</v>
      </c>
      <c r="AQ330" s="78">
        <v>0</v>
      </c>
      <c r="AR330" s="78">
        <v>0</v>
      </c>
      <c r="AS330" s="78">
        <v>7754</v>
      </c>
      <c r="AT330" s="78">
        <v>0</v>
      </c>
      <c r="AU330" s="400">
        <v>9.2766640000000004E-3</v>
      </c>
      <c r="AV330" s="400">
        <v>1.8246696999999999E-2</v>
      </c>
      <c r="AW330" s="78">
        <v>84319.702000000005</v>
      </c>
      <c r="AX330" s="78">
        <v>0</v>
      </c>
      <c r="AY330" s="78">
        <v>517</v>
      </c>
      <c r="AZ330" s="78">
        <v>9871.71359543158</v>
      </c>
      <c r="BA330" s="78">
        <v>4</v>
      </c>
      <c r="BB330" s="78">
        <v>4</v>
      </c>
      <c r="BC330" s="78">
        <v>7368</v>
      </c>
      <c r="BD330" s="78">
        <v>1</v>
      </c>
      <c r="BE330" s="78">
        <v>0</v>
      </c>
      <c r="BF330" s="78">
        <v>0</v>
      </c>
      <c r="BG330" s="78">
        <v>0</v>
      </c>
      <c r="BH330" s="78">
        <v>0</v>
      </c>
      <c r="BI330" s="78">
        <v>0</v>
      </c>
      <c r="BJ330" s="78">
        <v>0</v>
      </c>
      <c r="BK330" s="78">
        <v>0</v>
      </c>
      <c r="BL330" s="78">
        <v>0</v>
      </c>
      <c r="BM330" s="78">
        <v>3613.3110000000001</v>
      </c>
      <c r="BN330" s="78">
        <v>426</v>
      </c>
      <c r="BO330" s="78">
        <v>393</v>
      </c>
      <c r="BP330" s="78">
        <v>23554.959999999999</v>
      </c>
      <c r="BQ330" s="78">
        <v>3967.04</v>
      </c>
      <c r="BR330" s="78">
        <v>768.12221739130405</v>
      </c>
      <c r="BS330" s="78">
        <v>1448</v>
      </c>
      <c r="BT330" s="78">
        <v>1000</v>
      </c>
      <c r="BU330" s="78">
        <v>971.66666666666697</v>
      </c>
      <c r="BV330" s="78">
        <f t="shared" si="19"/>
        <v>8985.9999999999691</v>
      </c>
      <c r="BW330" s="78">
        <v>2150</v>
      </c>
      <c r="BX330" s="78">
        <v>22346.123837126499</v>
      </c>
      <c r="BY330" s="78">
        <v>12.965</v>
      </c>
      <c r="BZ330" s="78">
        <v>66482</v>
      </c>
      <c r="CA330" s="78">
        <v>11232</v>
      </c>
      <c r="CB330" s="78">
        <v>2628</v>
      </c>
      <c r="CC330" s="78">
        <v>3414</v>
      </c>
      <c r="CD330" s="78">
        <v>2674</v>
      </c>
      <c r="CE330" s="78">
        <v>1451</v>
      </c>
      <c r="CF330" s="78">
        <v>2390.5768478214</v>
      </c>
      <c r="CG330" s="78">
        <v>1514.69578933759</v>
      </c>
      <c r="CH330" s="78">
        <v>611.31503684868301</v>
      </c>
      <c r="CI330" s="78">
        <v>4645.1945999999998</v>
      </c>
      <c r="CJ330" s="78">
        <v>2943.2464</v>
      </c>
      <c r="CK330" s="78">
        <v>1187.8628000000001</v>
      </c>
      <c r="CL330" s="78">
        <v>92688</v>
      </c>
    </row>
    <row r="331" spans="1:90" x14ac:dyDescent="0.35">
      <c r="A331" s="72">
        <v>1507</v>
      </c>
      <c r="B331" s="72" t="s">
        <v>158</v>
      </c>
      <c r="C331" s="72">
        <v>11</v>
      </c>
      <c r="D331" s="78">
        <v>3987600000</v>
      </c>
      <c r="E331" s="78">
        <v>669550000</v>
      </c>
      <c r="F331" s="78">
        <v>738500000</v>
      </c>
      <c r="G331" s="78">
        <v>42487</v>
      </c>
      <c r="H331" s="78">
        <v>10</v>
      </c>
      <c r="I331" s="78">
        <f t="shared" si="17"/>
        <v>738.5</v>
      </c>
      <c r="J331" s="78">
        <v>7396</v>
      </c>
      <c r="K331" s="78">
        <v>9479</v>
      </c>
      <c r="L331" s="78">
        <v>3110</v>
      </c>
      <c r="M331" s="78">
        <v>4916</v>
      </c>
      <c r="N331" s="78">
        <f t="shared" si="18"/>
        <v>2948.7</v>
      </c>
      <c r="O331" s="78">
        <v>324</v>
      </c>
      <c r="P331" s="78">
        <v>53</v>
      </c>
      <c r="Q331" s="78">
        <v>2075</v>
      </c>
      <c r="R331" s="78">
        <v>5490</v>
      </c>
      <c r="S331" s="78">
        <v>485</v>
      </c>
      <c r="T331" s="78">
        <v>0</v>
      </c>
      <c r="U331" s="78">
        <v>987</v>
      </c>
      <c r="V331" s="78">
        <v>18840</v>
      </c>
      <c r="W331" s="78">
        <v>38780</v>
      </c>
      <c r="X331" s="78">
        <v>17130</v>
      </c>
      <c r="Y331" s="78">
        <v>160.38</v>
      </c>
      <c r="Z331" s="78">
        <v>1508</v>
      </c>
      <c r="AA331" s="78">
        <v>0</v>
      </c>
      <c r="AB331" s="399">
        <f>IF((J331-'[2]Basisgegevens aanvullend'!D331*1.1)&lt;=0,0,J331-'[2]Basisgegevens aanvullend'!D331*1.1)</f>
        <v>0</v>
      </c>
      <c r="AC331" s="399">
        <v>0</v>
      </c>
      <c r="AD331" s="78">
        <v>18865</v>
      </c>
      <c r="AE331" s="78">
        <v>18865</v>
      </c>
      <c r="AF331" s="78">
        <v>326</v>
      </c>
      <c r="AG331" s="78">
        <v>0</v>
      </c>
      <c r="AH331" s="78">
        <v>282</v>
      </c>
      <c r="AI331" s="78">
        <v>251</v>
      </c>
      <c r="AJ331" s="78">
        <v>282</v>
      </c>
      <c r="AK331" s="78">
        <v>251</v>
      </c>
      <c r="AL331" s="78">
        <v>533</v>
      </c>
      <c r="AM331" s="78">
        <v>19673</v>
      </c>
      <c r="AN331" s="78">
        <v>19673</v>
      </c>
      <c r="AO331" s="78">
        <v>0</v>
      </c>
      <c r="AP331" s="78">
        <v>0</v>
      </c>
      <c r="AQ331" s="78">
        <v>0</v>
      </c>
      <c r="AR331" s="78">
        <v>0</v>
      </c>
      <c r="AS331" s="78">
        <v>0</v>
      </c>
      <c r="AT331" s="78">
        <v>0</v>
      </c>
      <c r="AU331" s="400">
        <v>5.0099699999999999E-4</v>
      </c>
      <c r="AV331" s="400">
        <v>2.9053999999999999E-4</v>
      </c>
      <c r="AW331" s="78">
        <v>11233.282999999999</v>
      </c>
      <c r="AX331" s="78">
        <v>0</v>
      </c>
      <c r="AY331" s="78">
        <v>3132</v>
      </c>
      <c r="AZ331" s="78">
        <v>6933.9421603876799</v>
      </c>
      <c r="BA331" s="78">
        <v>18</v>
      </c>
      <c r="BB331" s="78">
        <v>18</v>
      </c>
      <c r="BC331" s="78">
        <v>4645</v>
      </c>
      <c r="BD331" s="78">
        <v>1</v>
      </c>
      <c r="BE331" s="78">
        <v>0</v>
      </c>
      <c r="BF331" s="78">
        <v>0</v>
      </c>
      <c r="BG331" s="78">
        <v>0</v>
      </c>
      <c r="BH331" s="78">
        <v>0</v>
      </c>
      <c r="BI331" s="78">
        <v>0</v>
      </c>
      <c r="BJ331" s="78">
        <v>0</v>
      </c>
      <c r="BK331" s="78">
        <v>0</v>
      </c>
      <c r="BL331" s="78">
        <v>0</v>
      </c>
      <c r="BM331" s="78">
        <v>562.096</v>
      </c>
      <c r="BN331" s="78">
        <v>49</v>
      </c>
      <c r="BO331" s="78">
        <v>51</v>
      </c>
      <c r="BP331" s="78">
        <v>12585.6</v>
      </c>
      <c r="BQ331" s="78">
        <v>2746.52</v>
      </c>
      <c r="BR331" s="78">
        <v>147.24763636363599</v>
      </c>
      <c r="BS331" s="78">
        <v>361</v>
      </c>
      <c r="BT331" s="78">
        <v>112.666666666667</v>
      </c>
      <c r="BU331" s="78">
        <v>72.6666666666667</v>
      </c>
      <c r="BV331" s="78">
        <f t="shared" si="19"/>
        <v>1751</v>
      </c>
      <c r="BW331" s="78">
        <v>457</v>
      </c>
      <c r="BX331" s="78">
        <v>7835.2160371444097</v>
      </c>
      <c r="BY331" s="78">
        <v>0.21299999999999999</v>
      </c>
      <c r="BZ331" s="78">
        <v>33008</v>
      </c>
      <c r="CA331" s="78">
        <v>5308</v>
      </c>
      <c r="CB331" s="78">
        <v>1061</v>
      </c>
      <c r="CC331" s="78">
        <v>874</v>
      </c>
      <c r="CD331" s="78">
        <v>913</v>
      </c>
      <c r="CE331" s="78">
        <v>474</v>
      </c>
      <c r="CF331" s="78">
        <v>483.68092817567202</v>
      </c>
      <c r="CG331" s="78">
        <v>310.41313983632398</v>
      </c>
      <c r="CH331" s="78">
        <v>107.617882376862</v>
      </c>
      <c r="CI331" s="78">
        <v>1411.8125</v>
      </c>
      <c r="CJ331" s="78">
        <v>906.0625</v>
      </c>
      <c r="CK331" s="78">
        <v>314.125</v>
      </c>
      <c r="CL331" s="78">
        <v>65858</v>
      </c>
    </row>
    <row r="332" spans="1:90" x14ac:dyDescent="0.35">
      <c r="A332" s="72">
        <v>928</v>
      </c>
      <c r="B332" s="72" t="s">
        <v>167</v>
      </c>
      <c r="C332" s="72">
        <v>11</v>
      </c>
      <c r="D332" s="78">
        <v>3104000000</v>
      </c>
      <c r="E332" s="78">
        <v>492800000</v>
      </c>
      <c r="F332" s="78">
        <v>501900000</v>
      </c>
      <c r="G332" s="78">
        <v>45442</v>
      </c>
      <c r="H332" s="78">
        <v>1</v>
      </c>
      <c r="I332" s="78">
        <f t="shared" si="17"/>
        <v>501.9</v>
      </c>
      <c r="J332" s="78">
        <v>6744</v>
      </c>
      <c r="K332" s="78">
        <v>11859</v>
      </c>
      <c r="L332" s="78">
        <v>3876</v>
      </c>
      <c r="M332" s="78">
        <v>9658</v>
      </c>
      <c r="N332" s="78">
        <f t="shared" si="18"/>
        <v>7226.7999999999993</v>
      </c>
      <c r="O332" s="78">
        <v>1549.3333333333301</v>
      </c>
      <c r="P332" s="78">
        <v>51</v>
      </c>
      <c r="Q332" s="78">
        <v>6457.3333333333303</v>
      </c>
      <c r="R332" s="78">
        <v>9549</v>
      </c>
      <c r="S332" s="78">
        <v>1740</v>
      </c>
      <c r="T332" s="78">
        <v>0</v>
      </c>
      <c r="U332" s="78">
        <v>1891</v>
      </c>
      <c r="V332" s="78">
        <v>23878</v>
      </c>
      <c r="W332" s="78">
        <v>47980</v>
      </c>
      <c r="X332" s="78">
        <v>51450</v>
      </c>
      <c r="Y332" s="78">
        <v>897.02</v>
      </c>
      <c r="Z332" s="78">
        <v>217.6</v>
      </c>
      <c r="AA332" s="78">
        <v>0</v>
      </c>
      <c r="AB332" s="399">
        <f>IF((J332-'[2]Basisgegevens aanvullend'!D332*1.1)&lt;=0,0,J332-'[2]Basisgegevens aanvullend'!D332*1.1)</f>
        <v>0</v>
      </c>
      <c r="AC332" s="399">
        <v>0</v>
      </c>
      <c r="AD332" s="78">
        <v>2191</v>
      </c>
      <c r="AE332" s="78">
        <v>2191</v>
      </c>
      <c r="AF332" s="78">
        <v>24</v>
      </c>
      <c r="AG332" s="78">
        <v>0</v>
      </c>
      <c r="AH332" s="78">
        <v>263</v>
      </c>
      <c r="AI332" s="78">
        <v>36</v>
      </c>
      <c r="AJ332" s="78">
        <v>263</v>
      </c>
      <c r="AK332" s="78">
        <v>36</v>
      </c>
      <c r="AL332" s="78">
        <v>299</v>
      </c>
      <c r="AM332" s="78">
        <v>24312</v>
      </c>
      <c r="AN332" s="78">
        <v>24312</v>
      </c>
      <c r="AO332" s="78">
        <v>0</v>
      </c>
      <c r="AP332" s="78">
        <v>0</v>
      </c>
      <c r="AQ332" s="78">
        <v>0</v>
      </c>
      <c r="AR332" s="78">
        <v>0</v>
      </c>
      <c r="AS332" s="78">
        <v>7506</v>
      </c>
      <c r="AT332" s="78">
        <v>0</v>
      </c>
      <c r="AU332" s="400">
        <v>3.0165669999999999E-3</v>
      </c>
      <c r="AV332" s="400">
        <v>4.7433509999999998E-3</v>
      </c>
      <c r="AW332" s="78">
        <v>42643.248</v>
      </c>
      <c r="AX332" s="78">
        <v>0</v>
      </c>
      <c r="AY332" s="78">
        <v>239</v>
      </c>
      <c r="AZ332" s="78">
        <v>4903.2225733634295</v>
      </c>
      <c r="BA332" s="78">
        <v>1</v>
      </c>
      <c r="BB332" s="78">
        <v>1</v>
      </c>
      <c r="BC332" s="78">
        <v>3366</v>
      </c>
      <c r="BD332" s="78">
        <v>1</v>
      </c>
      <c r="BE332" s="78">
        <v>0</v>
      </c>
      <c r="BF332" s="78">
        <v>0</v>
      </c>
      <c r="BG332" s="78">
        <v>0</v>
      </c>
      <c r="BH332" s="78">
        <v>0</v>
      </c>
      <c r="BI332" s="78">
        <v>0</v>
      </c>
      <c r="BJ332" s="78">
        <v>0</v>
      </c>
      <c r="BK332" s="78">
        <v>0</v>
      </c>
      <c r="BL332" s="78">
        <v>0</v>
      </c>
      <c r="BM332" s="78">
        <v>1665.768</v>
      </c>
      <c r="BN332" s="78">
        <v>321</v>
      </c>
      <c r="BO332" s="78">
        <v>148</v>
      </c>
      <c r="BP332" s="78">
        <v>11694.81</v>
      </c>
      <c r="BQ332" s="78">
        <v>2030.07</v>
      </c>
      <c r="BR332" s="78">
        <v>283.60608849557502</v>
      </c>
      <c r="BS332" s="78">
        <v>580</v>
      </c>
      <c r="BT332" s="78">
        <v>387</v>
      </c>
      <c r="BU332" s="78">
        <v>380</v>
      </c>
      <c r="BV332" s="78">
        <f t="shared" si="19"/>
        <v>4908</v>
      </c>
      <c r="BW332" s="78">
        <v>1110</v>
      </c>
      <c r="BX332" s="78">
        <v>11228.2633727513</v>
      </c>
      <c r="BY332" s="78">
        <v>4.9359999999999999</v>
      </c>
      <c r="BZ332" s="78">
        <v>33583</v>
      </c>
      <c r="CA332" s="78">
        <v>6659</v>
      </c>
      <c r="CB332" s="78">
        <v>1324</v>
      </c>
      <c r="CC332" s="78">
        <v>1697</v>
      </c>
      <c r="CD332" s="78">
        <v>1441</v>
      </c>
      <c r="CE332" s="78">
        <v>641</v>
      </c>
      <c r="CF332" s="78">
        <v>1266.59241526818</v>
      </c>
      <c r="CG332" s="78">
        <v>807.93198420533099</v>
      </c>
      <c r="CH332" s="78">
        <v>270.796923330043</v>
      </c>
      <c r="CI332" s="78">
        <v>2709.5699</v>
      </c>
      <c r="CJ332" s="78">
        <v>1728.3761999999999</v>
      </c>
      <c r="CK332" s="78">
        <v>579.30489999999998</v>
      </c>
      <c r="CL332" s="78">
        <v>58382</v>
      </c>
    </row>
    <row r="333" spans="1:90" x14ac:dyDescent="0.35">
      <c r="A333" s="72">
        <v>882</v>
      </c>
      <c r="B333" s="72" t="s">
        <v>173</v>
      </c>
      <c r="C333" s="72">
        <v>11</v>
      </c>
      <c r="D333" s="78">
        <v>2847200000</v>
      </c>
      <c r="E333" s="78">
        <v>254450000</v>
      </c>
      <c r="F333" s="78">
        <v>267050000</v>
      </c>
      <c r="G333" s="78">
        <v>37262</v>
      </c>
      <c r="H333" s="78">
        <v>1</v>
      </c>
      <c r="I333" s="78">
        <f t="shared" si="17"/>
        <v>267.05</v>
      </c>
      <c r="J333" s="78">
        <v>5799</v>
      </c>
      <c r="K333" s="78">
        <v>9631</v>
      </c>
      <c r="L333" s="78">
        <v>3057</v>
      </c>
      <c r="M333" s="78">
        <v>6308</v>
      </c>
      <c r="N333" s="78">
        <f t="shared" si="18"/>
        <v>4452.5</v>
      </c>
      <c r="O333" s="78">
        <v>998</v>
      </c>
      <c r="P333" s="78">
        <v>39</v>
      </c>
      <c r="Q333" s="78">
        <v>4662</v>
      </c>
      <c r="R333" s="78">
        <v>6242</v>
      </c>
      <c r="S333" s="78">
        <v>805</v>
      </c>
      <c r="T333" s="78">
        <v>0</v>
      </c>
      <c r="U333" s="78">
        <v>1416</v>
      </c>
      <c r="V333" s="78">
        <v>18527</v>
      </c>
      <c r="W333" s="78">
        <v>37120</v>
      </c>
      <c r="X333" s="78">
        <v>34050</v>
      </c>
      <c r="Y333" s="78">
        <v>188.1</v>
      </c>
      <c r="Z333" s="78">
        <v>1531.2</v>
      </c>
      <c r="AA333" s="78">
        <v>0</v>
      </c>
      <c r="AB333" s="399">
        <f>IF((J333-'[2]Basisgegevens aanvullend'!D333*1.1)&lt;=0,0,J333-'[2]Basisgegevens aanvullend'!D333*1.1)</f>
        <v>0</v>
      </c>
      <c r="AC333" s="399">
        <v>0</v>
      </c>
      <c r="AD333" s="78">
        <v>2460</v>
      </c>
      <c r="AE333" s="78">
        <v>2460</v>
      </c>
      <c r="AF333" s="78">
        <v>6</v>
      </c>
      <c r="AG333" s="78">
        <v>0</v>
      </c>
      <c r="AH333" s="78">
        <v>209</v>
      </c>
      <c r="AI333" s="78">
        <v>12</v>
      </c>
      <c r="AJ333" s="78">
        <v>209</v>
      </c>
      <c r="AK333" s="78">
        <v>12</v>
      </c>
      <c r="AL333" s="78">
        <v>221</v>
      </c>
      <c r="AM333" s="78">
        <v>18555</v>
      </c>
      <c r="AN333" s="78">
        <v>18555</v>
      </c>
      <c r="AO333" s="78">
        <v>0</v>
      </c>
      <c r="AP333" s="78">
        <v>0</v>
      </c>
      <c r="AQ333" s="78">
        <v>0</v>
      </c>
      <c r="AR333" s="78">
        <v>0</v>
      </c>
      <c r="AS333" s="78">
        <v>2575</v>
      </c>
      <c r="AT333" s="78">
        <v>0</v>
      </c>
      <c r="AU333" s="400">
        <v>1.2622429999999999E-3</v>
      </c>
      <c r="AV333" s="400">
        <v>1.655636E-3</v>
      </c>
      <c r="AW333" s="78">
        <v>27034.634999999998</v>
      </c>
      <c r="AX333" s="78">
        <v>0</v>
      </c>
      <c r="AY333" s="78">
        <v>187</v>
      </c>
      <c r="AZ333" s="78">
        <v>2825.6261151662602</v>
      </c>
      <c r="BA333" s="78">
        <v>3</v>
      </c>
      <c r="BB333" s="78">
        <v>3</v>
      </c>
      <c r="BC333" s="78">
        <v>2595</v>
      </c>
      <c r="BD333" s="78">
        <v>1</v>
      </c>
      <c r="BE333" s="78">
        <v>0</v>
      </c>
      <c r="BF333" s="78">
        <v>0</v>
      </c>
      <c r="BG333" s="78">
        <v>0</v>
      </c>
      <c r="BH333" s="78">
        <v>0</v>
      </c>
      <c r="BI333" s="78">
        <v>0</v>
      </c>
      <c r="BJ333" s="78">
        <v>0</v>
      </c>
      <c r="BK333" s="78">
        <v>0</v>
      </c>
      <c r="BL333" s="78">
        <v>0</v>
      </c>
      <c r="BM333" s="78">
        <v>1038.021</v>
      </c>
      <c r="BN333" s="78">
        <v>142</v>
      </c>
      <c r="BO333" s="78">
        <v>90</v>
      </c>
      <c r="BP333" s="78">
        <v>10252.08</v>
      </c>
      <c r="BQ333" s="78">
        <v>1992.15</v>
      </c>
      <c r="BR333" s="78">
        <v>244.67665410199601</v>
      </c>
      <c r="BS333" s="78">
        <v>455</v>
      </c>
      <c r="BT333" s="78">
        <v>272.66666666666703</v>
      </c>
      <c r="BU333" s="78">
        <v>264.33333333333297</v>
      </c>
      <c r="BV333" s="78">
        <f t="shared" si="19"/>
        <v>3664</v>
      </c>
      <c r="BW333" s="78">
        <v>895</v>
      </c>
      <c r="BX333" s="78">
        <v>9266.0926478835609</v>
      </c>
      <c r="BY333" s="78">
        <v>3.1909999999999998</v>
      </c>
      <c r="BZ333" s="78">
        <v>27631</v>
      </c>
      <c r="CA333" s="78">
        <v>5556</v>
      </c>
      <c r="CB333" s="78">
        <v>1018</v>
      </c>
      <c r="CC333" s="78">
        <v>1252</v>
      </c>
      <c r="CD333" s="78">
        <v>1092</v>
      </c>
      <c r="CE333" s="78">
        <v>524</v>
      </c>
      <c r="CF333" s="78">
        <v>843.947318781999</v>
      </c>
      <c r="CG333" s="78">
        <v>520.23821072487203</v>
      </c>
      <c r="CH333" s="78">
        <v>170.85313931554799</v>
      </c>
      <c r="CI333" s="78">
        <v>1896.3664000000001</v>
      </c>
      <c r="CJ333" s="78">
        <v>1168.9856</v>
      </c>
      <c r="CK333" s="78">
        <v>383.91039999999998</v>
      </c>
      <c r="CL333" s="78">
        <v>108664</v>
      </c>
    </row>
    <row r="334" spans="1:90" x14ac:dyDescent="0.35">
      <c r="A334" s="72">
        <v>1640</v>
      </c>
      <c r="B334" s="72" t="s">
        <v>183</v>
      </c>
      <c r="C334" s="72">
        <v>11</v>
      </c>
      <c r="D334" s="78">
        <v>3355600000</v>
      </c>
      <c r="E334" s="78">
        <v>459900000</v>
      </c>
      <c r="F334" s="78">
        <v>509250000</v>
      </c>
      <c r="G334" s="78">
        <v>36045</v>
      </c>
      <c r="H334" s="78">
        <v>9</v>
      </c>
      <c r="I334" s="78">
        <f t="shared" si="17"/>
        <v>509.25</v>
      </c>
      <c r="J334" s="78">
        <v>5737</v>
      </c>
      <c r="K334" s="78">
        <v>8986</v>
      </c>
      <c r="L334" s="78">
        <v>2866</v>
      </c>
      <c r="M334" s="78">
        <v>4333</v>
      </c>
      <c r="N334" s="78">
        <f t="shared" si="18"/>
        <v>2658.5</v>
      </c>
      <c r="O334" s="78">
        <v>333.33333333333297</v>
      </c>
      <c r="P334" s="78">
        <v>39</v>
      </c>
      <c r="Q334" s="78">
        <v>2133.3333333333298</v>
      </c>
      <c r="R334" s="78">
        <v>4806</v>
      </c>
      <c r="S334" s="78">
        <v>610</v>
      </c>
      <c r="T334" s="78">
        <v>0</v>
      </c>
      <c r="U334" s="78">
        <v>884</v>
      </c>
      <c r="V334" s="78">
        <v>16777</v>
      </c>
      <c r="W334" s="78">
        <v>29960</v>
      </c>
      <c r="X334" s="78">
        <v>6480</v>
      </c>
      <c r="Y334" s="78">
        <v>1121.04</v>
      </c>
      <c r="Z334" s="78">
        <v>1336</v>
      </c>
      <c r="AA334" s="78">
        <v>0</v>
      </c>
      <c r="AB334" s="399">
        <f>IF((J334-'[2]Basisgegevens aanvullend'!D334*1.1)&lt;=0,0,J334-'[2]Basisgegevens aanvullend'!D334*1.1)</f>
        <v>0</v>
      </c>
      <c r="AC334" s="399">
        <v>0</v>
      </c>
      <c r="AD334" s="78">
        <v>16246</v>
      </c>
      <c r="AE334" s="78">
        <v>16246</v>
      </c>
      <c r="AF334" s="78">
        <v>244</v>
      </c>
      <c r="AG334" s="78">
        <v>0</v>
      </c>
      <c r="AH334" s="78">
        <v>256</v>
      </c>
      <c r="AI334" s="78">
        <v>183</v>
      </c>
      <c r="AJ334" s="78">
        <v>256</v>
      </c>
      <c r="AK334" s="78">
        <v>183</v>
      </c>
      <c r="AL334" s="78">
        <v>440</v>
      </c>
      <c r="AM334" s="78">
        <v>16745</v>
      </c>
      <c r="AN334" s="78">
        <v>16745</v>
      </c>
      <c r="AO334" s="78">
        <v>0</v>
      </c>
      <c r="AP334" s="78">
        <v>0</v>
      </c>
      <c r="AQ334" s="78">
        <v>0</v>
      </c>
      <c r="AR334" s="78">
        <v>0</v>
      </c>
      <c r="AS334" s="78">
        <v>0</v>
      </c>
      <c r="AT334" s="78">
        <v>0</v>
      </c>
      <c r="AU334" s="400">
        <v>5.8512400000000002E-4</v>
      </c>
      <c r="AV334" s="400">
        <v>2.6229600000000002E-4</v>
      </c>
      <c r="AW334" s="78">
        <v>6547.2950000000001</v>
      </c>
      <c r="AX334" s="78">
        <v>0</v>
      </c>
      <c r="AY334" s="78">
        <v>2009</v>
      </c>
      <c r="AZ334" s="78">
        <v>4391.4132807762298</v>
      </c>
      <c r="BA334" s="78">
        <v>17</v>
      </c>
      <c r="BB334" s="78">
        <v>17</v>
      </c>
      <c r="BC334" s="78">
        <v>3916</v>
      </c>
      <c r="BD334" s="78">
        <v>1</v>
      </c>
      <c r="BE334" s="78">
        <v>0</v>
      </c>
      <c r="BF334" s="78">
        <v>0</v>
      </c>
      <c r="BG334" s="78">
        <v>0</v>
      </c>
      <c r="BH334" s="78">
        <v>0</v>
      </c>
      <c r="BI334" s="78">
        <v>0</v>
      </c>
      <c r="BJ334" s="78">
        <v>0</v>
      </c>
      <c r="BK334" s="78">
        <v>0</v>
      </c>
      <c r="BL334" s="78">
        <v>0</v>
      </c>
      <c r="BM334" s="78">
        <v>458.96</v>
      </c>
      <c r="BN334" s="78">
        <v>78</v>
      </c>
      <c r="BO334" s="78">
        <v>47</v>
      </c>
      <c r="BP334" s="78">
        <v>10906.83</v>
      </c>
      <c r="BQ334" s="78">
        <v>2258.1999999999998</v>
      </c>
      <c r="BR334" s="78">
        <v>113.30187215141</v>
      </c>
      <c r="BS334" s="78">
        <v>328</v>
      </c>
      <c r="BT334" s="78">
        <v>80.6666666666667</v>
      </c>
      <c r="BU334" s="78">
        <v>63.3333333333333</v>
      </c>
      <c r="BV334" s="78">
        <f t="shared" si="19"/>
        <v>1799.9999999999968</v>
      </c>
      <c r="BW334" s="78">
        <v>417</v>
      </c>
      <c r="BX334" s="78">
        <v>6364.8323085927696</v>
      </c>
      <c r="BY334" s="78">
        <v>0.29099999999999998</v>
      </c>
      <c r="BZ334" s="78">
        <v>27059</v>
      </c>
      <c r="CA334" s="78">
        <v>5049</v>
      </c>
      <c r="CB334" s="78">
        <v>1071</v>
      </c>
      <c r="CC334" s="78">
        <v>841</v>
      </c>
      <c r="CD334" s="78">
        <v>868</v>
      </c>
      <c r="CE334" s="78">
        <v>484</v>
      </c>
      <c r="CF334" s="78">
        <v>483.91209316213798</v>
      </c>
      <c r="CG334" s="78">
        <v>305.14404299790999</v>
      </c>
      <c r="CH334" s="78">
        <v>109.388265153777</v>
      </c>
      <c r="CI334" s="78">
        <v>1310.3352</v>
      </c>
      <c r="CJ334" s="78">
        <v>826.26779999999997</v>
      </c>
      <c r="CK334" s="78">
        <v>296.2011</v>
      </c>
      <c r="CL334" s="78">
        <v>25051</v>
      </c>
    </row>
    <row r="335" spans="1:90" x14ac:dyDescent="0.35">
      <c r="A335" s="72">
        <v>1641</v>
      </c>
      <c r="B335" s="72" t="s">
        <v>193</v>
      </c>
      <c r="C335" s="72">
        <v>11</v>
      </c>
      <c r="D335" s="78">
        <v>2227600000</v>
      </c>
      <c r="E335" s="78">
        <v>328300000</v>
      </c>
      <c r="F335" s="78">
        <v>344050000</v>
      </c>
      <c r="G335" s="78">
        <v>23947</v>
      </c>
      <c r="H335" s="78">
        <v>6</v>
      </c>
      <c r="I335" s="78">
        <f t="shared" si="17"/>
        <v>344.05</v>
      </c>
      <c r="J335" s="78">
        <v>3433</v>
      </c>
      <c r="K335" s="78">
        <v>6522</v>
      </c>
      <c r="L335" s="78">
        <v>2054</v>
      </c>
      <c r="M335" s="78">
        <v>3207</v>
      </c>
      <c r="N335" s="78">
        <f t="shared" si="18"/>
        <v>1992.6</v>
      </c>
      <c r="O335" s="78">
        <v>253.333333333333</v>
      </c>
      <c r="P335" s="78">
        <v>35</v>
      </c>
      <c r="Q335" s="78">
        <v>1930.3333333333301</v>
      </c>
      <c r="R335" s="78">
        <v>3379</v>
      </c>
      <c r="S335" s="78">
        <v>330</v>
      </c>
      <c r="T335" s="78">
        <v>0</v>
      </c>
      <c r="U335" s="78">
        <v>569</v>
      </c>
      <c r="V335" s="78">
        <v>11580</v>
      </c>
      <c r="W335" s="78">
        <v>20960</v>
      </c>
      <c r="X335" s="78">
        <v>5260</v>
      </c>
      <c r="Y335" s="78">
        <v>241.56</v>
      </c>
      <c r="Z335" s="78">
        <v>0</v>
      </c>
      <c r="AA335" s="78">
        <v>0</v>
      </c>
      <c r="AB335" s="399">
        <f>IF((J335-'[2]Basisgegevens aanvullend'!D335*1.1)&lt;=0,0,J335-'[2]Basisgegevens aanvullend'!D335*1.1)</f>
        <v>0</v>
      </c>
      <c r="AC335" s="399">
        <v>0</v>
      </c>
      <c r="AD335" s="78">
        <v>4566</v>
      </c>
      <c r="AE335" s="78">
        <v>4566</v>
      </c>
      <c r="AF335" s="78">
        <v>1245</v>
      </c>
      <c r="AG335" s="78">
        <v>0</v>
      </c>
      <c r="AH335" s="78">
        <v>169</v>
      </c>
      <c r="AI335" s="78">
        <v>36</v>
      </c>
      <c r="AJ335" s="78">
        <v>169</v>
      </c>
      <c r="AK335" s="78">
        <v>36</v>
      </c>
      <c r="AL335" s="78">
        <v>205</v>
      </c>
      <c r="AM335" s="78">
        <v>12144</v>
      </c>
      <c r="AN335" s="78">
        <v>12144</v>
      </c>
      <c r="AO335" s="78">
        <v>24</v>
      </c>
      <c r="AP335" s="78">
        <v>0</v>
      </c>
      <c r="AQ335" s="78">
        <v>0</v>
      </c>
      <c r="AR335" s="78">
        <v>0</v>
      </c>
      <c r="AS335" s="78">
        <v>0</v>
      </c>
      <c r="AT335" s="78">
        <v>0</v>
      </c>
      <c r="AU335" s="400">
        <v>5.77624E-4</v>
      </c>
      <c r="AV335" s="400">
        <v>2.26973E-4</v>
      </c>
      <c r="AW335" s="78">
        <v>5367.6480000000001</v>
      </c>
      <c r="AX335" s="78">
        <v>0</v>
      </c>
      <c r="AY335" s="78">
        <v>2034</v>
      </c>
      <c r="AZ335" s="78">
        <v>8382.0681466184797</v>
      </c>
      <c r="BA335" s="78">
        <v>9</v>
      </c>
      <c r="BB335" s="78">
        <v>9</v>
      </c>
      <c r="BC335" s="78">
        <v>2722</v>
      </c>
      <c r="BD335" s="78">
        <v>1</v>
      </c>
      <c r="BE335" s="78">
        <v>0</v>
      </c>
      <c r="BF335" s="78">
        <v>0</v>
      </c>
      <c r="BG335" s="78">
        <v>0</v>
      </c>
      <c r="BH335" s="78">
        <v>0</v>
      </c>
      <c r="BI335" s="78">
        <v>0</v>
      </c>
      <c r="BJ335" s="78">
        <v>0</v>
      </c>
      <c r="BK335" s="78">
        <v>0</v>
      </c>
      <c r="BL335" s="78">
        <v>0</v>
      </c>
      <c r="BM335" s="78">
        <v>302.10399999999998</v>
      </c>
      <c r="BN335" s="78">
        <v>30</v>
      </c>
      <c r="BO335" s="78">
        <v>17</v>
      </c>
      <c r="BP335" s="78">
        <v>7184.41</v>
      </c>
      <c r="BQ335" s="78">
        <v>1414.7</v>
      </c>
      <c r="BR335" s="78">
        <v>59.785705384149999</v>
      </c>
      <c r="BS335" s="78">
        <v>151</v>
      </c>
      <c r="BT335" s="78">
        <v>67.6666666666667</v>
      </c>
      <c r="BU335" s="78">
        <v>54.3333333333333</v>
      </c>
      <c r="BV335" s="78">
        <f t="shared" si="19"/>
        <v>1676.999999999997</v>
      </c>
      <c r="BW335" s="78">
        <v>647</v>
      </c>
      <c r="BX335" s="78">
        <v>4889.52474024619</v>
      </c>
      <c r="BY335" s="78">
        <v>0.372</v>
      </c>
      <c r="BZ335" s="78">
        <v>17425</v>
      </c>
      <c r="CA335" s="78">
        <v>3727</v>
      </c>
      <c r="CB335" s="78">
        <v>741</v>
      </c>
      <c r="CC335" s="78">
        <v>690</v>
      </c>
      <c r="CD335" s="78">
        <v>624</v>
      </c>
      <c r="CE335" s="78">
        <v>353</v>
      </c>
      <c r="CF335" s="78">
        <v>368.52598814229202</v>
      </c>
      <c r="CG335" s="78">
        <v>227.41630434782601</v>
      </c>
      <c r="CH335" s="78">
        <v>84.665810276679807</v>
      </c>
      <c r="CI335" s="78">
        <v>965.55539999999996</v>
      </c>
      <c r="CJ335" s="78">
        <v>595.84140000000002</v>
      </c>
      <c r="CK335" s="78">
        <v>221.82839999999999</v>
      </c>
      <c r="CL335" s="78">
        <v>227030</v>
      </c>
    </row>
    <row r="336" spans="1:90" x14ac:dyDescent="0.35">
      <c r="A336" s="72">
        <v>935</v>
      </c>
      <c r="B336" s="72" t="s">
        <v>195</v>
      </c>
      <c r="C336" s="72">
        <v>11</v>
      </c>
      <c r="D336" s="78">
        <v>12014000000</v>
      </c>
      <c r="E336" s="78">
        <v>2377550000</v>
      </c>
      <c r="F336" s="78">
        <v>2413250000</v>
      </c>
      <c r="G336" s="78">
        <v>120227</v>
      </c>
      <c r="H336" s="78">
        <v>1</v>
      </c>
      <c r="I336" s="78">
        <f t="shared" si="17"/>
        <v>2413.25</v>
      </c>
      <c r="J336" s="78">
        <v>15463</v>
      </c>
      <c r="K336" s="78">
        <v>26593</v>
      </c>
      <c r="L336" s="78">
        <v>8885</v>
      </c>
      <c r="M336" s="78">
        <v>20664</v>
      </c>
      <c r="N336" s="78">
        <f t="shared" si="18"/>
        <v>14018.099999999999</v>
      </c>
      <c r="O336" s="78">
        <v>3503.3333333333298</v>
      </c>
      <c r="P336" s="78">
        <v>144</v>
      </c>
      <c r="Q336" s="78">
        <v>11780.333333333299</v>
      </c>
      <c r="R336" s="78">
        <v>37037</v>
      </c>
      <c r="S336" s="78">
        <v>5380</v>
      </c>
      <c r="T336" s="78">
        <v>0</v>
      </c>
      <c r="U336" s="78">
        <v>3961</v>
      </c>
      <c r="V336" s="78">
        <v>70446</v>
      </c>
      <c r="W336" s="78">
        <v>134330</v>
      </c>
      <c r="X336" s="78">
        <v>188790</v>
      </c>
      <c r="Y336" s="78">
        <v>2922.44</v>
      </c>
      <c r="Z336" s="78">
        <v>4175.2</v>
      </c>
      <c r="AA336" s="78">
        <v>0</v>
      </c>
      <c r="AB336" s="399">
        <f>IF((J336-'[2]Basisgegevens aanvullend'!D336*1.1)&lt;=0,0,J336-'[2]Basisgegevens aanvullend'!D336*1.1)</f>
        <v>0</v>
      </c>
      <c r="AC336" s="399">
        <v>0</v>
      </c>
      <c r="AD336" s="78">
        <v>5566</v>
      </c>
      <c r="AE336" s="78">
        <v>5566</v>
      </c>
      <c r="AF336" s="78">
        <v>445</v>
      </c>
      <c r="AG336" s="78">
        <v>0</v>
      </c>
      <c r="AH336" s="78">
        <v>582</v>
      </c>
      <c r="AI336" s="78">
        <v>49</v>
      </c>
      <c r="AJ336" s="78">
        <v>582</v>
      </c>
      <c r="AK336" s="78">
        <v>49</v>
      </c>
      <c r="AL336" s="78">
        <v>631</v>
      </c>
      <c r="AM336" s="78">
        <v>66459</v>
      </c>
      <c r="AN336" s="78">
        <v>66459</v>
      </c>
      <c r="AO336" s="78">
        <v>0</v>
      </c>
      <c r="AP336" s="78">
        <v>0</v>
      </c>
      <c r="AQ336" s="78">
        <v>101</v>
      </c>
      <c r="AR336" s="78">
        <v>2600</v>
      </c>
      <c r="AS336" s="78">
        <v>12746</v>
      </c>
      <c r="AT336" s="78">
        <v>10137</v>
      </c>
      <c r="AU336" s="400">
        <v>8.721052E-3</v>
      </c>
      <c r="AV336" s="400">
        <v>1.0494013E-2</v>
      </c>
      <c r="AW336" s="78">
        <v>167476.68</v>
      </c>
      <c r="AX336" s="78">
        <v>0</v>
      </c>
      <c r="AY336" s="78">
        <v>1149</v>
      </c>
      <c r="AZ336" s="78">
        <v>22981.338046913999</v>
      </c>
      <c r="BA336" s="78">
        <v>2</v>
      </c>
      <c r="BB336" s="78">
        <v>2</v>
      </c>
      <c r="BC336" s="78">
        <v>12390</v>
      </c>
      <c r="BD336" s="78">
        <v>1</v>
      </c>
      <c r="BE336" s="78">
        <v>0</v>
      </c>
      <c r="BF336" s="78">
        <v>0</v>
      </c>
      <c r="BG336" s="78">
        <v>0</v>
      </c>
      <c r="BH336" s="78">
        <v>0</v>
      </c>
      <c r="BI336" s="78">
        <v>0</v>
      </c>
      <c r="BJ336" s="78">
        <v>0</v>
      </c>
      <c r="BK336" s="78">
        <v>0</v>
      </c>
      <c r="BL336" s="78">
        <v>0</v>
      </c>
      <c r="BM336" s="78">
        <v>3061.674</v>
      </c>
      <c r="BN336" s="78">
        <v>255</v>
      </c>
      <c r="BO336" s="78">
        <v>414</v>
      </c>
      <c r="BP336" s="78">
        <v>34696.32</v>
      </c>
      <c r="BQ336" s="78">
        <v>5541.24</v>
      </c>
      <c r="BR336" s="78">
        <v>724.03648074679097</v>
      </c>
      <c r="BS336" s="78">
        <v>1311</v>
      </c>
      <c r="BT336" s="78">
        <v>792.66666666666697</v>
      </c>
      <c r="BU336" s="78">
        <v>749.66666666666697</v>
      </c>
      <c r="BV336" s="78">
        <f t="shared" si="19"/>
        <v>8276.9999999999691</v>
      </c>
      <c r="BW336" s="78">
        <v>2231</v>
      </c>
      <c r="BX336" s="78">
        <v>20783.967583795999</v>
      </c>
      <c r="BY336" s="78">
        <v>10.361000000000001</v>
      </c>
      <c r="BZ336" s="78">
        <v>93634</v>
      </c>
      <c r="CA336" s="78">
        <v>14530</v>
      </c>
      <c r="CB336" s="78">
        <v>3178</v>
      </c>
      <c r="CC336" s="78">
        <v>4159</v>
      </c>
      <c r="CD336" s="78">
        <v>3334</v>
      </c>
      <c r="CE336" s="78">
        <v>1653</v>
      </c>
      <c r="CF336" s="78">
        <v>2021.9610075384801</v>
      </c>
      <c r="CG336" s="78">
        <v>1344.2476007764201</v>
      </c>
      <c r="CH336" s="78">
        <v>481.97171940595001</v>
      </c>
      <c r="CI336" s="78">
        <v>5080.58</v>
      </c>
      <c r="CJ336" s="78">
        <v>3377.69</v>
      </c>
      <c r="CK336" s="78">
        <v>1211.05</v>
      </c>
      <c r="CL336" s="78">
        <v>215033</v>
      </c>
    </row>
    <row r="337" spans="1:90" x14ac:dyDescent="0.35">
      <c r="A337" s="72">
        <v>938</v>
      </c>
      <c r="B337" s="72" t="s">
        <v>197</v>
      </c>
      <c r="C337" s="72">
        <v>11</v>
      </c>
      <c r="D337" s="78">
        <v>1938000000</v>
      </c>
      <c r="E337" s="78">
        <v>122500000</v>
      </c>
      <c r="F337" s="78">
        <v>133000000</v>
      </c>
      <c r="G337" s="78">
        <v>18661</v>
      </c>
      <c r="H337" s="78">
        <v>3</v>
      </c>
      <c r="I337" s="78">
        <f t="shared" si="17"/>
        <v>133</v>
      </c>
      <c r="J337" s="78">
        <v>2996</v>
      </c>
      <c r="K337" s="78">
        <v>5094</v>
      </c>
      <c r="L337" s="78">
        <v>1793</v>
      </c>
      <c r="M337" s="78">
        <v>2326</v>
      </c>
      <c r="N337" s="78">
        <f t="shared" si="18"/>
        <v>1452.1999999999998</v>
      </c>
      <c r="O337" s="78">
        <v>207.333333333333</v>
      </c>
      <c r="P337" s="78">
        <v>17</v>
      </c>
      <c r="Q337" s="78">
        <v>1256.3333333333301</v>
      </c>
      <c r="R337" s="78">
        <v>2635</v>
      </c>
      <c r="S337" s="78">
        <v>220</v>
      </c>
      <c r="T337" s="78">
        <v>0</v>
      </c>
      <c r="U337" s="78">
        <v>538</v>
      </c>
      <c r="V337" s="78">
        <v>8773</v>
      </c>
      <c r="W337" s="78">
        <v>14970</v>
      </c>
      <c r="X337" s="78">
        <v>4590</v>
      </c>
      <c r="Y337" s="78">
        <v>0</v>
      </c>
      <c r="Z337" s="78">
        <v>1000.8</v>
      </c>
      <c r="AA337" s="78">
        <v>0</v>
      </c>
      <c r="AB337" s="399">
        <f>IF((J337-'[2]Basisgegevens aanvullend'!D337*1.1)&lt;=0,0,J337-'[2]Basisgegevens aanvullend'!D337*1.1)</f>
        <v>0</v>
      </c>
      <c r="AC337" s="399">
        <v>0</v>
      </c>
      <c r="AD337" s="78">
        <v>2687</v>
      </c>
      <c r="AE337" s="78">
        <v>2687</v>
      </c>
      <c r="AF337" s="78">
        <v>83</v>
      </c>
      <c r="AG337" s="78">
        <v>0</v>
      </c>
      <c r="AH337" s="78">
        <v>116</v>
      </c>
      <c r="AI337" s="78">
        <v>15</v>
      </c>
      <c r="AJ337" s="78">
        <v>116</v>
      </c>
      <c r="AK337" s="78">
        <v>15</v>
      </c>
      <c r="AL337" s="78">
        <v>131</v>
      </c>
      <c r="AM337" s="78">
        <v>8738</v>
      </c>
      <c r="AN337" s="78">
        <v>8738</v>
      </c>
      <c r="AO337" s="78">
        <v>0</v>
      </c>
      <c r="AP337" s="78">
        <v>0</v>
      </c>
      <c r="AQ337" s="78">
        <v>0</v>
      </c>
      <c r="AR337" s="78">
        <v>0</v>
      </c>
      <c r="AS337" s="78">
        <v>589</v>
      </c>
      <c r="AT337" s="78">
        <v>0</v>
      </c>
      <c r="AU337" s="400">
        <v>4.99462E-4</v>
      </c>
      <c r="AV337" s="400">
        <v>2.9914200000000002E-4</v>
      </c>
      <c r="AW337" s="78">
        <v>5382.6080000000002</v>
      </c>
      <c r="AX337" s="78">
        <v>0</v>
      </c>
      <c r="AY337" s="78">
        <v>405</v>
      </c>
      <c r="AZ337" s="78">
        <v>2728.4133574007201</v>
      </c>
      <c r="BA337" s="78">
        <v>7</v>
      </c>
      <c r="BB337" s="78">
        <v>7</v>
      </c>
      <c r="BC337" s="78">
        <v>2007</v>
      </c>
      <c r="BD337" s="78">
        <v>1</v>
      </c>
      <c r="BE337" s="78">
        <v>0</v>
      </c>
      <c r="BF337" s="78">
        <v>0</v>
      </c>
      <c r="BG337" s="78">
        <v>0</v>
      </c>
      <c r="BH337" s="78">
        <v>0</v>
      </c>
      <c r="BI337" s="78">
        <v>0</v>
      </c>
      <c r="BJ337" s="78">
        <v>0</v>
      </c>
      <c r="BK337" s="78">
        <v>0</v>
      </c>
      <c r="BL337" s="78">
        <v>0</v>
      </c>
      <c r="BM337" s="78">
        <v>281.62400000000002</v>
      </c>
      <c r="BN337" s="78">
        <v>12</v>
      </c>
      <c r="BO337" s="78">
        <v>21</v>
      </c>
      <c r="BP337" s="78">
        <v>6274.46</v>
      </c>
      <c r="BQ337" s="78">
        <v>1323</v>
      </c>
      <c r="BR337" s="78">
        <v>112.681684515195</v>
      </c>
      <c r="BS337" s="78">
        <v>182</v>
      </c>
      <c r="BT337" s="78">
        <v>47</v>
      </c>
      <c r="BU337" s="78">
        <v>32</v>
      </c>
      <c r="BV337" s="78">
        <f t="shared" si="19"/>
        <v>1048.999999999997</v>
      </c>
      <c r="BW337" s="78">
        <v>218</v>
      </c>
      <c r="BX337" s="78">
        <v>3943.35038453367</v>
      </c>
      <c r="BY337" s="78">
        <v>0.34699999999999998</v>
      </c>
      <c r="BZ337" s="78">
        <v>13567</v>
      </c>
      <c r="CA337" s="78">
        <v>2693</v>
      </c>
      <c r="CB337" s="78">
        <v>608</v>
      </c>
      <c r="CC337" s="78">
        <v>487</v>
      </c>
      <c r="CD337" s="78">
        <v>556</v>
      </c>
      <c r="CE337" s="78">
        <v>282</v>
      </c>
      <c r="CF337" s="78">
        <v>268.40272373540898</v>
      </c>
      <c r="CG337" s="78">
        <v>203.91959258411501</v>
      </c>
      <c r="CH337" s="78">
        <v>69.302746623941403</v>
      </c>
      <c r="CI337" s="78">
        <v>624.19749999999999</v>
      </c>
      <c r="CJ337" s="78">
        <v>474.2355</v>
      </c>
      <c r="CK337" s="78">
        <v>161.1705</v>
      </c>
      <c r="CL337" s="78">
        <v>0</v>
      </c>
    </row>
    <row r="338" spans="1:90" x14ac:dyDescent="0.35">
      <c r="A338" s="72">
        <v>944</v>
      </c>
      <c r="B338" s="72" t="s">
        <v>209</v>
      </c>
      <c r="C338" s="72">
        <v>11</v>
      </c>
      <c r="D338" s="78">
        <v>945600000</v>
      </c>
      <c r="E338" s="78">
        <v>56000000</v>
      </c>
      <c r="F338" s="78">
        <v>60550000</v>
      </c>
      <c r="G338" s="78">
        <v>7909</v>
      </c>
      <c r="H338" s="78">
        <v>1</v>
      </c>
      <c r="I338" s="78">
        <f t="shared" si="17"/>
        <v>60.55</v>
      </c>
      <c r="J338" s="78">
        <v>1273</v>
      </c>
      <c r="K338" s="78">
        <v>2165</v>
      </c>
      <c r="L338" s="78">
        <v>741</v>
      </c>
      <c r="M338" s="78">
        <v>839</v>
      </c>
      <c r="N338" s="78">
        <f t="shared" si="18"/>
        <v>465.2</v>
      </c>
      <c r="O338" s="78">
        <v>93.6666666666667</v>
      </c>
      <c r="P338" s="78">
        <v>2</v>
      </c>
      <c r="Q338" s="78">
        <v>122.666666666667</v>
      </c>
      <c r="R338" s="78">
        <v>1111</v>
      </c>
      <c r="S338" s="78">
        <v>120</v>
      </c>
      <c r="T338" s="78">
        <v>0</v>
      </c>
      <c r="U338" s="78">
        <v>205</v>
      </c>
      <c r="V338" s="78">
        <v>3653</v>
      </c>
      <c r="W338" s="78">
        <v>5960</v>
      </c>
      <c r="X338" s="78">
        <v>900</v>
      </c>
      <c r="Y338" s="78">
        <v>0</v>
      </c>
      <c r="Z338" s="78">
        <v>166.4</v>
      </c>
      <c r="AA338" s="78">
        <v>0</v>
      </c>
      <c r="AB338" s="399">
        <f>IF((J338-'[2]Basisgegevens aanvullend'!D338*1.1)&lt;=0,0,J338-'[2]Basisgegevens aanvullend'!D338*1.1)</f>
        <v>0</v>
      </c>
      <c r="AC338" s="399">
        <v>0</v>
      </c>
      <c r="AD338" s="78">
        <v>1739</v>
      </c>
      <c r="AE338" s="78">
        <v>1739</v>
      </c>
      <c r="AF338" s="78">
        <v>142</v>
      </c>
      <c r="AG338" s="78">
        <v>0</v>
      </c>
      <c r="AH338" s="78">
        <v>46</v>
      </c>
      <c r="AI338" s="78">
        <v>9</v>
      </c>
      <c r="AJ338" s="78">
        <v>46</v>
      </c>
      <c r="AK338" s="78">
        <v>9</v>
      </c>
      <c r="AL338" s="78">
        <v>55</v>
      </c>
      <c r="AM338" s="78">
        <v>3738</v>
      </c>
      <c r="AN338" s="78">
        <v>3738</v>
      </c>
      <c r="AO338" s="78">
        <v>0</v>
      </c>
      <c r="AP338" s="78">
        <v>0</v>
      </c>
      <c r="AQ338" s="78">
        <v>0</v>
      </c>
      <c r="AR338" s="78">
        <v>0</v>
      </c>
      <c r="AS338" s="78">
        <v>0</v>
      </c>
      <c r="AT338" s="78">
        <v>0</v>
      </c>
      <c r="AU338" s="400">
        <v>4.2024999999999998E-5</v>
      </c>
      <c r="AV338" s="400">
        <v>5.9988000000000002E-5</v>
      </c>
      <c r="AW338" s="78">
        <v>1618.5540000000001</v>
      </c>
      <c r="AX338" s="78">
        <v>0</v>
      </c>
      <c r="AY338" s="78">
        <v>260</v>
      </c>
      <c r="AZ338" s="78">
        <v>1093.21637426901</v>
      </c>
      <c r="BA338" s="78">
        <v>4</v>
      </c>
      <c r="BB338" s="78">
        <v>4</v>
      </c>
      <c r="BC338" s="78">
        <v>970</v>
      </c>
      <c r="BD338" s="78">
        <v>1</v>
      </c>
      <c r="BE338" s="78">
        <v>0</v>
      </c>
      <c r="BF338" s="78">
        <v>0</v>
      </c>
      <c r="BG338" s="78">
        <v>0</v>
      </c>
      <c r="BH338" s="78">
        <v>0</v>
      </c>
      <c r="BI338" s="78">
        <v>0</v>
      </c>
      <c r="BJ338" s="78">
        <v>0</v>
      </c>
      <c r="BK338" s="78">
        <v>0</v>
      </c>
      <c r="BL338" s="78">
        <v>0</v>
      </c>
      <c r="BM338" s="78">
        <v>96.748000000000005</v>
      </c>
      <c r="BN338" s="78">
        <v>1</v>
      </c>
      <c r="BO338" s="78">
        <v>9</v>
      </c>
      <c r="BP338" s="78">
        <v>3047.25</v>
      </c>
      <c r="BQ338" s="78">
        <v>508.64</v>
      </c>
      <c r="BR338" s="78">
        <v>38.053607142857103</v>
      </c>
      <c r="BS338" s="78">
        <v>80</v>
      </c>
      <c r="BT338" s="78">
        <v>18.6666666666667</v>
      </c>
      <c r="BU338" s="78">
        <v>15.3333333333333</v>
      </c>
      <c r="BV338" s="78">
        <f t="shared" si="19"/>
        <v>29.000000000000298</v>
      </c>
      <c r="BW338" s="78">
        <v>82</v>
      </c>
      <c r="BX338" s="78">
        <v>1361.0293411494799</v>
      </c>
      <c r="BY338" s="78">
        <v>8.4000000000000005E-2</v>
      </c>
      <c r="BZ338" s="78">
        <v>5744</v>
      </c>
      <c r="CA338" s="78">
        <v>1199</v>
      </c>
      <c r="CB338" s="78">
        <v>225</v>
      </c>
      <c r="CC338" s="78">
        <v>234</v>
      </c>
      <c r="CD338" s="78">
        <v>221</v>
      </c>
      <c r="CE338" s="78">
        <v>123</v>
      </c>
      <c r="CF338" s="78">
        <v>89.231781701444604</v>
      </c>
      <c r="CG338" s="78">
        <v>64.341466024612103</v>
      </c>
      <c r="CH338" s="78">
        <v>21.903477795612599</v>
      </c>
      <c r="CI338" s="78">
        <v>220.4058</v>
      </c>
      <c r="CJ338" s="78">
        <v>158.92580000000001</v>
      </c>
      <c r="CK338" s="78">
        <v>54.102400000000003</v>
      </c>
      <c r="CL338" s="78">
        <v>9855</v>
      </c>
    </row>
    <row r="339" spans="1:90" x14ac:dyDescent="0.35">
      <c r="A339" s="72">
        <v>946</v>
      </c>
      <c r="B339" s="72" t="s">
        <v>211</v>
      </c>
      <c r="C339" s="72">
        <v>11</v>
      </c>
      <c r="D339" s="78">
        <v>1719200000</v>
      </c>
      <c r="E339" s="78">
        <v>266700000</v>
      </c>
      <c r="F339" s="78">
        <v>287350000</v>
      </c>
      <c r="G339" s="78">
        <v>17171</v>
      </c>
      <c r="H339" s="78">
        <v>2</v>
      </c>
      <c r="I339" s="78">
        <f t="shared" si="17"/>
        <v>287.35000000000002</v>
      </c>
      <c r="J339" s="78">
        <v>2850</v>
      </c>
      <c r="K339" s="78">
        <v>4107</v>
      </c>
      <c r="L339" s="78">
        <v>1337</v>
      </c>
      <c r="M339" s="78">
        <v>2119</v>
      </c>
      <c r="N339" s="78">
        <f t="shared" si="18"/>
        <v>1363.1</v>
      </c>
      <c r="O339" s="78">
        <v>129</v>
      </c>
      <c r="P339" s="78">
        <v>17</v>
      </c>
      <c r="Q339" s="78">
        <v>998</v>
      </c>
      <c r="R339" s="78">
        <v>2108</v>
      </c>
      <c r="S339" s="78">
        <v>165</v>
      </c>
      <c r="T339" s="78">
        <v>0</v>
      </c>
      <c r="U339" s="78">
        <v>372</v>
      </c>
      <c r="V339" s="78">
        <v>7603</v>
      </c>
      <c r="W339" s="78">
        <v>15650</v>
      </c>
      <c r="X339" s="78">
        <v>6160</v>
      </c>
      <c r="Y339" s="78">
        <v>0</v>
      </c>
      <c r="Z339" s="78">
        <v>0</v>
      </c>
      <c r="AA339" s="78">
        <v>0</v>
      </c>
      <c r="AB339" s="399">
        <f>IF((J339-'[2]Basisgegevens aanvullend'!D339*1.1)&lt;=0,0,J339-'[2]Basisgegevens aanvullend'!D339*1.1)</f>
        <v>0</v>
      </c>
      <c r="AC339" s="399">
        <v>0</v>
      </c>
      <c r="AD339" s="78">
        <v>9989</v>
      </c>
      <c r="AE339" s="78">
        <v>9989</v>
      </c>
      <c r="AF339" s="78">
        <v>190</v>
      </c>
      <c r="AG339" s="78">
        <v>0</v>
      </c>
      <c r="AH339" s="78">
        <v>134</v>
      </c>
      <c r="AI339" s="78">
        <v>134</v>
      </c>
      <c r="AJ339" s="78">
        <v>134</v>
      </c>
      <c r="AK339" s="78">
        <v>134</v>
      </c>
      <c r="AL339" s="78">
        <v>268</v>
      </c>
      <c r="AM339" s="78">
        <v>7559</v>
      </c>
      <c r="AN339" s="78">
        <v>7559</v>
      </c>
      <c r="AO339" s="78">
        <v>0</v>
      </c>
      <c r="AP339" s="78">
        <v>0</v>
      </c>
      <c r="AQ339" s="78">
        <v>0</v>
      </c>
      <c r="AR339" s="78">
        <v>0</v>
      </c>
      <c r="AS339" s="78">
        <v>0</v>
      </c>
      <c r="AT339" s="78">
        <v>0</v>
      </c>
      <c r="AU339" s="400">
        <v>1.95902E-4</v>
      </c>
      <c r="AV339" s="400">
        <v>1.0128600000000001E-4</v>
      </c>
      <c r="AW339" s="78">
        <v>4883.1139999999996</v>
      </c>
      <c r="AX339" s="78">
        <v>0</v>
      </c>
      <c r="AY339" s="78">
        <v>1338</v>
      </c>
      <c r="AZ339" s="78">
        <v>2257.0781019746501</v>
      </c>
      <c r="BA339" s="78">
        <v>8</v>
      </c>
      <c r="BB339" s="78">
        <v>8</v>
      </c>
      <c r="BC339" s="78">
        <v>2274</v>
      </c>
      <c r="BD339" s="78">
        <v>1</v>
      </c>
      <c r="BE339" s="78">
        <v>0</v>
      </c>
      <c r="BF339" s="78">
        <v>0</v>
      </c>
      <c r="BG339" s="78">
        <v>0</v>
      </c>
      <c r="BH339" s="78">
        <v>0</v>
      </c>
      <c r="BI339" s="78">
        <v>0</v>
      </c>
      <c r="BJ339" s="78">
        <v>0</v>
      </c>
      <c r="BK339" s="78">
        <v>0</v>
      </c>
      <c r="BL339" s="78">
        <v>0</v>
      </c>
      <c r="BM339" s="78">
        <v>273.60000000000002</v>
      </c>
      <c r="BN339" s="78">
        <v>25</v>
      </c>
      <c r="BO339" s="78">
        <v>20</v>
      </c>
      <c r="BP339" s="78">
        <v>4966.71</v>
      </c>
      <c r="BQ339" s="78">
        <v>1057.32</v>
      </c>
      <c r="BR339" s="78">
        <v>64.802087475149094</v>
      </c>
      <c r="BS339" s="78">
        <v>134</v>
      </c>
      <c r="BT339" s="78">
        <v>34.6666666666667</v>
      </c>
      <c r="BU339" s="78">
        <v>23.3333333333333</v>
      </c>
      <c r="BV339" s="78">
        <f t="shared" si="19"/>
        <v>869</v>
      </c>
      <c r="BW339" s="78">
        <v>222</v>
      </c>
      <c r="BX339" s="78">
        <v>3039.6271884364501</v>
      </c>
      <c r="BY339" s="78">
        <v>8.4000000000000005E-2</v>
      </c>
      <c r="BZ339" s="78">
        <v>13064</v>
      </c>
      <c r="CA339" s="78">
        <v>2330</v>
      </c>
      <c r="CB339" s="78">
        <v>440</v>
      </c>
      <c r="CC339" s="78">
        <v>355</v>
      </c>
      <c r="CD339" s="78">
        <v>397</v>
      </c>
      <c r="CE339" s="78">
        <v>227</v>
      </c>
      <c r="CF339" s="78">
        <v>249.934726815716</v>
      </c>
      <c r="CG339" s="78">
        <v>161.934620981611</v>
      </c>
      <c r="CH339" s="78">
        <v>59.327940203730599</v>
      </c>
      <c r="CI339" s="78">
        <v>639.08460000000002</v>
      </c>
      <c r="CJ339" s="78">
        <v>414.06779999999998</v>
      </c>
      <c r="CK339" s="78">
        <v>151.70189999999999</v>
      </c>
      <c r="CL339" s="78">
        <v>0</v>
      </c>
    </row>
    <row r="340" spans="1:90" x14ac:dyDescent="0.35">
      <c r="A340" s="72">
        <v>1894</v>
      </c>
      <c r="B340" s="72" t="s">
        <v>244</v>
      </c>
      <c r="C340" s="72">
        <v>11</v>
      </c>
      <c r="D340" s="78">
        <v>4119200000</v>
      </c>
      <c r="E340" s="78">
        <v>648200000</v>
      </c>
      <c r="F340" s="78">
        <v>690550000</v>
      </c>
      <c r="G340" s="78">
        <v>43660</v>
      </c>
      <c r="H340" s="78">
        <v>6</v>
      </c>
      <c r="I340" s="78">
        <f t="shared" si="17"/>
        <v>690.55</v>
      </c>
      <c r="J340" s="78">
        <v>7613</v>
      </c>
      <c r="K340" s="78">
        <v>10013</v>
      </c>
      <c r="L340" s="78">
        <v>3166</v>
      </c>
      <c r="M340" s="78">
        <v>5202</v>
      </c>
      <c r="N340" s="78">
        <f t="shared" si="18"/>
        <v>3288.6</v>
      </c>
      <c r="O340" s="78">
        <v>353.33333333333297</v>
      </c>
      <c r="P340" s="78">
        <v>96</v>
      </c>
      <c r="Q340" s="78">
        <v>2459.3333333333298</v>
      </c>
      <c r="R340" s="78">
        <v>5316</v>
      </c>
      <c r="S340" s="78">
        <v>995</v>
      </c>
      <c r="T340" s="78">
        <v>0</v>
      </c>
      <c r="U340" s="78">
        <v>946</v>
      </c>
      <c r="V340" s="78">
        <v>19206</v>
      </c>
      <c r="W340" s="78">
        <v>38950</v>
      </c>
      <c r="X340" s="78">
        <v>16300</v>
      </c>
      <c r="Y340" s="78">
        <v>69.3</v>
      </c>
      <c r="Z340" s="78">
        <v>1154.4000000000001</v>
      </c>
      <c r="AA340" s="78">
        <v>0</v>
      </c>
      <c r="AB340" s="399">
        <f>IF((J340-'[2]Basisgegevens aanvullend'!D340*1.1)&lt;=0,0,J340-'[2]Basisgegevens aanvullend'!D340*1.1)</f>
        <v>0</v>
      </c>
      <c r="AC340" s="399">
        <v>0</v>
      </c>
      <c r="AD340" s="78">
        <v>15933</v>
      </c>
      <c r="AE340" s="78">
        <v>15933</v>
      </c>
      <c r="AF340" s="78">
        <v>202</v>
      </c>
      <c r="AG340" s="78">
        <v>0</v>
      </c>
      <c r="AH340" s="78">
        <v>285</v>
      </c>
      <c r="AI340" s="78">
        <v>232</v>
      </c>
      <c r="AJ340" s="78">
        <v>285</v>
      </c>
      <c r="AK340" s="78">
        <v>232</v>
      </c>
      <c r="AL340" s="78">
        <v>517</v>
      </c>
      <c r="AM340" s="78">
        <v>19134</v>
      </c>
      <c r="AN340" s="78">
        <v>19134</v>
      </c>
      <c r="AO340" s="78">
        <v>5</v>
      </c>
      <c r="AP340" s="78">
        <v>0</v>
      </c>
      <c r="AQ340" s="78">
        <v>0</v>
      </c>
      <c r="AR340" s="78">
        <v>0</v>
      </c>
      <c r="AS340" s="78">
        <v>0</v>
      </c>
      <c r="AT340" s="78">
        <v>0</v>
      </c>
      <c r="AU340" s="400">
        <v>4.1444399999999998E-4</v>
      </c>
      <c r="AV340" s="400">
        <v>2.5300499999999999E-4</v>
      </c>
      <c r="AW340" s="78">
        <v>11212.523999999999</v>
      </c>
      <c r="AX340" s="78">
        <v>0</v>
      </c>
      <c r="AY340" s="78">
        <v>1822</v>
      </c>
      <c r="AZ340" s="78">
        <v>4930.1840718934</v>
      </c>
      <c r="BA340" s="78">
        <v>19</v>
      </c>
      <c r="BB340" s="78">
        <v>19</v>
      </c>
      <c r="BC340" s="78">
        <v>4640</v>
      </c>
      <c r="BD340" s="78">
        <v>1</v>
      </c>
      <c r="BE340" s="78">
        <v>0</v>
      </c>
      <c r="BF340" s="78">
        <v>0</v>
      </c>
      <c r="BG340" s="78">
        <v>0</v>
      </c>
      <c r="BH340" s="78">
        <v>0</v>
      </c>
      <c r="BI340" s="78">
        <v>0</v>
      </c>
      <c r="BJ340" s="78">
        <v>0</v>
      </c>
      <c r="BK340" s="78">
        <v>0</v>
      </c>
      <c r="BL340" s="78">
        <v>0</v>
      </c>
      <c r="BM340" s="78">
        <v>586.20100000000002</v>
      </c>
      <c r="BN340" s="78">
        <v>73</v>
      </c>
      <c r="BO340" s="78">
        <v>64</v>
      </c>
      <c r="BP340" s="78">
        <v>12025</v>
      </c>
      <c r="BQ340" s="78">
        <v>2729.35</v>
      </c>
      <c r="BR340" s="78">
        <v>163.765880484115</v>
      </c>
      <c r="BS340" s="78">
        <v>346</v>
      </c>
      <c r="BT340" s="78">
        <v>99.6666666666667</v>
      </c>
      <c r="BU340" s="78">
        <v>74</v>
      </c>
      <c r="BV340" s="78">
        <f t="shared" si="19"/>
        <v>2105.9999999999968</v>
      </c>
      <c r="BW340" s="78">
        <v>624</v>
      </c>
      <c r="BX340" s="78">
        <v>8034.2443293034003</v>
      </c>
      <c r="BY340" s="78">
        <v>0.216</v>
      </c>
      <c r="BZ340" s="78">
        <v>33647</v>
      </c>
      <c r="CA340" s="78">
        <v>5857</v>
      </c>
      <c r="CB340" s="78">
        <v>990</v>
      </c>
      <c r="CC340" s="78">
        <v>955</v>
      </c>
      <c r="CD340" s="78">
        <v>911</v>
      </c>
      <c r="CE340" s="78">
        <v>493</v>
      </c>
      <c r="CF340" s="78">
        <v>601.38033866415799</v>
      </c>
      <c r="CG340" s="78">
        <v>361.79068673565399</v>
      </c>
      <c r="CH340" s="78">
        <v>118.076105362183</v>
      </c>
      <c r="CI340" s="78">
        <v>1641.7308</v>
      </c>
      <c r="CJ340" s="78">
        <v>987.66600000000005</v>
      </c>
      <c r="CK340" s="78">
        <v>322.34039999999999</v>
      </c>
      <c r="CL340" s="78">
        <v>76193</v>
      </c>
    </row>
    <row r="341" spans="1:90" x14ac:dyDescent="0.35">
      <c r="A341" s="72">
        <v>1669</v>
      </c>
      <c r="B341" s="72" t="s">
        <v>259</v>
      </c>
      <c r="C341" s="72">
        <v>11</v>
      </c>
      <c r="D341" s="78">
        <v>1874400000</v>
      </c>
      <c r="E341" s="78">
        <v>153650000</v>
      </c>
      <c r="F341" s="78">
        <v>172200000</v>
      </c>
      <c r="G341" s="78">
        <v>20580</v>
      </c>
      <c r="H341" s="78">
        <v>5</v>
      </c>
      <c r="I341" s="78">
        <f t="shared" si="17"/>
        <v>172.2</v>
      </c>
      <c r="J341" s="78">
        <v>3123</v>
      </c>
      <c r="K341" s="78">
        <v>5701</v>
      </c>
      <c r="L341" s="78">
        <v>1794</v>
      </c>
      <c r="M341" s="78">
        <v>2776</v>
      </c>
      <c r="N341" s="78">
        <f t="shared" si="18"/>
        <v>1784.5</v>
      </c>
      <c r="O341" s="78">
        <v>254</v>
      </c>
      <c r="P341" s="78">
        <v>24</v>
      </c>
      <c r="Q341" s="78">
        <v>1550</v>
      </c>
      <c r="R341" s="78">
        <v>2960</v>
      </c>
      <c r="S341" s="78">
        <v>280</v>
      </c>
      <c r="T341" s="78">
        <v>0</v>
      </c>
      <c r="U341" s="78">
        <v>607</v>
      </c>
      <c r="V341" s="78">
        <v>9795</v>
      </c>
      <c r="W341" s="78">
        <v>16630</v>
      </c>
      <c r="X341" s="78">
        <v>3300</v>
      </c>
      <c r="Y341" s="78">
        <v>0</v>
      </c>
      <c r="Z341" s="78">
        <v>0</v>
      </c>
      <c r="AA341" s="78">
        <v>0</v>
      </c>
      <c r="AB341" s="399">
        <f>IF((J341-'[2]Basisgegevens aanvullend'!D341*1.1)&lt;=0,0,J341-'[2]Basisgegevens aanvullend'!D341*1.1)</f>
        <v>0</v>
      </c>
      <c r="AC341" s="399">
        <v>0</v>
      </c>
      <c r="AD341" s="78">
        <v>8825</v>
      </c>
      <c r="AE341" s="78">
        <v>8825</v>
      </c>
      <c r="AF341" s="78">
        <v>54</v>
      </c>
      <c r="AG341" s="78">
        <v>0</v>
      </c>
      <c r="AH341" s="78">
        <v>145</v>
      </c>
      <c r="AI341" s="78">
        <v>41</v>
      </c>
      <c r="AJ341" s="78">
        <v>145</v>
      </c>
      <c r="AK341" s="78">
        <v>41</v>
      </c>
      <c r="AL341" s="78">
        <v>186</v>
      </c>
      <c r="AM341" s="78">
        <v>9915</v>
      </c>
      <c r="AN341" s="78">
        <v>9915</v>
      </c>
      <c r="AO341" s="78">
        <v>7</v>
      </c>
      <c r="AP341" s="78">
        <v>0</v>
      </c>
      <c r="AQ341" s="78">
        <v>0</v>
      </c>
      <c r="AR341" s="78">
        <v>0</v>
      </c>
      <c r="AS341" s="78">
        <v>0</v>
      </c>
      <c r="AT341" s="78">
        <v>0</v>
      </c>
      <c r="AU341" s="400">
        <v>2.61706E-4</v>
      </c>
      <c r="AV341" s="400">
        <v>1.9823799999999999E-4</v>
      </c>
      <c r="AW341" s="78">
        <v>3837.105</v>
      </c>
      <c r="AX341" s="78">
        <v>0</v>
      </c>
      <c r="AY341" s="78">
        <v>825</v>
      </c>
      <c r="AZ341" s="78">
        <v>1912.2085820475299</v>
      </c>
      <c r="BA341" s="78">
        <v>11</v>
      </c>
      <c r="BB341" s="78">
        <v>11</v>
      </c>
      <c r="BC341" s="78">
        <v>1907</v>
      </c>
      <c r="BD341" s="78">
        <v>1</v>
      </c>
      <c r="BE341" s="78">
        <v>0</v>
      </c>
      <c r="BF341" s="78">
        <v>0</v>
      </c>
      <c r="BG341" s="78">
        <v>0</v>
      </c>
      <c r="BH341" s="78">
        <v>0</v>
      </c>
      <c r="BI341" s="78">
        <v>0</v>
      </c>
      <c r="BJ341" s="78">
        <v>0</v>
      </c>
      <c r="BK341" s="78">
        <v>0</v>
      </c>
      <c r="BL341" s="78">
        <v>0</v>
      </c>
      <c r="BM341" s="78">
        <v>343.53</v>
      </c>
      <c r="BN341" s="78">
        <v>64</v>
      </c>
      <c r="BO341" s="78">
        <v>25</v>
      </c>
      <c r="BP341" s="78">
        <v>6316.76</v>
      </c>
      <c r="BQ341" s="78">
        <v>1205.82</v>
      </c>
      <c r="BR341" s="78">
        <v>74.110663165028797</v>
      </c>
      <c r="BS341" s="78">
        <v>201</v>
      </c>
      <c r="BT341" s="78">
        <v>70</v>
      </c>
      <c r="BU341" s="78">
        <v>60.3333333333333</v>
      </c>
      <c r="BV341" s="78">
        <f t="shared" si="19"/>
        <v>1296</v>
      </c>
      <c r="BW341" s="78">
        <v>272</v>
      </c>
      <c r="BX341" s="78">
        <v>4283.3687955672203</v>
      </c>
      <c r="BY341" s="78">
        <v>0.45300000000000001</v>
      </c>
      <c r="BZ341" s="78">
        <v>14879</v>
      </c>
      <c r="CA341" s="78">
        <v>3340</v>
      </c>
      <c r="CB341" s="78">
        <v>567</v>
      </c>
      <c r="CC341" s="78">
        <v>627</v>
      </c>
      <c r="CD341" s="78">
        <v>557</v>
      </c>
      <c r="CE341" s="78">
        <v>280</v>
      </c>
      <c r="CF341" s="78">
        <v>367.51880988401399</v>
      </c>
      <c r="CG341" s="78">
        <v>220.83524962178501</v>
      </c>
      <c r="CH341" s="78">
        <v>71.0920322743318</v>
      </c>
      <c r="CI341" s="78">
        <v>933.39819999999997</v>
      </c>
      <c r="CJ341" s="78">
        <v>560.86170000000004</v>
      </c>
      <c r="CK341" s="78">
        <v>180.55449999999999</v>
      </c>
      <c r="CL341" s="78">
        <v>0</v>
      </c>
    </row>
    <row r="342" spans="1:90" x14ac:dyDescent="0.35">
      <c r="A342" s="72">
        <v>957</v>
      </c>
      <c r="B342" s="72" t="s">
        <v>260</v>
      </c>
      <c r="C342" s="72">
        <v>11</v>
      </c>
      <c r="D342" s="78">
        <v>5243200000</v>
      </c>
      <c r="E342" s="78">
        <v>1325450000</v>
      </c>
      <c r="F342" s="78">
        <v>1353800000</v>
      </c>
      <c r="G342" s="78">
        <v>58763</v>
      </c>
      <c r="H342" s="78">
        <v>2</v>
      </c>
      <c r="I342" s="78">
        <f t="shared" si="17"/>
        <v>1353.8</v>
      </c>
      <c r="J342" s="78">
        <v>10131</v>
      </c>
      <c r="K342" s="78">
        <v>12809</v>
      </c>
      <c r="L342" s="78">
        <v>3998</v>
      </c>
      <c r="M342" s="78">
        <v>10457</v>
      </c>
      <c r="N342" s="78">
        <f t="shared" si="18"/>
        <v>7657.9</v>
      </c>
      <c r="O342" s="78">
        <v>1640</v>
      </c>
      <c r="P342" s="78">
        <v>120</v>
      </c>
      <c r="Q342" s="78">
        <v>5962</v>
      </c>
      <c r="R342" s="78">
        <v>11493</v>
      </c>
      <c r="S342" s="78">
        <v>5435</v>
      </c>
      <c r="T342" s="78">
        <v>0</v>
      </c>
      <c r="U342" s="78">
        <v>2199</v>
      </c>
      <c r="V342" s="78">
        <v>29152</v>
      </c>
      <c r="W342" s="78">
        <v>67710</v>
      </c>
      <c r="X342" s="78">
        <v>79930</v>
      </c>
      <c r="Y342" s="78">
        <v>2381.84</v>
      </c>
      <c r="Z342" s="78">
        <v>3032.8</v>
      </c>
      <c r="AA342" s="78">
        <v>74.900000000000006</v>
      </c>
      <c r="AB342" s="399">
        <f>IF((J342-'[2]Basisgegevens aanvullend'!D342*1.1)&lt;=0,0,J342-'[2]Basisgegevens aanvullend'!D342*1.1)</f>
        <v>0</v>
      </c>
      <c r="AC342" s="399">
        <v>0</v>
      </c>
      <c r="AD342" s="78">
        <v>6059</v>
      </c>
      <c r="AE342" s="78">
        <v>6059</v>
      </c>
      <c r="AF342" s="78">
        <v>1046</v>
      </c>
      <c r="AG342" s="78">
        <v>0</v>
      </c>
      <c r="AH342" s="78">
        <v>357</v>
      </c>
      <c r="AI342" s="78">
        <v>83</v>
      </c>
      <c r="AJ342" s="78">
        <v>357</v>
      </c>
      <c r="AK342" s="78">
        <v>83</v>
      </c>
      <c r="AL342" s="78">
        <v>440</v>
      </c>
      <c r="AM342" s="78">
        <v>27991</v>
      </c>
      <c r="AN342" s="78">
        <v>27991</v>
      </c>
      <c r="AO342" s="78">
        <v>34</v>
      </c>
      <c r="AP342" s="78">
        <v>0</v>
      </c>
      <c r="AQ342" s="78">
        <v>0</v>
      </c>
      <c r="AR342" s="78">
        <v>0</v>
      </c>
      <c r="AS342" s="78">
        <v>3316</v>
      </c>
      <c r="AT342" s="78">
        <v>2811</v>
      </c>
      <c r="AU342" s="400">
        <v>2.9356959999999998E-3</v>
      </c>
      <c r="AV342" s="400">
        <v>3.1542530000000001E-3</v>
      </c>
      <c r="AW342" s="78">
        <v>42238.419000000002</v>
      </c>
      <c r="AX342" s="78">
        <v>0</v>
      </c>
      <c r="AY342" s="78">
        <v>2279</v>
      </c>
      <c r="AZ342" s="78">
        <v>18848.821534130901</v>
      </c>
      <c r="BA342" s="78">
        <v>9</v>
      </c>
      <c r="BB342" s="78">
        <v>9</v>
      </c>
      <c r="BC342" s="78">
        <v>6304</v>
      </c>
      <c r="BD342" s="78">
        <v>1</v>
      </c>
      <c r="BE342" s="78">
        <v>0</v>
      </c>
      <c r="BF342" s="78">
        <v>0</v>
      </c>
      <c r="BG342" s="78">
        <v>0</v>
      </c>
      <c r="BH342" s="78">
        <v>0</v>
      </c>
      <c r="BI342" s="78">
        <v>0</v>
      </c>
      <c r="BJ342" s="78">
        <v>0</v>
      </c>
      <c r="BK342" s="78">
        <v>0</v>
      </c>
      <c r="BL342" s="78">
        <v>0</v>
      </c>
      <c r="BM342" s="78">
        <v>1864.104</v>
      </c>
      <c r="BN342" s="78">
        <v>189</v>
      </c>
      <c r="BO342" s="78">
        <v>336</v>
      </c>
      <c r="BP342" s="78">
        <v>16989.599999999999</v>
      </c>
      <c r="BQ342" s="78">
        <v>3410.4</v>
      </c>
      <c r="BR342" s="78">
        <v>419.46729742140599</v>
      </c>
      <c r="BS342" s="78">
        <v>809</v>
      </c>
      <c r="BT342" s="78">
        <v>450.33333333333297</v>
      </c>
      <c r="BU342" s="78">
        <v>414</v>
      </c>
      <c r="BV342" s="78">
        <f t="shared" si="19"/>
        <v>4322</v>
      </c>
      <c r="BW342" s="78">
        <v>935</v>
      </c>
      <c r="BX342" s="78">
        <v>11086.7000240302</v>
      </c>
      <c r="BY342" s="78">
        <v>4.7350000000000003</v>
      </c>
      <c r="BZ342" s="78">
        <v>45954</v>
      </c>
      <c r="CA342" s="78">
        <v>7494</v>
      </c>
      <c r="CB342" s="78">
        <v>1317</v>
      </c>
      <c r="CC342" s="78">
        <v>2095</v>
      </c>
      <c r="CD342" s="78">
        <v>1553</v>
      </c>
      <c r="CE342" s="78">
        <v>704</v>
      </c>
      <c r="CF342" s="78">
        <v>1353.69544496445</v>
      </c>
      <c r="CG342" s="78">
        <v>794.76258440212905</v>
      </c>
      <c r="CH342" s="78">
        <v>257.71647315208497</v>
      </c>
      <c r="CI342" s="78">
        <v>2599.6792</v>
      </c>
      <c r="CJ342" s="78">
        <v>1526.287</v>
      </c>
      <c r="CK342" s="78">
        <v>494.92680000000001</v>
      </c>
      <c r="CL342" s="78">
        <v>46650</v>
      </c>
    </row>
    <row r="343" spans="1:90" x14ac:dyDescent="0.35">
      <c r="A343" s="72">
        <v>965</v>
      </c>
      <c r="B343" s="72" t="s">
        <v>272</v>
      </c>
      <c r="C343" s="72">
        <v>11</v>
      </c>
      <c r="D343" s="78">
        <v>822400000</v>
      </c>
      <c r="E343" s="78">
        <v>57400000</v>
      </c>
      <c r="F343" s="78">
        <v>65450000</v>
      </c>
      <c r="G343" s="78">
        <v>10477</v>
      </c>
      <c r="H343" s="78">
        <v>2</v>
      </c>
      <c r="I343" s="78">
        <f t="shared" si="17"/>
        <v>65.45</v>
      </c>
      <c r="J343" s="78">
        <v>1660</v>
      </c>
      <c r="K343" s="78">
        <v>2795</v>
      </c>
      <c r="L343" s="78">
        <v>1019</v>
      </c>
      <c r="M343" s="78">
        <v>1579</v>
      </c>
      <c r="N343" s="78">
        <f t="shared" si="18"/>
        <v>1038.9000000000001</v>
      </c>
      <c r="O343" s="78">
        <v>119.666666666667</v>
      </c>
      <c r="P343" s="78">
        <v>13</v>
      </c>
      <c r="Q343" s="78">
        <v>878.66666666666697</v>
      </c>
      <c r="R343" s="78">
        <v>1630</v>
      </c>
      <c r="S343" s="78">
        <v>95</v>
      </c>
      <c r="T343" s="78">
        <v>0</v>
      </c>
      <c r="U343" s="78">
        <v>328</v>
      </c>
      <c r="V343" s="78">
        <v>4996</v>
      </c>
      <c r="W343" s="78">
        <v>7950</v>
      </c>
      <c r="X343" s="78">
        <v>1570</v>
      </c>
      <c r="Y343" s="78">
        <v>0</v>
      </c>
      <c r="Z343" s="78">
        <v>0</v>
      </c>
      <c r="AA343" s="78">
        <v>0</v>
      </c>
      <c r="AB343" s="399">
        <f>IF((J343-'[2]Basisgegevens aanvullend'!D343*1.1)&lt;=0,0,J343-'[2]Basisgegevens aanvullend'!D343*1.1)</f>
        <v>0</v>
      </c>
      <c r="AC343" s="399">
        <v>0</v>
      </c>
      <c r="AD343" s="78">
        <v>1603</v>
      </c>
      <c r="AE343" s="78">
        <v>1603</v>
      </c>
      <c r="AF343" s="78">
        <v>0</v>
      </c>
      <c r="AG343" s="78">
        <v>0</v>
      </c>
      <c r="AH343" s="78">
        <v>63</v>
      </c>
      <c r="AI343" s="78">
        <v>6</v>
      </c>
      <c r="AJ343" s="78">
        <v>63</v>
      </c>
      <c r="AK343" s="78">
        <v>6</v>
      </c>
      <c r="AL343" s="78">
        <v>69</v>
      </c>
      <c r="AM343" s="78">
        <v>5401</v>
      </c>
      <c r="AN343" s="78">
        <v>5401</v>
      </c>
      <c r="AO343" s="78">
        <v>0</v>
      </c>
      <c r="AP343" s="78">
        <v>0</v>
      </c>
      <c r="AQ343" s="78">
        <v>0</v>
      </c>
      <c r="AR343" s="78">
        <v>0</v>
      </c>
      <c r="AS343" s="78">
        <v>0</v>
      </c>
      <c r="AT343" s="78">
        <v>0</v>
      </c>
      <c r="AU343" s="400">
        <v>3.1818200000000002E-4</v>
      </c>
      <c r="AV343" s="400">
        <v>3.2073399999999998E-4</v>
      </c>
      <c r="AW343" s="78">
        <v>3678.0810000000001</v>
      </c>
      <c r="AX343" s="78">
        <v>0</v>
      </c>
      <c r="AY343" s="78">
        <v>44</v>
      </c>
      <c r="AZ343" s="78">
        <v>287.57829070492801</v>
      </c>
      <c r="BA343" s="78">
        <v>3</v>
      </c>
      <c r="BB343" s="78">
        <v>3</v>
      </c>
      <c r="BC343" s="78">
        <v>872</v>
      </c>
      <c r="BD343" s="78">
        <v>1</v>
      </c>
      <c r="BE343" s="78">
        <v>0</v>
      </c>
      <c r="BF343" s="78">
        <v>0</v>
      </c>
      <c r="BG343" s="78">
        <v>0</v>
      </c>
      <c r="BH343" s="78">
        <v>0</v>
      </c>
      <c r="BI343" s="78">
        <v>0</v>
      </c>
      <c r="BJ343" s="78">
        <v>0</v>
      </c>
      <c r="BK343" s="78">
        <v>0</v>
      </c>
      <c r="BL343" s="78">
        <v>0</v>
      </c>
      <c r="BM343" s="78">
        <v>156.04</v>
      </c>
      <c r="BN343" s="78">
        <v>27</v>
      </c>
      <c r="BO343" s="78">
        <v>9</v>
      </c>
      <c r="BP343" s="78">
        <v>3092.67</v>
      </c>
      <c r="BQ343" s="78">
        <v>612.99</v>
      </c>
      <c r="BR343" s="78">
        <v>54.574954007884401</v>
      </c>
      <c r="BS343" s="78">
        <v>97</v>
      </c>
      <c r="BT343" s="78">
        <v>37</v>
      </c>
      <c r="BU343" s="78">
        <v>28</v>
      </c>
      <c r="BV343" s="78">
        <f t="shared" si="19"/>
        <v>759</v>
      </c>
      <c r="BW343" s="78">
        <v>156</v>
      </c>
      <c r="BX343" s="78">
        <v>2318.1417148270998</v>
      </c>
      <c r="BY343" s="78">
        <v>0.24099999999999999</v>
      </c>
      <c r="BZ343" s="78">
        <v>7682</v>
      </c>
      <c r="CA343" s="78">
        <v>1494</v>
      </c>
      <c r="CB343" s="78">
        <v>282</v>
      </c>
      <c r="CC343" s="78">
        <v>305</v>
      </c>
      <c r="CD343" s="78">
        <v>338</v>
      </c>
      <c r="CE343" s="78">
        <v>146</v>
      </c>
      <c r="CF343" s="78">
        <v>177.34971301610801</v>
      </c>
      <c r="CG343" s="78">
        <v>140.03317904091799</v>
      </c>
      <c r="CH343" s="78">
        <v>43.664191816330302</v>
      </c>
      <c r="CI343" s="78">
        <v>463.85820000000001</v>
      </c>
      <c r="CJ343" s="78">
        <v>366.2568</v>
      </c>
      <c r="CK343" s="78">
        <v>114.2037</v>
      </c>
      <c r="CL343" s="78">
        <v>34310</v>
      </c>
    </row>
    <row r="344" spans="1:90" x14ac:dyDescent="0.35">
      <c r="A344" s="72">
        <v>1883</v>
      </c>
      <c r="B344" s="72" t="s">
        <v>275</v>
      </c>
      <c r="C344" s="72">
        <v>11</v>
      </c>
      <c r="D344" s="78">
        <v>7551600000</v>
      </c>
      <c r="E344" s="78">
        <v>2166500000</v>
      </c>
      <c r="F344" s="78">
        <v>2186100000</v>
      </c>
      <c r="G344" s="78">
        <v>91743</v>
      </c>
      <c r="H344" s="78">
        <v>3</v>
      </c>
      <c r="I344" s="78">
        <f t="shared" si="17"/>
        <v>2186.1</v>
      </c>
      <c r="J344" s="78">
        <v>14041</v>
      </c>
      <c r="K344" s="78">
        <v>22390</v>
      </c>
      <c r="L344" s="78">
        <v>7290</v>
      </c>
      <c r="M344" s="78">
        <v>16159</v>
      </c>
      <c r="N344" s="78">
        <f t="shared" si="18"/>
        <v>11449</v>
      </c>
      <c r="O344" s="78">
        <v>2539.3333333333298</v>
      </c>
      <c r="P344" s="78">
        <v>128</v>
      </c>
      <c r="Q344" s="78">
        <v>10335.333333333299</v>
      </c>
      <c r="R344" s="78">
        <v>17998</v>
      </c>
      <c r="S344" s="78">
        <v>3685</v>
      </c>
      <c r="T344" s="78">
        <v>0</v>
      </c>
      <c r="U344" s="78">
        <v>3364</v>
      </c>
      <c r="V344" s="78">
        <v>46576</v>
      </c>
      <c r="W344" s="78">
        <v>103060</v>
      </c>
      <c r="X344" s="78">
        <v>132670</v>
      </c>
      <c r="Y344" s="78">
        <v>2536.56</v>
      </c>
      <c r="Z344" s="78">
        <v>4154.3999999999996</v>
      </c>
      <c r="AA344" s="78">
        <v>0</v>
      </c>
      <c r="AB344" s="399">
        <f>IF((J344-'[2]Basisgegevens aanvullend'!D344*1.1)&lt;=0,0,J344-'[2]Basisgegevens aanvullend'!D344*1.1)</f>
        <v>0</v>
      </c>
      <c r="AC344" s="399">
        <v>0</v>
      </c>
      <c r="AD344" s="78">
        <v>7848</v>
      </c>
      <c r="AE344" s="78">
        <v>7848</v>
      </c>
      <c r="AF344" s="78">
        <v>211</v>
      </c>
      <c r="AG344" s="78">
        <v>0</v>
      </c>
      <c r="AH344" s="78">
        <v>607</v>
      </c>
      <c r="AI344" s="78">
        <v>165</v>
      </c>
      <c r="AJ344" s="78">
        <v>607</v>
      </c>
      <c r="AK344" s="78">
        <v>165</v>
      </c>
      <c r="AL344" s="78">
        <v>772</v>
      </c>
      <c r="AM344" s="78">
        <v>47100</v>
      </c>
      <c r="AN344" s="78">
        <v>47100</v>
      </c>
      <c r="AO344" s="78">
        <v>14</v>
      </c>
      <c r="AP344" s="78">
        <v>0</v>
      </c>
      <c r="AQ344" s="78">
        <v>0</v>
      </c>
      <c r="AR344" s="78">
        <v>0</v>
      </c>
      <c r="AS344" s="78">
        <v>4826</v>
      </c>
      <c r="AT344" s="78">
        <v>2297</v>
      </c>
      <c r="AU344" s="400">
        <v>4.4524200000000003E-3</v>
      </c>
      <c r="AV344" s="400">
        <v>7.4121569999999999E-3</v>
      </c>
      <c r="AW344" s="78">
        <v>70838.399999999994</v>
      </c>
      <c r="AX344" s="78">
        <v>0</v>
      </c>
      <c r="AY344" s="78">
        <v>909</v>
      </c>
      <c r="AZ344" s="78">
        <v>10347.982007693299</v>
      </c>
      <c r="BA344" s="78">
        <v>7</v>
      </c>
      <c r="BB344" s="78">
        <v>7</v>
      </c>
      <c r="BC344" s="78">
        <v>8809</v>
      </c>
      <c r="BD344" s="78">
        <v>1</v>
      </c>
      <c r="BE344" s="78">
        <v>0</v>
      </c>
      <c r="BF344" s="78">
        <v>0</v>
      </c>
      <c r="BG344" s="78">
        <v>0</v>
      </c>
      <c r="BH344" s="78">
        <v>0</v>
      </c>
      <c r="BI344" s="78">
        <v>0</v>
      </c>
      <c r="BJ344" s="78">
        <v>0</v>
      </c>
      <c r="BK344" s="78">
        <v>0</v>
      </c>
      <c r="BL344" s="78">
        <v>0</v>
      </c>
      <c r="BM344" s="78">
        <v>2302.7240000000002</v>
      </c>
      <c r="BN344" s="78">
        <v>326</v>
      </c>
      <c r="BO344" s="78">
        <v>264</v>
      </c>
      <c r="BP344" s="78">
        <v>27006.6</v>
      </c>
      <c r="BQ344" s="78">
        <v>5041.8</v>
      </c>
      <c r="BR344" s="78">
        <v>652.01475057736695</v>
      </c>
      <c r="BS344" s="78">
        <v>1093</v>
      </c>
      <c r="BT344" s="78">
        <v>570.66666666666697</v>
      </c>
      <c r="BU344" s="78">
        <v>522</v>
      </c>
      <c r="BV344" s="78">
        <f t="shared" si="19"/>
        <v>7795.9999999999691</v>
      </c>
      <c r="BW344" s="78">
        <v>1902</v>
      </c>
      <c r="BX344" s="78">
        <v>20728.524330675398</v>
      </c>
      <c r="BY344" s="78">
        <v>7.32</v>
      </c>
      <c r="BZ344" s="78">
        <v>69353</v>
      </c>
      <c r="CA344" s="78">
        <v>12431</v>
      </c>
      <c r="CB344" s="78">
        <v>2669</v>
      </c>
      <c r="CC344" s="78">
        <v>3060</v>
      </c>
      <c r="CD344" s="78">
        <v>2627</v>
      </c>
      <c r="CE344" s="78">
        <v>1294</v>
      </c>
      <c r="CF344" s="78">
        <v>1933.9329936305701</v>
      </c>
      <c r="CG344" s="78">
        <v>1249.66685774947</v>
      </c>
      <c r="CH344" s="78">
        <v>446.29222929936299</v>
      </c>
      <c r="CI344" s="78">
        <v>4107.6827999999996</v>
      </c>
      <c r="CJ344" s="78">
        <v>2654.2982999999999</v>
      </c>
      <c r="CK344" s="78">
        <v>947.92679999999996</v>
      </c>
      <c r="CL344" s="78">
        <v>223624</v>
      </c>
    </row>
    <row r="345" spans="1:90" x14ac:dyDescent="0.35">
      <c r="A345" s="72">
        <v>971</v>
      </c>
      <c r="B345" s="72" t="s">
        <v>287</v>
      </c>
      <c r="C345" s="72">
        <v>11</v>
      </c>
      <c r="D345" s="78">
        <v>2186400000</v>
      </c>
      <c r="E345" s="78">
        <v>228550000</v>
      </c>
      <c r="F345" s="78">
        <v>239050000</v>
      </c>
      <c r="G345" s="78">
        <v>24875</v>
      </c>
      <c r="H345" s="78">
        <v>2</v>
      </c>
      <c r="I345" s="78">
        <f t="shared" si="17"/>
        <v>239.05</v>
      </c>
      <c r="J345" s="78">
        <v>3739</v>
      </c>
      <c r="K345" s="78">
        <v>6944</v>
      </c>
      <c r="L345" s="78">
        <v>2303</v>
      </c>
      <c r="M345" s="78">
        <v>3489</v>
      </c>
      <c r="N345" s="78">
        <f t="shared" si="18"/>
        <v>2304.6999999999998</v>
      </c>
      <c r="O345" s="78">
        <v>263</v>
      </c>
      <c r="P345" s="78">
        <v>7</v>
      </c>
      <c r="Q345" s="78">
        <v>1927</v>
      </c>
      <c r="R345" s="78">
        <v>3620</v>
      </c>
      <c r="S345" s="78">
        <v>455</v>
      </c>
      <c r="T345" s="78">
        <v>0</v>
      </c>
      <c r="U345" s="78">
        <v>750</v>
      </c>
      <c r="V345" s="78">
        <v>11789</v>
      </c>
      <c r="W345" s="78">
        <v>23250</v>
      </c>
      <c r="X345" s="78">
        <v>14380</v>
      </c>
      <c r="Y345" s="78">
        <v>114.18</v>
      </c>
      <c r="Z345" s="78">
        <v>1191.2</v>
      </c>
      <c r="AA345" s="78">
        <v>0</v>
      </c>
      <c r="AB345" s="399">
        <f>IF((J345-'[2]Basisgegevens aanvullend'!D345*1.1)&lt;=0,0,J345-'[2]Basisgegevens aanvullend'!D345*1.1)</f>
        <v>0</v>
      </c>
      <c r="AC345" s="399">
        <v>144.80000000000001</v>
      </c>
      <c r="AD345" s="78">
        <v>2064</v>
      </c>
      <c r="AE345" s="78">
        <v>2064</v>
      </c>
      <c r="AF345" s="78">
        <v>216</v>
      </c>
      <c r="AG345" s="78">
        <v>0</v>
      </c>
      <c r="AH345" s="78">
        <v>153</v>
      </c>
      <c r="AI345" s="78">
        <v>9</v>
      </c>
      <c r="AJ345" s="78">
        <v>153</v>
      </c>
      <c r="AK345" s="78">
        <v>9</v>
      </c>
      <c r="AL345" s="78">
        <v>162</v>
      </c>
      <c r="AM345" s="78">
        <v>11843</v>
      </c>
      <c r="AN345" s="78">
        <v>11843</v>
      </c>
      <c r="AO345" s="78">
        <v>0</v>
      </c>
      <c r="AP345" s="78">
        <v>0</v>
      </c>
      <c r="AQ345" s="78">
        <v>0</v>
      </c>
      <c r="AR345" s="78">
        <v>0</v>
      </c>
      <c r="AS345" s="78">
        <v>669</v>
      </c>
      <c r="AT345" s="78">
        <v>0</v>
      </c>
      <c r="AU345" s="400">
        <v>5.6672899999999997E-4</v>
      </c>
      <c r="AV345" s="400">
        <v>6.2973E-4</v>
      </c>
      <c r="AW345" s="78">
        <v>10717.915000000001</v>
      </c>
      <c r="AX345" s="78">
        <v>0</v>
      </c>
      <c r="AY345" s="78">
        <v>525</v>
      </c>
      <c r="AZ345" s="78">
        <v>5727.7960526315801</v>
      </c>
      <c r="BA345" s="78">
        <v>3</v>
      </c>
      <c r="BB345" s="78">
        <v>3</v>
      </c>
      <c r="BC345" s="78">
        <v>2219</v>
      </c>
      <c r="BD345" s="78">
        <v>1</v>
      </c>
      <c r="BE345" s="78">
        <v>0</v>
      </c>
      <c r="BF345" s="78">
        <v>0</v>
      </c>
      <c r="BG345" s="78">
        <v>0</v>
      </c>
      <c r="BH345" s="78">
        <v>0</v>
      </c>
      <c r="BI345" s="78">
        <v>0</v>
      </c>
      <c r="BJ345" s="78">
        <v>0</v>
      </c>
      <c r="BK345" s="78">
        <v>0</v>
      </c>
      <c r="BL345" s="78">
        <v>0</v>
      </c>
      <c r="BM345" s="78">
        <v>392.59500000000003</v>
      </c>
      <c r="BN345" s="78">
        <v>50</v>
      </c>
      <c r="BO345" s="78">
        <v>45</v>
      </c>
      <c r="BP345" s="78">
        <v>7525.05</v>
      </c>
      <c r="BQ345" s="78">
        <v>1491.1</v>
      </c>
      <c r="BR345" s="78">
        <v>146.190385290889</v>
      </c>
      <c r="BS345" s="78">
        <v>233</v>
      </c>
      <c r="BT345" s="78">
        <v>71.3333333333333</v>
      </c>
      <c r="BU345" s="78">
        <v>57</v>
      </c>
      <c r="BV345" s="78">
        <f t="shared" si="19"/>
        <v>1664</v>
      </c>
      <c r="BW345" s="78">
        <v>284</v>
      </c>
      <c r="BX345" s="78">
        <v>5847.1320030391498</v>
      </c>
      <c r="BY345" s="78">
        <v>0.47</v>
      </c>
      <c r="BZ345" s="78">
        <v>17931</v>
      </c>
      <c r="CA345" s="78">
        <v>3903</v>
      </c>
      <c r="CB345" s="78">
        <v>738</v>
      </c>
      <c r="CC345" s="78">
        <v>692</v>
      </c>
      <c r="CD345" s="78">
        <v>750</v>
      </c>
      <c r="CE345" s="78">
        <v>368</v>
      </c>
      <c r="CF345" s="78">
        <v>464.715325508739</v>
      </c>
      <c r="CG345" s="78">
        <v>310.58863463649402</v>
      </c>
      <c r="CH345" s="78">
        <v>102.556522840496</v>
      </c>
      <c r="CI345" s="78">
        <v>1140.27</v>
      </c>
      <c r="CJ345" s="78">
        <v>762.09</v>
      </c>
      <c r="CK345" s="78">
        <v>251.64250000000001</v>
      </c>
      <c r="CL345" s="78">
        <v>17520</v>
      </c>
    </row>
    <row r="346" spans="1:90" x14ac:dyDescent="0.35">
      <c r="A346" s="72">
        <v>981</v>
      </c>
      <c r="B346" s="72" t="s">
        <v>307</v>
      </c>
      <c r="C346" s="72">
        <v>11</v>
      </c>
      <c r="D346" s="78">
        <v>843200000</v>
      </c>
      <c r="E346" s="78">
        <v>75250000</v>
      </c>
      <c r="F346" s="78">
        <v>80850000</v>
      </c>
      <c r="G346" s="78">
        <v>10084</v>
      </c>
      <c r="H346" s="78">
        <v>2</v>
      </c>
      <c r="I346" s="78">
        <f t="shared" si="17"/>
        <v>80.849999999999994</v>
      </c>
      <c r="J346" s="78">
        <v>1285</v>
      </c>
      <c r="K346" s="78">
        <v>2860</v>
      </c>
      <c r="L346" s="78">
        <v>997</v>
      </c>
      <c r="M346" s="78">
        <v>2119</v>
      </c>
      <c r="N346" s="78">
        <f t="shared" si="18"/>
        <v>1489.8</v>
      </c>
      <c r="O346" s="78">
        <v>267.33333333333297</v>
      </c>
      <c r="P346" s="78">
        <v>15</v>
      </c>
      <c r="Q346" s="78">
        <v>797.33333333333303</v>
      </c>
      <c r="R346" s="78">
        <v>2668</v>
      </c>
      <c r="S346" s="78">
        <v>195</v>
      </c>
      <c r="T346" s="78">
        <v>0</v>
      </c>
      <c r="U346" s="78">
        <v>305</v>
      </c>
      <c r="V346" s="78">
        <v>5654</v>
      </c>
      <c r="W346" s="78">
        <v>8730</v>
      </c>
      <c r="X346" s="78">
        <v>3550</v>
      </c>
      <c r="Y346" s="78">
        <v>0</v>
      </c>
      <c r="Z346" s="78">
        <v>0</v>
      </c>
      <c r="AA346" s="78">
        <v>0</v>
      </c>
      <c r="AB346" s="399">
        <f>IF((J346-'[2]Basisgegevens aanvullend'!D346*1.1)&lt;=0,0,J346-'[2]Basisgegevens aanvullend'!D346*1.1)</f>
        <v>0</v>
      </c>
      <c r="AC346" s="399">
        <v>0</v>
      </c>
      <c r="AD346" s="78">
        <v>2389</v>
      </c>
      <c r="AE346" s="78">
        <v>2389</v>
      </c>
      <c r="AF346" s="78">
        <v>1</v>
      </c>
      <c r="AG346" s="78">
        <v>0</v>
      </c>
      <c r="AH346" s="78">
        <v>49</v>
      </c>
      <c r="AI346" s="78">
        <v>13</v>
      </c>
      <c r="AJ346" s="78">
        <v>49</v>
      </c>
      <c r="AK346" s="78">
        <v>13</v>
      </c>
      <c r="AL346" s="78">
        <v>62</v>
      </c>
      <c r="AM346" s="78">
        <v>6292</v>
      </c>
      <c r="AN346" s="78">
        <v>6292</v>
      </c>
      <c r="AO346" s="78">
        <v>0</v>
      </c>
      <c r="AP346" s="78">
        <v>0</v>
      </c>
      <c r="AQ346" s="78">
        <v>0</v>
      </c>
      <c r="AR346" s="78">
        <v>0</v>
      </c>
      <c r="AS346" s="78">
        <v>1410</v>
      </c>
      <c r="AT346" s="78">
        <v>0</v>
      </c>
      <c r="AU346" s="400">
        <v>8.6127100000000004E-4</v>
      </c>
      <c r="AV346" s="400">
        <v>7.6205800000000003E-4</v>
      </c>
      <c r="AW346" s="78">
        <v>6656.9359999999997</v>
      </c>
      <c r="AX346" s="78">
        <v>0</v>
      </c>
      <c r="AY346" s="78">
        <v>93</v>
      </c>
      <c r="AZ346" s="78">
        <v>392.38995815899602</v>
      </c>
      <c r="BA346" s="78">
        <v>6</v>
      </c>
      <c r="BB346" s="78">
        <v>6</v>
      </c>
      <c r="BC346" s="78">
        <v>805</v>
      </c>
      <c r="BD346" s="78">
        <v>1</v>
      </c>
      <c r="BE346" s="78">
        <v>0</v>
      </c>
      <c r="BF346" s="78">
        <v>0</v>
      </c>
      <c r="BG346" s="78">
        <v>0</v>
      </c>
      <c r="BH346" s="78">
        <v>0</v>
      </c>
      <c r="BI346" s="78">
        <v>0</v>
      </c>
      <c r="BJ346" s="78">
        <v>0</v>
      </c>
      <c r="BK346" s="78">
        <v>0</v>
      </c>
      <c r="BL346" s="78">
        <v>0</v>
      </c>
      <c r="BM346" s="78">
        <v>289.125</v>
      </c>
      <c r="BN346" s="78">
        <v>19</v>
      </c>
      <c r="BO346" s="78">
        <v>23</v>
      </c>
      <c r="BP346" s="78">
        <v>3020.05</v>
      </c>
      <c r="BQ346" s="78">
        <v>380</v>
      </c>
      <c r="BR346" s="78">
        <v>16.707240627724499</v>
      </c>
      <c r="BS346" s="78">
        <v>96</v>
      </c>
      <c r="BT346" s="78">
        <v>64.3333333333333</v>
      </c>
      <c r="BU346" s="78">
        <v>59.3333333333333</v>
      </c>
      <c r="BV346" s="78">
        <f t="shared" si="19"/>
        <v>530</v>
      </c>
      <c r="BW346" s="78">
        <v>121</v>
      </c>
      <c r="BX346" s="78">
        <v>1629.0075804057401</v>
      </c>
      <c r="BY346" s="78">
        <v>0.92</v>
      </c>
      <c r="BZ346" s="78">
        <v>7224</v>
      </c>
      <c r="CA346" s="78">
        <v>1537</v>
      </c>
      <c r="CB346" s="78">
        <v>326</v>
      </c>
      <c r="CC346" s="78">
        <v>421</v>
      </c>
      <c r="CD346" s="78">
        <v>377</v>
      </c>
      <c r="CE346" s="78">
        <v>147</v>
      </c>
      <c r="CF346" s="78">
        <v>232.988429752066</v>
      </c>
      <c r="CG346" s="78">
        <v>168.348347107438</v>
      </c>
      <c r="CH346" s="78">
        <v>52.090909090909101</v>
      </c>
      <c r="CI346" s="78">
        <v>583.7088</v>
      </c>
      <c r="CJ346" s="78">
        <v>421.76519999999999</v>
      </c>
      <c r="CK346" s="78">
        <v>130.50399999999999</v>
      </c>
      <c r="CL346" s="78">
        <v>7938</v>
      </c>
    </row>
    <row r="347" spans="1:90" x14ac:dyDescent="0.35">
      <c r="A347" s="72">
        <v>994</v>
      </c>
      <c r="B347" s="72" t="s">
        <v>308</v>
      </c>
      <c r="C347" s="72">
        <v>11</v>
      </c>
      <c r="D347" s="78">
        <v>1735200000</v>
      </c>
      <c r="E347" s="78">
        <v>185500000</v>
      </c>
      <c r="F347" s="78">
        <v>194600000</v>
      </c>
      <c r="G347" s="78">
        <v>16365</v>
      </c>
      <c r="H347" s="78">
        <v>4</v>
      </c>
      <c r="I347" s="78">
        <f t="shared" si="17"/>
        <v>194.6</v>
      </c>
      <c r="J347" s="78">
        <v>2251</v>
      </c>
      <c r="K347" s="78">
        <v>4857</v>
      </c>
      <c r="L347" s="78">
        <v>1706</v>
      </c>
      <c r="M347" s="78">
        <v>2712</v>
      </c>
      <c r="N347" s="78">
        <f t="shared" si="18"/>
        <v>1786.1</v>
      </c>
      <c r="O347" s="78">
        <v>296.66666666666703</v>
      </c>
      <c r="P347" s="78">
        <v>15</v>
      </c>
      <c r="Q347" s="78">
        <v>1276.6666666666699</v>
      </c>
      <c r="R347" s="78">
        <v>2983</v>
      </c>
      <c r="S347" s="78">
        <v>235</v>
      </c>
      <c r="T347" s="78">
        <v>0</v>
      </c>
      <c r="U347" s="78">
        <v>447</v>
      </c>
      <c r="V347" s="78">
        <v>8288</v>
      </c>
      <c r="W347" s="78">
        <v>13300</v>
      </c>
      <c r="X347" s="78">
        <v>3430</v>
      </c>
      <c r="Y347" s="78">
        <v>1055.3</v>
      </c>
      <c r="Z347" s="78">
        <v>284.8</v>
      </c>
      <c r="AA347" s="78">
        <v>0</v>
      </c>
      <c r="AB347" s="399">
        <f>IF((J347-'[2]Basisgegevens aanvullend'!D347*1.1)&lt;=0,0,J347-'[2]Basisgegevens aanvullend'!D347*1.1)</f>
        <v>0</v>
      </c>
      <c r="AC347" s="399">
        <v>0</v>
      </c>
      <c r="AD347" s="78">
        <v>3672</v>
      </c>
      <c r="AE347" s="78">
        <v>3672</v>
      </c>
      <c r="AF347" s="78">
        <v>21</v>
      </c>
      <c r="AG347" s="78">
        <v>0</v>
      </c>
      <c r="AH347" s="78">
        <v>105</v>
      </c>
      <c r="AI347" s="78">
        <v>15</v>
      </c>
      <c r="AJ347" s="78">
        <v>105</v>
      </c>
      <c r="AK347" s="78">
        <v>15</v>
      </c>
      <c r="AL347" s="78">
        <v>119</v>
      </c>
      <c r="AM347" s="78">
        <v>9259</v>
      </c>
      <c r="AN347" s="78">
        <v>9259</v>
      </c>
      <c r="AO347" s="78">
        <v>7</v>
      </c>
      <c r="AP347" s="78">
        <v>0</v>
      </c>
      <c r="AQ347" s="78">
        <v>0</v>
      </c>
      <c r="AR347" s="78">
        <v>0</v>
      </c>
      <c r="AS347" s="78">
        <v>588</v>
      </c>
      <c r="AT347" s="78">
        <v>588</v>
      </c>
      <c r="AU347" s="400">
        <v>9.1397799999999997E-4</v>
      </c>
      <c r="AV347" s="400">
        <v>5.7661799999999999E-4</v>
      </c>
      <c r="AW347" s="78">
        <v>6296.12</v>
      </c>
      <c r="AX347" s="78">
        <v>0</v>
      </c>
      <c r="AY347" s="78">
        <v>402</v>
      </c>
      <c r="AZ347" s="78">
        <v>1781.40536149472</v>
      </c>
      <c r="BA347" s="78">
        <v>6</v>
      </c>
      <c r="BB347" s="78">
        <v>6</v>
      </c>
      <c r="BC347" s="78">
        <v>2005</v>
      </c>
      <c r="BD347" s="78">
        <v>1</v>
      </c>
      <c r="BE347" s="78">
        <v>0</v>
      </c>
      <c r="BF347" s="78">
        <v>0</v>
      </c>
      <c r="BG347" s="78">
        <v>0</v>
      </c>
      <c r="BH347" s="78">
        <v>0</v>
      </c>
      <c r="BI347" s="78">
        <v>0</v>
      </c>
      <c r="BJ347" s="78">
        <v>0</v>
      </c>
      <c r="BK347" s="78">
        <v>0</v>
      </c>
      <c r="BL347" s="78">
        <v>0</v>
      </c>
      <c r="BM347" s="78">
        <v>279.12400000000002</v>
      </c>
      <c r="BN347" s="78">
        <v>11</v>
      </c>
      <c r="BO347" s="78">
        <v>24</v>
      </c>
      <c r="BP347" s="78">
        <v>5209.38</v>
      </c>
      <c r="BQ347" s="78">
        <v>954.24</v>
      </c>
      <c r="BR347" s="78">
        <v>66.768707895937894</v>
      </c>
      <c r="BS347" s="78">
        <v>147</v>
      </c>
      <c r="BT347" s="78">
        <v>60.6666666666667</v>
      </c>
      <c r="BU347" s="78">
        <v>55.6666666666667</v>
      </c>
      <c r="BV347" s="78">
        <f t="shared" si="19"/>
        <v>980.00000000000296</v>
      </c>
      <c r="BW347" s="78">
        <v>204</v>
      </c>
      <c r="BX347" s="78">
        <v>3563.5244944094802</v>
      </c>
      <c r="BY347" s="78">
        <v>0.73299999999999998</v>
      </c>
      <c r="BZ347" s="78">
        <v>11508</v>
      </c>
      <c r="CA347" s="78">
        <v>2533</v>
      </c>
      <c r="CB347" s="78">
        <v>618</v>
      </c>
      <c r="CC347" s="78">
        <v>564</v>
      </c>
      <c r="CD347" s="78">
        <v>558</v>
      </c>
      <c r="CE347" s="78">
        <v>279</v>
      </c>
      <c r="CF347" s="78">
        <v>305.17444648450203</v>
      </c>
      <c r="CG347" s="78">
        <v>220.103693703424</v>
      </c>
      <c r="CH347" s="78">
        <v>75.811351117831293</v>
      </c>
      <c r="CI347" s="78">
        <v>716.80420000000004</v>
      </c>
      <c r="CJ347" s="78">
        <v>516.98710000000005</v>
      </c>
      <c r="CK347" s="78">
        <v>178.06829999999999</v>
      </c>
      <c r="CL347" s="78">
        <v>15922</v>
      </c>
    </row>
    <row r="348" spans="1:90" x14ac:dyDescent="0.35">
      <c r="A348" s="72">
        <v>983</v>
      </c>
      <c r="B348" s="72" t="s">
        <v>315</v>
      </c>
      <c r="C348" s="72">
        <v>11</v>
      </c>
      <c r="D348" s="78">
        <v>8578800000</v>
      </c>
      <c r="E348" s="78">
        <v>2451750000</v>
      </c>
      <c r="F348" s="78">
        <v>2485000000</v>
      </c>
      <c r="G348" s="78">
        <v>101988</v>
      </c>
      <c r="H348" s="78">
        <v>3</v>
      </c>
      <c r="I348" s="78">
        <f t="shared" si="17"/>
        <v>2485</v>
      </c>
      <c r="J348" s="78">
        <v>17622</v>
      </c>
      <c r="K348" s="78">
        <v>22662</v>
      </c>
      <c r="L348" s="78">
        <v>7132</v>
      </c>
      <c r="M348" s="78">
        <v>17026</v>
      </c>
      <c r="N348" s="78">
        <f t="shared" si="18"/>
        <v>12151.2</v>
      </c>
      <c r="O348" s="78">
        <v>2840</v>
      </c>
      <c r="P348" s="78">
        <v>124</v>
      </c>
      <c r="Q348" s="78">
        <v>8472</v>
      </c>
      <c r="R348" s="78">
        <v>18828</v>
      </c>
      <c r="S348" s="78">
        <v>8685</v>
      </c>
      <c r="T348" s="78">
        <v>0</v>
      </c>
      <c r="U348" s="78">
        <v>3540</v>
      </c>
      <c r="V348" s="78">
        <v>49567</v>
      </c>
      <c r="W348" s="78">
        <v>109990</v>
      </c>
      <c r="X348" s="78">
        <v>143740</v>
      </c>
      <c r="Y348" s="78">
        <v>3979.08</v>
      </c>
      <c r="Z348" s="78">
        <v>4420.8</v>
      </c>
      <c r="AA348" s="78">
        <v>0</v>
      </c>
      <c r="AB348" s="399">
        <f>IF((J348-'[2]Basisgegevens aanvullend'!D348*1.1)&lt;=0,0,J348-'[2]Basisgegevens aanvullend'!D348*1.1)</f>
        <v>0</v>
      </c>
      <c r="AC348" s="399">
        <v>0</v>
      </c>
      <c r="AD348" s="78">
        <v>12414</v>
      </c>
      <c r="AE348" s="78">
        <v>12414</v>
      </c>
      <c r="AF348" s="78">
        <v>485</v>
      </c>
      <c r="AG348" s="78">
        <v>0</v>
      </c>
      <c r="AH348" s="78">
        <v>631</v>
      </c>
      <c r="AI348" s="78">
        <v>320</v>
      </c>
      <c r="AJ348" s="78">
        <v>631</v>
      </c>
      <c r="AK348" s="78">
        <v>320</v>
      </c>
      <c r="AL348" s="78">
        <v>951</v>
      </c>
      <c r="AM348" s="78">
        <v>48748</v>
      </c>
      <c r="AN348" s="78">
        <v>48748</v>
      </c>
      <c r="AO348" s="78">
        <v>10</v>
      </c>
      <c r="AP348" s="78">
        <v>0</v>
      </c>
      <c r="AQ348" s="78">
        <v>0</v>
      </c>
      <c r="AR348" s="78">
        <v>0</v>
      </c>
      <c r="AS348" s="78">
        <v>7161</v>
      </c>
      <c r="AT348" s="78">
        <v>4755</v>
      </c>
      <c r="AU348" s="400">
        <v>3.7905550000000001E-3</v>
      </c>
      <c r="AV348" s="400">
        <v>5.9178110000000003E-3</v>
      </c>
      <c r="AW348" s="78">
        <v>80921.679999999993</v>
      </c>
      <c r="AX348" s="78">
        <v>0</v>
      </c>
      <c r="AY348" s="78">
        <v>2214</v>
      </c>
      <c r="AZ348" s="78">
        <v>17505.343980153499</v>
      </c>
      <c r="BA348" s="78">
        <v>13</v>
      </c>
      <c r="BB348" s="78">
        <v>13</v>
      </c>
      <c r="BC348" s="78">
        <v>9784</v>
      </c>
      <c r="BD348" s="78">
        <v>1</v>
      </c>
      <c r="BE348" s="78">
        <v>0</v>
      </c>
      <c r="BF348" s="78">
        <v>0</v>
      </c>
      <c r="BG348" s="78">
        <v>0</v>
      </c>
      <c r="BH348" s="78">
        <v>0</v>
      </c>
      <c r="BI348" s="78">
        <v>0</v>
      </c>
      <c r="BJ348" s="78">
        <v>0</v>
      </c>
      <c r="BK348" s="78">
        <v>0</v>
      </c>
      <c r="BL348" s="78">
        <v>0</v>
      </c>
      <c r="BM348" s="78">
        <v>3066.2280000000001</v>
      </c>
      <c r="BN348" s="78">
        <v>443</v>
      </c>
      <c r="BO348" s="78">
        <v>375</v>
      </c>
      <c r="BP348" s="78">
        <v>28540.66</v>
      </c>
      <c r="BQ348" s="78">
        <v>5582.5</v>
      </c>
      <c r="BR348" s="78">
        <v>648.72834205231402</v>
      </c>
      <c r="BS348" s="78">
        <v>1328</v>
      </c>
      <c r="BT348" s="78">
        <v>756.33333333333303</v>
      </c>
      <c r="BU348" s="78">
        <v>696.33333333333303</v>
      </c>
      <c r="BV348" s="78">
        <f t="shared" si="19"/>
        <v>5632</v>
      </c>
      <c r="BW348" s="78">
        <v>1331</v>
      </c>
      <c r="BX348" s="78">
        <v>20975.013053574599</v>
      </c>
      <c r="BY348" s="78">
        <v>7.9370000000000003</v>
      </c>
      <c r="BZ348" s="78">
        <v>79326</v>
      </c>
      <c r="CA348" s="78">
        <v>12913</v>
      </c>
      <c r="CB348" s="78">
        <v>2617</v>
      </c>
      <c r="CC348" s="78">
        <v>3056</v>
      </c>
      <c r="CD348" s="78">
        <v>2448</v>
      </c>
      <c r="CE348" s="78">
        <v>1378</v>
      </c>
      <c r="CF348" s="78">
        <v>2058.1861491753498</v>
      </c>
      <c r="CG348" s="78">
        <v>1237.1052268811</v>
      </c>
      <c r="CH348" s="78">
        <v>478.58997292196602</v>
      </c>
      <c r="CI348" s="78">
        <v>4452.1743999999999</v>
      </c>
      <c r="CJ348" s="78">
        <v>2676.0495999999998</v>
      </c>
      <c r="CK348" s="78">
        <v>1035.2639999999999</v>
      </c>
      <c r="CL348" s="78">
        <v>104841</v>
      </c>
    </row>
    <row r="349" spans="1:90" x14ac:dyDescent="0.35">
      <c r="A349" s="72">
        <v>984</v>
      </c>
      <c r="B349" s="72" t="s">
        <v>316</v>
      </c>
      <c r="C349" s="72">
        <v>11</v>
      </c>
      <c r="D349" s="78">
        <v>3742000000</v>
      </c>
      <c r="E349" s="78">
        <v>1103550000</v>
      </c>
      <c r="F349" s="78">
        <v>1163050000</v>
      </c>
      <c r="G349" s="78">
        <v>43713</v>
      </c>
      <c r="H349" s="78">
        <v>3</v>
      </c>
      <c r="I349" s="78">
        <f t="shared" si="17"/>
        <v>1163.05</v>
      </c>
      <c r="J349" s="78">
        <v>7710</v>
      </c>
      <c r="K349" s="78">
        <v>9574</v>
      </c>
      <c r="L349" s="78">
        <v>3183</v>
      </c>
      <c r="M349" s="78">
        <v>5906</v>
      </c>
      <c r="N349" s="78">
        <f t="shared" si="18"/>
        <v>3936.3</v>
      </c>
      <c r="O349" s="78">
        <v>727.33333333333303</v>
      </c>
      <c r="P349" s="78">
        <v>78</v>
      </c>
      <c r="Q349" s="78">
        <v>3341.3333333333298</v>
      </c>
      <c r="R349" s="78">
        <v>6353</v>
      </c>
      <c r="S349" s="78">
        <v>2590</v>
      </c>
      <c r="T349" s="78">
        <v>0</v>
      </c>
      <c r="U349" s="78">
        <v>1285</v>
      </c>
      <c r="V349" s="78">
        <v>20093</v>
      </c>
      <c r="W349" s="78">
        <v>46660</v>
      </c>
      <c r="X349" s="78">
        <v>41990</v>
      </c>
      <c r="Y349" s="78">
        <v>594.70000000000005</v>
      </c>
      <c r="Z349" s="78">
        <v>1083.2</v>
      </c>
      <c r="AA349" s="78">
        <v>0</v>
      </c>
      <c r="AB349" s="399">
        <f>IF((J349-'[2]Basisgegevens aanvullend'!D349*1.1)&lt;=0,0,J349-'[2]Basisgegevens aanvullend'!D349*1.1)</f>
        <v>0</v>
      </c>
      <c r="AC349" s="399">
        <v>0</v>
      </c>
      <c r="AD349" s="78">
        <v>16308</v>
      </c>
      <c r="AE349" s="78">
        <v>16308</v>
      </c>
      <c r="AF349" s="78">
        <v>192</v>
      </c>
      <c r="AG349" s="78">
        <v>0</v>
      </c>
      <c r="AH349" s="78">
        <v>266</v>
      </c>
      <c r="AI349" s="78">
        <v>317</v>
      </c>
      <c r="AJ349" s="78">
        <v>266</v>
      </c>
      <c r="AK349" s="78">
        <v>317</v>
      </c>
      <c r="AL349" s="78">
        <v>583</v>
      </c>
      <c r="AM349" s="78">
        <v>19697</v>
      </c>
      <c r="AN349" s="78">
        <v>19697</v>
      </c>
      <c r="AO349" s="78">
        <v>0</v>
      </c>
      <c r="AP349" s="78">
        <v>0</v>
      </c>
      <c r="AQ349" s="78">
        <v>0</v>
      </c>
      <c r="AR349" s="78">
        <v>0</v>
      </c>
      <c r="AS349" s="78">
        <v>626</v>
      </c>
      <c r="AT349" s="78">
        <v>0</v>
      </c>
      <c r="AU349" s="400">
        <v>4.4822599999999997E-4</v>
      </c>
      <c r="AV349" s="400">
        <v>7.3056800000000002E-4</v>
      </c>
      <c r="AW349" s="78">
        <v>20169.727999999999</v>
      </c>
      <c r="AX349" s="78">
        <v>0</v>
      </c>
      <c r="AY349" s="78">
        <v>1415</v>
      </c>
      <c r="AZ349" s="78">
        <v>3748.72090909091</v>
      </c>
      <c r="BA349" s="78">
        <v>14</v>
      </c>
      <c r="BB349" s="78">
        <v>14</v>
      </c>
      <c r="BC349" s="78">
        <v>4491</v>
      </c>
      <c r="BD349" s="78">
        <v>1</v>
      </c>
      <c r="BE349" s="78">
        <v>0</v>
      </c>
      <c r="BF349" s="78">
        <v>0</v>
      </c>
      <c r="BG349" s="78">
        <v>0</v>
      </c>
      <c r="BH349" s="78">
        <v>0</v>
      </c>
      <c r="BI349" s="78">
        <v>0</v>
      </c>
      <c r="BJ349" s="78">
        <v>0</v>
      </c>
      <c r="BK349" s="78">
        <v>0</v>
      </c>
      <c r="BL349" s="78">
        <v>0</v>
      </c>
      <c r="BM349" s="78">
        <v>1040.8499999999999</v>
      </c>
      <c r="BN349" s="78">
        <v>116</v>
      </c>
      <c r="BO349" s="78">
        <v>100</v>
      </c>
      <c r="BP349" s="78">
        <v>12278.4</v>
      </c>
      <c r="BQ349" s="78">
        <v>2667.86</v>
      </c>
      <c r="BR349" s="78">
        <v>233.20405109488999</v>
      </c>
      <c r="BS349" s="78">
        <v>479</v>
      </c>
      <c r="BT349" s="78">
        <v>233.333333333333</v>
      </c>
      <c r="BU349" s="78">
        <v>180</v>
      </c>
      <c r="BV349" s="78">
        <f t="shared" si="19"/>
        <v>2613.9999999999968</v>
      </c>
      <c r="BW349" s="78">
        <v>678</v>
      </c>
      <c r="BX349" s="78">
        <v>8272.0543210895594</v>
      </c>
      <c r="BY349" s="78">
        <v>1.944</v>
      </c>
      <c r="BZ349" s="78">
        <v>34139</v>
      </c>
      <c r="CA349" s="78">
        <v>5459</v>
      </c>
      <c r="CB349" s="78">
        <v>932</v>
      </c>
      <c r="CC349" s="78">
        <v>1060</v>
      </c>
      <c r="CD349" s="78">
        <v>996</v>
      </c>
      <c r="CE349" s="78">
        <v>470</v>
      </c>
      <c r="CF349" s="78">
        <v>668.673391887089</v>
      </c>
      <c r="CG349" s="78">
        <v>434.25800375691699</v>
      </c>
      <c r="CH349" s="78">
        <v>136.092821241813</v>
      </c>
      <c r="CI349" s="78">
        <v>1597.7149999999999</v>
      </c>
      <c r="CJ349" s="78">
        <v>1037.6075000000001</v>
      </c>
      <c r="CK349" s="78">
        <v>325.17750000000001</v>
      </c>
      <c r="CL349" s="78">
        <v>100577</v>
      </c>
    </row>
    <row r="350" spans="1:90" x14ac:dyDescent="0.35">
      <c r="A350" s="72">
        <v>986</v>
      </c>
      <c r="B350" s="72" t="s">
        <v>321</v>
      </c>
      <c r="C350" s="72">
        <v>11</v>
      </c>
      <c r="D350" s="78">
        <v>1196800000</v>
      </c>
      <c r="E350" s="78">
        <v>77700000</v>
      </c>
      <c r="F350" s="78">
        <v>87500000</v>
      </c>
      <c r="G350" s="78">
        <v>12466</v>
      </c>
      <c r="H350" s="78">
        <v>3</v>
      </c>
      <c r="I350" s="78">
        <f t="shared" si="17"/>
        <v>87.5</v>
      </c>
      <c r="J350" s="78">
        <v>2098</v>
      </c>
      <c r="K350" s="78">
        <v>3428</v>
      </c>
      <c r="L350" s="78">
        <v>1183</v>
      </c>
      <c r="M350" s="78">
        <v>1429</v>
      </c>
      <c r="N350" s="78">
        <f t="shared" si="18"/>
        <v>838.69999999999993</v>
      </c>
      <c r="O350" s="78">
        <v>105</v>
      </c>
      <c r="P350" s="78">
        <v>12</v>
      </c>
      <c r="Q350" s="78">
        <v>778</v>
      </c>
      <c r="R350" s="78">
        <v>1644</v>
      </c>
      <c r="S350" s="78">
        <v>190</v>
      </c>
      <c r="T350" s="78">
        <v>0</v>
      </c>
      <c r="U350" s="78">
        <v>391</v>
      </c>
      <c r="V350" s="78">
        <v>5711</v>
      </c>
      <c r="W350" s="78">
        <v>8250</v>
      </c>
      <c r="X350" s="78">
        <v>1120</v>
      </c>
      <c r="Y350" s="78">
        <v>0</v>
      </c>
      <c r="Z350" s="78">
        <v>0</v>
      </c>
      <c r="AA350" s="78">
        <v>0</v>
      </c>
      <c r="AB350" s="399">
        <f>IF((J350-'[2]Basisgegevens aanvullend'!D350*1.1)&lt;=0,0,J350-'[2]Basisgegevens aanvullend'!D350*1.1)</f>
        <v>0</v>
      </c>
      <c r="AC350" s="399">
        <v>0</v>
      </c>
      <c r="AD350" s="78">
        <v>3150</v>
      </c>
      <c r="AE350" s="78">
        <v>3150</v>
      </c>
      <c r="AF350" s="78">
        <v>2</v>
      </c>
      <c r="AG350" s="78">
        <v>0</v>
      </c>
      <c r="AH350" s="78">
        <v>78</v>
      </c>
      <c r="AI350" s="78">
        <v>12</v>
      </c>
      <c r="AJ350" s="78">
        <v>78</v>
      </c>
      <c r="AK350" s="78">
        <v>12</v>
      </c>
      <c r="AL350" s="78">
        <v>90</v>
      </c>
      <c r="AM350" s="78">
        <v>5903</v>
      </c>
      <c r="AN350" s="78">
        <v>5903</v>
      </c>
      <c r="AO350" s="78">
        <v>0</v>
      </c>
      <c r="AP350" s="78">
        <v>0</v>
      </c>
      <c r="AQ350" s="78">
        <v>0</v>
      </c>
      <c r="AR350" s="78">
        <v>0</v>
      </c>
      <c r="AS350" s="78">
        <v>0</v>
      </c>
      <c r="AT350" s="78">
        <v>0</v>
      </c>
      <c r="AU350" s="400">
        <v>3.0101100000000001E-4</v>
      </c>
      <c r="AV350" s="400">
        <v>1.2288699999999999E-4</v>
      </c>
      <c r="AW350" s="78">
        <v>3228.9409999999998</v>
      </c>
      <c r="AX350" s="78">
        <v>0</v>
      </c>
      <c r="AY350" s="78">
        <v>105</v>
      </c>
      <c r="AZ350" s="78">
        <v>415.26967005076102</v>
      </c>
      <c r="BA350" s="78">
        <v>6</v>
      </c>
      <c r="BB350" s="78">
        <v>6</v>
      </c>
      <c r="BC350" s="78">
        <v>1256</v>
      </c>
      <c r="BD350" s="78">
        <v>1</v>
      </c>
      <c r="BE350" s="78">
        <v>0</v>
      </c>
      <c r="BF350" s="78">
        <v>0</v>
      </c>
      <c r="BG350" s="78">
        <v>0</v>
      </c>
      <c r="BH350" s="78">
        <v>0</v>
      </c>
      <c r="BI350" s="78">
        <v>0</v>
      </c>
      <c r="BJ350" s="78">
        <v>0</v>
      </c>
      <c r="BK350" s="78">
        <v>0</v>
      </c>
      <c r="BL350" s="78">
        <v>0</v>
      </c>
      <c r="BM350" s="78">
        <v>245.46600000000001</v>
      </c>
      <c r="BN350" s="78">
        <v>5</v>
      </c>
      <c r="BO350" s="78">
        <v>8</v>
      </c>
      <c r="BP350" s="78">
        <v>4147.7</v>
      </c>
      <c r="BQ350" s="78">
        <v>826.62</v>
      </c>
      <c r="BR350" s="78">
        <v>60.841999999999999</v>
      </c>
      <c r="BS350" s="78">
        <v>126</v>
      </c>
      <c r="BT350" s="78">
        <v>43.3333333333333</v>
      </c>
      <c r="BU350" s="78">
        <v>25</v>
      </c>
      <c r="BV350" s="78">
        <f t="shared" si="19"/>
        <v>673</v>
      </c>
      <c r="BW350" s="78">
        <v>119</v>
      </c>
      <c r="BX350" s="78">
        <v>2430.2454509017998</v>
      </c>
      <c r="BY350" s="78">
        <v>0.185</v>
      </c>
      <c r="BZ350" s="78">
        <v>9038</v>
      </c>
      <c r="CA350" s="78">
        <v>1859</v>
      </c>
      <c r="CB350" s="78">
        <v>386</v>
      </c>
      <c r="CC350" s="78">
        <v>353</v>
      </c>
      <c r="CD350" s="78">
        <v>336</v>
      </c>
      <c r="CE350" s="78">
        <v>175</v>
      </c>
      <c r="CF350" s="78">
        <v>165.38146705065199</v>
      </c>
      <c r="CG350" s="78">
        <v>112.953837032018</v>
      </c>
      <c r="CH350" s="78">
        <v>38.503760799593401</v>
      </c>
      <c r="CI350" s="78">
        <v>462.108</v>
      </c>
      <c r="CJ350" s="78">
        <v>315.61500000000001</v>
      </c>
      <c r="CK350" s="78">
        <v>107.587</v>
      </c>
      <c r="CL350" s="78">
        <v>0</v>
      </c>
    </row>
    <row r="351" spans="1:90" x14ac:dyDescent="0.35">
      <c r="A351" s="72">
        <v>988</v>
      </c>
      <c r="B351" s="72" t="s">
        <v>332</v>
      </c>
      <c r="C351" s="72">
        <v>11</v>
      </c>
      <c r="D351" s="78">
        <v>4814000000</v>
      </c>
      <c r="E351" s="78">
        <v>855050000</v>
      </c>
      <c r="F351" s="78">
        <v>889000000</v>
      </c>
      <c r="G351" s="78">
        <v>50011</v>
      </c>
      <c r="H351" s="78">
        <v>3</v>
      </c>
      <c r="I351" s="78">
        <f t="shared" si="17"/>
        <v>889</v>
      </c>
      <c r="J351" s="78">
        <v>8351</v>
      </c>
      <c r="K351" s="78">
        <v>11903</v>
      </c>
      <c r="L351" s="78">
        <v>4157</v>
      </c>
      <c r="M351" s="78">
        <v>7344</v>
      </c>
      <c r="N351" s="78">
        <f t="shared" si="18"/>
        <v>4947.5</v>
      </c>
      <c r="O351" s="78">
        <v>853.66666666666697</v>
      </c>
      <c r="P351" s="78">
        <v>87</v>
      </c>
      <c r="Q351" s="78">
        <v>3786.6666666666702</v>
      </c>
      <c r="R351" s="78">
        <v>8153</v>
      </c>
      <c r="S351" s="78">
        <v>3475</v>
      </c>
      <c r="T351" s="78">
        <v>0</v>
      </c>
      <c r="U351" s="78">
        <v>1516</v>
      </c>
      <c r="V351" s="78">
        <v>23687</v>
      </c>
      <c r="W351" s="78">
        <v>54400</v>
      </c>
      <c r="X351" s="78">
        <v>54870</v>
      </c>
      <c r="Y351" s="78">
        <v>1261.6199999999999</v>
      </c>
      <c r="Z351" s="78">
        <v>2464.8000000000002</v>
      </c>
      <c r="AA351" s="78">
        <v>0</v>
      </c>
      <c r="AB351" s="399">
        <f>IF((J351-'[2]Basisgegevens aanvullend'!D351*1.1)&lt;=0,0,J351-'[2]Basisgegevens aanvullend'!D351*1.1)</f>
        <v>0</v>
      </c>
      <c r="AC351" s="399">
        <v>0</v>
      </c>
      <c r="AD351" s="78">
        <v>10407</v>
      </c>
      <c r="AE351" s="78">
        <v>10407</v>
      </c>
      <c r="AF351" s="78">
        <v>146</v>
      </c>
      <c r="AG351" s="78">
        <v>0</v>
      </c>
      <c r="AH351" s="78">
        <v>330</v>
      </c>
      <c r="AI351" s="78">
        <v>133</v>
      </c>
      <c r="AJ351" s="78">
        <v>330</v>
      </c>
      <c r="AK351" s="78">
        <v>133</v>
      </c>
      <c r="AL351" s="78">
        <v>463</v>
      </c>
      <c r="AM351" s="78">
        <v>23965</v>
      </c>
      <c r="AN351" s="78">
        <v>23965</v>
      </c>
      <c r="AO351" s="78">
        <v>13</v>
      </c>
      <c r="AP351" s="78">
        <v>0</v>
      </c>
      <c r="AQ351" s="78">
        <v>0</v>
      </c>
      <c r="AR351" s="78">
        <v>0</v>
      </c>
      <c r="AS351" s="78">
        <v>1312</v>
      </c>
      <c r="AT351" s="78">
        <v>1312</v>
      </c>
      <c r="AU351" s="400">
        <v>8.3736300000000004E-4</v>
      </c>
      <c r="AV351" s="400">
        <v>1.3613239999999999E-3</v>
      </c>
      <c r="AW351" s="78">
        <v>32256.89</v>
      </c>
      <c r="AX351" s="78">
        <v>0</v>
      </c>
      <c r="AY351" s="78">
        <v>1520</v>
      </c>
      <c r="AZ351" s="78">
        <v>7203.3279636122397</v>
      </c>
      <c r="BA351" s="78">
        <v>8</v>
      </c>
      <c r="BB351" s="78">
        <v>8</v>
      </c>
      <c r="BC351" s="78">
        <v>5393</v>
      </c>
      <c r="BD351" s="78">
        <v>1</v>
      </c>
      <c r="BE351" s="78">
        <v>0</v>
      </c>
      <c r="BF351" s="78">
        <v>0</v>
      </c>
      <c r="BG351" s="78">
        <v>0</v>
      </c>
      <c r="BH351" s="78">
        <v>0</v>
      </c>
      <c r="BI351" s="78">
        <v>0</v>
      </c>
      <c r="BJ351" s="78">
        <v>0</v>
      </c>
      <c r="BK351" s="78">
        <v>0</v>
      </c>
      <c r="BL351" s="78">
        <v>0</v>
      </c>
      <c r="BM351" s="78">
        <v>1018.822</v>
      </c>
      <c r="BN351" s="78">
        <v>96</v>
      </c>
      <c r="BO351" s="78">
        <v>197</v>
      </c>
      <c r="BP351" s="78">
        <v>14862.9</v>
      </c>
      <c r="BQ351" s="78">
        <v>3113.5</v>
      </c>
      <c r="BR351" s="78">
        <v>276.00367665078301</v>
      </c>
      <c r="BS351" s="78">
        <v>559</v>
      </c>
      <c r="BT351" s="78">
        <v>239</v>
      </c>
      <c r="BU351" s="78">
        <v>188.666666666667</v>
      </c>
      <c r="BV351" s="78">
        <f t="shared" si="19"/>
        <v>2933.0000000000032</v>
      </c>
      <c r="BW351" s="78">
        <v>624</v>
      </c>
      <c r="BX351" s="78">
        <v>9256.0025426604207</v>
      </c>
      <c r="BY351" s="78">
        <v>1.8959999999999999</v>
      </c>
      <c r="BZ351" s="78">
        <v>38108</v>
      </c>
      <c r="CA351" s="78">
        <v>6363</v>
      </c>
      <c r="CB351" s="78">
        <v>1383</v>
      </c>
      <c r="CC351" s="78">
        <v>1409</v>
      </c>
      <c r="CD351" s="78">
        <v>1369</v>
      </c>
      <c r="CE351" s="78">
        <v>693</v>
      </c>
      <c r="CF351" s="78">
        <v>822.89735030252405</v>
      </c>
      <c r="CG351" s="78">
        <v>592.29616106822505</v>
      </c>
      <c r="CH351" s="78">
        <v>200.666388483205</v>
      </c>
      <c r="CI351" s="78">
        <v>1886.5737999999999</v>
      </c>
      <c r="CJ351" s="78">
        <v>1357.8977</v>
      </c>
      <c r="CK351" s="78">
        <v>460.04759999999999</v>
      </c>
      <c r="CL351" s="78">
        <v>33835</v>
      </c>
    </row>
    <row r="352" spans="1:90" x14ac:dyDescent="0.35">
      <c r="A352" s="72">
        <v>34</v>
      </c>
      <c r="B352" s="72" t="s">
        <v>19</v>
      </c>
      <c r="C352" s="72">
        <v>12</v>
      </c>
      <c r="D352" s="78">
        <v>19505600000</v>
      </c>
      <c r="E352" s="78">
        <v>2569000000</v>
      </c>
      <c r="F352" s="78">
        <v>2616600000</v>
      </c>
      <c r="G352" s="78">
        <v>214715</v>
      </c>
      <c r="H352" s="78">
        <v>3</v>
      </c>
      <c r="I352" s="78">
        <f t="shared" si="17"/>
        <v>2616.6</v>
      </c>
      <c r="J352" s="78">
        <v>47984</v>
      </c>
      <c r="K352" s="78">
        <v>26345</v>
      </c>
      <c r="L352" s="78">
        <v>6323</v>
      </c>
      <c r="M352" s="78">
        <v>24858</v>
      </c>
      <c r="N352" s="78">
        <f t="shared" si="18"/>
        <v>16072.5</v>
      </c>
      <c r="O352" s="78">
        <v>5265.3333333333303</v>
      </c>
      <c r="P352" s="78">
        <v>294</v>
      </c>
      <c r="Q352" s="78">
        <v>15987.333333333299</v>
      </c>
      <c r="R352" s="78">
        <v>28898</v>
      </c>
      <c r="S352" s="78">
        <v>45015</v>
      </c>
      <c r="T352" s="78">
        <v>2072</v>
      </c>
      <c r="U352" s="78">
        <v>11007</v>
      </c>
      <c r="V352" s="78">
        <v>93016</v>
      </c>
      <c r="W352" s="78">
        <v>223490</v>
      </c>
      <c r="X352" s="78">
        <v>286210</v>
      </c>
      <c r="Y352" s="78">
        <v>5337.16</v>
      </c>
      <c r="Z352" s="78">
        <v>9852</v>
      </c>
      <c r="AA352" s="78">
        <v>0</v>
      </c>
      <c r="AB352" s="399">
        <f>IF((J352-'[2]Basisgegevens aanvullend'!D352*1.1)&lt;=0,0,J352-'[2]Basisgegevens aanvullend'!D352*1.1)</f>
        <v>0</v>
      </c>
      <c r="AC352" s="399">
        <v>0</v>
      </c>
      <c r="AD352" s="78">
        <v>12906</v>
      </c>
      <c r="AE352" s="78">
        <v>15874.38</v>
      </c>
      <c r="AF352" s="78">
        <v>2090</v>
      </c>
      <c r="AG352" s="78">
        <v>9881</v>
      </c>
      <c r="AH352" s="78">
        <v>758</v>
      </c>
      <c r="AI352" s="78">
        <v>65</v>
      </c>
      <c r="AJ352" s="78">
        <v>970.24</v>
      </c>
      <c r="AK352" s="78">
        <v>78</v>
      </c>
      <c r="AL352" s="78">
        <v>823</v>
      </c>
      <c r="AM352" s="78">
        <v>87855</v>
      </c>
      <c r="AN352" s="78">
        <v>112454.39999999999</v>
      </c>
      <c r="AO352" s="78">
        <v>0</v>
      </c>
      <c r="AP352" s="78">
        <v>0</v>
      </c>
      <c r="AQ352" s="78">
        <v>0</v>
      </c>
      <c r="AR352" s="78">
        <v>0</v>
      </c>
      <c r="AS352" s="78">
        <v>0</v>
      </c>
      <c r="AT352" s="78">
        <v>0</v>
      </c>
      <c r="AU352" s="400">
        <v>0</v>
      </c>
      <c r="AV352" s="400">
        <v>2.6008800000000001E-4</v>
      </c>
      <c r="AW352" s="78">
        <v>141973.68</v>
      </c>
      <c r="AX352" s="78">
        <v>0</v>
      </c>
      <c r="AY352" s="78">
        <v>7426.74</v>
      </c>
      <c r="AZ352" s="78">
        <v>196049.284969325</v>
      </c>
      <c r="BA352" s="78">
        <v>7</v>
      </c>
      <c r="BB352" s="78">
        <v>8.4</v>
      </c>
      <c r="BC352" s="78">
        <v>24353</v>
      </c>
      <c r="BD352" s="78">
        <v>1</v>
      </c>
      <c r="BE352" s="78">
        <v>0</v>
      </c>
      <c r="BF352" s="78">
        <v>0</v>
      </c>
      <c r="BG352" s="78">
        <v>0</v>
      </c>
      <c r="BH352" s="78">
        <v>0</v>
      </c>
      <c r="BI352" s="78">
        <v>0</v>
      </c>
      <c r="BJ352" s="78">
        <v>0</v>
      </c>
      <c r="BK352" s="78">
        <v>0</v>
      </c>
      <c r="BL352" s="78">
        <v>0</v>
      </c>
      <c r="BM352" s="78">
        <v>7917.36</v>
      </c>
      <c r="BN352" s="78">
        <v>741</v>
      </c>
      <c r="BO352" s="78">
        <v>695</v>
      </c>
      <c r="BP352" s="78">
        <v>58776.9</v>
      </c>
      <c r="BQ352" s="78">
        <v>15984.22</v>
      </c>
      <c r="BR352" s="78">
        <v>1291.1043720930199</v>
      </c>
      <c r="BS352" s="78">
        <v>4763</v>
      </c>
      <c r="BT352" s="78">
        <v>1803.6666666666699</v>
      </c>
      <c r="BU352" s="78">
        <v>1720</v>
      </c>
      <c r="BV352" s="78">
        <f t="shared" si="19"/>
        <v>10721.999999999969</v>
      </c>
      <c r="BW352" s="78">
        <v>2451</v>
      </c>
      <c r="BX352" s="78">
        <v>24679.198796562399</v>
      </c>
      <c r="BY352" s="78">
        <v>12.776</v>
      </c>
      <c r="BZ352" s="78">
        <v>188370</v>
      </c>
      <c r="CA352" s="78">
        <v>17964</v>
      </c>
      <c r="CB352" s="78">
        <v>2058</v>
      </c>
      <c r="CC352" s="78">
        <v>4303</v>
      </c>
      <c r="CD352" s="78">
        <v>2257</v>
      </c>
      <c r="CE352" s="78">
        <v>1065</v>
      </c>
      <c r="CF352" s="78">
        <v>2188.7358716066201</v>
      </c>
      <c r="CG352" s="78">
        <v>829.28282397131602</v>
      </c>
      <c r="CH352" s="78">
        <v>271.854020829776</v>
      </c>
      <c r="CI352" s="78">
        <v>5662.5612000000001</v>
      </c>
      <c r="CJ352" s="78">
        <v>2145.4688999999998</v>
      </c>
      <c r="CK352" s="78">
        <v>703.32380000000001</v>
      </c>
      <c r="CL352" s="78">
        <v>58427</v>
      </c>
    </row>
    <row r="353" spans="1:90" x14ac:dyDescent="0.35">
      <c r="A353" s="72">
        <v>303</v>
      </c>
      <c r="B353" s="72" t="s">
        <v>93</v>
      </c>
      <c r="C353" s="72">
        <v>12</v>
      </c>
      <c r="D353" s="78">
        <v>3475600000</v>
      </c>
      <c r="E353" s="78">
        <v>676200000</v>
      </c>
      <c r="F353" s="78">
        <v>760200000</v>
      </c>
      <c r="G353" s="78">
        <v>42011</v>
      </c>
      <c r="H353" s="78">
        <v>3</v>
      </c>
      <c r="I353" s="78">
        <f t="shared" si="17"/>
        <v>760.2</v>
      </c>
      <c r="J353" s="78">
        <v>8547</v>
      </c>
      <c r="K353" s="78">
        <v>7636</v>
      </c>
      <c r="L353" s="78">
        <v>2374</v>
      </c>
      <c r="M353" s="78">
        <v>4574</v>
      </c>
      <c r="N353" s="78">
        <f t="shared" si="18"/>
        <v>2672.7</v>
      </c>
      <c r="O353" s="78">
        <v>603</v>
      </c>
      <c r="P353" s="78">
        <v>47</v>
      </c>
      <c r="Q353" s="78">
        <v>2568</v>
      </c>
      <c r="R353" s="78">
        <v>5460</v>
      </c>
      <c r="S353" s="78">
        <v>2015</v>
      </c>
      <c r="T353" s="78">
        <v>0</v>
      </c>
      <c r="U353" s="78">
        <v>1188</v>
      </c>
      <c r="V353" s="78">
        <v>18661</v>
      </c>
      <c r="W353" s="78">
        <v>40040</v>
      </c>
      <c r="X353" s="78">
        <v>24470</v>
      </c>
      <c r="Y353" s="78">
        <v>427.68</v>
      </c>
      <c r="Z353" s="78">
        <v>1767.2</v>
      </c>
      <c r="AA353" s="78">
        <v>0</v>
      </c>
      <c r="AB353" s="399">
        <f>IF((J353-'[2]Basisgegevens aanvullend'!D353*1.1)&lt;=0,0,J353-'[2]Basisgegevens aanvullend'!D353*1.1)</f>
        <v>0</v>
      </c>
      <c r="AC353" s="399">
        <v>0</v>
      </c>
      <c r="AD353" s="78">
        <v>33362</v>
      </c>
      <c r="AE353" s="78">
        <v>34029.24</v>
      </c>
      <c r="AF353" s="78">
        <v>5767</v>
      </c>
      <c r="AG353" s="78">
        <v>3261</v>
      </c>
      <c r="AH353" s="78">
        <v>247</v>
      </c>
      <c r="AI353" s="78">
        <v>158</v>
      </c>
      <c r="AJ353" s="78">
        <v>247</v>
      </c>
      <c r="AK353" s="78">
        <v>161.16</v>
      </c>
      <c r="AL353" s="78">
        <v>405</v>
      </c>
      <c r="AM353" s="78">
        <v>19013</v>
      </c>
      <c r="AN353" s="78">
        <v>19013</v>
      </c>
      <c r="AO353" s="78">
        <v>0</v>
      </c>
      <c r="AP353" s="78">
        <v>0</v>
      </c>
      <c r="AQ353" s="78">
        <v>0</v>
      </c>
      <c r="AR353" s="78">
        <v>0</v>
      </c>
      <c r="AS353" s="78">
        <v>0</v>
      </c>
      <c r="AT353" s="78">
        <v>0</v>
      </c>
      <c r="AU353" s="400">
        <v>0</v>
      </c>
      <c r="AV353" s="400">
        <v>1.8053899999999999E-4</v>
      </c>
      <c r="AW353" s="78">
        <v>14754.088</v>
      </c>
      <c r="AX353" s="78">
        <v>0</v>
      </c>
      <c r="AY353" s="78">
        <v>7470.48</v>
      </c>
      <c r="AZ353" s="78">
        <v>8491.6138894426094</v>
      </c>
      <c r="BA353" s="78">
        <v>12</v>
      </c>
      <c r="BB353" s="78">
        <v>12.24</v>
      </c>
      <c r="BC353" s="78">
        <v>4878</v>
      </c>
      <c r="BD353" s="78">
        <v>1</v>
      </c>
      <c r="BE353" s="78">
        <v>0</v>
      </c>
      <c r="BF353" s="78">
        <v>0</v>
      </c>
      <c r="BG353" s="78">
        <v>0</v>
      </c>
      <c r="BH353" s="78">
        <v>0</v>
      </c>
      <c r="BI353" s="78">
        <v>0</v>
      </c>
      <c r="BJ353" s="78">
        <v>0</v>
      </c>
      <c r="BK353" s="78">
        <v>0</v>
      </c>
      <c r="BL353" s="78">
        <v>0</v>
      </c>
      <c r="BM353" s="78">
        <v>991.452</v>
      </c>
      <c r="BN353" s="78">
        <v>199</v>
      </c>
      <c r="BO353" s="78">
        <v>144</v>
      </c>
      <c r="BP353" s="78">
        <v>11418.88</v>
      </c>
      <c r="BQ353" s="78">
        <v>2830.92</v>
      </c>
      <c r="BR353" s="78">
        <v>381.80852238806</v>
      </c>
      <c r="BS353" s="78">
        <v>546</v>
      </c>
      <c r="BT353" s="78">
        <v>180.333333333333</v>
      </c>
      <c r="BU353" s="78">
        <v>148.666666666667</v>
      </c>
      <c r="BV353" s="78">
        <f t="shared" si="19"/>
        <v>1965</v>
      </c>
      <c r="BW353" s="78">
        <v>595</v>
      </c>
      <c r="BX353" s="78">
        <v>6487.8207532186298</v>
      </c>
      <c r="BY353" s="78">
        <v>1.0389999999999999</v>
      </c>
      <c r="BZ353" s="78">
        <v>34375</v>
      </c>
      <c r="CA353" s="78">
        <v>4371</v>
      </c>
      <c r="CB353" s="78">
        <v>891</v>
      </c>
      <c r="CC353" s="78">
        <v>792</v>
      </c>
      <c r="CD353" s="78">
        <v>694</v>
      </c>
      <c r="CE353" s="78">
        <v>470</v>
      </c>
      <c r="CF353" s="78">
        <v>375.60902540367101</v>
      </c>
      <c r="CG353" s="78">
        <v>226.88359543470301</v>
      </c>
      <c r="CH353" s="78">
        <v>96.854273391889706</v>
      </c>
      <c r="CI353" s="78">
        <v>1210.6831999999999</v>
      </c>
      <c r="CJ353" s="78">
        <v>731.30340000000001</v>
      </c>
      <c r="CK353" s="78">
        <v>312.1859</v>
      </c>
      <c r="CL353" s="78">
        <v>17428</v>
      </c>
    </row>
    <row r="354" spans="1:90" x14ac:dyDescent="0.35">
      <c r="A354" s="72">
        <v>995</v>
      </c>
      <c r="B354" s="72" t="s">
        <v>182</v>
      </c>
      <c r="C354" s="72">
        <v>12</v>
      </c>
      <c r="D354" s="78">
        <v>6095600000</v>
      </c>
      <c r="E354" s="78">
        <v>1304100000</v>
      </c>
      <c r="F354" s="78">
        <v>1334550000</v>
      </c>
      <c r="G354" s="78">
        <v>79811</v>
      </c>
      <c r="H354" s="78">
        <v>1</v>
      </c>
      <c r="I354" s="78">
        <f t="shared" si="17"/>
        <v>1334.55</v>
      </c>
      <c r="J354" s="78">
        <v>17214</v>
      </c>
      <c r="K354" s="78">
        <v>14249</v>
      </c>
      <c r="L354" s="78">
        <v>3897</v>
      </c>
      <c r="M354" s="78">
        <v>11297</v>
      </c>
      <c r="N354" s="78">
        <f t="shared" si="18"/>
        <v>7866.2999999999993</v>
      </c>
      <c r="O354" s="78">
        <v>1978.6666666666699</v>
      </c>
      <c r="P354" s="78">
        <v>130</v>
      </c>
      <c r="Q354" s="78">
        <v>6956.6666666666697</v>
      </c>
      <c r="R354" s="78">
        <v>12066</v>
      </c>
      <c r="S354" s="78">
        <v>12165</v>
      </c>
      <c r="T354" s="78">
        <v>0</v>
      </c>
      <c r="U354" s="78">
        <v>3698</v>
      </c>
      <c r="V354" s="78">
        <v>35888</v>
      </c>
      <c r="W354" s="78">
        <v>80870</v>
      </c>
      <c r="X354" s="78">
        <v>88080</v>
      </c>
      <c r="Y354" s="78">
        <v>3737.8</v>
      </c>
      <c r="Z354" s="78">
        <v>2760.8</v>
      </c>
      <c r="AA354" s="78">
        <v>0</v>
      </c>
      <c r="AB354" s="399">
        <f>IF((J354-'[2]Basisgegevens aanvullend'!D354*1.1)&lt;=0,0,J354-'[2]Basisgegevens aanvullend'!D354*1.1)</f>
        <v>0</v>
      </c>
      <c r="AC354" s="399">
        <v>0</v>
      </c>
      <c r="AD354" s="78">
        <v>23305</v>
      </c>
      <c r="AE354" s="78">
        <v>26334.65</v>
      </c>
      <c r="AF354" s="78">
        <v>3620</v>
      </c>
      <c r="AG354" s="78">
        <v>10000</v>
      </c>
      <c r="AH354" s="78">
        <v>354</v>
      </c>
      <c r="AI354" s="78">
        <v>134</v>
      </c>
      <c r="AJ354" s="78">
        <v>421.26</v>
      </c>
      <c r="AK354" s="78">
        <v>150.08000000000001</v>
      </c>
      <c r="AL354" s="78">
        <v>488</v>
      </c>
      <c r="AM354" s="78">
        <v>34307</v>
      </c>
      <c r="AN354" s="78">
        <v>40825.33</v>
      </c>
      <c r="AO354" s="78">
        <v>0</v>
      </c>
      <c r="AP354" s="78">
        <v>0</v>
      </c>
      <c r="AQ354" s="78">
        <v>0</v>
      </c>
      <c r="AR354" s="78">
        <v>0</v>
      </c>
      <c r="AS354" s="78">
        <v>0</v>
      </c>
      <c r="AT354" s="78">
        <v>0</v>
      </c>
      <c r="AU354" s="400">
        <v>1.6395000000000001E-5</v>
      </c>
      <c r="AV354" s="400">
        <v>8.1816699999999996E-4</v>
      </c>
      <c r="AW354" s="78">
        <v>47412.273999999998</v>
      </c>
      <c r="AX354" s="78">
        <v>0</v>
      </c>
      <c r="AY354" s="78">
        <v>11251.41</v>
      </c>
      <c r="AZ354" s="78">
        <v>50246.486032683402</v>
      </c>
      <c r="BA354" s="78">
        <v>6</v>
      </c>
      <c r="BB354" s="78">
        <v>6.72</v>
      </c>
      <c r="BC354" s="78">
        <v>8681</v>
      </c>
      <c r="BD354" s="78">
        <v>1</v>
      </c>
      <c r="BE354" s="78">
        <v>0</v>
      </c>
      <c r="BF354" s="78">
        <v>0</v>
      </c>
      <c r="BG354" s="78">
        <v>0</v>
      </c>
      <c r="BH354" s="78">
        <v>0</v>
      </c>
      <c r="BI354" s="78">
        <v>0</v>
      </c>
      <c r="BJ354" s="78">
        <v>0</v>
      </c>
      <c r="BK354" s="78">
        <v>0</v>
      </c>
      <c r="BL354" s="78">
        <v>0</v>
      </c>
      <c r="BM354" s="78">
        <v>3150.1619999999998</v>
      </c>
      <c r="BN354" s="78">
        <v>423</v>
      </c>
      <c r="BO354" s="78">
        <v>361</v>
      </c>
      <c r="BP354" s="78">
        <v>20946</v>
      </c>
      <c r="BQ354" s="78">
        <v>5073.6899999999996</v>
      </c>
      <c r="BR354" s="78">
        <v>643.41429694323097</v>
      </c>
      <c r="BS354" s="78">
        <v>1544</v>
      </c>
      <c r="BT354" s="78">
        <v>655.33333333333303</v>
      </c>
      <c r="BU354" s="78">
        <v>616.33333333333303</v>
      </c>
      <c r="BV354" s="78">
        <f t="shared" si="19"/>
        <v>4978</v>
      </c>
      <c r="BW354" s="78">
        <v>1429</v>
      </c>
      <c r="BX354" s="78">
        <v>12443.359228479099</v>
      </c>
      <c r="BY354" s="78">
        <v>5.6079999999999997</v>
      </c>
      <c r="BZ354" s="78">
        <v>65562</v>
      </c>
      <c r="CA354" s="78">
        <v>9396</v>
      </c>
      <c r="CB354" s="78">
        <v>956</v>
      </c>
      <c r="CC354" s="78">
        <v>2333</v>
      </c>
      <c r="CD354" s="78">
        <v>1263</v>
      </c>
      <c r="CE354" s="78">
        <v>462</v>
      </c>
      <c r="CF354" s="78">
        <v>1393.4038272072801</v>
      </c>
      <c r="CG354" s="78">
        <v>634.44929897688496</v>
      </c>
      <c r="CH354" s="78">
        <v>153.625236832133</v>
      </c>
      <c r="CI354" s="78">
        <v>3220.81</v>
      </c>
      <c r="CJ354" s="78">
        <v>1466.51</v>
      </c>
      <c r="CK354" s="78">
        <v>355.1</v>
      </c>
      <c r="CL354" s="78">
        <v>32114</v>
      </c>
    </row>
    <row r="355" spans="1:90" x14ac:dyDescent="0.35">
      <c r="A355" s="72">
        <v>171</v>
      </c>
      <c r="B355" s="72" t="s">
        <v>220</v>
      </c>
      <c r="C355" s="72">
        <v>12</v>
      </c>
      <c r="D355" s="78">
        <v>3370400000</v>
      </c>
      <c r="E355" s="78">
        <v>1149050000</v>
      </c>
      <c r="F355" s="78">
        <v>1284850000</v>
      </c>
      <c r="G355" s="78">
        <v>47583</v>
      </c>
      <c r="H355" s="78">
        <v>5</v>
      </c>
      <c r="I355" s="78">
        <f t="shared" si="17"/>
        <v>1284.8499999999999</v>
      </c>
      <c r="J355" s="78">
        <v>10532</v>
      </c>
      <c r="K355" s="78">
        <v>8672</v>
      </c>
      <c r="L355" s="78">
        <v>2600</v>
      </c>
      <c r="M355" s="78">
        <v>5929</v>
      </c>
      <c r="N355" s="78">
        <f t="shared" si="18"/>
        <v>3880.4</v>
      </c>
      <c r="O355" s="78">
        <v>835.33333333333303</v>
      </c>
      <c r="P355" s="78">
        <v>97</v>
      </c>
      <c r="Q355" s="78">
        <v>3022.3333333333298</v>
      </c>
      <c r="R355" s="78">
        <v>6027</v>
      </c>
      <c r="S355" s="78">
        <v>2045</v>
      </c>
      <c r="T355" s="78">
        <v>0</v>
      </c>
      <c r="U355" s="78">
        <v>1328</v>
      </c>
      <c r="V355" s="78">
        <v>20956</v>
      </c>
      <c r="W355" s="78">
        <v>45780</v>
      </c>
      <c r="X355" s="78">
        <v>35530</v>
      </c>
      <c r="Y355" s="78">
        <v>1815.78</v>
      </c>
      <c r="Z355" s="78">
        <v>2379.1999999999998</v>
      </c>
      <c r="AA355" s="78">
        <v>0</v>
      </c>
      <c r="AB355" s="399">
        <f>IF((J355-'[2]Basisgegevens aanvullend'!D355*1.1)&lt;=0,0,J355-'[2]Basisgegevens aanvullend'!D355*1.1)</f>
        <v>0</v>
      </c>
      <c r="AC355" s="399">
        <v>0</v>
      </c>
      <c r="AD355" s="78">
        <v>45786</v>
      </c>
      <c r="AE355" s="78">
        <v>46701.72</v>
      </c>
      <c r="AF355" s="78">
        <v>2923</v>
      </c>
      <c r="AG355" s="78">
        <v>10000</v>
      </c>
      <c r="AH355" s="78">
        <v>258</v>
      </c>
      <c r="AI355" s="78">
        <v>336</v>
      </c>
      <c r="AJ355" s="78">
        <v>260.58</v>
      </c>
      <c r="AK355" s="78">
        <v>342.72</v>
      </c>
      <c r="AL355" s="78">
        <v>593</v>
      </c>
      <c r="AM355" s="78">
        <v>20486</v>
      </c>
      <c r="AN355" s="78">
        <v>20690.86</v>
      </c>
      <c r="AO355" s="78">
        <v>0</v>
      </c>
      <c r="AP355" s="78">
        <v>0</v>
      </c>
      <c r="AQ355" s="78">
        <v>0</v>
      </c>
      <c r="AR355" s="78">
        <v>0</v>
      </c>
      <c r="AS355" s="78">
        <v>0</v>
      </c>
      <c r="AT355" s="78">
        <v>0</v>
      </c>
      <c r="AU355" s="400">
        <v>3.4313999999999997E-5</v>
      </c>
      <c r="AV355" s="400">
        <v>8.75901E-4</v>
      </c>
      <c r="AW355" s="78">
        <v>15057.21</v>
      </c>
      <c r="AX355" s="78">
        <v>0</v>
      </c>
      <c r="AY355" s="78">
        <v>9396.24</v>
      </c>
      <c r="AZ355" s="78">
        <v>9838.6588277320407</v>
      </c>
      <c r="BA355" s="78">
        <v>16</v>
      </c>
      <c r="BB355" s="78">
        <v>16.32</v>
      </c>
      <c r="BC355" s="78">
        <v>6067</v>
      </c>
      <c r="BD355" s="78">
        <v>1</v>
      </c>
      <c r="BE355" s="78">
        <v>0</v>
      </c>
      <c r="BF355" s="78">
        <v>0</v>
      </c>
      <c r="BG355" s="78">
        <v>0</v>
      </c>
      <c r="BH355" s="78">
        <v>0</v>
      </c>
      <c r="BI355" s="78">
        <v>0</v>
      </c>
      <c r="BJ355" s="78">
        <v>0</v>
      </c>
      <c r="BK355" s="78">
        <v>0</v>
      </c>
      <c r="BL355" s="78">
        <v>0</v>
      </c>
      <c r="BM355" s="78">
        <v>1211.18</v>
      </c>
      <c r="BN355" s="78">
        <v>211</v>
      </c>
      <c r="BO355" s="78">
        <v>262</v>
      </c>
      <c r="BP355" s="78">
        <v>12152</v>
      </c>
      <c r="BQ355" s="78">
        <v>3073.44</v>
      </c>
      <c r="BR355" s="78">
        <v>429.97654771784198</v>
      </c>
      <c r="BS355" s="78">
        <v>548</v>
      </c>
      <c r="BT355" s="78">
        <v>280</v>
      </c>
      <c r="BU355" s="78">
        <v>225.333333333333</v>
      </c>
      <c r="BV355" s="78">
        <f t="shared" si="19"/>
        <v>2186.9999999999968</v>
      </c>
      <c r="BW355" s="78">
        <v>686</v>
      </c>
      <c r="BX355" s="78">
        <v>6251.4428884988702</v>
      </c>
      <c r="BY355" s="78">
        <v>1.9470000000000001</v>
      </c>
      <c r="BZ355" s="78">
        <v>38911</v>
      </c>
      <c r="CA355" s="78">
        <v>5165</v>
      </c>
      <c r="CB355" s="78">
        <v>907</v>
      </c>
      <c r="CC355" s="78">
        <v>972</v>
      </c>
      <c r="CD355" s="78">
        <v>820</v>
      </c>
      <c r="CE355" s="78">
        <v>438</v>
      </c>
      <c r="CF355" s="78">
        <v>603.48308112857603</v>
      </c>
      <c r="CG355" s="78">
        <v>335.078961241824</v>
      </c>
      <c r="CH355" s="78">
        <v>118.38572683784</v>
      </c>
      <c r="CI355" s="78">
        <v>1588.8581999999999</v>
      </c>
      <c r="CJ355" s="78">
        <v>882.20029999999997</v>
      </c>
      <c r="CK355" s="78">
        <v>311.6875</v>
      </c>
      <c r="CL355" s="78">
        <v>34491</v>
      </c>
    </row>
    <row r="356" spans="1:90" x14ac:dyDescent="0.35">
      <c r="A356" s="72">
        <v>184</v>
      </c>
      <c r="B356" s="72" t="s">
        <v>304</v>
      </c>
      <c r="C356" s="72">
        <v>12</v>
      </c>
      <c r="D356" s="78">
        <v>1392000000</v>
      </c>
      <c r="E356" s="78">
        <v>318850000</v>
      </c>
      <c r="F356" s="78">
        <v>324800000</v>
      </c>
      <c r="G356" s="78">
        <v>21227</v>
      </c>
      <c r="H356" s="78">
        <v>1</v>
      </c>
      <c r="I356" s="78">
        <f t="shared" si="17"/>
        <v>324.8</v>
      </c>
      <c r="J356" s="78">
        <v>6975</v>
      </c>
      <c r="K356" s="78">
        <v>2086</v>
      </c>
      <c r="L356" s="78">
        <v>655</v>
      </c>
      <c r="M356" s="78">
        <v>1438</v>
      </c>
      <c r="N356" s="78">
        <f t="shared" si="18"/>
        <v>757.19999999999993</v>
      </c>
      <c r="O356" s="78">
        <v>108.666666666667</v>
      </c>
      <c r="P356" s="78">
        <v>27</v>
      </c>
      <c r="Q356" s="78">
        <v>783.66666666666697</v>
      </c>
      <c r="R356" s="78">
        <v>1299</v>
      </c>
      <c r="S356" s="78">
        <v>300</v>
      </c>
      <c r="T356" s="78">
        <v>0</v>
      </c>
      <c r="U356" s="78">
        <v>275</v>
      </c>
      <c r="V356" s="78">
        <v>6712</v>
      </c>
      <c r="W356" s="78">
        <v>22140</v>
      </c>
      <c r="X356" s="78">
        <v>15250</v>
      </c>
      <c r="Y356" s="78">
        <v>190.3</v>
      </c>
      <c r="Z356" s="78">
        <v>889.6</v>
      </c>
      <c r="AA356" s="78">
        <v>0</v>
      </c>
      <c r="AB356" s="399">
        <f>IF((J356-'[2]Basisgegevens aanvullend'!D356*1.1)&lt;=0,0,J356-'[2]Basisgegevens aanvullend'!D356*1.1)</f>
        <v>0</v>
      </c>
      <c r="AC356" s="399">
        <v>615.9</v>
      </c>
      <c r="AD356" s="78">
        <v>1316</v>
      </c>
      <c r="AE356" s="78">
        <v>1539.72</v>
      </c>
      <c r="AF356" s="78">
        <v>38</v>
      </c>
      <c r="AG356" s="78">
        <v>9832</v>
      </c>
      <c r="AH356" s="78">
        <v>102</v>
      </c>
      <c r="AI356" s="78">
        <v>6</v>
      </c>
      <c r="AJ356" s="78">
        <v>127.5</v>
      </c>
      <c r="AK356" s="78">
        <v>6.66</v>
      </c>
      <c r="AL356" s="78">
        <v>108</v>
      </c>
      <c r="AM356" s="78">
        <v>6808</v>
      </c>
      <c r="AN356" s="78">
        <v>8510</v>
      </c>
      <c r="AO356" s="78">
        <v>0</v>
      </c>
      <c r="AP356" s="78">
        <v>0</v>
      </c>
      <c r="AQ356" s="78">
        <v>0</v>
      </c>
      <c r="AR356" s="78">
        <v>0</v>
      </c>
      <c r="AS356" s="78">
        <v>724</v>
      </c>
      <c r="AT356" s="78">
        <v>0</v>
      </c>
      <c r="AU356" s="400">
        <v>1.1387000000000001E-4</v>
      </c>
      <c r="AV356" s="400">
        <v>4.8016000000000002E-5</v>
      </c>
      <c r="AW356" s="78">
        <v>7325.4080000000004</v>
      </c>
      <c r="AX356" s="78">
        <v>0</v>
      </c>
      <c r="AY356" s="78">
        <v>493.74</v>
      </c>
      <c r="AZ356" s="78">
        <v>17021.733766617399</v>
      </c>
      <c r="BA356" s="78">
        <v>1</v>
      </c>
      <c r="BB356" s="78">
        <v>1.1100000000000001</v>
      </c>
      <c r="BC356" s="78">
        <v>2127</v>
      </c>
      <c r="BD356" s="78">
        <v>1</v>
      </c>
      <c r="BE356" s="78">
        <v>0</v>
      </c>
      <c r="BF356" s="78">
        <v>0</v>
      </c>
      <c r="BG356" s="78">
        <v>0</v>
      </c>
      <c r="BH356" s="78">
        <v>0</v>
      </c>
      <c r="BI356" s="78">
        <v>0</v>
      </c>
      <c r="BJ356" s="78">
        <v>0</v>
      </c>
      <c r="BK356" s="78">
        <v>0</v>
      </c>
      <c r="BL356" s="78">
        <v>0</v>
      </c>
      <c r="BM356" s="78">
        <v>362.7</v>
      </c>
      <c r="BN356" s="78">
        <v>269</v>
      </c>
      <c r="BO356" s="78">
        <v>38</v>
      </c>
      <c r="BP356" s="78">
        <v>4006.44</v>
      </c>
      <c r="BQ356" s="78">
        <v>1551.55</v>
      </c>
      <c r="BR356" s="78">
        <v>142.30501656086099</v>
      </c>
      <c r="BS356" s="78">
        <v>117</v>
      </c>
      <c r="BT356" s="78">
        <v>52</v>
      </c>
      <c r="BU356" s="78">
        <v>25.6666666666667</v>
      </c>
      <c r="BV356" s="78">
        <f t="shared" si="19"/>
        <v>675</v>
      </c>
      <c r="BW356" s="78">
        <v>260</v>
      </c>
      <c r="BX356" s="78">
        <v>1027.769937711</v>
      </c>
      <c r="BY356" s="78">
        <v>0.104</v>
      </c>
      <c r="BZ356" s="78">
        <v>19141</v>
      </c>
      <c r="CA356" s="78">
        <v>1264</v>
      </c>
      <c r="CB356" s="78">
        <v>167</v>
      </c>
      <c r="CC356" s="78">
        <v>210</v>
      </c>
      <c r="CD356" s="78">
        <v>222</v>
      </c>
      <c r="CE356" s="78">
        <v>75</v>
      </c>
      <c r="CF356" s="78">
        <v>87.754230317273795</v>
      </c>
      <c r="CG356" s="78">
        <v>51.273384253819003</v>
      </c>
      <c r="CH356" s="78">
        <v>11.0109870740306</v>
      </c>
      <c r="CI356" s="78">
        <v>400.41750000000002</v>
      </c>
      <c r="CJ356" s="78">
        <v>233.95750000000001</v>
      </c>
      <c r="CK356" s="78">
        <v>50.2425</v>
      </c>
      <c r="CL356" s="78">
        <v>3969</v>
      </c>
    </row>
    <row r="357" spans="1:90" x14ac:dyDescent="0.35">
      <c r="A357" s="72">
        <v>50</v>
      </c>
      <c r="B357" s="72" t="s">
        <v>355</v>
      </c>
      <c r="C357" s="72">
        <v>12</v>
      </c>
      <c r="D357" s="78">
        <v>2252000000</v>
      </c>
      <c r="E357" s="78">
        <v>578200000</v>
      </c>
      <c r="F357" s="78">
        <v>632800000</v>
      </c>
      <c r="G357" s="78">
        <v>22879</v>
      </c>
      <c r="H357" s="78">
        <v>3</v>
      </c>
      <c r="I357" s="78">
        <f t="shared" si="17"/>
        <v>632.79999999999995</v>
      </c>
      <c r="J357" s="78">
        <v>4887</v>
      </c>
      <c r="K357" s="78">
        <v>3233</v>
      </c>
      <c r="L357" s="78">
        <v>962</v>
      </c>
      <c r="M357" s="78">
        <v>2240</v>
      </c>
      <c r="N357" s="78">
        <f t="shared" si="18"/>
        <v>1219.8</v>
      </c>
      <c r="O357" s="78">
        <v>280.33333333333297</v>
      </c>
      <c r="P357" s="78">
        <v>15</v>
      </c>
      <c r="Q357" s="78">
        <v>1158.3333333333301</v>
      </c>
      <c r="R357" s="78">
        <v>2993</v>
      </c>
      <c r="S357" s="78">
        <v>580</v>
      </c>
      <c r="T357" s="78">
        <v>0</v>
      </c>
      <c r="U357" s="78">
        <v>669</v>
      </c>
      <c r="V357" s="78">
        <v>9814</v>
      </c>
      <c r="W357" s="78">
        <v>21810</v>
      </c>
      <c r="X357" s="78">
        <v>9920</v>
      </c>
      <c r="Y357" s="78">
        <v>0</v>
      </c>
      <c r="Z357" s="78">
        <v>396.8</v>
      </c>
      <c r="AA357" s="78">
        <v>0</v>
      </c>
      <c r="AB357" s="399">
        <f>IF((J357-'[2]Basisgegevens aanvullend'!D357*1.1)&lt;=0,0,J357-'[2]Basisgegevens aanvullend'!D357*1.1)</f>
        <v>0</v>
      </c>
      <c r="AC357" s="399">
        <v>0</v>
      </c>
      <c r="AD357" s="78">
        <v>24709</v>
      </c>
      <c r="AE357" s="78">
        <v>25697.360000000001</v>
      </c>
      <c r="AF357" s="78">
        <v>2177</v>
      </c>
      <c r="AG357" s="78">
        <v>0</v>
      </c>
      <c r="AH357" s="78">
        <v>120</v>
      </c>
      <c r="AI357" s="78">
        <v>127</v>
      </c>
      <c r="AJ357" s="78">
        <v>120</v>
      </c>
      <c r="AK357" s="78">
        <v>133.35</v>
      </c>
      <c r="AL357" s="78">
        <v>247</v>
      </c>
      <c r="AM357" s="78">
        <v>10202</v>
      </c>
      <c r="AN357" s="78">
        <v>10202</v>
      </c>
      <c r="AO357" s="78">
        <v>0</v>
      </c>
      <c r="AP357" s="78">
        <v>0</v>
      </c>
      <c r="AQ357" s="78">
        <v>0</v>
      </c>
      <c r="AR357" s="78">
        <v>0</v>
      </c>
      <c r="AS357" s="78">
        <v>0</v>
      </c>
      <c r="AT357" s="78">
        <v>0</v>
      </c>
      <c r="AU357" s="400">
        <v>0</v>
      </c>
      <c r="AV357" s="400">
        <v>1.6589999999999999E-6</v>
      </c>
      <c r="AW357" s="78">
        <v>8386.0439999999999</v>
      </c>
      <c r="AX357" s="78">
        <v>0</v>
      </c>
      <c r="AY357" s="78">
        <v>5810.48</v>
      </c>
      <c r="AZ357" s="78">
        <v>5494.9765469017302</v>
      </c>
      <c r="BA357" s="78">
        <v>7</v>
      </c>
      <c r="BB357" s="78">
        <v>7.35</v>
      </c>
      <c r="BC357" s="78">
        <v>3133</v>
      </c>
      <c r="BD357" s="78">
        <v>1</v>
      </c>
      <c r="BE357" s="78">
        <v>0</v>
      </c>
      <c r="BF357" s="78">
        <v>0</v>
      </c>
      <c r="BG357" s="78">
        <v>0</v>
      </c>
      <c r="BH357" s="78">
        <v>0</v>
      </c>
      <c r="BI357" s="78">
        <v>0</v>
      </c>
      <c r="BJ357" s="78">
        <v>0</v>
      </c>
      <c r="BK357" s="78">
        <v>0</v>
      </c>
      <c r="BL357" s="78">
        <v>0</v>
      </c>
      <c r="BM357" s="78">
        <v>449.60399999999998</v>
      </c>
      <c r="BN357" s="78">
        <v>57</v>
      </c>
      <c r="BO357" s="78">
        <v>28</v>
      </c>
      <c r="BP357" s="78">
        <v>6706.8</v>
      </c>
      <c r="BQ357" s="78">
        <v>1856.4</v>
      </c>
      <c r="BR357" s="78">
        <v>132.199481580352</v>
      </c>
      <c r="BS357" s="78">
        <v>278</v>
      </c>
      <c r="BT357" s="78">
        <v>95.6666666666667</v>
      </c>
      <c r="BU357" s="78">
        <v>81.3333333333333</v>
      </c>
      <c r="BV357" s="78">
        <f t="shared" si="19"/>
        <v>877.99999999999704</v>
      </c>
      <c r="BW357" s="78">
        <v>221</v>
      </c>
      <c r="BX357" s="78">
        <v>2402.3707482452701</v>
      </c>
      <c r="BY357" s="78">
        <v>0.23799999999999999</v>
      </c>
      <c r="BZ357" s="78">
        <v>19646</v>
      </c>
      <c r="CA357" s="78">
        <v>1957</v>
      </c>
      <c r="CB357" s="78">
        <v>314</v>
      </c>
      <c r="CC357" s="78">
        <v>385</v>
      </c>
      <c r="CD357" s="78">
        <v>296</v>
      </c>
      <c r="CE357" s="78">
        <v>165</v>
      </c>
      <c r="CF357" s="78">
        <v>148.73860027445599</v>
      </c>
      <c r="CG357" s="78">
        <v>79.988845324446203</v>
      </c>
      <c r="CH357" s="78">
        <v>29.8911978043521</v>
      </c>
      <c r="CI357" s="78">
        <v>549.10159999999996</v>
      </c>
      <c r="CJ357" s="78">
        <v>295.29660000000001</v>
      </c>
      <c r="CK357" s="78">
        <v>110.35</v>
      </c>
      <c r="CL357" s="78">
        <v>10950</v>
      </c>
    </row>
    <row r="358" spans="1:90" x14ac:dyDescent="0.35">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78"/>
      <c r="AP358" s="78"/>
      <c r="AQ358" s="78"/>
      <c r="AR358" s="78"/>
      <c r="AS358" s="78"/>
      <c r="AT358" s="78"/>
      <c r="AW358" s="78"/>
      <c r="AX358" s="78"/>
      <c r="AY358" s="78"/>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78"/>
      <c r="BZ358" s="78"/>
      <c r="CA358" s="78"/>
      <c r="CB358" s="78"/>
      <c r="CC358" s="78"/>
      <c r="CD358" s="78"/>
      <c r="CE358" s="78"/>
      <c r="CF358" s="78"/>
      <c r="CG358" s="78"/>
      <c r="CH358" s="78"/>
      <c r="CI358" s="78"/>
      <c r="CJ358" s="78"/>
      <c r="CK358" s="78"/>
      <c r="CL358" s="78"/>
    </row>
    <row r="359" spans="1:90" x14ac:dyDescent="0.35">
      <c r="B359" s="72" t="s">
        <v>379</v>
      </c>
      <c r="D359" s="78">
        <f t="shared" ref="D359:AI359" si="20">SUM(D6:D357)</f>
        <v>1835889200000</v>
      </c>
      <c r="E359" s="78">
        <f t="shared" si="20"/>
        <v>314461000000</v>
      </c>
      <c r="F359" s="78">
        <f t="shared" si="20"/>
        <v>326719400000</v>
      </c>
      <c r="G359" s="78">
        <f t="shared" si="20"/>
        <v>17475415</v>
      </c>
      <c r="H359" s="78">
        <f t="shared" si="20"/>
        <v>1153</v>
      </c>
      <c r="I359" s="78">
        <f t="shared" si="20"/>
        <v>326719.39999999956</v>
      </c>
      <c r="J359" s="78">
        <f t="shared" si="20"/>
        <v>3311222</v>
      </c>
      <c r="K359" s="78">
        <f t="shared" si="20"/>
        <v>3457535</v>
      </c>
      <c r="L359" s="78">
        <f t="shared" si="20"/>
        <v>1093183</v>
      </c>
      <c r="M359" s="78">
        <f t="shared" si="20"/>
        <v>2443926</v>
      </c>
      <c r="N359" s="78">
        <f t="shared" si="20"/>
        <v>1621831.1</v>
      </c>
      <c r="O359" s="78">
        <f t="shared" si="20"/>
        <v>390587.33333333326</v>
      </c>
      <c r="P359" s="78">
        <f t="shared" si="20"/>
        <v>22127</v>
      </c>
      <c r="Q359" s="78">
        <f t="shared" si="20"/>
        <v>1256613.3333333328</v>
      </c>
      <c r="R359" s="78">
        <f t="shared" si="20"/>
        <v>3097117</v>
      </c>
      <c r="S359" s="78">
        <f t="shared" si="20"/>
        <v>1482040</v>
      </c>
      <c r="T359" s="78">
        <f t="shared" si="20"/>
        <v>109638.40000000001</v>
      </c>
      <c r="U359" s="78">
        <f t="shared" si="20"/>
        <v>593871</v>
      </c>
      <c r="V359" s="78">
        <f t="shared" si="20"/>
        <v>8302203</v>
      </c>
      <c r="W359" s="78">
        <f t="shared" si="20"/>
        <v>17475550</v>
      </c>
      <c r="X359" s="78">
        <f t="shared" si="20"/>
        <v>17475430</v>
      </c>
      <c r="Y359" s="78">
        <f t="shared" si="20"/>
        <v>375248.88099999964</v>
      </c>
      <c r="Z359" s="78">
        <f t="shared" si="20"/>
        <v>694064.00000000012</v>
      </c>
      <c r="AA359" s="78">
        <f t="shared" si="20"/>
        <v>14647.899999999998</v>
      </c>
      <c r="AB359" s="78">
        <f t="shared" si="20"/>
        <v>9964.8999999999869</v>
      </c>
      <c r="AC359" s="78">
        <f t="shared" si="20"/>
        <v>22480.199999999993</v>
      </c>
      <c r="AD359" s="78">
        <f t="shared" si="20"/>
        <v>3363472</v>
      </c>
      <c r="AE359" s="78">
        <f t="shared" si="20"/>
        <v>3565664.0300000003</v>
      </c>
      <c r="AF359" s="78">
        <f t="shared" si="20"/>
        <v>196482</v>
      </c>
      <c r="AG359" s="78">
        <f t="shared" si="20"/>
        <v>308763</v>
      </c>
      <c r="AH359" s="78">
        <f t="shared" si="20"/>
        <v>85559</v>
      </c>
      <c r="AI359" s="78">
        <f t="shared" si="20"/>
        <v>28194</v>
      </c>
      <c r="AJ359" s="78">
        <f t="shared" ref="AJ359:CL359" si="21">SUM(AJ6:AJ357)</f>
        <v>92812.130000000048</v>
      </c>
      <c r="AK359" s="78">
        <f t="shared" si="21"/>
        <v>29730.959999999992</v>
      </c>
      <c r="AL359" s="78">
        <f t="shared" si="21"/>
        <v>113745</v>
      </c>
      <c r="AM359" s="78">
        <f t="shared" si="21"/>
        <v>8220949</v>
      </c>
      <c r="AN359" s="78">
        <f t="shared" si="21"/>
        <v>9070650.6999999955</v>
      </c>
      <c r="AO359" s="78">
        <f t="shared" si="21"/>
        <v>1622</v>
      </c>
      <c r="AP359" s="78">
        <f t="shared" si="21"/>
        <v>472</v>
      </c>
      <c r="AQ359" s="78">
        <f t="shared" si="21"/>
        <v>1366</v>
      </c>
      <c r="AR359" s="78">
        <f t="shared" si="21"/>
        <v>533050</v>
      </c>
      <c r="AS359" s="78">
        <f t="shared" si="21"/>
        <v>1283074</v>
      </c>
      <c r="AT359" s="78">
        <f t="shared" si="21"/>
        <v>926137</v>
      </c>
      <c r="AU359" s="400">
        <f t="shared" si="21"/>
        <v>0.99873632500000076</v>
      </c>
      <c r="AV359" s="400">
        <f t="shared" si="21"/>
        <v>0.99794088800000058</v>
      </c>
      <c r="AW359" s="78">
        <f t="shared" si="21"/>
        <v>16796296.976999998</v>
      </c>
      <c r="AX359" s="78">
        <f t="shared" si="21"/>
        <v>1941510.6490000002</v>
      </c>
      <c r="AY359" s="78">
        <f t="shared" si="21"/>
        <v>1138769.5400000003</v>
      </c>
      <c r="AZ359" s="78">
        <f t="shared" si="21"/>
        <v>15100267.054850908</v>
      </c>
      <c r="BA359" s="78">
        <f t="shared" si="21"/>
        <v>3354</v>
      </c>
      <c r="BB359" s="78">
        <f t="shared" si="21"/>
        <v>3612.8199999999997</v>
      </c>
      <c r="BC359" s="78">
        <f t="shared" si="21"/>
        <v>2104539</v>
      </c>
      <c r="BD359" s="78">
        <f t="shared" si="21"/>
        <v>353</v>
      </c>
      <c r="BE359" s="78">
        <f t="shared" si="21"/>
        <v>1</v>
      </c>
      <c r="BF359" s="78">
        <f t="shared" si="21"/>
        <v>1</v>
      </c>
      <c r="BG359" s="78">
        <f t="shared" si="21"/>
        <v>1</v>
      </c>
      <c r="BH359" s="78">
        <f t="shared" si="21"/>
        <v>1</v>
      </c>
      <c r="BI359" s="78">
        <f t="shared" si="21"/>
        <v>5</v>
      </c>
      <c r="BJ359" s="78">
        <f t="shared" si="21"/>
        <v>9625</v>
      </c>
      <c r="BK359" s="78">
        <f t="shared" si="21"/>
        <v>8616</v>
      </c>
      <c r="BL359" s="78">
        <f t="shared" si="21"/>
        <v>6156</v>
      </c>
      <c r="BM359" s="78">
        <f t="shared" si="21"/>
        <v>436269.46300000022</v>
      </c>
      <c r="BN359" s="78">
        <f t="shared" si="21"/>
        <v>56621</v>
      </c>
      <c r="BO359" s="78">
        <f t="shared" si="21"/>
        <v>56589</v>
      </c>
      <c r="BP359" s="78">
        <f t="shared" si="21"/>
        <v>5215021.5200000005</v>
      </c>
      <c r="BQ359" s="78">
        <f t="shared" si="21"/>
        <v>1196997.7</v>
      </c>
      <c r="BR359" s="78">
        <f t="shared" si="21"/>
        <v>129150.09517601956</v>
      </c>
      <c r="BS359" s="78">
        <f t="shared" si="21"/>
        <v>229209</v>
      </c>
      <c r="BT359" s="78">
        <f t="shared" si="21"/>
        <v>109427.9999999999</v>
      </c>
      <c r="BU359" s="78">
        <f t="shared" si="21"/>
        <v>98802.000000000015</v>
      </c>
      <c r="BV359" s="78">
        <f t="shared" si="21"/>
        <v>866026</v>
      </c>
      <c r="BW359" s="78">
        <f t="shared" si="21"/>
        <v>242205</v>
      </c>
      <c r="BX359" s="78">
        <f t="shared" si="21"/>
        <v>2732339.9150492009</v>
      </c>
      <c r="BY359" s="78">
        <f t="shared" si="21"/>
        <v>1000.0009999999997</v>
      </c>
      <c r="BZ359" s="78">
        <f t="shared" si="21"/>
        <v>14017880</v>
      </c>
      <c r="CA359" s="78">
        <f t="shared" si="21"/>
        <v>1974814</v>
      </c>
      <c r="CB359" s="78">
        <f t="shared" si="21"/>
        <v>389538</v>
      </c>
      <c r="CC359" s="78">
        <f t="shared" si="21"/>
        <v>477234</v>
      </c>
      <c r="CD359" s="78">
        <f t="shared" si="21"/>
        <v>382727</v>
      </c>
      <c r="CE359" s="78">
        <f t="shared" si="21"/>
        <v>199732</v>
      </c>
      <c r="CF359" s="78">
        <f t="shared" si="21"/>
        <v>246123.39404490442</v>
      </c>
      <c r="CG359" s="78">
        <f t="shared" si="21"/>
        <v>148893.87909395961</v>
      </c>
      <c r="CH359" s="78">
        <f t="shared" si="21"/>
        <v>53995.816397491901</v>
      </c>
      <c r="CI359" s="78">
        <f t="shared" si="21"/>
        <v>573988.62290000031</v>
      </c>
      <c r="CJ359" s="78">
        <f t="shared" si="21"/>
        <v>348228.31830000039</v>
      </c>
      <c r="CK359" s="78">
        <f t="shared" si="21"/>
        <v>125557.67679999997</v>
      </c>
      <c r="CL359" s="78">
        <f t="shared" si="21"/>
        <v>22707857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8B30B-041B-4274-8B5C-430E3B2C9A7F}">
  <sheetPr codeName="Blad27">
    <tabColor rgb="FF002060"/>
  </sheetPr>
  <dimension ref="A1:CL359"/>
  <sheetViews>
    <sheetView topLeftCell="B1" workbookViewId="0">
      <selection activeCell="A6" sqref="A6:CL349"/>
    </sheetView>
  </sheetViews>
  <sheetFormatPr defaultRowHeight="14.5" x14ac:dyDescent="0.35"/>
  <cols>
    <col min="1" max="3" width="9.36328125" style="72" customWidth="1"/>
    <col min="4" max="4" width="51.54296875" style="72" customWidth="1"/>
    <col min="5" max="5" width="56.453125" style="72" customWidth="1"/>
    <col min="6" max="6" width="56" style="72" customWidth="1"/>
    <col min="7" max="7" width="14.453125" style="72" customWidth="1"/>
    <col min="8" max="8" width="9.54296875" style="72" customWidth="1"/>
    <col min="9" max="9" width="11.36328125" style="72" customWidth="1"/>
    <col min="10" max="14" width="13.26953125" style="72" customWidth="1"/>
    <col min="15" max="15" width="11.36328125" style="72" customWidth="1"/>
    <col min="16" max="16" width="10.26953125" style="72" customWidth="1"/>
    <col min="17" max="19" width="13.26953125" style="72" customWidth="1"/>
    <col min="20" max="21" width="11.36328125" style="72" customWidth="1"/>
    <col min="22" max="22" width="13.26953125" style="72" customWidth="1"/>
    <col min="23" max="24" width="14.453125" style="72" customWidth="1"/>
    <col min="25" max="26" width="11.36328125" style="72" customWidth="1"/>
    <col min="27" max="27" width="10.26953125" style="72" customWidth="1"/>
    <col min="28" max="28" width="9.54296875" style="72" customWidth="1"/>
    <col min="29" max="29" width="10.26953125" style="72" customWidth="1"/>
    <col min="30" max="31" width="13.26953125" style="72" customWidth="1"/>
    <col min="32" max="33" width="11.36328125" style="72" customWidth="1"/>
    <col min="34" max="37" width="10.26953125" style="72" customWidth="1"/>
    <col min="38" max="38" width="11.36328125" style="72" customWidth="1"/>
    <col min="39" max="40" width="13.26953125" style="72" customWidth="1"/>
    <col min="41" max="43" width="9.54296875" style="72" customWidth="1"/>
    <col min="44" max="44" width="11.36328125" style="72" customWidth="1"/>
    <col min="45" max="45" width="13.26953125" style="72" customWidth="1"/>
    <col min="46" max="46" width="11.36328125" style="72" customWidth="1"/>
    <col min="47" max="47" width="12.36328125" style="72" customWidth="1"/>
    <col min="48" max="48" width="9.6328125" style="72" customWidth="1"/>
    <col min="49" max="49" width="14.453125" style="72" customWidth="1"/>
    <col min="50" max="51" width="13.26953125" style="72" customWidth="1"/>
    <col min="52" max="52" width="14.453125" style="72" customWidth="1"/>
    <col min="53" max="54" width="9.54296875" style="72" customWidth="1"/>
    <col min="55" max="55" width="13.26953125" style="72" customWidth="1"/>
    <col min="56" max="64" width="9.54296875" style="72" customWidth="1"/>
    <col min="65" max="65" width="11.36328125" style="72" customWidth="1"/>
    <col min="66" max="67" width="10.26953125" style="72" customWidth="1"/>
    <col min="68" max="69" width="13.26953125" style="72" customWidth="1"/>
    <col min="70" max="73" width="11.36328125" style="72" customWidth="1"/>
    <col min="74" max="74" width="45.6328125" style="72" customWidth="1"/>
    <col min="75" max="75" width="11.36328125" style="72" customWidth="1"/>
    <col min="76" max="76" width="13.26953125" style="72" customWidth="1"/>
    <col min="77" max="77" width="9.54296875" style="401" customWidth="1"/>
    <col min="78" max="78" width="14.453125" style="72" customWidth="1"/>
    <col min="79" max="79" width="13.26953125" style="72" customWidth="1"/>
    <col min="80" max="85" width="11.36328125" style="72" customWidth="1"/>
    <col min="86" max="86" width="10.26953125" style="72" customWidth="1"/>
    <col min="87" max="89" width="11.36328125" style="72" customWidth="1"/>
    <col min="90" max="90" width="14.453125" style="72" customWidth="1"/>
  </cols>
  <sheetData>
    <row r="1" spans="1:90" x14ac:dyDescent="0.35">
      <c r="A1" s="72">
        <v>1</v>
      </c>
      <c r="B1" s="72">
        <v>2</v>
      </c>
      <c r="C1" s="72">
        <v>3</v>
      </c>
      <c r="D1" s="72">
        <v>4</v>
      </c>
      <c r="E1" s="72">
        <v>5</v>
      </c>
      <c r="F1" s="72">
        <v>6</v>
      </c>
      <c r="G1" s="72">
        <v>7</v>
      </c>
      <c r="H1" s="72">
        <v>8</v>
      </c>
      <c r="I1" s="72">
        <v>9</v>
      </c>
      <c r="J1" s="72">
        <v>10</v>
      </c>
      <c r="K1" s="72">
        <v>11</v>
      </c>
      <c r="L1" s="72">
        <v>12</v>
      </c>
      <c r="M1" s="72">
        <v>13</v>
      </c>
      <c r="N1" s="72">
        <v>14</v>
      </c>
      <c r="O1" s="72">
        <v>15</v>
      </c>
      <c r="P1" s="72">
        <v>16</v>
      </c>
      <c r="Q1" s="72">
        <v>17</v>
      </c>
      <c r="R1" s="72">
        <v>18</v>
      </c>
      <c r="S1" s="72">
        <v>19</v>
      </c>
      <c r="T1" s="72">
        <v>20</v>
      </c>
      <c r="U1" s="72">
        <v>21</v>
      </c>
      <c r="V1" s="72">
        <v>22</v>
      </c>
      <c r="W1" s="72">
        <v>23</v>
      </c>
      <c r="X1" s="72">
        <v>24</v>
      </c>
      <c r="Y1" s="72">
        <v>25</v>
      </c>
      <c r="Z1" s="72">
        <v>26</v>
      </c>
      <c r="AA1" s="72">
        <v>27</v>
      </c>
      <c r="AB1" s="72">
        <v>28</v>
      </c>
      <c r="AC1" s="72">
        <v>29</v>
      </c>
      <c r="AD1" s="72">
        <v>30</v>
      </c>
      <c r="AE1" s="72">
        <v>31</v>
      </c>
      <c r="AF1" s="72">
        <v>32</v>
      </c>
      <c r="AG1" s="72">
        <v>33</v>
      </c>
      <c r="AH1" s="72">
        <v>34</v>
      </c>
      <c r="AI1" s="72">
        <v>35</v>
      </c>
      <c r="AJ1" s="72">
        <v>36</v>
      </c>
      <c r="AK1" s="72">
        <v>37</v>
      </c>
      <c r="AL1" s="72">
        <v>38</v>
      </c>
      <c r="AM1" s="72">
        <v>39</v>
      </c>
      <c r="AN1" s="72">
        <v>40</v>
      </c>
      <c r="AO1" s="72">
        <v>41</v>
      </c>
      <c r="AP1" s="72">
        <v>42</v>
      </c>
      <c r="AQ1" s="72">
        <v>43</v>
      </c>
      <c r="AR1" s="72">
        <v>44</v>
      </c>
      <c r="AS1" s="72">
        <v>45</v>
      </c>
      <c r="AT1" s="72">
        <v>46</v>
      </c>
      <c r="AU1" s="72">
        <v>47</v>
      </c>
      <c r="AV1" s="72">
        <v>48</v>
      </c>
      <c r="AW1" s="72">
        <v>49</v>
      </c>
      <c r="AX1" s="72">
        <v>50</v>
      </c>
      <c r="AY1" s="72">
        <v>51</v>
      </c>
      <c r="AZ1" s="72">
        <v>52</v>
      </c>
      <c r="BA1" s="72">
        <v>53</v>
      </c>
      <c r="BB1" s="72">
        <v>54</v>
      </c>
      <c r="BC1" s="72">
        <v>55</v>
      </c>
      <c r="BD1" s="72">
        <v>56</v>
      </c>
      <c r="BE1" s="72">
        <v>57</v>
      </c>
      <c r="BF1" s="72">
        <v>58</v>
      </c>
      <c r="BG1" s="72">
        <v>59</v>
      </c>
      <c r="BH1" s="72">
        <v>60</v>
      </c>
      <c r="BI1" s="72">
        <v>61</v>
      </c>
      <c r="BJ1" s="72">
        <v>62</v>
      </c>
      <c r="BK1" s="72">
        <v>63</v>
      </c>
      <c r="BL1" s="72">
        <v>64</v>
      </c>
      <c r="BM1" s="72">
        <v>65</v>
      </c>
      <c r="BN1" s="72">
        <v>66</v>
      </c>
      <c r="BO1" s="72">
        <v>67</v>
      </c>
      <c r="BP1" s="72">
        <v>68</v>
      </c>
      <c r="BQ1" s="72">
        <v>69</v>
      </c>
      <c r="BR1" s="72">
        <v>70</v>
      </c>
      <c r="BS1" s="72">
        <v>71</v>
      </c>
      <c r="BT1" s="72">
        <v>72</v>
      </c>
      <c r="BU1" s="72">
        <v>73</v>
      </c>
      <c r="BV1" s="72">
        <v>74</v>
      </c>
      <c r="BW1" s="72">
        <v>75</v>
      </c>
      <c r="BX1" s="72">
        <v>76</v>
      </c>
      <c r="BY1" s="401">
        <v>77</v>
      </c>
      <c r="BZ1" s="72">
        <v>78</v>
      </c>
      <c r="CA1" s="72">
        <v>79</v>
      </c>
      <c r="CB1" s="72">
        <v>80</v>
      </c>
      <c r="CC1" s="72">
        <v>81</v>
      </c>
      <c r="CD1" s="72">
        <v>82</v>
      </c>
      <c r="CE1" s="72">
        <v>83</v>
      </c>
      <c r="CF1" s="72">
        <v>84</v>
      </c>
      <c r="CG1" s="72">
        <v>85</v>
      </c>
      <c r="CH1" s="72">
        <v>86</v>
      </c>
      <c r="CI1" s="72">
        <v>87</v>
      </c>
      <c r="CJ1" s="72">
        <v>88</v>
      </c>
      <c r="CK1" s="72">
        <v>89</v>
      </c>
      <c r="CL1" s="72">
        <v>90</v>
      </c>
    </row>
    <row r="3" spans="1:90" x14ac:dyDescent="0.35">
      <c r="D3" s="72" t="s">
        <v>1297</v>
      </c>
    </row>
    <row r="5" spans="1:90" x14ac:dyDescent="0.35">
      <c r="A5" s="398" t="s">
        <v>828</v>
      </c>
      <c r="B5" s="398" t="s">
        <v>831</v>
      </c>
      <c r="C5" s="398" t="s">
        <v>829</v>
      </c>
      <c r="D5" s="72" t="s">
        <v>1211</v>
      </c>
      <c r="E5" s="72" t="s">
        <v>1212</v>
      </c>
      <c r="F5" s="72" t="s">
        <v>1213</v>
      </c>
      <c r="G5" s="72" t="s">
        <v>837</v>
      </c>
      <c r="H5" s="72" t="s">
        <v>1214</v>
      </c>
      <c r="I5" s="72" t="s">
        <v>1215</v>
      </c>
      <c r="J5" s="72" t="s">
        <v>1216</v>
      </c>
      <c r="K5" s="72" t="s">
        <v>1217</v>
      </c>
      <c r="L5" s="72" t="s">
        <v>1218</v>
      </c>
      <c r="M5" s="72" t="s">
        <v>843</v>
      </c>
      <c r="N5" s="72" t="s">
        <v>1219</v>
      </c>
      <c r="O5" s="72" t="s">
        <v>845</v>
      </c>
      <c r="P5" s="72" t="s">
        <v>892</v>
      </c>
      <c r="Q5" s="72" t="s">
        <v>846</v>
      </c>
      <c r="R5" s="72" t="s">
        <v>893</v>
      </c>
      <c r="S5" s="72" t="s">
        <v>847</v>
      </c>
      <c r="T5" s="72" t="s">
        <v>1220</v>
      </c>
      <c r="U5" s="72" t="s">
        <v>849</v>
      </c>
      <c r="V5" s="72" t="s">
        <v>850</v>
      </c>
      <c r="W5" s="72" t="s">
        <v>851</v>
      </c>
      <c r="X5" s="72" t="s">
        <v>852</v>
      </c>
      <c r="Y5" s="72" t="s">
        <v>853</v>
      </c>
      <c r="Z5" s="72" t="s">
        <v>854</v>
      </c>
      <c r="AA5" s="72" t="s">
        <v>1221</v>
      </c>
      <c r="AB5" s="72" t="s">
        <v>856</v>
      </c>
      <c r="AC5" s="72" t="s">
        <v>857</v>
      </c>
      <c r="AD5" s="72" t="s">
        <v>858</v>
      </c>
      <c r="AE5" s="72" t="s">
        <v>859</v>
      </c>
      <c r="AF5" s="72" t="s">
        <v>860</v>
      </c>
      <c r="AG5" s="72" t="s">
        <v>861</v>
      </c>
      <c r="AH5" s="72" t="s">
        <v>1237</v>
      </c>
      <c r="AI5" s="72" t="s">
        <v>1238</v>
      </c>
      <c r="AJ5" s="72" t="s">
        <v>1223</v>
      </c>
      <c r="AK5" s="72" t="s">
        <v>1224</v>
      </c>
      <c r="AL5" s="72" t="s">
        <v>1222</v>
      </c>
      <c r="AM5" s="72" t="s">
        <v>865</v>
      </c>
      <c r="AN5" s="72" t="s">
        <v>1225</v>
      </c>
      <c r="AO5" s="72" t="s">
        <v>867</v>
      </c>
      <c r="AP5" s="72" t="s">
        <v>868</v>
      </c>
      <c r="AQ5" s="72" t="s">
        <v>869</v>
      </c>
      <c r="AR5" s="72" t="s">
        <v>1226</v>
      </c>
      <c r="AS5" s="72" t="s">
        <v>1227</v>
      </c>
      <c r="AT5" s="72" t="s">
        <v>1228</v>
      </c>
      <c r="AU5" s="72" t="s">
        <v>1229</v>
      </c>
      <c r="AV5" s="72" t="s">
        <v>1230</v>
      </c>
      <c r="AW5" s="72" t="s">
        <v>1231</v>
      </c>
      <c r="AX5" s="72" t="s">
        <v>1232</v>
      </c>
      <c r="AY5" s="72" t="s">
        <v>1233</v>
      </c>
      <c r="AZ5" s="72" t="s">
        <v>1274</v>
      </c>
      <c r="BA5" s="72" t="s">
        <v>1234</v>
      </c>
      <c r="BB5" s="72" t="s">
        <v>1235</v>
      </c>
      <c r="BC5" s="72" t="s">
        <v>1236</v>
      </c>
      <c r="BD5" s="72" t="s">
        <v>882</v>
      </c>
      <c r="BE5" s="72" t="s">
        <v>886</v>
      </c>
      <c r="BF5" s="72" t="s">
        <v>885</v>
      </c>
      <c r="BG5" s="72" t="s">
        <v>884</v>
      </c>
      <c r="BH5" s="72" t="s">
        <v>883</v>
      </c>
      <c r="BI5" s="72" t="s">
        <v>888</v>
      </c>
      <c r="BJ5" s="72" t="s">
        <v>889</v>
      </c>
      <c r="BK5" s="72" t="s">
        <v>890</v>
      </c>
      <c r="BL5" s="72" t="s">
        <v>891</v>
      </c>
      <c r="BM5" s="72" t="s">
        <v>1239</v>
      </c>
      <c r="BN5" s="72" t="s">
        <v>1240</v>
      </c>
      <c r="BO5" s="72" t="s">
        <v>1241</v>
      </c>
      <c r="BP5" s="72" t="s">
        <v>1242</v>
      </c>
      <c r="BQ5" s="72" t="s">
        <v>1243</v>
      </c>
      <c r="BR5" s="72" t="s">
        <v>913</v>
      </c>
      <c r="BS5" s="72" t="s">
        <v>914</v>
      </c>
      <c r="BT5" s="72" t="s">
        <v>915</v>
      </c>
      <c r="BU5" s="72" t="s">
        <v>1244</v>
      </c>
      <c r="BV5" s="72" t="s">
        <v>917</v>
      </c>
      <c r="BW5" s="72" t="s">
        <v>1245</v>
      </c>
      <c r="BX5" s="72" t="s">
        <v>919</v>
      </c>
      <c r="BY5" s="401" t="s">
        <v>1246</v>
      </c>
      <c r="BZ5" s="72" t="s">
        <v>1247</v>
      </c>
      <c r="CA5" s="72" t="s">
        <v>1248</v>
      </c>
      <c r="CB5" s="72" t="s">
        <v>1249</v>
      </c>
      <c r="CC5" s="72" t="s">
        <v>924</v>
      </c>
      <c r="CD5" s="72" t="s">
        <v>925</v>
      </c>
      <c r="CE5" s="72" t="s">
        <v>926</v>
      </c>
      <c r="CF5" s="72" t="s">
        <v>927</v>
      </c>
      <c r="CG5" s="72" t="s">
        <v>928</v>
      </c>
      <c r="CH5" s="72" t="s">
        <v>929</v>
      </c>
      <c r="CI5" s="72" t="s">
        <v>930</v>
      </c>
      <c r="CJ5" s="72" t="s">
        <v>931</v>
      </c>
      <c r="CK5" s="72" t="s">
        <v>932</v>
      </c>
      <c r="CL5" s="72" t="s">
        <v>933</v>
      </c>
    </row>
    <row r="6" spans="1:90" x14ac:dyDescent="0.35">
      <c r="A6" s="72">
        <v>1979</v>
      </c>
      <c r="B6" s="72" t="s">
        <v>1285</v>
      </c>
      <c r="C6" s="72">
        <v>1</v>
      </c>
      <c r="D6" s="78">
        <v>3196800000</v>
      </c>
      <c r="E6" s="78">
        <v>879200000</v>
      </c>
      <c r="F6" s="78">
        <v>932050000</v>
      </c>
      <c r="G6" s="78">
        <v>45389</v>
      </c>
      <c r="H6" s="78">
        <v>5</v>
      </c>
      <c r="I6" s="78">
        <v>932.05</v>
      </c>
      <c r="J6" s="78">
        <v>7857</v>
      </c>
      <c r="K6" s="78">
        <v>11543</v>
      </c>
      <c r="L6" s="78">
        <v>3937</v>
      </c>
      <c r="M6" s="78">
        <v>7931</v>
      </c>
      <c r="N6" s="78">
        <v>5595</v>
      </c>
      <c r="O6" s="78">
        <v>1466.3333333333301</v>
      </c>
      <c r="P6" s="78">
        <v>132</v>
      </c>
      <c r="Q6" s="78">
        <v>4495.3333333333303</v>
      </c>
      <c r="R6" s="78">
        <v>8109</v>
      </c>
      <c r="S6" s="78">
        <v>2725</v>
      </c>
      <c r="T6" s="78">
        <v>0</v>
      </c>
      <c r="U6" s="78">
        <v>1652</v>
      </c>
      <c r="V6" s="78">
        <v>22468</v>
      </c>
      <c r="W6" s="78">
        <v>44010</v>
      </c>
      <c r="X6" s="78">
        <v>32770</v>
      </c>
      <c r="Y6" s="78">
        <v>559.55999999999995</v>
      </c>
      <c r="Z6" s="78">
        <v>1301.5999999999999</v>
      </c>
      <c r="AA6" s="78">
        <v>0</v>
      </c>
      <c r="AB6" s="399">
        <v>0</v>
      </c>
      <c r="AC6" s="399">
        <v>0</v>
      </c>
      <c r="AD6" s="78">
        <v>26794</v>
      </c>
      <c r="AE6" s="78">
        <v>32688.68</v>
      </c>
      <c r="AF6" s="78">
        <v>713</v>
      </c>
      <c r="AG6" s="78">
        <v>8900</v>
      </c>
      <c r="AH6" s="78">
        <v>284</v>
      </c>
      <c r="AI6" s="78">
        <v>204</v>
      </c>
      <c r="AJ6" s="78">
        <v>363.52</v>
      </c>
      <c r="AK6" s="78">
        <v>248.88</v>
      </c>
      <c r="AL6" s="78">
        <v>488</v>
      </c>
      <c r="AM6" s="78">
        <v>23360</v>
      </c>
      <c r="AN6" s="78">
        <v>29900.799999999999</v>
      </c>
      <c r="AO6" s="78">
        <v>15</v>
      </c>
      <c r="AP6" s="78">
        <v>0</v>
      </c>
      <c r="AQ6" s="78">
        <v>0</v>
      </c>
      <c r="AR6" s="78">
        <v>0</v>
      </c>
      <c r="AS6" s="78">
        <v>2847</v>
      </c>
      <c r="AT6" s="78">
        <v>2216</v>
      </c>
      <c r="AU6" s="400">
        <v>3.4211020000000001E-3</v>
      </c>
      <c r="AV6" s="400">
        <v>3.1769290000000002E-3</v>
      </c>
      <c r="AW6" s="78">
        <v>16492.16</v>
      </c>
      <c r="AX6" s="78">
        <v>0</v>
      </c>
      <c r="AY6" s="78">
        <v>7738.46</v>
      </c>
      <c r="AZ6" s="78">
        <v>19778.7926164249</v>
      </c>
      <c r="BA6" s="78">
        <v>26</v>
      </c>
      <c r="BB6" s="78">
        <v>31.72</v>
      </c>
      <c r="BC6" s="78">
        <v>4020</v>
      </c>
      <c r="BD6" s="78">
        <v>1</v>
      </c>
      <c r="BE6" s="78">
        <v>0</v>
      </c>
      <c r="BF6" s="78">
        <v>0</v>
      </c>
      <c r="BG6" s="78">
        <v>0</v>
      </c>
      <c r="BH6" s="78">
        <v>0</v>
      </c>
      <c r="BI6" s="78">
        <v>0</v>
      </c>
      <c r="BJ6" s="78">
        <v>0</v>
      </c>
      <c r="BK6" s="78">
        <v>0</v>
      </c>
      <c r="BL6" s="78">
        <v>0</v>
      </c>
      <c r="BM6" s="78">
        <v>1359.261</v>
      </c>
      <c r="BN6" s="78">
        <v>239</v>
      </c>
      <c r="BO6" s="78">
        <v>158</v>
      </c>
      <c r="BP6" s="78">
        <v>11939.2</v>
      </c>
      <c r="BQ6" s="78">
        <v>2226.64</v>
      </c>
      <c r="BR6" s="78">
        <v>295.504654324878</v>
      </c>
      <c r="BS6" s="78">
        <v>666</v>
      </c>
      <c r="BT6" s="78">
        <v>412.33333333333297</v>
      </c>
      <c r="BU6" s="78">
        <v>375.33333333333297</v>
      </c>
      <c r="BV6" s="78">
        <v>3029</v>
      </c>
      <c r="BW6" s="78">
        <v>969</v>
      </c>
      <c r="BX6" s="78">
        <v>11493.4223537412</v>
      </c>
      <c r="BY6" s="402">
        <v>4.4020000000000001</v>
      </c>
      <c r="BZ6" s="78">
        <v>33846</v>
      </c>
      <c r="CA6" s="78">
        <v>6283</v>
      </c>
      <c r="CB6" s="78">
        <v>1323</v>
      </c>
      <c r="CC6" s="78">
        <v>1520</v>
      </c>
      <c r="CD6" s="78">
        <v>1320</v>
      </c>
      <c r="CE6" s="78">
        <v>647</v>
      </c>
      <c r="CF6" s="78">
        <v>960.68257705479402</v>
      </c>
      <c r="CG6" s="78">
        <v>656.98137842465701</v>
      </c>
      <c r="CH6" s="78">
        <v>222.02761130137</v>
      </c>
      <c r="CI6" s="78">
        <v>2297.9018999999998</v>
      </c>
      <c r="CJ6" s="78">
        <v>1571.4647</v>
      </c>
      <c r="CK6" s="78">
        <v>531.07830000000001</v>
      </c>
      <c r="CL6" s="78">
        <v>57147</v>
      </c>
    </row>
    <row r="7" spans="1:90" x14ac:dyDescent="0.35">
      <c r="A7" s="72">
        <v>14</v>
      </c>
      <c r="B7" s="72" t="s">
        <v>122</v>
      </c>
      <c r="C7" s="72">
        <v>1</v>
      </c>
      <c r="D7" s="78">
        <v>24587600000</v>
      </c>
      <c r="E7" s="78">
        <v>3411800000</v>
      </c>
      <c r="F7" s="78">
        <v>3496150000</v>
      </c>
      <c r="G7" s="78">
        <v>234950</v>
      </c>
      <c r="H7" s="78">
        <v>4</v>
      </c>
      <c r="I7" s="78">
        <v>3496.15</v>
      </c>
      <c r="J7" s="78">
        <v>34096</v>
      </c>
      <c r="K7" s="78">
        <v>35839</v>
      </c>
      <c r="L7" s="78">
        <v>11066</v>
      </c>
      <c r="M7" s="78">
        <v>41152</v>
      </c>
      <c r="N7" s="78">
        <v>28163.8</v>
      </c>
      <c r="O7" s="78">
        <v>10480.666666666701</v>
      </c>
      <c r="P7" s="78">
        <v>439</v>
      </c>
      <c r="Q7" s="78">
        <v>20982.666666666701</v>
      </c>
      <c r="R7" s="78">
        <v>82237</v>
      </c>
      <c r="S7" s="78">
        <v>12245</v>
      </c>
      <c r="T7" s="78">
        <v>0</v>
      </c>
      <c r="U7" s="78">
        <v>7684</v>
      </c>
      <c r="V7" s="78">
        <v>141003</v>
      </c>
      <c r="W7" s="78">
        <v>259990</v>
      </c>
      <c r="X7" s="78">
        <v>528380</v>
      </c>
      <c r="Y7" s="78">
        <v>8371.2829999999994</v>
      </c>
      <c r="Z7" s="78">
        <v>12481.6</v>
      </c>
      <c r="AA7" s="78">
        <v>0</v>
      </c>
      <c r="AB7" s="399">
        <v>0</v>
      </c>
      <c r="AC7" s="399">
        <v>0</v>
      </c>
      <c r="AD7" s="78">
        <v>18520</v>
      </c>
      <c r="AE7" s="78">
        <v>20557.2</v>
      </c>
      <c r="AF7" s="78">
        <v>1276</v>
      </c>
      <c r="AG7" s="78">
        <v>0</v>
      </c>
      <c r="AH7" s="78">
        <v>958</v>
      </c>
      <c r="AI7" s="78">
        <v>113</v>
      </c>
      <c r="AJ7" s="78">
        <v>1072.96</v>
      </c>
      <c r="AK7" s="78">
        <v>125.43</v>
      </c>
      <c r="AL7" s="78">
        <v>1071</v>
      </c>
      <c r="AM7" s="78">
        <v>129882</v>
      </c>
      <c r="AN7" s="78">
        <v>145467.84</v>
      </c>
      <c r="AO7" s="78">
        <v>0</v>
      </c>
      <c r="AP7" s="78">
        <v>0</v>
      </c>
      <c r="AQ7" s="78">
        <v>112</v>
      </c>
      <c r="AR7" s="78">
        <v>6100</v>
      </c>
      <c r="AS7" s="78">
        <v>25791</v>
      </c>
      <c r="AT7" s="78">
        <v>23468</v>
      </c>
      <c r="AU7" s="400">
        <v>4.3219117000000001E-2</v>
      </c>
      <c r="AV7" s="400">
        <v>5.1323359999999998E-2</v>
      </c>
      <c r="AW7" s="78">
        <v>438091.98599999998</v>
      </c>
      <c r="AX7" s="78">
        <v>0</v>
      </c>
      <c r="AY7" s="78">
        <v>9265.17</v>
      </c>
      <c r="AZ7" s="78">
        <v>117684.242700546</v>
      </c>
      <c r="BA7" s="78">
        <v>18</v>
      </c>
      <c r="BB7" s="78">
        <v>19.98</v>
      </c>
      <c r="BC7" s="78">
        <v>28265</v>
      </c>
      <c r="BD7" s="78">
        <v>1</v>
      </c>
      <c r="BE7" s="78">
        <v>0</v>
      </c>
      <c r="BF7" s="78">
        <v>0</v>
      </c>
      <c r="BG7" s="78">
        <v>0</v>
      </c>
      <c r="BH7" s="78">
        <v>0</v>
      </c>
      <c r="BI7" s="78">
        <v>0</v>
      </c>
      <c r="BJ7" s="78">
        <v>0</v>
      </c>
      <c r="BK7" s="78">
        <v>0</v>
      </c>
      <c r="BL7" s="78">
        <v>0</v>
      </c>
      <c r="BM7" s="78">
        <v>6171.3760000000002</v>
      </c>
      <c r="BN7" s="78">
        <v>464</v>
      </c>
      <c r="BO7" s="78">
        <v>415</v>
      </c>
      <c r="BP7" s="78">
        <v>60939.56</v>
      </c>
      <c r="BQ7" s="78">
        <v>11550.43</v>
      </c>
      <c r="BR7" s="78">
        <v>1508.82788847496</v>
      </c>
      <c r="BS7" s="78">
        <v>2775</v>
      </c>
      <c r="BT7" s="78">
        <v>2077.6666666666702</v>
      </c>
      <c r="BU7" s="78">
        <v>2006.6666666666699</v>
      </c>
      <c r="BV7" s="78">
        <v>10502</v>
      </c>
      <c r="BW7" s="78">
        <v>4226</v>
      </c>
      <c r="BX7" s="78">
        <v>24683.422590698501</v>
      </c>
      <c r="BY7" s="402">
        <v>29.279</v>
      </c>
      <c r="BZ7" s="78">
        <v>199111</v>
      </c>
      <c r="CA7" s="78">
        <v>20523</v>
      </c>
      <c r="CB7" s="78">
        <v>4250</v>
      </c>
      <c r="CC7" s="78">
        <v>7369</v>
      </c>
      <c r="CD7" s="78">
        <v>4582</v>
      </c>
      <c r="CE7" s="78">
        <v>2341</v>
      </c>
      <c r="CF7" s="78">
        <v>3111.0241496127301</v>
      </c>
      <c r="CG7" s="78">
        <v>1751.86199935326</v>
      </c>
      <c r="CH7" s="78">
        <v>667.65479589165602</v>
      </c>
      <c r="CI7" s="78">
        <v>7735.9023999999999</v>
      </c>
      <c r="CJ7" s="78">
        <v>4356.1967999999997</v>
      </c>
      <c r="CK7" s="78">
        <v>1660.1967999999999</v>
      </c>
      <c r="CL7" s="78">
        <v>190351</v>
      </c>
    </row>
    <row r="8" spans="1:90" x14ac:dyDescent="0.35">
      <c r="A8" s="72">
        <v>1966</v>
      </c>
      <c r="B8" s="72" t="s">
        <v>147</v>
      </c>
      <c r="C8" s="72">
        <v>1</v>
      </c>
      <c r="D8" s="78">
        <v>3672800000</v>
      </c>
      <c r="E8" s="78">
        <v>1449700000</v>
      </c>
      <c r="F8" s="78">
        <v>1550150000</v>
      </c>
      <c r="G8" s="78">
        <v>48022</v>
      </c>
      <c r="H8" s="78">
        <v>12</v>
      </c>
      <c r="I8" s="78">
        <v>1550.15</v>
      </c>
      <c r="J8" s="78">
        <v>8949</v>
      </c>
      <c r="K8" s="78">
        <v>11893</v>
      </c>
      <c r="L8" s="78">
        <v>3905</v>
      </c>
      <c r="M8" s="78">
        <v>7354</v>
      </c>
      <c r="N8" s="78">
        <v>5033.2</v>
      </c>
      <c r="O8" s="78">
        <v>1009.33333333333</v>
      </c>
      <c r="P8" s="78">
        <v>76</v>
      </c>
      <c r="Q8" s="78">
        <v>3873.3333333333298</v>
      </c>
      <c r="R8" s="78">
        <v>7632</v>
      </c>
      <c r="S8" s="78">
        <v>850</v>
      </c>
      <c r="T8" s="78">
        <v>0</v>
      </c>
      <c r="U8" s="78">
        <v>1527</v>
      </c>
      <c r="V8" s="78">
        <v>22540</v>
      </c>
      <c r="W8" s="78">
        <v>41020</v>
      </c>
      <c r="X8" s="78">
        <v>5930</v>
      </c>
      <c r="Y8" s="78">
        <v>0</v>
      </c>
      <c r="Z8" s="78">
        <v>950.4</v>
      </c>
      <c r="AA8" s="78">
        <v>0</v>
      </c>
      <c r="AB8" s="399">
        <v>0</v>
      </c>
      <c r="AC8" s="399">
        <v>0</v>
      </c>
      <c r="AD8" s="78">
        <v>47772</v>
      </c>
      <c r="AE8" s="78">
        <v>52549.2</v>
      </c>
      <c r="AF8" s="78">
        <v>2035</v>
      </c>
      <c r="AG8" s="78">
        <v>10000</v>
      </c>
      <c r="AH8" s="78">
        <v>314</v>
      </c>
      <c r="AI8" s="78">
        <v>274</v>
      </c>
      <c r="AJ8" s="78">
        <v>357.96</v>
      </c>
      <c r="AK8" s="78">
        <v>301.39999999999998</v>
      </c>
      <c r="AL8" s="78">
        <v>588</v>
      </c>
      <c r="AM8" s="78">
        <v>23208</v>
      </c>
      <c r="AN8" s="78">
        <v>26457.119999999999</v>
      </c>
      <c r="AO8" s="78">
        <v>0</v>
      </c>
      <c r="AP8" s="78">
        <v>0</v>
      </c>
      <c r="AQ8" s="78">
        <v>0</v>
      </c>
      <c r="AR8" s="78">
        <v>0</v>
      </c>
      <c r="AS8" s="78">
        <v>1523</v>
      </c>
      <c r="AT8" s="78">
        <v>0</v>
      </c>
      <c r="AU8" s="400">
        <v>3.790589E-3</v>
      </c>
      <c r="AV8" s="400">
        <v>8.1829699999999995E-4</v>
      </c>
      <c r="AW8" s="78">
        <v>9631.32</v>
      </c>
      <c r="AX8" s="78">
        <v>0</v>
      </c>
      <c r="AY8" s="78">
        <v>10710.7</v>
      </c>
      <c r="AZ8" s="78">
        <v>10331.088646174199</v>
      </c>
      <c r="BA8" s="78">
        <v>41</v>
      </c>
      <c r="BB8" s="78">
        <v>45.1</v>
      </c>
      <c r="BC8" s="78">
        <v>5145</v>
      </c>
      <c r="BD8" s="78">
        <v>1</v>
      </c>
      <c r="BE8" s="78">
        <v>0</v>
      </c>
      <c r="BF8" s="78">
        <v>0</v>
      </c>
      <c r="BG8" s="78">
        <v>0</v>
      </c>
      <c r="BH8" s="78">
        <v>0</v>
      </c>
      <c r="BI8" s="78">
        <v>0</v>
      </c>
      <c r="BJ8" s="78">
        <v>0</v>
      </c>
      <c r="BK8" s="78">
        <v>0</v>
      </c>
      <c r="BL8" s="78">
        <v>0</v>
      </c>
      <c r="BM8" s="78">
        <v>1064.931</v>
      </c>
      <c r="BN8" s="78">
        <v>146</v>
      </c>
      <c r="BO8" s="78">
        <v>84</v>
      </c>
      <c r="BP8" s="78">
        <v>12614.42</v>
      </c>
      <c r="BQ8" s="78">
        <v>2663.65</v>
      </c>
      <c r="BR8" s="78">
        <v>383.77689928057498</v>
      </c>
      <c r="BS8" s="78">
        <v>585</v>
      </c>
      <c r="BT8" s="78">
        <v>261.33333333333297</v>
      </c>
      <c r="BU8" s="78">
        <v>221.666666666667</v>
      </c>
      <c r="BV8" s="78">
        <v>2864</v>
      </c>
      <c r="BW8" s="78">
        <v>993</v>
      </c>
      <c r="BX8" s="78">
        <v>9644.6776819835304</v>
      </c>
      <c r="BY8" s="402">
        <v>2.6840000000000002</v>
      </c>
      <c r="BZ8" s="78">
        <v>36129</v>
      </c>
      <c r="CA8" s="78">
        <v>6805</v>
      </c>
      <c r="CB8" s="78">
        <v>1183</v>
      </c>
      <c r="CC8" s="78">
        <v>1507</v>
      </c>
      <c r="CD8" s="78">
        <v>1324</v>
      </c>
      <c r="CE8" s="78">
        <v>611</v>
      </c>
      <c r="CF8" s="78">
        <v>927.13417786970001</v>
      </c>
      <c r="CG8" s="78">
        <v>603.342054463978</v>
      </c>
      <c r="CH8" s="78">
        <v>185.42683557394</v>
      </c>
      <c r="CI8" s="78">
        <v>2325.1725000000001</v>
      </c>
      <c r="CJ8" s="78">
        <v>1513.1297999999999</v>
      </c>
      <c r="CK8" s="78">
        <v>465.03449999999998</v>
      </c>
      <c r="CL8" s="78">
        <v>85796</v>
      </c>
    </row>
    <row r="9" spans="1:90" x14ac:dyDescent="0.35">
      <c r="A9" s="72">
        <v>1952</v>
      </c>
      <c r="B9" s="72" t="s">
        <v>203</v>
      </c>
      <c r="C9" s="72">
        <v>1</v>
      </c>
      <c r="D9" s="78">
        <v>4567600000</v>
      </c>
      <c r="E9" s="78">
        <v>738850000</v>
      </c>
      <c r="F9" s="78">
        <v>792750000</v>
      </c>
      <c r="G9" s="78">
        <v>60898</v>
      </c>
      <c r="H9" s="78">
        <v>9</v>
      </c>
      <c r="I9" s="78">
        <v>792.75</v>
      </c>
      <c r="J9" s="78">
        <v>10681</v>
      </c>
      <c r="K9" s="78">
        <v>14063</v>
      </c>
      <c r="L9" s="78">
        <v>4797</v>
      </c>
      <c r="M9" s="78">
        <v>10166</v>
      </c>
      <c r="N9" s="78">
        <v>7248.6</v>
      </c>
      <c r="O9" s="78">
        <v>1721</v>
      </c>
      <c r="P9" s="78">
        <v>147</v>
      </c>
      <c r="Q9" s="78">
        <v>6243</v>
      </c>
      <c r="R9" s="78">
        <v>10063</v>
      </c>
      <c r="S9" s="78">
        <v>3890</v>
      </c>
      <c r="T9" s="78">
        <v>0</v>
      </c>
      <c r="U9" s="78">
        <v>2159</v>
      </c>
      <c r="V9" s="78">
        <v>29269</v>
      </c>
      <c r="W9" s="78">
        <v>57320</v>
      </c>
      <c r="X9" s="78">
        <v>42210</v>
      </c>
      <c r="Y9" s="78">
        <v>556.38</v>
      </c>
      <c r="Z9" s="78">
        <v>1198.4000000000001</v>
      </c>
      <c r="AA9" s="78">
        <v>0</v>
      </c>
      <c r="AB9" s="399">
        <v>0</v>
      </c>
      <c r="AC9" s="399">
        <v>0</v>
      </c>
      <c r="AD9" s="78">
        <v>27785</v>
      </c>
      <c r="AE9" s="78">
        <v>27785</v>
      </c>
      <c r="AF9" s="78">
        <v>1792</v>
      </c>
      <c r="AG9" s="78">
        <v>0</v>
      </c>
      <c r="AH9" s="78">
        <v>391</v>
      </c>
      <c r="AI9" s="78">
        <v>171</v>
      </c>
      <c r="AJ9" s="78">
        <v>391</v>
      </c>
      <c r="AK9" s="78">
        <v>172.71</v>
      </c>
      <c r="AL9" s="78">
        <v>562</v>
      </c>
      <c r="AM9" s="78">
        <v>29174</v>
      </c>
      <c r="AN9" s="78">
        <v>29174</v>
      </c>
      <c r="AO9" s="78">
        <v>0</v>
      </c>
      <c r="AP9" s="78">
        <v>0</v>
      </c>
      <c r="AQ9" s="78">
        <v>0</v>
      </c>
      <c r="AR9" s="78">
        <v>0</v>
      </c>
      <c r="AS9" s="78">
        <v>3173</v>
      </c>
      <c r="AT9" s="78">
        <v>0</v>
      </c>
      <c r="AU9" s="400">
        <v>3.4819299999999998E-3</v>
      </c>
      <c r="AV9" s="400">
        <v>3.2047080000000001E-3</v>
      </c>
      <c r="AW9" s="78">
        <v>25293.858</v>
      </c>
      <c r="AX9" s="78">
        <v>0</v>
      </c>
      <c r="AY9" s="78">
        <v>8420</v>
      </c>
      <c r="AZ9" s="78">
        <v>17657.681576900999</v>
      </c>
      <c r="BA9" s="78">
        <v>22</v>
      </c>
      <c r="BB9" s="78">
        <v>22.22</v>
      </c>
      <c r="BC9" s="78">
        <v>5855</v>
      </c>
      <c r="BD9" s="78">
        <v>1</v>
      </c>
      <c r="BE9" s="78">
        <v>0</v>
      </c>
      <c r="BF9" s="78">
        <v>0</v>
      </c>
      <c r="BG9" s="78">
        <v>0</v>
      </c>
      <c r="BH9" s="78">
        <v>0</v>
      </c>
      <c r="BI9" s="78">
        <v>0</v>
      </c>
      <c r="BJ9" s="78">
        <v>0</v>
      </c>
      <c r="BK9" s="78">
        <v>0</v>
      </c>
      <c r="BL9" s="78">
        <v>0</v>
      </c>
      <c r="BM9" s="78">
        <v>1666.2360000000001</v>
      </c>
      <c r="BN9" s="78">
        <v>245</v>
      </c>
      <c r="BO9" s="78">
        <v>193</v>
      </c>
      <c r="BP9" s="78">
        <v>15743.28</v>
      </c>
      <c r="BQ9" s="78">
        <v>3268.62</v>
      </c>
      <c r="BR9" s="78">
        <v>489.28478486413701</v>
      </c>
      <c r="BS9" s="78">
        <v>818</v>
      </c>
      <c r="BT9" s="78">
        <v>438</v>
      </c>
      <c r="BU9" s="78">
        <v>412.66666666666703</v>
      </c>
      <c r="BV9" s="78">
        <v>4522</v>
      </c>
      <c r="BW9" s="78">
        <v>1615</v>
      </c>
      <c r="BX9" s="78">
        <v>14024.490699865</v>
      </c>
      <c r="BY9" s="402">
        <v>5.1849999999999996</v>
      </c>
      <c r="BZ9" s="78">
        <v>46835</v>
      </c>
      <c r="CA9" s="78">
        <v>7836</v>
      </c>
      <c r="CB9" s="78">
        <v>1430</v>
      </c>
      <c r="CC9" s="78">
        <v>1769</v>
      </c>
      <c r="CD9" s="78">
        <v>1580</v>
      </c>
      <c r="CE9" s="78">
        <v>703</v>
      </c>
      <c r="CF9" s="78">
        <v>1225.40944676767</v>
      </c>
      <c r="CG9" s="78">
        <v>830.35652293137696</v>
      </c>
      <c r="CH9" s="78">
        <v>246.47327072050501</v>
      </c>
      <c r="CI9" s="78">
        <v>2801.3760000000002</v>
      </c>
      <c r="CJ9" s="78">
        <v>1898.2560000000001</v>
      </c>
      <c r="CK9" s="78">
        <v>563.45600000000002</v>
      </c>
      <c r="CL9" s="78">
        <v>153208</v>
      </c>
    </row>
    <row r="10" spans="1:90" x14ac:dyDescent="0.35">
      <c r="A10" s="72">
        <v>1895</v>
      </c>
      <c r="B10" s="72" t="s">
        <v>227</v>
      </c>
      <c r="C10" s="72">
        <v>1</v>
      </c>
      <c r="D10" s="78">
        <v>2902000000</v>
      </c>
      <c r="E10" s="78">
        <v>445900000</v>
      </c>
      <c r="F10" s="78">
        <v>497700000</v>
      </c>
      <c r="G10" s="78">
        <v>38521</v>
      </c>
      <c r="H10" s="78">
        <v>6</v>
      </c>
      <c r="I10" s="78">
        <v>497.7</v>
      </c>
      <c r="J10" s="78">
        <v>6366</v>
      </c>
      <c r="K10" s="78">
        <v>9772</v>
      </c>
      <c r="L10" s="78">
        <v>3349</v>
      </c>
      <c r="M10" s="78">
        <v>7394</v>
      </c>
      <c r="N10" s="78">
        <v>5502.3</v>
      </c>
      <c r="O10" s="78">
        <v>1316</v>
      </c>
      <c r="P10" s="78">
        <v>117</v>
      </c>
      <c r="Q10" s="78">
        <v>4519</v>
      </c>
      <c r="R10" s="78">
        <v>7014</v>
      </c>
      <c r="S10" s="78">
        <v>760</v>
      </c>
      <c r="T10" s="78">
        <v>0</v>
      </c>
      <c r="U10" s="78">
        <v>1410</v>
      </c>
      <c r="V10" s="78">
        <v>19063</v>
      </c>
      <c r="W10" s="78">
        <v>39390</v>
      </c>
      <c r="X10" s="78">
        <v>27730</v>
      </c>
      <c r="Y10" s="78">
        <v>1211.3800000000001</v>
      </c>
      <c r="Z10" s="78">
        <v>1460.8</v>
      </c>
      <c r="AA10" s="78">
        <v>0</v>
      </c>
      <c r="AB10" s="399">
        <v>0</v>
      </c>
      <c r="AC10" s="399">
        <v>0</v>
      </c>
      <c r="AD10" s="78">
        <v>22651</v>
      </c>
      <c r="AE10" s="78">
        <v>24689.59</v>
      </c>
      <c r="AF10" s="78">
        <v>1399</v>
      </c>
      <c r="AG10" s="78">
        <v>5546</v>
      </c>
      <c r="AH10" s="78">
        <v>263</v>
      </c>
      <c r="AI10" s="78">
        <v>132</v>
      </c>
      <c r="AJ10" s="78">
        <v>273.52</v>
      </c>
      <c r="AK10" s="78">
        <v>143.88</v>
      </c>
      <c r="AL10" s="78">
        <v>395</v>
      </c>
      <c r="AM10" s="78">
        <v>18917</v>
      </c>
      <c r="AN10" s="78">
        <v>19673.68</v>
      </c>
      <c r="AO10" s="78">
        <v>10</v>
      </c>
      <c r="AP10" s="78">
        <v>0</v>
      </c>
      <c r="AQ10" s="78">
        <v>0</v>
      </c>
      <c r="AR10" s="78">
        <v>0</v>
      </c>
      <c r="AS10" s="78">
        <v>3452</v>
      </c>
      <c r="AT10" s="78">
        <v>2903</v>
      </c>
      <c r="AU10" s="400">
        <v>3.3216859999999999E-3</v>
      </c>
      <c r="AV10" s="400">
        <v>1.6622340000000001E-3</v>
      </c>
      <c r="AW10" s="78">
        <v>15720.027</v>
      </c>
      <c r="AX10" s="78">
        <v>0</v>
      </c>
      <c r="AY10" s="78">
        <v>6209.73</v>
      </c>
      <c r="AZ10" s="78">
        <v>12009.7586407484</v>
      </c>
      <c r="BA10" s="78">
        <v>22</v>
      </c>
      <c r="BB10" s="78">
        <v>23.98</v>
      </c>
      <c r="BC10" s="78">
        <v>3595</v>
      </c>
      <c r="BD10" s="78">
        <v>1</v>
      </c>
      <c r="BE10" s="78">
        <v>0</v>
      </c>
      <c r="BF10" s="78">
        <v>0</v>
      </c>
      <c r="BG10" s="78">
        <v>0</v>
      </c>
      <c r="BH10" s="78">
        <v>0</v>
      </c>
      <c r="BI10" s="78">
        <v>0</v>
      </c>
      <c r="BJ10" s="78">
        <v>0</v>
      </c>
      <c r="BK10" s="78">
        <v>0</v>
      </c>
      <c r="BL10" s="78">
        <v>0</v>
      </c>
      <c r="BM10" s="78">
        <v>1031.2919999999999</v>
      </c>
      <c r="BN10" s="78">
        <v>199</v>
      </c>
      <c r="BO10" s="78">
        <v>75</v>
      </c>
      <c r="BP10" s="78">
        <v>9586.2000000000007</v>
      </c>
      <c r="BQ10" s="78">
        <v>1870.17</v>
      </c>
      <c r="BR10" s="78">
        <v>271.08178474013999</v>
      </c>
      <c r="BS10" s="78">
        <v>502</v>
      </c>
      <c r="BT10" s="78">
        <v>323</v>
      </c>
      <c r="BU10" s="78">
        <v>287.66666666666703</v>
      </c>
      <c r="BV10" s="78">
        <v>3203</v>
      </c>
      <c r="BW10" s="78">
        <v>1005</v>
      </c>
      <c r="BX10" s="78">
        <v>9875.3122752566796</v>
      </c>
      <c r="BY10" s="402">
        <v>4.0720000000000001</v>
      </c>
      <c r="BZ10" s="78">
        <v>28749</v>
      </c>
      <c r="CA10" s="78">
        <v>5362</v>
      </c>
      <c r="CB10" s="78">
        <v>1061</v>
      </c>
      <c r="CC10" s="78">
        <v>1231</v>
      </c>
      <c r="CD10" s="78">
        <v>1158</v>
      </c>
      <c r="CE10" s="78">
        <v>560</v>
      </c>
      <c r="CF10" s="78">
        <v>990.39654807844795</v>
      </c>
      <c r="CG10" s="78">
        <v>675.09849870486903</v>
      </c>
      <c r="CH10" s="78">
        <v>223.093730506951</v>
      </c>
      <c r="CI10" s="78">
        <v>2127.7845000000002</v>
      </c>
      <c r="CJ10" s="78">
        <v>1450.3929000000001</v>
      </c>
      <c r="CK10" s="78">
        <v>479.29829999999998</v>
      </c>
      <c r="CL10" s="78">
        <v>43580</v>
      </c>
    </row>
    <row r="11" spans="1:90" x14ac:dyDescent="0.35">
      <c r="A11" s="72">
        <v>765</v>
      </c>
      <c r="B11" s="72" t="s">
        <v>245</v>
      </c>
      <c r="C11" s="72">
        <v>1</v>
      </c>
      <c r="D11" s="78">
        <v>730000000</v>
      </c>
      <c r="E11" s="78">
        <v>74550000</v>
      </c>
      <c r="F11" s="78">
        <v>85050000</v>
      </c>
      <c r="G11" s="78">
        <v>12196</v>
      </c>
      <c r="H11" s="78">
        <v>1</v>
      </c>
      <c r="I11" s="78">
        <v>85.05</v>
      </c>
      <c r="J11" s="78">
        <v>2181</v>
      </c>
      <c r="K11" s="78">
        <v>2871</v>
      </c>
      <c r="L11" s="78">
        <v>985</v>
      </c>
      <c r="M11" s="78">
        <v>2287</v>
      </c>
      <c r="N11" s="78">
        <v>1705.6999999999998</v>
      </c>
      <c r="O11" s="78">
        <v>428.33333333333297</v>
      </c>
      <c r="P11" s="78">
        <v>23</v>
      </c>
      <c r="Q11" s="78">
        <v>1659.3333333333301</v>
      </c>
      <c r="R11" s="78">
        <v>1895</v>
      </c>
      <c r="S11" s="78">
        <v>215</v>
      </c>
      <c r="T11" s="78">
        <v>0</v>
      </c>
      <c r="U11" s="78">
        <v>451</v>
      </c>
      <c r="V11" s="78">
        <v>5693</v>
      </c>
      <c r="W11" s="78">
        <v>12480</v>
      </c>
      <c r="X11" s="78">
        <v>7790</v>
      </c>
      <c r="Y11" s="78">
        <v>0</v>
      </c>
      <c r="Z11" s="78">
        <v>176</v>
      </c>
      <c r="AA11" s="78">
        <v>0</v>
      </c>
      <c r="AB11" s="399">
        <v>0</v>
      </c>
      <c r="AC11" s="399">
        <v>0</v>
      </c>
      <c r="AD11" s="78">
        <v>4902</v>
      </c>
      <c r="AE11" s="78">
        <v>4902</v>
      </c>
      <c r="AF11" s="78">
        <v>118</v>
      </c>
      <c r="AG11" s="78">
        <v>0</v>
      </c>
      <c r="AH11" s="78">
        <v>98</v>
      </c>
      <c r="AI11" s="78">
        <v>23</v>
      </c>
      <c r="AJ11" s="78">
        <v>98</v>
      </c>
      <c r="AK11" s="78">
        <v>23</v>
      </c>
      <c r="AL11" s="78">
        <v>121</v>
      </c>
      <c r="AM11" s="78">
        <v>5813</v>
      </c>
      <c r="AN11" s="78">
        <v>5813</v>
      </c>
      <c r="AO11" s="78">
        <v>0</v>
      </c>
      <c r="AP11" s="78">
        <v>0</v>
      </c>
      <c r="AQ11" s="78">
        <v>0</v>
      </c>
      <c r="AR11" s="78">
        <v>0</v>
      </c>
      <c r="AS11" s="78">
        <v>2102</v>
      </c>
      <c r="AT11" s="78">
        <v>0</v>
      </c>
      <c r="AU11" s="400">
        <v>9.2181800000000003E-4</v>
      </c>
      <c r="AV11" s="400">
        <v>3.5157999999999999E-4</v>
      </c>
      <c r="AW11" s="78">
        <v>3104.1419999999998</v>
      </c>
      <c r="AX11" s="78">
        <v>0</v>
      </c>
      <c r="AY11" s="78">
        <v>1459</v>
      </c>
      <c r="AZ11" s="78">
        <v>3544.6143426294798</v>
      </c>
      <c r="BA11" s="78">
        <v>4</v>
      </c>
      <c r="BB11" s="78">
        <v>4</v>
      </c>
      <c r="BC11" s="78">
        <v>910</v>
      </c>
      <c r="BD11" s="78">
        <v>1</v>
      </c>
      <c r="BE11" s="78">
        <v>0</v>
      </c>
      <c r="BF11" s="78">
        <v>0</v>
      </c>
      <c r="BG11" s="78">
        <v>0</v>
      </c>
      <c r="BH11" s="78">
        <v>0</v>
      </c>
      <c r="BI11" s="78">
        <v>0</v>
      </c>
      <c r="BJ11" s="78">
        <v>0</v>
      </c>
      <c r="BK11" s="78">
        <v>0</v>
      </c>
      <c r="BL11" s="78">
        <v>0</v>
      </c>
      <c r="BM11" s="78">
        <v>471.096</v>
      </c>
      <c r="BN11" s="78">
        <v>84</v>
      </c>
      <c r="BO11" s="78">
        <v>49</v>
      </c>
      <c r="BP11" s="78">
        <v>2786</v>
      </c>
      <c r="BQ11" s="78">
        <v>557.1</v>
      </c>
      <c r="BR11" s="78">
        <v>83.740036717062694</v>
      </c>
      <c r="BS11" s="78">
        <v>168</v>
      </c>
      <c r="BT11" s="78">
        <v>129</v>
      </c>
      <c r="BU11" s="78">
        <v>112</v>
      </c>
      <c r="BV11" s="78">
        <v>1230.999999999997</v>
      </c>
      <c r="BW11" s="78">
        <v>326</v>
      </c>
      <c r="BX11" s="78">
        <v>3168.0752693823902</v>
      </c>
      <c r="BY11" s="402">
        <v>1.302</v>
      </c>
      <c r="BZ11" s="78">
        <v>9325</v>
      </c>
      <c r="CA11" s="78">
        <v>1607</v>
      </c>
      <c r="CB11" s="78">
        <v>279</v>
      </c>
      <c r="CC11" s="78">
        <v>348</v>
      </c>
      <c r="CD11" s="78">
        <v>343</v>
      </c>
      <c r="CE11" s="78">
        <v>146</v>
      </c>
      <c r="CF11" s="78">
        <v>299.00366420092899</v>
      </c>
      <c r="CG11" s="78">
        <v>207.160536728023</v>
      </c>
      <c r="CH11" s="78">
        <v>58.979132977808298</v>
      </c>
      <c r="CI11" s="78">
        <v>682.83190000000002</v>
      </c>
      <c r="CJ11" s="78">
        <v>473.09059999999999</v>
      </c>
      <c r="CK11" s="78">
        <v>134.6901</v>
      </c>
      <c r="CL11" s="78">
        <v>0</v>
      </c>
    </row>
    <row r="12" spans="1:90" x14ac:dyDescent="0.35">
      <c r="A12" s="72">
        <v>37</v>
      </c>
      <c r="B12" s="72" t="s">
        <v>282</v>
      </c>
      <c r="C12" s="72">
        <v>1</v>
      </c>
      <c r="D12" s="78">
        <v>2338400000</v>
      </c>
      <c r="E12" s="78">
        <v>285250000</v>
      </c>
      <c r="F12" s="78">
        <v>323750000</v>
      </c>
      <c r="G12" s="78">
        <v>31851</v>
      </c>
      <c r="H12" s="78">
        <v>3</v>
      </c>
      <c r="I12" s="78">
        <v>323.75</v>
      </c>
      <c r="J12" s="78">
        <v>5515</v>
      </c>
      <c r="K12" s="78">
        <v>8216</v>
      </c>
      <c r="L12" s="78">
        <v>2985</v>
      </c>
      <c r="M12" s="78">
        <v>5895</v>
      </c>
      <c r="N12" s="78">
        <v>4349.3</v>
      </c>
      <c r="O12" s="78">
        <v>879.33333333333303</v>
      </c>
      <c r="P12" s="78">
        <v>142</v>
      </c>
      <c r="Q12" s="78">
        <v>3804.3333333333298</v>
      </c>
      <c r="R12" s="78">
        <v>5283</v>
      </c>
      <c r="S12" s="78">
        <v>625</v>
      </c>
      <c r="T12" s="78">
        <v>0</v>
      </c>
      <c r="U12" s="78">
        <v>1023</v>
      </c>
      <c r="V12" s="78">
        <v>15386</v>
      </c>
      <c r="W12" s="78">
        <v>35100</v>
      </c>
      <c r="X12" s="78">
        <v>29040</v>
      </c>
      <c r="Y12" s="78">
        <v>1288.28</v>
      </c>
      <c r="Z12" s="78">
        <v>1573.6</v>
      </c>
      <c r="AA12" s="78">
        <v>0</v>
      </c>
      <c r="AB12" s="399">
        <v>0</v>
      </c>
      <c r="AC12" s="399">
        <v>147.59999999999991</v>
      </c>
      <c r="AD12" s="78">
        <v>11776</v>
      </c>
      <c r="AE12" s="78">
        <v>11776</v>
      </c>
      <c r="AF12" s="78">
        <v>219</v>
      </c>
      <c r="AG12" s="78">
        <v>0</v>
      </c>
      <c r="AH12" s="78">
        <v>215</v>
      </c>
      <c r="AI12" s="78">
        <v>65</v>
      </c>
      <c r="AJ12" s="78">
        <v>215</v>
      </c>
      <c r="AK12" s="78">
        <v>65</v>
      </c>
      <c r="AL12" s="78">
        <v>280</v>
      </c>
      <c r="AM12" s="78">
        <v>15457</v>
      </c>
      <c r="AN12" s="78">
        <v>15457</v>
      </c>
      <c r="AO12" s="78">
        <v>0</v>
      </c>
      <c r="AP12" s="78">
        <v>0</v>
      </c>
      <c r="AQ12" s="78">
        <v>0</v>
      </c>
      <c r="AR12" s="78">
        <v>0</v>
      </c>
      <c r="AS12" s="78">
        <v>3442</v>
      </c>
      <c r="AT12" s="78">
        <v>0</v>
      </c>
      <c r="AU12" s="400">
        <v>2.1908919999999998E-3</v>
      </c>
      <c r="AV12" s="400">
        <v>1.600237E-3</v>
      </c>
      <c r="AW12" s="78">
        <v>12983.88</v>
      </c>
      <c r="AX12" s="78">
        <v>0</v>
      </c>
      <c r="AY12" s="78">
        <v>3273</v>
      </c>
      <c r="AZ12" s="78">
        <v>8690.9814922884507</v>
      </c>
      <c r="BA12" s="78">
        <v>13</v>
      </c>
      <c r="BB12" s="78">
        <v>13</v>
      </c>
      <c r="BC12" s="78">
        <v>3045</v>
      </c>
      <c r="BD12" s="78">
        <v>1</v>
      </c>
      <c r="BE12" s="78">
        <v>0</v>
      </c>
      <c r="BF12" s="78">
        <v>0</v>
      </c>
      <c r="BG12" s="78">
        <v>0</v>
      </c>
      <c r="BH12" s="78">
        <v>0</v>
      </c>
      <c r="BI12" s="78">
        <v>0</v>
      </c>
      <c r="BJ12" s="78">
        <v>0</v>
      </c>
      <c r="BK12" s="78">
        <v>0</v>
      </c>
      <c r="BL12" s="78">
        <v>0</v>
      </c>
      <c r="BM12" s="78">
        <v>915.49</v>
      </c>
      <c r="BN12" s="78">
        <v>150</v>
      </c>
      <c r="BO12" s="78">
        <v>79</v>
      </c>
      <c r="BP12" s="78">
        <v>7595.64</v>
      </c>
      <c r="BQ12" s="78">
        <v>1486</v>
      </c>
      <c r="BR12" s="78">
        <v>237.678948901838</v>
      </c>
      <c r="BS12" s="78">
        <v>370</v>
      </c>
      <c r="BT12" s="78">
        <v>226</v>
      </c>
      <c r="BU12" s="78">
        <v>191.666666666667</v>
      </c>
      <c r="BV12" s="78">
        <v>2924.9999999999968</v>
      </c>
      <c r="BW12" s="78">
        <v>843</v>
      </c>
      <c r="BX12" s="78">
        <v>8871.5376494299908</v>
      </c>
      <c r="BY12" s="402">
        <v>2.8879999999999999</v>
      </c>
      <c r="BZ12" s="78">
        <v>23635</v>
      </c>
      <c r="CA12" s="78">
        <v>4156</v>
      </c>
      <c r="CB12" s="78">
        <v>1075</v>
      </c>
      <c r="CC12" s="78">
        <v>913</v>
      </c>
      <c r="CD12" s="78">
        <v>1014</v>
      </c>
      <c r="CE12" s="78">
        <v>588</v>
      </c>
      <c r="CF12" s="78">
        <v>723.71091414892896</v>
      </c>
      <c r="CG12" s="78">
        <v>579.64404476935999</v>
      </c>
      <c r="CH12" s="78">
        <v>227.355528239633</v>
      </c>
      <c r="CI12" s="78">
        <v>1621.3887999999999</v>
      </c>
      <c r="CJ12" s="78">
        <v>1298.624</v>
      </c>
      <c r="CK12" s="78">
        <v>509.36320000000001</v>
      </c>
      <c r="CL12" s="78">
        <v>0</v>
      </c>
    </row>
    <row r="13" spans="1:90" x14ac:dyDescent="0.35">
      <c r="A13" s="72">
        <v>47</v>
      </c>
      <c r="B13" s="72" t="s">
        <v>310</v>
      </c>
      <c r="C13" s="72">
        <v>1</v>
      </c>
      <c r="D13" s="78">
        <v>1814000000</v>
      </c>
      <c r="E13" s="78">
        <v>328300000</v>
      </c>
      <c r="F13" s="78">
        <v>342650000</v>
      </c>
      <c r="G13" s="78">
        <v>27466</v>
      </c>
      <c r="H13" s="78">
        <v>1</v>
      </c>
      <c r="I13" s="78">
        <v>342.65</v>
      </c>
      <c r="J13" s="78">
        <v>4940</v>
      </c>
      <c r="K13" s="78">
        <v>6485</v>
      </c>
      <c r="L13" s="78">
        <v>2184</v>
      </c>
      <c r="M13" s="78">
        <v>4824</v>
      </c>
      <c r="N13" s="78">
        <v>3524.1</v>
      </c>
      <c r="O13" s="78">
        <v>870.66666666666697</v>
      </c>
      <c r="P13" s="78">
        <v>47</v>
      </c>
      <c r="Q13" s="78">
        <v>3116.6666666666702</v>
      </c>
      <c r="R13" s="78">
        <v>4518</v>
      </c>
      <c r="S13" s="78">
        <v>1540</v>
      </c>
      <c r="T13" s="78">
        <v>0</v>
      </c>
      <c r="U13" s="78">
        <v>1006</v>
      </c>
      <c r="V13" s="78">
        <v>13052</v>
      </c>
      <c r="W13" s="78">
        <v>30980</v>
      </c>
      <c r="X13" s="78">
        <v>29260</v>
      </c>
      <c r="Y13" s="78">
        <v>942.8</v>
      </c>
      <c r="Z13" s="78">
        <v>1493.6</v>
      </c>
      <c r="AA13" s="78">
        <v>0</v>
      </c>
      <c r="AB13" s="399">
        <v>0</v>
      </c>
      <c r="AC13" s="399">
        <v>0</v>
      </c>
      <c r="AD13" s="78">
        <v>7596</v>
      </c>
      <c r="AE13" s="78">
        <v>7596</v>
      </c>
      <c r="AF13" s="78">
        <v>272</v>
      </c>
      <c r="AG13" s="78">
        <v>0</v>
      </c>
      <c r="AH13" s="78">
        <v>188</v>
      </c>
      <c r="AI13" s="78">
        <v>58</v>
      </c>
      <c r="AJ13" s="78">
        <v>188</v>
      </c>
      <c r="AK13" s="78">
        <v>58</v>
      </c>
      <c r="AL13" s="78">
        <v>246</v>
      </c>
      <c r="AM13" s="78">
        <v>12999</v>
      </c>
      <c r="AN13" s="78">
        <v>12999</v>
      </c>
      <c r="AO13" s="78">
        <v>0</v>
      </c>
      <c r="AP13" s="78">
        <v>0</v>
      </c>
      <c r="AQ13" s="78">
        <v>0</v>
      </c>
      <c r="AR13" s="78">
        <v>0</v>
      </c>
      <c r="AS13" s="78">
        <v>3654</v>
      </c>
      <c r="AT13" s="78">
        <v>0</v>
      </c>
      <c r="AU13" s="400">
        <v>1.8379760000000001E-3</v>
      </c>
      <c r="AV13" s="400">
        <v>1.366882E-3</v>
      </c>
      <c r="AW13" s="78">
        <v>13128.99</v>
      </c>
      <c r="AX13" s="78">
        <v>0</v>
      </c>
      <c r="AY13" s="78">
        <v>3285</v>
      </c>
      <c r="AZ13" s="78">
        <v>11467.438993391001</v>
      </c>
      <c r="BA13" s="78">
        <v>6</v>
      </c>
      <c r="BB13" s="78">
        <v>6</v>
      </c>
      <c r="BC13" s="78">
        <v>2435</v>
      </c>
      <c r="BD13" s="78">
        <v>1</v>
      </c>
      <c r="BE13" s="78">
        <v>0</v>
      </c>
      <c r="BF13" s="78">
        <v>0</v>
      </c>
      <c r="BG13" s="78">
        <v>0</v>
      </c>
      <c r="BH13" s="78">
        <v>0</v>
      </c>
      <c r="BI13" s="78">
        <v>0</v>
      </c>
      <c r="BJ13" s="78">
        <v>0</v>
      </c>
      <c r="BK13" s="78">
        <v>0</v>
      </c>
      <c r="BL13" s="78">
        <v>0</v>
      </c>
      <c r="BM13" s="78">
        <v>805.22</v>
      </c>
      <c r="BN13" s="78">
        <v>161</v>
      </c>
      <c r="BO13" s="78">
        <v>74</v>
      </c>
      <c r="BP13" s="78">
        <v>7002.6</v>
      </c>
      <c r="BQ13" s="78">
        <v>1441.77</v>
      </c>
      <c r="BR13" s="78">
        <v>225.113255587949</v>
      </c>
      <c r="BS13" s="78">
        <v>380</v>
      </c>
      <c r="BT13" s="78">
        <v>226.333333333333</v>
      </c>
      <c r="BU13" s="78">
        <v>220.666666666667</v>
      </c>
      <c r="BV13" s="78">
        <v>2246.0000000000032</v>
      </c>
      <c r="BW13" s="78">
        <v>650</v>
      </c>
      <c r="BX13" s="78">
        <v>6409.3945128934602</v>
      </c>
      <c r="BY13" s="402">
        <v>2.63</v>
      </c>
      <c r="BZ13" s="78">
        <v>20981</v>
      </c>
      <c r="CA13" s="78">
        <v>3620</v>
      </c>
      <c r="CB13" s="78">
        <v>681</v>
      </c>
      <c r="CC13" s="78">
        <v>832</v>
      </c>
      <c r="CD13" s="78">
        <v>733</v>
      </c>
      <c r="CE13" s="78">
        <v>350</v>
      </c>
      <c r="CF13" s="78">
        <v>620.01820909300704</v>
      </c>
      <c r="CG13" s="78">
        <v>412.35141933994902</v>
      </c>
      <c r="CH13" s="78">
        <v>132.84168012924101</v>
      </c>
      <c r="CI13" s="78">
        <v>1356.6484</v>
      </c>
      <c r="CJ13" s="78">
        <v>902.25720000000001</v>
      </c>
      <c r="CK13" s="78">
        <v>290.66800000000001</v>
      </c>
      <c r="CL13" s="78">
        <v>23814</v>
      </c>
    </row>
    <row r="14" spans="1:90" x14ac:dyDescent="0.35">
      <c r="A14" s="72">
        <v>1969</v>
      </c>
      <c r="B14" s="72" t="s">
        <v>336</v>
      </c>
      <c r="C14" s="72">
        <v>1</v>
      </c>
      <c r="D14" s="78">
        <v>5589600000</v>
      </c>
      <c r="E14" s="78">
        <v>788200000</v>
      </c>
      <c r="F14" s="78">
        <v>882000000</v>
      </c>
      <c r="G14" s="78">
        <v>64306</v>
      </c>
      <c r="H14" s="78">
        <v>11</v>
      </c>
      <c r="I14" s="78">
        <v>882</v>
      </c>
      <c r="J14" s="78">
        <v>13313</v>
      </c>
      <c r="K14" s="78">
        <v>13780</v>
      </c>
      <c r="L14" s="78">
        <v>4679</v>
      </c>
      <c r="M14" s="78">
        <v>8008</v>
      </c>
      <c r="N14" s="78">
        <v>5196.8999999999996</v>
      </c>
      <c r="O14" s="78">
        <v>902.66666666666697</v>
      </c>
      <c r="P14" s="78">
        <v>74</v>
      </c>
      <c r="Q14" s="78">
        <v>4072.6666666666702</v>
      </c>
      <c r="R14" s="78">
        <v>7870</v>
      </c>
      <c r="S14" s="78">
        <v>885</v>
      </c>
      <c r="T14" s="78">
        <v>0</v>
      </c>
      <c r="U14" s="78">
        <v>1682</v>
      </c>
      <c r="V14" s="78">
        <v>27976</v>
      </c>
      <c r="W14" s="78">
        <v>56620</v>
      </c>
      <c r="X14" s="78">
        <v>20710</v>
      </c>
      <c r="Y14" s="78">
        <v>0</v>
      </c>
      <c r="Z14" s="78">
        <v>1603.2</v>
      </c>
      <c r="AA14" s="78">
        <v>0</v>
      </c>
      <c r="AB14" s="399">
        <v>0</v>
      </c>
      <c r="AC14" s="399">
        <v>0</v>
      </c>
      <c r="AD14" s="78">
        <v>36262</v>
      </c>
      <c r="AE14" s="78">
        <v>38800.339999999997</v>
      </c>
      <c r="AF14" s="78">
        <v>626</v>
      </c>
      <c r="AG14" s="78">
        <v>0</v>
      </c>
      <c r="AH14" s="78">
        <v>390</v>
      </c>
      <c r="AI14" s="78">
        <v>272</v>
      </c>
      <c r="AJ14" s="78">
        <v>405.6</v>
      </c>
      <c r="AK14" s="78">
        <v>293.76</v>
      </c>
      <c r="AL14" s="78">
        <v>661</v>
      </c>
      <c r="AM14" s="78">
        <v>28111</v>
      </c>
      <c r="AN14" s="78">
        <v>29235.439999999999</v>
      </c>
      <c r="AO14" s="78">
        <v>0</v>
      </c>
      <c r="AP14" s="78">
        <v>0</v>
      </c>
      <c r="AQ14" s="78">
        <v>0</v>
      </c>
      <c r="AR14" s="78">
        <v>0</v>
      </c>
      <c r="AS14" s="78">
        <v>0</v>
      </c>
      <c r="AT14" s="78">
        <v>0</v>
      </c>
      <c r="AU14" s="400">
        <v>2.0676449999999999E-3</v>
      </c>
      <c r="AV14" s="400">
        <v>5.6926500000000001E-4</v>
      </c>
      <c r="AW14" s="78">
        <v>13577.612999999999</v>
      </c>
      <c r="AX14" s="78">
        <v>0</v>
      </c>
      <c r="AY14" s="78">
        <v>8236.86</v>
      </c>
      <c r="AZ14" s="78">
        <v>14627.732260897899</v>
      </c>
      <c r="BA14" s="78">
        <v>39</v>
      </c>
      <c r="BB14" s="78">
        <v>42.12</v>
      </c>
      <c r="BC14" s="78">
        <v>7520</v>
      </c>
      <c r="BD14" s="78">
        <v>1</v>
      </c>
      <c r="BE14" s="78">
        <v>0</v>
      </c>
      <c r="BF14" s="78">
        <v>0</v>
      </c>
      <c r="BG14" s="78">
        <v>0</v>
      </c>
      <c r="BH14" s="78">
        <v>0</v>
      </c>
      <c r="BI14" s="78">
        <v>0</v>
      </c>
      <c r="BJ14" s="78">
        <v>0</v>
      </c>
      <c r="BK14" s="78">
        <v>0</v>
      </c>
      <c r="BL14" s="78">
        <v>0</v>
      </c>
      <c r="BM14" s="78">
        <v>1131.605</v>
      </c>
      <c r="BN14" s="78">
        <v>124</v>
      </c>
      <c r="BO14" s="78">
        <v>98</v>
      </c>
      <c r="BP14" s="78">
        <v>16680.48</v>
      </c>
      <c r="BQ14" s="78">
        <v>4218.5</v>
      </c>
      <c r="BR14" s="78">
        <v>620.98899166831995</v>
      </c>
      <c r="BS14" s="78">
        <v>628</v>
      </c>
      <c r="BT14" s="78">
        <v>241</v>
      </c>
      <c r="BU14" s="78">
        <v>191</v>
      </c>
      <c r="BV14" s="78">
        <v>3170.0000000000032</v>
      </c>
      <c r="BW14" s="78">
        <v>1091</v>
      </c>
      <c r="BX14" s="78">
        <v>10896.0487113289</v>
      </c>
      <c r="BY14" s="402">
        <v>2.0089999999999999</v>
      </c>
      <c r="BZ14" s="78">
        <v>50526</v>
      </c>
      <c r="CA14" s="78">
        <v>7621</v>
      </c>
      <c r="CB14" s="78">
        <v>1480</v>
      </c>
      <c r="CC14" s="78">
        <v>1545</v>
      </c>
      <c r="CD14" s="78">
        <v>1427</v>
      </c>
      <c r="CE14" s="78">
        <v>691</v>
      </c>
      <c r="CF14" s="78">
        <v>869.63173135071702</v>
      </c>
      <c r="CG14" s="78">
        <v>588.81315143538097</v>
      </c>
      <c r="CH14" s="78">
        <v>186.90426879157599</v>
      </c>
      <c r="CI14" s="78">
        <v>2345.8847999999998</v>
      </c>
      <c r="CJ14" s="78">
        <v>1588.3595</v>
      </c>
      <c r="CK14" s="78">
        <v>504.1857</v>
      </c>
      <c r="CL14" s="78">
        <v>140841</v>
      </c>
    </row>
    <row r="15" spans="1:90" x14ac:dyDescent="0.35">
      <c r="A15" s="72">
        <v>1950</v>
      </c>
      <c r="B15" s="72" t="s">
        <v>339</v>
      </c>
      <c r="C15" s="72">
        <v>1</v>
      </c>
      <c r="D15" s="78">
        <v>2119200000</v>
      </c>
      <c r="E15" s="78">
        <v>355950000</v>
      </c>
      <c r="F15" s="78">
        <v>408800000</v>
      </c>
      <c r="G15" s="78">
        <v>26571</v>
      </c>
      <c r="H15" s="78">
        <v>6</v>
      </c>
      <c r="I15" s="78">
        <v>408.8</v>
      </c>
      <c r="J15" s="78">
        <v>4741</v>
      </c>
      <c r="K15" s="78">
        <v>7017</v>
      </c>
      <c r="L15" s="78">
        <v>2260</v>
      </c>
      <c r="M15" s="78">
        <v>4158</v>
      </c>
      <c r="N15" s="78">
        <v>2918.3999999999996</v>
      </c>
      <c r="O15" s="78">
        <v>478.33333333333297</v>
      </c>
      <c r="P15" s="78">
        <v>54</v>
      </c>
      <c r="Q15" s="78">
        <v>2540.3333333333298</v>
      </c>
      <c r="R15" s="78">
        <v>3678</v>
      </c>
      <c r="S15" s="78">
        <v>1535</v>
      </c>
      <c r="T15" s="78">
        <v>0</v>
      </c>
      <c r="U15" s="78">
        <v>697</v>
      </c>
      <c r="V15" s="78">
        <v>13565</v>
      </c>
      <c r="W15" s="78">
        <v>24330</v>
      </c>
      <c r="X15" s="78">
        <v>10210</v>
      </c>
      <c r="Y15" s="78">
        <v>0</v>
      </c>
      <c r="Z15" s="78">
        <v>894.4</v>
      </c>
      <c r="AA15" s="78">
        <v>0</v>
      </c>
      <c r="AB15" s="399">
        <v>0</v>
      </c>
      <c r="AC15" s="399">
        <v>0</v>
      </c>
      <c r="AD15" s="78">
        <v>27569</v>
      </c>
      <c r="AE15" s="78">
        <v>27569</v>
      </c>
      <c r="AF15" s="78">
        <v>496</v>
      </c>
      <c r="AG15" s="78">
        <v>0</v>
      </c>
      <c r="AH15" s="78">
        <v>175</v>
      </c>
      <c r="AI15" s="78">
        <v>150</v>
      </c>
      <c r="AJ15" s="78">
        <v>175</v>
      </c>
      <c r="AK15" s="78">
        <v>150</v>
      </c>
      <c r="AL15" s="78">
        <v>325</v>
      </c>
      <c r="AM15" s="78">
        <v>12396</v>
      </c>
      <c r="AN15" s="78">
        <v>12396</v>
      </c>
      <c r="AO15" s="78">
        <v>0</v>
      </c>
      <c r="AP15" s="78">
        <v>0</v>
      </c>
      <c r="AQ15" s="78">
        <v>0</v>
      </c>
      <c r="AR15" s="78">
        <v>5300</v>
      </c>
      <c r="AS15" s="78">
        <v>0</v>
      </c>
      <c r="AT15" s="78">
        <v>0</v>
      </c>
      <c r="AU15" s="400">
        <v>2.134805E-3</v>
      </c>
      <c r="AV15" s="400">
        <v>4.9666000000000001E-4</v>
      </c>
      <c r="AW15" s="78">
        <v>3557.652</v>
      </c>
      <c r="AX15" s="78">
        <v>0</v>
      </c>
      <c r="AY15" s="78">
        <v>6072</v>
      </c>
      <c r="AZ15" s="78">
        <v>5820.72004275788</v>
      </c>
      <c r="BA15" s="78">
        <v>29</v>
      </c>
      <c r="BB15" s="78">
        <v>29</v>
      </c>
      <c r="BC15" s="78">
        <v>2820</v>
      </c>
      <c r="BD15" s="78">
        <v>1</v>
      </c>
      <c r="BE15" s="78">
        <v>0</v>
      </c>
      <c r="BF15" s="78">
        <v>0</v>
      </c>
      <c r="BG15" s="78">
        <v>0</v>
      </c>
      <c r="BH15" s="78">
        <v>0</v>
      </c>
      <c r="BI15" s="78">
        <v>0</v>
      </c>
      <c r="BJ15" s="78">
        <v>0</v>
      </c>
      <c r="BK15" s="78">
        <v>0</v>
      </c>
      <c r="BL15" s="78">
        <v>0</v>
      </c>
      <c r="BM15" s="78">
        <v>692.18600000000004</v>
      </c>
      <c r="BN15" s="78">
        <v>164</v>
      </c>
      <c r="BO15" s="78">
        <v>136</v>
      </c>
      <c r="BP15" s="78">
        <v>6198.5</v>
      </c>
      <c r="BQ15" s="78">
        <v>1123.2</v>
      </c>
      <c r="BR15" s="78">
        <v>150.70531079478101</v>
      </c>
      <c r="BS15" s="78">
        <v>256</v>
      </c>
      <c r="BT15" s="78">
        <v>137</v>
      </c>
      <c r="BU15" s="78">
        <v>111.666666666667</v>
      </c>
      <c r="BV15" s="78">
        <v>2061.9999999999968</v>
      </c>
      <c r="BW15" s="78">
        <v>511</v>
      </c>
      <c r="BX15" s="78">
        <v>6125.2667251573503</v>
      </c>
      <c r="BY15" s="402">
        <v>1.5429999999999999</v>
      </c>
      <c r="BZ15" s="78">
        <v>19554</v>
      </c>
      <c r="CA15" s="78">
        <v>3980</v>
      </c>
      <c r="CB15" s="78">
        <v>777</v>
      </c>
      <c r="CC15" s="78">
        <v>777</v>
      </c>
      <c r="CD15" s="78">
        <v>695</v>
      </c>
      <c r="CE15" s="78">
        <v>419</v>
      </c>
      <c r="CF15" s="78">
        <v>575.39283639883797</v>
      </c>
      <c r="CG15" s="78">
        <v>364.68228460793802</v>
      </c>
      <c r="CH15" s="78">
        <v>136.31442400774401</v>
      </c>
      <c r="CI15" s="78">
        <v>1449.7808</v>
      </c>
      <c r="CJ15" s="78">
        <v>918.86680000000001</v>
      </c>
      <c r="CK15" s="78">
        <v>343.46280000000002</v>
      </c>
      <c r="CL15" s="78">
        <v>32059</v>
      </c>
    </row>
    <row r="16" spans="1:90" x14ac:dyDescent="0.35">
      <c r="A16" s="72">
        <v>59</v>
      </c>
      <c r="B16" s="72" t="s">
        <v>14</v>
      </c>
      <c r="C16" s="72">
        <v>2</v>
      </c>
      <c r="D16" s="78">
        <v>2158000000</v>
      </c>
      <c r="E16" s="78">
        <v>266000000</v>
      </c>
      <c r="F16" s="78">
        <v>296800000</v>
      </c>
      <c r="G16" s="78">
        <v>27954</v>
      </c>
      <c r="H16" s="78">
        <v>5</v>
      </c>
      <c r="I16" s="78">
        <v>296.8</v>
      </c>
      <c r="J16" s="78">
        <v>5857</v>
      </c>
      <c r="K16" s="78">
        <v>5844</v>
      </c>
      <c r="L16" s="78">
        <v>1946</v>
      </c>
      <c r="M16" s="78">
        <v>4234</v>
      </c>
      <c r="N16" s="78">
        <v>3001</v>
      </c>
      <c r="O16" s="78">
        <v>573.66666666666697</v>
      </c>
      <c r="P16" s="78">
        <v>55</v>
      </c>
      <c r="Q16" s="78">
        <v>2081.6666666666702</v>
      </c>
      <c r="R16" s="78">
        <v>3766</v>
      </c>
      <c r="S16" s="78">
        <v>215</v>
      </c>
      <c r="T16" s="78">
        <v>0</v>
      </c>
      <c r="U16" s="78">
        <v>814</v>
      </c>
      <c r="V16" s="78">
        <v>12158</v>
      </c>
      <c r="W16" s="78">
        <v>27600</v>
      </c>
      <c r="X16" s="78">
        <v>10280</v>
      </c>
      <c r="Y16" s="78">
        <v>0</v>
      </c>
      <c r="Z16" s="78">
        <v>1088</v>
      </c>
      <c r="AA16" s="78">
        <v>0</v>
      </c>
      <c r="AB16" s="399">
        <v>0</v>
      </c>
      <c r="AC16" s="399">
        <v>0</v>
      </c>
      <c r="AD16" s="78">
        <v>10212</v>
      </c>
      <c r="AE16" s="78">
        <v>10212</v>
      </c>
      <c r="AF16" s="78">
        <v>186</v>
      </c>
      <c r="AG16" s="78">
        <v>0</v>
      </c>
      <c r="AH16" s="78">
        <v>193</v>
      </c>
      <c r="AI16" s="78">
        <v>76</v>
      </c>
      <c r="AJ16" s="78">
        <v>193</v>
      </c>
      <c r="AK16" s="78">
        <v>76</v>
      </c>
      <c r="AL16" s="78">
        <v>269</v>
      </c>
      <c r="AM16" s="78">
        <v>12330</v>
      </c>
      <c r="AN16" s="78">
        <v>12330</v>
      </c>
      <c r="AO16" s="78">
        <v>0</v>
      </c>
      <c r="AP16" s="78">
        <v>0</v>
      </c>
      <c r="AQ16" s="78">
        <v>0</v>
      </c>
      <c r="AR16" s="78">
        <v>0</v>
      </c>
      <c r="AS16" s="78">
        <v>0</v>
      </c>
      <c r="AT16" s="78">
        <v>0</v>
      </c>
      <c r="AU16" s="400">
        <v>7.2742499999999997E-4</v>
      </c>
      <c r="AV16" s="400">
        <v>3.2451499999999999E-4</v>
      </c>
      <c r="AW16" s="78">
        <v>5351.22</v>
      </c>
      <c r="AX16" s="78">
        <v>0</v>
      </c>
      <c r="AY16" s="78">
        <v>2430</v>
      </c>
      <c r="AZ16" s="78">
        <v>6532.8159261396404</v>
      </c>
      <c r="BA16" s="78">
        <v>13</v>
      </c>
      <c r="BB16" s="78">
        <v>13</v>
      </c>
      <c r="BC16" s="78">
        <v>3120</v>
      </c>
      <c r="BD16" s="78">
        <v>1</v>
      </c>
      <c r="BE16" s="78">
        <v>0</v>
      </c>
      <c r="BF16" s="78">
        <v>0</v>
      </c>
      <c r="BG16" s="78">
        <v>0</v>
      </c>
      <c r="BH16" s="78">
        <v>0</v>
      </c>
      <c r="BI16" s="78">
        <v>0</v>
      </c>
      <c r="BJ16" s="78">
        <v>0</v>
      </c>
      <c r="BK16" s="78">
        <v>0</v>
      </c>
      <c r="BL16" s="78">
        <v>0</v>
      </c>
      <c r="BM16" s="78">
        <v>702.84</v>
      </c>
      <c r="BN16" s="78">
        <v>110</v>
      </c>
      <c r="BO16" s="78">
        <v>46</v>
      </c>
      <c r="BP16" s="78">
        <v>6194.76</v>
      </c>
      <c r="BQ16" s="78">
        <v>1573</v>
      </c>
      <c r="BR16" s="78">
        <v>402.25897115817901</v>
      </c>
      <c r="BS16" s="78">
        <v>325</v>
      </c>
      <c r="BT16" s="78">
        <v>138.666666666667</v>
      </c>
      <c r="BU16" s="78">
        <v>119.666666666667</v>
      </c>
      <c r="BV16" s="78">
        <v>1508.0000000000032</v>
      </c>
      <c r="BW16" s="78">
        <v>498</v>
      </c>
      <c r="BX16" s="78">
        <v>5409.4496774193603</v>
      </c>
      <c r="BY16" s="402">
        <v>1.734</v>
      </c>
      <c r="BZ16" s="78">
        <v>22110</v>
      </c>
      <c r="CA16" s="78">
        <v>3342</v>
      </c>
      <c r="CB16" s="78">
        <v>556</v>
      </c>
      <c r="CC16" s="78">
        <v>712</v>
      </c>
      <c r="CD16" s="78">
        <v>658</v>
      </c>
      <c r="CE16" s="78">
        <v>297</v>
      </c>
      <c r="CF16" s="78">
        <v>512.09278183292804</v>
      </c>
      <c r="CG16" s="78">
        <v>337.09529602595302</v>
      </c>
      <c r="CH16" s="78">
        <v>97.356042173560397</v>
      </c>
      <c r="CI16" s="78">
        <v>1326.3616</v>
      </c>
      <c r="CJ16" s="78">
        <v>873.10400000000004</v>
      </c>
      <c r="CK16" s="78">
        <v>252.16</v>
      </c>
      <c r="CL16" s="78">
        <v>0</v>
      </c>
    </row>
    <row r="17" spans="1:90" x14ac:dyDescent="0.35">
      <c r="A17" s="72">
        <v>60</v>
      </c>
      <c r="B17" s="72" t="s">
        <v>23</v>
      </c>
      <c r="C17" s="72">
        <v>2</v>
      </c>
      <c r="D17" s="78">
        <v>1153200000</v>
      </c>
      <c r="E17" s="78">
        <v>116200000</v>
      </c>
      <c r="F17" s="78">
        <v>126000000</v>
      </c>
      <c r="G17" s="78">
        <v>3757</v>
      </c>
      <c r="H17" s="78">
        <v>3</v>
      </c>
      <c r="I17" s="78">
        <v>126</v>
      </c>
      <c r="J17" s="78">
        <v>682</v>
      </c>
      <c r="K17" s="78">
        <v>905</v>
      </c>
      <c r="L17" s="78">
        <v>344</v>
      </c>
      <c r="M17" s="78">
        <v>548</v>
      </c>
      <c r="N17" s="78">
        <v>175.7</v>
      </c>
      <c r="O17" s="78">
        <v>7.6666666666666696</v>
      </c>
      <c r="P17" s="78">
        <v>12</v>
      </c>
      <c r="Q17" s="78">
        <v>127.666666666667</v>
      </c>
      <c r="R17" s="78">
        <v>680</v>
      </c>
      <c r="S17" s="78">
        <v>0</v>
      </c>
      <c r="T17" s="78">
        <v>0</v>
      </c>
      <c r="U17" s="78">
        <v>89</v>
      </c>
      <c r="V17" s="78">
        <v>1796</v>
      </c>
      <c r="W17" s="78">
        <v>3610</v>
      </c>
      <c r="X17" s="78">
        <v>240</v>
      </c>
      <c r="Y17" s="78">
        <v>0</v>
      </c>
      <c r="Z17" s="78">
        <v>124</v>
      </c>
      <c r="AA17" s="78">
        <v>0</v>
      </c>
      <c r="AB17" s="399">
        <v>0</v>
      </c>
      <c r="AC17" s="399">
        <v>0</v>
      </c>
      <c r="AD17" s="78">
        <v>5908</v>
      </c>
      <c r="AE17" s="78">
        <v>5908</v>
      </c>
      <c r="AF17" s="78">
        <v>78</v>
      </c>
      <c r="AG17" s="78">
        <v>10000</v>
      </c>
      <c r="AH17" s="78">
        <v>47</v>
      </c>
      <c r="AI17" s="78">
        <v>10</v>
      </c>
      <c r="AJ17" s="78">
        <v>47</v>
      </c>
      <c r="AK17" s="78">
        <v>10</v>
      </c>
      <c r="AL17" s="78">
        <v>57</v>
      </c>
      <c r="AM17" s="78">
        <v>3723</v>
      </c>
      <c r="AN17" s="78">
        <v>3723</v>
      </c>
      <c r="AO17" s="78">
        <v>0</v>
      </c>
      <c r="AP17" s="78">
        <v>0</v>
      </c>
      <c r="AQ17" s="78">
        <v>0</v>
      </c>
      <c r="AR17" s="78">
        <v>0</v>
      </c>
      <c r="AS17" s="78">
        <v>0</v>
      </c>
      <c r="AT17" s="78">
        <v>0</v>
      </c>
      <c r="AU17" s="400">
        <v>2.41883E-4</v>
      </c>
      <c r="AV17" s="400">
        <v>2.4516999999999999E-5</v>
      </c>
      <c r="AW17" s="78">
        <v>967.98</v>
      </c>
      <c r="AX17" s="78">
        <v>0</v>
      </c>
      <c r="AY17" s="78">
        <v>1043</v>
      </c>
      <c r="AZ17" s="78">
        <v>654.61927831607102</v>
      </c>
      <c r="BA17" s="78">
        <v>4</v>
      </c>
      <c r="BB17" s="78">
        <v>4</v>
      </c>
      <c r="BC17" s="78">
        <v>670</v>
      </c>
      <c r="BD17" s="78">
        <v>1</v>
      </c>
      <c r="BE17" s="78">
        <v>0</v>
      </c>
      <c r="BF17" s="78">
        <v>0</v>
      </c>
      <c r="BG17" s="78">
        <v>0</v>
      </c>
      <c r="BH17" s="78">
        <v>0</v>
      </c>
      <c r="BI17" s="78">
        <v>1</v>
      </c>
      <c r="BJ17" s="78">
        <v>2500</v>
      </c>
      <c r="BK17" s="78">
        <v>1257</v>
      </c>
      <c r="BL17" s="78">
        <v>0</v>
      </c>
      <c r="BM17" s="78">
        <v>52.514000000000003</v>
      </c>
      <c r="BN17" s="78">
        <v>0</v>
      </c>
      <c r="BO17" s="78">
        <v>3</v>
      </c>
      <c r="BP17" s="78">
        <v>1002.06</v>
      </c>
      <c r="BQ17" s="78">
        <v>197.68</v>
      </c>
      <c r="BR17" s="78">
        <v>24.764956521739101</v>
      </c>
      <c r="BS17" s="78">
        <v>31</v>
      </c>
      <c r="BT17" s="78">
        <v>1.6666666666666701</v>
      </c>
      <c r="BU17" s="78">
        <v>0.66666666666666696</v>
      </c>
      <c r="BV17" s="78">
        <v>120.00000000000033</v>
      </c>
      <c r="BW17" s="78">
        <v>27</v>
      </c>
      <c r="BX17" s="78">
        <v>501.94964228510401</v>
      </c>
      <c r="BY17" s="402">
        <v>1.7999999999999999E-2</v>
      </c>
      <c r="BZ17" s="78">
        <v>2852</v>
      </c>
      <c r="CA17" s="78">
        <v>475</v>
      </c>
      <c r="CB17" s="78">
        <v>86</v>
      </c>
      <c r="CC17" s="78">
        <v>99</v>
      </c>
      <c r="CD17" s="78">
        <v>110</v>
      </c>
      <c r="CE17" s="78">
        <v>42</v>
      </c>
      <c r="CF17" s="78">
        <v>13.638812785388099</v>
      </c>
      <c r="CG17" s="78">
        <v>11.279156594144499</v>
      </c>
      <c r="CH17" s="78">
        <v>2.9259736771420899</v>
      </c>
      <c r="CI17" s="78">
        <v>164.15199999999999</v>
      </c>
      <c r="CJ17" s="78">
        <v>135.75200000000001</v>
      </c>
      <c r="CK17" s="78">
        <v>35.216000000000001</v>
      </c>
      <c r="CL17" s="78">
        <v>1985</v>
      </c>
    </row>
    <row r="18" spans="1:90" x14ac:dyDescent="0.35">
      <c r="A18" s="72">
        <v>1891</v>
      </c>
      <c r="B18" s="72" t="s">
        <v>75</v>
      </c>
      <c r="C18" s="72">
        <v>2</v>
      </c>
      <c r="D18" s="78">
        <v>1564000000</v>
      </c>
      <c r="E18" s="78">
        <v>155750000</v>
      </c>
      <c r="F18" s="78">
        <v>180950000</v>
      </c>
      <c r="G18" s="78">
        <v>18957</v>
      </c>
      <c r="H18" s="78">
        <v>3</v>
      </c>
      <c r="I18" s="78">
        <v>180.95</v>
      </c>
      <c r="J18" s="78">
        <v>3768</v>
      </c>
      <c r="K18" s="78">
        <v>4379</v>
      </c>
      <c r="L18" s="78">
        <v>1501</v>
      </c>
      <c r="M18" s="78">
        <v>2864</v>
      </c>
      <c r="N18" s="78">
        <v>2024.5</v>
      </c>
      <c r="O18" s="78">
        <v>428.66666666666703</v>
      </c>
      <c r="P18" s="78">
        <v>75</v>
      </c>
      <c r="Q18" s="78">
        <v>1484.6666666666699</v>
      </c>
      <c r="R18" s="78">
        <v>2395</v>
      </c>
      <c r="S18" s="78">
        <v>145</v>
      </c>
      <c r="T18" s="78">
        <v>0</v>
      </c>
      <c r="U18" s="78">
        <v>468</v>
      </c>
      <c r="V18" s="78">
        <v>8269</v>
      </c>
      <c r="W18" s="78">
        <v>18360</v>
      </c>
      <c r="X18" s="78">
        <v>5730</v>
      </c>
      <c r="Y18" s="78">
        <v>861.54</v>
      </c>
      <c r="Z18" s="78">
        <v>0</v>
      </c>
      <c r="AA18" s="78">
        <v>0</v>
      </c>
      <c r="AB18" s="399">
        <v>0</v>
      </c>
      <c r="AC18" s="399">
        <v>0</v>
      </c>
      <c r="AD18" s="78">
        <v>8456</v>
      </c>
      <c r="AE18" s="78">
        <v>8456</v>
      </c>
      <c r="AF18" s="78">
        <v>297</v>
      </c>
      <c r="AG18" s="78">
        <v>0</v>
      </c>
      <c r="AH18" s="78">
        <v>115</v>
      </c>
      <c r="AI18" s="78">
        <v>48</v>
      </c>
      <c r="AJ18" s="78">
        <v>115</v>
      </c>
      <c r="AK18" s="78">
        <v>48</v>
      </c>
      <c r="AL18" s="78">
        <v>163</v>
      </c>
      <c r="AM18" s="78">
        <v>8395</v>
      </c>
      <c r="AN18" s="78">
        <v>8395</v>
      </c>
      <c r="AO18" s="78">
        <v>0</v>
      </c>
      <c r="AP18" s="78">
        <v>0</v>
      </c>
      <c r="AQ18" s="78">
        <v>0</v>
      </c>
      <c r="AR18" s="78">
        <v>0</v>
      </c>
      <c r="AS18" s="78">
        <v>573</v>
      </c>
      <c r="AT18" s="78">
        <v>0</v>
      </c>
      <c r="AU18" s="400">
        <v>6.2478900000000005E-4</v>
      </c>
      <c r="AV18" s="400">
        <v>1.8494799999999999E-4</v>
      </c>
      <c r="AW18" s="78">
        <v>3844.91</v>
      </c>
      <c r="AX18" s="78">
        <v>0</v>
      </c>
      <c r="AY18" s="78">
        <v>2561</v>
      </c>
      <c r="AZ18" s="78">
        <v>5546.5414143722101</v>
      </c>
      <c r="BA18" s="78">
        <v>8</v>
      </c>
      <c r="BB18" s="78">
        <v>8</v>
      </c>
      <c r="BC18" s="78">
        <v>1875</v>
      </c>
      <c r="BD18" s="78">
        <v>1</v>
      </c>
      <c r="BE18" s="78">
        <v>0</v>
      </c>
      <c r="BF18" s="78">
        <v>0</v>
      </c>
      <c r="BG18" s="78">
        <v>0</v>
      </c>
      <c r="BH18" s="78">
        <v>0</v>
      </c>
      <c r="BI18" s="78">
        <v>0</v>
      </c>
      <c r="BJ18" s="78">
        <v>0</v>
      </c>
      <c r="BK18" s="78">
        <v>0</v>
      </c>
      <c r="BL18" s="78">
        <v>0</v>
      </c>
      <c r="BM18" s="78">
        <v>429.55200000000002</v>
      </c>
      <c r="BN18" s="78">
        <v>58</v>
      </c>
      <c r="BO18" s="78">
        <v>51</v>
      </c>
      <c r="BP18" s="78">
        <v>4269.24</v>
      </c>
      <c r="BQ18" s="78">
        <v>997.88</v>
      </c>
      <c r="BR18" s="78">
        <v>164.386609831557</v>
      </c>
      <c r="BS18" s="78">
        <v>178</v>
      </c>
      <c r="BT18" s="78">
        <v>92</v>
      </c>
      <c r="BU18" s="78">
        <v>85.6666666666667</v>
      </c>
      <c r="BV18" s="78">
        <v>1056.000000000003</v>
      </c>
      <c r="BW18" s="78">
        <v>357</v>
      </c>
      <c r="BX18" s="78">
        <v>3709.5795745130099</v>
      </c>
      <c r="BY18" s="402">
        <v>1.302</v>
      </c>
      <c r="BZ18" s="78">
        <v>14578</v>
      </c>
      <c r="CA18" s="78">
        <v>2390</v>
      </c>
      <c r="CB18" s="78">
        <v>488</v>
      </c>
      <c r="CC18" s="78">
        <v>459</v>
      </c>
      <c r="CD18" s="78">
        <v>465</v>
      </c>
      <c r="CE18" s="78">
        <v>228</v>
      </c>
      <c r="CF18" s="78">
        <v>355.945443716498</v>
      </c>
      <c r="CG18" s="78">
        <v>246.943180464562</v>
      </c>
      <c r="CH18" s="78">
        <v>75.481655747468693</v>
      </c>
      <c r="CI18" s="78">
        <v>898.58879999999999</v>
      </c>
      <c r="CJ18" s="78">
        <v>623.41120000000001</v>
      </c>
      <c r="CK18" s="78">
        <v>190.55439999999999</v>
      </c>
      <c r="CL18" s="78">
        <v>25575</v>
      </c>
    </row>
    <row r="19" spans="1:90" x14ac:dyDescent="0.35">
      <c r="A19" s="72">
        <v>1940</v>
      </c>
      <c r="B19" s="72" t="s">
        <v>77</v>
      </c>
      <c r="C19" s="72">
        <v>2</v>
      </c>
      <c r="D19" s="78">
        <v>5512800000</v>
      </c>
      <c r="E19" s="78">
        <v>646800000</v>
      </c>
      <c r="F19" s="78">
        <v>736400000</v>
      </c>
      <c r="G19" s="78">
        <v>51597</v>
      </c>
      <c r="H19" s="78">
        <v>10</v>
      </c>
      <c r="I19" s="78">
        <v>736.4</v>
      </c>
      <c r="J19" s="78">
        <v>9829</v>
      </c>
      <c r="K19" s="78">
        <v>12539</v>
      </c>
      <c r="L19" s="78">
        <v>4319</v>
      </c>
      <c r="M19" s="78">
        <v>6770</v>
      </c>
      <c r="N19" s="78">
        <v>4232.2999999999993</v>
      </c>
      <c r="O19" s="78">
        <v>746</v>
      </c>
      <c r="P19" s="78">
        <v>74</v>
      </c>
      <c r="Q19" s="78">
        <v>2480</v>
      </c>
      <c r="R19" s="78">
        <v>7065</v>
      </c>
      <c r="S19" s="78">
        <v>775</v>
      </c>
      <c r="T19" s="78">
        <v>0</v>
      </c>
      <c r="U19" s="78">
        <v>1271</v>
      </c>
      <c r="V19" s="78">
        <v>23119</v>
      </c>
      <c r="W19" s="78">
        <v>48460</v>
      </c>
      <c r="X19" s="78">
        <v>27190</v>
      </c>
      <c r="Y19" s="78">
        <v>0</v>
      </c>
      <c r="Z19" s="78">
        <v>960</v>
      </c>
      <c r="AA19" s="78">
        <v>0</v>
      </c>
      <c r="AB19" s="399">
        <v>0</v>
      </c>
      <c r="AC19" s="399">
        <v>0</v>
      </c>
      <c r="AD19" s="78">
        <v>35104</v>
      </c>
      <c r="AE19" s="78">
        <v>35104</v>
      </c>
      <c r="AF19" s="78">
        <v>6713</v>
      </c>
      <c r="AG19" s="78">
        <v>10000</v>
      </c>
      <c r="AH19" s="78">
        <v>346</v>
      </c>
      <c r="AI19" s="78">
        <v>212</v>
      </c>
      <c r="AJ19" s="78">
        <v>346</v>
      </c>
      <c r="AK19" s="78">
        <v>212</v>
      </c>
      <c r="AL19" s="78">
        <v>558</v>
      </c>
      <c r="AM19" s="78">
        <v>25377</v>
      </c>
      <c r="AN19" s="78">
        <v>25377</v>
      </c>
      <c r="AO19" s="78">
        <v>5</v>
      </c>
      <c r="AP19" s="78">
        <v>0</v>
      </c>
      <c r="AQ19" s="78">
        <v>0</v>
      </c>
      <c r="AR19" s="78">
        <v>1450</v>
      </c>
      <c r="AS19" s="78">
        <v>1818</v>
      </c>
      <c r="AT19" s="78">
        <v>0</v>
      </c>
      <c r="AU19" s="400">
        <v>1.7896570000000001E-3</v>
      </c>
      <c r="AV19" s="400">
        <v>5.3733600000000002E-4</v>
      </c>
      <c r="AW19" s="78">
        <v>14134.989</v>
      </c>
      <c r="AX19" s="78">
        <v>0</v>
      </c>
      <c r="AY19" s="78">
        <v>14246</v>
      </c>
      <c r="AZ19" s="78">
        <v>17577.7999856518</v>
      </c>
      <c r="BA19" s="78">
        <v>43</v>
      </c>
      <c r="BB19" s="78">
        <v>43</v>
      </c>
      <c r="BC19" s="78">
        <v>7275</v>
      </c>
      <c r="BD19" s="78">
        <v>1</v>
      </c>
      <c r="BE19" s="78">
        <v>0</v>
      </c>
      <c r="BF19" s="78">
        <v>0</v>
      </c>
      <c r="BG19" s="78">
        <v>0</v>
      </c>
      <c r="BH19" s="78">
        <v>0</v>
      </c>
      <c r="BI19" s="78">
        <v>0</v>
      </c>
      <c r="BJ19" s="78">
        <v>0</v>
      </c>
      <c r="BK19" s="78">
        <v>0</v>
      </c>
      <c r="BL19" s="78">
        <v>0</v>
      </c>
      <c r="BM19" s="78">
        <v>864.952</v>
      </c>
      <c r="BN19" s="78">
        <v>125</v>
      </c>
      <c r="BO19" s="78">
        <v>106</v>
      </c>
      <c r="BP19" s="78">
        <v>14309.12</v>
      </c>
      <c r="BQ19" s="78">
        <v>3201.28</v>
      </c>
      <c r="BR19" s="78">
        <v>285.17070440749501</v>
      </c>
      <c r="BS19" s="78">
        <v>496</v>
      </c>
      <c r="BT19" s="78">
        <v>192.333333333333</v>
      </c>
      <c r="BU19" s="78">
        <v>162</v>
      </c>
      <c r="BV19" s="78">
        <v>1734</v>
      </c>
      <c r="BW19" s="78">
        <v>577</v>
      </c>
      <c r="BX19" s="78">
        <v>8076.3086654563704</v>
      </c>
      <c r="BY19" s="402">
        <v>1.5029999999999999</v>
      </c>
      <c r="BZ19" s="78">
        <v>39058</v>
      </c>
      <c r="CA19" s="78">
        <v>6836</v>
      </c>
      <c r="CB19" s="78">
        <v>1384</v>
      </c>
      <c r="CC19" s="78">
        <v>1266</v>
      </c>
      <c r="CD19" s="78">
        <v>1323</v>
      </c>
      <c r="CE19" s="78">
        <v>630</v>
      </c>
      <c r="CF19" s="78">
        <v>691.95778460811005</v>
      </c>
      <c r="CG19" s="78">
        <v>496.32836032628001</v>
      </c>
      <c r="CH19" s="78">
        <v>156.937159632738</v>
      </c>
      <c r="CI19" s="78">
        <v>1998.1584</v>
      </c>
      <c r="CJ19" s="78">
        <v>1433.2416000000001</v>
      </c>
      <c r="CK19" s="78">
        <v>453.18560000000002</v>
      </c>
      <c r="CL19" s="78">
        <v>38648</v>
      </c>
    </row>
    <row r="20" spans="1:90" x14ac:dyDescent="0.35">
      <c r="A20" s="72">
        <v>72</v>
      </c>
      <c r="B20" s="72" t="s">
        <v>132</v>
      </c>
      <c r="C20" s="72">
        <v>2</v>
      </c>
      <c r="D20" s="78">
        <v>1273200000</v>
      </c>
      <c r="E20" s="78">
        <v>278600000</v>
      </c>
      <c r="F20" s="78">
        <v>292600000</v>
      </c>
      <c r="G20" s="78">
        <v>15904</v>
      </c>
      <c r="H20" s="78">
        <v>1</v>
      </c>
      <c r="I20" s="78">
        <v>292.60000000000002</v>
      </c>
      <c r="J20" s="78">
        <v>2878</v>
      </c>
      <c r="K20" s="78">
        <v>4199</v>
      </c>
      <c r="L20" s="78">
        <v>1546</v>
      </c>
      <c r="M20" s="78">
        <v>2913</v>
      </c>
      <c r="N20" s="78">
        <v>2121</v>
      </c>
      <c r="O20" s="78">
        <v>514</v>
      </c>
      <c r="P20" s="78">
        <v>24</v>
      </c>
      <c r="Q20" s="78">
        <v>1214</v>
      </c>
      <c r="R20" s="78">
        <v>3062</v>
      </c>
      <c r="S20" s="78">
        <v>380</v>
      </c>
      <c r="T20" s="78">
        <v>0</v>
      </c>
      <c r="U20" s="78">
        <v>554</v>
      </c>
      <c r="V20" s="78">
        <v>7901</v>
      </c>
      <c r="W20" s="78">
        <v>17370</v>
      </c>
      <c r="X20" s="78">
        <v>16760</v>
      </c>
      <c r="Y20" s="78">
        <v>0</v>
      </c>
      <c r="Z20" s="78">
        <v>956.8</v>
      </c>
      <c r="AA20" s="78">
        <v>0</v>
      </c>
      <c r="AB20" s="399">
        <v>0</v>
      </c>
      <c r="AC20" s="399">
        <v>0</v>
      </c>
      <c r="AD20" s="78">
        <v>2494</v>
      </c>
      <c r="AE20" s="78">
        <v>2518.94</v>
      </c>
      <c r="AF20" s="78">
        <v>170</v>
      </c>
      <c r="AG20" s="78">
        <v>10000</v>
      </c>
      <c r="AH20" s="78">
        <v>95</v>
      </c>
      <c r="AI20" s="78">
        <v>28</v>
      </c>
      <c r="AJ20" s="78">
        <v>95.95</v>
      </c>
      <c r="AK20" s="78">
        <v>28.28</v>
      </c>
      <c r="AL20" s="78">
        <v>123</v>
      </c>
      <c r="AM20" s="78">
        <v>7920</v>
      </c>
      <c r="AN20" s="78">
        <v>7999.2</v>
      </c>
      <c r="AO20" s="78">
        <v>0</v>
      </c>
      <c r="AP20" s="78">
        <v>45</v>
      </c>
      <c r="AQ20" s="78">
        <v>0</v>
      </c>
      <c r="AR20" s="78">
        <v>6000</v>
      </c>
      <c r="AS20" s="78">
        <v>2541</v>
      </c>
      <c r="AT20" s="78">
        <v>2541</v>
      </c>
      <c r="AU20" s="400">
        <v>1.659235E-3</v>
      </c>
      <c r="AV20" s="400">
        <v>7.3000799999999998E-4</v>
      </c>
      <c r="AW20" s="78">
        <v>8458.56</v>
      </c>
      <c r="AX20" s="78">
        <v>0</v>
      </c>
      <c r="AY20" s="78">
        <v>1305.93</v>
      </c>
      <c r="AZ20" s="78">
        <v>8013.4309909909898</v>
      </c>
      <c r="BA20" s="78">
        <v>2</v>
      </c>
      <c r="BB20" s="78">
        <v>2.02</v>
      </c>
      <c r="BC20" s="78">
        <v>1855</v>
      </c>
      <c r="BD20" s="78">
        <v>1</v>
      </c>
      <c r="BE20" s="78">
        <v>0</v>
      </c>
      <c r="BF20" s="78">
        <v>0</v>
      </c>
      <c r="BG20" s="78">
        <v>0</v>
      </c>
      <c r="BH20" s="78">
        <v>0</v>
      </c>
      <c r="BI20" s="78">
        <v>0</v>
      </c>
      <c r="BJ20" s="78">
        <v>0</v>
      </c>
      <c r="BK20" s="78">
        <v>0</v>
      </c>
      <c r="BL20" s="78">
        <v>0</v>
      </c>
      <c r="BM20" s="78">
        <v>440.334</v>
      </c>
      <c r="BN20" s="78">
        <v>46</v>
      </c>
      <c r="BO20" s="78">
        <v>25</v>
      </c>
      <c r="BP20" s="78">
        <v>4131.54</v>
      </c>
      <c r="BQ20" s="78">
        <v>780</v>
      </c>
      <c r="BR20" s="78">
        <v>161.45159854014599</v>
      </c>
      <c r="BS20" s="78">
        <v>210</v>
      </c>
      <c r="BT20" s="78">
        <v>117.666666666667</v>
      </c>
      <c r="BU20" s="78">
        <v>110.666666666667</v>
      </c>
      <c r="BV20" s="78">
        <v>700</v>
      </c>
      <c r="BW20" s="78">
        <v>197</v>
      </c>
      <c r="BX20" s="78">
        <v>3381.7858315936001</v>
      </c>
      <c r="BY20" s="402">
        <v>1.5069999999999999</v>
      </c>
      <c r="BZ20" s="78">
        <v>11705</v>
      </c>
      <c r="CA20" s="78">
        <v>2258</v>
      </c>
      <c r="CB20" s="78">
        <v>395</v>
      </c>
      <c r="CC20" s="78">
        <v>595</v>
      </c>
      <c r="CD20" s="78">
        <v>493</v>
      </c>
      <c r="CE20" s="78">
        <v>183</v>
      </c>
      <c r="CF20" s="78">
        <v>385.63636363636402</v>
      </c>
      <c r="CG20" s="78">
        <v>288.15606060606098</v>
      </c>
      <c r="CH20" s="78">
        <v>71.771212121212102</v>
      </c>
      <c r="CI20" s="78">
        <v>854.20799999999997</v>
      </c>
      <c r="CJ20" s="78">
        <v>638.28319999999997</v>
      </c>
      <c r="CK20" s="78">
        <v>158.9776</v>
      </c>
      <c r="CL20" s="78">
        <v>13230</v>
      </c>
    </row>
    <row r="21" spans="1:90" x14ac:dyDescent="0.35">
      <c r="A21" s="72">
        <v>74</v>
      </c>
      <c r="B21" s="72" t="s">
        <v>137</v>
      </c>
      <c r="C21" s="72">
        <v>2</v>
      </c>
      <c r="D21" s="78">
        <v>5024400000</v>
      </c>
      <c r="E21" s="78">
        <v>845600000</v>
      </c>
      <c r="F21" s="78">
        <v>880250000</v>
      </c>
      <c r="G21" s="78">
        <v>51119</v>
      </c>
      <c r="H21" s="78">
        <v>5</v>
      </c>
      <c r="I21" s="78">
        <v>880.25</v>
      </c>
      <c r="J21" s="78">
        <v>9757</v>
      </c>
      <c r="K21" s="78">
        <v>11589</v>
      </c>
      <c r="L21" s="78">
        <v>3975</v>
      </c>
      <c r="M21" s="78">
        <v>7902</v>
      </c>
      <c r="N21" s="78">
        <v>5480.5</v>
      </c>
      <c r="O21" s="78">
        <v>1291</v>
      </c>
      <c r="P21" s="78">
        <v>112</v>
      </c>
      <c r="Q21" s="78">
        <v>3645</v>
      </c>
      <c r="R21" s="78">
        <v>8488</v>
      </c>
      <c r="S21" s="78">
        <v>1770</v>
      </c>
      <c r="T21" s="78">
        <v>0</v>
      </c>
      <c r="U21" s="78">
        <v>1705</v>
      </c>
      <c r="V21" s="78">
        <v>24013</v>
      </c>
      <c r="W21" s="78">
        <v>53720</v>
      </c>
      <c r="X21" s="78">
        <v>54420</v>
      </c>
      <c r="Y21" s="78">
        <v>964.7</v>
      </c>
      <c r="Z21" s="78">
        <v>2845.6</v>
      </c>
      <c r="AA21" s="78">
        <v>0</v>
      </c>
      <c r="AB21" s="399">
        <v>0</v>
      </c>
      <c r="AC21" s="399">
        <v>0</v>
      </c>
      <c r="AD21" s="78">
        <v>18982</v>
      </c>
      <c r="AE21" s="78">
        <v>18982</v>
      </c>
      <c r="AF21" s="78">
        <v>835</v>
      </c>
      <c r="AG21" s="78">
        <v>0</v>
      </c>
      <c r="AH21" s="78">
        <v>311</v>
      </c>
      <c r="AI21" s="78">
        <v>157</v>
      </c>
      <c r="AJ21" s="78">
        <v>311</v>
      </c>
      <c r="AK21" s="78">
        <v>157</v>
      </c>
      <c r="AL21" s="78">
        <v>468</v>
      </c>
      <c r="AM21" s="78">
        <v>24215</v>
      </c>
      <c r="AN21" s="78">
        <v>24215</v>
      </c>
      <c r="AO21" s="78">
        <v>9</v>
      </c>
      <c r="AP21" s="78">
        <v>0</v>
      </c>
      <c r="AQ21" s="78">
        <v>0</v>
      </c>
      <c r="AR21" s="78">
        <v>2300</v>
      </c>
      <c r="AS21" s="78">
        <v>2234</v>
      </c>
      <c r="AT21" s="78">
        <v>1600</v>
      </c>
      <c r="AU21" s="400">
        <v>2.0498500000000002E-3</v>
      </c>
      <c r="AV21" s="400">
        <v>1.6584799999999999E-3</v>
      </c>
      <c r="AW21" s="78">
        <v>26442.78</v>
      </c>
      <c r="AX21" s="78">
        <v>0</v>
      </c>
      <c r="AY21" s="78">
        <v>9428</v>
      </c>
      <c r="AZ21" s="78">
        <v>24577.980118080399</v>
      </c>
      <c r="BA21" s="78">
        <v>23</v>
      </c>
      <c r="BB21" s="78">
        <v>23</v>
      </c>
      <c r="BC21" s="78">
        <v>6460</v>
      </c>
      <c r="BD21" s="78">
        <v>1</v>
      </c>
      <c r="BE21" s="78">
        <v>0</v>
      </c>
      <c r="BF21" s="78">
        <v>0</v>
      </c>
      <c r="BG21" s="78">
        <v>0</v>
      </c>
      <c r="BH21" s="78">
        <v>0</v>
      </c>
      <c r="BI21" s="78">
        <v>0</v>
      </c>
      <c r="BJ21" s="78">
        <v>0</v>
      </c>
      <c r="BK21" s="78">
        <v>0</v>
      </c>
      <c r="BL21" s="78">
        <v>0</v>
      </c>
      <c r="BM21" s="78">
        <v>1043.999</v>
      </c>
      <c r="BN21" s="78">
        <v>119</v>
      </c>
      <c r="BO21" s="78">
        <v>109</v>
      </c>
      <c r="BP21" s="78">
        <v>14441.04</v>
      </c>
      <c r="BQ21" s="78">
        <v>3229.8</v>
      </c>
      <c r="BR21" s="78">
        <v>320.929347305389</v>
      </c>
      <c r="BS21" s="78">
        <v>672</v>
      </c>
      <c r="BT21" s="78">
        <v>295.66666666666703</v>
      </c>
      <c r="BU21" s="78">
        <v>278</v>
      </c>
      <c r="BV21" s="78">
        <v>2354</v>
      </c>
      <c r="BW21" s="78">
        <v>892</v>
      </c>
      <c r="BX21" s="78">
        <v>8557.5123593287299</v>
      </c>
      <c r="BY21" s="402">
        <v>3.7829999999999999</v>
      </c>
      <c r="BZ21" s="78">
        <v>39530</v>
      </c>
      <c r="CA21" s="78">
        <v>6137</v>
      </c>
      <c r="CB21" s="78">
        <v>1477</v>
      </c>
      <c r="CC21" s="78">
        <v>1409</v>
      </c>
      <c r="CD21" s="78">
        <v>1294</v>
      </c>
      <c r="CE21" s="78">
        <v>741</v>
      </c>
      <c r="CF21" s="78">
        <v>883.12661573404898</v>
      </c>
      <c r="CG21" s="78">
        <v>618.77708032211399</v>
      </c>
      <c r="CH21" s="78">
        <v>231.30584348544301</v>
      </c>
      <c r="CI21" s="78">
        <v>1962.7059999999999</v>
      </c>
      <c r="CJ21" s="78">
        <v>1375.202</v>
      </c>
      <c r="CK21" s="78">
        <v>514.06600000000003</v>
      </c>
      <c r="CL21" s="78">
        <v>22867</v>
      </c>
    </row>
    <row r="22" spans="1:90" x14ac:dyDescent="0.35">
      <c r="A22" s="72">
        <v>80</v>
      </c>
      <c r="B22" s="72" t="s">
        <v>178</v>
      </c>
      <c r="C22" s="72">
        <v>2</v>
      </c>
      <c r="D22" s="78">
        <v>10046000000</v>
      </c>
      <c r="E22" s="78">
        <v>1857800000</v>
      </c>
      <c r="F22" s="78">
        <v>1906450000</v>
      </c>
      <c r="G22" s="78">
        <v>125504</v>
      </c>
      <c r="H22" s="78">
        <v>5</v>
      </c>
      <c r="I22" s="78">
        <v>1906.45</v>
      </c>
      <c r="J22" s="78">
        <v>22270</v>
      </c>
      <c r="K22" s="78">
        <v>24197</v>
      </c>
      <c r="L22" s="78">
        <v>7886</v>
      </c>
      <c r="M22" s="78">
        <v>22161</v>
      </c>
      <c r="N22" s="78">
        <v>15544.9</v>
      </c>
      <c r="O22" s="78">
        <v>5579.6666666666697</v>
      </c>
      <c r="P22" s="78">
        <v>159</v>
      </c>
      <c r="Q22" s="78">
        <v>11285.666666666701</v>
      </c>
      <c r="R22" s="78">
        <v>30578</v>
      </c>
      <c r="S22" s="78">
        <v>5805</v>
      </c>
      <c r="T22" s="78">
        <v>0</v>
      </c>
      <c r="U22" s="78">
        <v>4751</v>
      </c>
      <c r="V22" s="78">
        <v>66308</v>
      </c>
      <c r="W22" s="78">
        <v>138100</v>
      </c>
      <c r="X22" s="78">
        <v>215410</v>
      </c>
      <c r="Y22" s="78">
        <v>3568.94</v>
      </c>
      <c r="Z22" s="78">
        <v>5728.8</v>
      </c>
      <c r="AA22" s="78">
        <v>0</v>
      </c>
      <c r="AB22" s="399">
        <v>0</v>
      </c>
      <c r="AC22" s="399">
        <v>0</v>
      </c>
      <c r="AD22" s="78">
        <v>23751</v>
      </c>
      <c r="AE22" s="78">
        <v>25888.59</v>
      </c>
      <c r="AF22" s="78">
        <v>1755</v>
      </c>
      <c r="AG22" s="78">
        <v>0</v>
      </c>
      <c r="AH22" s="78">
        <v>686</v>
      </c>
      <c r="AI22" s="78">
        <v>122</v>
      </c>
      <c r="AJ22" s="78">
        <v>775.18</v>
      </c>
      <c r="AK22" s="78">
        <v>131.76</v>
      </c>
      <c r="AL22" s="78">
        <v>808</v>
      </c>
      <c r="AM22" s="78">
        <v>66161</v>
      </c>
      <c r="AN22" s="78">
        <v>74761.929999999993</v>
      </c>
      <c r="AO22" s="78">
        <v>0</v>
      </c>
      <c r="AP22" s="78">
        <v>44</v>
      </c>
      <c r="AQ22" s="78">
        <v>0</v>
      </c>
      <c r="AR22" s="78">
        <v>7250</v>
      </c>
      <c r="AS22" s="78">
        <v>15191</v>
      </c>
      <c r="AT22" s="78">
        <v>12319</v>
      </c>
      <c r="AU22" s="400">
        <v>1.8086992E-2</v>
      </c>
      <c r="AV22" s="400">
        <v>2.1799709E-2</v>
      </c>
      <c r="AW22" s="78">
        <v>143767.853</v>
      </c>
      <c r="AX22" s="78">
        <v>0</v>
      </c>
      <c r="AY22" s="78">
        <v>12761.72</v>
      </c>
      <c r="AZ22" s="78">
        <v>75677.839316239304</v>
      </c>
      <c r="BA22" s="78">
        <v>24</v>
      </c>
      <c r="BB22" s="78">
        <v>25.92</v>
      </c>
      <c r="BC22" s="78">
        <v>14350</v>
      </c>
      <c r="BD22" s="78">
        <v>1</v>
      </c>
      <c r="BE22" s="78">
        <v>0</v>
      </c>
      <c r="BF22" s="78">
        <v>0</v>
      </c>
      <c r="BG22" s="78">
        <v>0</v>
      </c>
      <c r="BH22" s="78">
        <v>0</v>
      </c>
      <c r="BI22" s="78">
        <v>0</v>
      </c>
      <c r="BJ22" s="78">
        <v>0</v>
      </c>
      <c r="BK22" s="78">
        <v>0</v>
      </c>
      <c r="BL22" s="78">
        <v>0</v>
      </c>
      <c r="BM22" s="78">
        <v>3674.55</v>
      </c>
      <c r="BN22" s="78">
        <v>189</v>
      </c>
      <c r="BO22" s="78">
        <v>182</v>
      </c>
      <c r="BP22" s="78">
        <v>33525.440000000002</v>
      </c>
      <c r="BQ22" s="78">
        <v>6979.5</v>
      </c>
      <c r="BR22" s="78">
        <v>1352.5437837359</v>
      </c>
      <c r="BS22" s="78">
        <v>1744</v>
      </c>
      <c r="BT22" s="78">
        <v>1209.3333333333301</v>
      </c>
      <c r="BU22" s="78">
        <v>1108</v>
      </c>
      <c r="BV22" s="78">
        <v>5706.0000000000309</v>
      </c>
      <c r="BW22" s="78">
        <v>2338</v>
      </c>
      <c r="BX22" s="78">
        <v>20251.351492356302</v>
      </c>
      <c r="BY22" s="402">
        <v>17.081</v>
      </c>
      <c r="BZ22" s="78">
        <v>101307</v>
      </c>
      <c r="CA22" s="78">
        <v>13613</v>
      </c>
      <c r="CB22" s="78">
        <v>2698</v>
      </c>
      <c r="CC22" s="78">
        <v>3813</v>
      </c>
      <c r="CD22" s="78">
        <v>2824</v>
      </c>
      <c r="CE22" s="78">
        <v>1426</v>
      </c>
      <c r="CF22" s="78">
        <v>2106.14234367679</v>
      </c>
      <c r="CG22" s="78">
        <v>1309.1728178231899</v>
      </c>
      <c r="CH22" s="78">
        <v>465.21216426595703</v>
      </c>
      <c r="CI22" s="78">
        <v>5047.6283999999996</v>
      </c>
      <c r="CJ22" s="78">
        <v>3137.5931999999998</v>
      </c>
      <c r="CK22" s="78">
        <v>1114.9380000000001</v>
      </c>
      <c r="CL22" s="78">
        <v>116004</v>
      </c>
    </row>
    <row r="23" spans="1:90" x14ac:dyDescent="0.35">
      <c r="A23" s="72">
        <v>1970</v>
      </c>
      <c r="B23" s="72" t="s">
        <v>217</v>
      </c>
      <c r="C23" s="72">
        <v>2</v>
      </c>
      <c r="D23" s="78">
        <v>3676000000</v>
      </c>
      <c r="E23" s="78">
        <v>574000000</v>
      </c>
      <c r="F23" s="78">
        <v>644700000</v>
      </c>
      <c r="G23" s="78">
        <v>45593</v>
      </c>
      <c r="H23" s="78">
        <v>9</v>
      </c>
      <c r="I23" s="78">
        <v>644.70000000000005</v>
      </c>
      <c r="J23" s="78">
        <v>9205</v>
      </c>
      <c r="K23" s="78">
        <v>10020</v>
      </c>
      <c r="L23" s="78">
        <v>3428</v>
      </c>
      <c r="M23" s="78">
        <v>7158</v>
      </c>
      <c r="N23" s="78">
        <v>5010.8999999999996</v>
      </c>
      <c r="O23" s="78">
        <v>923.33333333333303</v>
      </c>
      <c r="P23" s="78">
        <v>126</v>
      </c>
      <c r="Q23" s="78">
        <v>3440.3333333333298</v>
      </c>
      <c r="R23" s="78">
        <v>6728</v>
      </c>
      <c r="S23" s="78">
        <v>405</v>
      </c>
      <c r="T23" s="78">
        <v>0</v>
      </c>
      <c r="U23" s="78">
        <v>1275</v>
      </c>
      <c r="V23" s="78">
        <v>20446</v>
      </c>
      <c r="W23" s="78">
        <v>42530</v>
      </c>
      <c r="X23" s="78">
        <v>17780</v>
      </c>
      <c r="Y23" s="78">
        <v>807.84</v>
      </c>
      <c r="Z23" s="78">
        <v>2122.4</v>
      </c>
      <c r="AA23" s="78">
        <v>0</v>
      </c>
      <c r="AB23" s="399">
        <v>0</v>
      </c>
      <c r="AC23" s="399">
        <v>0</v>
      </c>
      <c r="AD23" s="78">
        <v>37587</v>
      </c>
      <c r="AE23" s="78">
        <v>40593.96</v>
      </c>
      <c r="AF23" s="78">
        <v>1808</v>
      </c>
      <c r="AG23" s="78">
        <v>10000</v>
      </c>
      <c r="AH23" s="78">
        <v>290</v>
      </c>
      <c r="AI23" s="78">
        <v>200</v>
      </c>
      <c r="AJ23" s="78">
        <v>310.3</v>
      </c>
      <c r="AK23" s="78">
        <v>216</v>
      </c>
      <c r="AL23" s="78">
        <v>489</v>
      </c>
      <c r="AM23" s="78">
        <v>21471</v>
      </c>
      <c r="AN23" s="78">
        <v>22973.97</v>
      </c>
      <c r="AO23" s="78">
        <v>22</v>
      </c>
      <c r="AP23" s="78">
        <v>0</v>
      </c>
      <c r="AQ23" s="78">
        <v>0</v>
      </c>
      <c r="AR23" s="78">
        <v>5350</v>
      </c>
      <c r="AS23" s="78">
        <v>1908</v>
      </c>
      <c r="AT23" s="78">
        <v>1331</v>
      </c>
      <c r="AU23" s="400">
        <v>2.6534929999999998E-3</v>
      </c>
      <c r="AV23" s="400">
        <v>6.45726E-4</v>
      </c>
      <c r="AW23" s="78">
        <v>10026.957</v>
      </c>
      <c r="AX23" s="78">
        <v>0</v>
      </c>
      <c r="AY23" s="78">
        <v>10464.120000000001</v>
      </c>
      <c r="AZ23" s="78">
        <v>13835.319973600701</v>
      </c>
      <c r="BA23" s="78">
        <v>38</v>
      </c>
      <c r="BB23" s="78">
        <v>41.04</v>
      </c>
      <c r="BC23" s="78">
        <v>5100</v>
      </c>
      <c r="BD23" s="78">
        <v>1</v>
      </c>
      <c r="BE23" s="78">
        <v>0</v>
      </c>
      <c r="BF23" s="78">
        <v>0</v>
      </c>
      <c r="BG23" s="78">
        <v>0</v>
      </c>
      <c r="BH23" s="78">
        <v>0</v>
      </c>
      <c r="BI23" s="78">
        <v>0</v>
      </c>
      <c r="BJ23" s="78">
        <v>0</v>
      </c>
      <c r="BK23" s="78">
        <v>0</v>
      </c>
      <c r="BL23" s="78">
        <v>0</v>
      </c>
      <c r="BM23" s="78">
        <v>1086.19</v>
      </c>
      <c r="BN23" s="78">
        <v>130</v>
      </c>
      <c r="BO23" s="78">
        <v>72</v>
      </c>
      <c r="BP23" s="78">
        <v>10898.8</v>
      </c>
      <c r="BQ23" s="78">
        <v>2436.27</v>
      </c>
      <c r="BR23" s="78">
        <v>488.34727572076702</v>
      </c>
      <c r="BS23" s="78">
        <v>500</v>
      </c>
      <c r="BT23" s="78">
        <v>197</v>
      </c>
      <c r="BU23" s="78">
        <v>181.333333333333</v>
      </c>
      <c r="BV23" s="78">
        <v>2516.9999999999968</v>
      </c>
      <c r="BW23" s="78">
        <v>960</v>
      </c>
      <c r="BX23" s="78">
        <v>8549.2814590708203</v>
      </c>
      <c r="BY23" s="402">
        <v>2.669</v>
      </c>
      <c r="BZ23" s="78">
        <v>35573</v>
      </c>
      <c r="CA23" s="78">
        <v>5515</v>
      </c>
      <c r="CB23" s="78">
        <v>1077</v>
      </c>
      <c r="CC23" s="78">
        <v>1165</v>
      </c>
      <c r="CD23" s="78">
        <v>1125</v>
      </c>
      <c r="CE23" s="78">
        <v>483</v>
      </c>
      <c r="CF23" s="78">
        <v>809.12814028224102</v>
      </c>
      <c r="CG23" s="78">
        <v>553.34376135252205</v>
      </c>
      <c r="CH23" s="78">
        <v>167.333393880117</v>
      </c>
      <c r="CI23" s="78">
        <v>2056.6244000000002</v>
      </c>
      <c r="CJ23" s="78">
        <v>1406.4772</v>
      </c>
      <c r="CK23" s="78">
        <v>425.32440000000003</v>
      </c>
      <c r="CL23" s="78">
        <v>12281</v>
      </c>
    </row>
    <row r="24" spans="1:90" x14ac:dyDescent="0.35">
      <c r="A24" s="72">
        <v>85</v>
      </c>
      <c r="B24" s="72" t="s">
        <v>234</v>
      </c>
      <c r="C24" s="72">
        <v>2</v>
      </c>
      <c r="D24" s="78">
        <v>2321200000</v>
      </c>
      <c r="E24" s="78">
        <v>267050000</v>
      </c>
      <c r="F24" s="78">
        <v>313250000</v>
      </c>
      <c r="G24" s="78">
        <v>25680</v>
      </c>
      <c r="H24" s="78">
        <v>5</v>
      </c>
      <c r="I24" s="78">
        <v>313.25</v>
      </c>
      <c r="J24" s="78">
        <v>4529</v>
      </c>
      <c r="K24" s="78">
        <v>6452</v>
      </c>
      <c r="L24" s="78">
        <v>2089</v>
      </c>
      <c r="M24" s="78">
        <v>4060</v>
      </c>
      <c r="N24" s="78">
        <v>2826.3</v>
      </c>
      <c r="O24" s="78">
        <v>536.33333333333303</v>
      </c>
      <c r="P24" s="78">
        <v>41</v>
      </c>
      <c r="Q24" s="78">
        <v>2034.3333333333301</v>
      </c>
      <c r="R24" s="78">
        <v>3835</v>
      </c>
      <c r="S24" s="78">
        <v>325</v>
      </c>
      <c r="T24" s="78">
        <v>0</v>
      </c>
      <c r="U24" s="78">
        <v>834</v>
      </c>
      <c r="V24" s="78">
        <v>12097</v>
      </c>
      <c r="W24" s="78">
        <v>24160</v>
      </c>
      <c r="X24" s="78">
        <v>9400</v>
      </c>
      <c r="Y24" s="78">
        <v>239.4</v>
      </c>
      <c r="Z24" s="78">
        <v>1044.8</v>
      </c>
      <c r="AA24" s="78">
        <v>0</v>
      </c>
      <c r="AB24" s="399">
        <v>0</v>
      </c>
      <c r="AC24" s="399">
        <v>0</v>
      </c>
      <c r="AD24" s="78">
        <v>22329</v>
      </c>
      <c r="AE24" s="78">
        <v>22329</v>
      </c>
      <c r="AF24" s="78">
        <v>282</v>
      </c>
      <c r="AG24" s="78">
        <v>0</v>
      </c>
      <c r="AH24" s="78">
        <v>164</v>
      </c>
      <c r="AI24" s="78">
        <v>144</v>
      </c>
      <c r="AJ24" s="78">
        <v>164</v>
      </c>
      <c r="AK24" s="78">
        <v>144</v>
      </c>
      <c r="AL24" s="78">
        <v>308</v>
      </c>
      <c r="AM24" s="78">
        <v>12337</v>
      </c>
      <c r="AN24" s="78">
        <v>12337</v>
      </c>
      <c r="AO24" s="78">
        <v>0</v>
      </c>
      <c r="AP24" s="78">
        <v>0</v>
      </c>
      <c r="AQ24" s="78">
        <v>0</v>
      </c>
      <c r="AR24" s="78">
        <v>0</v>
      </c>
      <c r="AS24" s="78">
        <v>0</v>
      </c>
      <c r="AT24" s="78">
        <v>0</v>
      </c>
      <c r="AU24" s="400">
        <v>8.7427000000000002E-4</v>
      </c>
      <c r="AV24" s="400">
        <v>3.0192000000000001E-4</v>
      </c>
      <c r="AW24" s="78">
        <v>5934.0969999999998</v>
      </c>
      <c r="AX24" s="78">
        <v>0</v>
      </c>
      <c r="AY24" s="78">
        <v>4878</v>
      </c>
      <c r="AZ24" s="78">
        <v>5540.0928751492602</v>
      </c>
      <c r="BA24" s="78">
        <v>19</v>
      </c>
      <c r="BB24" s="78">
        <v>19</v>
      </c>
      <c r="BC24" s="78">
        <v>3005</v>
      </c>
      <c r="BD24" s="78">
        <v>1</v>
      </c>
      <c r="BE24" s="78">
        <v>0</v>
      </c>
      <c r="BF24" s="78">
        <v>0</v>
      </c>
      <c r="BG24" s="78">
        <v>0</v>
      </c>
      <c r="BH24" s="78">
        <v>0</v>
      </c>
      <c r="BI24" s="78">
        <v>0</v>
      </c>
      <c r="BJ24" s="78">
        <v>0</v>
      </c>
      <c r="BK24" s="78">
        <v>0</v>
      </c>
      <c r="BL24" s="78">
        <v>0</v>
      </c>
      <c r="BM24" s="78">
        <v>538.95100000000002</v>
      </c>
      <c r="BN24" s="78">
        <v>94</v>
      </c>
      <c r="BO24" s="78">
        <v>51</v>
      </c>
      <c r="BP24" s="78">
        <v>6533.91</v>
      </c>
      <c r="BQ24" s="78">
        <v>1345.3</v>
      </c>
      <c r="BR24" s="78">
        <v>151.61177744319701</v>
      </c>
      <c r="BS24" s="78">
        <v>330</v>
      </c>
      <c r="BT24" s="78">
        <v>129.666666666667</v>
      </c>
      <c r="BU24" s="78">
        <v>122.333333333333</v>
      </c>
      <c r="BV24" s="78">
        <v>1497.999999999997</v>
      </c>
      <c r="BW24" s="78">
        <v>649</v>
      </c>
      <c r="BX24" s="78">
        <v>5110.3038642789797</v>
      </c>
      <c r="BY24" s="402">
        <v>1.4690000000000001</v>
      </c>
      <c r="BZ24" s="78">
        <v>19228</v>
      </c>
      <c r="CA24" s="78">
        <v>3587</v>
      </c>
      <c r="CB24" s="78">
        <v>776</v>
      </c>
      <c r="CC24" s="78">
        <v>772</v>
      </c>
      <c r="CD24" s="78">
        <v>638</v>
      </c>
      <c r="CE24" s="78">
        <v>406</v>
      </c>
      <c r="CF24" s="78">
        <v>514.31008348869295</v>
      </c>
      <c r="CG24" s="78">
        <v>328.28790629812801</v>
      </c>
      <c r="CH24" s="78">
        <v>128.749339385588</v>
      </c>
      <c r="CI24" s="78">
        <v>1253.1590000000001</v>
      </c>
      <c r="CJ24" s="78">
        <v>799.90060000000005</v>
      </c>
      <c r="CK24" s="78">
        <v>313.70839999999998</v>
      </c>
      <c r="CL24" s="78">
        <v>42827</v>
      </c>
    </row>
    <row r="25" spans="1:90" x14ac:dyDescent="0.35">
      <c r="A25" s="72">
        <v>86</v>
      </c>
      <c r="B25" s="72" t="s">
        <v>237</v>
      </c>
      <c r="C25" s="72">
        <v>2</v>
      </c>
      <c r="D25" s="78">
        <v>2792400000</v>
      </c>
      <c r="E25" s="78">
        <v>304850000</v>
      </c>
      <c r="F25" s="78">
        <v>361900000</v>
      </c>
      <c r="G25" s="78">
        <v>29791</v>
      </c>
      <c r="H25" s="78">
        <v>5</v>
      </c>
      <c r="I25" s="78">
        <v>361.9</v>
      </c>
      <c r="J25" s="78">
        <v>5780</v>
      </c>
      <c r="K25" s="78">
        <v>6741</v>
      </c>
      <c r="L25" s="78">
        <v>2198</v>
      </c>
      <c r="M25" s="78">
        <v>4005</v>
      </c>
      <c r="N25" s="78">
        <v>2640.6</v>
      </c>
      <c r="O25" s="78">
        <v>531</v>
      </c>
      <c r="P25" s="78">
        <v>47</v>
      </c>
      <c r="Q25" s="78">
        <v>1931</v>
      </c>
      <c r="R25" s="78">
        <v>3964</v>
      </c>
      <c r="S25" s="78">
        <v>345</v>
      </c>
      <c r="T25" s="78">
        <v>0</v>
      </c>
      <c r="U25" s="78">
        <v>768</v>
      </c>
      <c r="V25" s="78">
        <v>13315</v>
      </c>
      <c r="W25" s="78">
        <v>25440</v>
      </c>
      <c r="X25" s="78">
        <v>8040</v>
      </c>
      <c r="Y25" s="78">
        <v>664.32</v>
      </c>
      <c r="Z25" s="78">
        <v>358.4</v>
      </c>
      <c r="AA25" s="78">
        <v>0</v>
      </c>
      <c r="AB25" s="399">
        <v>0</v>
      </c>
      <c r="AC25" s="399">
        <v>0</v>
      </c>
      <c r="AD25" s="78">
        <v>22447</v>
      </c>
      <c r="AE25" s="78">
        <v>22447</v>
      </c>
      <c r="AF25" s="78">
        <v>317</v>
      </c>
      <c r="AG25" s="78">
        <v>0</v>
      </c>
      <c r="AH25" s="78">
        <v>168</v>
      </c>
      <c r="AI25" s="78">
        <v>151</v>
      </c>
      <c r="AJ25" s="78">
        <v>168</v>
      </c>
      <c r="AK25" s="78">
        <v>151</v>
      </c>
      <c r="AL25" s="78">
        <v>320</v>
      </c>
      <c r="AM25" s="78">
        <v>13644</v>
      </c>
      <c r="AN25" s="78">
        <v>13644</v>
      </c>
      <c r="AO25" s="78">
        <v>0</v>
      </c>
      <c r="AP25" s="78">
        <v>0</v>
      </c>
      <c r="AQ25" s="78">
        <v>0</v>
      </c>
      <c r="AR25" s="78">
        <v>0</v>
      </c>
      <c r="AS25" s="78">
        <v>652</v>
      </c>
      <c r="AT25" s="78">
        <v>0</v>
      </c>
      <c r="AU25" s="400">
        <v>9.7859300000000004E-4</v>
      </c>
      <c r="AV25" s="400">
        <v>3.2858300000000002E-4</v>
      </c>
      <c r="AW25" s="78">
        <v>5744.1239999999998</v>
      </c>
      <c r="AX25" s="78">
        <v>0</v>
      </c>
      <c r="AY25" s="78">
        <v>5957</v>
      </c>
      <c r="AZ25" s="78">
        <v>7795.8613161131598</v>
      </c>
      <c r="BA25" s="78">
        <v>22</v>
      </c>
      <c r="BB25" s="78">
        <v>22</v>
      </c>
      <c r="BC25" s="78">
        <v>3655</v>
      </c>
      <c r="BD25" s="78">
        <v>1</v>
      </c>
      <c r="BE25" s="78">
        <v>0</v>
      </c>
      <c r="BF25" s="78">
        <v>0</v>
      </c>
      <c r="BG25" s="78">
        <v>0</v>
      </c>
      <c r="BH25" s="78">
        <v>0</v>
      </c>
      <c r="BI25" s="78">
        <v>0</v>
      </c>
      <c r="BJ25" s="78">
        <v>0</v>
      </c>
      <c r="BK25" s="78">
        <v>0</v>
      </c>
      <c r="BL25" s="78">
        <v>0</v>
      </c>
      <c r="BM25" s="78">
        <v>566.44000000000005</v>
      </c>
      <c r="BN25" s="78">
        <v>112</v>
      </c>
      <c r="BO25" s="78">
        <v>48</v>
      </c>
      <c r="BP25" s="78">
        <v>7854.78</v>
      </c>
      <c r="BQ25" s="78">
        <v>1787.7</v>
      </c>
      <c r="BR25" s="78">
        <v>241.087970330411</v>
      </c>
      <c r="BS25" s="78">
        <v>310</v>
      </c>
      <c r="BT25" s="78">
        <v>130.333333333333</v>
      </c>
      <c r="BU25" s="78">
        <v>109.666666666667</v>
      </c>
      <c r="BV25" s="78">
        <v>1400</v>
      </c>
      <c r="BW25" s="78">
        <v>619</v>
      </c>
      <c r="BX25" s="78">
        <v>4294.5327371528201</v>
      </c>
      <c r="BY25" s="402">
        <v>1.2410000000000001</v>
      </c>
      <c r="BZ25" s="78">
        <v>23050</v>
      </c>
      <c r="CA25" s="78">
        <v>3746</v>
      </c>
      <c r="CB25" s="78">
        <v>797</v>
      </c>
      <c r="CC25" s="78">
        <v>746</v>
      </c>
      <c r="CD25" s="78">
        <v>684</v>
      </c>
      <c r="CE25" s="78">
        <v>420</v>
      </c>
      <c r="CF25" s="78">
        <v>447.26081794195301</v>
      </c>
      <c r="CG25" s="78">
        <v>291.27110817942003</v>
      </c>
      <c r="CH25" s="78">
        <v>110.508839050132</v>
      </c>
      <c r="CI25" s="78">
        <v>1152.4956999999999</v>
      </c>
      <c r="CJ25" s="78">
        <v>750.54349999999999</v>
      </c>
      <c r="CK25" s="78">
        <v>284.7577</v>
      </c>
      <c r="CL25" s="78">
        <v>121910</v>
      </c>
    </row>
    <row r="26" spans="1:90" x14ac:dyDescent="0.35">
      <c r="A26" s="72">
        <v>88</v>
      </c>
      <c r="B26" s="72" t="s">
        <v>268</v>
      </c>
      <c r="C26" s="72">
        <v>2</v>
      </c>
      <c r="D26" s="78">
        <v>343200000</v>
      </c>
      <c r="E26" s="78">
        <v>35350000</v>
      </c>
      <c r="F26" s="78">
        <v>39200000</v>
      </c>
      <c r="G26" s="78">
        <v>944</v>
      </c>
      <c r="H26" s="78">
        <v>1</v>
      </c>
      <c r="I26" s="78">
        <v>39.200000000000003</v>
      </c>
      <c r="J26" s="78">
        <v>114</v>
      </c>
      <c r="K26" s="78">
        <v>276</v>
      </c>
      <c r="L26" s="78">
        <v>105</v>
      </c>
      <c r="M26" s="78">
        <v>214</v>
      </c>
      <c r="N26" s="78">
        <v>76.5</v>
      </c>
      <c r="O26" s="78">
        <v>8.6666666666666696</v>
      </c>
      <c r="P26" s="78">
        <v>1</v>
      </c>
      <c r="Q26" s="78">
        <v>32.6666666666667</v>
      </c>
      <c r="R26" s="78">
        <v>276</v>
      </c>
      <c r="S26" s="78">
        <v>0</v>
      </c>
      <c r="T26" s="78">
        <v>0</v>
      </c>
      <c r="U26" s="78">
        <v>17</v>
      </c>
      <c r="V26" s="78">
        <v>544</v>
      </c>
      <c r="W26" s="78">
        <v>920</v>
      </c>
      <c r="X26" s="78">
        <v>20</v>
      </c>
      <c r="Y26" s="78">
        <v>0</v>
      </c>
      <c r="Z26" s="78">
        <v>14.4</v>
      </c>
      <c r="AA26" s="78">
        <v>0</v>
      </c>
      <c r="AB26" s="399">
        <v>0</v>
      </c>
      <c r="AC26" s="399">
        <v>0</v>
      </c>
      <c r="AD26" s="78">
        <v>4048</v>
      </c>
      <c r="AE26" s="78">
        <v>4048</v>
      </c>
      <c r="AF26" s="78">
        <v>43</v>
      </c>
      <c r="AG26" s="78">
        <v>10000</v>
      </c>
      <c r="AH26" s="78">
        <v>12</v>
      </c>
      <c r="AI26" s="78">
        <v>3</v>
      </c>
      <c r="AJ26" s="78">
        <v>12</v>
      </c>
      <c r="AK26" s="78">
        <v>3</v>
      </c>
      <c r="AL26" s="78">
        <v>15</v>
      </c>
      <c r="AM26" s="78">
        <v>1375</v>
      </c>
      <c r="AN26" s="78">
        <v>1375</v>
      </c>
      <c r="AO26" s="78">
        <v>0</v>
      </c>
      <c r="AP26" s="78">
        <v>0</v>
      </c>
      <c r="AQ26" s="78">
        <v>0</v>
      </c>
      <c r="AR26" s="78">
        <v>0</v>
      </c>
      <c r="AS26" s="78">
        <v>0</v>
      </c>
      <c r="AT26" s="78">
        <v>0</v>
      </c>
      <c r="AU26" s="400">
        <v>1.3294199999999999E-4</v>
      </c>
      <c r="AV26" s="400">
        <v>1.8851E-5</v>
      </c>
      <c r="AW26" s="78">
        <v>441.375</v>
      </c>
      <c r="AX26" s="78">
        <v>0</v>
      </c>
      <c r="AY26" s="78">
        <v>357</v>
      </c>
      <c r="AZ26" s="78">
        <v>82.377902713273002</v>
      </c>
      <c r="BA26" s="78">
        <v>1</v>
      </c>
      <c r="BB26" s="78">
        <v>1</v>
      </c>
      <c r="BC26" s="78">
        <v>180</v>
      </c>
      <c r="BD26" s="78">
        <v>1</v>
      </c>
      <c r="BE26" s="78">
        <v>0</v>
      </c>
      <c r="BF26" s="78">
        <v>0</v>
      </c>
      <c r="BG26" s="78">
        <v>0</v>
      </c>
      <c r="BH26" s="78">
        <v>0</v>
      </c>
      <c r="BI26" s="78">
        <v>1</v>
      </c>
      <c r="BJ26" s="78">
        <v>944</v>
      </c>
      <c r="BK26" s="78">
        <v>0</v>
      </c>
      <c r="BL26" s="78">
        <v>0</v>
      </c>
      <c r="BM26" s="78">
        <v>5.13</v>
      </c>
      <c r="BN26" s="78">
        <v>6</v>
      </c>
      <c r="BO26" s="78">
        <v>0</v>
      </c>
      <c r="BP26" s="78">
        <v>331.08</v>
      </c>
      <c r="BQ26" s="78">
        <v>-23.45</v>
      </c>
      <c r="BR26" s="78">
        <v>3.6698297872340402</v>
      </c>
      <c r="BS26" s="78">
        <v>5</v>
      </c>
      <c r="BT26" s="78">
        <v>1</v>
      </c>
      <c r="BU26" s="78">
        <v>1</v>
      </c>
      <c r="BV26" s="78">
        <v>24.000000000000028</v>
      </c>
      <c r="BW26" s="78">
        <v>5</v>
      </c>
      <c r="BX26" s="78">
        <v>164.54599355531701</v>
      </c>
      <c r="BY26" s="402">
        <v>5.0000000000000001E-3</v>
      </c>
      <c r="BZ26" s="78">
        <v>668</v>
      </c>
      <c r="CA26" s="78">
        <v>144</v>
      </c>
      <c r="CB26" s="78">
        <v>27</v>
      </c>
      <c r="CC26" s="78">
        <v>49</v>
      </c>
      <c r="CD26" s="78">
        <v>39</v>
      </c>
      <c r="CE26" s="78">
        <v>12</v>
      </c>
      <c r="CF26" s="78">
        <v>5.7861818181818201</v>
      </c>
      <c r="CG26" s="78">
        <v>4.1170909090909102</v>
      </c>
      <c r="CH26" s="78">
        <v>1.224</v>
      </c>
      <c r="CI26" s="78">
        <v>53.227200000000003</v>
      </c>
      <c r="CJ26" s="78">
        <v>37.873199999999997</v>
      </c>
      <c r="CK26" s="78">
        <v>11.259600000000001</v>
      </c>
      <c r="CL26" s="78">
        <v>0</v>
      </c>
    </row>
    <row r="27" spans="1:90" x14ac:dyDescent="0.35">
      <c r="A27" s="72">
        <v>90</v>
      </c>
      <c r="B27" s="72" t="s">
        <v>278</v>
      </c>
      <c r="C27" s="72">
        <v>2</v>
      </c>
      <c r="D27" s="78">
        <v>4765600000</v>
      </c>
      <c r="E27" s="78">
        <v>841050000</v>
      </c>
      <c r="F27" s="78">
        <v>898100000</v>
      </c>
      <c r="G27" s="78">
        <v>55895</v>
      </c>
      <c r="H27" s="78">
        <v>4</v>
      </c>
      <c r="I27" s="78">
        <v>898.1</v>
      </c>
      <c r="J27" s="78">
        <v>10947</v>
      </c>
      <c r="K27" s="78">
        <v>12282</v>
      </c>
      <c r="L27" s="78">
        <v>4416</v>
      </c>
      <c r="M27" s="78">
        <v>8953</v>
      </c>
      <c r="N27" s="78">
        <v>6315.9</v>
      </c>
      <c r="O27" s="78">
        <v>1663.3333333333301</v>
      </c>
      <c r="P27" s="78">
        <v>114</v>
      </c>
      <c r="Q27" s="78">
        <v>4934.3333333333303</v>
      </c>
      <c r="R27" s="78">
        <v>9365</v>
      </c>
      <c r="S27" s="78">
        <v>1535</v>
      </c>
      <c r="T27" s="78">
        <v>0</v>
      </c>
      <c r="U27" s="78">
        <v>1994</v>
      </c>
      <c r="V27" s="78">
        <v>26576</v>
      </c>
      <c r="W27" s="78">
        <v>63270</v>
      </c>
      <c r="X27" s="78">
        <v>78920</v>
      </c>
      <c r="Y27" s="78">
        <v>4270.5200000000004</v>
      </c>
      <c r="Z27" s="78">
        <v>3717.6</v>
      </c>
      <c r="AA27" s="78">
        <v>0</v>
      </c>
      <c r="AB27" s="399">
        <v>0</v>
      </c>
      <c r="AC27" s="399">
        <v>0</v>
      </c>
      <c r="AD27" s="78">
        <v>11701</v>
      </c>
      <c r="AE27" s="78">
        <v>11701</v>
      </c>
      <c r="AF27" s="78">
        <v>916</v>
      </c>
      <c r="AG27" s="78">
        <v>0</v>
      </c>
      <c r="AH27" s="78">
        <v>340</v>
      </c>
      <c r="AI27" s="78">
        <v>82</v>
      </c>
      <c r="AJ27" s="78">
        <v>340</v>
      </c>
      <c r="AK27" s="78">
        <v>82</v>
      </c>
      <c r="AL27" s="78">
        <v>423</v>
      </c>
      <c r="AM27" s="78">
        <v>26371</v>
      </c>
      <c r="AN27" s="78">
        <v>26371</v>
      </c>
      <c r="AO27" s="78">
        <v>0</v>
      </c>
      <c r="AP27" s="78">
        <v>0</v>
      </c>
      <c r="AQ27" s="78">
        <v>0</v>
      </c>
      <c r="AR27" s="78">
        <v>0</v>
      </c>
      <c r="AS27" s="78">
        <v>1709</v>
      </c>
      <c r="AT27" s="78">
        <v>0</v>
      </c>
      <c r="AU27" s="400">
        <v>1.34285E-3</v>
      </c>
      <c r="AV27" s="400">
        <v>2.3469250000000001E-3</v>
      </c>
      <c r="AW27" s="78">
        <v>35442.624000000003</v>
      </c>
      <c r="AX27" s="78">
        <v>0</v>
      </c>
      <c r="AY27" s="78">
        <v>5541</v>
      </c>
      <c r="AZ27" s="78">
        <v>24547.372196243199</v>
      </c>
      <c r="BA27" s="78">
        <v>10</v>
      </c>
      <c r="BB27" s="78">
        <v>10</v>
      </c>
      <c r="BC27" s="78">
        <v>5760</v>
      </c>
      <c r="BD27" s="78">
        <v>1</v>
      </c>
      <c r="BE27" s="78">
        <v>0</v>
      </c>
      <c r="BF27" s="78">
        <v>0</v>
      </c>
      <c r="BG27" s="78">
        <v>0</v>
      </c>
      <c r="BH27" s="78">
        <v>0</v>
      </c>
      <c r="BI27" s="78">
        <v>0</v>
      </c>
      <c r="BJ27" s="78">
        <v>0</v>
      </c>
      <c r="BK27" s="78">
        <v>0</v>
      </c>
      <c r="BL27" s="78">
        <v>0</v>
      </c>
      <c r="BM27" s="78">
        <v>1423.11</v>
      </c>
      <c r="BN27" s="78">
        <v>155</v>
      </c>
      <c r="BO27" s="78">
        <v>152</v>
      </c>
      <c r="BP27" s="78">
        <v>14350.32</v>
      </c>
      <c r="BQ27" s="78">
        <v>3187.08</v>
      </c>
      <c r="BR27" s="78">
        <v>659.156353636689</v>
      </c>
      <c r="BS27" s="78">
        <v>775</v>
      </c>
      <c r="BT27" s="78">
        <v>407</v>
      </c>
      <c r="BU27" s="78">
        <v>377.33333333333297</v>
      </c>
      <c r="BV27" s="78">
        <v>3271</v>
      </c>
      <c r="BW27" s="78">
        <v>1436</v>
      </c>
      <c r="BX27" s="78">
        <v>9682.0832262669501</v>
      </c>
      <c r="BY27" s="402">
        <v>4.9950000000000001</v>
      </c>
      <c r="BZ27" s="78">
        <v>43613</v>
      </c>
      <c r="CA27" s="78">
        <v>6465</v>
      </c>
      <c r="CB27" s="78">
        <v>1401</v>
      </c>
      <c r="CC27" s="78">
        <v>1604</v>
      </c>
      <c r="CD27" s="78">
        <v>1435</v>
      </c>
      <c r="CE27" s="78">
        <v>735</v>
      </c>
      <c r="CF27" s="78">
        <v>986.74710856622801</v>
      </c>
      <c r="CG27" s="78">
        <v>727.366739979523</v>
      </c>
      <c r="CH27" s="78">
        <v>246.926278866937</v>
      </c>
      <c r="CI27" s="78">
        <v>2280.0079999999998</v>
      </c>
      <c r="CJ27" s="78">
        <v>1680.6758</v>
      </c>
      <c r="CK27" s="78">
        <v>570.55539999999996</v>
      </c>
      <c r="CL27" s="78">
        <v>181197</v>
      </c>
    </row>
    <row r="28" spans="1:90" x14ac:dyDescent="0.35">
      <c r="A28" s="72">
        <v>1900</v>
      </c>
      <c r="B28" s="72" t="s">
        <v>721</v>
      </c>
      <c r="C28" s="72">
        <v>2</v>
      </c>
      <c r="D28" s="78">
        <v>8356400000</v>
      </c>
      <c r="E28" s="78">
        <v>1551900000</v>
      </c>
      <c r="F28" s="78">
        <v>1688400000</v>
      </c>
      <c r="G28" s="78">
        <v>90300</v>
      </c>
      <c r="H28" s="78">
        <v>12</v>
      </c>
      <c r="I28" s="78">
        <v>1688.4</v>
      </c>
      <c r="J28" s="78">
        <v>17469</v>
      </c>
      <c r="K28" s="78">
        <v>21155</v>
      </c>
      <c r="L28" s="78">
        <v>7421</v>
      </c>
      <c r="M28" s="78">
        <v>13699</v>
      </c>
      <c r="N28" s="78">
        <v>9259.9</v>
      </c>
      <c r="O28" s="78">
        <v>2174.3333333333298</v>
      </c>
      <c r="P28" s="78">
        <v>123</v>
      </c>
      <c r="Q28" s="78">
        <v>5958.3333333333303</v>
      </c>
      <c r="R28" s="78">
        <v>14592</v>
      </c>
      <c r="S28" s="78">
        <v>1750</v>
      </c>
      <c r="T28" s="78">
        <v>0</v>
      </c>
      <c r="U28" s="78">
        <v>2618</v>
      </c>
      <c r="V28" s="78">
        <v>42293</v>
      </c>
      <c r="W28" s="78">
        <v>90220</v>
      </c>
      <c r="X28" s="78">
        <v>76950</v>
      </c>
      <c r="Y28" s="78">
        <v>2553.6799999999998</v>
      </c>
      <c r="Z28" s="78">
        <v>4064.8</v>
      </c>
      <c r="AA28" s="78">
        <v>0</v>
      </c>
      <c r="AB28" s="399">
        <v>0</v>
      </c>
      <c r="AC28" s="399">
        <v>0</v>
      </c>
      <c r="AD28" s="78">
        <v>52263</v>
      </c>
      <c r="AE28" s="78">
        <v>55921.41</v>
      </c>
      <c r="AF28" s="78">
        <v>5321</v>
      </c>
      <c r="AG28" s="78">
        <v>10000</v>
      </c>
      <c r="AH28" s="78">
        <v>591</v>
      </c>
      <c r="AI28" s="78">
        <v>303</v>
      </c>
      <c r="AJ28" s="78">
        <v>620.54999999999995</v>
      </c>
      <c r="AK28" s="78">
        <v>324.20999999999998</v>
      </c>
      <c r="AL28" s="78">
        <v>894</v>
      </c>
      <c r="AM28" s="78">
        <v>44391</v>
      </c>
      <c r="AN28" s="78">
        <v>46610.55</v>
      </c>
      <c r="AO28" s="78">
        <v>80</v>
      </c>
      <c r="AP28" s="78">
        <v>0</v>
      </c>
      <c r="AQ28" s="78">
        <v>0</v>
      </c>
      <c r="AR28" s="78">
        <v>24250</v>
      </c>
      <c r="AS28" s="78">
        <v>6774</v>
      </c>
      <c r="AT28" s="78">
        <v>6250</v>
      </c>
      <c r="AU28" s="400">
        <v>5.2280449999999997E-3</v>
      </c>
      <c r="AV28" s="400">
        <v>3.1836270000000001E-3</v>
      </c>
      <c r="AW28" s="78">
        <v>37821.131999999998</v>
      </c>
      <c r="AX28" s="78">
        <v>0</v>
      </c>
      <c r="AY28" s="78">
        <v>21731.7</v>
      </c>
      <c r="AZ28" s="78">
        <v>34860.341344818</v>
      </c>
      <c r="BA28" s="78">
        <v>65</v>
      </c>
      <c r="BB28" s="78">
        <v>69.55</v>
      </c>
      <c r="BC28" s="78">
        <v>11975</v>
      </c>
      <c r="BD28" s="78">
        <v>1</v>
      </c>
      <c r="BE28" s="78">
        <v>0</v>
      </c>
      <c r="BF28" s="78">
        <v>0</v>
      </c>
      <c r="BG28" s="78">
        <v>0</v>
      </c>
      <c r="BH28" s="78">
        <v>0</v>
      </c>
      <c r="BI28" s="78">
        <v>0</v>
      </c>
      <c r="BJ28" s="78">
        <v>0</v>
      </c>
      <c r="BK28" s="78">
        <v>0</v>
      </c>
      <c r="BL28" s="78">
        <v>0</v>
      </c>
      <c r="BM28" s="78">
        <v>1939.059</v>
      </c>
      <c r="BN28" s="78">
        <v>265</v>
      </c>
      <c r="BO28" s="78">
        <v>200</v>
      </c>
      <c r="BP28" s="78">
        <v>24727.57</v>
      </c>
      <c r="BQ28" s="78">
        <v>5479.33</v>
      </c>
      <c r="BR28" s="78">
        <v>594.14648584544796</v>
      </c>
      <c r="BS28" s="78">
        <v>1030</v>
      </c>
      <c r="BT28" s="78">
        <v>547.33333333333303</v>
      </c>
      <c r="BU28" s="78">
        <v>484.33333333333297</v>
      </c>
      <c r="BV28" s="78">
        <v>3784.0000000000005</v>
      </c>
      <c r="BW28" s="78">
        <v>1423</v>
      </c>
      <c r="BX28" s="78">
        <v>14612.8294314381</v>
      </c>
      <c r="BY28" s="402">
        <v>6.1769999999999996</v>
      </c>
      <c r="BZ28" s="78">
        <v>69145</v>
      </c>
      <c r="CA28" s="78">
        <v>11447</v>
      </c>
      <c r="CB28" s="78">
        <v>2287</v>
      </c>
      <c r="CC28" s="78">
        <v>2620</v>
      </c>
      <c r="CD28" s="78">
        <v>2380</v>
      </c>
      <c r="CE28" s="78">
        <v>1115</v>
      </c>
      <c r="CF28" s="78">
        <v>1503.57863530896</v>
      </c>
      <c r="CG28" s="78">
        <v>1071.57095582438</v>
      </c>
      <c r="CH28" s="78">
        <v>331.67175778874099</v>
      </c>
      <c r="CI28" s="78">
        <v>3721.4904000000001</v>
      </c>
      <c r="CJ28" s="78">
        <v>2652.2330999999999</v>
      </c>
      <c r="CK28" s="78">
        <v>820.91700000000003</v>
      </c>
      <c r="CL28" s="78">
        <v>93663</v>
      </c>
    </row>
    <row r="29" spans="1:90" x14ac:dyDescent="0.35">
      <c r="A29" s="72">
        <v>93</v>
      </c>
      <c r="B29" s="72" t="s">
        <v>291</v>
      </c>
      <c r="C29" s="72">
        <v>2</v>
      </c>
      <c r="D29" s="78">
        <v>1097200000</v>
      </c>
      <c r="E29" s="78">
        <v>145950000</v>
      </c>
      <c r="F29" s="78">
        <v>168700000</v>
      </c>
      <c r="G29" s="78">
        <v>4960</v>
      </c>
      <c r="H29" s="78">
        <v>3</v>
      </c>
      <c r="I29" s="78">
        <v>168.7</v>
      </c>
      <c r="J29" s="78">
        <v>709</v>
      </c>
      <c r="K29" s="78">
        <v>1188</v>
      </c>
      <c r="L29" s="78">
        <v>415</v>
      </c>
      <c r="M29" s="78">
        <v>627</v>
      </c>
      <c r="N29" s="78">
        <v>229.29999999999995</v>
      </c>
      <c r="O29" s="78">
        <v>23.6666666666667</v>
      </c>
      <c r="P29" s="78">
        <v>4</v>
      </c>
      <c r="Q29" s="78">
        <v>118.666666666667</v>
      </c>
      <c r="R29" s="78">
        <v>1279</v>
      </c>
      <c r="S29" s="78">
        <v>40</v>
      </c>
      <c r="T29" s="78">
        <v>0</v>
      </c>
      <c r="U29" s="78">
        <v>127</v>
      </c>
      <c r="V29" s="78">
        <v>2715</v>
      </c>
      <c r="W29" s="78">
        <v>4970</v>
      </c>
      <c r="X29" s="78">
        <v>1600</v>
      </c>
      <c r="Y29" s="78">
        <v>0</v>
      </c>
      <c r="Z29" s="78">
        <v>95.2</v>
      </c>
      <c r="AA29" s="78">
        <v>0</v>
      </c>
      <c r="AB29" s="399">
        <v>0</v>
      </c>
      <c r="AC29" s="399">
        <v>0</v>
      </c>
      <c r="AD29" s="78">
        <v>8523</v>
      </c>
      <c r="AE29" s="78">
        <v>8523</v>
      </c>
      <c r="AF29" s="78">
        <v>187</v>
      </c>
      <c r="AG29" s="78">
        <v>10000</v>
      </c>
      <c r="AH29" s="78">
        <v>44</v>
      </c>
      <c r="AI29" s="78">
        <v>6</v>
      </c>
      <c r="AJ29" s="78">
        <v>44</v>
      </c>
      <c r="AK29" s="78">
        <v>6</v>
      </c>
      <c r="AL29" s="78">
        <v>50</v>
      </c>
      <c r="AM29" s="78">
        <v>3977</v>
      </c>
      <c r="AN29" s="78">
        <v>3977</v>
      </c>
      <c r="AO29" s="78">
        <v>0</v>
      </c>
      <c r="AP29" s="78">
        <v>0</v>
      </c>
      <c r="AQ29" s="78">
        <v>0</v>
      </c>
      <c r="AR29" s="78">
        <v>0</v>
      </c>
      <c r="AS29" s="78">
        <v>513</v>
      </c>
      <c r="AT29" s="78">
        <v>0</v>
      </c>
      <c r="AU29" s="400">
        <v>2.8645599999999998E-4</v>
      </c>
      <c r="AV29" s="400">
        <v>5.3303000000000001E-5</v>
      </c>
      <c r="AW29" s="78">
        <v>994.25</v>
      </c>
      <c r="AX29" s="78">
        <v>0</v>
      </c>
      <c r="AY29" s="78">
        <v>789</v>
      </c>
      <c r="AZ29" s="78">
        <v>449.30424799081499</v>
      </c>
      <c r="BA29" s="78">
        <v>7</v>
      </c>
      <c r="BB29" s="78">
        <v>7</v>
      </c>
      <c r="BC29" s="78">
        <v>955</v>
      </c>
      <c r="BD29" s="78">
        <v>1</v>
      </c>
      <c r="BE29" s="78">
        <v>0</v>
      </c>
      <c r="BF29" s="78">
        <v>0</v>
      </c>
      <c r="BG29" s="78">
        <v>0</v>
      </c>
      <c r="BH29" s="78">
        <v>0</v>
      </c>
      <c r="BI29" s="78">
        <v>1</v>
      </c>
      <c r="BJ29" s="78">
        <v>2500</v>
      </c>
      <c r="BK29" s="78">
        <v>2460</v>
      </c>
      <c r="BL29" s="78">
        <v>0</v>
      </c>
      <c r="BM29" s="78">
        <v>54.593000000000004</v>
      </c>
      <c r="BN29" s="78">
        <v>5</v>
      </c>
      <c r="BO29" s="78">
        <v>0</v>
      </c>
      <c r="BP29" s="78">
        <v>1492.26</v>
      </c>
      <c r="BQ29" s="78">
        <v>287.12</v>
      </c>
      <c r="BR29" s="78">
        <v>5.2665183946488296</v>
      </c>
      <c r="BS29" s="78">
        <v>44</v>
      </c>
      <c r="BT29" s="78">
        <v>1</v>
      </c>
      <c r="BU29" s="78">
        <v>1</v>
      </c>
      <c r="BV29" s="78">
        <v>95.000000000000298</v>
      </c>
      <c r="BW29" s="78">
        <v>24</v>
      </c>
      <c r="BX29" s="78">
        <v>780.76714579055397</v>
      </c>
      <c r="BY29" s="402">
        <v>2.5000000000000001E-2</v>
      </c>
      <c r="BZ29" s="78">
        <v>3772</v>
      </c>
      <c r="CA29" s="78">
        <v>640</v>
      </c>
      <c r="CB29" s="78">
        <v>133</v>
      </c>
      <c r="CC29" s="78">
        <v>168</v>
      </c>
      <c r="CD29" s="78">
        <v>131</v>
      </c>
      <c r="CE29" s="78">
        <v>68</v>
      </c>
      <c r="CF29" s="78">
        <v>24.042770932863998</v>
      </c>
      <c r="CG29" s="78">
        <v>16.662735730450098</v>
      </c>
      <c r="CH29" s="78">
        <v>5.1890872516972602</v>
      </c>
      <c r="CI29" s="78">
        <v>179.22659999999999</v>
      </c>
      <c r="CJ29" s="78">
        <v>124.2122</v>
      </c>
      <c r="CK29" s="78">
        <v>38.682000000000002</v>
      </c>
      <c r="CL29" s="78">
        <v>2381</v>
      </c>
    </row>
    <row r="30" spans="1:90" x14ac:dyDescent="0.35">
      <c r="A30" s="72">
        <v>737</v>
      </c>
      <c r="B30" s="72" t="s">
        <v>300</v>
      </c>
      <c r="C30" s="72">
        <v>2</v>
      </c>
      <c r="D30" s="78">
        <v>2796800000</v>
      </c>
      <c r="E30" s="78">
        <v>278600000</v>
      </c>
      <c r="F30" s="78">
        <v>322350000</v>
      </c>
      <c r="G30" s="78">
        <v>32282</v>
      </c>
      <c r="H30" s="78">
        <v>7</v>
      </c>
      <c r="I30" s="78">
        <v>322.35000000000002</v>
      </c>
      <c r="J30" s="78">
        <v>6452</v>
      </c>
      <c r="K30" s="78">
        <v>7814</v>
      </c>
      <c r="L30" s="78">
        <v>2753</v>
      </c>
      <c r="M30" s="78">
        <v>4264</v>
      </c>
      <c r="N30" s="78">
        <v>2784.5</v>
      </c>
      <c r="O30" s="78">
        <v>483.66666666666703</v>
      </c>
      <c r="P30" s="78">
        <v>68</v>
      </c>
      <c r="Q30" s="78">
        <v>1849.6666666666699</v>
      </c>
      <c r="R30" s="78">
        <v>4270</v>
      </c>
      <c r="S30" s="78">
        <v>370</v>
      </c>
      <c r="T30" s="78">
        <v>0</v>
      </c>
      <c r="U30" s="78">
        <v>857</v>
      </c>
      <c r="V30" s="78">
        <v>14716</v>
      </c>
      <c r="W30" s="78">
        <v>29090</v>
      </c>
      <c r="X30" s="78">
        <v>10980</v>
      </c>
      <c r="Y30" s="78">
        <v>0</v>
      </c>
      <c r="Z30" s="78">
        <v>1066.4000000000001</v>
      </c>
      <c r="AA30" s="78">
        <v>0</v>
      </c>
      <c r="AB30" s="399">
        <v>0</v>
      </c>
      <c r="AC30" s="399">
        <v>165.89999999999986</v>
      </c>
      <c r="AD30" s="78">
        <v>14857</v>
      </c>
      <c r="AE30" s="78">
        <v>14857</v>
      </c>
      <c r="AF30" s="78">
        <v>1284</v>
      </c>
      <c r="AG30" s="78">
        <v>0</v>
      </c>
      <c r="AH30" s="78">
        <v>196</v>
      </c>
      <c r="AI30" s="78">
        <v>95</v>
      </c>
      <c r="AJ30" s="78">
        <v>196</v>
      </c>
      <c r="AK30" s="78">
        <v>95</v>
      </c>
      <c r="AL30" s="78">
        <v>291</v>
      </c>
      <c r="AM30" s="78">
        <v>14795</v>
      </c>
      <c r="AN30" s="78">
        <v>14795</v>
      </c>
      <c r="AO30" s="78">
        <v>0</v>
      </c>
      <c r="AP30" s="78">
        <v>0</v>
      </c>
      <c r="AQ30" s="78">
        <v>0</v>
      </c>
      <c r="AR30" s="78">
        <v>0</v>
      </c>
      <c r="AS30" s="78">
        <v>846</v>
      </c>
      <c r="AT30" s="78">
        <v>0</v>
      </c>
      <c r="AU30" s="400">
        <v>9.1896899999999995E-4</v>
      </c>
      <c r="AV30" s="400">
        <v>3.2087899999999999E-4</v>
      </c>
      <c r="AW30" s="78">
        <v>7072.01</v>
      </c>
      <c r="AX30" s="78">
        <v>0</v>
      </c>
      <c r="AY30" s="78">
        <v>5984</v>
      </c>
      <c r="AZ30" s="78">
        <v>11968</v>
      </c>
      <c r="BA30" s="78">
        <v>24</v>
      </c>
      <c r="BB30" s="78">
        <v>24</v>
      </c>
      <c r="BC30" s="78">
        <v>3370</v>
      </c>
      <c r="BD30" s="78">
        <v>1</v>
      </c>
      <c r="BE30" s="78">
        <v>0</v>
      </c>
      <c r="BF30" s="78">
        <v>0</v>
      </c>
      <c r="BG30" s="78">
        <v>0</v>
      </c>
      <c r="BH30" s="78">
        <v>0</v>
      </c>
      <c r="BI30" s="78">
        <v>0</v>
      </c>
      <c r="BJ30" s="78">
        <v>0</v>
      </c>
      <c r="BK30" s="78">
        <v>0</v>
      </c>
      <c r="BL30" s="78">
        <v>0</v>
      </c>
      <c r="BM30" s="78">
        <v>567.77599999999995</v>
      </c>
      <c r="BN30" s="78">
        <v>53</v>
      </c>
      <c r="BO30" s="78">
        <v>112</v>
      </c>
      <c r="BP30" s="78">
        <v>8361.8799999999992</v>
      </c>
      <c r="BQ30" s="78">
        <v>1922.12</v>
      </c>
      <c r="BR30" s="78">
        <v>336.57257023060799</v>
      </c>
      <c r="BS30" s="78">
        <v>328</v>
      </c>
      <c r="BT30" s="78">
        <v>112.333333333333</v>
      </c>
      <c r="BU30" s="78">
        <v>101.333333333333</v>
      </c>
      <c r="BV30" s="78">
        <v>1366.000000000003</v>
      </c>
      <c r="BW30" s="78">
        <v>495</v>
      </c>
      <c r="BX30" s="78">
        <v>5556.00809731753</v>
      </c>
      <c r="BY30" s="402">
        <v>1.2949999999999999</v>
      </c>
      <c r="BZ30" s="78">
        <v>24468</v>
      </c>
      <c r="CA30" s="78">
        <v>4202</v>
      </c>
      <c r="CB30" s="78">
        <v>859</v>
      </c>
      <c r="CC30" s="78">
        <v>759</v>
      </c>
      <c r="CD30" s="78">
        <v>852</v>
      </c>
      <c r="CE30" s="78">
        <v>440</v>
      </c>
      <c r="CF30" s="78">
        <v>473.52497465359897</v>
      </c>
      <c r="CG30" s="78">
        <v>350.43859411963501</v>
      </c>
      <c r="CH30" s="78">
        <v>121.76894221020601</v>
      </c>
      <c r="CI30" s="78">
        <v>1287.6887999999999</v>
      </c>
      <c r="CJ30" s="78">
        <v>952.97159999999997</v>
      </c>
      <c r="CK30" s="78">
        <v>331.13459999999998</v>
      </c>
      <c r="CL30" s="78">
        <v>45240</v>
      </c>
    </row>
    <row r="31" spans="1:90" x14ac:dyDescent="0.35">
      <c r="A31" s="72">
        <v>96</v>
      </c>
      <c r="B31" s="72" t="s">
        <v>319</v>
      </c>
      <c r="C31" s="72">
        <v>2</v>
      </c>
      <c r="D31" s="78">
        <v>375600000</v>
      </c>
      <c r="E31" s="78">
        <v>64400000</v>
      </c>
      <c r="F31" s="78">
        <v>68600000</v>
      </c>
      <c r="G31" s="78">
        <v>1195</v>
      </c>
      <c r="H31" s="78">
        <v>1</v>
      </c>
      <c r="I31" s="78">
        <v>68.599999999999994</v>
      </c>
      <c r="J31" s="78">
        <v>142</v>
      </c>
      <c r="K31" s="78">
        <v>231</v>
      </c>
      <c r="L31" s="78">
        <v>82</v>
      </c>
      <c r="M31" s="78">
        <v>235</v>
      </c>
      <c r="N31" s="78">
        <v>120.5</v>
      </c>
      <c r="O31" s="78">
        <v>8.3333333333333304</v>
      </c>
      <c r="P31" s="78">
        <v>0</v>
      </c>
      <c r="Q31" s="78">
        <v>36.3333333333333</v>
      </c>
      <c r="R31" s="78">
        <v>400</v>
      </c>
      <c r="S31" s="78">
        <v>0</v>
      </c>
      <c r="T31" s="78">
        <v>0</v>
      </c>
      <c r="U31" s="78">
        <v>24</v>
      </c>
      <c r="V31" s="78">
        <v>716</v>
      </c>
      <c r="W31" s="78">
        <v>1190</v>
      </c>
      <c r="X31" s="78">
        <v>210</v>
      </c>
      <c r="Y31" s="78">
        <v>0</v>
      </c>
      <c r="Z31" s="78">
        <v>19.2</v>
      </c>
      <c r="AA31" s="78">
        <v>0</v>
      </c>
      <c r="AB31" s="399">
        <v>0</v>
      </c>
      <c r="AC31" s="399">
        <v>0</v>
      </c>
      <c r="AD31" s="78">
        <v>3917</v>
      </c>
      <c r="AE31" s="78">
        <v>3917</v>
      </c>
      <c r="AF31" s="78">
        <v>69</v>
      </c>
      <c r="AG31" s="78">
        <v>10000</v>
      </c>
      <c r="AH31" s="78">
        <v>11</v>
      </c>
      <c r="AI31" s="78">
        <v>1</v>
      </c>
      <c r="AJ31" s="78">
        <v>11</v>
      </c>
      <c r="AK31" s="78">
        <v>1</v>
      </c>
      <c r="AL31" s="78">
        <v>13</v>
      </c>
      <c r="AM31" s="78">
        <v>1145</v>
      </c>
      <c r="AN31" s="78">
        <v>1145</v>
      </c>
      <c r="AO31" s="78">
        <v>0</v>
      </c>
      <c r="AP31" s="78">
        <v>0</v>
      </c>
      <c r="AQ31" s="78">
        <v>0</v>
      </c>
      <c r="AR31" s="78">
        <v>0</v>
      </c>
      <c r="AS31" s="78">
        <v>0</v>
      </c>
      <c r="AT31" s="78">
        <v>0</v>
      </c>
      <c r="AU31" s="400">
        <v>1.06192E-4</v>
      </c>
      <c r="AV31" s="400">
        <v>1.7237000000000001E-5</v>
      </c>
      <c r="AW31" s="78">
        <v>242.74</v>
      </c>
      <c r="AX31" s="78">
        <v>0</v>
      </c>
      <c r="AY31" s="78">
        <v>401</v>
      </c>
      <c r="AZ31" s="78">
        <v>120.21951831409901</v>
      </c>
      <c r="BA31" s="78">
        <v>2</v>
      </c>
      <c r="BB31" s="78">
        <v>2</v>
      </c>
      <c r="BC31" s="78">
        <v>275</v>
      </c>
      <c r="BD31" s="78">
        <v>1</v>
      </c>
      <c r="BE31" s="78">
        <v>0</v>
      </c>
      <c r="BF31" s="78">
        <v>0</v>
      </c>
      <c r="BG31" s="78">
        <v>0</v>
      </c>
      <c r="BH31" s="78">
        <v>0</v>
      </c>
      <c r="BI31" s="78">
        <v>1</v>
      </c>
      <c r="BJ31" s="78">
        <v>1195</v>
      </c>
      <c r="BK31" s="78">
        <v>0</v>
      </c>
      <c r="BL31" s="78">
        <v>0</v>
      </c>
      <c r="BM31" s="78">
        <v>11.502000000000001</v>
      </c>
      <c r="BN31" s="78">
        <v>0</v>
      </c>
      <c r="BO31" s="78">
        <v>0</v>
      </c>
      <c r="BP31" s="78">
        <v>448.64</v>
      </c>
      <c r="BQ31" s="78">
        <v>-28.7</v>
      </c>
      <c r="BR31" s="78">
        <v>3.8340000000000001</v>
      </c>
      <c r="BS31" s="78">
        <v>6</v>
      </c>
      <c r="BT31" s="78">
        <v>1.3333333333333299</v>
      </c>
      <c r="BU31" s="78">
        <v>1</v>
      </c>
      <c r="BV31" s="78">
        <v>27.999999999999972</v>
      </c>
      <c r="BW31" s="78">
        <v>3</v>
      </c>
      <c r="BX31" s="78">
        <v>155.85041876046901</v>
      </c>
      <c r="BY31" s="402">
        <v>7.0000000000000001E-3</v>
      </c>
      <c r="BZ31" s="78">
        <v>964</v>
      </c>
      <c r="CA31" s="78">
        <v>130</v>
      </c>
      <c r="CB31" s="78">
        <v>19</v>
      </c>
      <c r="CC31" s="78">
        <v>31</v>
      </c>
      <c r="CD31" s="78">
        <v>30</v>
      </c>
      <c r="CE31" s="78">
        <v>9</v>
      </c>
      <c r="CF31" s="78">
        <v>8.2087336244541493</v>
      </c>
      <c r="CG31" s="78">
        <v>6.5248908296943204</v>
      </c>
      <c r="CH31" s="78">
        <v>1.57860262008734</v>
      </c>
      <c r="CI31" s="78">
        <v>36.917400000000001</v>
      </c>
      <c r="CJ31" s="78">
        <v>29.3446</v>
      </c>
      <c r="CK31" s="78">
        <v>7.0994999999999999</v>
      </c>
      <c r="CL31" s="78">
        <v>0</v>
      </c>
    </row>
    <row r="32" spans="1:90" x14ac:dyDescent="0.35">
      <c r="A32" s="72">
        <v>1949</v>
      </c>
      <c r="B32" s="72" t="s">
        <v>325</v>
      </c>
      <c r="C32" s="72">
        <v>2</v>
      </c>
      <c r="D32" s="78">
        <v>3310000000</v>
      </c>
      <c r="E32" s="78">
        <v>436450000</v>
      </c>
      <c r="F32" s="78">
        <v>522200000</v>
      </c>
      <c r="G32" s="78">
        <v>46309</v>
      </c>
      <c r="H32" s="78">
        <v>11</v>
      </c>
      <c r="I32" s="78">
        <v>522.20000000000005</v>
      </c>
      <c r="J32" s="78">
        <v>8777</v>
      </c>
      <c r="K32" s="78">
        <v>10668</v>
      </c>
      <c r="L32" s="78">
        <v>3533</v>
      </c>
      <c r="M32" s="78">
        <v>6893</v>
      </c>
      <c r="N32" s="78">
        <v>4743.7</v>
      </c>
      <c r="O32" s="78">
        <v>1001</v>
      </c>
      <c r="P32" s="78">
        <v>49</v>
      </c>
      <c r="Q32" s="78">
        <v>3075</v>
      </c>
      <c r="R32" s="78">
        <v>7044</v>
      </c>
      <c r="S32" s="78">
        <v>720</v>
      </c>
      <c r="T32" s="78">
        <v>0</v>
      </c>
      <c r="U32" s="78">
        <v>1322</v>
      </c>
      <c r="V32" s="78">
        <v>21482</v>
      </c>
      <c r="W32" s="78">
        <v>39880</v>
      </c>
      <c r="X32" s="78">
        <v>18220</v>
      </c>
      <c r="Y32" s="78">
        <v>578.54</v>
      </c>
      <c r="Z32" s="78">
        <v>1353.6</v>
      </c>
      <c r="AA32" s="78">
        <v>0</v>
      </c>
      <c r="AB32" s="399">
        <v>0</v>
      </c>
      <c r="AC32" s="399">
        <v>0</v>
      </c>
      <c r="AD32" s="78">
        <v>28532</v>
      </c>
      <c r="AE32" s="78">
        <v>28817.32</v>
      </c>
      <c r="AF32" s="78">
        <v>404</v>
      </c>
      <c r="AG32" s="78">
        <v>2646</v>
      </c>
      <c r="AH32" s="78">
        <v>302</v>
      </c>
      <c r="AI32" s="78">
        <v>175</v>
      </c>
      <c r="AJ32" s="78">
        <v>305.02</v>
      </c>
      <c r="AK32" s="78">
        <v>176.75</v>
      </c>
      <c r="AL32" s="78">
        <v>477</v>
      </c>
      <c r="AM32" s="78">
        <v>21493</v>
      </c>
      <c r="AN32" s="78">
        <v>21707.93</v>
      </c>
      <c r="AO32" s="78">
        <v>22</v>
      </c>
      <c r="AP32" s="78">
        <v>0</v>
      </c>
      <c r="AQ32" s="78">
        <v>0</v>
      </c>
      <c r="AR32" s="78">
        <v>5850</v>
      </c>
      <c r="AS32" s="78">
        <v>2975</v>
      </c>
      <c r="AT32" s="78">
        <v>1787</v>
      </c>
      <c r="AU32" s="400">
        <v>2.8373890000000001E-3</v>
      </c>
      <c r="AV32" s="400">
        <v>5.9854500000000002E-4</v>
      </c>
      <c r="AW32" s="78">
        <v>10080.217000000001</v>
      </c>
      <c r="AX32" s="78">
        <v>0</v>
      </c>
      <c r="AY32" s="78">
        <v>7277.05</v>
      </c>
      <c r="AZ32" s="78">
        <v>11736.6652436411</v>
      </c>
      <c r="BA32" s="78">
        <v>34</v>
      </c>
      <c r="BB32" s="78">
        <v>34.340000000000003</v>
      </c>
      <c r="BC32" s="78">
        <v>5265</v>
      </c>
      <c r="BD32" s="78">
        <v>1</v>
      </c>
      <c r="BE32" s="78">
        <v>0</v>
      </c>
      <c r="BF32" s="78">
        <v>0</v>
      </c>
      <c r="BG32" s="78">
        <v>0</v>
      </c>
      <c r="BH32" s="78">
        <v>0</v>
      </c>
      <c r="BI32" s="78">
        <v>0</v>
      </c>
      <c r="BJ32" s="78">
        <v>0</v>
      </c>
      <c r="BK32" s="78">
        <v>0</v>
      </c>
      <c r="BL32" s="78">
        <v>0</v>
      </c>
      <c r="BM32" s="78">
        <v>886.47699999999998</v>
      </c>
      <c r="BN32" s="78">
        <v>82</v>
      </c>
      <c r="BO32" s="78">
        <v>92</v>
      </c>
      <c r="BP32" s="78">
        <v>11718.06</v>
      </c>
      <c r="BQ32" s="78">
        <v>2598.75</v>
      </c>
      <c r="BR32" s="78">
        <v>423.55175278066099</v>
      </c>
      <c r="BS32" s="78">
        <v>503</v>
      </c>
      <c r="BT32" s="78">
        <v>269.66666666666703</v>
      </c>
      <c r="BU32" s="78">
        <v>214.666666666667</v>
      </c>
      <c r="BV32" s="78">
        <v>2074</v>
      </c>
      <c r="BW32" s="78">
        <v>639</v>
      </c>
      <c r="BX32" s="78">
        <v>8623.9160779215199</v>
      </c>
      <c r="BY32" s="402">
        <v>2.7429999999999999</v>
      </c>
      <c r="BZ32" s="78">
        <v>35641</v>
      </c>
      <c r="CA32" s="78">
        <v>6030</v>
      </c>
      <c r="CB32" s="78">
        <v>1105</v>
      </c>
      <c r="CC32" s="78">
        <v>1312</v>
      </c>
      <c r="CD32" s="78">
        <v>1059</v>
      </c>
      <c r="CE32" s="78">
        <v>521</v>
      </c>
      <c r="CF32" s="78">
        <v>835.38382263992901</v>
      </c>
      <c r="CG32" s="78">
        <v>527.05325454799197</v>
      </c>
      <c r="CH32" s="78">
        <v>168.401018936398</v>
      </c>
      <c r="CI32" s="78">
        <v>2131.3335000000002</v>
      </c>
      <c r="CJ32" s="78">
        <v>1344.6828</v>
      </c>
      <c r="CK32" s="78">
        <v>429.64530000000002</v>
      </c>
      <c r="CL32" s="78">
        <v>29526</v>
      </c>
    </row>
    <row r="33" spans="1:90" x14ac:dyDescent="0.35">
      <c r="A33" s="72">
        <v>98</v>
      </c>
      <c r="B33" s="72" t="s">
        <v>341</v>
      </c>
      <c r="C33" s="72">
        <v>2</v>
      </c>
      <c r="D33" s="78">
        <v>2322800000</v>
      </c>
      <c r="E33" s="78">
        <v>293650000</v>
      </c>
      <c r="F33" s="78">
        <v>342650000</v>
      </c>
      <c r="G33" s="78">
        <v>26278</v>
      </c>
      <c r="H33" s="78">
        <v>2</v>
      </c>
      <c r="I33" s="78">
        <v>342.65</v>
      </c>
      <c r="J33" s="78">
        <v>4789</v>
      </c>
      <c r="K33" s="78">
        <v>6492</v>
      </c>
      <c r="L33" s="78">
        <v>2201</v>
      </c>
      <c r="M33" s="78">
        <v>4082</v>
      </c>
      <c r="N33" s="78">
        <v>2865.7</v>
      </c>
      <c r="O33" s="78">
        <v>438.33333333333297</v>
      </c>
      <c r="P33" s="78">
        <v>41</v>
      </c>
      <c r="Q33" s="78">
        <v>1799.3333333333301</v>
      </c>
      <c r="R33" s="78">
        <v>3808</v>
      </c>
      <c r="S33" s="78">
        <v>535</v>
      </c>
      <c r="T33" s="78">
        <v>0</v>
      </c>
      <c r="U33" s="78">
        <v>727</v>
      </c>
      <c r="V33" s="78">
        <v>12072</v>
      </c>
      <c r="W33" s="78">
        <v>26200</v>
      </c>
      <c r="X33" s="78">
        <v>17600</v>
      </c>
      <c r="Y33" s="78">
        <v>89.1</v>
      </c>
      <c r="Z33" s="78">
        <v>929.6</v>
      </c>
      <c r="AA33" s="78">
        <v>0</v>
      </c>
      <c r="AB33" s="399">
        <v>0</v>
      </c>
      <c r="AC33" s="399">
        <v>0</v>
      </c>
      <c r="AD33" s="78">
        <v>22015</v>
      </c>
      <c r="AE33" s="78">
        <v>22015</v>
      </c>
      <c r="AF33" s="78">
        <v>830</v>
      </c>
      <c r="AG33" s="78">
        <v>0</v>
      </c>
      <c r="AH33" s="78">
        <v>158</v>
      </c>
      <c r="AI33" s="78">
        <v>156</v>
      </c>
      <c r="AJ33" s="78">
        <v>158</v>
      </c>
      <c r="AK33" s="78">
        <v>156</v>
      </c>
      <c r="AL33" s="78">
        <v>313</v>
      </c>
      <c r="AM33" s="78">
        <v>12163</v>
      </c>
      <c r="AN33" s="78">
        <v>12163</v>
      </c>
      <c r="AO33" s="78">
        <v>0</v>
      </c>
      <c r="AP33" s="78">
        <v>0</v>
      </c>
      <c r="AQ33" s="78">
        <v>0</v>
      </c>
      <c r="AR33" s="78">
        <v>0</v>
      </c>
      <c r="AS33" s="78">
        <v>1042</v>
      </c>
      <c r="AT33" s="78">
        <v>0</v>
      </c>
      <c r="AU33" s="400">
        <v>1.20327E-3</v>
      </c>
      <c r="AV33" s="400">
        <v>4.1712299999999998E-4</v>
      </c>
      <c r="AW33" s="78">
        <v>8307.3289999999997</v>
      </c>
      <c r="AX33" s="78">
        <v>0</v>
      </c>
      <c r="AY33" s="78">
        <v>7576</v>
      </c>
      <c r="AZ33" s="78">
        <v>8714.4726636025407</v>
      </c>
      <c r="BA33" s="78">
        <v>19</v>
      </c>
      <c r="BB33" s="78">
        <v>19</v>
      </c>
      <c r="BC33" s="78">
        <v>3260</v>
      </c>
      <c r="BD33" s="78">
        <v>1</v>
      </c>
      <c r="BE33" s="78">
        <v>0</v>
      </c>
      <c r="BF33" s="78">
        <v>0</v>
      </c>
      <c r="BG33" s="78">
        <v>0</v>
      </c>
      <c r="BH33" s="78">
        <v>0</v>
      </c>
      <c r="BI33" s="78">
        <v>0</v>
      </c>
      <c r="BJ33" s="78">
        <v>0</v>
      </c>
      <c r="BK33" s="78">
        <v>0</v>
      </c>
      <c r="BL33" s="78">
        <v>0</v>
      </c>
      <c r="BM33" s="78">
        <v>574.67999999999995</v>
      </c>
      <c r="BN33" s="78">
        <v>75</v>
      </c>
      <c r="BO33" s="78">
        <v>46</v>
      </c>
      <c r="BP33" s="78">
        <v>6715.82</v>
      </c>
      <c r="BQ33" s="78">
        <v>1492.83</v>
      </c>
      <c r="BR33" s="78">
        <v>167.154615464995</v>
      </c>
      <c r="BS33" s="78">
        <v>286</v>
      </c>
      <c r="BT33" s="78">
        <v>108</v>
      </c>
      <c r="BU33" s="78">
        <v>96.6666666666667</v>
      </c>
      <c r="BV33" s="78">
        <v>1360.999999999997</v>
      </c>
      <c r="BW33" s="78">
        <v>438</v>
      </c>
      <c r="BX33" s="78">
        <v>5304.2741370072699</v>
      </c>
      <c r="BY33" s="402">
        <v>1.1240000000000001</v>
      </c>
      <c r="BZ33" s="78">
        <v>19786</v>
      </c>
      <c r="CA33" s="78">
        <v>3467</v>
      </c>
      <c r="CB33" s="78">
        <v>824</v>
      </c>
      <c r="CC33" s="78">
        <v>697</v>
      </c>
      <c r="CD33" s="78">
        <v>697</v>
      </c>
      <c r="CE33" s="78">
        <v>388</v>
      </c>
      <c r="CF33" s="78">
        <v>504.907925676231</v>
      </c>
      <c r="CG33" s="78">
        <v>352.233947216969</v>
      </c>
      <c r="CH33" s="78">
        <v>129.34878730576301</v>
      </c>
      <c r="CI33" s="78">
        <v>1185.9362000000001</v>
      </c>
      <c r="CJ33" s="78">
        <v>827.33299999999997</v>
      </c>
      <c r="CK33" s="78">
        <v>303.81659999999999</v>
      </c>
      <c r="CL33" s="78">
        <v>22756</v>
      </c>
    </row>
    <row r="34" spans="1:90" x14ac:dyDescent="0.35">
      <c r="A34" s="72">
        <v>1680</v>
      </c>
      <c r="B34" s="72" t="s">
        <v>0</v>
      </c>
      <c r="C34" s="72">
        <v>3</v>
      </c>
      <c r="D34" s="78">
        <v>2723200000</v>
      </c>
      <c r="E34" s="78">
        <v>246400000</v>
      </c>
      <c r="F34" s="78">
        <v>296450000</v>
      </c>
      <c r="G34" s="78">
        <v>25579</v>
      </c>
      <c r="H34" s="78">
        <v>6</v>
      </c>
      <c r="I34" s="78">
        <v>296.45</v>
      </c>
      <c r="J34" s="78">
        <v>4277</v>
      </c>
      <c r="K34" s="78">
        <v>7021</v>
      </c>
      <c r="L34" s="78">
        <v>2267</v>
      </c>
      <c r="M34" s="78">
        <v>3219</v>
      </c>
      <c r="N34" s="78">
        <v>1902.3</v>
      </c>
      <c r="O34" s="78">
        <v>332.66666666666703</v>
      </c>
      <c r="P34" s="78">
        <v>34</v>
      </c>
      <c r="Q34" s="78">
        <v>1604.6666666666699</v>
      </c>
      <c r="R34" s="78">
        <v>3266</v>
      </c>
      <c r="S34" s="78">
        <v>225</v>
      </c>
      <c r="T34" s="78">
        <v>0</v>
      </c>
      <c r="U34" s="78">
        <v>594</v>
      </c>
      <c r="V34" s="78">
        <v>11764</v>
      </c>
      <c r="W34" s="78">
        <v>19630</v>
      </c>
      <c r="X34" s="78">
        <v>3020</v>
      </c>
      <c r="Y34" s="78">
        <v>0</v>
      </c>
      <c r="Z34" s="78">
        <v>169.6</v>
      </c>
      <c r="AA34" s="78">
        <v>0</v>
      </c>
      <c r="AB34" s="399">
        <v>0</v>
      </c>
      <c r="AC34" s="399">
        <v>11.799999999999983</v>
      </c>
      <c r="AD34" s="78">
        <v>27601</v>
      </c>
      <c r="AE34" s="78">
        <v>27601</v>
      </c>
      <c r="AF34" s="78">
        <v>286</v>
      </c>
      <c r="AG34" s="78">
        <v>0</v>
      </c>
      <c r="AH34" s="78">
        <v>173</v>
      </c>
      <c r="AI34" s="78">
        <v>102</v>
      </c>
      <c r="AJ34" s="78">
        <v>173</v>
      </c>
      <c r="AK34" s="78">
        <v>102</v>
      </c>
      <c r="AL34" s="78">
        <v>275</v>
      </c>
      <c r="AM34" s="78">
        <v>13167</v>
      </c>
      <c r="AN34" s="78">
        <v>13167</v>
      </c>
      <c r="AO34" s="78">
        <v>0</v>
      </c>
      <c r="AP34" s="78">
        <v>0</v>
      </c>
      <c r="AQ34" s="78">
        <v>0</v>
      </c>
      <c r="AR34" s="78">
        <v>0</v>
      </c>
      <c r="AS34" s="78">
        <v>0</v>
      </c>
      <c r="AT34" s="78">
        <v>0</v>
      </c>
      <c r="AU34" s="400">
        <v>7.2006299999999995E-4</v>
      </c>
      <c r="AV34" s="400">
        <v>1.80125E-4</v>
      </c>
      <c r="AW34" s="78">
        <v>3726.261</v>
      </c>
      <c r="AX34" s="78">
        <v>0</v>
      </c>
      <c r="AY34" s="78">
        <v>3351</v>
      </c>
      <c r="AZ34" s="78">
        <v>3073.66260264639</v>
      </c>
      <c r="BA34" s="78">
        <v>33</v>
      </c>
      <c r="BB34" s="78">
        <v>33</v>
      </c>
      <c r="BC34" s="78">
        <v>3120</v>
      </c>
      <c r="BD34" s="78">
        <v>1</v>
      </c>
      <c r="BE34" s="78">
        <v>0</v>
      </c>
      <c r="BF34" s="78">
        <v>0</v>
      </c>
      <c r="BG34" s="78">
        <v>0</v>
      </c>
      <c r="BH34" s="78">
        <v>0</v>
      </c>
      <c r="BI34" s="78">
        <v>0</v>
      </c>
      <c r="BJ34" s="78">
        <v>0</v>
      </c>
      <c r="BK34" s="78">
        <v>0</v>
      </c>
      <c r="BL34" s="78">
        <v>0</v>
      </c>
      <c r="BM34" s="78">
        <v>333.60599999999999</v>
      </c>
      <c r="BN34" s="78">
        <v>36</v>
      </c>
      <c r="BO34" s="78">
        <v>42</v>
      </c>
      <c r="BP34" s="78">
        <v>7879.9</v>
      </c>
      <c r="BQ34" s="78">
        <v>1605.32</v>
      </c>
      <c r="BR34" s="78">
        <v>107.508502405887</v>
      </c>
      <c r="BS34" s="78">
        <v>208</v>
      </c>
      <c r="BT34" s="78">
        <v>83.6666666666667</v>
      </c>
      <c r="BU34" s="78">
        <v>60.6666666666667</v>
      </c>
      <c r="BV34" s="78">
        <v>1272.000000000003</v>
      </c>
      <c r="BW34" s="78">
        <v>475</v>
      </c>
      <c r="BX34" s="78">
        <v>4545.1039993700497</v>
      </c>
      <c r="BY34" s="402">
        <v>0.73799999999999999</v>
      </c>
      <c r="BZ34" s="78">
        <v>18558</v>
      </c>
      <c r="CA34" s="78">
        <v>4004</v>
      </c>
      <c r="CB34" s="78">
        <v>750</v>
      </c>
      <c r="CC34" s="78">
        <v>682</v>
      </c>
      <c r="CD34" s="78">
        <v>627</v>
      </c>
      <c r="CE34" s="78">
        <v>374</v>
      </c>
      <c r="CF34" s="78">
        <v>345.00587833219402</v>
      </c>
      <c r="CG34" s="78">
        <v>218.87935748462101</v>
      </c>
      <c r="CH34" s="78">
        <v>78.449829118250193</v>
      </c>
      <c r="CI34" s="78">
        <v>999.61680000000001</v>
      </c>
      <c r="CJ34" s="78">
        <v>634.17899999999997</v>
      </c>
      <c r="CK34" s="78">
        <v>227.2998</v>
      </c>
      <c r="CL34" s="78">
        <v>101570</v>
      </c>
    </row>
    <row r="35" spans="1:90" x14ac:dyDescent="0.35">
      <c r="A35" s="72">
        <v>106</v>
      </c>
      <c r="B35" s="72" t="s">
        <v>30</v>
      </c>
      <c r="C35" s="72">
        <v>3</v>
      </c>
      <c r="D35" s="78">
        <v>6134000000</v>
      </c>
      <c r="E35" s="78">
        <v>838600000</v>
      </c>
      <c r="F35" s="78">
        <v>854700000</v>
      </c>
      <c r="G35" s="78">
        <v>68979</v>
      </c>
      <c r="H35" s="78">
        <v>1</v>
      </c>
      <c r="I35" s="78">
        <v>854.7</v>
      </c>
      <c r="J35" s="78">
        <v>13296</v>
      </c>
      <c r="K35" s="78">
        <v>14579</v>
      </c>
      <c r="L35" s="78">
        <v>4716</v>
      </c>
      <c r="M35" s="78">
        <v>10835</v>
      </c>
      <c r="N35" s="78">
        <v>7468.1</v>
      </c>
      <c r="O35" s="78">
        <v>1928.6666666666699</v>
      </c>
      <c r="P35" s="78">
        <v>142</v>
      </c>
      <c r="Q35" s="78">
        <v>6403.6666666666697</v>
      </c>
      <c r="R35" s="78">
        <v>12562</v>
      </c>
      <c r="S35" s="78">
        <v>2410</v>
      </c>
      <c r="T35" s="78">
        <v>0</v>
      </c>
      <c r="U35" s="78">
        <v>2632</v>
      </c>
      <c r="V35" s="78">
        <v>34035</v>
      </c>
      <c r="W35" s="78">
        <v>78020</v>
      </c>
      <c r="X35" s="78">
        <v>107760</v>
      </c>
      <c r="Y35" s="78">
        <v>2506.1</v>
      </c>
      <c r="Z35" s="78">
        <v>3864.8</v>
      </c>
      <c r="AA35" s="78">
        <v>0</v>
      </c>
      <c r="AB35" s="399">
        <v>0</v>
      </c>
      <c r="AC35" s="399">
        <v>0</v>
      </c>
      <c r="AD35" s="78">
        <v>8184</v>
      </c>
      <c r="AE35" s="78">
        <v>8184</v>
      </c>
      <c r="AF35" s="78">
        <v>162</v>
      </c>
      <c r="AG35" s="78">
        <v>0</v>
      </c>
      <c r="AH35" s="78">
        <v>365</v>
      </c>
      <c r="AI35" s="78">
        <v>42</v>
      </c>
      <c r="AJ35" s="78">
        <v>365</v>
      </c>
      <c r="AK35" s="78">
        <v>42</v>
      </c>
      <c r="AL35" s="78">
        <v>407</v>
      </c>
      <c r="AM35" s="78">
        <v>33669</v>
      </c>
      <c r="AN35" s="78">
        <v>33669</v>
      </c>
      <c r="AO35" s="78">
        <v>11</v>
      </c>
      <c r="AP35" s="78">
        <v>0</v>
      </c>
      <c r="AQ35" s="78">
        <v>0</v>
      </c>
      <c r="AR35" s="78">
        <v>0</v>
      </c>
      <c r="AS35" s="78">
        <v>3666</v>
      </c>
      <c r="AT35" s="78">
        <v>3666</v>
      </c>
      <c r="AU35" s="400">
        <v>1.1645659999999999E-3</v>
      </c>
      <c r="AV35" s="400">
        <v>3.1044890000000002E-3</v>
      </c>
      <c r="AW35" s="78">
        <v>53466.372000000003</v>
      </c>
      <c r="AX35" s="78">
        <v>0</v>
      </c>
      <c r="AY35" s="78">
        <v>1901</v>
      </c>
      <c r="AZ35" s="78">
        <v>15711.607836089101</v>
      </c>
      <c r="BA35" s="78">
        <v>3</v>
      </c>
      <c r="BB35" s="78">
        <v>3</v>
      </c>
      <c r="BC35" s="78">
        <v>6390</v>
      </c>
      <c r="BD35" s="78">
        <v>1</v>
      </c>
      <c r="BE35" s="78">
        <v>0</v>
      </c>
      <c r="BF35" s="78">
        <v>0</v>
      </c>
      <c r="BG35" s="78">
        <v>0</v>
      </c>
      <c r="BH35" s="78">
        <v>0</v>
      </c>
      <c r="BI35" s="78">
        <v>0</v>
      </c>
      <c r="BJ35" s="78">
        <v>0</v>
      </c>
      <c r="BK35" s="78">
        <v>0</v>
      </c>
      <c r="BL35" s="78">
        <v>0</v>
      </c>
      <c r="BM35" s="78">
        <v>1821.5519999999999</v>
      </c>
      <c r="BN35" s="78">
        <v>164</v>
      </c>
      <c r="BO35" s="78">
        <v>210</v>
      </c>
      <c r="BP35" s="78">
        <v>18823.95</v>
      </c>
      <c r="BQ35" s="78">
        <v>4068.35</v>
      </c>
      <c r="BR35" s="78">
        <v>766.53680898876405</v>
      </c>
      <c r="BS35" s="78">
        <v>991</v>
      </c>
      <c r="BT35" s="78">
        <v>486</v>
      </c>
      <c r="BU35" s="78">
        <v>403.33333333333297</v>
      </c>
      <c r="BV35" s="78">
        <v>4475</v>
      </c>
      <c r="BW35" s="78">
        <v>1624</v>
      </c>
      <c r="BX35" s="78">
        <v>11973.502204079299</v>
      </c>
      <c r="BY35" s="402">
        <v>5.6379999999999999</v>
      </c>
      <c r="BZ35" s="78">
        <v>54400</v>
      </c>
      <c r="CA35" s="78">
        <v>8198</v>
      </c>
      <c r="CB35" s="78">
        <v>1665</v>
      </c>
      <c r="CC35" s="78">
        <v>2134</v>
      </c>
      <c r="CD35" s="78">
        <v>1663</v>
      </c>
      <c r="CE35" s="78">
        <v>804</v>
      </c>
      <c r="CF35" s="78">
        <v>1160.0630550357901</v>
      </c>
      <c r="CG35" s="78">
        <v>728.64381181502301</v>
      </c>
      <c r="CH35" s="78">
        <v>251.08821764828201</v>
      </c>
      <c r="CI35" s="78">
        <v>2723.7840000000001</v>
      </c>
      <c r="CJ35" s="78">
        <v>1710.828</v>
      </c>
      <c r="CK35" s="78">
        <v>589.54560000000004</v>
      </c>
      <c r="CL35" s="78">
        <v>257748</v>
      </c>
    </row>
    <row r="36" spans="1:90" x14ac:dyDescent="0.35">
      <c r="A36" s="72">
        <v>1681</v>
      </c>
      <c r="B36" s="72" t="s">
        <v>55</v>
      </c>
      <c r="C36" s="72">
        <v>3</v>
      </c>
      <c r="D36" s="78">
        <v>2300800000</v>
      </c>
      <c r="E36" s="78">
        <v>365050000</v>
      </c>
      <c r="F36" s="78">
        <v>417200000</v>
      </c>
      <c r="G36" s="78">
        <v>25681</v>
      </c>
      <c r="H36" s="78">
        <v>6</v>
      </c>
      <c r="I36" s="78">
        <v>417.2</v>
      </c>
      <c r="J36" s="78">
        <v>4352</v>
      </c>
      <c r="K36" s="78">
        <v>6604</v>
      </c>
      <c r="L36" s="78">
        <v>2164</v>
      </c>
      <c r="M36" s="78">
        <v>3499</v>
      </c>
      <c r="N36" s="78">
        <v>2275.8000000000002</v>
      </c>
      <c r="O36" s="78">
        <v>448</v>
      </c>
      <c r="P36" s="78">
        <v>39</v>
      </c>
      <c r="Q36" s="78">
        <v>2080</v>
      </c>
      <c r="R36" s="78">
        <v>3198</v>
      </c>
      <c r="S36" s="78">
        <v>255</v>
      </c>
      <c r="T36" s="78">
        <v>0</v>
      </c>
      <c r="U36" s="78">
        <v>627</v>
      </c>
      <c r="V36" s="78">
        <v>11577</v>
      </c>
      <c r="W36" s="78">
        <v>20850</v>
      </c>
      <c r="X36" s="78">
        <v>3730</v>
      </c>
      <c r="Y36" s="78">
        <v>0</v>
      </c>
      <c r="Z36" s="78">
        <v>155.19999999999999</v>
      </c>
      <c r="AA36" s="78">
        <v>0</v>
      </c>
      <c r="AB36" s="399">
        <v>0</v>
      </c>
      <c r="AC36" s="399">
        <v>0</v>
      </c>
      <c r="AD36" s="78">
        <v>27490</v>
      </c>
      <c r="AE36" s="78">
        <v>27490</v>
      </c>
      <c r="AF36" s="78">
        <v>299</v>
      </c>
      <c r="AG36" s="78">
        <v>0</v>
      </c>
      <c r="AH36" s="78">
        <v>170</v>
      </c>
      <c r="AI36" s="78">
        <v>114</v>
      </c>
      <c r="AJ36" s="78">
        <v>170</v>
      </c>
      <c r="AK36" s="78">
        <v>114</v>
      </c>
      <c r="AL36" s="78">
        <v>284</v>
      </c>
      <c r="AM36" s="78">
        <v>12232</v>
      </c>
      <c r="AN36" s="78">
        <v>12232</v>
      </c>
      <c r="AO36" s="78">
        <v>0</v>
      </c>
      <c r="AP36" s="78">
        <v>0</v>
      </c>
      <c r="AQ36" s="78">
        <v>0</v>
      </c>
      <c r="AR36" s="78">
        <v>0</v>
      </c>
      <c r="AS36" s="78">
        <v>2246</v>
      </c>
      <c r="AT36" s="78">
        <v>0</v>
      </c>
      <c r="AU36" s="400">
        <v>8.34062E-4</v>
      </c>
      <c r="AV36" s="400">
        <v>2.5033100000000001E-4</v>
      </c>
      <c r="AW36" s="78">
        <v>3204.7840000000001</v>
      </c>
      <c r="AX36" s="78">
        <v>0</v>
      </c>
      <c r="AY36" s="78">
        <v>5561</v>
      </c>
      <c r="AZ36" s="78">
        <v>5139.1572564683902</v>
      </c>
      <c r="BA36" s="78">
        <v>38</v>
      </c>
      <c r="BB36" s="78">
        <v>38</v>
      </c>
      <c r="BC36" s="78">
        <v>3045</v>
      </c>
      <c r="BD36" s="78">
        <v>1</v>
      </c>
      <c r="BE36" s="78">
        <v>0</v>
      </c>
      <c r="BF36" s="78">
        <v>0</v>
      </c>
      <c r="BG36" s="78">
        <v>0</v>
      </c>
      <c r="BH36" s="78">
        <v>0</v>
      </c>
      <c r="BI36" s="78">
        <v>0</v>
      </c>
      <c r="BJ36" s="78">
        <v>0</v>
      </c>
      <c r="BK36" s="78">
        <v>0</v>
      </c>
      <c r="BL36" s="78">
        <v>0</v>
      </c>
      <c r="BM36" s="78">
        <v>470.01600000000002</v>
      </c>
      <c r="BN36" s="78">
        <v>96</v>
      </c>
      <c r="BO36" s="78">
        <v>31</v>
      </c>
      <c r="BP36" s="78">
        <v>7019.02</v>
      </c>
      <c r="BQ36" s="78">
        <v>1413.64</v>
      </c>
      <c r="BR36" s="78">
        <v>99.083346260387799</v>
      </c>
      <c r="BS36" s="78">
        <v>216</v>
      </c>
      <c r="BT36" s="78">
        <v>108.666666666667</v>
      </c>
      <c r="BU36" s="78">
        <v>93.3333333333333</v>
      </c>
      <c r="BV36" s="78">
        <v>1632</v>
      </c>
      <c r="BW36" s="78">
        <v>436</v>
      </c>
      <c r="BX36" s="78">
        <v>5136.8420751621197</v>
      </c>
      <c r="BY36" s="402">
        <v>1.1120000000000001</v>
      </c>
      <c r="BZ36" s="78">
        <v>19077</v>
      </c>
      <c r="CA36" s="78">
        <v>3794</v>
      </c>
      <c r="CB36" s="78">
        <v>646</v>
      </c>
      <c r="CC36" s="78">
        <v>613</v>
      </c>
      <c r="CD36" s="78">
        <v>554</v>
      </c>
      <c r="CE36" s="78">
        <v>313</v>
      </c>
      <c r="CF36" s="78">
        <v>422.71236102027501</v>
      </c>
      <c r="CG36" s="78">
        <v>268.10233812949599</v>
      </c>
      <c r="CH36" s="78">
        <v>85.584368868541503</v>
      </c>
      <c r="CI36" s="78">
        <v>1162.8096</v>
      </c>
      <c r="CJ36" s="78">
        <v>737.50379999999996</v>
      </c>
      <c r="CK36" s="78">
        <v>235.428</v>
      </c>
      <c r="CL36" s="78">
        <v>0</v>
      </c>
    </row>
    <row r="37" spans="1:90" x14ac:dyDescent="0.35">
      <c r="A37" s="72">
        <v>109</v>
      </c>
      <c r="B37" s="72" t="s">
        <v>70</v>
      </c>
      <c r="C37" s="72">
        <v>3</v>
      </c>
      <c r="D37" s="78">
        <v>3074000000</v>
      </c>
      <c r="E37" s="78">
        <v>501200000</v>
      </c>
      <c r="F37" s="78">
        <v>565250000</v>
      </c>
      <c r="G37" s="78">
        <v>35517</v>
      </c>
      <c r="H37" s="78">
        <v>8</v>
      </c>
      <c r="I37" s="78">
        <v>565.25</v>
      </c>
      <c r="J37" s="78">
        <v>6289</v>
      </c>
      <c r="K37" s="78">
        <v>8976</v>
      </c>
      <c r="L37" s="78">
        <v>2978</v>
      </c>
      <c r="M37" s="78">
        <v>5203</v>
      </c>
      <c r="N37" s="78">
        <v>3455.8</v>
      </c>
      <c r="O37" s="78">
        <v>724.66666666666697</v>
      </c>
      <c r="P37" s="78">
        <v>44</v>
      </c>
      <c r="Q37" s="78">
        <v>2741.6666666666702</v>
      </c>
      <c r="R37" s="78">
        <v>5067</v>
      </c>
      <c r="S37" s="78">
        <v>690</v>
      </c>
      <c r="T37" s="78">
        <v>0</v>
      </c>
      <c r="U37" s="78">
        <v>990</v>
      </c>
      <c r="V37" s="78">
        <v>16381</v>
      </c>
      <c r="W37" s="78">
        <v>32430</v>
      </c>
      <c r="X37" s="78">
        <v>18150</v>
      </c>
      <c r="Y37" s="78">
        <v>130.68</v>
      </c>
      <c r="Z37" s="78">
        <v>1003.2</v>
      </c>
      <c r="AA37" s="78">
        <v>0</v>
      </c>
      <c r="AB37" s="399">
        <v>0</v>
      </c>
      <c r="AC37" s="399">
        <v>0</v>
      </c>
      <c r="AD37" s="78">
        <v>29614</v>
      </c>
      <c r="AE37" s="78">
        <v>29614</v>
      </c>
      <c r="AF37" s="78">
        <v>355</v>
      </c>
      <c r="AG37" s="78">
        <v>0</v>
      </c>
      <c r="AH37" s="78">
        <v>237</v>
      </c>
      <c r="AI37" s="78">
        <v>179</v>
      </c>
      <c r="AJ37" s="78">
        <v>237</v>
      </c>
      <c r="AK37" s="78">
        <v>179</v>
      </c>
      <c r="AL37" s="78">
        <v>417</v>
      </c>
      <c r="AM37" s="78">
        <v>17472</v>
      </c>
      <c r="AN37" s="78">
        <v>17472</v>
      </c>
      <c r="AO37" s="78">
        <v>9</v>
      </c>
      <c r="AP37" s="78">
        <v>0</v>
      </c>
      <c r="AQ37" s="78">
        <v>0</v>
      </c>
      <c r="AR37" s="78">
        <v>3250</v>
      </c>
      <c r="AS37" s="78">
        <v>917</v>
      </c>
      <c r="AT37" s="78">
        <v>917</v>
      </c>
      <c r="AU37" s="400">
        <v>1.014834E-3</v>
      </c>
      <c r="AV37" s="400">
        <v>5.4257000000000003E-4</v>
      </c>
      <c r="AW37" s="78">
        <v>8770.9439999999995</v>
      </c>
      <c r="AX37" s="78">
        <v>0</v>
      </c>
      <c r="AY37" s="78">
        <v>4556</v>
      </c>
      <c r="AZ37" s="78">
        <v>5399.4278087356897</v>
      </c>
      <c r="BA37" s="78">
        <v>27</v>
      </c>
      <c r="BB37" s="78">
        <v>27</v>
      </c>
      <c r="BC37" s="78">
        <v>4045</v>
      </c>
      <c r="BD37" s="78">
        <v>1</v>
      </c>
      <c r="BE37" s="78">
        <v>0</v>
      </c>
      <c r="BF37" s="78">
        <v>0</v>
      </c>
      <c r="BG37" s="78">
        <v>0</v>
      </c>
      <c r="BH37" s="78">
        <v>0</v>
      </c>
      <c r="BI37" s="78">
        <v>0</v>
      </c>
      <c r="BJ37" s="78">
        <v>0</v>
      </c>
      <c r="BK37" s="78">
        <v>0</v>
      </c>
      <c r="BL37" s="78">
        <v>0</v>
      </c>
      <c r="BM37" s="78">
        <v>830.14800000000002</v>
      </c>
      <c r="BN37" s="78">
        <v>140</v>
      </c>
      <c r="BO37" s="78">
        <v>127</v>
      </c>
      <c r="BP37" s="78">
        <v>9730.2800000000007</v>
      </c>
      <c r="BQ37" s="78">
        <v>1954.53</v>
      </c>
      <c r="BR37" s="78">
        <v>235.422234904558</v>
      </c>
      <c r="BS37" s="78">
        <v>376</v>
      </c>
      <c r="BT37" s="78">
        <v>210</v>
      </c>
      <c r="BU37" s="78">
        <v>162.333333333333</v>
      </c>
      <c r="BV37" s="78">
        <v>2017.0000000000032</v>
      </c>
      <c r="BW37" s="78">
        <v>493</v>
      </c>
      <c r="BX37" s="78">
        <v>7247.7729795849</v>
      </c>
      <c r="BY37" s="402">
        <v>2.1059999999999999</v>
      </c>
      <c r="BZ37" s="78">
        <v>26541</v>
      </c>
      <c r="CA37" s="78">
        <v>4980</v>
      </c>
      <c r="CB37" s="78">
        <v>1018</v>
      </c>
      <c r="CC37" s="78">
        <v>927</v>
      </c>
      <c r="CD37" s="78">
        <v>960</v>
      </c>
      <c r="CE37" s="78">
        <v>549</v>
      </c>
      <c r="CF37" s="78">
        <v>605.04190705128201</v>
      </c>
      <c r="CG37" s="78">
        <v>398.94394459707001</v>
      </c>
      <c r="CH37" s="78">
        <v>147.354109432234</v>
      </c>
      <c r="CI37" s="78">
        <v>1552.1366</v>
      </c>
      <c r="CJ37" s="78">
        <v>1023.4258</v>
      </c>
      <c r="CK37" s="78">
        <v>378.01299999999998</v>
      </c>
      <c r="CL37" s="78">
        <v>7938</v>
      </c>
    </row>
    <row r="38" spans="1:90" x14ac:dyDescent="0.35">
      <c r="A38" s="72">
        <v>1690</v>
      </c>
      <c r="B38" s="72" t="s">
        <v>79</v>
      </c>
      <c r="C38" s="72">
        <v>3</v>
      </c>
      <c r="D38" s="78">
        <v>2649600000</v>
      </c>
      <c r="E38" s="78">
        <v>262500000</v>
      </c>
      <c r="F38" s="78">
        <v>312900000</v>
      </c>
      <c r="G38" s="78">
        <v>24511</v>
      </c>
      <c r="H38" s="78">
        <v>5</v>
      </c>
      <c r="I38" s="78">
        <v>312.89999999999998</v>
      </c>
      <c r="J38" s="78">
        <v>4479</v>
      </c>
      <c r="K38" s="78">
        <v>6101</v>
      </c>
      <c r="L38" s="78">
        <v>1982</v>
      </c>
      <c r="M38" s="78">
        <v>2845</v>
      </c>
      <c r="N38" s="78">
        <v>1718.3</v>
      </c>
      <c r="O38" s="78">
        <v>222</v>
      </c>
      <c r="P38" s="78">
        <v>34</v>
      </c>
      <c r="Q38" s="78">
        <v>1180</v>
      </c>
      <c r="R38" s="78">
        <v>2884</v>
      </c>
      <c r="S38" s="78">
        <v>215</v>
      </c>
      <c r="T38" s="78">
        <v>0</v>
      </c>
      <c r="U38" s="78">
        <v>509</v>
      </c>
      <c r="V38" s="78">
        <v>10710</v>
      </c>
      <c r="W38" s="78">
        <v>20060</v>
      </c>
      <c r="X38" s="78">
        <v>5030</v>
      </c>
      <c r="Y38" s="78">
        <v>0</v>
      </c>
      <c r="Z38" s="78">
        <v>0</v>
      </c>
      <c r="AA38" s="78">
        <v>0</v>
      </c>
      <c r="AB38" s="399">
        <v>0</v>
      </c>
      <c r="AC38" s="399">
        <v>0</v>
      </c>
      <c r="AD38" s="78">
        <v>22437</v>
      </c>
      <c r="AE38" s="78">
        <v>22437</v>
      </c>
      <c r="AF38" s="78">
        <v>198</v>
      </c>
      <c r="AG38" s="78">
        <v>0</v>
      </c>
      <c r="AH38" s="78">
        <v>131</v>
      </c>
      <c r="AI38" s="78">
        <v>161</v>
      </c>
      <c r="AJ38" s="78">
        <v>131</v>
      </c>
      <c r="AK38" s="78">
        <v>161</v>
      </c>
      <c r="AL38" s="78">
        <v>291</v>
      </c>
      <c r="AM38" s="78">
        <v>11267</v>
      </c>
      <c r="AN38" s="78">
        <v>11267</v>
      </c>
      <c r="AO38" s="78">
        <v>0</v>
      </c>
      <c r="AP38" s="78">
        <v>0</v>
      </c>
      <c r="AQ38" s="78">
        <v>0</v>
      </c>
      <c r="AR38" s="78">
        <v>0</v>
      </c>
      <c r="AS38" s="78">
        <v>0</v>
      </c>
      <c r="AT38" s="78">
        <v>0</v>
      </c>
      <c r="AU38" s="400">
        <v>6.6255100000000005E-4</v>
      </c>
      <c r="AV38" s="400">
        <v>1.5210399999999999E-4</v>
      </c>
      <c r="AW38" s="78">
        <v>3526.5709999999999</v>
      </c>
      <c r="AX38" s="78">
        <v>0</v>
      </c>
      <c r="AY38" s="78">
        <v>2769</v>
      </c>
      <c r="AZ38" s="78">
        <v>2998.4960901259101</v>
      </c>
      <c r="BA38" s="78">
        <v>22</v>
      </c>
      <c r="BB38" s="78">
        <v>22</v>
      </c>
      <c r="BC38" s="78">
        <v>3510</v>
      </c>
      <c r="BD38" s="78">
        <v>1</v>
      </c>
      <c r="BE38" s="78">
        <v>0</v>
      </c>
      <c r="BF38" s="78">
        <v>0</v>
      </c>
      <c r="BG38" s="78">
        <v>0</v>
      </c>
      <c r="BH38" s="78">
        <v>0</v>
      </c>
      <c r="BI38" s="78">
        <v>0</v>
      </c>
      <c r="BJ38" s="78">
        <v>0</v>
      </c>
      <c r="BK38" s="78">
        <v>0</v>
      </c>
      <c r="BL38" s="78">
        <v>0</v>
      </c>
      <c r="BM38" s="78">
        <v>344.88299999999998</v>
      </c>
      <c r="BN38" s="78">
        <v>52</v>
      </c>
      <c r="BO38" s="78">
        <v>31</v>
      </c>
      <c r="BP38" s="78">
        <v>7003.32</v>
      </c>
      <c r="BQ38" s="78">
        <v>1592.59</v>
      </c>
      <c r="BR38" s="78">
        <v>98.096800169348001</v>
      </c>
      <c r="BS38" s="78">
        <v>202</v>
      </c>
      <c r="BT38" s="78">
        <v>57.6666666666667</v>
      </c>
      <c r="BU38" s="78">
        <v>35.6666666666667</v>
      </c>
      <c r="BV38" s="78">
        <v>958</v>
      </c>
      <c r="BW38" s="78">
        <v>283</v>
      </c>
      <c r="BX38" s="78">
        <v>4040.7048215311402</v>
      </c>
      <c r="BY38" s="402">
        <v>0.32500000000000001</v>
      </c>
      <c r="BZ38" s="78">
        <v>18410</v>
      </c>
      <c r="CA38" s="78">
        <v>3369</v>
      </c>
      <c r="CB38" s="78">
        <v>750</v>
      </c>
      <c r="CC38" s="78">
        <v>580</v>
      </c>
      <c r="CD38" s="78">
        <v>551</v>
      </c>
      <c r="CE38" s="78">
        <v>354</v>
      </c>
      <c r="CF38" s="78">
        <v>310.04738617200701</v>
      </c>
      <c r="CG38" s="78">
        <v>199.47957752729201</v>
      </c>
      <c r="CH38" s="78">
        <v>78.236256323777397</v>
      </c>
      <c r="CI38" s="78">
        <v>897.16290000000004</v>
      </c>
      <c r="CJ38" s="78">
        <v>577.22040000000004</v>
      </c>
      <c r="CK38" s="78">
        <v>226.3869</v>
      </c>
      <c r="CL38" s="78">
        <v>7665</v>
      </c>
    </row>
    <row r="39" spans="1:90" x14ac:dyDescent="0.35">
      <c r="A39" s="72">
        <v>114</v>
      </c>
      <c r="B39" s="72" t="s">
        <v>104</v>
      </c>
      <c r="C39" s="72">
        <v>3</v>
      </c>
      <c r="D39" s="78">
        <v>8246000000</v>
      </c>
      <c r="E39" s="78">
        <v>1291500000</v>
      </c>
      <c r="F39" s="78">
        <v>1353100000</v>
      </c>
      <c r="G39" s="78">
        <v>107856</v>
      </c>
      <c r="H39" s="78">
        <v>11</v>
      </c>
      <c r="I39" s="78">
        <v>1353.1</v>
      </c>
      <c r="J39" s="78">
        <v>18915</v>
      </c>
      <c r="K39" s="78">
        <v>25677</v>
      </c>
      <c r="L39" s="78">
        <v>8517</v>
      </c>
      <c r="M39" s="78">
        <v>17921</v>
      </c>
      <c r="N39" s="78">
        <v>12853.099999999999</v>
      </c>
      <c r="O39" s="78">
        <v>3299</v>
      </c>
      <c r="P39" s="78">
        <v>307</v>
      </c>
      <c r="Q39" s="78">
        <v>11734</v>
      </c>
      <c r="R39" s="78">
        <v>17216</v>
      </c>
      <c r="S39" s="78">
        <v>2975</v>
      </c>
      <c r="T39" s="78">
        <v>0</v>
      </c>
      <c r="U39" s="78">
        <v>3820</v>
      </c>
      <c r="V39" s="78">
        <v>51215</v>
      </c>
      <c r="W39" s="78">
        <v>112730</v>
      </c>
      <c r="X39" s="78">
        <v>117370</v>
      </c>
      <c r="Y39" s="78">
        <v>3040.8</v>
      </c>
      <c r="Z39" s="78">
        <v>4497.6000000000004</v>
      </c>
      <c r="AA39" s="78">
        <v>0</v>
      </c>
      <c r="AB39" s="399">
        <v>0</v>
      </c>
      <c r="AC39" s="399">
        <v>0</v>
      </c>
      <c r="AD39" s="78">
        <v>33689</v>
      </c>
      <c r="AE39" s="78">
        <v>33689</v>
      </c>
      <c r="AF39" s="78">
        <v>936</v>
      </c>
      <c r="AG39" s="78">
        <v>0</v>
      </c>
      <c r="AH39" s="78">
        <v>686</v>
      </c>
      <c r="AI39" s="78">
        <v>222</v>
      </c>
      <c r="AJ39" s="78">
        <v>686</v>
      </c>
      <c r="AK39" s="78">
        <v>222</v>
      </c>
      <c r="AL39" s="78">
        <v>908</v>
      </c>
      <c r="AM39" s="78">
        <v>50679</v>
      </c>
      <c r="AN39" s="78">
        <v>50679</v>
      </c>
      <c r="AO39" s="78">
        <v>0</v>
      </c>
      <c r="AP39" s="78">
        <v>0</v>
      </c>
      <c r="AQ39" s="78">
        <v>0</v>
      </c>
      <c r="AR39" s="78">
        <v>0</v>
      </c>
      <c r="AS39" s="78">
        <v>4532</v>
      </c>
      <c r="AT39" s="78">
        <v>0</v>
      </c>
      <c r="AU39" s="400">
        <v>3.3168020000000002E-3</v>
      </c>
      <c r="AV39" s="400">
        <v>3.4152969999999999E-3</v>
      </c>
      <c r="AW39" s="78">
        <v>43634.618999999999</v>
      </c>
      <c r="AX39" s="78">
        <v>0</v>
      </c>
      <c r="AY39" s="78">
        <v>13167</v>
      </c>
      <c r="AZ39" s="78">
        <v>41014.872259927797</v>
      </c>
      <c r="BA39" s="78">
        <v>30</v>
      </c>
      <c r="BB39" s="78">
        <v>30</v>
      </c>
      <c r="BC39" s="78">
        <v>10495</v>
      </c>
      <c r="BD39" s="78">
        <v>1</v>
      </c>
      <c r="BE39" s="78">
        <v>0</v>
      </c>
      <c r="BF39" s="78">
        <v>0</v>
      </c>
      <c r="BG39" s="78">
        <v>0</v>
      </c>
      <c r="BH39" s="78">
        <v>0</v>
      </c>
      <c r="BI39" s="78">
        <v>0</v>
      </c>
      <c r="BJ39" s="78">
        <v>0</v>
      </c>
      <c r="BK39" s="78">
        <v>0</v>
      </c>
      <c r="BL39" s="78">
        <v>0</v>
      </c>
      <c r="BM39" s="78">
        <v>3120.9749999999999</v>
      </c>
      <c r="BN39" s="78">
        <v>587</v>
      </c>
      <c r="BO39" s="78">
        <v>335</v>
      </c>
      <c r="BP39" s="78">
        <v>27011.05</v>
      </c>
      <c r="BQ39" s="78">
        <v>5554.64</v>
      </c>
      <c r="BR39" s="78">
        <v>774.54208654026695</v>
      </c>
      <c r="BS39" s="78">
        <v>1454</v>
      </c>
      <c r="BT39" s="78">
        <v>844</v>
      </c>
      <c r="BU39" s="78">
        <v>794</v>
      </c>
      <c r="BV39" s="78">
        <v>8435</v>
      </c>
      <c r="BW39" s="78">
        <v>2112</v>
      </c>
      <c r="BX39" s="78">
        <v>24266.310049334701</v>
      </c>
      <c r="BY39" s="402">
        <v>10.368</v>
      </c>
      <c r="BZ39" s="78">
        <v>82179</v>
      </c>
      <c r="CA39" s="78">
        <v>14372</v>
      </c>
      <c r="CB39" s="78">
        <v>2788</v>
      </c>
      <c r="CC39" s="78">
        <v>2983</v>
      </c>
      <c r="CD39" s="78">
        <v>2852</v>
      </c>
      <c r="CE39" s="78">
        <v>1448</v>
      </c>
      <c r="CF39" s="78">
        <v>2251.1122082124698</v>
      </c>
      <c r="CG39" s="78">
        <v>1497.8671362891901</v>
      </c>
      <c r="CH39" s="78">
        <v>505.20679571420101</v>
      </c>
      <c r="CI39" s="78">
        <v>5219.0879999999997</v>
      </c>
      <c r="CJ39" s="78">
        <v>3472.7280000000001</v>
      </c>
      <c r="CK39" s="78">
        <v>1171.296</v>
      </c>
      <c r="CL39" s="78">
        <v>93536</v>
      </c>
    </row>
    <row r="40" spans="1:90" x14ac:dyDescent="0.35">
      <c r="A40" s="72">
        <v>118</v>
      </c>
      <c r="B40" s="72" t="s">
        <v>156</v>
      </c>
      <c r="C40" s="72">
        <v>3</v>
      </c>
      <c r="D40" s="78">
        <v>4372800000</v>
      </c>
      <c r="E40" s="78">
        <v>756350000</v>
      </c>
      <c r="F40" s="78">
        <v>814450000</v>
      </c>
      <c r="G40" s="78">
        <v>55857</v>
      </c>
      <c r="H40" s="78">
        <v>4</v>
      </c>
      <c r="I40" s="78">
        <v>814.45</v>
      </c>
      <c r="J40" s="78">
        <v>10913</v>
      </c>
      <c r="K40" s="78">
        <v>12518</v>
      </c>
      <c r="L40" s="78">
        <v>4335</v>
      </c>
      <c r="M40" s="78">
        <v>8877</v>
      </c>
      <c r="N40" s="78">
        <v>6267.2999999999993</v>
      </c>
      <c r="O40" s="78">
        <v>1221</v>
      </c>
      <c r="P40" s="78">
        <v>125</v>
      </c>
      <c r="Q40" s="78">
        <v>4863</v>
      </c>
      <c r="R40" s="78">
        <v>8555</v>
      </c>
      <c r="S40" s="78">
        <v>1415</v>
      </c>
      <c r="T40" s="78">
        <v>0</v>
      </c>
      <c r="U40" s="78">
        <v>1839</v>
      </c>
      <c r="V40" s="78">
        <v>25960</v>
      </c>
      <c r="W40" s="78">
        <v>60660</v>
      </c>
      <c r="X40" s="78">
        <v>68370</v>
      </c>
      <c r="Y40" s="78">
        <v>1666.16</v>
      </c>
      <c r="Z40" s="78">
        <v>2624</v>
      </c>
      <c r="AA40" s="78">
        <v>0</v>
      </c>
      <c r="AB40" s="399">
        <v>0</v>
      </c>
      <c r="AC40" s="399">
        <v>0</v>
      </c>
      <c r="AD40" s="78">
        <v>12759</v>
      </c>
      <c r="AE40" s="78">
        <v>12759</v>
      </c>
      <c r="AF40" s="78">
        <v>166</v>
      </c>
      <c r="AG40" s="78">
        <v>0</v>
      </c>
      <c r="AH40" s="78">
        <v>349</v>
      </c>
      <c r="AI40" s="78">
        <v>100</v>
      </c>
      <c r="AJ40" s="78">
        <v>349</v>
      </c>
      <c r="AK40" s="78">
        <v>100</v>
      </c>
      <c r="AL40" s="78">
        <v>449</v>
      </c>
      <c r="AM40" s="78">
        <v>26097</v>
      </c>
      <c r="AN40" s="78">
        <v>26097</v>
      </c>
      <c r="AO40" s="78">
        <v>0</v>
      </c>
      <c r="AP40" s="78">
        <v>0</v>
      </c>
      <c r="AQ40" s="78">
        <v>0</v>
      </c>
      <c r="AR40" s="78">
        <v>0</v>
      </c>
      <c r="AS40" s="78">
        <v>1516</v>
      </c>
      <c r="AT40" s="78">
        <v>0</v>
      </c>
      <c r="AU40" s="400">
        <v>9.8067399999999996E-4</v>
      </c>
      <c r="AV40" s="400">
        <v>1.7514430000000001E-3</v>
      </c>
      <c r="AW40" s="78">
        <v>31890.534</v>
      </c>
      <c r="AX40" s="78">
        <v>0</v>
      </c>
      <c r="AY40" s="78">
        <v>3446</v>
      </c>
      <c r="AZ40" s="78">
        <v>14892.3189168279</v>
      </c>
      <c r="BA40" s="78">
        <v>17</v>
      </c>
      <c r="BB40" s="78">
        <v>17</v>
      </c>
      <c r="BC40" s="78">
        <v>5635</v>
      </c>
      <c r="BD40" s="78">
        <v>1</v>
      </c>
      <c r="BE40" s="78">
        <v>0</v>
      </c>
      <c r="BF40" s="78">
        <v>0</v>
      </c>
      <c r="BG40" s="78">
        <v>0</v>
      </c>
      <c r="BH40" s="78">
        <v>0</v>
      </c>
      <c r="BI40" s="78">
        <v>0</v>
      </c>
      <c r="BJ40" s="78">
        <v>0</v>
      </c>
      <c r="BK40" s="78">
        <v>0</v>
      </c>
      <c r="BL40" s="78">
        <v>0</v>
      </c>
      <c r="BM40" s="78">
        <v>1429.6030000000001</v>
      </c>
      <c r="BN40" s="78">
        <v>361</v>
      </c>
      <c r="BO40" s="78">
        <v>183</v>
      </c>
      <c r="BP40" s="78">
        <v>13725.6</v>
      </c>
      <c r="BQ40" s="78">
        <v>2952.9</v>
      </c>
      <c r="BR40" s="78">
        <v>421.47011420345501</v>
      </c>
      <c r="BS40" s="78">
        <v>715</v>
      </c>
      <c r="BT40" s="78">
        <v>326.66666666666703</v>
      </c>
      <c r="BU40" s="78">
        <v>310.66666666666703</v>
      </c>
      <c r="BV40" s="78">
        <v>3642</v>
      </c>
      <c r="BW40" s="78">
        <v>1103</v>
      </c>
      <c r="BX40" s="78">
        <v>11503.9522234412</v>
      </c>
      <c r="BY40" s="402">
        <v>3.3210000000000002</v>
      </c>
      <c r="BZ40" s="78">
        <v>43339</v>
      </c>
      <c r="CA40" s="78">
        <v>6685</v>
      </c>
      <c r="CB40" s="78">
        <v>1498</v>
      </c>
      <c r="CC40" s="78">
        <v>1429</v>
      </c>
      <c r="CD40" s="78">
        <v>1363</v>
      </c>
      <c r="CE40" s="78">
        <v>698</v>
      </c>
      <c r="CF40" s="78">
        <v>990.63541786412202</v>
      </c>
      <c r="CG40" s="78">
        <v>707.49380388550401</v>
      </c>
      <c r="CH40" s="78">
        <v>240.874502816416</v>
      </c>
      <c r="CI40" s="78">
        <v>2383.8375000000001</v>
      </c>
      <c r="CJ40" s="78">
        <v>1702.4934000000001</v>
      </c>
      <c r="CK40" s="78">
        <v>579.63369999999998</v>
      </c>
      <c r="CL40" s="78">
        <v>50145</v>
      </c>
    </row>
    <row r="41" spans="1:90" x14ac:dyDescent="0.35">
      <c r="A41" s="72">
        <v>119</v>
      </c>
      <c r="B41" s="72" t="s">
        <v>199</v>
      </c>
      <c r="C41" s="72">
        <v>3</v>
      </c>
      <c r="D41" s="78">
        <v>3188400000</v>
      </c>
      <c r="E41" s="78">
        <v>536550000</v>
      </c>
      <c r="F41" s="78">
        <v>557900000</v>
      </c>
      <c r="G41" s="78">
        <v>34761</v>
      </c>
      <c r="H41" s="78">
        <v>2</v>
      </c>
      <c r="I41" s="78">
        <v>557.9</v>
      </c>
      <c r="J41" s="78">
        <v>6857</v>
      </c>
      <c r="K41" s="78">
        <v>7143</v>
      </c>
      <c r="L41" s="78">
        <v>2376</v>
      </c>
      <c r="M41" s="78">
        <v>5073</v>
      </c>
      <c r="N41" s="78">
        <v>3411</v>
      </c>
      <c r="O41" s="78">
        <v>700</v>
      </c>
      <c r="P41" s="78">
        <v>62</v>
      </c>
      <c r="Q41" s="78">
        <v>2661</v>
      </c>
      <c r="R41" s="78">
        <v>6052</v>
      </c>
      <c r="S41" s="78">
        <v>1195</v>
      </c>
      <c r="T41" s="78">
        <v>0</v>
      </c>
      <c r="U41" s="78">
        <v>1216</v>
      </c>
      <c r="V41" s="78">
        <v>16609</v>
      </c>
      <c r="W41" s="78">
        <v>39110</v>
      </c>
      <c r="X41" s="78">
        <v>40840</v>
      </c>
      <c r="Y41" s="78">
        <v>871.6</v>
      </c>
      <c r="Z41" s="78">
        <v>2633.6</v>
      </c>
      <c r="AA41" s="78">
        <v>0</v>
      </c>
      <c r="AB41" s="399">
        <v>0</v>
      </c>
      <c r="AC41" s="399">
        <v>0</v>
      </c>
      <c r="AD41" s="78">
        <v>5548</v>
      </c>
      <c r="AE41" s="78">
        <v>5548</v>
      </c>
      <c r="AF41" s="78">
        <v>155</v>
      </c>
      <c r="AG41" s="78">
        <v>0</v>
      </c>
      <c r="AH41" s="78">
        <v>196</v>
      </c>
      <c r="AI41" s="78">
        <v>48</v>
      </c>
      <c r="AJ41" s="78">
        <v>196</v>
      </c>
      <c r="AK41" s="78">
        <v>48</v>
      </c>
      <c r="AL41" s="78">
        <v>245</v>
      </c>
      <c r="AM41" s="78">
        <v>16620</v>
      </c>
      <c r="AN41" s="78">
        <v>16620</v>
      </c>
      <c r="AO41" s="78">
        <v>17</v>
      </c>
      <c r="AP41" s="78">
        <v>0</v>
      </c>
      <c r="AQ41" s="78">
        <v>0</v>
      </c>
      <c r="AR41" s="78">
        <v>2550</v>
      </c>
      <c r="AS41" s="78">
        <v>2928</v>
      </c>
      <c r="AT41" s="78">
        <v>2928</v>
      </c>
      <c r="AU41" s="400">
        <v>1.105413E-3</v>
      </c>
      <c r="AV41" s="400">
        <v>1.3186529999999999E-3</v>
      </c>
      <c r="AW41" s="78">
        <v>21439.8</v>
      </c>
      <c r="AX41" s="78">
        <v>0</v>
      </c>
      <c r="AY41" s="78">
        <v>1788</v>
      </c>
      <c r="AZ41" s="78">
        <v>10898.240925828501</v>
      </c>
      <c r="BA41" s="78">
        <v>5</v>
      </c>
      <c r="BB41" s="78">
        <v>5</v>
      </c>
      <c r="BC41" s="78">
        <v>3890</v>
      </c>
      <c r="BD41" s="78">
        <v>1</v>
      </c>
      <c r="BE41" s="78">
        <v>0</v>
      </c>
      <c r="BF41" s="78">
        <v>0</v>
      </c>
      <c r="BG41" s="78">
        <v>0</v>
      </c>
      <c r="BH41" s="78">
        <v>0</v>
      </c>
      <c r="BI41" s="78">
        <v>0</v>
      </c>
      <c r="BJ41" s="78">
        <v>0</v>
      </c>
      <c r="BK41" s="78">
        <v>0</v>
      </c>
      <c r="BL41" s="78">
        <v>0</v>
      </c>
      <c r="BM41" s="78">
        <v>747.41300000000001</v>
      </c>
      <c r="BN41" s="78">
        <v>131</v>
      </c>
      <c r="BO41" s="78">
        <v>69</v>
      </c>
      <c r="BP41" s="78">
        <v>9741.09</v>
      </c>
      <c r="BQ41" s="78">
        <v>2279.17</v>
      </c>
      <c r="BR41" s="78">
        <v>381.64500843234998</v>
      </c>
      <c r="BS41" s="78">
        <v>450</v>
      </c>
      <c r="BT41" s="78">
        <v>183.666666666667</v>
      </c>
      <c r="BU41" s="78">
        <v>168</v>
      </c>
      <c r="BV41" s="78">
        <v>1961</v>
      </c>
      <c r="BW41" s="78">
        <v>629</v>
      </c>
      <c r="BX41" s="78">
        <v>5639.5188588378996</v>
      </c>
      <c r="BY41" s="402">
        <v>1.6319999999999999</v>
      </c>
      <c r="BZ41" s="78">
        <v>27618</v>
      </c>
      <c r="CA41" s="78">
        <v>4004</v>
      </c>
      <c r="CB41" s="78">
        <v>763</v>
      </c>
      <c r="CC41" s="78">
        <v>962</v>
      </c>
      <c r="CD41" s="78">
        <v>768</v>
      </c>
      <c r="CE41" s="78">
        <v>373</v>
      </c>
      <c r="CF41" s="78">
        <v>516.57563176895303</v>
      </c>
      <c r="CG41" s="78">
        <v>333.095848375451</v>
      </c>
      <c r="CH41" s="78">
        <v>107.337725631769</v>
      </c>
      <c r="CI41" s="78">
        <v>1288.2005999999999</v>
      </c>
      <c r="CJ41" s="78">
        <v>830.65139999999997</v>
      </c>
      <c r="CK41" s="78">
        <v>267.67140000000001</v>
      </c>
      <c r="CL41" s="78">
        <v>89751</v>
      </c>
    </row>
    <row r="42" spans="1:90" x14ac:dyDescent="0.35">
      <c r="A42" s="72">
        <v>1731</v>
      </c>
      <c r="B42" s="72" t="s">
        <v>701</v>
      </c>
      <c r="C42" s="72">
        <v>3</v>
      </c>
      <c r="D42" s="78">
        <v>3120000000</v>
      </c>
      <c r="E42" s="78">
        <v>496300000</v>
      </c>
      <c r="F42" s="78">
        <v>584150000</v>
      </c>
      <c r="G42" s="78">
        <v>33689</v>
      </c>
      <c r="H42" s="78">
        <v>6</v>
      </c>
      <c r="I42" s="78">
        <v>584.15</v>
      </c>
      <c r="J42" s="78">
        <v>5937</v>
      </c>
      <c r="K42" s="78">
        <v>8278</v>
      </c>
      <c r="L42" s="78">
        <v>2723</v>
      </c>
      <c r="M42" s="78">
        <v>4272</v>
      </c>
      <c r="N42" s="78">
        <v>2630</v>
      </c>
      <c r="O42" s="78">
        <v>403</v>
      </c>
      <c r="P42" s="78">
        <v>34</v>
      </c>
      <c r="Q42" s="78">
        <v>2038</v>
      </c>
      <c r="R42" s="78">
        <v>4477</v>
      </c>
      <c r="S42" s="78">
        <v>300</v>
      </c>
      <c r="T42" s="78">
        <v>0</v>
      </c>
      <c r="U42" s="78">
        <v>798</v>
      </c>
      <c r="V42" s="78">
        <v>15221</v>
      </c>
      <c r="W42" s="78">
        <v>30190</v>
      </c>
      <c r="X42" s="78">
        <v>12220</v>
      </c>
      <c r="Y42" s="78">
        <v>0</v>
      </c>
      <c r="Z42" s="78">
        <v>463.2</v>
      </c>
      <c r="AA42" s="78">
        <v>0</v>
      </c>
      <c r="AB42" s="399">
        <v>0</v>
      </c>
      <c r="AC42" s="399">
        <v>0</v>
      </c>
      <c r="AD42" s="78">
        <v>34062</v>
      </c>
      <c r="AE42" s="78">
        <v>34062</v>
      </c>
      <c r="AF42" s="78">
        <v>525</v>
      </c>
      <c r="AG42" s="78">
        <v>0</v>
      </c>
      <c r="AH42" s="78">
        <v>223</v>
      </c>
      <c r="AI42" s="78">
        <v>191</v>
      </c>
      <c r="AJ42" s="78">
        <v>223</v>
      </c>
      <c r="AK42" s="78">
        <v>191</v>
      </c>
      <c r="AL42" s="78">
        <v>414</v>
      </c>
      <c r="AM42" s="78">
        <v>16420</v>
      </c>
      <c r="AN42" s="78">
        <v>16420</v>
      </c>
      <c r="AO42" s="78">
        <v>0</v>
      </c>
      <c r="AP42" s="78">
        <v>0</v>
      </c>
      <c r="AQ42" s="78">
        <v>0</v>
      </c>
      <c r="AR42" s="78">
        <v>0</v>
      </c>
      <c r="AS42" s="78">
        <v>1001</v>
      </c>
      <c r="AT42" s="78">
        <v>0</v>
      </c>
      <c r="AU42" s="400">
        <v>7.2021599999999998E-4</v>
      </c>
      <c r="AV42" s="400">
        <v>2.6642899999999999E-4</v>
      </c>
      <c r="AW42" s="78">
        <v>6699.36</v>
      </c>
      <c r="AX42" s="78">
        <v>0</v>
      </c>
      <c r="AY42" s="78">
        <v>5135</v>
      </c>
      <c r="AZ42" s="78">
        <v>5001.6773643276401</v>
      </c>
      <c r="BA42" s="78">
        <v>30</v>
      </c>
      <c r="BB42" s="78">
        <v>30</v>
      </c>
      <c r="BC42" s="78">
        <v>3985</v>
      </c>
      <c r="BD42" s="78">
        <v>1</v>
      </c>
      <c r="BE42" s="78">
        <v>0</v>
      </c>
      <c r="BF42" s="78">
        <v>0</v>
      </c>
      <c r="BG42" s="78">
        <v>0</v>
      </c>
      <c r="BH42" s="78">
        <v>0</v>
      </c>
      <c r="BI42" s="78">
        <v>0</v>
      </c>
      <c r="BJ42" s="78">
        <v>0</v>
      </c>
      <c r="BK42" s="78">
        <v>0</v>
      </c>
      <c r="BL42" s="78">
        <v>0</v>
      </c>
      <c r="BM42" s="78">
        <v>552.14099999999996</v>
      </c>
      <c r="BN42" s="78">
        <v>43</v>
      </c>
      <c r="BO42" s="78">
        <v>44</v>
      </c>
      <c r="BP42" s="78">
        <v>9411.2000000000007</v>
      </c>
      <c r="BQ42" s="78">
        <v>1994.7</v>
      </c>
      <c r="BR42" s="78">
        <v>157.80635715744299</v>
      </c>
      <c r="BS42" s="78">
        <v>309</v>
      </c>
      <c r="BT42" s="78">
        <v>101.333333333333</v>
      </c>
      <c r="BU42" s="78">
        <v>80</v>
      </c>
      <c r="BV42" s="78">
        <v>1635</v>
      </c>
      <c r="BW42" s="78">
        <v>462</v>
      </c>
      <c r="BX42" s="78">
        <v>5937.56388124981</v>
      </c>
      <c r="BY42" s="402">
        <v>1.046</v>
      </c>
      <c r="BZ42" s="78">
        <v>25411</v>
      </c>
      <c r="CA42" s="78">
        <v>4677</v>
      </c>
      <c r="CB42" s="78">
        <v>878</v>
      </c>
      <c r="CC42" s="78">
        <v>837</v>
      </c>
      <c r="CD42" s="78">
        <v>823</v>
      </c>
      <c r="CE42" s="78">
        <v>448</v>
      </c>
      <c r="CF42" s="78">
        <v>454.72411693057199</v>
      </c>
      <c r="CG42" s="78">
        <v>297.596833130329</v>
      </c>
      <c r="CH42" s="78">
        <v>102.18879415347099</v>
      </c>
      <c r="CI42" s="78">
        <v>1355.3386</v>
      </c>
      <c r="CJ42" s="78">
        <v>887.00919999999996</v>
      </c>
      <c r="CK42" s="78">
        <v>304.58120000000002</v>
      </c>
      <c r="CL42" s="78">
        <v>26385</v>
      </c>
    </row>
    <row r="43" spans="1:90" x14ac:dyDescent="0.35">
      <c r="A43" s="72">
        <v>1699</v>
      </c>
      <c r="B43" s="72" t="s">
        <v>219</v>
      </c>
      <c r="C43" s="72">
        <v>3</v>
      </c>
      <c r="D43" s="78">
        <v>3258800000</v>
      </c>
      <c r="E43" s="78">
        <v>528150000</v>
      </c>
      <c r="F43" s="78">
        <v>550200000</v>
      </c>
      <c r="G43" s="78">
        <v>31238</v>
      </c>
      <c r="H43" s="78">
        <v>3</v>
      </c>
      <c r="I43" s="78">
        <v>550.20000000000005</v>
      </c>
      <c r="J43" s="78">
        <v>5512</v>
      </c>
      <c r="K43" s="78">
        <v>8745</v>
      </c>
      <c r="L43" s="78">
        <v>3186</v>
      </c>
      <c r="M43" s="78">
        <v>4607</v>
      </c>
      <c r="N43" s="78">
        <v>3088.8999999999996</v>
      </c>
      <c r="O43" s="78">
        <v>505.66666666666703</v>
      </c>
      <c r="P43" s="78">
        <v>37</v>
      </c>
      <c r="Q43" s="78">
        <v>1812.6666666666699</v>
      </c>
      <c r="R43" s="78">
        <v>4418</v>
      </c>
      <c r="S43" s="78">
        <v>410</v>
      </c>
      <c r="T43" s="78">
        <v>0</v>
      </c>
      <c r="U43" s="78">
        <v>873</v>
      </c>
      <c r="V43" s="78">
        <v>14619</v>
      </c>
      <c r="W43" s="78">
        <v>27680</v>
      </c>
      <c r="X43" s="78">
        <v>13050</v>
      </c>
      <c r="Y43" s="78">
        <v>506.88</v>
      </c>
      <c r="Z43" s="78">
        <v>484</v>
      </c>
      <c r="AA43" s="78">
        <v>0</v>
      </c>
      <c r="AB43" s="399">
        <v>0</v>
      </c>
      <c r="AC43" s="399">
        <v>44</v>
      </c>
      <c r="AD43" s="78">
        <v>19905</v>
      </c>
      <c r="AE43" s="78">
        <v>19905</v>
      </c>
      <c r="AF43" s="78">
        <v>624</v>
      </c>
      <c r="AG43" s="78">
        <v>0</v>
      </c>
      <c r="AH43" s="78">
        <v>198</v>
      </c>
      <c r="AI43" s="78">
        <v>100</v>
      </c>
      <c r="AJ43" s="78">
        <v>198</v>
      </c>
      <c r="AK43" s="78">
        <v>100</v>
      </c>
      <c r="AL43" s="78">
        <v>298</v>
      </c>
      <c r="AM43" s="78">
        <v>15181</v>
      </c>
      <c r="AN43" s="78">
        <v>15181</v>
      </c>
      <c r="AO43" s="78">
        <v>0</v>
      </c>
      <c r="AP43" s="78">
        <v>0</v>
      </c>
      <c r="AQ43" s="78">
        <v>0</v>
      </c>
      <c r="AR43" s="78">
        <v>0</v>
      </c>
      <c r="AS43" s="78">
        <v>0</v>
      </c>
      <c r="AT43" s="78">
        <v>0</v>
      </c>
      <c r="AU43" s="400">
        <v>6.55228E-4</v>
      </c>
      <c r="AV43" s="400">
        <v>3.3366E-4</v>
      </c>
      <c r="AW43" s="78">
        <v>10429.347</v>
      </c>
      <c r="AX43" s="78">
        <v>0</v>
      </c>
      <c r="AY43" s="78">
        <v>4634</v>
      </c>
      <c r="AZ43" s="78">
        <v>7303.9310244045</v>
      </c>
      <c r="BA43" s="78">
        <v>18</v>
      </c>
      <c r="BB43" s="78">
        <v>18</v>
      </c>
      <c r="BC43" s="78">
        <v>3660</v>
      </c>
      <c r="BD43" s="78">
        <v>1</v>
      </c>
      <c r="BE43" s="78">
        <v>0</v>
      </c>
      <c r="BF43" s="78">
        <v>0</v>
      </c>
      <c r="BG43" s="78">
        <v>0</v>
      </c>
      <c r="BH43" s="78">
        <v>0</v>
      </c>
      <c r="BI43" s="78">
        <v>0</v>
      </c>
      <c r="BJ43" s="78">
        <v>0</v>
      </c>
      <c r="BK43" s="78">
        <v>0</v>
      </c>
      <c r="BL43" s="78">
        <v>0</v>
      </c>
      <c r="BM43" s="78">
        <v>606.32000000000005</v>
      </c>
      <c r="BN43" s="78">
        <v>61</v>
      </c>
      <c r="BO43" s="78">
        <v>95</v>
      </c>
      <c r="BP43" s="78">
        <v>9533.6</v>
      </c>
      <c r="BQ43" s="78">
        <v>1894.72</v>
      </c>
      <c r="BR43" s="78">
        <v>215.344245733788</v>
      </c>
      <c r="BS43" s="78">
        <v>305</v>
      </c>
      <c r="BT43" s="78">
        <v>133</v>
      </c>
      <c r="BU43" s="78">
        <v>105.666666666667</v>
      </c>
      <c r="BV43" s="78">
        <v>1307.000000000003</v>
      </c>
      <c r="BW43" s="78">
        <v>411</v>
      </c>
      <c r="BX43" s="78">
        <v>5669.6759838533999</v>
      </c>
      <c r="BY43" s="402">
        <v>1.1679999999999999</v>
      </c>
      <c r="BZ43" s="78">
        <v>22493</v>
      </c>
      <c r="CA43" s="78">
        <v>4529</v>
      </c>
      <c r="CB43" s="78">
        <v>1030</v>
      </c>
      <c r="CC43" s="78">
        <v>911</v>
      </c>
      <c r="CD43" s="78">
        <v>950</v>
      </c>
      <c r="CE43" s="78">
        <v>481</v>
      </c>
      <c r="CF43" s="78">
        <v>572.97558790593496</v>
      </c>
      <c r="CG43" s="78">
        <v>439.29484882418802</v>
      </c>
      <c r="CH43" s="78">
        <v>148.127211646137</v>
      </c>
      <c r="CI43" s="78">
        <v>1253.6831999999999</v>
      </c>
      <c r="CJ43" s="78">
        <v>961.18679999999995</v>
      </c>
      <c r="CK43" s="78">
        <v>324.10559999999998</v>
      </c>
      <c r="CL43" s="78">
        <v>3969</v>
      </c>
    </row>
    <row r="44" spans="1:90" x14ac:dyDescent="0.35">
      <c r="A44" s="72">
        <v>1730</v>
      </c>
      <c r="B44" s="72" t="s">
        <v>299</v>
      </c>
      <c r="C44" s="72">
        <v>3</v>
      </c>
      <c r="D44" s="78">
        <v>4035200000</v>
      </c>
      <c r="E44" s="78">
        <v>366450000</v>
      </c>
      <c r="F44" s="78">
        <v>416150000</v>
      </c>
      <c r="G44" s="78">
        <v>34221</v>
      </c>
      <c r="H44" s="78">
        <v>4</v>
      </c>
      <c r="I44" s="78">
        <v>416.15</v>
      </c>
      <c r="J44" s="78">
        <v>7031</v>
      </c>
      <c r="K44" s="78">
        <v>8545</v>
      </c>
      <c r="L44" s="78">
        <v>2932</v>
      </c>
      <c r="M44" s="78">
        <v>3810</v>
      </c>
      <c r="N44" s="78">
        <v>2217</v>
      </c>
      <c r="O44" s="78">
        <v>389.33333333333297</v>
      </c>
      <c r="P44" s="78">
        <v>23</v>
      </c>
      <c r="Q44" s="78">
        <v>1839.3333333333301</v>
      </c>
      <c r="R44" s="78">
        <v>4315</v>
      </c>
      <c r="S44" s="78">
        <v>505</v>
      </c>
      <c r="T44" s="78">
        <v>0</v>
      </c>
      <c r="U44" s="78">
        <v>923</v>
      </c>
      <c r="V44" s="78">
        <v>15500</v>
      </c>
      <c r="W44" s="78">
        <v>28920</v>
      </c>
      <c r="X44" s="78">
        <v>9260</v>
      </c>
      <c r="Y44" s="78">
        <v>169.33240000000001</v>
      </c>
      <c r="Z44" s="78">
        <v>0</v>
      </c>
      <c r="AA44" s="78">
        <v>0</v>
      </c>
      <c r="AB44" s="399">
        <v>0</v>
      </c>
      <c r="AC44" s="399">
        <v>0</v>
      </c>
      <c r="AD44" s="78">
        <v>14214</v>
      </c>
      <c r="AE44" s="78">
        <v>14214</v>
      </c>
      <c r="AF44" s="78">
        <v>556</v>
      </c>
      <c r="AG44" s="78">
        <v>0</v>
      </c>
      <c r="AH44" s="78">
        <v>209</v>
      </c>
      <c r="AI44" s="78">
        <v>75</v>
      </c>
      <c r="AJ44" s="78">
        <v>209</v>
      </c>
      <c r="AK44" s="78">
        <v>75</v>
      </c>
      <c r="AL44" s="78">
        <v>285</v>
      </c>
      <c r="AM44" s="78">
        <v>15930</v>
      </c>
      <c r="AN44" s="78">
        <v>15930</v>
      </c>
      <c r="AO44" s="78">
        <v>0</v>
      </c>
      <c r="AP44" s="78">
        <v>0</v>
      </c>
      <c r="AQ44" s="78">
        <v>0</v>
      </c>
      <c r="AR44" s="78">
        <v>0</v>
      </c>
      <c r="AS44" s="78">
        <v>0</v>
      </c>
      <c r="AT44" s="78">
        <v>0</v>
      </c>
      <c r="AU44" s="400">
        <v>6.9887200000000001E-4</v>
      </c>
      <c r="AV44" s="400">
        <v>3.02849E-4</v>
      </c>
      <c r="AW44" s="78">
        <v>8156.16</v>
      </c>
      <c r="AX44" s="78">
        <v>0</v>
      </c>
      <c r="AY44" s="78">
        <v>3392</v>
      </c>
      <c r="AZ44" s="78">
        <v>7942.4230196343897</v>
      </c>
      <c r="BA44" s="78">
        <v>18</v>
      </c>
      <c r="BB44" s="78">
        <v>18</v>
      </c>
      <c r="BC44" s="78">
        <v>4220</v>
      </c>
      <c r="BD44" s="78">
        <v>1</v>
      </c>
      <c r="BE44" s="78">
        <v>0</v>
      </c>
      <c r="BF44" s="78">
        <v>0</v>
      </c>
      <c r="BG44" s="78">
        <v>0</v>
      </c>
      <c r="BH44" s="78">
        <v>0</v>
      </c>
      <c r="BI44" s="78">
        <v>0</v>
      </c>
      <c r="BJ44" s="78">
        <v>0</v>
      </c>
      <c r="BK44" s="78">
        <v>0</v>
      </c>
      <c r="BL44" s="78">
        <v>0</v>
      </c>
      <c r="BM44" s="78">
        <v>506.23200000000003</v>
      </c>
      <c r="BN44" s="78">
        <v>28</v>
      </c>
      <c r="BO44" s="78">
        <v>29</v>
      </c>
      <c r="BP44" s="78">
        <v>10724.82</v>
      </c>
      <c r="BQ44" s="78">
        <v>2767.43</v>
      </c>
      <c r="BR44" s="78">
        <v>205.65878051598</v>
      </c>
      <c r="BS44" s="78">
        <v>308</v>
      </c>
      <c r="BT44" s="78">
        <v>109</v>
      </c>
      <c r="BU44" s="78">
        <v>84</v>
      </c>
      <c r="BV44" s="78">
        <v>1449.999999999997</v>
      </c>
      <c r="BW44" s="78">
        <v>557</v>
      </c>
      <c r="BX44" s="78">
        <v>5341.56996998058</v>
      </c>
      <c r="BY44" s="402">
        <v>0.94199999999999995</v>
      </c>
      <c r="BZ44" s="78">
        <v>25676</v>
      </c>
      <c r="CA44" s="78">
        <v>4488</v>
      </c>
      <c r="CB44" s="78">
        <v>1125</v>
      </c>
      <c r="CC44" s="78">
        <v>850</v>
      </c>
      <c r="CD44" s="78">
        <v>862</v>
      </c>
      <c r="CE44" s="78">
        <v>550</v>
      </c>
      <c r="CF44" s="78">
        <v>381.19039548022602</v>
      </c>
      <c r="CG44" s="78">
        <v>269.157438794727</v>
      </c>
      <c r="CH44" s="78">
        <v>110.64124293785299</v>
      </c>
      <c r="CI44" s="78">
        <v>1003.0218</v>
      </c>
      <c r="CJ44" s="78">
        <v>708.23080000000004</v>
      </c>
      <c r="CK44" s="78">
        <v>291.12900000000002</v>
      </c>
      <c r="CL44" s="78">
        <v>92998</v>
      </c>
    </row>
    <row r="45" spans="1:90" x14ac:dyDescent="0.35">
      <c r="A45" s="72">
        <v>1701</v>
      </c>
      <c r="B45" s="72" t="s">
        <v>337</v>
      </c>
      <c r="C45" s="72">
        <v>3</v>
      </c>
      <c r="D45" s="78">
        <v>2302400000</v>
      </c>
      <c r="E45" s="78">
        <v>238350000</v>
      </c>
      <c r="F45" s="78">
        <v>285950000</v>
      </c>
      <c r="G45" s="78">
        <v>19854</v>
      </c>
      <c r="H45" s="78">
        <v>4</v>
      </c>
      <c r="I45" s="78">
        <v>285.95</v>
      </c>
      <c r="J45" s="78">
        <v>3080</v>
      </c>
      <c r="K45" s="78">
        <v>5941</v>
      </c>
      <c r="L45" s="78">
        <v>2011</v>
      </c>
      <c r="M45" s="78">
        <v>2681</v>
      </c>
      <c r="N45" s="78">
        <v>1667.5</v>
      </c>
      <c r="O45" s="78">
        <v>227.666666666667</v>
      </c>
      <c r="P45" s="78">
        <v>24</v>
      </c>
      <c r="Q45" s="78">
        <v>1259.6666666666699</v>
      </c>
      <c r="R45" s="78">
        <v>2833</v>
      </c>
      <c r="S45" s="78">
        <v>220</v>
      </c>
      <c r="T45" s="78">
        <v>0</v>
      </c>
      <c r="U45" s="78">
        <v>413</v>
      </c>
      <c r="V45" s="78">
        <v>9425</v>
      </c>
      <c r="W45" s="78">
        <v>16740</v>
      </c>
      <c r="X45" s="78">
        <v>2430</v>
      </c>
      <c r="Y45" s="78">
        <v>0</v>
      </c>
      <c r="Z45" s="78">
        <v>169.6</v>
      </c>
      <c r="AA45" s="78">
        <v>0</v>
      </c>
      <c r="AB45" s="399">
        <v>0</v>
      </c>
      <c r="AC45" s="399">
        <v>0</v>
      </c>
      <c r="AD45" s="78">
        <v>27844</v>
      </c>
      <c r="AE45" s="78">
        <v>27844</v>
      </c>
      <c r="AF45" s="78">
        <v>430</v>
      </c>
      <c r="AG45" s="78">
        <v>0</v>
      </c>
      <c r="AH45" s="78">
        <v>117</v>
      </c>
      <c r="AI45" s="78">
        <v>115</v>
      </c>
      <c r="AJ45" s="78">
        <v>117</v>
      </c>
      <c r="AK45" s="78">
        <v>115</v>
      </c>
      <c r="AL45" s="78">
        <v>232</v>
      </c>
      <c r="AM45" s="78">
        <v>10135</v>
      </c>
      <c r="AN45" s="78">
        <v>10135</v>
      </c>
      <c r="AO45" s="78">
        <v>0</v>
      </c>
      <c r="AP45" s="78">
        <v>0</v>
      </c>
      <c r="AQ45" s="78">
        <v>0</v>
      </c>
      <c r="AR45" s="78">
        <v>0</v>
      </c>
      <c r="AS45" s="78">
        <v>0</v>
      </c>
      <c r="AT45" s="78">
        <v>0</v>
      </c>
      <c r="AU45" s="400">
        <v>5.2342199999999995E-4</v>
      </c>
      <c r="AV45" s="400">
        <v>1.2335100000000001E-4</v>
      </c>
      <c r="AW45" s="78">
        <v>2168.89</v>
      </c>
      <c r="AX45" s="78">
        <v>0</v>
      </c>
      <c r="AY45" s="78">
        <v>3896</v>
      </c>
      <c r="AZ45" s="78">
        <v>2735.7708141755702</v>
      </c>
      <c r="BA45" s="78">
        <v>29</v>
      </c>
      <c r="BB45" s="78">
        <v>29</v>
      </c>
      <c r="BC45" s="78">
        <v>2835</v>
      </c>
      <c r="BD45" s="78">
        <v>1</v>
      </c>
      <c r="BE45" s="78">
        <v>0</v>
      </c>
      <c r="BF45" s="78">
        <v>0</v>
      </c>
      <c r="BG45" s="78">
        <v>0</v>
      </c>
      <c r="BH45" s="78">
        <v>0</v>
      </c>
      <c r="BI45" s="78">
        <v>0</v>
      </c>
      <c r="BJ45" s="78">
        <v>0</v>
      </c>
      <c r="BK45" s="78">
        <v>0</v>
      </c>
      <c r="BL45" s="78">
        <v>0</v>
      </c>
      <c r="BM45" s="78">
        <v>292.60000000000002</v>
      </c>
      <c r="BN45" s="78">
        <v>40</v>
      </c>
      <c r="BO45" s="78">
        <v>9</v>
      </c>
      <c r="BP45" s="78">
        <v>5950.27</v>
      </c>
      <c r="BQ45" s="78">
        <v>1109.55</v>
      </c>
      <c r="BR45" s="78">
        <v>67.985890570430698</v>
      </c>
      <c r="BS45" s="78">
        <v>180</v>
      </c>
      <c r="BT45" s="78">
        <v>50.3333333333333</v>
      </c>
      <c r="BU45" s="78">
        <v>39.6666666666667</v>
      </c>
      <c r="BV45" s="78">
        <v>1032.000000000003</v>
      </c>
      <c r="BW45" s="78">
        <v>348</v>
      </c>
      <c r="BX45" s="78">
        <v>3632.9962219622598</v>
      </c>
      <c r="BY45" s="402">
        <v>0.495</v>
      </c>
      <c r="BZ45" s="78">
        <v>13913</v>
      </c>
      <c r="CA45" s="78">
        <v>3224</v>
      </c>
      <c r="CB45" s="78">
        <v>706</v>
      </c>
      <c r="CC45" s="78">
        <v>627</v>
      </c>
      <c r="CD45" s="78">
        <v>583</v>
      </c>
      <c r="CE45" s="78">
        <v>321</v>
      </c>
      <c r="CF45" s="78">
        <v>325.767143561914</v>
      </c>
      <c r="CG45" s="78">
        <v>219.646028613715</v>
      </c>
      <c r="CH45" s="78">
        <v>79.138381845091303</v>
      </c>
      <c r="CI45" s="78">
        <v>873.774</v>
      </c>
      <c r="CJ45" s="78">
        <v>589.13549999999998</v>
      </c>
      <c r="CK45" s="78">
        <v>212.2653</v>
      </c>
      <c r="CL45" s="78">
        <v>41975</v>
      </c>
    </row>
    <row r="46" spans="1:90" x14ac:dyDescent="0.35">
      <c r="A46" s="72">
        <v>141</v>
      </c>
      <c r="B46" s="72" t="s">
        <v>18</v>
      </c>
      <c r="C46" s="72">
        <v>4</v>
      </c>
      <c r="D46" s="78">
        <v>6067200000</v>
      </c>
      <c r="E46" s="78">
        <v>1284150000</v>
      </c>
      <c r="F46" s="78">
        <v>1351700000</v>
      </c>
      <c r="G46" s="78">
        <v>73155</v>
      </c>
      <c r="H46" s="78">
        <v>1</v>
      </c>
      <c r="I46" s="78">
        <v>1351.7</v>
      </c>
      <c r="J46" s="78">
        <v>13914</v>
      </c>
      <c r="K46" s="78">
        <v>14858</v>
      </c>
      <c r="L46" s="78">
        <v>5023</v>
      </c>
      <c r="M46" s="78">
        <v>12324</v>
      </c>
      <c r="N46" s="78">
        <v>8903.9</v>
      </c>
      <c r="O46" s="78">
        <v>2558.6666666666702</v>
      </c>
      <c r="P46" s="78">
        <v>159</v>
      </c>
      <c r="Q46" s="78">
        <v>8081.6666666666697</v>
      </c>
      <c r="R46" s="78">
        <v>12356</v>
      </c>
      <c r="S46" s="78">
        <v>7880</v>
      </c>
      <c r="T46" s="78">
        <v>0</v>
      </c>
      <c r="U46" s="78">
        <v>2788</v>
      </c>
      <c r="V46" s="78">
        <v>34485</v>
      </c>
      <c r="W46" s="78">
        <v>83580</v>
      </c>
      <c r="X46" s="78">
        <v>115570</v>
      </c>
      <c r="Y46" s="78">
        <v>3717.14</v>
      </c>
      <c r="Z46" s="78">
        <v>4209.6000000000004</v>
      </c>
      <c r="AA46" s="78">
        <v>0</v>
      </c>
      <c r="AB46" s="399">
        <v>0</v>
      </c>
      <c r="AC46" s="399">
        <v>0</v>
      </c>
      <c r="AD46" s="78">
        <v>6710</v>
      </c>
      <c r="AE46" s="78">
        <v>6710</v>
      </c>
      <c r="AF46" s="78">
        <v>230</v>
      </c>
      <c r="AG46" s="78">
        <v>0</v>
      </c>
      <c r="AH46" s="78">
        <v>412</v>
      </c>
      <c r="AI46" s="78">
        <v>146</v>
      </c>
      <c r="AJ46" s="78">
        <v>412</v>
      </c>
      <c r="AK46" s="78">
        <v>146</v>
      </c>
      <c r="AL46" s="78">
        <v>558</v>
      </c>
      <c r="AM46" s="78">
        <v>34201</v>
      </c>
      <c r="AN46" s="78">
        <v>34201</v>
      </c>
      <c r="AO46" s="78">
        <v>10</v>
      </c>
      <c r="AP46" s="78">
        <v>0</v>
      </c>
      <c r="AQ46" s="78">
        <v>0</v>
      </c>
      <c r="AR46" s="78">
        <v>0</v>
      </c>
      <c r="AS46" s="78">
        <v>7097</v>
      </c>
      <c r="AT46" s="78">
        <v>7097</v>
      </c>
      <c r="AU46" s="400">
        <v>4.3936779999999998E-3</v>
      </c>
      <c r="AV46" s="400">
        <v>6.5105689999999999E-3</v>
      </c>
      <c r="AW46" s="78">
        <v>54858.404000000002</v>
      </c>
      <c r="AX46" s="78">
        <v>0</v>
      </c>
      <c r="AY46" s="78">
        <v>2046</v>
      </c>
      <c r="AZ46" s="78">
        <v>21567.0216138328</v>
      </c>
      <c r="BA46" s="78">
        <v>3</v>
      </c>
      <c r="BB46" s="78">
        <v>3</v>
      </c>
      <c r="BC46" s="78">
        <v>7345</v>
      </c>
      <c r="BD46" s="78">
        <v>1</v>
      </c>
      <c r="BE46" s="78">
        <v>0</v>
      </c>
      <c r="BF46" s="78">
        <v>0</v>
      </c>
      <c r="BG46" s="78">
        <v>0</v>
      </c>
      <c r="BH46" s="78">
        <v>0</v>
      </c>
      <c r="BI46" s="78">
        <v>0</v>
      </c>
      <c r="BJ46" s="78">
        <v>0</v>
      </c>
      <c r="BK46" s="78">
        <v>0</v>
      </c>
      <c r="BL46" s="78">
        <v>0</v>
      </c>
      <c r="BM46" s="78">
        <v>2434.9499999999998</v>
      </c>
      <c r="BN46" s="78">
        <v>421</v>
      </c>
      <c r="BO46" s="78">
        <v>332</v>
      </c>
      <c r="BP46" s="78">
        <v>18184.650000000001</v>
      </c>
      <c r="BQ46" s="78">
        <v>4001.97</v>
      </c>
      <c r="BR46" s="78">
        <v>709.68233748465195</v>
      </c>
      <c r="BS46" s="78">
        <v>1032</v>
      </c>
      <c r="BT46" s="78">
        <v>670.66666666666697</v>
      </c>
      <c r="BU46" s="78">
        <v>625.66666666666697</v>
      </c>
      <c r="BV46" s="78">
        <v>5523</v>
      </c>
      <c r="BW46" s="78">
        <v>1676</v>
      </c>
      <c r="BX46" s="78">
        <v>14479.712435048999</v>
      </c>
      <c r="BY46" s="402">
        <v>8.17</v>
      </c>
      <c r="BZ46" s="78">
        <v>58297</v>
      </c>
      <c r="CA46" s="78">
        <v>8223</v>
      </c>
      <c r="CB46" s="78">
        <v>1612</v>
      </c>
      <c r="CC46" s="78">
        <v>2081</v>
      </c>
      <c r="CD46" s="78">
        <v>1781</v>
      </c>
      <c r="CE46" s="78">
        <v>857</v>
      </c>
      <c r="CF46" s="78">
        <v>1362.36100406421</v>
      </c>
      <c r="CG46" s="78">
        <v>933.84080290049997</v>
      </c>
      <c r="CH46" s="78">
        <v>305.639560246776</v>
      </c>
      <c r="CI46" s="78">
        <v>3024.1507000000001</v>
      </c>
      <c r="CJ46" s="78">
        <v>2072.9272999999998</v>
      </c>
      <c r="CK46" s="78">
        <v>678.45460000000003</v>
      </c>
      <c r="CL46" s="78">
        <v>125655</v>
      </c>
    </row>
    <row r="47" spans="1:90" x14ac:dyDescent="0.35">
      <c r="A47" s="72">
        <v>147</v>
      </c>
      <c r="B47" s="72" t="s">
        <v>56</v>
      </c>
      <c r="C47" s="72">
        <v>4</v>
      </c>
      <c r="D47" s="78">
        <v>2563600000</v>
      </c>
      <c r="E47" s="78">
        <v>221200000</v>
      </c>
      <c r="F47" s="78">
        <v>236950000</v>
      </c>
      <c r="G47" s="78">
        <v>24007</v>
      </c>
      <c r="H47" s="78">
        <v>1</v>
      </c>
      <c r="I47" s="78">
        <v>236.95</v>
      </c>
      <c r="J47" s="78">
        <v>5002</v>
      </c>
      <c r="K47" s="78">
        <v>5346</v>
      </c>
      <c r="L47" s="78">
        <v>1846</v>
      </c>
      <c r="M47" s="78">
        <v>2741</v>
      </c>
      <c r="N47" s="78">
        <v>1707.8</v>
      </c>
      <c r="O47" s="78">
        <v>284</v>
      </c>
      <c r="P47" s="78">
        <v>49</v>
      </c>
      <c r="Q47" s="78">
        <v>1466</v>
      </c>
      <c r="R47" s="78">
        <v>2805</v>
      </c>
      <c r="S47" s="78">
        <v>600</v>
      </c>
      <c r="T47" s="78">
        <v>0</v>
      </c>
      <c r="U47" s="78">
        <v>610</v>
      </c>
      <c r="V47" s="78">
        <v>10339</v>
      </c>
      <c r="W47" s="78">
        <v>22410</v>
      </c>
      <c r="X47" s="78">
        <v>14740</v>
      </c>
      <c r="Y47" s="78">
        <v>0</v>
      </c>
      <c r="Z47" s="78">
        <v>277.60000000000002</v>
      </c>
      <c r="AA47" s="78">
        <v>0</v>
      </c>
      <c r="AB47" s="399">
        <v>0</v>
      </c>
      <c r="AC47" s="399">
        <v>0</v>
      </c>
      <c r="AD47" s="78">
        <v>2597</v>
      </c>
      <c r="AE47" s="78">
        <v>2597</v>
      </c>
      <c r="AF47" s="78">
        <v>19</v>
      </c>
      <c r="AG47" s="78">
        <v>0</v>
      </c>
      <c r="AH47" s="78">
        <v>126</v>
      </c>
      <c r="AI47" s="78">
        <v>21</v>
      </c>
      <c r="AJ47" s="78">
        <v>126</v>
      </c>
      <c r="AK47" s="78">
        <v>21</v>
      </c>
      <c r="AL47" s="78">
        <v>147</v>
      </c>
      <c r="AM47" s="78">
        <v>10332</v>
      </c>
      <c r="AN47" s="78">
        <v>10332</v>
      </c>
      <c r="AO47" s="78">
        <v>0</v>
      </c>
      <c r="AP47" s="78">
        <v>0</v>
      </c>
      <c r="AQ47" s="78">
        <v>0</v>
      </c>
      <c r="AR47" s="78">
        <v>0</v>
      </c>
      <c r="AS47" s="78">
        <v>1224</v>
      </c>
      <c r="AT47" s="78">
        <v>0</v>
      </c>
      <c r="AU47" s="400">
        <v>3.2157099999999999E-4</v>
      </c>
      <c r="AV47" s="400">
        <v>1.6967100000000001E-4</v>
      </c>
      <c r="AW47" s="78">
        <v>12884.004000000001</v>
      </c>
      <c r="AX47" s="78">
        <v>0</v>
      </c>
      <c r="AY47" s="78">
        <v>417</v>
      </c>
      <c r="AZ47" s="78">
        <v>3826.8038990825698</v>
      </c>
      <c r="BA47" s="78">
        <v>3</v>
      </c>
      <c r="BB47" s="78">
        <v>3</v>
      </c>
      <c r="BC47" s="78">
        <v>2465</v>
      </c>
      <c r="BD47" s="78">
        <v>1</v>
      </c>
      <c r="BE47" s="78">
        <v>0</v>
      </c>
      <c r="BF47" s="78">
        <v>0</v>
      </c>
      <c r="BG47" s="78">
        <v>0</v>
      </c>
      <c r="BH47" s="78">
        <v>0</v>
      </c>
      <c r="BI47" s="78">
        <v>0</v>
      </c>
      <c r="BJ47" s="78">
        <v>0</v>
      </c>
      <c r="BK47" s="78">
        <v>0</v>
      </c>
      <c r="BL47" s="78">
        <v>0</v>
      </c>
      <c r="BM47" s="78">
        <v>425.17</v>
      </c>
      <c r="BN47" s="78">
        <v>60</v>
      </c>
      <c r="BO47" s="78">
        <v>26</v>
      </c>
      <c r="BP47" s="78">
        <v>7126.27</v>
      </c>
      <c r="BQ47" s="78">
        <v>1848.53</v>
      </c>
      <c r="BR47" s="78">
        <v>150.39048223216599</v>
      </c>
      <c r="BS47" s="78">
        <v>242</v>
      </c>
      <c r="BT47" s="78">
        <v>75</v>
      </c>
      <c r="BU47" s="78">
        <v>56.6666666666667</v>
      </c>
      <c r="BV47" s="78">
        <v>1182</v>
      </c>
      <c r="BW47" s="78">
        <v>386</v>
      </c>
      <c r="BX47" s="78">
        <v>4036.8437924624</v>
      </c>
      <c r="BY47" s="402">
        <v>0.51400000000000001</v>
      </c>
      <c r="BZ47" s="78">
        <v>18661</v>
      </c>
      <c r="CA47" s="78">
        <v>2941</v>
      </c>
      <c r="CB47" s="78">
        <v>559</v>
      </c>
      <c r="CC47" s="78">
        <v>504</v>
      </c>
      <c r="CD47" s="78">
        <v>552</v>
      </c>
      <c r="CE47" s="78">
        <v>306</v>
      </c>
      <c r="CF47" s="78">
        <v>292.07148664343799</v>
      </c>
      <c r="CG47" s="78">
        <v>205.78890824622499</v>
      </c>
      <c r="CH47" s="78">
        <v>71.240979481223405</v>
      </c>
      <c r="CI47" s="78">
        <v>752.91869999999994</v>
      </c>
      <c r="CJ47" s="78">
        <v>530.49450000000002</v>
      </c>
      <c r="CK47" s="78">
        <v>183.6491</v>
      </c>
      <c r="CL47" s="78">
        <v>0</v>
      </c>
    </row>
    <row r="48" spans="1:90" x14ac:dyDescent="0.35">
      <c r="A48" s="72">
        <v>148</v>
      </c>
      <c r="B48" s="72" t="s">
        <v>74</v>
      </c>
      <c r="C48" s="72">
        <v>4</v>
      </c>
      <c r="D48" s="78">
        <v>3340000000</v>
      </c>
      <c r="E48" s="78">
        <v>399000000</v>
      </c>
      <c r="F48" s="78">
        <v>454300000</v>
      </c>
      <c r="G48" s="78">
        <v>29162</v>
      </c>
      <c r="H48" s="78">
        <v>3</v>
      </c>
      <c r="I48" s="78">
        <v>454.3</v>
      </c>
      <c r="J48" s="78">
        <v>5994</v>
      </c>
      <c r="K48" s="78">
        <v>6385</v>
      </c>
      <c r="L48" s="78">
        <v>2205</v>
      </c>
      <c r="M48" s="78">
        <v>3039</v>
      </c>
      <c r="N48" s="78">
        <v>1788.1</v>
      </c>
      <c r="O48" s="78">
        <v>244.666666666667</v>
      </c>
      <c r="P48" s="78">
        <v>38</v>
      </c>
      <c r="Q48" s="78">
        <v>1324.6666666666699</v>
      </c>
      <c r="R48" s="78">
        <v>3291</v>
      </c>
      <c r="S48" s="78">
        <v>330</v>
      </c>
      <c r="T48" s="78">
        <v>0</v>
      </c>
      <c r="U48" s="78">
        <v>616</v>
      </c>
      <c r="V48" s="78">
        <v>12167</v>
      </c>
      <c r="W48" s="78">
        <v>26990</v>
      </c>
      <c r="X48" s="78">
        <v>11870</v>
      </c>
      <c r="Y48" s="78">
        <v>0</v>
      </c>
      <c r="Z48" s="78">
        <v>227.2</v>
      </c>
      <c r="AA48" s="78">
        <v>0</v>
      </c>
      <c r="AB48" s="399">
        <v>0</v>
      </c>
      <c r="AC48" s="399">
        <v>54.099999999999994</v>
      </c>
      <c r="AD48" s="78">
        <v>16502</v>
      </c>
      <c r="AE48" s="78">
        <v>16502</v>
      </c>
      <c r="AF48" s="78">
        <v>150</v>
      </c>
      <c r="AG48" s="78">
        <v>0</v>
      </c>
      <c r="AH48" s="78">
        <v>171</v>
      </c>
      <c r="AI48" s="78">
        <v>173</v>
      </c>
      <c r="AJ48" s="78">
        <v>171</v>
      </c>
      <c r="AK48" s="78">
        <v>173</v>
      </c>
      <c r="AL48" s="78">
        <v>344</v>
      </c>
      <c r="AM48" s="78">
        <v>12509</v>
      </c>
      <c r="AN48" s="78">
        <v>12509</v>
      </c>
      <c r="AO48" s="78">
        <v>0</v>
      </c>
      <c r="AP48" s="78">
        <v>0</v>
      </c>
      <c r="AQ48" s="78">
        <v>0</v>
      </c>
      <c r="AR48" s="78">
        <v>0</v>
      </c>
      <c r="AS48" s="78">
        <v>0</v>
      </c>
      <c r="AT48" s="78">
        <v>0</v>
      </c>
      <c r="AU48" s="400">
        <v>3.6166699999999998E-4</v>
      </c>
      <c r="AV48" s="400">
        <v>1.35525E-4</v>
      </c>
      <c r="AW48" s="78">
        <v>6429.6260000000002</v>
      </c>
      <c r="AX48" s="78">
        <v>0</v>
      </c>
      <c r="AY48" s="78">
        <v>2283</v>
      </c>
      <c r="AZ48" s="78">
        <v>3998.1291136199802</v>
      </c>
      <c r="BA48" s="78">
        <v>11</v>
      </c>
      <c r="BB48" s="78">
        <v>11</v>
      </c>
      <c r="BC48" s="78">
        <v>3480</v>
      </c>
      <c r="BD48" s="78">
        <v>1</v>
      </c>
      <c r="BE48" s="78">
        <v>0</v>
      </c>
      <c r="BF48" s="78">
        <v>0</v>
      </c>
      <c r="BG48" s="78">
        <v>0</v>
      </c>
      <c r="BH48" s="78">
        <v>0</v>
      </c>
      <c r="BI48" s="78">
        <v>0</v>
      </c>
      <c r="BJ48" s="78">
        <v>0</v>
      </c>
      <c r="BK48" s="78">
        <v>0</v>
      </c>
      <c r="BL48" s="78">
        <v>0</v>
      </c>
      <c r="BM48" s="78">
        <v>353.64600000000002</v>
      </c>
      <c r="BN48" s="78">
        <v>102</v>
      </c>
      <c r="BO48" s="78">
        <v>39</v>
      </c>
      <c r="BP48" s="78">
        <v>8107.64</v>
      </c>
      <c r="BQ48" s="78">
        <v>2053.35</v>
      </c>
      <c r="BR48" s="78">
        <v>229.04257495047301</v>
      </c>
      <c r="BS48" s="78">
        <v>227</v>
      </c>
      <c r="BT48" s="78">
        <v>73</v>
      </c>
      <c r="BU48" s="78">
        <v>40.3333333333333</v>
      </c>
      <c r="BV48" s="78">
        <v>1080.000000000003</v>
      </c>
      <c r="BW48" s="78">
        <v>315</v>
      </c>
      <c r="BX48" s="78">
        <v>4188.3658890695797</v>
      </c>
      <c r="BY48" s="402">
        <v>0.15</v>
      </c>
      <c r="BZ48" s="78">
        <v>22777</v>
      </c>
      <c r="CA48" s="78">
        <v>3432</v>
      </c>
      <c r="CB48" s="78">
        <v>748</v>
      </c>
      <c r="CC48" s="78">
        <v>544</v>
      </c>
      <c r="CD48" s="78">
        <v>662</v>
      </c>
      <c r="CE48" s="78">
        <v>385</v>
      </c>
      <c r="CF48" s="78">
        <v>295.03864417619297</v>
      </c>
      <c r="CG48" s="78">
        <v>211.98755296186701</v>
      </c>
      <c r="CH48" s="78">
        <v>80.478079782556605</v>
      </c>
      <c r="CI48" s="78">
        <v>918.89279999999997</v>
      </c>
      <c r="CJ48" s="78">
        <v>660.23159999999996</v>
      </c>
      <c r="CK48" s="78">
        <v>250.64760000000001</v>
      </c>
      <c r="CL48" s="78">
        <v>0</v>
      </c>
    </row>
    <row r="49" spans="1:90" x14ac:dyDescent="0.35">
      <c r="A49" s="72">
        <v>150</v>
      </c>
      <c r="B49" s="72" t="s">
        <v>84</v>
      </c>
      <c r="C49" s="72">
        <v>4</v>
      </c>
      <c r="D49" s="78">
        <v>10147600000</v>
      </c>
      <c r="E49" s="78">
        <v>1435700000</v>
      </c>
      <c r="F49" s="78">
        <v>1503600000</v>
      </c>
      <c r="G49" s="78">
        <v>101446</v>
      </c>
      <c r="H49" s="78">
        <v>2</v>
      </c>
      <c r="I49" s="78">
        <v>1503.6</v>
      </c>
      <c r="J49" s="78">
        <v>19373</v>
      </c>
      <c r="K49" s="78">
        <v>19061</v>
      </c>
      <c r="L49" s="78">
        <v>6247</v>
      </c>
      <c r="M49" s="78">
        <v>15127</v>
      </c>
      <c r="N49" s="78">
        <v>10430.4</v>
      </c>
      <c r="O49" s="78">
        <v>2724.3333333333298</v>
      </c>
      <c r="P49" s="78">
        <v>199</v>
      </c>
      <c r="Q49" s="78">
        <v>9052.3333333333303</v>
      </c>
      <c r="R49" s="78">
        <v>18775</v>
      </c>
      <c r="S49" s="78">
        <v>9335</v>
      </c>
      <c r="T49" s="78">
        <v>0</v>
      </c>
      <c r="U49" s="78">
        <v>3619</v>
      </c>
      <c r="V49" s="78">
        <v>49069</v>
      </c>
      <c r="W49" s="78">
        <v>112390</v>
      </c>
      <c r="X49" s="78">
        <v>150010</v>
      </c>
      <c r="Y49" s="78">
        <v>1657.78</v>
      </c>
      <c r="Z49" s="78">
        <v>3753.6</v>
      </c>
      <c r="AA49" s="78">
        <v>0</v>
      </c>
      <c r="AB49" s="399">
        <v>0</v>
      </c>
      <c r="AC49" s="399">
        <v>0</v>
      </c>
      <c r="AD49" s="78">
        <v>13049</v>
      </c>
      <c r="AE49" s="78">
        <v>13049</v>
      </c>
      <c r="AF49" s="78">
        <v>385</v>
      </c>
      <c r="AG49" s="78">
        <v>0</v>
      </c>
      <c r="AH49" s="78">
        <v>468</v>
      </c>
      <c r="AI49" s="78">
        <v>123</v>
      </c>
      <c r="AJ49" s="78">
        <v>468</v>
      </c>
      <c r="AK49" s="78">
        <v>123</v>
      </c>
      <c r="AL49" s="78">
        <v>591</v>
      </c>
      <c r="AM49" s="78">
        <v>46966</v>
      </c>
      <c r="AN49" s="78">
        <v>46966</v>
      </c>
      <c r="AO49" s="78">
        <v>35</v>
      </c>
      <c r="AP49" s="78">
        <v>0</v>
      </c>
      <c r="AQ49" s="78">
        <v>0</v>
      </c>
      <c r="AR49" s="78">
        <v>3700</v>
      </c>
      <c r="AS49" s="78">
        <v>8739</v>
      </c>
      <c r="AT49" s="78">
        <v>8234</v>
      </c>
      <c r="AU49" s="400">
        <v>5.5691309999999997E-3</v>
      </c>
      <c r="AV49" s="400">
        <v>6.7474800000000001E-3</v>
      </c>
      <c r="AW49" s="78">
        <v>86229.576000000001</v>
      </c>
      <c r="AX49" s="78">
        <v>0</v>
      </c>
      <c r="AY49" s="78">
        <v>2879</v>
      </c>
      <c r="AZ49" s="78">
        <v>21740.586124758102</v>
      </c>
      <c r="BA49" s="78">
        <v>8</v>
      </c>
      <c r="BB49" s="78">
        <v>8</v>
      </c>
      <c r="BC49" s="78">
        <v>11495</v>
      </c>
      <c r="BD49" s="78">
        <v>1</v>
      </c>
      <c r="BE49" s="78">
        <v>0</v>
      </c>
      <c r="BF49" s="78">
        <v>0</v>
      </c>
      <c r="BG49" s="78">
        <v>0</v>
      </c>
      <c r="BH49" s="78">
        <v>0</v>
      </c>
      <c r="BI49" s="78">
        <v>0</v>
      </c>
      <c r="BJ49" s="78">
        <v>0</v>
      </c>
      <c r="BK49" s="78">
        <v>0</v>
      </c>
      <c r="BL49" s="78">
        <v>0</v>
      </c>
      <c r="BM49" s="78">
        <v>2595.982</v>
      </c>
      <c r="BN49" s="78">
        <v>358</v>
      </c>
      <c r="BO49" s="78">
        <v>406</v>
      </c>
      <c r="BP49" s="78">
        <v>28396.799999999999</v>
      </c>
      <c r="BQ49" s="78">
        <v>6510.06</v>
      </c>
      <c r="BR49" s="78">
        <v>1170.03909302326</v>
      </c>
      <c r="BS49" s="78">
        <v>1335</v>
      </c>
      <c r="BT49" s="78">
        <v>690.66666666666697</v>
      </c>
      <c r="BU49" s="78">
        <v>664</v>
      </c>
      <c r="BV49" s="78">
        <v>6328</v>
      </c>
      <c r="BW49" s="78">
        <v>1938</v>
      </c>
      <c r="BX49" s="78">
        <v>16839.538971116999</v>
      </c>
      <c r="BY49" s="402">
        <v>7.07</v>
      </c>
      <c r="BZ49" s="78">
        <v>82385</v>
      </c>
      <c r="CA49" s="78">
        <v>10559</v>
      </c>
      <c r="CB49" s="78">
        <v>2255</v>
      </c>
      <c r="CC49" s="78">
        <v>2732</v>
      </c>
      <c r="CD49" s="78">
        <v>2178</v>
      </c>
      <c r="CE49" s="78">
        <v>1092</v>
      </c>
      <c r="CF49" s="78">
        <v>1503.5090916833501</v>
      </c>
      <c r="CG49" s="78">
        <v>969.84109355704095</v>
      </c>
      <c r="CH49" s="78">
        <v>342.00945364731899</v>
      </c>
      <c r="CI49" s="78">
        <v>3405.31</v>
      </c>
      <c r="CJ49" s="78">
        <v>2196.6010000000001</v>
      </c>
      <c r="CK49" s="78">
        <v>774.62</v>
      </c>
      <c r="CL49" s="78">
        <v>68583</v>
      </c>
    </row>
    <row r="50" spans="1:90" x14ac:dyDescent="0.35">
      <c r="A50" s="72">
        <v>1774</v>
      </c>
      <c r="B50" s="72" t="s">
        <v>86</v>
      </c>
      <c r="C50" s="72">
        <v>4</v>
      </c>
      <c r="D50" s="78">
        <v>2751600000</v>
      </c>
      <c r="E50" s="78">
        <v>483000000</v>
      </c>
      <c r="F50" s="78">
        <v>498400000</v>
      </c>
      <c r="G50" s="78">
        <v>26594</v>
      </c>
      <c r="H50" s="78">
        <v>5</v>
      </c>
      <c r="I50" s="78">
        <v>498.4</v>
      </c>
      <c r="J50" s="78">
        <v>4863</v>
      </c>
      <c r="K50" s="78">
        <v>6123</v>
      </c>
      <c r="L50" s="78">
        <v>1977</v>
      </c>
      <c r="M50" s="78">
        <v>2902</v>
      </c>
      <c r="N50" s="78">
        <v>1773.6</v>
      </c>
      <c r="O50" s="78">
        <v>184.333333333333</v>
      </c>
      <c r="P50" s="78">
        <v>51</v>
      </c>
      <c r="Q50" s="78">
        <v>1224.3333333333301</v>
      </c>
      <c r="R50" s="78">
        <v>2784</v>
      </c>
      <c r="S50" s="78">
        <v>290</v>
      </c>
      <c r="T50" s="78">
        <v>0</v>
      </c>
      <c r="U50" s="78">
        <v>513</v>
      </c>
      <c r="V50" s="78">
        <v>10973</v>
      </c>
      <c r="W50" s="78">
        <v>21410</v>
      </c>
      <c r="X50" s="78">
        <v>8350</v>
      </c>
      <c r="Y50" s="78">
        <v>0</v>
      </c>
      <c r="Z50" s="78">
        <v>212</v>
      </c>
      <c r="AA50" s="78">
        <v>0</v>
      </c>
      <c r="AB50" s="399">
        <v>0</v>
      </c>
      <c r="AC50" s="399">
        <v>0</v>
      </c>
      <c r="AD50" s="78">
        <v>17571</v>
      </c>
      <c r="AE50" s="78">
        <v>17571</v>
      </c>
      <c r="AF50" s="78">
        <v>112</v>
      </c>
      <c r="AG50" s="78">
        <v>0</v>
      </c>
      <c r="AH50" s="78">
        <v>160</v>
      </c>
      <c r="AI50" s="78">
        <v>166</v>
      </c>
      <c r="AJ50" s="78">
        <v>160</v>
      </c>
      <c r="AK50" s="78">
        <v>166</v>
      </c>
      <c r="AL50" s="78">
        <v>326</v>
      </c>
      <c r="AM50" s="78">
        <v>11284</v>
      </c>
      <c r="AN50" s="78">
        <v>11284</v>
      </c>
      <c r="AO50" s="78">
        <v>6</v>
      </c>
      <c r="AP50" s="78">
        <v>0</v>
      </c>
      <c r="AQ50" s="78">
        <v>0</v>
      </c>
      <c r="AR50" s="78">
        <v>0</v>
      </c>
      <c r="AS50" s="78">
        <v>0</v>
      </c>
      <c r="AT50" s="78">
        <v>0</v>
      </c>
      <c r="AU50" s="400">
        <v>2.8437999999999998E-4</v>
      </c>
      <c r="AV50" s="400">
        <v>1.4677399999999999E-4</v>
      </c>
      <c r="AW50" s="78">
        <v>5326.0479999999998</v>
      </c>
      <c r="AX50" s="78">
        <v>0</v>
      </c>
      <c r="AY50" s="78">
        <v>1953</v>
      </c>
      <c r="AZ50" s="78">
        <v>2937.1759316858002</v>
      </c>
      <c r="BA50" s="78">
        <v>11</v>
      </c>
      <c r="BB50" s="78">
        <v>11</v>
      </c>
      <c r="BC50" s="78">
        <v>3465</v>
      </c>
      <c r="BD50" s="78">
        <v>1</v>
      </c>
      <c r="BE50" s="78">
        <v>0</v>
      </c>
      <c r="BF50" s="78">
        <v>0</v>
      </c>
      <c r="BG50" s="78">
        <v>0</v>
      </c>
      <c r="BH50" s="78">
        <v>0</v>
      </c>
      <c r="BI50" s="78">
        <v>0</v>
      </c>
      <c r="BJ50" s="78">
        <v>0</v>
      </c>
      <c r="BK50" s="78">
        <v>0</v>
      </c>
      <c r="BL50" s="78">
        <v>0</v>
      </c>
      <c r="BM50" s="78">
        <v>286.91699999999997</v>
      </c>
      <c r="BN50" s="78">
        <v>46</v>
      </c>
      <c r="BO50" s="78">
        <v>36</v>
      </c>
      <c r="BP50" s="78">
        <v>7364</v>
      </c>
      <c r="BQ50" s="78">
        <v>1830.38</v>
      </c>
      <c r="BR50" s="78">
        <v>51.469733317501799</v>
      </c>
      <c r="BS50" s="78">
        <v>225</v>
      </c>
      <c r="BT50" s="78">
        <v>57.3333333333333</v>
      </c>
      <c r="BU50" s="78">
        <v>35</v>
      </c>
      <c r="BV50" s="78">
        <v>1039.999999999997</v>
      </c>
      <c r="BW50" s="78">
        <v>301</v>
      </c>
      <c r="BX50" s="78">
        <v>4233.3697782455101</v>
      </c>
      <c r="BY50" s="402">
        <v>0.13200000000000001</v>
      </c>
      <c r="BZ50" s="78">
        <v>20471</v>
      </c>
      <c r="CA50" s="78">
        <v>3365</v>
      </c>
      <c r="CB50" s="78">
        <v>781</v>
      </c>
      <c r="CC50" s="78">
        <v>522</v>
      </c>
      <c r="CD50" s="78">
        <v>582</v>
      </c>
      <c r="CE50" s="78">
        <v>283</v>
      </c>
      <c r="CF50" s="78">
        <v>318.28606876994002</v>
      </c>
      <c r="CG50" s="78">
        <v>201.18823112371501</v>
      </c>
      <c r="CH50" s="78">
        <v>69.944345976603998</v>
      </c>
      <c r="CI50" s="78">
        <v>862.85249999999996</v>
      </c>
      <c r="CJ50" s="78">
        <v>545.40800000000002</v>
      </c>
      <c r="CK50" s="78">
        <v>189.61449999999999</v>
      </c>
      <c r="CL50" s="78">
        <v>10662</v>
      </c>
    </row>
    <row r="51" spans="1:90" x14ac:dyDescent="0.35">
      <c r="A51" s="72">
        <v>153</v>
      </c>
      <c r="B51" s="72" t="s">
        <v>106</v>
      </c>
      <c r="C51" s="72">
        <v>4</v>
      </c>
      <c r="D51" s="78">
        <v>14198400000</v>
      </c>
      <c r="E51" s="78">
        <v>2419550000</v>
      </c>
      <c r="F51" s="78">
        <v>2482900000</v>
      </c>
      <c r="G51" s="78">
        <v>160640</v>
      </c>
      <c r="H51" s="78">
        <v>2</v>
      </c>
      <c r="I51" s="78">
        <v>2482.9</v>
      </c>
      <c r="J51" s="78">
        <v>28059</v>
      </c>
      <c r="K51" s="78">
        <v>29036</v>
      </c>
      <c r="L51" s="78">
        <v>9946</v>
      </c>
      <c r="M51" s="78">
        <v>27997</v>
      </c>
      <c r="N51" s="78">
        <v>20027.400000000001</v>
      </c>
      <c r="O51" s="78">
        <v>6093.3333333333303</v>
      </c>
      <c r="P51" s="78">
        <v>357</v>
      </c>
      <c r="Q51" s="78">
        <v>17344.333333333299</v>
      </c>
      <c r="R51" s="78">
        <v>37629</v>
      </c>
      <c r="S51" s="78">
        <v>16210</v>
      </c>
      <c r="T51" s="78">
        <v>0</v>
      </c>
      <c r="U51" s="78">
        <v>5814</v>
      </c>
      <c r="V51" s="78">
        <v>83280</v>
      </c>
      <c r="W51" s="78">
        <v>168930</v>
      </c>
      <c r="X51" s="78">
        <v>251390</v>
      </c>
      <c r="Y51" s="78">
        <v>5685.8594000000003</v>
      </c>
      <c r="Z51" s="78">
        <v>5744.8</v>
      </c>
      <c r="AA51" s="78">
        <v>0</v>
      </c>
      <c r="AB51" s="399">
        <v>0</v>
      </c>
      <c r="AC51" s="399">
        <v>0</v>
      </c>
      <c r="AD51" s="78">
        <v>14068</v>
      </c>
      <c r="AE51" s="78">
        <v>14068</v>
      </c>
      <c r="AF51" s="78">
        <v>204</v>
      </c>
      <c r="AG51" s="78">
        <v>0</v>
      </c>
      <c r="AH51" s="78">
        <v>781</v>
      </c>
      <c r="AI51" s="78">
        <v>137</v>
      </c>
      <c r="AJ51" s="78">
        <v>781</v>
      </c>
      <c r="AK51" s="78">
        <v>137</v>
      </c>
      <c r="AL51" s="78">
        <v>917</v>
      </c>
      <c r="AM51" s="78">
        <v>79696</v>
      </c>
      <c r="AN51" s="78">
        <v>79696</v>
      </c>
      <c r="AO51" s="78">
        <v>9</v>
      </c>
      <c r="AP51" s="78">
        <v>0</v>
      </c>
      <c r="AQ51" s="78">
        <v>0</v>
      </c>
      <c r="AR51" s="78">
        <v>0</v>
      </c>
      <c r="AS51" s="78">
        <v>15963</v>
      </c>
      <c r="AT51" s="78">
        <v>11523</v>
      </c>
      <c r="AU51" s="400">
        <v>1.0740938E-2</v>
      </c>
      <c r="AV51" s="400">
        <v>1.8027844000000001E-2</v>
      </c>
      <c r="AW51" s="78">
        <v>175331.20000000001</v>
      </c>
      <c r="AX51" s="78">
        <v>0</v>
      </c>
      <c r="AY51" s="78">
        <v>2063</v>
      </c>
      <c r="AZ51" s="78">
        <v>23220.3139013453</v>
      </c>
      <c r="BA51" s="78">
        <v>9</v>
      </c>
      <c r="BB51" s="78">
        <v>9</v>
      </c>
      <c r="BC51" s="78">
        <v>16190</v>
      </c>
      <c r="BD51" s="78">
        <v>1</v>
      </c>
      <c r="BE51" s="78">
        <v>0</v>
      </c>
      <c r="BF51" s="78">
        <v>0</v>
      </c>
      <c r="BG51" s="78">
        <v>0</v>
      </c>
      <c r="BH51" s="78">
        <v>0</v>
      </c>
      <c r="BI51" s="78">
        <v>0</v>
      </c>
      <c r="BJ51" s="78">
        <v>0</v>
      </c>
      <c r="BK51" s="78">
        <v>0</v>
      </c>
      <c r="BL51" s="78">
        <v>0</v>
      </c>
      <c r="BM51" s="78">
        <v>5724.0360000000001</v>
      </c>
      <c r="BN51" s="78">
        <v>600</v>
      </c>
      <c r="BO51" s="78">
        <v>590</v>
      </c>
      <c r="BP51" s="78">
        <v>39463.129999999997</v>
      </c>
      <c r="BQ51" s="78">
        <v>8139.6</v>
      </c>
      <c r="BR51" s="78">
        <v>1151.00033808691</v>
      </c>
      <c r="BS51" s="78">
        <v>2281</v>
      </c>
      <c r="BT51" s="78">
        <v>1552.3333333333301</v>
      </c>
      <c r="BU51" s="78">
        <v>1404</v>
      </c>
      <c r="BV51" s="78">
        <v>11250.999999999969</v>
      </c>
      <c r="BW51" s="78">
        <v>3755</v>
      </c>
      <c r="BX51" s="78">
        <v>25836.196268750198</v>
      </c>
      <c r="BY51" s="402">
        <v>19.298999999999999</v>
      </c>
      <c r="BZ51" s="78">
        <v>131604</v>
      </c>
      <c r="CA51" s="78">
        <v>15881</v>
      </c>
      <c r="CB51" s="78">
        <v>3209</v>
      </c>
      <c r="CC51" s="78">
        <v>4196</v>
      </c>
      <c r="CD51" s="78">
        <v>3558</v>
      </c>
      <c r="CE51" s="78">
        <v>1627</v>
      </c>
      <c r="CF51" s="78">
        <v>2569.5162241517801</v>
      </c>
      <c r="CG51" s="78">
        <v>1739.2295146556901</v>
      </c>
      <c r="CH51" s="78">
        <v>557.37770026099201</v>
      </c>
      <c r="CI51" s="78">
        <v>6065.47</v>
      </c>
      <c r="CJ51" s="78">
        <v>4105.5371999999998</v>
      </c>
      <c r="CK51" s="78">
        <v>1315.7175999999999</v>
      </c>
      <c r="CL51" s="78">
        <v>219182</v>
      </c>
    </row>
    <row r="52" spans="1:90" x14ac:dyDescent="0.35">
      <c r="A52" s="72">
        <v>158</v>
      </c>
      <c r="B52" s="72" t="s">
        <v>124</v>
      </c>
      <c r="C52" s="72">
        <v>4</v>
      </c>
      <c r="D52" s="78">
        <v>2484800000</v>
      </c>
      <c r="E52" s="78">
        <v>316750000</v>
      </c>
      <c r="F52" s="78">
        <v>367850000</v>
      </c>
      <c r="G52" s="78">
        <v>24268</v>
      </c>
      <c r="H52" s="78">
        <v>1</v>
      </c>
      <c r="I52" s="78">
        <v>367.85</v>
      </c>
      <c r="J52" s="78">
        <v>4405</v>
      </c>
      <c r="K52" s="78">
        <v>6108</v>
      </c>
      <c r="L52" s="78">
        <v>2198</v>
      </c>
      <c r="M52" s="78">
        <v>3009</v>
      </c>
      <c r="N52" s="78">
        <v>1913</v>
      </c>
      <c r="O52" s="78">
        <v>295</v>
      </c>
      <c r="P52" s="78">
        <v>49</v>
      </c>
      <c r="Q52" s="78">
        <v>1462</v>
      </c>
      <c r="R52" s="78">
        <v>3070</v>
      </c>
      <c r="S52" s="78">
        <v>900</v>
      </c>
      <c r="T52" s="78">
        <v>0</v>
      </c>
      <c r="U52" s="78">
        <v>609</v>
      </c>
      <c r="V52" s="78">
        <v>10673</v>
      </c>
      <c r="W52" s="78">
        <v>23640</v>
      </c>
      <c r="X52" s="78">
        <v>17970</v>
      </c>
      <c r="Y52" s="78">
        <v>0</v>
      </c>
      <c r="Z52" s="78">
        <v>1166.4000000000001</v>
      </c>
      <c r="AA52" s="78">
        <v>0</v>
      </c>
      <c r="AB52" s="399">
        <v>0</v>
      </c>
      <c r="AC52" s="399">
        <v>0</v>
      </c>
      <c r="AD52" s="78">
        <v>10476</v>
      </c>
      <c r="AE52" s="78">
        <v>10476</v>
      </c>
      <c r="AF52" s="78">
        <v>74</v>
      </c>
      <c r="AG52" s="78">
        <v>0</v>
      </c>
      <c r="AH52" s="78">
        <v>163</v>
      </c>
      <c r="AI52" s="78">
        <v>98</v>
      </c>
      <c r="AJ52" s="78">
        <v>163</v>
      </c>
      <c r="AK52" s="78">
        <v>98</v>
      </c>
      <c r="AL52" s="78">
        <v>260</v>
      </c>
      <c r="AM52" s="78">
        <v>10960</v>
      </c>
      <c r="AN52" s="78">
        <v>10960</v>
      </c>
      <c r="AO52" s="78">
        <v>0</v>
      </c>
      <c r="AP52" s="78">
        <v>0</v>
      </c>
      <c r="AQ52" s="78">
        <v>0</v>
      </c>
      <c r="AR52" s="78">
        <v>0</v>
      </c>
      <c r="AS52" s="78">
        <v>0</v>
      </c>
      <c r="AT52" s="78">
        <v>0</v>
      </c>
      <c r="AU52" s="400">
        <v>3.3804199999999999E-4</v>
      </c>
      <c r="AV52" s="400">
        <v>2.4523999999999998E-4</v>
      </c>
      <c r="AW52" s="78">
        <v>11420.32</v>
      </c>
      <c r="AX52" s="78">
        <v>0</v>
      </c>
      <c r="AY52" s="78">
        <v>1816</v>
      </c>
      <c r="AZ52" s="78">
        <v>4177.3163981042699</v>
      </c>
      <c r="BA52" s="78">
        <v>6</v>
      </c>
      <c r="BB52" s="78">
        <v>6</v>
      </c>
      <c r="BC52" s="78">
        <v>2775</v>
      </c>
      <c r="BD52" s="78">
        <v>1</v>
      </c>
      <c r="BE52" s="78">
        <v>0</v>
      </c>
      <c r="BF52" s="78">
        <v>0</v>
      </c>
      <c r="BG52" s="78">
        <v>0</v>
      </c>
      <c r="BH52" s="78">
        <v>0</v>
      </c>
      <c r="BI52" s="78">
        <v>0</v>
      </c>
      <c r="BJ52" s="78">
        <v>0</v>
      </c>
      <c r="BK52" s="78">
        <v>0</v>
      </c>
      <c r="BL52" s="78">
        <v>0</v>
      </c>
      <c r="BM52" s="78">
        <v>396.45</v>
      </c>
      <c r="BN52" s="78">
        <v>29</v>
      </c>
      <c r="BO52" s="78">
        <v>22</v>
      </c>
      <c r="BP52" s="78">
        <v>6695</v>
      </c>
      <c r="BQ52" s="78">
        <v>1611.06</v>
      </c>
      <c r="BR52" s="78">
        <v>53.694406368051801</v>
      </c>
      <c r="BS52" s="78">
        <v>243</v>
      </c>
      <c r="BT52" s="78">
        <v>86.3333333333333</v>
      </c>
      <c r="BU52" s="78">
        <v>64.6666666666667</v>
      </c>
      <c r="BV52" s="78">
        <v>1167</v>
      </c>
      <c r="BW52" s="78">
        <v>327</v>
      </c>
      <c r="BX52" s="78">
        <v>3957.8805299434598</v>
      </c>
      <c r="BY52" s="402">
        <v>0.49099999999999999</v>
      </c>
      <c r="BZ52" s="78">
        <v>18160</v>
      </c>
      <c r="CA52" s="78">
        <v>3208</v>
      </c>
      <c r="CB52" s="78">
        <v>702</v>
      </c>
      <c r="CC52" s="78">
        <v>623</v>
      </c>
      <c r="CD52" s="78">
        <v>661</v>
      </c>
      <c r="CE52" s="78">
        <v>291</v>
      </c>
      <c r="CF52" s="78">
        <v>340.36040145985402</v>
      </c>
      <c r="CG52" s="78">
        <v>253.08850364963499</v>
      </c>
      <c r="CH52" s="78">
        <v>77.846532846715306</v>
      </c>
      <c r="CI52" s="78">
        <v>922.93499999999995</v>
      </c>
      <c r="CJ52" s="78">
        <v>686.28499999999997</v>
      </c>
      <c r="CK52" s="78">
        <v>211.09180000000001</v>
      </c>
      <c r="CL52" s="78">
        <v>26592</v>
      </c>
    </row>
    <row r="53" spans="1:90" x14ac:dyDescent="0.35">
      <c r="A53" s="72">
        <v>160</v>
      </c>
      <c r="B53" s="72" t="s">
        <v>129</v>
      </c>
      <c r="C53" s="72">
        <v>4</v>
      </c>
      <c r="D53" s="78">
        <v>5399200000</v>
      </c>
      <c r="E53" s="78">
        <v>998200000</v>
      </c>
      <c r="F53" s="78">
        <v>1116850000</v>
      </c>
      <c r="G53" s="78">
        <v>61798</v>
      </c>
      <c r="H53" s="78">
        <v>8</v>
      </c>
      <c r="I53" s="78">
        <v>1116.8499999999999</v>
      </c>
      <c r="J53" s="78">
        <v>12913</v>
      </c>
      <c r="K53" s="78">
        <v>12002</v>
      </c>
      <c r="L53" s="78">
        <v>3906</v>
      </c>
      <c r="M53" s="78">
        <v>7315</v>
      </c>
      <c r="N53" s="78">
        <v>4619.8999999999996</v>
      </c>
      <c r="O53" s="78">
        <v>803.66666666666697</v>
      </c>
      <c r="P53" s="78">
        <v>141</v>
      </c>
      <c r="Q53" s="78">
        <v>3993.6666666666702</v>
      </c>
      <c r="R53" s="78">
        <v>7167</v>
      </c>
      <c r="S53" s="78">
        <v>960</v>
      </c>
      <c r="T53" s="78">
        <v>0</v>
      </c>
      <c r="U53" s="78">
        <v>1471</v>
      </c>
      <c r="V53" s="78">
        <v>26147</v>
      </c>
      <c r="W53" s="78">
        <v>60430</v>
      </c>
      <c r="X53" s="78">
        <v>42110</v>
      </c>
      <c r="Y53" s="78">
        <v>1090.5</v>
      </c>
      <c r="Z53" s="78">
        <v>3090.4</v>
      </c>
      <c r="AA53" s="78">
        <v>0</v>
      </c>
      <c r="AB53" s="399">
        <v>0</v>
      </c>
      <c r="AC53" s="399">
        <v>0</v>
      </c>
      <c r="AD53" s="78">
        <v>31211</v>
      </c>
      <c r="AE53" s="78">
        <v>31211</v>
      </c>
      <c r="AF53" s="78">
        <v>504</v>
      </c>
      <c r="AG53" s="78">
        <v>0</v>
      </c>
      <c r="AH53" s="78">
        <v>361</v>
      </c>
      <c r="AI53" s="78">
        <v>308</v>
      </c>
      <c r="AJ53" s="78">
        <v>361</v>
      </c>
      <c r="AK53" s="78">
        <v>308</v>
      </c>
      <c r="AL53" s="78">
        <v>669</v>
      </c>
      <c r="AM53" s="78">
        <v>26951</v>
      </c>
      <c r="AN53" s="78">
        <v>26951</v>
      </c>
      <c r="AO53" s="78">
        <v>0</v>
      </c>
      <c r="AP53" s="78">
        <v>0</v>
      </c>
      <c r="AQ53" s="78">
        <v>0</v>
      </c>
      <c r="AR53" s="78">
        <v>0</v>
      </c>
      <c r="AS53" s="78">
        <v>1013</v>
      </c>
      <c r="AT53" s="78">
        <v>0</v>
      </c>
      <c r="AU53" s="400">
        <v>1.019977E-3</v>
      </c>
      <c r="AV53" s="400">
        <v>5.1633199999999999E-4</v>
      </c>
      <c r="AW53" s="78">
        <v>15308.168</v>
      </c>
      <c r="AX53" s="78">
        <v>0</v>
      </c>
      <c r="AY53" s="78">
        <v>5203</v>
      </c>
      <c r="AZ53" s="78">
        <v>10138.262462557201</v>
      </c>
      <c r="BA53" s="78">
        <v>25</v>
      </c>
      <c r="BB53" s="78">
        <v>25</v>
      </c>
      <c r="BC53" s="78">
        <v>6690</v>
      </c>
      <c r="BD53" s="78">
        <v>1</v>
      </c>
      <c r="BE53" s="78">
        <v>0</v>
      </c>
      <c r="BF53" s="78">
        <v>0</v>
      </c>
      <c r="BG53" s="78">
        <v>0</v>
      </c>
      <c r="BH53" s="78">
        <v>0</v>
      </c>
      <c r="BI53" s="78">
        <v>0</v>
      </c>
      <c r="BJ53" s="78">
        <v>0</v>
      </c>
      <c r="BK53" s="78">
        <v>0</v>
      </c>
      <c r="BL53" s="78">
        <v>0</v>
      </c>
      <c r="BM53" s="78">
        <v>1058.866</v>
      </c>
      <c r="BN53" s="78">
        <v>312</v>
      </c>
      <c r="BO53" s="78">
        <v>206</v>
      </c>
      <c r="BP53" s="78">
        <v>14944.2</v>
      </c>
      <c r="BQ53" s="78">
        <v>3800.19</v>
      </c>
      <c r="BR53" s="78">
        <v>478.425787629713</v>
      </c>
      <c r="BS53" s="78">
        <v>601</v>
      </c>
      <c r="BT53" s="78">
        <v>210</v>
      </c>
      <c r="BU53" s="78">
        <v>165</v>
      </c>
      <c r="BV53" s="78">
        <v>3190.0000000000032</v>
      </c>
      <c r="BW53" s="78">
        <v>1173</v>
      </c>
      <c r="BX53" s="78">
        <v>9840.3824776309193</v>
      </c>
      <c r="BY53" s="402">
        <v>1.833</v>
      </c>
      <c r="BZ53" s="78">
        <v>49796</v>
      </c>
      <c r="CA53" s="78">
        <v>6767</v>
      </c>
      <c r="CB53" s="78">
        <v>1329</v>
      </c>
      <c r="CC53" s="78">
        <v>1169</v>
      </c>
      <c r="CD53" s="78">
        <v>1211</v>
      </c>
      <c r="CE53" s="78">
        <v>653</v>
      </c>
      <c r="CF53" s="78">
        <v>701.78733998738403</v>
      </c>
      <c r="CG53" s="78">
        <v>454.08760713888199</v>
      </c>
      <c r="CH53" s="78">
        <v>161.64764572743101</v>
      </c>
      <c r="CI53" s="78">
        <v>2150.5781999999999</v>
      </c>
      <c r="CJ53" s="78">
        <v>1391.5197000000001</v>
      </c>
      <c r="CK53" s="78">
        <v>495.35789999999997</v>
      </c>
      <c r="CL53" s="78">
        <v>103844</v>
      </c>
    </row>
    <row r="54" spans="1:90" x14ac:dyDescent="0.35">
      <c r="A54" s="72">
        <v>163</v>
      </c>
      <c r="B54" s="72" t="s">
        <v>142</v>
      </c>
      <c r="C54" s="72">
        <v>4</v>
      </c>
      <c r="D54" s="78">
        <v>3913600000</v>
      </c>
      <c r="E54" s="78">
        <v>430850000</v>
      </c>
      <c r="F54" s="78">
        <v>473900000</v>
      </c>
      <c r="G54" s="78">
        <v>35940</v>
      </c>
      <c r="H54" s="78">
        <v>2</v>
      </c>
      <c r="I54" s="78">
        <v>473.9</v>
      </c>
      <c r="J54" s="78">
        <v>7009</v>
      </c>
      <c r="K54" s="78">
        <v>8269</v>
      </c>
      <c r="L54" s="78">
        <v>2763</v>
      </c>
      <c r="M54" s="78">
        <v>4457</v>
      </c>
      <c r="N54" s="78">
        <v>2877.5</v>
      </c>
      <c r="O54" s="78">
        <v>388</v>
      </c>
      <c r="P54" s="78">
        <v>60</v>
      </c>
      <c r="Q54" s="78">
        <v>2108</v>
      </c>
      <c r="R54" s="78">
        <v>4288</v>
      </c>
      <c r="S54" s="78">
        <v>405</v>
      </c>
      <c r="T54" s="78">
        <v>0</v>
      </c>
      <c r="U54" s="78">
        <v>821</v>
      </c>
      <c r="V54" s="78">
        <v>15488</v>
      </c>
      <c r="W54" s="78">
        <v>36750</v>
      </c>
      <c r="X54" s="78">
        <v>35550</v>
      </c>
      <c r="Y54" s="78">
        <v>1181.98</v>
      </c>
      <c r="Z54" s="78">
        <v>1219.2</v>
      </c>
      <c r="AA54" s="78">
        <v>0</v>
      </c>
      <c r="AB54" s="399">
        <v>0</v>
      </c>
      <c r="AC54" s="399">
        <v>0</v>
      </c>
      <c r="AD54" s="78">
        <v>13793</v>
      </c>
      <c r="AE54" s="78">
        <v>13793</v>
      </c>
      <c r="AF54" s="78">
        <v>106</v>
      </c>
      <c r="AG54" s="78">
        <v>0</v>
      </c>
      <c r="AH54" s="78">
        <v>213</v>
      </c>
      <c r="AI54" s="78">
        <v>117</v>
      </c>
      <c r="AJ54" s="78">
        <v>213</v>
      </c>
      <c r="AK54" s="78">
        <v>117</v>
      </c>
      <c r="AL54" s="78">
        <v>329</v>
      </c>
      <c r="AM54" s="78">
        <v>15795</v>
      </c>
      <c r="AN54" s="78">
        <v>15795</v>
      </c>
      <c r="AO54" s="78">
        <v>0</v>
      </c>
      <c r="AP54" s="78">
        <v>0</v>
      </c>
      <c r="AQ54" s="78">
        <v>0</v>
      </c>
      <c r="AR54" s="78">
        <v>0</v>
      </c>
      <c r="AS54" s="78">
        <v>1341</v>
      </c>
      <c r="AT54" s="78">
        <v>0</v>
      </c>
      <c r="AU54" s="400">
        <v>6.3890099999999999E-4</v>
      </c>
      <c r="AV54" s="400">
        <v>2.7189E-4</v>
      </c>
      <c r="AW54" s="78">
        <v>13030.875</v>
      </c>
      <c r="AX54" s="78">
        <v>0</v>
      </c>
      <c r="AY54" s="78">
        <v>1674</v>
      </c>
      <c r="AZ54" s="78">
        <v>4328.6250809410803</v>
      </c>
      <c r="BA54" s="78">
        <v>9</v>
      </c>
      <c r="BB54" s="78">
        <v>9</v>
      </c>
      <c r="BC54" s="78">
        <v>3615</v>
      </c>
      <c r="BD54" s="78">
        <v>1</v>
      </c>
      <c r="BE54" s="78">
        <v>0</v>
      </c>
      <c r="BF54" s="78">
        <v>0</v>
      </c>
      <c r="BG54" s="78">
        <v>0</v>
      </c>
      <c r="BH54" s="78">
        <v>0</v>
      </c>
      <c r="BI54" s="78">
        <v>0</v>
      </c>
      <c r="BJ54" s="78">
        <v>0</v>
      </c>
      <c r="BK54" s="78">
        <v>0</v>
      </c>
      <c r="BL54" s="78">
        <v>0</v>
      </c>
      <c r="BM54" s="78">
        <v>588.75599999999997</v>
      </c>
      <c r="BN54" s="78">
        <v>117</v>
      </c>
      <c r="BO54" s="78">
        <v>33</v>
      </c>
      <c r="BP54" s="78">
        <v>9208.86</v>
      </c>
      <c r="BQ54" s="78">
        <v>2329.59</v>
      </c>
      <c r="BR54" s="78">
        <v>255.12131390134499</v>
      </c>
      <c r="BS54" s="78">
        <v>313</v>
      </c>
      <c r="BT54" s="78">
        <v>101</v>
      </c>
      <c r="BU54" s="78">
        <v>90.3333333333333</v>
      </c>
      <c r="BV54" s="78">
        <v>1720</v>
      </c>
      <c r="BW54" s="78">
        <v>515</v>
      </c>
      <c r="BX54" s="78">
        <v>6598.6288099743997</v>
      </c>
      <c r="BY54" s="402">
        <v>0.58899999999999997</v>
      </c>
      <c r="BZ54" s="78">
        <v>27671</v>
      </c>
      <c r="CA54" s="78">
        <v>4588</v>
      </c>
      <c r="CB54" s="78">
        <v>918</v>
      </c>
      <c r="CC54" s="78">
        <v>804</v>
      </c>
      <c r="CD54" s="78">
        <v>828</v>
      </c>
      <c r="CE54" s="78">
        <v>444</v>
      </c>
      <c r="CF54" s="78">
        <v>495.70607787274503</v>
      </c>
      <c r="CG54" s="78">
        <v>329.74200696422901</v>
      </c>
      <c r="CH54" s="78">
        <v>115.31861348528</v>
      </c>
      <c r="CI54" s="78">
        <v>1356.9627</v>
      </c>
      <c r="CJ54" s="78">
        <v>902.64700000000005</v>
      </c>
      <c r="CK54" s="78">
        <v>315.6771</v>
      </c>
      <c r="CL54" s="78">
        <v>37469</v>
      </c>
    </row>
    <row r="55" spans="1:90" x14ac:dyDescent="0.35">
      <c r="A55" s="72">
        <v>164</v>
      </c>
      <c r="B55" s="72" t="s">
        <v>419</v>
      </c>
      <c r="C55" s="72">
        <v>4</v>
      </c>
      <c r="D55" s="78">
        <v>7557200000</v>
      </c>
      <c r="E55" s="78">
        <v>1297100000</v>
      </c>
      <c r="F55" s="78">
        <v>1352400000</v>
      </c>
      <c r="G55" s="78">
        <v>81476</v>
      </c>
      <c r="H55" s="78">
        <v>1</v>
      </c>
      <c r="I55" s="78">
        <v>1352.4</v>
      </c>
      <c r="J55" s="78">
        <v>14537</v>
      </c>
      <c r="K55" s="78">
        <v>16802</v>
      </c>
      <c r="L55" s="78">
        <v>5631</v>
      </c>
      <c r="M55" s="78">
        <v>13181</v>
      </c>
      <c r="N55" s="78">
        <v>9209.2999999999993</v>
      </c>
      <c r="O55" s="78">
        <v>2174</v>
      </c>
      <c r="P55" s="78">
        <v>193</v>
      </c>
      <c r="Q55" s="78">
        <v>7161</v>
      </c>
      <c r="R55" s="78">
        <v>15740</v>
      </c>
      <c r="S55" s="78">
        <v>7010</v>
      </c>
      <c r="T55" s="78">
        <v>0</v>
      </c>
      <c r="U55" s="78">
        <v>2810</v>
      </c>
      <c r="V55" s="78">
        <v>39824</v>
      </c>
      <c r="W55" s="78">
        <v>89400</v>
      </c>
      <c r="X55" s="78">
        <v>115610</v>
      </c>
      <c r="Y55" s="78">
        <v>3549.72</v>
      </c>
      <c r="Z55" s="78">
        <v>4574.3999999999996</v>
      </c>
      <c r="AA55" s="78">
        <v>0</v>
      </c>
      <c r="AB55" s="399">
        <v>0</v>
      </c>
      <c r="AC55" s="399">
        <v>0</v>
      </c>
      <c r="AD55" s="78">
        <v>6080</v>
      </c>
      <c r="AE55" s="78">
        <v>6080</v>
      </c>
      <c r="AF55" s="78">
        <v>104</v>
      </c>
      <c r="AG55" s="78">
        <v>0</v>
      </c>
      <c r="AH55" s="78">
        <v>469</v>
      </c>
      <c r="AI55" s="78">
        <v>61</v>
      </c>
      <c r="AJ55" s="78">
        <v>469</v>
      </c>
      <c r="AK55" s="78">
        <v>61</v>
      </c>
      <c r="AL55" s="78">
        <v>530</v>
      </c>
      <c r="AM55" s="78">
        <v>39717</v>
      </c>
      <c r="AN55" s="78">
        <v>39717</v>
      </c>
      <c r="AO55" s="78">
        <v>0</v>
      </c>
      <c r="AP55" s="78">
        <v>0</v>
      </c>
      <c r="AQ55" s="78">
        <v>0</v>
      </c>
      <c r="AR55" s="78">
        <v>0</v>
      </c>
      <c r="AS55" s="78">
        <v>6759</v>
      </c>
      <c r="AT55" s="78">
        <v>0</v>
      </c>
      <c r="AU55" s="400">
        <v>4.4883340000000001E-3</v>
      </c>
      <c r="AV55" s="400">
        <v>7.1095209999999997E-3</v>
      </c>
      <c r="AW55" s="78">
        <v>73873.62</v>
      </c>
      <c r="AX55" s="78">
        <v>0</v>
      </c>
      <c r="AY55" s="78">
        <v>1030</v>
      </c>
      <c r="AZ55" s="78">
        <v>13570.549805950801</v>
      </c>
      <c r="BA55" s="78">
        <v>3</v>
      </c>
      <c r="BB55" s="78">
        <v>3</v>
      </c>
      <c r="BC55" s="78">
        <v>9250</v>
      </c>
      <c r="BD55" s="78">
        <v>1</v>
      </c>
      <c r="BE55" s="78">
        <v>0</v>
      </c>
      <c r="BF55" s="78">
        <v>0</v>
      </c>
      <c r="BG55" s="78">
        <v>0</v>
      </c>
      <c r="BH55" s="78">
        <v>0</v>
      </c>
      <c r="BI55" s="78">
        <v>0</v>
      </c>
      <c r="BJ55" s="78">
        <v>0</v>
      </c>
      <c r="BK55" s="78">
        <v>0</v>
      </c>
      <c r="BL55" s="78">
        <v>0</v>
      </c>
      <c r="BM55" s="78">
        <v>2035.18</v>
      </c>
      <c r="BN55" s="78">
        <v>225</v>
      </c>
      <c r="BO55" s="78">
        <v>208</v>
      </c>
      <c r="BP55" s="78">
        <v>23266.2</v>
      </c>
      <c r="BQ55" s="78">
        <v>4754.37</v>
      </c>
      <c r="BR55" s="78">
        <v>497.69150787303198</v>
      </c>
      <c r="BS55" s="78">
        <v>996</v>
      </c>
      <c r="BT55" s="78">
        <v>511.33333333333297</v>
      </c>
      <c r="BU55" s="78">
        <v>432.33333333333297</v>
      </c>
      <c r="BV55" s="78">
        <v>4987</v>
      </c>
      <c r="BW55" s="78">
        <v>1731</v>
      </c>
      <c r="BX55" s="78">
        <v>12984.167517427701</v>
      </c>
      <c r="BY55" s="402">
        <v>6.1950000000000003</v>
      </c>
      <c r="BZ55" s="78">
        <v>64674</v>
      </c>
      <c r="CA55" s="78">
        <v>9160</v>
      </c>
      <c r="CB55" s="78">
        <v>2011</v>
      </c>
      <c r="CC55" s="78">
        <v>2243</v>
      </c>
      <c r="CD55" s="78">
        <v>2006</v>
      </c>
      <c r="CE55" s="78">
        <v>1062</v>
      </c>
      <c r="CF55" s="78">
        <v>1359.2395347080601</v>
      </c>
      <c r="CG55" s="78">
        <v>911.724641841025</v>
      </c>
      <c r="CH55" s="78">
        <v>345.49077221341003</v>
      </c>
      <c r="CI55" s="78">
        <v>3052.9295999999999</v>
      </c>
      <c r="CJ55" s="78">
        <v>2047.7855999999999</v>
      </c>
      <c r="CK55" s="78">
        <v>775.99199999999996</v>
      </c>
      <c r="CL55" s="78">
        <v>41789</v>
      </c>
    </row>
    <row r="56" spans="1:90" x14ac:dyDescent="0.35">
      <c r="A56" s="72">
        <v>1735</v>
      </c>
      <c r="B56" s="72" t="s">
        <v>154</v>
      </c>
      <c r="C56" s="72">
        <v>4</v>
      </c>
      <c r="D56" s="78">
        <v>3010400000</v>
      </c>
      <c r="E56" s="78">
        <v>572250000</v>
      </c>
      <c r="F56" s="78">
        <v>572950000</v>
      </c>
      <c r="G56" s="78">
        <v>35056</v>
      </c>
      <c r="H56" s="78">
        <v>5</v>
      </c>
      <c r="I56" s="78">
        <v>572.95000000000005</v>
      </c>
      <c r="J56" s="78">
        <v>6173</v>
      </c>
      <c r="K56" s="78">
        <v>9042</v>
      </c>
      <c r="L56" s="78">
        <v>3308</v>
      </c>
      <c r="M56" s="78">
        <v>4168</v>
      </c>
      <c r="N56" s="78">
        <v>2572.5</v>
      </c>
      <c r="O56" s="78">
        <v>409.66666666666703</v>
      </c>
      <c r="P56" s="78">
        <v>54</v>
      </c>
      <c r="Q56" s="78">
        <v>1867.6666666666699</v>
      </c>
      <c r="R56" s="78">
        <v>4694</v>
      </c>
      <c r="S56" s="78">
        <v>640</v>
      </c>
      <c r="T56" s="78">
        <v>0</v>
      </c>
      <c r="U56" s="78">
        <v>780</v>
      </c>
      <c r="V56" s="78">
        <v>15552</v>
      </c>
      <c r="W56" s="78">
        <v>30230</v>
      </c>
      <c r="X56" s="78">
        <v>13100</v>
      </c>
      <c r="Y56" s="78">
        <v>0</v>
      </c>
      <c r="Z56" s="78">
        <v>400</v>
      </c>
      <c r="AA56" s="78">
        <v>0</v>
      </c>
      <c r="AB56" s="399">
        <v>0</v>
      </c>
      <c r="AC56" s="399">
        <v>0</v>
      </c>
      <c r="AD56" s="78">
        <v>21230</v>
      </c>
      <c r="AE56" s="78">
        <v>21230</v>
      </c>
      <c r="AF56" s="78">
        <v>311</v>
      </c>
      <c r="AG56" s="78">
        <v>0</v>
      </c>
      <c r="AH56" s="78">
        <v>211</v>
      </c>
      <c r="AI56" s="78">
        <v>232</v>
      </c>
      <c r="AJ56" s="78">
        <v>211</v>
      </c>
      <c r="AK56" s="78">
        <v>232</v>
      </c>
      <c r="AL56" s="78">
        <v>443</v>
      </c>
      <c r="AM56" s="78">
        <v>15955</v>
      </c>
      <c r="AN56" s="78">
        <v>15955</v>
      </c>
      <c r="AO56" s="78">
        <v>17</v>
      </c>
      <c r="AP56" s="78">
        <v>0</v>
      </c>
      <c r="AQ56" s="78">
        <v>0</v>
      </c>
      <c r="AR56" s="78">
        <v>0</v>
      </c>
      <c r="AS56" s="78">
        <v>1469</v>
      </c>
      <c r="AT56" s="78">
        <v>1469</v>
      </c>
      <c r="AU56" s="400">
        <v>7.7573300000000002E-4</v>
      </c>
      <c r="AV56" s="400">
        <v>3.3383000000000002E-4</v>
      </c>
      <c r="AW56" s="78">
        <v>9700.64</v>
      </c>
      <c r="AX56" s="78">
        <v>0</v>
      </c>
      <c r="AY56" s="78">
        <v>2683</v>
      </c>
      <c r="AZ56" s="78">
        <v>4366.3361960911698</v>
      </c>
      <c r="BA56" s="78">
        <v>9</v>
      </c>
      <c r="BB56" s="78">
        <v>9</v>
      </c>
      <c r="BC56" s="78">
        <v>4740</v>
      </c>
      <c r="BD56" s="78">
        <v>1</v>
      </c>
      <c r="BE56" s="78">
        <v>0</v>
      </c>
      <c r="BF56" s="78">
        <v>0</v>
      </c>
      <c r="BG56" s="78">
        <v>0</v>
      </c>
      <c r="BH56" s="78">
        <v>0</v>
      </c>
      <c r="BI56" s="78">
        <v>0</v>
      </c>
      <c r="BJ56" s="78">
        <v>0</v>
      </c>
      <c r="BK56" s="78">
        <v>0</v>
      </c>
      <c r="BL56" s="78">
        <v>0</v>
      </c>
      <c r="BM56" s="78">
        <v>432.11</v>
      </c>
      <c r="BN56" s="78">
        <v>86</v>
      </c>
      <c r="BO56" s="78">
        <v>59</v>
      </c>
      <c r="BP56" s="78">
        <v>10538.5</v>
      </c>
      <c r="BQ56" s="78">
        <v>2279.36</v>
      </c>
      <c r="BR56" s="78">
        <v>148.901901658311</v>
      </c>
      <c r="BS56" s="78">
        <v>272</v>
      </c>
      <c r="BT56" s="78">
        <v>104.333333333333</v>
      </c>
      <c r="BU56" s="78">
        <v>75.6666666666667</v>
      </c>
      <c r="BV56" s="78">
        <v>1458.000000000003</v>
      </c>
      <c r="BW56" s="78">
        <v>400</v>
      </c>
      <c r="BX56" s="78">
        <v>6423.1315981735197</v>
      </c>
      <c r="BY56" s="402">
        <v>0.71499999999999997</v>
      </c>
      <c r="BZ56" s="78">
        <v>26014</v>
      </c>
      <c r="CA56" s="78">
        <v>4607</v>
      </c>
      <c r="CB56" s="78">
        <v>1127</v>
      </c>
      <c r="CC56" s="78">
        <v>849</v>
      </c>
      <c r="CD56" s="78">
        <v>1027</v>
      </c>
      <c r="CE56" s="78">
        <v>552</v>
      </c>
      <c r="CF56" s="78">
        <v>446.29771231588802</v>
      </c>
      <c r="CG56" s="78">
        <v>356.16750235036</v>
      </c>
      <c r="CH56" s="78">
        <v>124.634440614228</v>
      </c>
      <c r="CI56" s="78">
        <v>1179.4448</v>
      </c>
      <c r="CJ56" s="78">
        <v>941.25490000000002</v>
      </c>
      <c r="CK56" s="78">
        <v>329.37529999999998</v>
      </c>
      <c r="CL56" s="78">
        <v>31752</v>
      </c>
    </row>
    <row r="57" spans="1:90" x14ac:dyDescent="0.35">
      <c r="A57" s="72">
        <v>166</v>
      </c>
      <c r="B57" s="72" t="s">
        <v>164</v>
      </c>
      <c r="C57" s="72">
        <v>4</v>
      </c>
      <c r="D57" s="78">
        <v>4931200000</v>
      </c>
      <c r="E57" s="78">
        <v>767900000</v>
      </c>
      <c r="F57" s="78">
        <v>834400000</v>
      </c>
      <c r="G57" s="78">
        <v>54791</v>
      </c>
      <c r="H57" s="78">
        <v>1</v>
      </c>
      <c r="I57" s="78">
        <v>834.4</v>
      </c>
      <c r="J57" s="78">
        <v>12498</v>
      </c>
      <c r="K57" s="78">
        <v>9645</v>
      </c>
      <c r="L57" s="78">
        <v>3239</v>
      </c>
      <c r="M57" s="78">
        <v>6925</v>
      </c>
      <c r="N57" s="78">
        <v>4609.5</v>
      </c>
      <c r="O57" s="78">
        <v>849.66666666666697</v>
      </c>
      <c r="P57" s="78">
        <v>95</v>
      </c>
      <c r="Q57" s="78">
        <v>3548.6666666666702</v>
      </c>
      <c r="R57" s="78">
        <v>7270</v>
      </c>
      <c r="S57" s="78">
        <v>1685</v>
      </c>
      <c r="T57" s="78">
        <v>0</v>
      </c>
      <c r="U57" s="78">
        <v>1397</v>
      </c>
      <c r="V57" s="78">
        <v>23382</v>
      </c>
      <c r="W57" s="78">
        <v>57010</v>
      </c>
      <c r="X57" s="78">
        <v>65100</v>
      </c>
      <c r="Y57" s="78">
        <v>1496.92</v>
      </c>
      <c r="Z57" s="78">
        <v>3278.4</v>
      </c>
      <c r="AA57" s="78">
        <v>0</v>
      </c>
      <c r="AB57" s="399">
        <v>0</v>
      </c>
      <c r="AC57" s="399">
        <v>0</v>
      </c>
      <c r="AD57" s="78">
        <v>14051</v>
      </c>
      <c r="AE57" s="78">
        <v>14051</v>
      </c>
      <c r="AF57" s="78">
        <v>2128</v>
      </c>
      <c r="AG57" s="78">
        <v>0</v>
      </c>
      <c r="AH57" s="78">
        <v>273</v>
      </c>
      <c r="AI57" s="78">
        <v>113</v>
      </c>
      <c r="AJ57" s="78">
        <v>278.45999999999998</v>
      </c>
      <c r="AK57" s="78">
        <v>113</v>
      </c>
      <c r="AL57" s="78">
        <v>387</v>
      </c>
      <c r="AM57" s="78">
        <v>23155</v>
      </c>
      <c r="AN57" s="78">
        <v>23618.1</v>
      </c>
      <c r="AO57" s="78">
        <v>36</v>
      </c>
      <c r="AP57" s="78">
        <v>0</v>
      </c>
      <c r="AQ57" s="78">
        <v>0</v>
      </c>
      <c r="AR57" s="78">
        <v>5700</v>
      </c>
      <c r="AS57" s="78">
        <v>4545</v>
      </c>
      <c r="AT57" s="78">
        <v>3052</v>
      </c>
      <c r="AU57" s="400">
        <v>2.5566830000000001E-3</v>
      </c>
      <c r="AV57" s="400">
        <v>2.1632019999999999E-3</v>
      </c>
      <c r="AW57" s="78">
        <v>34269.4</v>
      </c>
      <c r="AX57" s="78">
        <v>0</v>
      </c>
      <c r="AY57" s="78">
        <v>5771</v>
      </c>
      <c r="AZ57" s="78">
        <v>19929.849496260598</v>
      </c>
      <c r="BA57" s="78">
        <v>10</v>
      </c>
      <c r="BB57" s="78">
        <v>10</v>
      </c>
      <c r="BC57" s="78">
        <v>5860</v>
      </c>
      <c r="BD57" s="78">
        <v>1</v>
      </c>
      <c r="BE57" s="78">
        <v>0</v>
      </c>
      <c r="BF57" s="78">
        <v>0</v>
      </c>
      <c r="BG57" s="78">
        <v>0</v>
      </c>
      <c r="BH57" s="78">
        <v>0</v>
      </c>
      <c r="BI57" s="78">
        <v>0</v>
      </c>
      <c r="BJ57" s="78">
        <v>0</v>
      </c>
      <c r="BK57" s="78">
        <v>0</v>
      </c>
      <c r="BL57" s="78">
        <v>0</v>
      </c>
      <c r="BM57" s="78">
        <v>1074.828</v>
      </c>
      <c r="BN57" s="78">
        <v>222</v>
      </c>
      <c r="BO57" s="78">
        <v>92</v>
      </c>
      <c r="BP57" s="78">
        <v>13065.08</v>
      </c>
      <c r="BQ57" s="78">
        <v>3568.88</v>
      </c>
      <c r="BR57" s="78">
        <v>571.22529466357298</v>
      </c>
      <c r="BS57" s="78">
        <v>568</v>
      </c>
      <c r="BT57" s="78">
        <v>204.666666666667</v>
      </c>
      <c r="BU57" s="78">
        <v>184</v>
      </c>
      <c r="BV57" s="78">
        <v>2699.0000000000032</v>
      </c>
      <c r="BW57" s="78">
        <v>1009</v>
      </c>
      <c r="BX57" s="78">
        <v>7382.8342864485803</v>
      </c>
      <c r="BY57" s="402">
        <v>1.5760000000000001</v>
      </c>
      <c r="BZ57" s="78">
        <v>45146</v>
      </c>
      <c r="CA57" s="78">
        <v>5339</v>
      </c>
      <c r="CB57" s="78">
        <v>1067</v>
      </c>
      <c r="CC57" s="78">
        <v>1062</v>
      </c>
      <c r="CD57" s="78">
        <v>1031</v>
      </c>
      <c r="CE57" s="78">
        <v>516</v>
      </c>
      <c r="CF57" s="78">
        <v>650.36650831353904</v>
      </c>
      <c r="CG57" s="78">
        <v>435.96652990714801</v>
      </c>
      <c r="CH57" s="78">
        <v>144.92403368602899</v>
      </c>
      <c r="CI57" s="78">
        <v>1761.5663999999999</v>
      </c>
      <c r="CJ57" s="78">
        <v>1180.848</v>
      </c>
      <c r="CK57" s="78">
        <v>392.5376</v>
      </c>
      <c r="CL57" s="78">
        <v>67719</v>
      </c>
    </row>
    <row r="58" spans="1:90" x14ac:dyDescent="0.35">
      <c r="A58" s="72">
        <v>168</v>
      </c>
      <c r="B58" s="72" t="s">
        <v>191</v>
      </c>
      <c r="C58" s="72">
        <v>4</v>
      </c>
      <c r="D58" s="78">
        <v>2278000000</v>
      </c>
      <c r="E58" s="78">
        <v>235900000</v>
      </c>
      <c r="F58" s="78">
        <v>266000000</v>
      </c>
      <c r="G58" s="78">
        <v>23084</v>
      </c>
      <c r="H58" s="78">
        <v>3</v>
      </c>
      <c r="I58" s="78">
        <v>266</v>
      </c>
      <c r="J58" s="78">
        <v>4234</v>
      </c>
      <c r="K58" s="78">
        <v>5649</v>
      </c>
      <c r="L58" s="78">
        <v>1895</v>
      </c>
      <c r="M58" s="78">
        <v>2943</v>
      </c>
      <c r="N58" s="78">
        <v>1912.2</v>
      </c>
      <c r="O58" s="78">
        <v>268</v>
      </c>
      <c r="P58" s="78">
        <v>61</v>
      </c>
      <c r="Q58" s="78">
        <v>1760</v>
      </c>
      <c r="R58" s="78">
        <v>2655</v>
      </c>
      <c r="S58" s="78">
        <v>495</v>
      </c>
      <c r="T58" s="78">
        <v>0</v>
      </c>
      <c r="U58" s="78">
        <v>594</v>
      </c>
      <c r="V58" s="78">
        <v>10117</v>
      </c>
      <c r="W58" s="78">
        <v>18720</v>
      </c>
      <c r="X58" s="78">
        <v>7100</v>
      </c>
      <c r="Y58" s="78">
        <v>86.5</v>
      </c>
      <c r="Z58" s="78">
        <v>420.8</v>
      </c>
      <c r="AA58" s="78">
        <v>0</v>
      </c>
      <c r="AB58" s="399">
        <v>0</v>
      </c>
      <c r="AC58" s="399">
        <v>0</v>
      </c>
      <c r="AD58" s="78">
        <v>9875</v>
      </c>
      <c r="AE58" s="78">
        <v>9875</v>
      </c>
      <c r="AF58" s="78">
        <v>87</v>
      </c>
      <c r="AG58" s="78">
        <v>0</v>
      </c>
      <c r="AH58" s="78">
        <v>121</v>
      </c>
      <c r="AI58" s="78">
        <v>71</v>
      </c>
      <c r="AJ58" s="78">
        <v>121</v>
      </c>
      <c r="AK58" s="78">
        <v>71</v>
      </c>
      <c r="AL58" s="78">
        <v>193</v>
      </c>
      <c r="AM58" s="78">
        <v>10308</v>
      </c>
      <c r="AN58" s="78">
        <v>10308</v>
      </c>
      <c r="AO58" s="78">
        <v>0</v>
      </c>
      <c r="AP58" s="78">
        <v>0</v>
      </c>
      <c r="AQ58" s="78">
        <v>0</v>
      </c>
      <c r="AR58" s="78">
        <v>0</v>
      </c>
      <c r="AS58" s="78">
        <v>0</v>
      </c>
      <c r="AT58" s="78">
        <v>0</v>
      </c>
      <c r="AU58" s="400">
        <v>3.5065999999999998E-4</v>
      </c>
      <c r="AV58" s="400">
        <v>2.22866E-4</v>
      </c>
      <c r="AW58" s="78">
        <v>7772.232</v>
      </c>
      <c r="AX58" s="78">
        <v>0</v>
      </c>
      <c r="AY58" s="78">
        <v>1461</v>
      </c>
      <c r="AZ58" s="78">
        <v>3385.4370608311601</v>
      </c>
      <c r="BA58" s="78">
        <v>7</v>
      </c>
      <c r="BB58" s="78">
        <v>7</v>
      </c>
      <c r="BC58" s="78">
        <v>2360</v>
      </c>
      <c r="BD58" s="78">
        <v>1</v>
      </c>
      <c r="BE58" s="78">
        <v>0</v>
      </c>
      <c r="BF58" s="78">
        <v>0</v>
      </c>
      <c r="BG58" s="78">
        <v>0</v>
      </c>
      <c r="BH58" s="78">
        <v>0</v>
      </c>
      <c r="BI58" s="78">
        <v>0</v>
      </c>
      <c r="BJ58" s="78">
        <v>0</v>
      </c>
      <c r="BK58" s="78">
        <v>0</v>
      </c>
      <c r="BL58" s="78">
        <v>0</v>
      </c>
      <c r="BM58" s="78">
        <v>431.86799999999999</v>
      </c>
      <c r="BN58" s="78">
        <v>86</v>
      </c>
      <c r="BO58" s="78">
        <v>19</v>
      </c>
      <c r="BP58" s="78">
        <v>5860.88</v>
      </c>
      <c r="BQ58" s="78">
        <v>1406.4</v>
      </c>
      <c r="BR58" s="78">
        <v>80.831237418254204</v>
      </c>
      <c r="BS58" s="78">
        <v>245</v>
      </c>
      <c r="BT58" s="78">
        <v>90.3333333333333</v>
      </c>
      <c r="BU58" s="78">
        <v>79</v>
      </c>
      <c r="BV58" s="78">
        <v>1492</v>
      </c>
      <c r="BW58" s="78">
        <v>546</v>
      </c>
      <c r="BX58" s="78">
        <v>4236.4102132121598</v>
      </c>
      <c r="BY58" s="402">
        <v>0.49399999999999999</v>
      </c>
      <c r="BZ58" s="78">
        <v>17435</v>
      </c>
      <c r="CA58" s="78">
        <v>3238</v>
      </c>
      <c r="CB58" s="78">
        <v>516</v>
      </c>
      <c r="CC58" s="78">
        <v>509</v>
      </c>
      <c r="CD58" s="78">
        <v>563</v>
      </c>
      <c r="CE58" s="78">
        <v>254</v>
      </c>
      <c r="CF58" s="78">
        <v>355.05925494761402</v>
      </c>
      <c r="CG58" s="78">
        <v>237.077182770664</v>
      </c>
      <c r="CH58" s="78">
        <v>68.822875436554099</v>
      </c>
      <c r="CI58" s="78">
        <v>971.16359999999997</v>
      </c>
      <c r="CJ58" s="78">
        <v>648.45719999999994</v>
      </c>
      <c r="CK58" s="78">
        <v>188.24539999999999</v>
      </c>
      <c r="CL58" s="78">
        <v>111519</v>
      </c>
    </row>
    <row r="59" spans="1:90" x14ac:dyDescent="0.35">
      <c r="A59" s="72">
        <v>173</v>
      </c>
      <c r="B59" s="72" t="s">
        <v>229</v>
      </c>
      <c r="C59" s="72">
        <v>4</v>
      </c>
      <c r="D59" s="78">
        <v>3294000000</v>
      </c>
      <c r="E59" s="78">
        <v>513100000</v>
      </c>
      <c r="F59" s="78">
        <v>530600000</v>
      </c>
      <c r="G59" s="78">
        <v>31741</v>
      </c>
      <c r="H59" s="78">
        <v>1</v>
      </c>
      <c r="I59" s="78">
        <v>530.6</v>
      </c>
      <c r="J59" s="78">
        <v>6040</v>
      </c>
      <c r="K59" s="78">
        <v>7683</v>
      </c>
      <c r="L59" s="78">
        <v>2654</v>
      </c>
      <c r="M59" s="78">
        <v>4524</v>
      </c>
      <c r="N59" s="78">
        <v>3042.1</v>
      </c>
      <c r="O59" s="78">
        <v>498.33333333333297</v>
      </c>
      <c r="P59" s="78">
        <v>65</v>
      </c>
      <c r="Q59" s="78">
        <v>2270.3333333333298</v>
      </c>
      <c r="R59" s="78">
        <v>4959</v>
      </c>
      <c r="S59" s="78">
        <v>1545</v>
      </c>
      <c r="T59" s="78">
        <v>0</v>
      </c>
      <c r="U59" s="78">
        <v>977</v>
      </c>
      <c r="V59" s="78">
        <v>14613</v>
      </c>
      <c r="W59" s="78">
        <v>33170</v>
      </c>
      <c r="X59" s="78">
        <v>29850</v>
      </c>
      <c r="Y59" s="78">
        <v>857.34</v>
      </c>
      <c r="Z59" s="78">
        <v>2918.4</v>
      </c>
      <c r="AA59" s="78">
        <v>0</v>
      </c>
      <c r="AB59" s="399">
        <v>0</v>
      </c>
      <c r="AC59" s="399">
        <v>0</v>
      </c>
      <c r="AD59" s="78">
        <v>2155</v>
      </c>
      <c r="AE59" s="78">
        <v>2155</v>
      </c>
      <c r="AF59" s="78">
        <v>40</v>
      </c>
      <c r="AG59" s="78">
        <v>0</v>
      </c>
      <c r="AH59" s="78">
        <v>216</v>
      </c>
      <c r="AI59" s="78">
        <v>21</v>
      </c>
      <c r="AJ59" s="78">
        <v>216</v>
      </c>
      <c r="AK59" s="78">
        <v>21</v>
      </c>
      <c r="AL59" s="78">
        <v>237</v>
      </c>
      <c r="AM59" s="78">
        <v>14819</v>
      </c>
      <c r="AN59" s="78">
        <v>14819</v>
      </c>
      <c r="AO59" s="78">
        <v>8</v>
      </c>
      <c r="AP59" s="78">
        <v>0</v>
      </c>
      <c r="AQ59" s="78">
        <v>0</v>
      </c>
      <c r="AR59" s="78">
        <v>0</v>
      </c>
      <c r="AS59" s="78">
        <v>2091</v>
      </c>
      <c r="AT59" s="78">
        <v>2091</v>
      </c>
      <c r="AU59" s="400">
        <v>6.3914199999999999E-4</v>
      </c>
      <c r="AV59" s="400">
        <v>7.6082799999999996E-4</v>
      </c>
      <c r="AW59" s="78">
        <v>21991.396000000001</v>
      </c>
      <c r="AX59" s="78">
        <v>0</v>
      </c>
      <c r="AY59" s="78">
        <v>328</v>
      </c>
      <c r="AZ59" s="78">
        <v>4743.0742596810896</v>
      </c>
      <c r="BA59" s="78">
        <v>3</v>
      </c>
      <c r="BB59" s="78">
        <v>3</v>
      </c>
      <c r="BC59" s="78">
        <v>3550</v>
      </c>
      <c r="BD59" s="78">
        <v>1</v>
      </c>
      <c r="BE59" s="78">
        <v>0</v>
      </c>
      <c r="BF59" s="78">
        <v>0</v>
      </c>
      <c r="BG59" s="78">
        <v>0</v>
      </c>
      <c r="BH59" s="78">
        <v>0</v>
      </c>
      <c r="BI59" s="78">
        <v>0</v>
      </c>
      <c r="BJ59" s="78">
        <v>0</v>
      </c>
      <c r="BK59" s="78">
        <v>0</v>
      </c>
      <c r="BL59" s="78">
        <v>0</v>
      </c>
      <c r="BM59" s="78">
        <v>634.20000000000005</v>
      </c>
      <c r="BN59" s="78">
        <v>102</v>
      </c>
      <c r="BO59" s="78">
        <v>79</v>
      </c>
      <c r="BP59" s="78">
        <v>9077.1200000000008</v>
      </c>
      <c r="BQ59" s="78">
        <v>2156.0500000000002</v>
      </c>
      <c r="BR59" s="78">
        <v>133.699195354625</v>
      </c>
      <c r="BS59" s="78">
        <v>375</v>
      </c>
      <c r="BT59" s="78">
        <v>135.333333333333</v>
      </c>
      <c r="BU59" s="78">
        <v>110.666666666667</v>
      </c>
      <c r="BV59" s="78">
        <v>1771.9999999999968</v>
      </c>
      <c r="BW59" s="78">
        <v>530</v>
      </c>
      <c r="BX59" s="78">
        <v>5650.0001287025598</v>
      </c>
      <c r="BY59" s="402">
        <v>0.99199999999999999</v>
      </c>
      <c r="BZ59" s="78">
        <v>24058</v>
      </c>
      <c r="CA59" s="78">
        <v>4165</v>
      </c>
      <c r="CB59" s="78">
        <v>864</v>
      </c>
      <c r="CC59" s="78">
        <v>901</v>
      </c>
      <c r="CD59" s="78">
        <v>866</v>
      </c>
      <c r="CE59" s="78">
        <v>451</v>
      </c>
      <c r="CF59" s="78">
        <v>530.86379647749504</v>
      </c>
      <c r="CG59" s="78">
        <v>373.616438356164</v>
      </c>
      <c r="CH59" s="78">
        <v>127.686497064579</v>
      </c>
      <c r="CI59" s="78">
        <v>1234.5563999999999</v>
      </c>
      <c r="CJ59" s="78">
        <v>868.86800000000005</v>
      </c>
      <c r="CK59" s="78">
        <v>296.94279999999998</v>
      </c>
      <c r="CL59" s="78">
        <v>40377</v>
      </c>
    </row>
    <row r="60" spans="1:90" x14ac:dyDescent="0.35">
      <c r="A60" s="72">
        <v>1773</v>
      </c>
      <c r="B60" s="72" t="s">
        <v>230</v>
      </c>
      <c r="C60" s="72">
        <v>4</v>
      </c>
      <c r="D60" s="78">
        <v>1954000000</v>
      </c>
      <c r="E60" s="78">
        <v>172550000</v>
      </c>
      <c r="F60" s="78">
        <v>214200000</v>
      </c>
      <c r="G60" s="78">
        <v>18496</v>
      </c>
      <c r="H60" s="78">
        <v>2</v>
      </c>
      <c r="I60" s="78">
        <v>214.2</v>
      </c>
      <c r="J60" s="78">
        <v>3452</v>
      </c>
      <c r="K60" s="78">
        <v>4163</v>
      </c>
      <c r="L60" s="78">
        <v>1325</v>
      </c>
      <c r="M60" s="78">
        <v>2136</v>
      </c>
      <c r="N60" s="78">
        <v>1321.9</v>
      </c>
      <c r="O60" s="78">
        <v>195</v>
      </c>
      <c r="P60" s="78">
        <v>21</v>
      </c>
      <c r="Q60" s="78">
        <v>1170</v>
      </c>
      <c r="R60" s="78">
        <v>2170</v>
      </c>
      <c r="S60" s="78">
        <v>390</v>
      </c>
      <c r="T60" s="78">
        <v>0</v>
      </c>
      <c r="U60" s="78">
        <v>452</v>
      </c>
      <c r="V60" s="78">
        <v>8118</v>
      </c>
      <c r="W60" s="78">
        <v>15540</v>
      </c>
      <c r="X60" s="78">
        <v>4040</v>
      </c>
      <c r="Y60" s="78">
        <v>0</v>
      </c>
      <c r="Z60" s="78">
        <v>301.60000000000002</v>
      </c>
      <c r="AA60" s="78">
        <v>0</v>
      </c>
      <c r="AB60" s="399">
        <v>0</v>
      </c>
      <c r="AC60" s="399">
        <v>0</v>
      </c>
      <c r="AD60" s="78">
        <v>11366</v>
      </c>
      <c r="AE60" s="78">
        <v>11366</v>
      </c>
      <c r="AF60" s="78">
        <v>471</v>
      </c>
      <c r="AG60" s="78">
        <v>0</v>
      </c>
      <c r="AH60" s="78">
        <v>85</v>
      </c>
      <c r="AI60" s="78">
        <v>94</v>
      </c>
      <c r="AJ60" s="78">
        <v>85</v>
      </c>
      <c r="AK60" s="78">
        <v>94</v>
      </c>
      <c r="AL60" s="78">
        <v>179</v>
      </c>
      <c r="AM60" s="78">
        <v>8141</v>
      </c>
      <c r="AN60" s="78">
        <v>8141</v>
      </c>
      <c r="AO60" s="78">
        <v>0</v>
      </c>
      <c r="AP60" s="78">
        <v>0</v>
      </c>
      <c r="AQ60" s="78">
        <v>0</v>
      </c>
      <c r="AR60" s="78">
        <v>0</v>
      </c>
      <c r="AS60" s="78">
        <v>526</v>
      </c>
      <c r="AT60" s="78">
        <v>0</v>
      </c>
      <c r="AU60" s="400">
        <v>3.7635300000000001E-4</v>
      </c>
      <c r="AV60" s="400">
        <v>1.6223E-4</v>
      </c>
      <c r="AW60" s="78">
        <v>3875.116</v>
      </c>
      <c r="AX60" s="78">
        <v>0</v>
      </c>
      <c r="AY60" s="78">
        <v>2919</v>
      </c>
      <c r="AZ60" s="78">
        <v>4561.1070372560598</v>
      </c>
      <c r="BA60" s="78">
        <v>8</v>
      </c>
      <c r="BB60" s="78">
        <v>8</v>
      </c>
      <c r="BC60" s="78">
        <v>2105</v>
      </c>
      <c r="BD60" s="78">
        <v>1</v>
      </c>
      <c r="BE60" s="78">
        <v>0</v>
      </c>
      <c r="BF60" s="78">
        <v>0</v>
      </c>
      <c r="BG60" s="78">
        <v>0</v>
      </c>
      <c r="BH60" s="78">
        <v>0</v>
      </c>
      <c r="BI60" s="78">
        <v>0</v>
      </c>
      <c r="BJ60" s="78">
        <v>0</v>
      </c>
      <c r="BK60" s="78">
        <v>0</v>
      </c>
      <c r="BL60" s="78">
        <v>0</v>
      </c>
      <c r="BM60" s="78">
        <v>265.80399999999997</v>
      </c>
      <c r="BN60" s="78">
        <v>32</v>
      </c>
      <c r="BO60" s="78">
        <v>27</v>
      </c>
      <c r="BP60" s="78">
        <v>5099.82</v>
      </c>
      <c r="BQ60" s="78">
        <v>1244.76</v>
      </c>
      <c r="BR60" s="78">
        <v>138.85493877550999</v>
      </c>
      <c r="BS60" s="78">
        <v>171</v>
      </c>
      <c r="BT60" s="78">
        <v>56.3333333333333</v>
      </c>
      <c r="BU60" s="78">
        <v>38.3333333333333</v>
      </c>
      <c r="BV60" s="78">
        <v>975</v>
      </c>
      <c r="BW60" s="78">
        <v>385</v>
      </c>
      <c r="BX60" s="78">
        <v>3236.3013604923499</v>
      </c>
      <c r="BY60" s="402">
        <v>0.25900000000000001</v>
      </c>
      <c r="BZ60" s="78">
        <v>14333</v>
      </c>
      <c r="CA60" s="78">
        <v>2380</v>
      </c>
      <c r="CB60" s="78">
        <v>458</v>
      </c>
      <c r="CC60" s="78">
        <v>423</v>
      </c>
      <c r="CD60" s="78">
        <v>387</v>
      </c>
      <c r="CE60" s="78">
        <v>200</v>
      </c>
      <c r="CF60" s="78">
        <v>234.63278467018799</v>
      </c>
      <c r="CG60" s="78">
        <v>142.890553985997</v>
      </c>
      <c r="CH60" s="78">
        <v>47.576059452155803</v>
      </c>
      <c r="CI60" s="78">
        <v>654.72950000000003</v>
      </c>
      <c r="CJ60" s="78">
        <v>398.72800000000001</v>
      </c>
      <c r="CK60" s="78">
        <v>132.75829999999999</v>
      </c>
      <c r="CL60" s="78">
        <v>41245</v>
      </c>
    </row>
    <row r="61" spans="1:90" x14ac:dyDescent="0.35">
      <c r="A61" s="72">
        <v>175</v>
      </c>
      <c r="B61" s="72" t="s">
        <v>231</v>
      </c>
      <c r="C61" s="72">
        <v>4</v>
      </c>
      <c r="D61" s="78">
        <v>1968400000</v>
      </c>
      <c r="E61" s="78">
        <v>376250000</v>
      </c>
      <c r="F61" s="78">
        <v>417550000</v>
      </c>
      <c r="G61" s="78">
        <v>18457</v>
      </c>
      <c r="H61" s="78">
        <v>1</v>
      </c>
      <c r="I61" s="78">
        <v>417.55</v>
      </c>
      <c r="J61" s="78">
        <v>3632</v>
      </c>
      <c r="K61" s="78">
        <v>4323</v>
      </c>
      <c r="L61" s="78">
        <v>1425</v>
      </c>
      <c r="M61" s="78">
        <v>2182</v>
      </c>
      <c r="N61" s="78">
        <v>1293.5</v>
      </c>
      <c r="O61" s="78">
        <v>209.333333333333</v>
      </c>
      <c r="P61" s="78">
        <v>52</v>
      </c>
      <c r="Q61" s="78">
        <v>1080.3333333333301</v>
      </c>
      <c r="R61" s="78">
        <v>2362</v>
      </c>
      <c r="S61" s="78">
        <v>160</v>
      </c>
      <c r="T61" s="78">
        <v>0</v>
      </c>
      <c r="U61" s="78">
        <v>354</v>
      </c>
      <c r="V61" s="78">
        <v>8058</v>
      </c>
      <c r="W61" s="78">
        <v>17830</v>
      </c>
      <c r="X61" s="78">
        <v>12450</v>
      </c>
      <c r="Y61" s="78">
        <v>1360.74</v>
      </c>
      <c r="Z61" s="78">
        <v>1065.5999999999999</v>
      </c>
      <c r="AA61" s="78">
        <v>0</v>
      </c>
      <c r="AB61" s="399">
        <v>0</v>
      </c>
      <c r="AC61" s="399">
        <v>316.69999999999993</v>
      </c>
      <c r="AD61" s="78">
        <v>17981</v>
      </c>
      <c r="AE61" s="78">
        <v>17981</v>
      </c>
      <c r="AF61" s="78">
        <v>220</v>
      </c>
      <c r="AG61" s="78">
        <v>0</v>
      </c>
      <c r="AH61" s="78">
        <v>105</v>
      </c>
      <c r="AI61" s="78">
        <v>125</v>
      </c>
      <c r="AJ61" s="78">
        <v>105</v>
      </c>
      <c r="AK61" s="78">
        <v>125</v>
      </c>
      <c r="AL61" s="78">
        <v>230</v>
      </c>
      <c r="AM61" s="78">
        <v>8885</v>
      </c>
      <c r="AN61" s="78">
        <v>8885</v>
      </c>
      <c r="AO61" s="78">
        <v>5</v>
      </c>
      <c r="AP61" s="78">
        <v>0</v>
      </c>
      <c r="AQ61" s="78">
        <v>0</v>
      </c>
      <c r="AR61" s="78">
        <v>0</v>
      </c>
      <c r="AS61" s="78">
        <v>0</v>
      </c>
      <c r="AT61" s="78">
        <v>0</v>
      </c>
      <c r="AU61" s="400">
        <v>2.7506699999999999E-4</v>
      </c>
      <c r="AV61" s="400">
        <v>1.7006200000000001E-4</v>
      </c>
      <c r="AW61" s="78">
        <v>4575.7749999999996</v>
      </c>
      <c r="AX61" s="78">
        <v>0</v>
      </c>
      <c r="AY61" s="78">
        <v>2629</v>
      </c>
      <c r="AZ61" s="78">
        <v>2665.9773089390701</v>
      </c>
      <c r="BA61" s="78">
        <v>14</v>
      </c>
      <c r="BB61" s="78">
        <v>14</v>
      </c>
      <c r="BC61" s="78">
        <v>2325</v>
      </c>
      <c r="BD61" s="78">
        <v>1</v>
      </c>
      <c r="BE61" s="78">
        <v>0</v>
      </c>
      <c r="BF61" s="78">
        <v>0</v>
      </c>
      <c r="BG61" s="78">
        <v>0</v>
      </c>
      <c r="BH61" s="78">
        <v>0</v>
      </c>
      <c r="BI61" s="78">
        <v>0</v>
      </c>
      <c r="BJ61" s="78">
        <v>0</v>
      </c>
      <c r="BK61" s="78">
        <v>0</v>
      </c>
      <c r="BL61" s="78">
        <v>0</v>
      </c>
      <c r="BM61" s="78">
        <v>290.56</v>
      </c>
      <c r="BN61" s="78">
        <v>79</v>
      </c>
      <c r="BO61" s="78">
        <v>28</v>
      </c>
      <c r="BP61" s="78">
        <v>5169.72</v>
      </c>
      <c r="BQ61" s="78">
        <v>1117.52</v>
      </c>
      <c r="BR61" s="78">
        <v>112.013499624343</v>
      </c>
      <c r="BS61" s="78">
        <v>140</v>
      </c>
      <c r="BT61" s="78">
        <v>57</v>
      </c>
      <c r="BU61" s="78">
        <v>36.6666666666667</v>
      </c>
      <c r="BV61" s="78">
        <v>870.99999999999704</v>
      </c>
      <c r="BW61" s="78">
        <v>339</v>
      </c>
      <c r="BX61" s="78">
        <v>2686.1769991801002</v>
      </c>
      <c r="BY61" s="402">
        <v>0.42899999999999999</v>
      </c>
      <c r="BZ61" s="78">
        <v>14134</v>
      </c>
      <c r="CA61" s="78">
        <v>2437</v>
      </c>
      <c r="CB61" s="78">
        <v>461</v>
      </c>
      <c r="CC61" s="78">
        <v>436</v>
      </c>
      <c r="CD61" s="78">
        <v>395</v>
      </c>
      <c r="CE61" s="78">
        <v>219</v>
      </c>
      <c r="CF61" s="78">
        <v>213.132695554305</v>
      </c>
      <c r="CG61" s="78">
        <v>136.41074845244799</v>
      </c>
      <c r="CH61" s="78">
        <v>46.004051772650499</v>
      </c>
      <c r="CI61" s="78">
        <v>669.19439999999997</v>
      </c>
      <c r="CJ61" s="78">
        <v>428.30270000000002</v>
      </c>
      <c r="CK61" s="78">
        <v>144.4436</v>
      </c>
      <c r="CL61" s="78">
        <v>0</v>
      </c>
    </row>
    <row r="62" spans="1:90" x14ac:dyDescent="0.35">
      <c r="A62" s="72">
        <v>177</v>
      </c>
      <c r="B62" s="72" t="s">
        <v>249</v>
      </c>
      <c r="C62" s="72">
        <v>4</v>
      </c>
      <c r="D62" s="78">
        <v>4001600000</v>
      </c>
      <c r="E62" s="78">
        <v>551950000</v>
      </c>
      <c r="F62" s="78">
        <v>625800000</v>
      </c>
      <c r="G62" s="78">
        <v>38140</v>
      </c>
      <c r="H62" s="78">
        <v>4</v>
      </c>
      <c r="I62" s="78">
        <v>625.79999999999995</v>
      </c>
      <c r="J62" s="78">
        <v>7225</v>
      </c>
      <c r="K62" s="78">
        <v>8788</v>
      </c>
      <c r="L62" s="78">
        <v>2814</v>
      </c>
      <c r="M62" s="78">
        <v>4591</v>
      </c>
      <c r="N62" s="78">
        <v>2911.8999999999996</v>
      </c>
      <c r="O62" s="78">
        <v>377</v>
      </c>
      <c r="P62" s="78">
        <v>22</v>
      </c>
      <c r="Q62" s="78">
        <v>2115</v>
      </c>
      <c r="R62" s="78">
        <v>4687</v>
      </c>
      <c r="S62" s="78">
        <v>675</v>
      </c>
      <c r="T62" s="78">
        <v>0</v>
      </c>
      <c r="U62" s="78">
        <v>831</v>
      </c>
      <c r="V62" s="78">
        <v>16617</v>
      </c>
      <c r="W62" s="78">
        <v>35080</v>
      </c>
      <c r="X62" s="78">
        <v>21860</v>
      </c>
      <c r="Y62" s="78">
        <v>881.1</v>
      </c>
      <c r="Z62" s="78">
        <v>1864</v>
      </c>
      <c r="AA62" s="78">
        <v>0</v>
      </c>
      <c r="AB62" s="399">
        <v>0</v>
      </c>
      <c r="AC62" s="399">
        <v>0</v>
      </c>
      <c r="AD62" s="78">
        <v>17094</v>
      </c>
      <c r="AE62" s="78">
        <v>17094</v>
      </c>
      <c r="AF62" s="78">
        <v>135</v>
      </c>
      <c r="AG62" s="78">
        <v>0</v>
      </c>
      <c r="AH62" s="78">
        <v>212</v>
      </c>
      <c r="AI62" s="78">
        <v>187</v>
      </c>
      <c r="AJ62" s="78">
        <v>212</v>
      </c>
      <c r="AK62" s="78">
        <v>187</v>
      </c>
      <c r="AL62" s="78">
        <v>400</v>
      </c>
      <c r="AM62" s="78">
        <v>16791</v>
      </c>
      <c r="AN62" s="78">
        <v>16791</v>
      </c>
      <c r="AO62" s="78">
        <v>0</v>
      </c>
      <c r="AP62" s="78">
        <v>0</v>
      </c>
      <c r="AQ62" s="78">
        <v>0</v>
      </c>
      <c r="AR62" s="78">
        <v>0</v>
      </c>
      <c r="AS62" s="78">
        <v>532</v>
      </c>
      <c r="AT62" s="78">
        <v>0</v>
      </c>
      <c r="AU62" s="400">
        <v>4.2256800000000001E-4</v>
      </c>
      <c r="AV62" s="400">
        <v>2.2431099999999999E-4</v>
      </c>
      <c r="AW62" s="78">
        <v>11199.597</v>
      </c>
      <c r="AX62" s="78">
        <v>0</v>
      </c>
      <c r="AY62" s="78">
        <v>2223</v>
      </c>
      <c r="AZ62" s="78">
        <v>4921.0760926345101</v>
      </c>
      <c r="BA62" s="78">
        <v>14</v>
      </c>
      <c r="BB62" s="78">
        <v>14</v>
      </c>
      <c r="BC62" s="78">
        <v>4195</v>
      </c>
      <c r="BD62" s="78">
        <v>1</v>
      </c>
      <c r="BE62" s="78">
        <v>0</v>
      </c>
      <c r="BF62" s="78">
        <v>0</v>
      </c>
      <c r="BG62" s="78">
        <v>0</v>
      </c>
      <c r="BH62" s="78">
        <v>0</v>
      </c>
      <c r="BI62" s="78">
        <v>0</v>
      </c>
      <c r="BJ62" s="78">
        <v>0</v>
      </c>
      <c r="BK62" s="78">
        <v>0</v>
      </c>
      <c r="BL62" s="78">
        <v>0</v>
      </c>
      <c r="BM62" s="78">
        <v>556.32500000000005</v>
      </c>
      <c r="BN62" s="78">
        <v>62</v>
      </c>
      <c r="BO62" s="78">
        <v>71</v>
      </c>
      <c r="BP62" s="78">
        <v>10547.46</v>
      </c>
      <c r="BQ62" s="78">
        <v>2455.6799999999998</v>
      </c>
      <c r="BR62" s="78">
        <v>240.69117184771201</v>
      </c>
      <c r="BS62" s="78">
        <v>342</v>
      </c>
      <c r="BT62" s="78">
        <v>110.666666666667</v>
      </c>
      <c r="BU62" s="78">
        <v>88.6666666666667</v>
      </c>
      <c r="BV62" s="78">
        <v>1738</v>
      </c>
      <c r="BW62" s="78">
        <v>570</v>
      </c>
      <c r="BX62" s="78">
        <v>6246.1833029991303</v>
      </c>
      <c r="BY62" s="402">
        <v>0.49099999999999999</v>
      </c>
      <c r="BZ62" s="78">
        <v>29352</v>
      </c>
      <c r="CA62" s="78">
        <v>4906</v>
      </c>
      <c r="CB62" s="78">
        <v>1068</v>
      </c>
      <c r="CC62" s="78">
        <v>834</v>
      </c>
      <c r="CD62" s="78">
        <v>834</v>
      </c>
      <c r="CE62" s="78">
        <v>524</v>
      </c>
      <c r="CF62" s="78">
        <v>511.76326007980498</v>
      </c>
      <c r="CG62" s="78">
        <v>323.94909177535601</v>
      </c>
      <c r="CH62" s="78">
        <v>129.198112083854</v>
      </c>
      <c r="CI62" s="78">
        <v>1360.7061000000001</v>
      </c>
      <c r="CJ62" s="78">
        <v>861.33479999999997</v>
      </c>
      <c r="CK62" s="78">
        <v>343.51949999999999</v>
      </c>
      <c r="CL62" s="78">
        <v>55646</v>
      </c>
    </row>
    <row r="63" spans="1:90" x14ac:dyDescent="0.35">
      <c r="A63" s="72">
        <v>1742</v>
      </c>
      <c r="B63" s="72" t="s">
        <v>257</v>
      </c>
      <c r="C63" s="72">
        <v>4</v>
      </c>
      <c r="D63" s="78">
        <v>3770800000</v>
      </c>
      <c r="E63" s="78">
        <v>570150000</v>
      </c>
      <c r="F63" s="78">
        <v>603400000</v>
      </c>
      <c r="G63" s="78">
        <v>38231</v>
      </c>
      <c r="H63" s="78">
        <v>2</v>
      </c>
      <c r="I63" s="78">
        <v>603.4</v>
      </c>
      <c r="J63" s="78">
        <v>9011</v>
      </c>
      <c r="K63" s="78">
        <v>7397</v>
      </c>
      <c r="L63" s="78">
        <v>2549</v>
      </c>
      <c r="M63" s="78">
        <v>3882</v>
      </c>
      <c r="N63" s="78">
        <v>2297.3999999999996</v>
      </c>
      <c r="O63" s="78">
        <v>354.33333333333297</v>
      </c>
      <c r="P63" s="78">
        <v>64</v>
      </c>
      <c r="Q63" s="78">
        <v>1917.3333333333301</v>
      </c>
      <c r="R63" s="78">
        <v>3795</v>
      </c>
      <c r="S63" s="78">
        <v>1270</v>
      </c>
      <c r="T63" s="78">
        <v>0</v>
      </c>
      <c r="U63" s="78">
        <v>756</v>
      </c>
      <c r="V63" s="78">
        <v>14929</v>
      </c>
      <c r="W63" s="78">
        <v>39690</v>
      </c>
      <c r="X63" s="78">
        <v>34560</v>
      </c>
      <c r="Y63" s="78">
        <v>544.5</v>
      </c>
      <c r="Z63" s="78">
        <v>2783.2</v>
      </c>
      <c r="AA63" s="78">
        <v>0</v>
      </c>
      <c r="AB63" s="399">
        <v>0</v>
      </c>
      <c r="AC63" s="399">
        <v>0</v>
      </c>
      <c r="AD63" s="78">
        <v>9410</v>
      </c>
      <c r="AE63" s="78">
        <v>9410</v>
      </c>
      <c r="AF63" s="78">
        <v>27</v>
      </c>
      <c r="AG63" s="78">
        <v>0</v>
      </c>
      <c r="AH63" s="78">
        <v>242</v>
      </c>
      <c r="AI63" s="78">
        <v>73</v>
      </c>
      <c r="AJ63" s="78">
        <v>242</v>
      </c>
      <c r="AK63" s="78">
        <v>73</v>
      </c>
      <c r="AL63" s="78">
        <v>315</v>
      </c>
      <c r="AM63" s="78">
        <v>15846</v>
      </c>
      <c r="AN63" s="78">
        <v>15846</v>
      </c>
      <c r="AO63" s="78">
        <v>8</v>
      </c>
      <c r="AP63" s="78">
        <v>0</v>
      </c>
      <c r="AQ63" s="78">
        <v>0</v>
      </c>
      <c r="AR63" s="78">
        <v>0</v>
      </c>
      <c r="AS63" s="78">
        <v>1782</v>
      </c>
      <c r="AT63" s="78">
        <v>1782</v>
      </c>
      <c r="AU63" s="400">
        <v>4.26606E-4</v>
      </c>
      <c r="AV63" s="400">
        <v>2.66956E-4</v>
      </c>
      <c r="AW63" s="78">
        <v>17383.062000000002</v>
      </c>
      <c r="AX63" s="78">
        <v>0</v>
      </c>
      <c r="AY63" s="78">
        <v>938</v>
      </c>
      <c r="AZ63" s="78">
        <v>3800.0082653385598</v>
      </c>
      <c r="BA63" s="78">
        <v>8</v>
      </c>
      <c r="BB63" s="78">
        <v>8</v>
      </c>
      <c r="BC63" s="78">
        <v>4025</v>
      </c>
      <c r="BD63" s="78">
        <v>1</v>
      </c>
      <c r="BE63" s="78">
        <v>0</v>
      </c>
      <c r="BF63" s="78">
        <v>0</v>
      </c>
      <c r="BG63" s="78">
        <v>0</v>
      </c>
      <c r="BH63" s="78">
        <v>0</v>
      </c>
      <c r="BI63" s="78">
        <v>0</v>
      </c>
      <c r="BJ63" s="78">
        <v>0</v>
      </c>
      <c r="BK63" s="78">
        <v>0</v>
      </c>
      <c r="BL63" s="78">
        <v>0</v>
      </c>
      <c r="BM63" s="78">
        <v>540.66</v>
      </c>
      <c r="BN63" s="78">
        <v>138</v>
      </c>
      <c r="BO63" s="78">
        <v>40</v>
      </c>
      <c r="BP63" s="78">
        <v>9399.65</v>
      </c>
      <c r="BQ63" s="78">
        <v>2629.71</v>
      </c>
      <c r="BR63" s="78">
        <v>390.01646254229098</v>
      </c>
      <c r="BS63" s="78">
        <v>303</v>
      </c>
      <c r="BT63" s="78">
        <v>124.333333333333</v>
      </c>
      <c r="BU63" s="78">
        <v>78</v>
      </c>
      <c r="BV63" s="78">
        <v>1562.999999999997</v>
      </c>
      <c r="BW63" s="78">
        <v>498</v>
      </c>
      <c r="BX63" s="78">
        <v>5732.56852999686</v>
      </c>
      <c r="BY63" s="402">
        <v>0.46899999999999997</v>
      </c>
      <c r="BZ63" s="78">
        <v>30834</v>
      </c>
      <c r="CA63" s="78">
        <v>3873</v>
      </c>
      <c r="CB63" s="78">
        <v>975</v>
      </c>
      <c r="CC63" s="78">
        <v>645</v>
      </c>
      <c r="CD63" s="78">
        <v>774</v>
      </c>
      <c r="CE63" s="78">
        <v>467</v>
      </c>
      <c r="CF63" s="78">
        <v>336.79541840211999</v>
      </c>
      <c r="CG63" s="78">
        <v>248.35581219235101</v>
      </c>
      <c r="CH63" s="78">
        <v>98.008481635744005</v>
      </c>
      <c r="CI63" s="78">
        <v>1109.0001999999999</v>
      </c>
      <c r="CJ63" s="78">
        <v>817.78620000000001</v>
      </c>
      <c r="CK63" s="78">
        <v>322.72239999999999</v>
      </c>
      <c r="CL63" s="78">
        <v>18888</v>
      </c>
    </row>
    <row r="64" spans="1:90" x14ac:dyDescent="0.35">
      <c r="A64" s="72">
        <v>180</v>
      </c>
      <c r="B64" s="72" t="s">
        <v>283</v>
      </c>
      <c r="C64" s="72">
        <v>4</v>
      </c>
      <c r="D64" s="78">
        <v>1471600000</v>
      </c>
      <c r="E64" s="78">
        <v>316050000</v>
      </c>
      <c r="F64" s="78">
        <v>366800000</v>
      </c>
      <c r="G64" s="78">
        <v>17282</v>
      </c>
      <c r="H64" s="78">
        <v>2</v>
      </c>
      <c r="I64" s="78">
        <v>366.8</v>
      </c>
      <c r="J64" s="78">
        <v>4615</v>
      </c>
      <c r="K64" s="78">
        <v>2741</v>
      </c>
      <c r="L64" s="78">
        <v>920</v>
      </c>
      <c r="M64" s="78">
        <v>1416</v>
      </c>
      <c r="N64" s="78">
        <v>779.9</v>
      </c>
      <c r="O64" s="78">
        <v>121</v>
      </c>
      <c r="P64" s="78">
        <v>23</v>
      </c>
      <c r="Q64" s="78">
        <v>623</v>
      </c>
      <c r="R64" s="78">
        <v>1499</v>
      </c>
      <c r="S64" s="78">
        <v>140</v>
      </c>
      <c r="T64" s="78">
        <v>0</v>
      </c>
      <c r="U64" s="78">
        <v>278</v>
      </c>
      <c r="V64" s="78">
        <v>6144</v>
      </c>
      <c r="W64" s="78">
        <v>16250</v>
      </c>
      <c r="X64" s="78">
        <v>10300</v>
      </c>
      <c r="Y64" s="78">
        <v>0</v>
      </c>
      <c r="Z64" s="78">
        <v>318.39999999999998</v>
      </c>
      <c r="AA64" s="78">
        <v>0</v>
      </c>
      <c r="AB64" s="399">
        <v>0</v>
      </c>
      <c r="AC64" s="399">
        <v>0</v>
      </c>
      <c r="AD64" s="78">
        <v>13399</v>
      </c>
      <c r="AE64" s="78">
        <v>13399</v>
      </c>
      <c r="AF64" s="78">
        <v>170</v>
      </c>
      <c r="AG64" s="78">
        <v>0</v>
      </c>
      <c r="AH64" s="78">
        <v>128</v>
      </c>
      <c r="AI64" s="78">
        <v>88</v>
      </c>
      <c r="AJ64" s="78">
        <v>128</v>
      </c>
      <c r="AK64" s="78">
        <v>88</v>
      </c>
      <c r="AL64" s="78">
        <v>215</v>
      </c>
      <c r="AM64" s="78">
        <v>6361</v>
      </c>
      <c r="AN64" s="78">
        <v>6361</v>
      </c>
      <c r="AO64" s="78">
        <v>0</v>
      </c>
      <c r="AP64" s="78">
        <v>0</v>
      </c>
      <c r="AQ64" s="78">
        <v>0</v>
      </c>
      <c r="AR64" s="78">
        <v>0</v>
      </c>
      <c r="AS64" s="78">
        <v>660</v>
      </c>
      <c r="AT64" s="78">
        <v>0</v>
      </c>
      <c r="AU64" s="400">
        <v>3.6141800000000001E-4</v>
      </c>
      <c r="AV64" s="400">
        <v>4.5343000000000003E-5</v>
      </c>
      <c r="AW64" s="78">
        <v>2283.5990000000002</v>
      </c>
      <c r="AX64" s="78">
        <v>0</v>
      </c>
      <c r="AY64" s="78">
        <v>2576</v>
      </c>
      <c r="AZ64" s="78">
        <v>3280.8926228904102</v>
      </c>
      <c r="BA64" s="78">
        <v>6</v>
      </c>
      <c r="BB64" s="78">
        <v>6</v>
      </c>
      <c r="BC64" s="78">
        <v>2165</v>
      </c>
      <c r="BD64" s="78">
        <v>1</v>
      </c>
      <c r="BE64" s="78">
        <v>0</v>
      </c>
      <c r="BF64" s="78">
        <v>0</v>
      </c>
      <c r="BG64" s="78">
        <v>0</v>
      </c>
      <c r="BH64" s="78">
        <v>0</v>
      </c>
      <c r="BI64" s="78">
        <v>0</v>
      </c>
      <c r="BJ64" s="78">
        <v>0</v>
      </c>
      <c r="BK64" s="78">
        <v>0</v>
      </c>
      <c r="BL64" s="78">
        <v>0</v>
      </c>
      <c r="BM64" s="78">
        <v>304.58999999999997</v>
      </c>
      <c r="BN64" s="78">
        <v>229</v>
      </c>
      <c r="BO64" s="78">
        <v>32</v>
      </c>
      <c r="BP64" s="78">
        <v>3872.64</v>
      </c>
      <c r="BQ64" s="78">
        <v>1123.3599999999999</v>
      </c>
      <c r="BR64" s="78">
        <v>90.819347364697606</v>
      </c>
      <c r="BS64" s="78">
        <v>105</v>
      </c>
      <c r="BT64" s="78">
        <v>40.6666666666667</v>
      </c>
      <c r="BU64" s="78">
        <v>23.6666666666667</v>
      </c>
      <c r="BV64" s="78">
        <v>502</v>
      </c>
      <c r="BW64" s="78">
        <v>178</v>
      </c>
      <c r="BX64" s="78">
        <v>1241.1882138925901</v>
      </c>
      <c r="BY64" s="402">
        <v>8.5000000000000006E-2</v>
      </c>
      <c r="BZ64" s="78">
        <v>14541</v>
      </c>
      <c r="CA64" s="78">
        <v>1550</v>
      </c>
      <c r="CB64" s="78">
        <v>271</v>
      </c>
      <c r="CC64" s="78">
        <v>219</v>
      </c>
      <c r="CD64" s="78">
        <v>274</v>
      </c>
      <c r="CE64" s="78">
        <v>144</v>
      </c>
      <c r="CF64" s="78">
        <v>110.713677094796</v>
      </c>
      <c r="CG64" s="78">
        <v>78.345558874390804</v>
      </c>
      <c r="CH64" s="78">
        <v>26.483005816695499</v>
      </c>
      <c r="CI64" s="78">
        <v>438.67739999999998</v>
      </c>
      <c r="CJ64" s="78">
        <v>310.42619999999999</v>
      </c>
      <c r="CK64" s="78">
        <v>104.9328</v>
      </c>
      <c r="CL64" s="78">
        <v>312</v>
      </c>
    </row>
    <row r="65" spans="1:90" x14ac:dyDescent="0.35">
      <c r="A65" s="72">
        <v>1708</v>
      </c>
      <c r="B65" s="72" t="s">
        <v>286</v>
      </c>
      <c r="C65" s="72">
        <v>4</v>
      </c>
      <c r="D65" s="78">
        <v>4357200000</v>
      </c>
      <c r="E65" s="78">
        <v>580650000</v>
      </c>
      <c r="F65" s="78">
        <v>649600000</v>
      </c>
      <c r="G65" s="78">
        <v>44741</v>
      </c>
      <c r="H65" s="78">
        <v>8</v>
      </c>
      <c r="I65" s="78">
        <v>649.6</v>
      </c>
      <c r="J65" s="78">
        <v>8356</v>
      </c>
      <c r="K65" s="78">
        <v>10349</v>
      </c>
      <c r="L65" s="78">
        <v>3466</v>
      </c>
      <c r="M65" s="78">
        <v>6495</v>
      </c>
      <c r="N65" s="78">
        <v>4363</v>
      </c>
      <c r="O65" s="78">
        <v>723.33333333333303</v>
      </c>
      <c r="P65" s="78">
        <v>154</v>
      </c>
      <c r="Q65" s="78">
        <v>2962.3333333333298</v>
      </c>
      <c r="R65" s="78">
        <v>6616</v>
      </c>
      <c r="S65" s="78">
        <v>830</v>
      </c>
      <c r="T65" s="78">
        <v>0</v>
      </c>
      <c r="U65" s="78">
        <v>1170</v>
      </c>
      <c r="V65" s="78">
        <v>20353</v>
      </c>
      <c r="W65" s="78">
        <v>42860</v>
      </c>
      <c r="X65" s="78">
        <v>28610</v>
      </c>
      <c r="Y65" s="78">
        <v>522.72</v>
      </c>
      <c r="Z65" s="78">
        <v>1310.4000000000001</v>
      </c>
      <c r="AA65" s="78">
        <v>0</v>
      </c>
      <c r="AB65" s="399">
        <v>0</v>
      </c>
      <c r="AC65" s="399">
        <v>0</v>
      </c>
      <c r="AD65" s="78">
        <v>28826</v>
      </c>
      <c r="AE65" s="78">
        <v>28826</v>
      </c>
      <c r="AF65" s="78">
        <v>3333</v>
      </c>
      <c r="AG65" s="78">
        <v>0</v>
      </c>
      <c r="AH65" s="78">
        <v>271</v>
      </c>
      <c r="AI65" s="78">
        <v>164</v>
      </c>
      <c r="AJ65" s="78">
        <v>271</v>
      </c>
      <c r="AK65" s="78">
        <v>164</v>
      </c>
      <c r="AL65" s="78">
        <v>435</v>
      </c>
      <c r="AM65" s="78">
        <v>21320</v>
      </c>
      <c r="AN65" s="78">
        <v>21320</v>
      </c>
      <c r="AO65" s="78">
        <v>27</v>
      </c>
      <c r="AP65" s="78">
        <v>0</v>
      </c>
      <c r="AQ65" s="78">
        <v>0</v>
      </c>
      <c r="AR65" s="78">
        <v>5750</v>
      </c>
      <c r="AS65" s="78">
        <v>1650</v>
      </c>
      <c r="AT65" s="78">
        <v>1650</v>
      </c>
      <c r="AU65" s="400">
        <v>1.4218099999999999E-3</v>
      </c>
      <c r="AV65" s="400">
        <v>8.3077599999999998E-4</v>
      </c>
      <c r="AW65" s="78">
        <v>12664.08</v>
      </c>
      <c r="AX65" s="78">
        <v>0</v>
      </c>
      <c r="AY65" s="78">
        <v>15688</v>
      </c>
      <c r="AZ65" s="78">
        <v>21867.565471563201</v>
      </c>
      <c r="BA65" s="78">
        <v>34</v>
      </c>
      <c r="BB65" s="78">
        <v>34</v>
      </c>
      <c r="BC65" s="78">
        <v>5675</v>
      </c>
      <c r="BD65" s="78">
        <v>1</v>
      </c>
      <c r="BE65" s="78">
        <v>0</v>
      </c>
      <c r="BF65" s="78">
        <v>0</v>
      </c>
      <c r="BG65" s="78">
        <v>0</v>
      </c>
      <c r="BH65" s="78">
        <v>0</v>
      </c>
      <c r="BI65" s="78">
        <v>0</v>
      </c>
      <c r="BJ65" s="78">
        <v>0</v>
      </c>
      <c r="BK65" s="78">
        <v>0</v>
      </c>
      <c r="BL65" s="78">
        <v>0</v>
      </c>
      <c r="BM65" s="78">
        <v>952.58399999999995</v>
      </c>
      <c r="BN65" s="78">
        <v>137</v>
      </c>
      <c r="BO65" s="78">
        <v>57</v>
      </c>
      <c r="BP65" s="78">
        <v>12090.81</v>
      </c>
      <c r="BQ65" s="78">
        <v>2579.25</v>
      </c>
      <c r="BR65" s="78">
        <v>344.61759229239902</v>
      </c>
      <c r="BS65" s="78">
        <v>448</v>
      </c>
      <c r="BT65" s="78">
        <v>196</v>
      </c>
      <c r="BU65" s="78">
        <v>156.333333333333</v>
      </c>
      <c r="BV65" s="78">
        <v>2238.9999999999968</v>
      </c>
      <c r="BW65" s="78">
        <v>671</v>
      </c>
      <c r="BX65" s="78">
        <v>8188.2861072145397</v>
      </c>
      <c r="BY65" s="402">
        <v>1.6160000000000001</v>
      </c>
      <c r="BZ65" s="78">
        <v>34392</v>
      </c>
      <c r="CA65" s="78">
        <v>5727</v>
      </c>
      <c r="CB65" s="78">
        <v>1156</v>
      </c>
      <c r="CC65" s="78">
        <v>1164</v>
      </c>
      <c r="CD65" s="78">
        <v>1133</v>
      </c>
      <c r="CE65" s="78">
        <v>581</v>
      </c>
      <c r="CF65" s="78">
        <v>732.00989681050703</v>
      </c>
      <c r="CG65" s="78">
        <v>487.87016885553498</v>
      </c>
      <c r="CH65" s="78">
        <v>166.37518761726099</v>
      </c>
      <c r="CI65" s="78">
        <v>1878.9981</v>
      </c>
      <c r="CJ65" s="78">
        <v>1252.3152</v>
      </c>
      <c r="CK65" s="78">
        <v>427.06889999999999</v>
      </c>
      <c r="CL65" s="78">
        <v>15876</v>
      </c>
    </row>
    <row r="66" spans="1:90" x14ac:dyDescent="0.35">
      <c r="A66" s="72">
        <v>183</v>
      </c>
      <c r="B66" s="72" t="s">
        <v>297</v>
      </c>
      <c r="C66" s="72">
        <v>4</v>
      </c>
      <c r="D66" s="78">
        <v>2145600000</v>
      </c>
      <c r="E66" s="78">
        <v>428400000</v>
      </c>
      <c r="F66" s="78">
        <v>437850000</v>
      </c>
      <c r="G66" s="78">
        <v>21364</v>
      </c>
      <c r="H66" s="78">
        <v>4</v>
      </c>
      <c r="I66" s="78">
        <v>437.85</v>
      </c>
      <c r="J66" s="78">
        <v>4191</v>
      </c>
      <c r="K66" s="78">
        <v>4353</v>
      </c>
      <c r="L66" s="78">
        <v>1356</v>
      </c>
      <c r="M66" s="78">
        <v>2126</v>
      </c>
      <c r="N66" s="78">
        <v>1241</v>
      </c>
      <c r="O66" s="78">
        <v>128.333333333333</v>
      </c>
      <c r="P66" s="78">
        <v>29</v>
      </c>
      <c r="Q66" s="78">
        <v>1036.3333333333301</v>
      </c>
      <c r="R66" s="78">
        <v>2149</v>
      </c>
      <c r="S66" s="78">
        <v>115</v>
      </c>
      <c r="T66" s="78">
        <v>0</v>
      </c>
      <c r="U66" s="78">
        <v>388</v>
      </c>
      <c r="V66" s="78">
        <v>8511</v>
      </c>
      <c r="W66" s="78">
        <v>15470</v>
      </c>
      <c r="X66" s="78">
        <v>2970</v>
      </c>
      <c r="Y66" s="78">
        <v>0</v>
      </c>
      <c r="Z66" s="78">
        <v>521.6</v>
      </c>
      <c r="AA66" s="78">
        <v>0</v>
      </c>
      <c r="AB66" s="399">
        <v>0</v>
      </c>
      <c r="AC66" s="399">
        <v>0</v>
      </c>
      <c r="AD66" s="78">
        <v>14703</v>
      </c>
      <c r="AE66" s="78">
        <v>14703</v>
      </c>
      <c r="AF66" s="78">
        <v>42</v>
      </c>
      <c r="AG66" s="78">
        <v>0</v>
      </c>
      <c r="AH66" s="78">
        <v>121</v>
      </c>
      <c r="AI66" s="78">
        <v>174</v>
      </c>
      <c r="AJ66" s="78">
        <v>121</v>
      </c>
      <c r="AK66" s="78">
        <v>174</v>
      </c>
      <c r="AL66" s="78">
        <v>295</v>
      </c>
      <c r="AM66" s="78">
        <v>8850</v>
      </c>
      <c r="AN66" s="78">
        <v>8850</v>
      </c>
      <c r="AO66" s="78">
        <v>0</v>
      </c>
      <c r="AP66" s="78">
        <v>0</v>
      </c>
      <c r="AQ66" s="78">
        <v>0</v>
      </c>
      <c r="AR66" s="78">
        <v>0</v>
      </c>
      <c r="AS66" s="78">
        <v>0</v>
      </c>
      <c r="AT66" s="78">
        <v>0</v>
      </c>
      <c r="AU66" s="400">
        <v>1.32812E-4</v>
      </c>
      <c r="AV66" s="400">
        <v>6.4517999999999995E-5</v>
      </c>
      <c r="AW66" s="78">
        <v>2610.75</v>
      </c>
      <c r="AX66" s="78">
        <v>0</v>
      </c>
      <c r="AY66" s="78">
        <v>1094</v>
      </c>
      <c r="AZ66" s="78">
        <v>1585.09433706341</v>
      </c>
      <c r="BA66" s="78">
        <v>11</v>
      </c>
      <c r="BB66" s="78">
        <v>11</v>
      </c>
      <c r="BC66" s="78">
        <v>2825</v>
      </c>
      <c r="BD66" s="78">
        <v>1</v>
      </c>
      <c r="BE66" s="78">
        <v>0</v>
      </c>
      <c r="BF66" s="78">
        <v>0</v>
      </c>
      <c r="BG66" s="78">
        <v>0</v>
      </c>
      <c r="BH66" s="78">
        <v>0</v>
      </c>
      <c r="BI66" s="78">
        <v>0</v>
      </c>
      <c r="BJ66" s="78">
        <v>0</v>
      </c>
      <c r="BK66" s="78">
        <v>0</v>
      </c>
      <c r="BL66" s="78">
        <v>0</v>
      </c>
      <c r="BM66" s="78">
        <v>226.31399999999999</v>
      </c>
      <c r="BN66" s="78">
        <v>36</v>
      </c>
      <c r="BO66" s="78">
        <v>21</v>
      </c>
      <c r="BP66" s="78">
        <v>5727</v>
      </c>
      <c r="BQ66" s="78">
        <v>1475.6</v>
      </c>
      <c r="BR66" s="78">
        <v>53.853027538726302</v>
      </c>
      <c r="BS66" s="78">
        <v>170</v>
      </c>
      <c r="BT66" s="78">
        <v>35.6666666666667</v>
      </c>
      <c r="BU66" s="78">
        <v>26.3333333333333</v>
      </c>
      <c r="BV66" s="78">
        <v>907.99999999999704</v>
      </c>
      <c r="BW66" s="78">
        <v>240</v>
      </c>
      <c r="BX66" s="78">
        <v>3186.5085057471301</v>
      </c>
      <c r="BY66" s="402">
        <v>0.108</v>
      </c>
      <c r="BZ66" s="78">
        <v>17011</v>
      </c>
      <c r="CA66" s="78">
        <v>2506</v>
      </c>
      <c r="CB66" s="78">
        <v>491</v>
      </c>
      <c r="CC66" s="78">
        <v>353</v>
      </c>
      <c r="CD66" s="78">
        <v>473</v>
      </c>
      <c r="CE66" s="78">
        <v>259</v>
      </c>
      <c r="CF66" s="78">
        <v>209.77807909604499</v>
      </c>
      <c r="CG66" s="78">
        <v>131.95265536723201</v>
      </c>
      <c r="CH66" s="78">
        <v>50.4813559322034</v>
      </c>
      <c r="CI66" s="78">
        <v>666.01919999999996</v>
      </c>
      <c r="CJ66" s="78">
        <v>418.9332</v>
      </c>
      <c r="CK66" s="78">
        <v>160.27199999999999</v>
      </c>
      <c r="CL66" s="78">
        <v>7938</v>
      </c>
    </row>
    <row r="67" spans="1:90" x14ac:dyDescent="0.35">
      <c r="A67" s="72">
        <v>1700</v>
      </c>
      <c r="B67" s="72" t="s">
        <v>298</v>
      </c>
      <c r="C67" s="72">
        <v>4</v>
      </c>
      <c r="D67" s="78">
        <v>2966000000</v>
      </c>
      <c r="E67" s="78">
        <v>361900000</v>
      </c>
      <c r="F67" s="78">
        <v>426650000</v>
      </c>
      <c r="G67" s="78">
        <v>33718</v>
      </c>
      <c r="H67" s="78">
        <v>4</v>
      </c>
      <c r="I67" s="78">
        <v>426.65</v>
      </c>
      <c r="J67" s="78">
        <v>7247</v>
      </c>
      <c r="K67" s="78">
        <v>6729</v>
      </c>
      <c r="L67" s="78">
        <v>2248</v>
      </c>
      <c r="M67" s="78">
        <v>4122</v>
      </c>
      <c r="N67" s="78">
        <v>2709.7</v>
      </c>
      <c r="O67" s="78">
        <v>453.66666666666703</v>
      </c>
      <c r="P67" s="78">
        <v>99</v>
      </c>
      <c r="Q67" s="78">
        <v>2546.6666666666702</v>
      </c>
      <c r="R67" s="78">
        <v>3602</v>
      </c>
      <c r="S67" s="78">
        <v>295</v>
      </c>
      <c r="T67" s="78">
        <v>0</v>
      </c>
      <c r="U67" s="78">
        <v>855</v>
      </c>
      <c r="V67" s="78">
        <v>13731</v>
      </c>
      <c r="W67" s="78">
        <v>32120</v>
      </c>
      <c r="X67" s="78">
        <v>14450</v>
      </c>
      <c r="Y67" s="78">
        <v>219.78</v>
      </c>
      <c r="Z67" s="78">
        <v>816</v>
      </c>
      <c r="AA67" s="78">
        <v>0</v>
      </c>
      <c r="AB67" s="399">
        <v>0</v>
      </c>
      <c r="AC67" s="399">
        <v>31.099999999999909</v>
      </c>
      <c r="AD67" s="78">
        <v>10605</v>
      </c>
      <c r="AE67" s="78">
        <v>10605</v>
      </c>
      <c r="AF67" s="78">
        <v>208</v>
      </c>
      <c r="AG67" s="78">
        <v>0</v>
      </c>
      <c r="AH67" s="78">
        <v>224</v>
      </c>
      <c r="AI67" s="78">
        <v>86</v>
      </c>
      <c r="AJ67" s="78">
        <v>224</v>
      </c>
      <c r="AK67" s="78">
        <v>86</v>
      </c>
      <c r="AL67" s="78">
        <v>310</v>
      </c>
      <c r="AM67" s="78">
        <v>14123</v>
      </c>
      <c r="AN67" s="78">
        <v>14123</v>
      </c>
      <c r="AO67" s="78">
        <v>0</v>
      </c>
      <c r="AP67" s="78">
        <v>0</v>
      </c>
      <c r="AQ67" s="78">
        <v>0</v>
      </c>
      <c r="AR67" s="78">
        <v>0</v>
      </c>
      <c r="AS67" s="78">
        <v>1038</v>
      </c>
      <c r="AT67" s="78">
        <v>0</v>
      </c>
      <c r="AU67" s="400">
        <v>5.0626600000000001E-4</v>
      </c>
      <c r="AV67" s="400">
        <v>2.1592700000000001E-4</v>
      </c>
      <c r="AW67" s="78">
        <v>8487.9230000000007</v>
      </c>
      <c r="AX67" s="78">
        <v>0</v>
      </c>
      <c r="AY67" s="78">
        <v>2756</v>
      </c>
      <c r="AZ67" s="78">
        <v>8593.9894571349305</v>
      </c>
      <c r="BA67" s="78">
        <v>9</v>
      </c>
      <c r="BB67" s="78">
        <v>9</v>
      </c>
      <c r="BC67" s="78">
        <v>3285</v>
      </c>
      <c r="BD67" s="78">
        <v>1</v>
      </c>
      <c r="BE67" s="78">
        <v>0</v>
      </c>
      <c r="BF67" s="78">
        <v>0</v>
      </c>
      <c r="BG67" s="78">
        <v>0</v>
      </c>
      <c r="BH67" s="78">
        <v>0</v>
      </c>
      <c r="BI67" s="78">
        <v>0</v>
      </c>
      <c r="BJ67" s="78">
        <v>0</v>
      </c>
      <c r="BK67" s="78">
        <v>0</v>
      </c>
      <c r="BL67" s="78">
        <v>0</v>
      </c>
      <c r="BM67" s="78">
        <v>681.21799999999996</v>
      </c>
      <c r="BN67" s="78">
        <v>313</v>
      </c>
      <c r="BO67" s="78">
        <v>67</v>
      </c>
      <c r="BP67" s="78">
        <v>7748.8</v>
      </c>
      <c r="BQ67" s="78">
        <v>1993.14</v>
      </c>
      <c r="BR67" s="78">
        <v>351.33318915969397</v>
      </c>
      <c r="BS67" s="78">
        <v>367</v>
      </c>
      <c r="BT67" s="78">
        <v>140.333333333333</v>
      </c>
      <c r="BU67" s="78">
        <v>130</v>
      </c>
      <c r="BV67" s="78">
        <v>2093.0000000000032</v>
      </c>
      <c r="BW67" s="78">
        <v>604</v>
      </c>
      <c r="BX67" s="78">
        <v>6650.8677456304304</v>
      </c>
      <c r="BY67" s="402">
        <v>0.98099999999999998</v>
      </c>
      <c r="BZ67" s="78">
        <v>26989</v>
      </c>
      <c r="CA67" s="78">
        <v>3834</v>
      </c>
      <c r="CB67" s="78">
        <v>647</v>
      </c>
      <c r="CC67" s="78">
        <v>661</v>
      </c>
      <c r="CD67" s="78">
        <v>711</v>
      </c>
      <c r="CE67" s="78">
        <v>332</v>
      </c>
      <c r="CF67" s="78">
        <v>443.39847766055402</v>
      </c>
      <c r="CG67" s="78">
        <v>300.07581958507399</v>
      </c>
      <c r="CH67" s="78">
        <v>85.763357643560099</v>
      </c>
      <c r="CI67" s="78">
        <v>1290.0001999999999</v>
      </c>
      <c r="CJ67" s="78">
        <v>873.02480000000003</v>
      </c>
      <c r="CK67" s="78">
        <v>249.5154</v>
      </c>
      <c r="CL67" s="78">
        <v>3969</v>
      </c>
    </row>
    <row r="68" spans="1:90" x14ac:dyDescent="0.35">
      <c r="A68" s="72">
        <v>189</v>
      </c>
      <c r="B68" s="72" t="s">
        <v>343</v>
      </c>
      <c r="C68" s="72">
        <v>4</v>
      </c>
      <c r="D68" s="78">
        <v>2698800000</v>
      </c>
      <c r="E68" s="78">
        <v>287700000</v>
      </c>
      <c r="F68" s="78">
        <v>317800000</v>
      </c>
      <c r="G68" s="78">
        <v>24643</v>
      </c>
      <c r="H68" s="78">
        <v>2</v>
      </c>
      <c r="I68" s="78">
        <v>317.8</v>
      </c>
      <c r="J68" s="78">
        <v>5106</v>
      </c>
      <c r="K68" s="78">
        <v>5417</v>
      </c>
      <c r="L68" s="78">
        <v>1874</v>
      </c>
      <c r="M68" s="78">
        <v>2442</v>
      </c>
      <c r="N68" s="78">
        <v>1384.1</v>
      </c>
      <c r="O68" s="78">
        <v>199.666666666667</v>
      </c>
      <c r="P68" s="78">
        <v>43</v>
      </c>
      <c r="Q68" s="78">
        <v>1144.6666666666699</v>
      </c>
      <c r="R68" s="78">
        <v>2507</v>
      </c>
      <c r="S68" s="78">
        <v>340</v>
      </c>
      <c r="T68" s="78">
        <v>0</v>
      </c>
      <c r="U68" s="78">
        <v>531</v>
      </c>
      <c r="V68" s="78">
        <v>9961</v>
      </c>
      <c r="W68" s="78">
        <v>21740</v>
      </c>
      <c r="X68" s="78">
        <v>10750</v>
      </c>
      <c r="Y68" s="78">
        <v>0</v>
      </c>
      <c r="Z68" s="78">
        <v>528</v>
      </c>
      <c r="AA68" s="78">
        <v>0</v>
      </c>
      <c r="AB68" s="399">
        <v>0</v>
      </c>
      <c r="AC68" s="399">
        <v>431.2</v>
      </c>
      <c r="AD68" s="78">
        <v>9459</v>
      </c>
      <c r="AE68" s="78">
        <v>9459</v>
      </c>
      <c r="AF68" s="78">
        <v>79</v>
      </c>
      <c r="AG68" s="78">
        <v>0</v>
      </c>
      <c r="AH68" s="78">
        <v>148</v>
      </c>
      <c r="AI68" s="78">
        <v>94</v>
      </c>
      <c r="AJ68" s="78">
        <v>148</v>
      </c>
      <c r="AK68" s="78">
        <v>94</v>
      </c>
      <c r="AL68" s="78">
        <v>242</v>
      </c>
      <c r="AM68" s="78">
        <v>10579</v>
      </c>
      <c r="AN68" s="78">
        <v>10579</v>
      </c>
      <c r="AO68" s="78">
        <v>0</v>
      </c>
      <c r="AP68" s="78">
        <v>0</v>
      </c>
      <c r="AQ68" s="78">
        <v>0</v>
      </c>
      <c r="AR68" s="78">
        <v>0</v>
      </c>
      <c r="AS68" s="78">
        <v>0</v>
      </c>
      <c r="AT68" s="78">
        <v>0</v>
      </c>
      <c r="AU68" s="400">
        <v>2.53959E-4</v>
      </c>
      <c r="AV68" s="400">
        <v>1.17432E-4</v>
      </c>
      <c r="AW68" s="78">
        <v>7542.8270000000002</v>
      </c>
      <c r="AX68" s="78">
        <v>0</v>
      </c>
      <c r="AY68" s="78">
        <v>1612</v>
      </c>
      <c r="AZ68" s="78">
        <v>4164.8685258964097</v>
      </c>
      <c r="BA68" s="78">
        <v>9</v>
      </c>
      <c r="BB68" s="78">
        <v>9</v>
      </c>
      <c r="BC68" s="78">
        <v>2935</v>
      </c>
      <c r="BD68" s="78">
        <v>1</v>
      </c>
      <c r="BE68" s="78">
        <v>0</v>
      </c>
      <c r="BF68" s="78">
        <v>0</v>
      </c>
      <c r="BG68" s="78">
        <v>0</v>
      </c>
      <c r="BH68" s="78">
        <v>0</v>
      </c>
      <c r="BI68" s="78">
        <v>0</v>
      </c>
      <c r="BJ68" s="78">
        <v>0</v>
      </c>
      <c r="BK68" s="78">
        <v>0</v>
      </c>
      <c r="BL68" s="78">
        <v>0</v>
      </c>
      <c r="BM68" s="78">
        <v>352.31400000000002</v>
      </c>
      <c r="BN68" s="78">
        <v>52</v>
      </c>
      <c r="BO68" s="78">
        <v>13</v>
      </c>
      <c r="BP68" s="78">
        <v>7026.48</v>
      </c>
      <c r="BQ68" s="78">
        <v>1782.28</v>
      </c>
      <c r="BR68" s="78">
        <v>114.154831643002</v>
      </c>
      <c r="BS68" s="78">
        <v>216</v>
      </c>
      <c r="BT68" s="78">
        <v>57.6666666666667</v>
      </c>
      <c r="BU68" s="78">
        <v>37</v>
      </c>
      <c r="BV68" s="78">
        <v>945.00000000000296</v>
      </c>
      <c r="BW68" s="78">
        <v>221</v>
      </c>
      <c r="BX68" s="78">
        <v>3899.05326106447</v>
      </c>
      <c r="BY68" s="402">
        <v>0.13500000000000001</v>
      </c>
      <c r="BZ68" s="78">
        <v>19226</v>
      </c>
      <c r="CA68" s="78">
        <v>2950</v>
      </c>
      <c r="CB68" s="78">
        <v>593</v>
      </c>
      <c r="CC68" s="78">
        <v>469</v>
      </c>
      <c r="CD68" s="78">
        <v>513</v>
      </c>
      <c r="CE68" s="78">
        <v>289</v>
      </c>
      <c r="CF68" s="78">
        <v>226.474818035731</v>
      </c>
      <c r="CG68" s="78">
        <v>160.40330844125199</v>
      </c>
      <c r="CH68" s="78">
        <v>54.034719727762599</v>
      </c>
      <c r="CI68" s="78">
        <v>711.96029999999996</v>
      </c>
      <c r="CJ68" s="78">
        <v>504.25380000000001</v>
      </c>
      <c r="CK68" s="78">
        <v>169.86689999999999</v>
      </c>
      <c r="CL68" s="78">
        <v>0</v>
      </c>
    </row>
    <row r="69" spans="1:90" x14ac:dyDescent="0.35">
      <c r="A69" s="72">
        <v>1896</v>
      </c>
      <c r="B69" s="72" t="s">
        <v>363</v>
      </c>
      <c r="C69" s="72">
        <v>4</v>
      </c>
      <c r="D69" s="78">
        <v>1840800000</v>
      </c>
      <c r="E69" s="78">
        <v>484400000</v>
      </c>
      <c r="F69" s="78">
        <v>523600000</v>
      </c>
      <c r="G69" s="78">
        <v>23012</v>
      </c>
      <c r="H69" s="78">
        <v>3</v>
      </c>
      <c r="I69" s="78">
        <v>523.6</v>
      </c>
      <c r="J69" s="78">
        <v>5600</v>
      </c>
      <c r="K69" s="78">
        <v>4033</v>
      </c>
      <c r="L69" s="78">
        <v>1310</v>
      </c>
      <c r="M69" s="78">
        <v>2333</v>
      </c>
      <c r="N69" s="78">
        <v>1422.9</v>
      </c>
      <c r="O69" s="78">
        <v>201.333333333333</v>
      </c>
      <c r="P69" s="78">
        <v>48</v>
      </c>
      <c r="Q69" s="78">
        <v>1012.33333333333</v>
      </c>
      <c r="R69" s="78">
        <v>2305</v>
      </c>
      <c r="S69" s="78">
        <v>270</v>
      </c>
      <c r="T69" s="78">
        <v>0</v>
      </c>
      <c r="U69" s="78">
        <v>443</v>
      </c>
      <c r="V69" s="78">
        <v>9012</v>
      </c>
      <c r="W69" s="78">
        <v>20560</v>
      </c>
      <c r="X69" s="78">
        <v>7320</v>
      </c>
      <c r="Y69" s="78">
        <v>0</v>
      </c>
      <c r="Z69" s="78">
        <v>376.8</v>
      </c>
      <c r="AA69" s="78">
        <v>0</v>
      </c>
      <c r="AB69" s="399">
        <v>0</v>
      </c>
      <c r="AC69" s="399">
        <v>0</v>
      </c>
      <c r="AD69" s="78">
        <v>8223</v>
      </c>
      <c r="AE69" s="78">
        <v>8305.23</v>
      </c>
      <c r="AF69" s="78">
        <v>563</v>
      </c>
      <c r="AG69" s="78">
        <v>0</v>
      </c>
      <c r="AH69" s="78">
        <v>159</v>
      </c>
      <c r="AI69" s="78">
        <v>77</v>
      </c>
      <c r="AJ69" s="78">
        <v>162.18</v>
      </c>
      <c r="AK69" s="78">
        <v>77.77</v>
      </c>
      <c r="AL69" s="78">
        <v>236</v>
      </c>
      <c r="AM69" s="78">
        <v>9101</v>
      </c>
      <c r="AN69" s="78">
        <v>9283.02</v>
      </c>
      <c r="AO69" s="78">
        <v>23</v>
      </c>
      <c r="AP69" s="78">
        <v>0</v>
      </c>
      <c r="AQ69" s="78">
        <v>0</v>
      </c>
      <c r="AR69" s="78">
        <v>4550</v>
      </c>
      <c r="AS69" s="78">
        <v>1380</v>
      </c>
      <c r="AT69" s="78">
        <v>1380</v>
      </c>
      <c r="AU69" s="400">
        <v>4.0715899999999998E-4</v>
      </c>
      <c r="AV69" s="400">
        <v>1.6422E-4</v>
      </c>
      <c r="AW69" s="78">
        <v>6607.326</v>
      </c>
      <c r="AX69" s="78">
        <v>0</v>
      </c>
      <c r="AY69" s="78">
        <v>2933.04</v>
      </c>
      <c r="AZ69" s="78">
        <v>7846.1333849305702</v>
      </c>
      <c r="BA69" s="78">
        <v>4</v>
      </c>
      <c r="BB69" s="78">
        <v>4.04</v>
      </c>
      <c r="BC69" s="78">
        <v>2550</v>
      </c>
      <c r="BD69" s="78">
        <v>1</v>
      </c>
      <c r="BE69" s="78">
        <v>0</v>
      </c>
      <c r="BF69" s="78">
        <v>0</v>
      </c>
      <c r="BG69" s="78">
        <v>0</v>
      </c>
      <c r="BH69" s="78">
        <v>0</v>
      </c>
      <c r="BI69" s="78">
        <v>0</v>
      </c>
      <c r="BJ69" s="78">
        <v>0</v>
      </c>
      <c r="BK69" s="78">
        <v>0</v>
      </c>
      <c r="BL69" s="78">
        <v>0</v>
      </c>
      <c r="BM69" s="78">
        <v>308</v>
      </c>
      <c r="BN69" s="78">
        <v>161</v>
      </c>
      <c r="BO69" s="78">
        <v>34</v>
      </c>
      <c r="BP69" s="78">
        <v>5762.46</v>
      </c>
      <c r="BQ69" s="78">
        <v>1651.27</v>
      </c>
      <c r="BR69" s="78">
        <v>199.60805369127499</v>
      </c>
      <c r="BS69" s="78">
        <v>188</v>
      </c>
      <c r="BT69" s="78">
        <v>65.3333333333333</v>
      </c>
      <c r="BU69" s="78">
        <v>55</v>
      </c>
      <c r="BV69" s="78">
        <v>810.99999999999693</v>
      </c>
      <c r="BW69" s="78">
        <v>322</v>
      </c>
      <c r="BX69" s="78">
        <v>2973.66301012137</v>
      </c>
      <c r="BY69" s="402">
        <v>0.13300000000000001</v>
      </c>
      <c r="BZ69" s="78">
        <v>18979</v>
      </c>
      <c r="CA69" s="78">
        <v>2348</v>
      </c>
      <c r="CB69" s="78">
        <v>375</v>
      </c>
      <c r="CC69" s="78">
        <v>396</v>
      </c>
      <c r="CD69" s="78">
        <v>395</v>
      </c>
      <c r="CE69" s="78">
        <v>180</v>
      </c>
      <c r="CF69" s="78">
        <v>222.479584661026</v>
      </c>
      <c r="CG69" s="78">
        <v>141.49263817162901</v>
      </c>
      <c r="CH69" s="78">
        <v>40.024436875068702</v>
      </c>
      <c r="CI69" s="78">
        <v>667.67160000000001</v>
      </c>
      <c r="CJ69" s="78">
        <v>424.62599999999998</v>
      </c>
      <c r="CK69" s="78">
        <v>120.1152</v>
      </c>
      <c r="CL69" s="78">
        <v>0</v>
      </c>
    </row>
    <row r="70" spans="1:90" x14ac:dyDescent="0.35">
      <c r="A70" s="72">
        <v>193</v>
      </c>
      <c r="B70" s="72" t="s">
        <v>365</v>
      </c>
      <c r="C70" s="72">
        <v>4</v>
      </c>
      <c r="D70" s="78">
        <v>14306400000</v>
      </c>
      <c r="E70" s="78">
        <v>2604350000</v>
      </c>
      <c r="F70" s="78">
        <v>2648800000</v>
      </c>
      <c r="G70" s="78">
        <v>130668</v>
      </c>
      <c r="H70" s="78">
        <v>1</v>
      </c>
      <c r="I70" s="78">
        <v>2648.8</v>
      </c>
      <c r="J70" s="78">
        <v>26826</v>
      </c>
      <c r="K70" s="78">
        <v>21508</v>
      </c>
      <c r="L70" s="78">
        <v>7028</v>
      </c>
      <c r="M70" s="78">
        <v>18668</v>
      </c>
      <c r="N70" s="78">
        <v>12523.5</v>
      </c>
      <c r="O70" s="78">
        <v>3505.3333333333298</v>
      </c>
      <c r="P70" s="78">
        <v>197</v>
      </c>
      <c r="Q70" s="78">
        <v>10248.333333333299</v>
      </c>
      <c r="R70" s="78">
        <v>25645</v>
      </c>
      <c r="S70" s="78">
        <v>7420</v>
      </c>
      <c r="T70" s="78">
        <v>0</v>
      </c>
      <c r="U70" s="78">
        <v>4369</v>
      </c>
      <c r="V70" s="78">
        <v>63521</v>
      </c>
      <c r="W70" s="78">
        <v>145710</v>
      </c>
      <c r="X70" s="78">
        <v>246230</v>
      </c>
      <c r="Y70" s="78">
        <v>7820.7413999999999</v>
      </c>
      <c r="Z70" s="78">
        <v>7808</v>
      </c>
      <c r="AA70" s="78">
        <v>0</v>
      </c>
      <c r="AB70" s="399">
        <v>0</v>
      </c>
      <c r="AC70" s="399">
        <v>0</v>
      </c>
      <c r="AD70" s="78">
        <v>11058</v>
      </c>
      <c r="AE70" s="78">
        <v>11058</v>
      </c>
      <c r="AF70" s="78">
        <v>879</v>
      </c>
      <c r="AG70" s="78">
        <v>0</v>
      </c>
      <c r="AH70" s="78">
        <v>578</v>
      </c>
      <c r="AI70" s="78">
        <v>119</v>
      </c>
      <c r="AJ70" s="78">
        <v>578</v>
      </c>
      <c r="AK70" s="78">
        <v>119</v>
      </c>
      <c r="AL70" s="78">
        <v>697</v>
      </c>
      <c r="AM70" s="78">
        <v>61445</v>
      </c>
      <c r="AN70" s="78">
        <v>61445</v>
      </c>
      <c r="AO70" s="78">
        <v>0</v>
      </c>
      <c r="AP70" s="78">
        <v>41</v>
      </c>
      <c r="AQ70" s="78">
        <v>0</v>
      </c>
      <c r="AR70" s="78">
        <v>4550</v>
      </c>
      <c r="AS70" s="78">
        <v>9313</v>
      </c>
      <c r="AT70" s="78">
        <v>9313</v>
      </c>
      <c r="AU70" s="400">
        <v>5.7861910000000004E-3</v>
      </c>
      <c r="AV70" s="400">
        <v>7.03815E-3</v>
      </c>
      <c r="AW70" s="78">
        <v>128665.83</v>
      </c>
      <c r="AX70" s="78">
        <v>0</v>
      </c>
      <c r="AY70" s="78">
        <v>5382</v>
      </c>
      <c r="AZ70" s="78">
        <v>58913.895953757201</v>
      </c>
      <c r="BA70" s="78">
        <v>3</v>
      </c>
      <c r="BB70" s="78">
        <v>3</v>
      </c>
      <c r="BC70" s="78">
        <v>15730</v>
      </c>
      <c r="BD70" s="78">
        <v>1</v>
      </c>
      <c r="BE70" s="78">
        <v>0</v>
      </c>
      <c r="BF70" s="78">
        <v>0</v>
      </c>
      <c r="BG70" s="78">
        <v>0</v>
      </c>
      <c r="BH70" s="78">
        <v>0</v>
      </c>
      <c r="BI70" s="78">
        <v>0</v>
      </c>
      <c r="BJ70" s="78">
        <v>0</v>
      </c>
      <c r="BK70" s="78">
        <v>0</v>
      </c>
      <c r="BL70" s="78">
        <v>0</v>
      </c>
      <c r="BM70" s="78">
        <v>3084.99</v>
      </c>
      <c r="BN70" s="78">
        <v>301</v>
      </c>
      <c r="BO70" s="78">
        <v>254</v>
      </c>
      <c r="BP70" s="78">
        <v>37476.57</v>
      </c>
      <c r="BQ70" s="78">
        <v>8992.6200000000008</v>
      </c>
      <c r="BR70" s="78">
        <v>1559.8453016400199</v>
      </c>
      <c r="BS70" s="78">
        <v>1687</v>
      </c>
      <c r="BT70" s="78">
        <v>858.33333333333303</v>
      </c>
      <c r="BU70" s="78">
        <v>778</v>
      </c>
      <c r="BV70" s="78">
        <v>6742.9999999999691</v>
      </c>
      <c r="BW70" s="78">
        <v>2758</v>
      </c>
      <c r="BX70" s="78">
        <v>16383.0137523105</v>
      </c>
      <c r="BY70" s="402">
        <v>9.0630000000000006</v>
      </c>
      <c r="BZ70" s="78">
        <v>109160</v>
      </c>
      <c r="CA70" s="78">
        <v>12006</v>
      </c>
      <c r="CB70" s="78">
        <v>2474</v>
      </c>
      <c r="CC70" s="78">
        <v>3257</v>
      </c>
      <c r="CD70" s="78">
        <v>2479</v>
      </c>
      <c r="CE70" s="78">
        <v>1291</v>
      </c>
      <c r="CF70" s="78">
        <v>1601.79325412971</v>
      </c>
      <c r="CG70" s="78">
        <v>1000.33099519896</v>
      </c>
      <c r="CH70" s="78">
        <v>358.71690129384001</v>
      </c>
      <c r="CI70" s="78">
        <v>3687.4427999999998</v>
      </c>
      <c r="CJ70" s="78">
        <v>2302.8335999999999</v>
      </c>
      <c r="CK70" s="78">
        <v>825.79200000000003</v>
      </c>
      <c r="CL70" s="78">
        <v>160063</v>
      </c>
    </row>
    <row r="71" spans="1:90" x14ac:dyDescent="0.35">
      <c r="A71" s="72">
        <v>197</v>
      </c>
      <c r="B71" s="72" t="s">
        <v>13</v>
      </c>
      <c r="C71" s="72">
        <v>5</v>
      </c>
      <c r="D71" s="78">
        <v>2508000000</v>
      </c>
      <c r="E71" s="78">
        <v>325850000</v>
      </c>
      <c r="F71" s="78">
        <v>355600000</v>
      </c>
      <c r="G71" s="78">
        <v>27100</v>
      </c>
      <c r="H71" s="78">
        <v>3</v>
      </c>
      <c r="I71" s="78">
        <v>355.6</v>
      </c>
      <c r="J71" s="78">
        <v>5119</v>
      </c>
      <c r="K71" s="78">
        <v>6339</v>
      </c>
      <c r="L71" s="78">
        <v>2183</v>
      </c>
      <c r="M71" s="78">
        <v>3783</v>
      </c>
      <c r="N71" s="78">
        <v>2529.6999999999998</v>
      </c>
      <c r="O71" s="78">
        <v>273.66666666666703</v>
      </c>
      <c r="P71" s="78">
        <v>51</v>
      </c>
      <c r="Q71" s="78">
        <v>1787.6666666666699</v>
      </c>
      <c r="R71" s="78">
        <v>3553</v>
      </c>
      <c r="S71" s="78">
        <v>550</v>
      </c>
      <c r="T71" s="78">
        <v>0</v>
      </c>
      <c r="U71" s="78">
        <v>659</v>
      </c>
      <c r="V71" s="78">
        <v>12078</v>
      </c>
      <c r="W71" s="78">
        <v>26700</v>
      </c>
      <c r="X71" s="78">
        <v>17420</v>
      </c>
      <c r="Y71" s="78">
        <v>144.54</v>
      </c>
      <c r="Z71" s="78">
        <v>1188</v>
      </c>
      <c r="AA71" s="78">
        <v>0</v>
      </c>
      <c r="AB71" s="399">
        <v>0</v>
      </c>
      <c r="AC71" s="399">
        <v>0</v>
      </c>
      <c r="AD71" s="78">
        <v>9653</v>
      </c>
      <c r="AE71" s="78">
        <v>9653</v>
      </c>
      <c r="AF71" s="78">
        <v>52</v>
      </c>
      <c r="AG71" s="78">
        <v>0</v>
      </c>
      <c r="AH71" s="78">
        <v>165</v>
      </c>
      <c r="AI71" s="78">
        <v>113</v>
      </c>
      <c r="AJ71" s="78">
        <v>165</v>
      </c>
      <c r="AK71" s="78">
        <v>113</v>
      </c>
      <c r="AL71" s="78">
        <v>278</v>
      </c>
      <c r="AM71" s="78">
        <v>12533</v>
      </c>
      <c r="AN71" s="78">
        <v>12533</v>
      </c>
      <c r="AO71" s="78">
        <v>5</v>
      </c>
      <c r="AP71" s="78">
        <v>0</v>
      </c>
      <c r="AQ71" s="78">
        <v>0</v>
      </c>
      <c r="AR71" s="78">
        <v>0</v>
      </c>
      <c r="AS71" s="78">
        <v>996</v>
      </c>
      <c r="AT71" s="78">
        <v>0</v>
      </c>
      <c r="AU71" s="400">
        <v>6.4835299999999995E-4</v>
      </c>
      <c r="AV71" s="400">
        <v>1.9834099999999999E-4</v>
      </c>
      <c r="AW71" s="78">
        <v>9750.6740000000009</v>
      </c>
      <c r="AX71" s="78">
        <v>0</v>
      </c>
      <c r="AY71" s="78">
        <v>947</v>
      </c>
      <c r="AZ71" s="78">
        <v>2644.3791859866001</v>
      </c>
      <c r="BA71" s="78">
        <v>11</v>
      </c>
      <c r="BB71" s="78">
        <v>11</v>
      </c>
      <c r="BC71" s="78">
        <v>2885</v>
      </c>
      <c r="BD71" s="78">
        <v>1</v>
      </c>
      <c r="BE71" s="78">
        <v>0</v>
      </c>
      <c r="BF71" s="78">
        <v>0</v>
      </c>
      <c r="BG71" s="78">
        <v>0</v>
      </c>
      <c r="BH71" s="78">
        <v>0</v>
      </c>
      <c r="BI71" s="78">
        <v>0</v>
      </c>
      <c r="BJ71" s="78">
        <v>0</v>
      </c>
      <c r="BK71" s="78">
        <v>0</v>
      </c>
      <c r="BL71" s="78">
        <v>0</v>
      </c>
      <c r="BM71" s="78">
        <v>383.92500000000001</v>
      </c>
      <c r="BN71" s="78">
        <v>106</v>
      </c>
      <c r="BO71" s="78">
        <v>25</v>
      </c>
      <c r="BP71" s="78">
        <v>7083.32</v>
      </c>
      <c r="BQ71" s="78">
        <v>1588.04</v>
      </c>
      <c r="BR71" s="78">
        <v>150.74081113320099</v>
      </c>
      <c r="BS71" s="78">
        <v>240</v>
      </c>
      <c r="BT71" s="78">
        <v>73.6666666666667</v>
      </c>
      <c r="BU71" s="78">
        <v>52.6666666666667</v>
      </c>
      <c r="BV71" s="78">
        <v>1514.000000000003</v>
      </c>
      <c r="BW71" s="78">
        <v>385</v>
      </c>
      <c r="BX71" s="78">
        <v>4825.0390855457199</v>
      </c>
      <c r="BY71" s="402">
        <v>0.39</v>
      </c>
      <c r="BZ71" s="78">
        <v>20761</v>
      </c>
      <c r="CA71" s="78">
        <v>3481</v>
      </c>
      <c r="CB71" s="78">
        <v>675</v>
      </c>
      <c r="CC71" s="78">
        <v>653</v>
      </c>
      <c r="CD71" s="78">
        <v>678</v>
      </c>
      <c r="CE71" s="78">
        <v>343</v>
      </c>
      <c r="CF71" s="78">
        <v>429.52218941993101</v>
      </c>
      <c r="CG71" s="78">
        <v>298.52599537221698</v>
      </c>
      <c r="CH71" s="78">
        <v>96.682861246309699</v>
      </c>
      <c r="CI71" s="78">
        <v>1098.6864</v>
      </c>
      <c r="CJ71" s="78">
        <v>763.60770000000002</v>
      </c>
      <c r="CK71" s="78">
        <v>247.30770000000001</v>
      </c>
      <c r="CL71" s="78">
        <v>18250</v>
      </c>
    </row>
    <row r="72" spans="1:90" x14ac:dyDescent="0.35">
      <c r="A72" s="72">
        <v>200</v>
      </c>
      <c r="B72" s="72" t="s">
        <v>27</v>
      </c>
      <c r="C72" s="72">
        <v>5</v>
      </c>
      <c r="D72" s="78">
        <v>18179200000</v>
      </c>
      <c r="E72" s="78">
        <v>2737000000</v>
      </c>
      <c r="F72" s="78">
        <v>2874900000</v>
      </c>
      <c r="G72" s="78">
        <v>165611</v>
      </c>
      <c r="H72" s="78">
        <v>5</v>
      </c>
      <c r="I72" s="78">
        <v>2874.9</v>
      </c>
      <c r="J72" s="78">
        <v>31009</v>
      </c>
      <c r="K72" s="78">
        <v>35901</v>
      </c>
      <c r="L72" s="78">
        <v>11974</v>
      </c>
      <c r="M72" s="78">
        <v>23593</v>
      </c>
      <c r="N72" s="78">
        <v>15712.4</v>
      </c>
      <c r="O72" s="78">
        <v>3330</v>
      </c>
      <c r="P72" s="78">
        <v>181</v>
      </c>
      <c r="Q72" s="78">
        <v>12791</v>
      </c>
      <c r="R72" s="78">
        <v>27643</v>
      </c>
      <c r="S72" s="78">
        <v>9020</v>
      </c>
      <c r="T72" s="78">
        <v>0</v>
      </c>
      <c r="U72" s="78">
        <v>5352</v>
      </c>
      <c r="V72" s="78">
        <v>78798</v>
      </c>
      <c r="W72" s="78">
        <v>173200</v>
      </c>
      <c r="X72" s="78">
        <v>261710</v>
      </c>
      <c r="Y72" s="78">
        <v>4790.92</v>
      </c>
      <c r="Z72" s="78">
        <v>8466.4</v>
      </c>
      <c r="AA72" s="78">
        <v>0</v>
      </c>
      <c r="AB72" s="399">
        <v>0</v>
      </c>
      <c r="AC72" s="399">
        <v>0</v>
      </c>
      <c r="AD72" s="78">
        <v>33983</v>
      </c>
      <c r="AE72" s="78">
        <v>33983</v>
      </c>
      <c r="AF72" s="78">
        <v>132</v>
      </c>
      <c r="AG72" s="78">
        <v>0</v>
      </c>
      <c r="AH72" s="78">
        <v>851</v>
      </c>
      <c r="AI72" s="78">
        <v>184</v>
      </c>
      <c r="AJ72" s="78">
        <v>851</v>
      </c>
      <c r="AK72" s="78">
        <v>184</v>
      </c>
      <c r="AL72" s="78">
        <v>1036</v>
      </c>
      <c r="AM72" s="78">
        <v>78806</v>
      </c>
      <c r="AN72" s="78">
        <v>78806</v>
      </c>
      <c r="AO72" s="78">
        <v>0</v>
      </c>
      <c r="AP72" s="78">
        <v>0</v>
      </c>
      <c r="AQ72" s="78">
        <v>0</v>
      </c>
      <c r="AR72" s="78">
        <v>0</v>
      </c>
      <c r="AS72" s="78">
        <v>11306</v>
      </c>
      <c r="AT72" s="78">
        <v>0</v>
      </c>
      <c r="AU72" s="400">
        <v>3.582399E-3</v>
      </c>
      <c r="AV72" s="400">
        <v>4.7824729999999998E-3</v>
      </c>
      <c r="AW72" s="78">
        <v>139959.45600000001</v>
      </c>
      <c r="AX72" s="78">
        <v>0</v>
      </c>
      <c r="AY72" s="78">
        <v>2432</v>
      </c>
      <c r="AZ72" s="78">
        <v>11806.124930382501</v>
      </c>
      <c r="BA72" s="78">
        <v>26</v>
      </c>
      <c r="BB72" s="78">
        <v>26</v>
      </c>
      <c r="BC72" s="78">
        <v>19575</v>
      </c>
      <c r="BD72" s="78">
        <v>1</v>
      </c>
      <c r="BE72" s="78">
        <v>0</v>
      </c>
      <c r="BF72" s="78">
        <v>0</v>
      </c>
      <c r="BG72" s="78">
        <v>0</v>
      </c>
      <c r="BH72" s="78">
        <v>0</v>
      </c>
      <c r="BI72" s="78">
        <v>0</v>
      </c>
      <c r="BJ72" s="78">
        <v>0</v>
      </c>
      <c r="BK72" s="78">
        <v>0</v>
      </c>
      <c r="BL72" s="78">
        <v>0</v>
      </c>
      <c r="BM72" s="78">
        <v>3504.0169999999998</v>
      </c>
      <c r="BN72" s="78">
        <v>491</v>
      </c>
      <c r="BO72" s="78">
        <v>335</v>
      </c>
      <c r="BP72" s="78">
        <v>49496.7</v>
      </c>
      <c r="BQ72" s="78">
        <v>10875.06</v>
      </c>
      <c r="BR72" s="78">
        <v>1236.1937772768299</v>
      </c>
      <c r="BS72" s="78">
        <v>1970</v>
      </c>
      <c r="BT72" s="78">
        <v>886</v>
      </c>
      <c r="BU72" s="78">
        <v>828.33333333333303</v>
      </c>
      <c r="BV72" s="78">
        <v>9461</v>
      </c>
      <c r="BW72" s="78">
        <v>3221</v>
      </c>
      <c r="BX72" s="78">
        <v>31024.7682079851</v>
      </c>
      <c r="BY72" s="402">
        <v>8.375</v>
      </c>
      <c r="BZ72" s="78">
        <v>129710</v>
      </c>
      <c r="CA72" s="78">
        <v>19857</v>
      </c>
      <c r="CB72" s="78">
        <v>4070</v>
      </c>
      <c r="CC72" s="78">
        <v>4503</v>
      </c>
      <c r="CD72" s="78">
        <v>3829</v>
      </c>
      <c r="CE72" s="78">
        <v>2020</v>
      </c>
      <c r="CF72" s="78">
        <v>2426.0650610359598</v>
      </c>
      <c r="CG72" s="78">
        <v>1626.74760297439</v>
      </c>
      <c r="CH72" s="78">
        <v>560.45931020480703</v>
      </c>
      <c r="CI72" s="78">
        <v>5464.6487999999999</v>
      </c>
      <c r="CJ72" s="78">
        <v>3664.2069000000001</v>
      </c>
      <c r="CK72" s="78">
        <v>1262.4201</v>
      </c>
      <c r="CL72" s="78">
        <v>489092</v>
      </c>
    </row>
    <row r="73" spans="1:90" x14ac:dyDescent="0.35">
      <c r="A73" s="72">
        <v>202</v>
      </c>
      <c r="B73" s="72" t="s">
        <v>29</v>
      </c>
      <c r="C73" s="72">
        <v>5</v>
      </c>
      <c r="D73" s="78">
        <v>16255200000</v>
      </c>
      <c r="E73" s="78">
        <v>2533650000</v>
      </c>
      <c r="F73" s="78">
        <v>2542400000</v>
      </c>
      <c r="G73" s="78">
        <v>163888</v>
      </c>
      <c r="H73" s="78">
        <v>1</v>
      </c>
      <c r="I73" s="78">
        <v>2542.4</v>
      </c>
      <c r="J73" s="78">
        <v>29888</v>
      </c>
      <c r="K73" s="78">
        <v>25989</v>
      </c>
      <c r="L73" s="78">
        <v>7961</v>
      </c>
      <c r="M73" s="78">
        <v>30042</v>
      </c>
      <c r="N73" s="78">
        <v>21893.8</v>
      </c>
      <c r="O73" s="78">
        <v>7372.6666666666697</v>
      </c>
      <c r="P73" s="78">
        <v>260</v>
      </c>
      <c r="Q73" s="78">
        <v>17848.666666666701</v>
      </c>
      <c r="R73" s="78">
        <v>40346</v>
      </c>
      <c r="S73" s="78">
        <v>20455</v>
      </c>
      <c r="T73" s="78">
        <v>0</v>
      </c>
      <c r="U73" s="78">
        <v>6794</v>
      </c>
      <c r="V73" s="78">
        <v>86869</v>
      </c>
      <c r="W73" s="78">
        <v>194490</v>
      </c>
      <c r="X73" s="78">
        <v>339620</v>
      </c>
      <c r="Y73" s="78">
        <v>7154.1671999999999</v>
      </c>
      <c r="Z73" s="78">
        <v>6564</v>
      </c>
      <c r="AA73" s="78">
        <v>0</v>
      </c>
      <c r="AB73" s="399">
        <v>0</v>
      </c>
      <c r="AC73" s="399">
        <v>0</v>
      </c>
      <c r="AD73" s="78">
        <v>9765</v>
      </c>
      <c r="AE73" s="78">
        <v>9765</v>
      </c>
      <c r="AF73" s="78">
        <v>389</v>
      </c>
      <c r="AG73" s="78">
        <v>0</v>
      </c>
      <c r="AH73" s="78">
        <v>627</v>
      </c>
      <c r="AI73" s="78">
        <v>50</v>
      </c>
      <c r="AJ73" s="78">
        <v>633.27</v>
      </c>
      <c r="AK73" s="78">
        <v>50</v>
      </c>
      <c r="AL73" s="78">
        <v>677</v>
      </c>
      <c r="AM73" s="78">
        <v>81482</v>
      </c>
      <c r="AN73" s="78">
        <v>82296.820000000007</v>
      </c>
      <c r="AO73" s="78">
        <v>18</v>
      </c>
      <c r="AP73" s="78">
        <v>0</v>
      </c>
      <c r="AQ73" s="78">
        <v>0</v>
      </c>
      <c r="AR73" s="78">
        <v>0</v>
      </c>
      <c r="AS73" s="78">
        <v>18048</v>
      </c>
      <c r="AT73" s="78">
        <v>18048</v>
      </c>
      <c r="AU73" s="400">
        <v>1.6613725999999999E-2</v>
      </c>
      <c r="AV73" s="400">
        <v>2.0141675000000001E-2</v>
      </c>
      <c r="AW73" s="78">
        <v>186104.88800000001</v>
      </c>
      <c r="AX73" s="78">
        <v>0</v>
      </c>
      <c r="AY73" s="78">
        <v>2356</v>
      </c>
      <c r="AZ73" s="78">
        <v>38252.369509552896</v>
      </c>
      <c r="BA73" s="78">
        <v>6</v>
      </c>
      <c r="BB73" s="78">
        <v>6</v>
      </c>
      <c r="BC73" s="78">
        <v>22075</v>
      </c>
      <c r="BD73" s="78">
        <v>1</v>
      </c>
      <c r="BE73" s="78">
        <v>0</v>
      </c>
      <c r="BF73" s="78">
        <v>0</v>
      </c>
      <c r="BG73" s="78">
        <v>0</v>
      </c>
      <c r="BH73" s="78">
        <v>0</v>
      </c>
      <c r="BI73" s="78">
        <v>0</v>
      </c>
      <c r="BJ73" s="78">
        <v>0</v>
      </c>
      <c r="BK73" s="78">
        <v>0</v>
      </c>
      <c r="BL73" s="78">
        <v>0</v>
      </c>
      <c r="BM73" s="78">
        <v>5768.384</v>
      </c>
      <c r="BN73" s="78">
        <v>569</v>
      </c>
      <c r="BO73" s="78">
        <v>642</v>
      </c>
      <c r="BP73" s="78">
        <v>44935.02</v>
      </c>
      <c r="BQ73" s="78">
        <v>9690.24</v>
      </c>
      <c r="BR73" s="78">
        <v>1591.8860781155299</v>
      </c>
      <c r="BS73" s="78">
        <v>2465</v>
      </c>
      <c r="BT73" s="78">
        <v>1709.6666666666699</v>
      </c>
      <c r="BU73" s="78">
        <v>1644.3333333333301</v>
      </c>
      <c r="BV73" s="78">
        <v>10476.000000000031</v>
      </c>
      <c r="BW73" s="78">
        <v>3946</v>
      </c>
      <c r="BX73" s="78">
        <v>22477.913624587502</v>
      </c>
      <c r="BY73" s="402">
        <v>22.059000000000001</v>
      </c>
      <c r="BZ73" s="78">
        <v>137899</v>
      </c>
      <c r="CA73" s="78">
        <v>15239</v>
      </c>
      <c r="CB73" s="78">
        <v>2789</v>
      </c>
      <c r="CC73" s="78">
        <v>5073</v>
      </c>
      <c r="CD73" s="78">
        <v>3116</v>
      </c>
      <c r="CE73" s="78">
        <v>1312</v>
      </c>
      <c r="CF73" s="78">
        <v>2788.7846420068199</v>
      </c>
      <c r="CG73" s="78">
        <v>1526.99326722466</v>
      </c>
      <c r="CH73" s="78">
        <v>479.889138705481</v>
      </c>
      <c r="CI73" s="78">
        <v>5645.1381000000001</v>
      </c>
      <c r="CJ73" s="78">
        <v>3090.9837000000002</v>
      </c>
      <c r="CK73" s="78">
        <v>971.40539999999999</v>
      </c>
      <c r="CL73" s="78">
        <v>392735</v>
      </c>
    </row>
    <row r="74" spans="1:90" x14ac:dyDescent="0.35">
      <c r="A74" s="72">
        <v>203</v>
      </c>
      <c r="B74" s="72" t="s">
        <v>35</v>
      </c>
      <c r="C74" s="72">
        <v>5</v>
      </c>
      <c r="D74" s="78">
        <v>6962400000</v>
      </c>
      <c r="E74" s="78">
        <v>1462650000</v>
      </c>
      <c r="F74" s="78">
        <v>1541050000</v>
      </c>
      <c r="G74" s="78">
        <v>60584</v>
      </c>
      <c r="H74" s="78">
        <v>8</v>
      </c>
      <c r="I74" s="78">
        <v>1541.05</v>
      </c>
      <c r="J74" s="78">
        <v>15516</v>
      </c>
      <c r="K74" s="78">
        <v>10225</v>
      </c>
      <c r="L74" s="78">
        <v>3478</v>
      </c>
      <c r="M74" s="78">
        <v>5758</v>
      </c>
      <c r="N74" s="78">
        <v>3036.1</v>
      </c>
      <c r="O74" s="78">
        <v>535.33333333333303</v>
      </c>
      <c r="P74" s="78">
        <v>82</v>
      </c>
      <c r="Q74" s="78">
        <v>2523.3333333333298</v>
      </c>
      <c r="R74" s="78">
        <v>6450</v>
      </c>
      <c r="S74" s="78">
        <v>1650</v>
      </c>
      <c r="T74" s="78">
        <v>0</v>
      </c>
      <c r="U74" s="78">
        <v>1134</v>
      </c>
      <c r="V74" s="78">
        <v>23722</v>
      </c>
      <c r="W74" s="78">
        <v>57400</v>
      </c>
      <c r="X74" s="78">
        <v>34240</v>
      </c>
      <c r="Y74" s="78">
        <v>2308.08</v>
      </c>
      <c r="Z74" s="78">
        <v>3729.6</v>
      </c>
      <c r="AA74" s="78">
        <v>0</v>
      </c>
      <c r="AB74" s="399">
        <v>0</v>
      </c>
      <c r="AC74" s="399">
        <v>0</v>
      </c>
      <c r="AD74" s="78">
        <v>17586</v>
      </c>
      <c r="AE74" s="78">
        <v>17586</v>
      </c>
      <c r="AF74" s="78">
        <v>80</v>
      </c>
      <c r="AG74" s="78">
        <v>0</v>
      </c>
      <c r="AH74" s="78">
        <v>381</v>
      </c>
      <c r="AI74" s="78">
        <v>257</v>
      </c>
      <c r="AJ74" s="78">
        <v>381</v>
      </c>
      <c r="AK74" s="78">
        <v>257</v>
      </c>
      <c r="AL74" s="78">
        <v>638</v>
      </c>
      <c r="AM74" s="78">
        <v>27219</v>
      </c>
      <c r="AN74" s="78">
        <v>27219</v>
      </c>
      <c r="AO74" s="78">
        <v>0</v>
      </c>
      <c r="AP74" s="78">
        <v>0</v>
      </c>
      <c r="AQ74" s="78">
        <v>0</v>
      </c>
      <c r="AR74" s="78">
        <v>0</v>
      </c>
      <c r="AS74" s="78">
        <v>920</v>
      </c>
      <c r="AT74" s="78">
        <v>0</v>
      </c>
      <c r="AU74" s="400">
        <v>4.0559299999999999E-4</v>
      </c>
      <c r="AV74" s="400">
        <v>1.9817000000000001E-4</v>
      </c>
      <c r="AW74" s="78">
        <v>24197.690999999999</v>
      </c>
      <c r="AX74" s="78">
        <v>0</v>
      </c>
      <c r="AY74" s="78">
        <v>1234</v>
      </c>
      <c r="AZ74" s="78">
        <v>4231.8949394316796</v>
      </c>
      <c r="BA74" s="78">
        <v>20</v>
      </c>
      <c r="BB74" s="78">
        <v>20</v>
      </c>
      <c r="BC74" s="78">
        <v>8885</v>
      </c>
      <c r="BD74" s="78">
        <v>1</v>
      </c>
      <c r="BE74" s="78">
        <v>0</v>
      </c>
      <c r="BF74" s="78">
        <v>0</v>
      </c>
      <c r="BG74" s="78">
        <v>0</v>
      </c>
      <c r="BH74" s="78">
        <v>0</v>
      </c>
      <c r="BI74" s="78">
        <v>0</v>
      </c>
      <c r="BJ74" s="78">
        <v>0</v>
      </c>
      <c r="BK74" s="78">
        <v>0</v>
      </c>
      <c r="BL74" s="78">
        <v>0</v>
      </c>
      <c r="BM74" s="78">
        <v>977.50800000000004</v>
      </c>
      <c r="BN74" s="78">
        <v>799</v>
      </c>
      <c r="BO74" s="78">
        <v>107</v>
      </c>
      <c r="BP74" s="78">
        <v>15790.65</v>
      </c>
      <c r="BQ74" s="78">
        <v>4616.3</v>
      </c>
      <c r="BR74" s="78">
        <v>769.56402094898897</v>
      </c>
      <c r="BS74" s="78">
        <v>496</v>
      </c>
      <c r="BT74" s="78">
        <v>173</v>
      </c>
      <c r="BU74" s="78">
        <v>133.333333333333</v>
      </c>
      <c r="BV74" s="78">
        <v>1987.9999999999968</v>
      </c>
      <c r="BW74" s="78">
        <v>693</v>
      </c>
      <c r="BX74" s="78">
        <v>7199.3084517935704</v>
      </c>
      <c r="BY74" s="402">
        <v>0.52300000000000002</v>
      </c>
      <c r="BZ74" s="78">
        <v>50359</v>
      </c>
      <c r="CA74" s="78">
        <v>5438</v>
      </c>
      <c r="CB74" s="78">
        <v>1309</v>
      </c>
      <c r="CC74" s="78">
        <v>1013</v>
      </c>
      <c r="CD74" s="78">
        <v>1023</v>
      </c>
      <c r="CE74" s="78">
        <v>585</v>
      </c>
      <c r="CF74" s="78">
        <v>372.33189316286399</v>
      </c>
      <c r="CG74" s="78">
        <v>257.330640361512</v>
      </c>
      <c r="CH74" s="78">
        <v>96.373503802490902</v>
      </c>
      <c r="CI74" s="78">
        <v>1447.3568</v>
      </c>
      <c r="CJ74" s="78">
        <v>1000.3152</v>
      </c>
      <c r="CK74" s="78">
        <v>374.63040000000001</v>
      </c>
      <c r="CL74" s="78">
        <v>11907</v>
      </c>
    </row>
    <row r="75" spans="1:90" x14ac:dyDescent="0.35">
      <c r="A75" s="72">
        <v>1945</v>
      </c>
      <c r="B75" s="72" t="s">
        <v>40</v>
      </c>
      <c r="C75" s="72">
        <v>5</v>
      </c>
      <c r="D75" s="78">
        <v>3811200000</v>
      </c>
      <c r="E75" s="78">
        <v>337750000</v>
      </c>
      <c r="F75" s="78">
        <v>377650000</v>
      </c>
      <c r="G75" s="78">
        <v>34951</v>
      </c>
      <c r="H75" s="78">
        <v>5</v>
      </c>
      <c r="I75" s="78">
        <v>377.65</v>
      </c>
      <c r="J75" s="78">
        <v>5724</v>
      </c>
      <c r="K75" s="78">
        <v>9029</v>
      </c>
      <c r="L75" s="78">
        <v>2982</v>
      </c>
      <c r="M75" s="78">
        <v>5176</v>
      </c>
      <c r="N75" s="78">
        <v>3509</v>
      </c>
      <c r="O75" s="78">
        <v>727</v>
      </c>
      <c r="P75" s="78">
        <v>40</v>
      </c>
      <c r="Q75" s="78">
        <v>2740</v>
      </c>
      <c r="R75" s="78">
        <v>5555</v>
      </c>
      <c r="S75" s="78">
        <v>695</v>
      </c>
      <c r="T75" s="78">
        <v>0</v>
      </c>
      <c r="U75" s="78">
        <v>1045</v>
      </c>
      <c r="V75" s="78">
        <v>16796</v>
      </c>
      <c r="W75" s="78">
        <v>26760</v>
      </c>
      <c r="X75" s="78">
        <v>7460</v>
      </c>
      <c r="Y75" s="78">
        <v>2000.06</v>
      </c>
      <c r="Z75" s="78">
        <v>660.8</v>
      </c>
      <c r="AA75" s="78">
        <v>0</v>
      </c>
      <c r="AB75" s="399">
        <v>0</v>
      </c>
      <c r="AC75" s="399">
        <v>0</v>
      </c>
      <c r="AD75" s="78">
        <v>8627</v>
      </c>
      <c r="AE75" s="78">
        <v>8627</v>
      </c>
      <c r="AF75" s="78">
        <v>701</v>
      </c>
      <c r="AG75" s="78">
        <v>0</v>
      </c>
      <c r="AH75" s="78">
        <v>187</v>
      </c>
      <c r="AI75" s="78">
        <v>50</v>
      </c>
      <c r="AJ75" s="78">
        <v>187</v>
      </c>
      <c r="AK75" s="78">
        <v>50</v>
      </c>
      <c r="AL75" s="78">
        <v>237</v>
      </c>
      <c r="AM75" s="78">
        <v>16670</v>
      </c>
      <c r="AN75" s="78">
        <v>16670</v>
      </c>
      <c r="AO75" s="78">
        <v>0</v>
      </c>
      <c r="AP75" s="78">
        <v>0</v>
      </c>
      <c r="AQ75" s="78">
        <v>0</v>
      </c>
      <c r="AR75" s="78">
        <v>0</v>
      </c>
      <c r="AS75" s="78">
        <v>1067</v>
      </c>
      <c r="AT75" s="78">
        <v>0</v>
      </c>
      <c r="AU75" s="400">
        <v>3.8512900000000001E-4</v>
      </c>
      <c r="AV75" s="400">
        <v>2.6932900000000001E-4</v>
      </c>
      <c r="AW75" s="78">
        <v>10852.17</v>
      </c>
      <c r="AX75" s="78">
        <v>0</v>
      </c>
      <c r="AY75" s="78">
        <v>1887</v>
      </c>
      <c r="AZ75" s="78">
        <v>7250.2342409948496</v>
      </c>
      <c r="BA75" s="78">
        <v>12</v>
      </c>
      <c r="BB75" s="78">
        <v>12</v>
      </c>
      <c r="BC75" s="78">
        <v>4105</v>
      </c>
      <c r="BD75" s="78">
        <v>1</v>
      </c>
      <c r="BE75" s="78">
        <v>0</v>
      </c>
      <c r="BF75" s="78">
        <v>0</v>
      </c>
      <c r="BG75" s="78">
        <v>0</v>
      </c>
      <c r="BH75" s="78">
        <v>0</v>
      </c>
      <c r="BI75" s="78">
        <v>0</v>
      </c>
      <c r="BJ75" s="78">
        <v>0</v>
      </c>
      <c r="BK75" s="78">
        <v>0</v>
      </c>
      <c r="BL75" s="78">
        <v>0</v>
      </c>
      <c r="BM75" s="78">
        <v>509.43599999999998</v>
      </c>
      <c r="BN75" s="78">
        <v>67</v>
      </c>
      <c r="BO75" s="78">
        <v>58</v>
      </c>
      <c r="BP75" s="78">
        <v>10183.040000000001</v>
      </c>
      <c r="BQ75" s="78">
        <v>2171</v>
      </c>
      <c r="BR75" s="78">
        <v>197.85866009852199</v>
      </c>
      <c r="BS75" s="78">
        <v>348</v>
      </c>
      <c r="BT75" s="78">
        <v>175.666666666667</v>
      </c>
      <c r="BU75" s="78">
        <v>153.333333333333</v>
      </c>
      <c r="BV75" s="78">
        <v>2013</v>
      </c>
      <c r="BW75" s="78">
        <v>687</v>
      </c>
      <c r="BX75" s="78">
        <v>6982.0138189088802</v>
      </c>
      <c r="BY75" s="402">
        <v>1.913</v>
      </c>
      <c r="BZ75" s="78">
        <v>25922</v>
      </c>
      <c r="CA75" s="78">
        <v>4970</v>
      </c>
      <c r="CB75" s="78">
        <v>1077</v>
      </c>
      <c r="CC75" s="78">
        <v>1121</v>
      </c>
      <c r="CD75" s="78">
        <v>987</v>
      </c>
      <c r="CE75" s="78">
        <v>484</v>
      </c>
      <c r="CF75" s="78">
        <v>655.91145770845799</v>
      </c>
      <c r="CG75" s="78">
        <v>427.942231553689</v>
      </c>
      <c r="CH75" s="78">
        <v>143.349070185963</v>
      </c>
      <c r="CI75" s="78">
        <v>1449.2516000000001</v>
      </c>
      <c r="CJ75" s="78">
        <v>945.54830000000004</v>
      </c>
      <c r="CK75" s="78">
        <v>316.73309999999998</v>
      </c>
      <c r="CL75" s="78">
        <v>160408</v>
      </c>
    </row>
    <row r="76" spans="1:90" x14ac:dyDescent="0.35">
      <c r="A76" s="72">
        <v>1859</v>
      </c>
      <c r="B76" s="72" t="s">
        <v>45</v>
      </c>
      <c r="C76" s="72">
        <v>5</v>
      </c>
      <c r="D76" s="78">
        <v>4466800000</v>
      </c>
      <c r="E76" s="78">
        <v>609350000</v>
      </c>
      <c r="F76" s="78">
        <v>722750000</v>
      </c>
      <c r="G76" s="78">
        <v>43850</v>
      </c>
      <c r="H76" s="78">
        <v>5</v>
      </c>
      <c r="I76" s="78">
        <v>722.75</v>
      </c>
      <c r="J76" s="78">
        <v>7562</v>
      </c>
      <c r="K76" s="78">
        <v>11329</v>
      </c>
      <c r="L76" s="78">
        <v>3943</v>
      </c>
      <c r="M76" s="78">
        <v>5741</v>
      </c>
      <c r="N76" s="78">
        <v>3700.7</v>
      </c>
      <c r="O76" s="78">
        <v>529.33333333333303</v>
      </c>
      <c r="P76" s="78">
        <v>129</v>
      </c>
      <c r="Q76" s="78">
        <v>2789.3333333333298</v>
      </c>
      <c r="R76" s="78">
        <v>5769</v>
      </c>
      <c r="S76" s="78">
        <v>675</v>
      </c>
      <c r="T76" s="78">
        <v>0</v>
      </c>
      <c r="U76" s="78">
        <v>1044</v>
      </c>
      <c r="V76" s="78">
        <v>19686</v>
      </c>
      <c r="W76" s="78">
        <v>42250</v>
      </c>
      <c r="X76" s="78">
        <v>18740</v>
      </c>
      <c r="Y76" s="78">
        <v>2042.22</v>
      </c>
      <c r="Z76" s="78">
        <v>954.4</v>
      </c>
      <c r="AA76" s="78">
        <v>0</v>
      </c>
      <c r="AB76" s="399">
        <v>0</v>
      </c>
      <c r="AC76" s="399">
        <v>0</v>
      </c>
      <c r="AD76" s="78">
        <v>25803</v>
      </c>
      <c r="AE76" s="78">
        <v>25803</v>
      </c>
      <c r="AF76" s="78">
        <v>219</v>
      </c>
      <c r="AG76" s="78">
        <v>0</v>
      </c>
      <c r="AH76" s="78">
        <v>266</v>
      </c>
      <c r="AI76" s="78">
        <v>276</v>
      </c>
      <c r="AJ76" s="78">
        <v>266</v>
      </c>
      <c r="AK76" s="78">
        <v>276</v>
      </c>
      <c r="AL76" s="78">
        <v>541</v>
      </c>
      <c r="AM76" s="78">
        <v>20403</v>
      </c>
      <c r="AN76" s="78">
        <v>20403</v>
      </c>
      <c r="AO76" s="78">
        <v>5</v>
      </c>
      <c r="AP76" s="78">
        <v>0</v>
      </c>
      <c r="AQ76" s="78">
        <v>0</v>
      </c>
      <c r="AR76" s="78">
        <v>1750</v>
      </c>
      <c r="AS76" s="78">
        <v>1204</v>
      </c>
      <c r="AT76" s="78">
        <v>524</v>
      </c>
      <c r="AU76" s="400">
        <v>7.9470400000000003E-4</v>
      </c>
      <c r="AV76" s="400">
        <v>2.69938E-4</v>
      </c>
      <c r="AW76" s="78">
        <v>13404.771000000001</v>
      </c>
      <c r="AX76" s="78">
        <v>0</v>
      </c>
      <c r="AY76" s="78">
        <v>3454</v>
      </c>
      <c r="AZ76" s="78">
        <v>5820.3789101529501</v>
      </c>
      <c r="BA76" s="78">
        <v>22</v>
      </c>
      <c r="BB76" s="78">
        <v>22</v>
      </c>
      <c r="BC76" s="78">
        <v>5195</v>
      </c>
      <c r="BD76" s="78">
        <v>1</v>
      </c>
      <c r="BE76" s="78">
        <v>0</v>
      </c>
      <c r="BF76" s="78">
        <v>0</v>
      </c>
      <c r="BG76" s="78">
        <v>0</v>
      </c>
      <c r="BH76" s="78">
        <v>0</v>
      </c>
      <c r="BI76" s="78">
        <v>0</v>
      </c>
      <c r="BJ76" s="78">
        <v>0</v>
      </c>
      <c r="BK76" s="78">
        <v>0</v>
      </c>
      <c r="BL76" s="78">
        <v>0</v>
      </c>
      <c r="BM76" s="78">
        <v>574.71199999999999</v>
      </c>
      <c r="BN76" s="78">
        <v>154</v>
      </c>
      <c r="BO76" s="78">
        <v>59</v>
      </c>
      <c r="BP76" s="78">
        <v>12185.6</v>
      </c>
      <c r="BQ76" s="78">
        <v>2581.6799999999998</v>
      </c>
      <c r="BR76" s="78">
        <v>183.04345596746401</v>
      </c>
      <c r="BS76" s="78">
        <v>402</v>
      </c>
      <c r="BT76" s="78">
        <v>135.666666666667</v>
      </c>
      <c r="BU76" s="78">
        <v>113</v>
      </c>
      <c r="BV76" s="78">
        <v>2259.9999999999968</v>
      </c>
      <c r="BW76" s="78">
        <v>634</v>
      </c>
      <c r="BX76" s="78">
        <v>8624.2667061989705</v>
      </c>
      <c r="BY76" s="402">
        <v>1.0169999999999999</v>
      </c>
      <c r="BZ76" s="78">
        <v>32521</v>
      </c>
      <c r="CA76" s="78">
        <v>6169</v>
      </c>
      <c r="CB76" s="78">
        <v>1217</v>
      </c>
      <c r="CC76" s="78">
        <v>1055</v>
      </c>
      <c r="CD76" s="78">
        <v>1222</v>
      </c>
      <c r="CE76" s="78">
        <v>584</v>
      </c>
      <c r="CF76" s="78">
        <v>672.55774150860202</v>
      </c>
      <c r="CG76" s="78">
        <v>484.10372494241</v>
      </c>
      <c r="CH76" s="78">
        <v>154.535921188061</v>
      </c>
      <c r="CI76" s="78">
        <v>1817.2908</v>
      </c>
      <c r="CJ76" s="78">
        <v>1308.0769</v>
      </c>
      <c r="CK76" s="78">
        <v>417.5652</v>
      </c>
      <c r="CL76" s="78">
        <v>3952</v>
      </c>
    </row>
    <row r="77" spans="1:90" x14ac:dyDescent="0.35">
      <c r="A77" s="72">
        <v>209</v>
      </c>
      <c r="B77" s="72" t="s">
        <v>48</v>
      </c>
      <c r="C77" s="72">
        <v>5</v>
      </c>
      <c r="D77" s="78">
        <v>2953600000</v>
      </c>
      <c r="E77" s="78">
        <v>235900000</v>
      </c>
      <c r="F77" s="78">
        <v>249550000</v>
      </c>
      <c r="G77" s="78">
        <v>26235</v>
      </c>
      <c r="H77" s="78">
        <v>3</v>
      </c>
      <c r="I77" s="78">
        <v>249.55</v>
      </c>
      <c r="J77" s="78">
        <v>4821</v>
      </c>
      <c r="K77" s="78">
        <v>5531</v>
      </c>
      <c r="L77" s="78">
        <v>1676</v>
      </c>
      <c r="M77" s="78">
        <v>3004</v>
      </c>
      <c r="N77" s="78">
        <v>1841.2</v>
      </c>
      <c r="O77" s="78">
        <v>372</v>
      </c>
      <c r="P77" s="78">
        <v>21</v>
      </c>
      <c r="Q77" s="78">
        <v>1555</v>
      </c>
      <c r="R77" s="78">
        <v>3309</v>
      </c>
      <c r="S77" s="78">
        <v>720</v>
      </c>
      <c r="T77" s="78">
        <v>0</v>
      </c>
      <c r="U77" s="78">
        <v>764</v>
      </c>
      <c r="V77" s="78">
        <v>11570</v>
      </c>
      <c r="W77" s="78">
        <v>22220</v>
      </c>
      <c r="X77" s="78">
        <v>9230</v>
      </c>
      <c r="Y77" s="78">
        <v>156.41999999999999</v>
      </c>
      <c r="Z77" s="78">
        <v>0</v>
      </c>
      <c r="AA77" s="78">
        <v>0</v>
      </c>
      <c r="AB77" s="399">
        <v>0</v>
      </c>
      <c r="AC77" s="399">
        <v>0</v>
      </c>
      <c r="AD77" s="78">
        <v>4312</v>
      </c>
      <c r="AE77" s="78">
        <v>4355.12</v>
      </c>
      <c r="AF77" s="78">
        <v>397</v>
      </c>
      <c r="AG77" s="78">
        <v>0</v>
      </c>
      <c r="AH77" s="78">
        <v>135</v>
      </c>
      <c r="AI77" s="78">
        <v>42</v>
      </c>
      <c r="AJ77" s="78">
        <v>136.35</v>
      </c>
      <c r="AK77" s="78">
        <v>42</v>
      </c>
      <c r="AL77" s="78">
        <v>177</v>
      </c>
      <c r="AM77" s="78">
        <v>11628</v>
      </c>
      <c r="AN77" s="78">
        <v>11744.28</v>
      </c>
      <c r="AO77" s="78">
        <v>0</v>
      </c>
      <c r="AP77" s="78">
        <v>0</v>
      </c>
      <c r="AQ77" s="78">
        <v>0</v>
      </c>
      <c r="AR77" s="78">
        <v>0</v>
      </c>
      <c r="AS77" s="78">
        <v>0</v>
      </c>
      <c r="AT77" s="78">
        <v>0</v>
      </c>
      <c r="AU77" s="400">
        <v>1.41142E-4</v>
      </c>
      <c r="AV77" s="400">
        <v>8.6934000000000005E-5</v>
      </c>
      <c r="AW77" s="78">
        <v>11697.768</v>
      </c>
      <c r="AX77" s="78">
        <v>0</v>
      </c>
      <c r="AY77" s="78">
        <v>1511.97</v>
      </c>
      <c r="AZ77" s="78">
        <v>8513.5889891696697</v>
      </c>
      <c r="BA77" s="78">
        <v>6</v>
      </c>
      <c r="BB77" s="78">
        <v>6</v>
      </c>
      <c r="BC77" s="78">
        <v>3095</v>
      </c>
      <c r="BD77" s="78">
        <v>1</v>
      </c>
      <c r="BE77" s="78">
        <v>0</v>
      </c>
      <c r="BF77" s="78">
        <v>0</v>
      </c>
      <c r="BG77" s="78">
        <v>0</v>
      </c>
      <c r="BH77" s="78">
        <v>0</v>
      </c>
      <c r="BI77" s="78">
        <v>0</v>
      </c>
      <c r="BJ77" s="78">
        <v>0</v>
      </c>
      <c r="BK77" s="78">
        <v>0</v>
      </c>
      <c r="BL77" s="78">
        <v>0</v>
      </c>
      <c r="BM77" s="78">
        <v>443.53199999999998</v>
      </c>
      <c r="BN77" s="78">
        <v>42</v>
      </c>
      <c r="BO77" s="78">
        <v>39</v>
      </c>
      <c r="BP77" s="78">
        <v>8076.96</v>
      </c>
      <c r="BQ77" s="78">
        <v>1927.86</v>
      </c>
      <c r="BR77" s="78">
        <v>194.01641626794299</v>
      </c>
      <c r="BS77" s="78">
        <v>280</v>
      </c>
      <c r="BT77" s="78">
        <v>103</v>
      </c>
      <c r="BU77" s="78">
        <v>90.6666666666667</v>
      </c>
      <c r="BV77" s="78">
        <v>1183</v>
      </c>
      <c r="BW77" s="78">
        <v>267</v>
      </c>
      <c r="BX77" s="78">
        <v>4503.5496272508299</v>
      </c>
      <c r="BY77" s="402">
        <v>0.65900000000000003</v>
      </c>
      <c r="BZ77" s="78">
        <v>20704</v>
      </c>
      <c r="CA77" s="78">
        <v>3324</v>
      </c>
      <c r="CB77" s="78">
        <v>531</v>
      </c>
      <c r="CC77" s="78">
        <v>611</v>
      </c>
      <c r="CD77" s="78">
        <v>512</v>
      </c>
      <c r="CE77" s="78">
        <v>260</v>
      </c>
      <c r="CF77" s="78">
        <v>325.07598899208801</v>
      </c>
      <c r="CG77" s="78">
        <v>181.30151358789101</v>
      </c>
      <c r="CH77" s="78">
        <v>59.061541107671097</v>
      </c>
      <c r="CI77" s="78">
        <v>851.78970000000004</v>
      </c>
      <c r="CJ77" s="78">
        <v>475.06049999999999</v>
      </c>
      <c r="CK77" s="78">
        <v>154.7577</v>
      </c>
      <c r="CL77" s="78">
        <v>15876</v>
      </c>
    </row>
    <row r="78" spans="1:90" x14ac:dyDescent="0.35">
      <c r="A78" s="72">
        <v>1876</v>
      </c>
      <c r="B78" s="72" t="s">
        <v>62</v>
      </c>
      <c r="C78" s="72">
        <v>5</v>
      </c>
      <c r="D78" s="78">
        <v>4434400000</v>
      </c>
      <c r="E78" s="78">
        <v>458150000</v>
      </c>
      <c r="F78" s="78">
        <v>547750000</v>
      </c>
      <c r="G78" s="78">
        <v>36077</v>
      </c>
      <c r="H78" s="78">
        <v>6</v>
      </c>
      <c r="I78" s="78">
        <v>547.75</v>
      </c>
      <c r="J78" s="78">
        <v>5954</v>
      </c>
      <c r="K78" s="78">
        <v>9798</v>
      </c>
      <c r="L78" s="78">
        <v>3259</v>
      </c>
      <c r="M78" s="78">
        <v>4359</v>
      </c>
      <c r="N78" s="78">
        <v>2681.2</v>
      </c>
      <c r="O78" s="78">
        <v>296.66666666666703</v>
      </c>
      <c r="P78" s="78">
        <v>63</v>
      </c>
      <c r="Q78" s="78">
        <v>1900.6666666666699</v>
      </c>
      <c r="R78" s="78">
        <v>4509</v>
      </c>
      <c r="S78" s="78">
        <v>375</v>
      </c>
      <c r="T78" s="78">
        <v>0</v>
      </c>
      <c r="U78" s="78">
        <v>773</v>
      </c>
      <c r="V78" s="78">
        <v>16113</v>
      </c>
      <c r="W78" s="78">
        <v>28720</v>
      </c>
      <c r="X78" s="78">
        <v>6800</v>
      </c>
      <c r="Y78" s="78">
        <v>0</v>
      </c>
      <c r="Z78" s="78">
        <v>288</v>
      </c>
      <c r="AA78" s="78">
        <v>0</v>
      </c>
      <c r="AB78" s="399">
        <v>0</v>
      </c>
      <c r="AC78" s="399">
        <v>0</v>
      </c>
      <c r="AD78" s="78">
        <v>28349</v>
      </c>
      <c r="AE78" s="78">
        <v>28349</v>
      </c>
      <c r="AF78" s="78">
        <v>294</v>
      </c>
      <c r="AG78" s="78">
        <v>0</v>
      </c>
      <c r="AH78" s="78">
        <v>190</v>
      </c>
      <c r="AI78" s="78">
        <v>261</v>
      </c>
      <c r="AJ78" s="78">
        <v>190</v>
      </c>
      <c r="AK78" s="78">
        <v>261</v>
      </c>
      <c r="AL78" s="78">
        <v>452</v>
      </c>
      <c r="AM78" s="78">
        <v>16778</v>
      </c>
      <c r="AN78" s="78">
        <v>16778</v>
      </c>
      <c r="AO78" s="78">
        <v>0</v>
      </c>
      <c r="AP78" s="78">
        <v>0</v>
      </c>
      <c r="AQ78" s="78">
        <v>0</v>
      </c>
      <c r="AR78" s="78">
        <v>0</v>
      </c>
      <c r="AS78" s="78">
        <v>0</v>
      </c>
      <c r="AT78" s="78">
        <v>0</v>
      </c>
      <c r="AU78" s="400">
        <v>6.80644E-4</v>
      </c>
      <c r="AV78" s="400">
        <v>1.5694299999999999E-4</v>
      </c>
      <c r="AW78" s="78">
        <v>6392.4179999999997</v>
      </c>
      <c r="AX78" s="78">
        <v>0</v>
      </c>
      <c r="AY78" s="78">
        <v>3514</v>
      </c>
      <c r="AZ78" s="78">
        <v>4426.0230422790901</v>
      </c>
      <c r="BA78" s="78">
        <v>24</v>
      </c>
      <c r="BB78" s="78">
        <v>24</v>
      </c>
      <c r="BC78" s="78">
        <v>5250</v>
      </c>
      <c r="BD78" s="78">
        <v>1</v>
      </c>
      <c r="BE78" s="78">
        <v>0</v>
      </c>
      <c r="BF78" s="78">
        <v>0</v>
      </c>
      <c r="BG78" s="78">
        <v>0</v>
      </c>
      <c r="BH78" s="78">
        <v>0</v>
      </c>
      <c r="BI78" s="78">
        <v>0</v>
      </c>
      <c r="BJ78" s="78">
        <v>0</v>
      </c>
      <c r="BK78" s="78">
        <v>0</v>
      </c>
      <c r="BL78" s="78">
        <v>0</v>
      </c>
      <c r="BM78" s="78">
        <v>464.41199999999998</v>
      </c>
      <c r="BN78" s="78">
        <v>85</v>
      </c>
      <c r="BO78" s="78">
        <v>24</v>
      </c>
      <c r="BP78" s="78">
        <v>10786.08</v>
      </c>
      <c r="BQ78" s="78">
        <v>2144.34</v>
      </c>
      <c r="BR78" s="78">
        <v>146.59638855596401</v>
      </c>
      <c r="BS78" s="78">
        <v>298</v>
      </c>
      <c r="BT78" s="78">
        <v>77.6666666666667</v>
      </c>
      <c r="BU78" s="78">
        <v>61.6666666666667</v>
      </c>
      <c r="BV78" s="78">
        <v>1604.000000000003</v>
      </c>
      <c r="BW78" s="78">
        <v>447</v>
      </c>
      <c r="BX78" s="78">
        <v>7491.4834738271402</v>
      </c>
      <c r="BY78" s="402">
        <v>0.24399999999999999</v>
      </c>
      <c r="BZ78" s="78">
        <v>26279</v>
      </c>
      <c r="CA78" s="78">
        <v>5454</v>
      </c>
      <c r="CB78" s="78">
        <v>1085</v>
      </c>
      <c r="CC78" s="78">
        <v>908</v>
      </c>
      <c r="CD78" s="78">
        <v>1046</v>
      </c>
      <c r="CE78" s="78">
        <v>556</v>
      </c>
      <c r="CF78" s="78">
        <v>522.88034330671098</v>
      </c>
      <c r="CG78" s="78">
        <v>357.642484205507</v>
      </c>
      <c r="CH78" s="78">
        <v>127.683800214567</v>
      </c>
      <c r="CI78" s="78">
        <v>1406.3055999999999</v>
      </c>
      <c r="CJ78" s="78">
        <v>961.89239999999995</v>
      </c>
      <c r="CK78" s="78">
        <v>343.41019999999997</v>
      </c>
      <c r="CL78" s="78">
        <v>12822</v>
      </c>
    </row>
    <row r="79" spans="1:90" x14ac:dyDescent="0.35">
      <c r="A79" s="72">
        <v>213</v>
      </c>
      <c r="B79" s="72" t="s">
        <v>63</v>
      </c>
      <c r="C79" s="72">
        <v>5</v>
      </c>
      <c r="D79" s="78">
        <v>2388400000</v>
      </c>
      <c r="E79" s="78">
        <v>226450000</v>
      </c>
      <c r="F79" s="78">
        <v>255150000</v>
      </c>
      <c r="G79" s="78">
        <v>20890</v>
      </c>
      <c r="H79" s="78">
        <v>2</v>
      </c>
      <c r="I79" s="78">
        <v>255.15</v>
      </c>
      <c r="J79" s="78">
        <v>3405</v>
      </c>
      <c r="K79" s="78">
        <v>5495</v>
      </c>
      <c r="L79" s="78">
        <v>1947</v>
      </c>
      <c r="M79" s="78">
        <v>2534</v>
      </c>
      <c r="N79" s="78">
        <v>1530.1</v>
      </c>
      <c r="O79" s="78">
        <v>264.66666666666703</v>
      </c>
      <c r="P79" s="78">
        <v>56</v>
      </c>
      <c r="Q79" s="78">
        <v>1365.6666666666699</v>
      </c>
      <c r="R79" s="78">
        <v>2727</v>
      </c>
      <c r="S79" s="78">
        <v>900</v>
      </c>
      <c r="T79" s="78">
        <v>0</v>
      </c>
      <c r="U79" s="78">
        <v>529</v>
      </c>
      <c r="V79" s="78">
        <v>9581</v>
      </c>
      <c r="W79" s="78">
        <v>18370</v>
      </c>
      <c r="X79" s="78">
        <v>5320</v>
      </c>
      <c r="Y79" s="78">
        <v>335.62</v>
      </c>
      <c r="Z79" s="78">
        <v>0</v>
      </c>
      <c r="AA79" s="78">
        <v>0</v>
      </c>
      <c r="AB79" s="399">
        <v>0</v>
      </c>
      <c r="AC79" s="399">
        <v>0</v>
      </c>
      <c r="AD79" s="78">
        <v>8362</v>
      </c>
      <c r="AE79" s="78">
        <v>8362</v>
      </c>
      <c r="AF79" s="78">
        <v>140</v>
      </c>
      <c r="AG79" s="78">
        <v>0</v>
      </c>
      <c r="AH79" s="78">
        <v>121</v>
      </c>
      <c r="AI79" s="78">
        <v>61</v>
      </c>
      <c r="AJ79" s="78">
        <v>121</v>
      </c>
      <c r="AK79" s="78">
        <v>61</v>
      </c>
      <c r="AL79" s="78">
        <v>181</v>
      </c>
      <c r="AM79" s="78">
        <v>10039</v>
      </c>
      <c r="AN79" s="78">
        <v>10039</v>
      </c>
      <c r="AO79" s="78">
        <v>0</v>
      </c>
      <c r="AP79" s="78">
        <v>0</v>
      </c>
      <c r="AQ79" s="78">
        <v>0</v>
      </c>
      <c r="AR79" s="78">
        <v>0</v>
      </c>
      <c r="AS79" s="78">
        <v>509</v>
      </c>
      <c r="AT79" s="78">
        <v>0</v>
      </c>
      <c r="AU79" s="400">
        <v>3.5796299999999999E-4</v>
      </c>
      <c r="AV79" s="400">
        <v>1.11223E-4</v>
      </c>
      <c r="AW79" s="78">
        <v>7840.4589999999998</v>
      </c>
      <c r="AX79" s="78">
        <v>0</v>
      </c>
      <c r="AY79" s="78">
        <v>1348</v>
      </c>
      <c r="AZ79" s="78">
        <v>3312.1289108445098</v>
      </c>
      <c r="BA79" s="78">
        <v>7</v>
      </c>
      <c r="BB79" s="78">
        <v>7</v>
      </c>
      <c r="BC79" s="78">
        <v>2420</v>
      </c>
      <c r="BD79" s="78">
        <v>1</v>
      </c>
      <c r="BE79" s="78">
        <v>0</v>
      </c>
      <c r="BF79" s="78">
        <v>0</v>
      </c>
      <c r="BG79" s="78">
        <v>0</v>
      </c>
      <c r="BH79" s="78">
        <v>0</v>
      </c>
      <c r="BI79" s="78">
        <v>0</v>
      </c>
      <c r="BJ79" s="78">
        <v>0</v>
      </c>
      <c r="BK79" s="78">
        <v>0</v>
      </c>
      <c r="BL79" s="78">
        <v>0</v>
      </c>
      <c r="BM79" s="78">
        <v>306.45</v>
      </c>
      <c r="BN79" s="78">
        <v>67</v>
      </c>
      <c r="BO79" s="78">
        <v>34</v>
      </c>
      <c r="BP79" s="78">
        <v>6340.41</v>
      </c>
      <c r="BQ79" s="78">
        <v>1232</v>
      </c>
      <c r="BR79" s="78">
        <v>162.460977318212</v>
      </c>
      <c r="BS79" s="78">
        <v>184</v>
      </c>
      <c r="BT79" s="78">
        <v>64</v>
      </c>
      <c r="BU79" s="78">
        <v>54.6666666666667</v>
      </c>
      <c r="BV79" s="78">
        <v>1101.000000000003</v>
      </c>
      <c r="BW79" s="78">
        <v>338</v>
      </c>
      <c r="BX79" s="78">
        <v>4710.2728787588603</v>
      </c>
      <c r="BY79" s="402">
        <v>0.39</v>
      </c>
      <c r="BZ79" s="78">
        <v>15395</v>
      </c>
      <c r="CA79" s="78">
        <v>2900</v>
      </c>
      <c r="CB79" s="78">
        <v>648</v>
      </c>
      <c r="CC79" s="78">
        <v>511</v>
      </c>
      <c r="CD79" s="78">
        <v>581</v>
      </c>
      <c r="CE79" s="78">
        <v>292</v>
      </c>
      <c r="CF79" s="78">
        <v>266.270016933958</v>
      </c>
      <c r="CG79" s="78">
        <v>197.22575953780299</v>
      </c>
      <c r="CH79" s="78">
        <v>67.062854866022505</v>
      </c>
      <c r="CI79" s="78">
        <v>750.86059999999998</v>
      </c>
      <c r="CJ79" s="78">
        <v>556.16120000000001</v>
      </c>
      <c r="CK79" s="78">
        <v>189.11199999999999</v>
      </c>
      <c r="CL79" s="78">
        <v>70080</v>
      </c>
    </row>
    <row r="80" spans="1:90" x14ac:dyDescent="0.35">
      <c r="A80" s="72">
        <v>214</v>
      </c>
      <c r="B80" s="72" t="s">
        <v>67</v>
      </c>
      <c r="C80" s="72">
        <v>5</v>
      </c>
      <c r="D80" s="78">
        <v>3269200000</v>
      </c>
      <c r="E80" s="78">
        <v>304150000</v>
      </c>
      <c r="F80" s="78">
        <v>343700000</v>
      </c>
      <c r="G80" s="78">
        <v>27155</v>
      </c>
      <c r="H80" s="78">
        <v>8</v>
      </c>
      <c r="I80" s="78">
        <v>343.7</v>
      </c>
      <c r="J80" s="78">
        <v>5107</v>
      </c>
      <c r="K80" s="78">
        <v>5722</v>
      </c>
      <c r="L80" s="78">
        <v>1811</v>
      </c>
      <c r="M80" s="78">
        <v>2800</v>
      </c>
      <c r="N80" s="78">
        <v>1657.3</v>
      </c>
      <c r="O80" s="78">
        <v>204.666666666667</v>
      </c>
      <c r="P80" s="78">
        <v>13</v>
      </c>
      <c r="Q80" s="78">
        <v>1199.6666666666699</v>
      </c>
      <c r="R80" s="78">
        <v>2967</v>
      </c>
      <c r="S80" s="78">
        <v>420</v>
      </c>
      <c r="T80" s="78">
        <v>0</v>
      </c>
      <c r="U80" s="78">
        <v>654</v>
      </c>
      <c r="V80" s="78">
        <v>11454</v>
      </c>
      <c r="W80" s="78">
        <v>17880</v>
      </c>
      <c r="X80" s="78">
        <v>1040</v>
      </c>
      <c r="Y80" s="78">
        <v>0</v>
      </c>
      <c r="Z80" s="78">
        <v>0</v>
      </c>
      <c r="AA80" s="78">
        <v>0</v>
      </c>
      <c r="AB80" s="399">
        <v>0</v>
      </c>
      <c r="AC80" s="399">
        <v>0</v>
      </c>
      <c r="AD80" s="78">
        <v>13358</v>
      </c>
      <c r="AE80" s="78">
        <v>15228.12</v>
      </c>
      <c r="AF80" s="78">
        <v>934</v>
      </c>
      <c r="AG80" s="78">
        <v>0</v>
      </c>
      <c r="AH80" s="78">
        <v>159</v>
      </c>
      <c r="AI80" s="78">
        <v>120</v>
      </c>
      <c r="AJ80" s="78">
        <v>171.72</v>
      </c>
      <c r="AK80" s="78">
        <v>138</v>
      </c>
      <c r="AL80" s="78">
        <v>279</v>
      </c>
      <c r="AM80" s="78">
        <v>11427</v>
      </c>
      <c r="AN80" s="78">
        <v>12341.16</v>
      </c>
      <c r="AO80" s="78">
        <v>6</v>
      </c>
      <c r="AP80" s="78">
        <v>0</v>
      </c>
      <c r="AQ80" s="78">
        <v>0</v>
      </c>
      <c r="AR80" s="78">
        <v>1150</v>
      </c>
      <c r="AS80" s="78">
        <v>0</v>
      </c>
      <c r="AT80" s="78">
        <v>0</v>
      </c>
      <c r="AU80" s="400">
        <v>3.7707300000000001E-4</v>
      </c>
      <c r="AV80" s="400">
        <v>8.2724000000000003E-5</v>
      </c>
      <c r="AW80" s="78">
        <v>3359.538</v>
      </c>
      <c r="AX80" s="78">
        <v>0</v>
      </c>
      <c r="AY80" s="78">
        <v>3735.78</v>
      </c>
      <c r="AZ80" s="78">
        <v>9783.8940596137709</v>
      </c>
      <c r="BA80" s="78">
        <v>21</v>
      </c>
      <c r="BB80" s="78">
        <v>24.15</v>
      </c>
      <c r="BC80" s="78">
        <v>4245</v>
      </c>
      <c r="BD80" s="78">
        <v>1</v>
      </c>
      <c r="BE80" s="78">
        <v>0</v>
      </c>
      <c r="BF80" s="78">
        <v>0</v>
      </c>
      <c r="BG80" s="78">
        <v>0</v>
      </c>
      <c r="BH80" s="78">
        <v>0</v>
      </c>
      <c r="BI80" s="78">
        <v>0</v>
      </c>
      <c r="BJ80" s="78">
        <v>0</v>
      </c>
      <c r="BK80" s="78">
        <v>0</v>
      </c>
      <c r="BL80" s="78">
        <v>0</v>
      </c>
      <c r="BM80" s="78">
        <v>418.774</v>
      </c>
      <c r="BN80" s="78">
        <v>105</v>
      </c>
      <c r="BO80" s="78">
        <v>32</v>
      </c>
      <c r="BP80" s="78">
        <v>8587.24</v>
      </c>
      <c r="BQ80" s="78">
        <v>2048.4</v>
      </c>
      <c r="BR80" s="78">
        <v>138.22427784290699</v>
      </c>
      <c r="BS80" s="78">
        <v>237</v>
      </c>
      <c r="BT80" s="78">
        <v>70.3333333333333</v>
      </c>
      <c r="BU80" s="78">
        <v>48.3333333333333</v>
      </c>
      <c r="BV80" s="78">
        <v>995.00000000000296</v>
      </c>
      <c r="BW80" s="78">
        <v>203</v>
      </c>
      <c r="BX80" s="78">
        <v>4533.2934429264296</v>
      </c>
      <c r="BY80" s="402">
        <v>0.13700000000000001</v>
      </c>
      <c r="BZ80" s="78">
        <v>21433</v>
      </c>
      <c r="CA80" s="78">
        <v>3449</v>
      </c>
      <c r="CB80" s="78">
        <v>462</v>
      </c>
      <c r="CC80" s="78">
        <v>573</v>
      </c>
      <c r="CD80" s="78">
        <v>515</v>
      </c>
      <c r="CE80" s="78">
        <v>221</v>
      </c>
      <c r="CF80" s="78">
        <v>301.67007963595</v>
      </c>
      <c r="CG80" s="78">
        <v>175.780834864794</v>
      </c>
      <c r="CH80" s="78">
        <v>45.830646713923201</v>
      </c>
      <c r="CI80" s="78">
        <v>782.49599999999998</v>
      </c>
      <c r="CJ80" s="78">
        <v>455.95440000000002</v>
      </c>
      <c r="CK80" s="78">
        <v>118.8792</v>
      </c>
      <c r="CL80" s="78">
        <v>0</v>
      </c>
    </row>
    <row r="81" spans="1:90" x14ac:dyDescent="0.35">
      <c r="A81" s="72">
        <v>216</v>
      </c>
      <c r="B81" s="72" t="s">
        <v>73</v>
      </c>
      <c r="C81" s="72">
        <v>5</v>
      </c>
      <c r="D81" s="78">
        <v>3018400000</v>
      </c>
      <c r="E81" s="78">
        <v>362250000</v>
      </c>
      <c r="F81" s="78">
        <v>373100000</v>
      </c>
      <c r="G81" s="78">
        <v>29397</v>
      </c>
      <c r="H81" s="78">
        <v>1</v>
      </c>
      <c r="I81" s="78">
        <v>373.1</v>
      </c>
      <c r="J81" s="78">
        <v>6008</v>
      </c>
      <c r="K81" s="78">
        <v>5703</v>
      </c>
      <c r="L81" s="78">
        <v>1837</v>
      </c>
      <c r="M81" s="78">
        <v>3541</v>
      </c>
      <c r="N81" s="78">
        <v>2234.8999999999996</v>
      </c>
      <c r="O81" s="78">
        <v>477.66666666666703</v>
      </c>
      <c r="P81" s="78">
        <v>56</v>
      </c>
      <c r="Q81" s="78">
        <v>1738.6666666666699</v>
      </c>
      <c r="R81" s="78">
        <v>4351</v>
      </c>
      <c r="S81" s="78">
        <v>3210</v>
      </c>
      <c r="T81" s="78">
        <v>0</v>
      </c>
      <c r="U81" s="78">
        <v>923</v>
      </c>
      <c r="V81" s="78">
        <v>13128</v>
      </c>
      <c r="W81" s="78">
        <v>30860</v>
      </c>
      <c r="X81" s="78">
        <v>15880</v>
      </c>
      <c r="Y81" s="78">
        <v>616.72</v>
      </c>
      <c r="Z81" s="78">
        <v>3223.2</v>
      </c>
      <c r="AA81" s="78">
        <v>0</v>
      </c>
      <c r="AB81" s="399">
        <v>0</v>
      </c>
      <c r="AC81" s="399">
        <v>0</v>
      </c>
      <c r="AD81" s="78">
        <v>2927</v>
      </c>
      <c r="AE81" s="78">
        <v>3834.37</v>
      </c>
      <c r="AF81" s="78">
        <v>188</v>
      </c>
      <c r="AG81" s="78">
        <v>0</v>
      </c>
      <c r="AH81" s="78">
        <v>163</v>
      </c>
      <c r="AI81" s="78">
        <v>23</v>
      </c>
      <c r="AJ81" s="78">
        <v>210.27</v>
      </c>
      <c r="AK81" s="78">
        <v>30.36</v>
      </c>
      <c r="AL81" s="78">
        <v>186</v>
      </c>
      <c r="AM81" s="78">
        <v>13061</v>
      </c>
      <c r="AN81" s="78">
        <v>16848.689999999999</v>
      </c>
      <c r="AO81" s="78">
        <v>17</v>
      </c>
      <c r="AP81" s="78">
        <v>0</v>
      </c>
      <c r="AQ81" s="78">
        <v>0</v>
      </c>
      <c r="AR81" s="78">
        <v>3100</v>
      </c>
      <c r="AS81" s="78">
        <v>1899</v>
      </c>
      <c r="AT81" s="78">
        <v>1899</v>
      </c>
      <c r="AU81" s="400">
        <v>4.32459E-4</v>
      </c>
      <c r="AV81" s="400">
        <v>3.9749700000000002E-4</v>
      </c>
      <c r="AW81" s="78">
        <v>19356.401999999998</v>
      </c>
      <c r="AX81" s="78">
        <v>0</v>
      </c>
      <c r="AY81" s="78">
        <v>1560.21</v>
      </c>
      <c r="AZ81" s="78">
        <v>29831.3961187801</v>
      </c>
      <c r="BA81" s="78">
        <v>1</v>
      </c>
      <c r="BB81" s="78">
        <v>1.32</v>
      </c>
      <c r="BC81" s="78">
        <v>3820</v>
      </c>
      <c r="BD81" s="78">
        <v>1</v>
      </c>
      <c r="BE81" s="78">
        <v>0</v>
      </c>
      <c r="BF81" s="78">
        <v>0</v>
      </c>
      <c r="BG81" s="78">
        <v>0</v>
      </c>
      <c r="BH81" s="78">
        <v>0</v>
      </c>
      <c r="BI81" s="78">
        <v>0</v>
      </c>
      <c r="BJ81" s="78">
        <v>0</v>
      </c>
      <c r="BK81" s="78">
        <v>0</v>
      </c>
      <c r="BL81" s="78">
        <v>0</v>
      </c>
      <c r="BM81" s="78">
        <v>636.84799999999996</v>
      </c>
      <c r="BN81" s="78">
        <v>50</v>
      </c>
      <c r="BO81" s="78">
        <v>137</v>
      </c>
      <c r="BP81" s="78">
        <v>8892.0300000000007</v>
      </c>
      <c r="BQ81" s="78">
        <v>2244</v>
      </c>
      <c r="BR81" s="78">
        <v>270.89787837837798</v>
      </c>
      <c r="BS81" s="78">
        <v>340</v>
      </c>
      <c r="BT81" s="78">
        <v>134.333333333333</v>
      </c>
      <c r="BU81" s="78">
        <v>96</v>
      </c>
      <c r="BV81" s="78">
        <v>1261.000000000003</v>
      </c>
      <c r="BW81" s="78">
        <v>310</v>
      </c>
      <c r="BX81" s="78">
        <v>4642.0629978366096</v>
      </c>
      <c r="BY81" s="402">
        <v>0.88100000000000001</v>
      </c>
      <c r="BZ81" s="78">
        <v>23694</v>
      </c>
      <c r="CA81" s="78">
        <v>3312</v>
      </c>
      <c r="CB81" s="78">
        <v>554</v>
      </c>
      <c r="CC81" s="78">
        <v>777</v>
      </c>
      <c r="CD81" s="78">
        <v>680</v>
      </c>
      <c r="CE81" s="78">
        <v>286</v>
      </c>
      <c r="CF81" s="78">
        <v>360.36286654926897</v>
      </c>
      <c r="CG81" s="78">
        <v>227.75070055891601</v>
      </c>
      <c r="CH81" s="78">
        <v>69.471663731720398</v>
      </c>
      <c r="CI81" s="78">
        <v>913.16160000000002</v>
      </c>
      <c r="CJ81" s="78">
        <v>577.12159999999994</v>
      </c>
      <c r="CK81" s="78">
        <v>176.04159999999999</v>
      </c>
      <c r="CL81" s="78">
        <v>19845</v>
      </c>
    </row>
    <row r="82" spans="1:90" x14ac:dyDescent="0.35">
      <c r="A82" s="72">
        <v>221</v>
      </c>
      <c r="B82" s="72" t="s">
        <v>87</v>
      </c>
      <c r="C82" s="72">
        <v>5</v>
      </c>
      <c r="D82" s="78">
        <v>1078800000</v>
      </c>
      <c r="E82" s="78">
        <v>92400000</v>
      </c>
      <c r="F82" s="78">
        <v>98350000</v>
      </c>
      <c r="G82" s="78">
        <v>11036</v>
      </c>
      <c r="H82" s="78">
        <v>2</v>
      </c>
      <c r="I82" s="78">
        <v>98.35</v>
      </c>
      <c r="J82" s="78">
        <v>1695</v>
      </c>
      <c r="K82" s="78">
        <v>3034</v>
      </c>
      <c r="L82" s="78">
        <v>1009</v>
      </c>
      <c r="M82" s="78">
        <v>1951</v>
      </c>
      <c r="N82" s="78">
        <v>1416.1999999999998</v>
      </c>
      <c r="O82" s="78">
        <v>264.66666666666703</v>
      </c>
      <c r="P82" s="78">
        <v>19</v>
      </c>
      <c r="Q82" s="78">
        <v>1114.6666666666699</v>
      </c>
      <c r="R82" s="78">
        <v>1953</v>
      </c>
      <c r="S82" s="78">
        <v>920</v>
      </c>
      <c r="T82" s="78">
        <v>0</v>
      </c>
      <c r="U82" s="78">
        <v>418</v>
      </c>
      <c r="V82" s="78">
        <v>5404</v>
      </c>
      <c r="W82" s="78">
        <v>10800</v>
      </c>
      <c r="X82" s="78">
        <v>4340</v>
      </c>
      <c r="Y82" s="78">
        <v>0</v>
      </c>
      <c r="Z82" s="78">
        <v>0</v>
      </c>
      <c r="AA82" s="78">
        <v>0</v>
      </c>
      <c r="AB82" s="399">
        <v>0</v>
      </c>
      <c r="AC82" s="399">
        <v>0</v>
      </c>
      <c r="AD82" s="78">
        <v>1158</v>
      </c>
      <c r="AE82" s="78">
        <v>1158</v>
      </c>
      <c r="AF82" s="78">
        <v>137</v>
      </c>
      <c r="AG82" s="78">
        <v>0</v>
      </c>
      <c r="AH82" s="78">
        <v>53</v>
      </c>
      <c r="AI82" s="78">
        <v>10</v>
      </c>
      <c r="AJ82" s="78">
        <v>53</v>
      </c>
      <c r="AK82" s="78">
        <v>10</v>
      </c>
      <c r="AL82" s="78">
        <v>63</v>
      </c>
      <c r="AM82" s="78">
        <v>5348</v>
      </c>
      <c r="AN82" s="78">
        <v>5348</v>
      </c>
      <c r="AO82" s="78">
        <v>18</v>
      </c>
      <c r="AP82" s="78">
        <v>0</v>
      </c>
      <c r="AQ82" s="78">
        <v>0</v>
      </c>
      <c r="AR82" s="78">
        <v>7400</v>
      </c>
      <c r="AS82" s="78">
        <v>1178</v>
      </c>
      <c r="AT82" s="78">
        <v>1178</v>
      </c>
      <c r="AU82" s="400">
        <v>3.1146199999999998E-4</v>
      </c>
      <c r="AV82" s="400">
        <v>1.8726699999999999E-4</v>
      </c>
      <c r="AW82" s="78">
        <v>4262.3559999999998</v>
      </c>
      <c r="AX82" s="78">
        <v>0</v>
      </c>
      <c r="AY82" s="78">
        <v>605</v>
      </c>
      <c r="AZ82" s="78">
        <v>5155.81467181467</v>
      </c>
      <c r="BA82" s="78">
        <v>2</v>
      </c>
      <c r="BB82" s="78">
        <v>2</v>
      </c>
      <c r="BC82" s="78">
        <v>1170</v>
      </c>
      <c r="BD82" s="78">
        <v>1</v>
      </c>
      <c r="BE82" s="78">
        <v>0</v>
      </c>
      <c r="BF82" s="78">
        <v>0</v>
      </c>
      <c r="BG82" s="78">
        <v>0</v>
      </c>
      <c r="BH82" s="78">
        <v>0</v>
      </c>
      <c r="BI82" s="78">
        <v>0</v>
      </c>
      <c r="BJ82" s="78">
        <v>0</v>
      </c>
      <c r="BK82" s="78">
        <v>0</v>
      </c>
      <c r="BL82" s="78">
        <v>0</v>
      </c>
      <c r="BM82" s="78">
        <v>300.01499999999999</v>
      </c>
      <c r="BN82" s="78">
        <v>59</v>
      </c>
      <c r="BO82" s="78">
        <v>33</v>
      </c>
      <c r="BP82" s="78">
        <v>3174.6</v>
      </c>
      <c r="BQ82" s="78">
        <v>549.72</v>
      </c>
      <c r="BR82" s="78">
        <v>104.592969924812</v>
      </c>
      <c r="BS82" s="78">
        <v>150</v>
      </c>
      <c r="BT82" s="78">
        <v>60</v>
      </c>
      <c r="BU82" s="78">
        <v>57.3333333333333</v>
      </c>
      <c r="BV82" s="78">
        <v>850.00000000000296</v>
      </c>
      <c r="BW82" s="78">
        <v>239</v>
      </c>
      <c r="BX82" s="78">
        <v>2557.8303976861898</v>
      </c>
      <c r="BY82" s="402">
        <v>0.67700000000000005</v>
      </c>
      <c r="BZ82" s="78">
        <v>8002</v>
      </c>
      <c r="CA82" s="78">
        <v>1768</v>
      </c>
      <c r="CB82" s="78">
        <v>257</v>
      </c>
      <c r="CC82" s="78">
        <v>440</v>
      </c>
      <c r="CD82" s="78">
        <v>374</v>
      </c>
      <c r="CE82" s="78">
        <v>147</v>
      </c>
      <c r="CF82" s="78">
        <v>293.143866866118</v>
      </c>
      <c r="CG82" s="78">
        <v>195.95886312640201</v>
      </c>
      <c r="CH82" s="78">
        <v>52.6970456245325</v>
      </c>
      <c r="CI82" s="78">
        <v>596.89440000000002</v>
      </c>
      <c r="CJ82" s="78">
        <v>399.00799999999998</v>
      </c>
      <c r="CK82" s="78">
        <v>107.3008</v>
      </c>
      <c r="CL82" s="78">
        <v>6205</v>
      </c>
    </row>
    <row r="83" spans="1:90" x14ac:dyDescent="0.35">
      <c r="A83" s="72">
        <v>222</v>
      </c>
      <c r="B83" s="72" t="s">
        <v>88</v>
      </c>
      <c r="C83" s="72">
        <v>5</v>
      </c>
      <c r="D83" s="78">
        <v>5530400000</v>
      </c>
      <c r="E83" s="78">
        <v>842800000</v>
      </c>
      <c r="F83" s="78">
        <v>869400000</v>
      </c>
      <c r="G83" s="78">
        <v>58546</v>
      </c>
      <c r="H83" s="78">
        <v>3</v>
      </c>
      <c r="I83" s="78">
        <v>869.4</v>
      </c>
      <c r="J83" s="78">
        <v>10824</v>
      </c>
      <c r="K83" s="78">
        <v>12694</v>
      </c>
      <c r="L83" s="78">
        <v>4087</v>
      </c>
      <c r="M83" s="78">
        <v>8643</v>
      </c>
      <c r="N83" s="78">
        <v>5904.2999999999993</v>
      </c>
      <c r="O83" s="78">
        <v>1183</v>
      </c>
      <c r="P83" s="78">
        <v>170</v>
      </c>
      <c r="Q83" s="78">
        <v>5346</v>
      </c>
      <c r="R83" s="78">
        <v>9427</v>
      </c>
      <c r="S83" s="78">
        <v>2520</v>
      </c>
      <c r="T83" s="78">
        <v>0</v>
      </c>
      <c r="U83" s="78">
        <v>1844</v>
      </c>
      <c r="V83" s="78">
        <v>27625</v>
      </c>
      <c r="W83" s="78">
        <v>63840</v>
      </c>
      <c r="X83" s="78">
        <v>65420</v>
      </c>
      <c r="Y83" s="78">
        <v>3622.14</v>
      </c>
      <c r="Z83" s="78">
        <v>3598.4</v>
      </c>
      <c r="AA83" s="78">
        <v>0</v>
      </c>
      <c r="AB83" s="399">
        <v>0</v>
      </c>
      <c r="AC83" s="399">
        <v>0</v>
      </c>
      <c r="AD83" s="78">
        <v>7899</v>
      </c>
      <c r="AE83" s="78">
        <v>7899</v>
      </c>
      <c r="AF83" s="78">
        <v>66</v>
      </c>
      <c r="AG83" s="78">
        <v>0</v>
      </c>
      <c r="AH83" s="78">
        <v>366</v>
      </c>
      <c r="AI83" s="78">
        <v>78</v>
      </c>
      <c r="AJ83" s="78">
        <v>366</v>
      </c>
      <c r="AK83" s="78">
        <v>78</v>
      </c>
      <c r="AL83" s="78">
        <v>445</v>
      </c>
      <c r="AM83" s="78">
        <v>27387</v>
      </c>
      <c r="AN83" s="78">
        <v>27387</v>
      </c>
      <c r="AO83" s="78">
        <v>10</v>
      </c>
      <c r="AP83" s="78">
        <v>0</v>
      </c>
      <c r="AQ83" s="78">
        <v>0</v>
      </c>
      <c r="AR83" s="78">
        <v>0</v>
      </c>
      <c r="AS83" s="78">
        <v>1667</v>
      </c>
      <c r="AT83" s="78">
        <v>1667</v>
      </c>
      <c r="AU83" s="400">
        <v>7.53153E-4</v>
      </c>
      <c r="AV83" s="400">
        <v>1.0983119999999999E-3</v>
      </c>
      <c r="AW83" s="78">
        <v>31933.241999999998</v>
      </c>
      <c r="AX83" s="78">
        <v>0</v>
      </c>
      <c r="AY83" s="78">
        <v>1127</v>
      </c>
      <c r="AZ83" s="78">
        <v>8283.9098556183308</v>
      </c>
      <c r="BA83" s="78">
        <v>7</v>
      </c>
      <c r="BB83" s="78">
        <v>7</v>
      </c>
      <c r="BC83" s="78">
        <v>6975</v>
      </c>
      <c r="BD83" s="78">
        <v>1</v>
      </c>
      <c r="BE83" s="78">
        <v>0</v>
      </c>
      <c r="BF83" s="78">
        <v>0</v>
      </c>
      <c r="BG83" s="78">
        <v>0</v>
      </c>
      <c r="BH83" s="78">
        <v>0</v>
      </c>
      <c r="BI83" s="78">
        <v>0</v>
      </c>
      <c r="BJ83" s="78">
        <v>0</v>
      </c>
      <c r="BK83" s="78">
        <v>0</v>
      </c>
      <c r="BL83" s="78">
        <v>0</v>
      </c>
      <c r="BM83" s="78">
        <v>1223.1120000000001</v>
      </c>
      <c r="BN83" s="78">
        <v>194</v>
      </c>
      <c r="BO83" s="78">
        <v>142</v>
      </c>
      <c r="BP83" s="78">
        <v>16325.84</v>
      </c>
      <c r="BQ83" s="78">
        <v>3574.81</v>
      </c>
      <c r="BR83" s="78">
        <v>475.585398806792</v>
      </c>
      <c r="BS83" s="78">
        <v>707</v>
      </c>
      <c r="BT83" s="78">
        <v>305</v>
      </c>
      <c r="BU83" s="78">
        <v>279</v>
      </c>
      <c r="BV83" s="78">
        <v>4163</v>
      </c>
      <c r="BW83" s="78">
        <v>1513</v>
      </c>
      <c r="BX83" s="78">
        <v>10943.1888381672</v>
      </c>
      <c r="BY83" s="402">
        <v>2.9870000000000001</v>
      </c>
      <c r="BZ83" s="78">
        <v>45852</v>
      </c>
      <c r="CA83" s="78">
        <v>7264</v>
      </c>
      <c r="CB83" s="78">
        <v>1343</v>
      </c>
      <c r="CC83" s="78">
        <v>1623</v>
      </c>
      <c r="CD83" s="78">
        <v>1383</v>
      </c>
      <c r="CE83" s="78">
        <v>695</v>
      </c>
      <c r="CF83" s="78">
        <v>976.61222477817898</v>
      </c>
      <c r="CG83" s="78">
        <v>603.645525249206</v>
      </c>
      <c r="CH83" s="78">
        <v>211.49152152481099</v>
      </c>
      <c r="CI83" s="78">
        <v>2239.6320000000001</v>
      </c>
      <c r="CJ83" s="78">
        <v>1384.32</v>
      </c>
      <c r="CK83" s="78">
        <v>485.00639999999999</v>
      </c>
      <c r="CL83" s="78">
        <v>135697</v>
      </c>
    </row>
    <row r="84" spans="1:90" x14ac:dyDescent="0.35">
      <c r="A84" s="72">
        <v>225</v>
      </c>
      <c r="B84" s="72" t="s">
        <v>94</v>
      </c>
      <c r="C84" s="72">
        <v>5</v>
      </c>
      <c r="D84" s="78">
        <v>1970400000</v>
      </c>
      <c r="E84" s="78">
        <v>243950000</v>
      </c>
      <c r="F84" s="78">
        <v>259350000</v>
      </c>
      <c r="G84" s="78">
        <v>19178</v>
      </c>
      <c r="H84" s="78">
        <v>3</v>
      </c>
      <c r="I84" s="78">
        <v>259.35000000000002</v>
      </c>
      <c r="J84" s="78">
        <v>3564</v>
      </c>
      <c r="K84" s="78">
        <v>3981</v>
      </c>
      <c r="L84" s="78">
        <v>1281</v>
      </c>
      <c r="M84" s="78">
        <v>2383</v>
      </c>
      <c r="N84" s="78">
        <v>1522.4</v>
      </c>
      <c r="O84" s="78">
        <v>260.66666666666703</v>
      </c>
      <c r="P84" s="78">
        <v>25</v>
      </c>
      <c r="Q84" s="78">
        <v>1384.6666666666699</v>
      </c>
      <c r="R84" s="78">
        <v>2310</v>
      </c>
      <c r="S84" s="78">
        <v>870</v>
      </c>
      <c r="T84" s="78">
        <v>0</v>
      </c>
      <c r="U84" s="78">
        <v>556</v>
      </c>
      <c r="V84" s="78">
        <v>8524</v>
      </c>
      <c r="W84" s="78">
        <v>18010</v>
      </c>
      <c r="X84" s="78">
        <v>7100</v>
      </c>
      <c r="Y84" s="78">
        <v>680.9</v>
      </c>
      <c r="Z84" s="78">
        <v>1184.8</v>
      </c>
      <c r="AA84" s="78">
        <v>0</v>
      </c>
      <c r="AB84" s="399">
        <v>0</v>
      </c>
      <c r="AC84" s="399">
        <v>0</v>
      </c>
      <c r="AD84" s="78">
        <v>3739</v>
      </c>
      <c r="AE84" s="78">
        <v>3776.39</v>
      </c>
      <c r="AF84" s="78">
        <v>507</v>
      </c>
      <c r="AG84" s="78">
        <v>0</v>
      </c>
      <c r="AH84" s="78">
        <v>112</v>
      </c>
      <c r="AI84" s="78">
        <v>38</v>
      </c>
      <c r="AJ84" s="78">
        <v>114.24</v>
      </c>
      <c r="AK84" s="78">
        <v>38.380000000000003</v>
      </c>
      <c r="AL84" s="78">
        <v>150</v>
      </c>
      <c r="AM84" s="78">
        <v>8606</v>
      </c>
      <c r="AN84" s="78">
        <v>8778.1200000000008</v>
      </c>
      <c r="AO84" s="78">
        <v>0</v>
      </c>
      <c r="AP84" s="78">
        <v>0</v>
      </c>
      <c r="AQ84" s="78">
        <v>0</v>
      </c>
      <c r="AR84" s="78">
        <v>0</v>
      </c>
      <c r="AS84" s="78">
        <v>0</v>
      </c>
      <c r="AT84" s="78">
        <v>0</v>
      </c>
      <c r="AU84" s="400">
        <v>1.5596300000000001E-4</v>
      </c>
      <c r="AV84" s="400">
        <v>8.2058999999999995E-5</v>
      </c>
      <c r="AW84" s="78">
        <v>6970.86</v>
      </c>
      <c r="AX84" s="78">
        <v>0</v>
      </c>
      <c r="AY84" s="78">
        <v>1351.38</v>
      </c>
      <c r="AZ84" s="78">
        <v>6158.5499293452704</v>
      </c>
      <c r="BA84" s="78">
        <v>4</v>
      </c>
      <c r="BB84" s="78">
        <v>4.04</v>
      </c>
      <c r="BC84" s="78">
        <v>2345</v>
      </c>
      <c r="BD84" s="78">
        <v>1</v>
      </c>
      <c r="BE84" s="78">
        <v>0</v>
      </c>
      <c r="BF84" s="78">
        <v>0</v>
      </c>
      <c r="BG84" s="78">
        <v>0</v>
      </c>
      <c r="BH84" s="78">
        <v>0</v>
      </c>
      <c r="BI84" s="78">
        <v>0</v>
      </c>
      <c r="BJ84" s="78">
        <v>0</v>
      </c>
      <c r="BK84" s="78">
        <v>0</v>
      </c>
      <c r="BL84" s="78">
        <v>0</v>
      </c>
      <c r="BM84" s="78">
        <v>345.70800000000003</v>
      </c>
      <c r="BN84" s="78">
        <v>69</v>
      </c>
      <c r="BO84" s="78">
        <v>46</v>
      </c>
      <c r="BP84" s="78">
        <v>5143.04</v>
      </c>
      <c r="BQ84" s="78">
        <v>1337.7</v>
      </c>
      <c r="BR84" s="78">
        <v>150.47308923279601</v>
      </c>
      <c r="BS84" s="78">
        <v>200</v>
      </c>
      <c r="BT84" s="78">
        <v>77.3333333333333</v>
      </c>
      <c r="BU84" s="78">
        <v>67.6666666666667</v>
      </c>
      <c r="BV84" s="78">
        <v>1124.000000000003</v>
      </c>
      <c r="BW84" s="78">
        <v>455</v>
      </c>
      <c r="BX84" s="78">
        <v>3352.77206255595</v>
      </c>
      <c r="BY84" s="402">
        <v>0.502</v>
      </c>
      <c r="BZ84" s="78">
        <v>15197</v>
      </c>
      <c r="CA84" s="78">
        <v>2317</v>
      </c>
      <c r="CB84" s="78">
        <v>383</v>
      </c>
      <c r="CC84" s="78">
        <v>408</v>
      </c>
      <c r="CD84" s="78">
        <v>387</v>
      </c>
      <c r="CE84" s="78">
        <v>188</v>
      </c>
      <c r="CF84" s="78">
        <v>241.82207762026499</v>
      </c>
      <c r="CG84" s="78">
        <v>153.549058796189</v>
      </c>
      <c r="CH84" s="78">
        <v>44.932558679990699</v>
      </c>
      <c r="CI84" s="78">
        <v>630.32370000000003</v>
      </c>
      <c r="CJ84" s="78">
        <v>400.23480000000001</v>
      </c>
      <c r="CK84" s="78">
        <v>117.1194</v>
      </c>
      <c r="CL84" s="78">
        <v>124465</v>
      </c>
    </row>
    <row r="85" spans="1:90" x14ac:dyDescent="0.35">
      <c r="A85" s="72">
        <v>226</v>
      </c>
      <c r="B85" s="72" t="s">
        <v>95</v>
      </c>
      <c r="C85" s="72">
        <v>5</v>
      </c>
      <c r="D85" s="78">
        <v>2477600000</v>
      </c>
      <c r="E85" s="78">
        <v>546350000</v>
      </c>
      <c r="F85" s="78">
        <v>553700000</v>
      </c>
      <c r="G85" s="78">
        <v>24946</v>
      </c>
      <c r="H85" s="78">
        <v>1</v>
      </c>
      <c r="I85" s="78">
        <v>553.70000000000005</v>
      </c>
      <c r="J85" s="78">
        <v>4496</v>
      </c>
      <c r="K85" s="78">
        <v>5092</v>
      </c>
      <c r="L85" s="78">
        <v>1544</v>
      </c>
      <c r="M85" s="78">
        <v>2848</v>
      </c>
      <c r="N85" s="78">
        <v>1766</v>
      </c>
      <c r="O85" s="78">
        <v>433</v>
      </c>
      <c r="P85" s="78">
        <v>39</v>
      </c>
      <c r="Q85" s="78">
        <v>1660</v>
      </c>
      <c r="R85" s="78">
        <v>3012</v>
      </c>
      <c r="S85" s="78">
        <v>770</v>
      </c>
      <c r="T85" s="78">
        <v>0</v>
      </c>
      <c r="U85" s="78">
        <v>826</v>
      </c>
      <c r="V85" s="78">
        <v>10903</v>
      </c>
      <c r="W85" s="78">
        <v>24670</v>
      </c>
      <c r="X85" s="78">
        <v>15230</v>
      </c>
      <c r="Y85" s="78">
        <v>0</v>
      </c>
      <c r="Z85" s="78">
        <v>1489.6</v>
      </c>
      <c r="AA85" s="78">
        <v>0</v>
      </c>
      <c r="AB85" s="399">
        <v>0</v>
      </c>
      <c r="AC85" s="399">
        <v>0</v>
      </c>
      <c r="AD85" s="78">
        <v>3390</v>
      </c>
      <c r="AE85" s="78">
        <v>3390</v>
      </c>
      <c r="AF85" s="78">
        <v>129</v>
      </c>
      <c r="AG85" s="78">
        <v>0</v>
      </c>
      <c r="AH85" s="78">
        <v>137</v>
      </c>
      <c r="AI85" s="78">
        <v>55</v>
      </c>
      <c r="AJ85" s="78">
        <v>137</v>
      </c>
      <c r="AK85" s="78">
        <v>55</v>
      </c>
      <c r="AL85" s="78">
        <v>193</v>
      </c>
      <c r="AM85" s="78">
        <v>10820</v>
      </c>
      <c r="AN85" s="78">
        <v>10820</v>
      </c>
      <c r="AO85" s="78">
        <v>0</v>
      </c>
      <c r="AP85" s="78">
        <v>0</v>
      </c>
      <c r="AQ85" s="78">
        <v>0</v>
      </c>
      <c r="AR85" s="78">
        <v>0</v>
      </c>
      <c r="AS85" s="78">
        <v>0</v>
      </c>
      <c r="AT85" s="78">
        <v>0</v>
      </c>
      <c r="AU85" s="400">
        <v>6.6382000000000002E-5</v>
      </c>
      <c r="AV85" s="400">
        <v>4.9979999999999999E-5</v>
      </c>
      <c r="AW85" s="78">
        <v>12529.56</v>
      </c>
      <c r="AX85" s="78">
        <v>0</v>
      </c>
      <c r="AY85" s="78">
        <v>839</v>
      </c>
      <c r="AZ85" s="78">
        <v>5947.62546177891</v>
      </c>
      <c r="BA85" s="78">
        <v>5</v>
      </c>
      <c r="BB85" s="78">
        <v>5</v>
      </c>
      <c r="BC85" s="78">
        <v>2805</v>
      </c>
      <c r="BD85" s="78">
        <v>1</v>
      </c>
      <c r="BE85" s="78">
        <v>0</v>
      </c>
      <c r="BF85" s="78">
        <v>0</v>
      </c>
      <c r="BG85" s="78">
        <v>0</v>
      </c>
      <c r="BH85" s="78">
        <v>0</v>
      </c>
      <c r="BI85" s="78">
        <v>0</v>
      </c>
      <c r="BJ85" s="78">
        <v>0</v>
      </c>
      <c r="BK85" s="78">
        <v>0</v>
      </c>
      <c r="BL85" s="78">
        <v>0</v>
      </c>
      <c r="BM85" s="78">
        <v>404.64</v>
      </c>
      <c r="BN85" s="78">
        <v>51</v>
      </c>
      <c r="BO85" s="78">
        <v>23</v>
      </c>
      <c r="BP85" s="78">
        <v>7388.52</v>
      </c>
      <c r="BQ85" s="78">
        <v>1710.15</v>
      </c>
      <c r="BR85" s="78">
        <v>162.498285714286</v>
      </c>
      <c r="BS85" s="78">
        <v>278</v>
      </c>
      <c r="BT85" s="78">
        <v>106.666666666667</v>
      </c>
      <c r="BU85" s="78">
        <v>96</v>
      </c>
      <c r="BV85" s="78">
        <v>1227</v>
      </c>
      <c r="BW85" s="78">
        <v>333</v>
      </c>
      <c r="BX85" s="78">
        <v>4580.0481800047901</v>
      </c>
      <c r="BY85" s="402">
        <v>0.83499999999999996</v>
      </c>
      <c r="BZ85" s="78">
        <v>19854</v>
      </c>
      <c r="CA85" s="78">
        <v>3043</v>
      </c>
      <c r="CB85" s="78">
        <v>505</v>
      </c>
      <c r="CC85" s="78">
        <v>612</v>
      </c>
      <c r="CD85" s="78">
        <v>532</v>
      </c>
      <c r="CE85" s="78">
        <v>255</v>
      </c>
      <c r="CF85" s="78">
        <v>313.37523105360401</v>
      </c>
      <c r="CG85" s="78">
        <v>173.66210720887199</v>
      </c>
      <c r="CH85" s="78">
        <v>61.206099815157103</v>
      </c>
      <c r="CI85" s="78">
        <v>854.78399999999999</v>
      </c>
      <c r="CJ85" s="78">
        <v>473.69279999999998</v>
      </c>
      <c r="CK85" s="78">
        <v>166.95</v>
      </c>
      <c r="CL85" s="78">
        <v>0</v>
      </c>
    </row>
    <row r="86" spans="1:90" x14ac:dyDescent="0.35">
      <c r="A86" s="72">
        <v>228</v>
      </c>
      <c r="B86" s="72" t="s">
        <v>98</v>
      </c>
      <c r="C86" s="72">
        <v>5</v>
      </c>
      <c r="D86" s="78">
        <v>13144000000</v>
      </c>
      <c r="E86" s="78">
        <v>2153200000</v>
      </c>
      <c r="F86" s="78">
        <v>2317000000</v>
      </c>
      <c r="G86" s="78">
        <v>119986</v>
      </c>
      <c r="H86" s="78">
        <v>6</v>
      </c>
      <c r="I86" s="78">
        <v>2317</v>
      </c>
      <c r="J86" s="78">
        <v>25906</v>
      </c>
      <c r="K86" s="78">
        <v>22626</v>
      </c>
      <c r="L86" s="78">
        <v>7340</v>
      </c>
      <c r="M86" s="78">
        <v>13582</v>
      </c>
      <c r="N86" s="78">
        <v>8318.5</v>
      </c>
      <c r="O86" s="78">
        <v>1698.3333333333301</v>
      </c>
      <c r="P86" s="78">
        <v>139</v>
      </c>
      <c r="Q86" s="78">
        <v>6998.3333333333303</v>
      </c>
      <c r="R86" s="78">
        <v>17457</v>
      </c>
      <c r="S86" s="78">
        <v>6650</v>
      </c>
      <c r="T86" s="78">
        <v>0</v>
      </c>
      <c r="U86" s="78">
        <v>2796</v>
      </c>
      <c r="V86" s="78">
        <v>52571</v>
      </c>
      <c r="W86" s="78">
        <v>124600</v>
      </c>
      <c r="X86" s="78">
        <v>142360</v>
      </c>
      <c r="Y86" s="78">
        <v>2694.08</v>
      </c>
      <c r="Z86" s="78">
        <v>3624.8</v>
      </c>
      <c r="AA86" s="78">
        <v>0</v>
      </c>
      <c r="AB86" s="399">
        <v>0</v>
      </c>
      <c r="AC86" s="399">
        <v>0</v>
      </c>
      <c r="AD86" s="78">
        <v>31813</v>
      </c>
      <c r="AE86" s="78">
        <v>31813</v>
      </c>
      <c r="AF86" s="78">
        <v>49</v>
      </c>
      <c r="AG86" s="78">
        <v>0</v>
      </c>
      <c r="AH86" s="78">
        <v>595</v>
      </c>
      <c r="AI86" s="78">
        <v>303</v>
      </c>
      <c r="AJ86" s="78">
        <v>595</v>
      </c>
      <c r="AK86" s="78">
        <v>303</v>
      </c>
      <c r="AL86" s="78">
        <v>898</v>
      </c>
      <c r="AM86" s="78">
        <v>52635</v>
      </c>
      <c r="AN86" s="78">
        <v>52635</v>
      </c>
      <c r="AO86" s="78">
        <v>0</v>
      </c>
      <c r="AP86" s="78">
        <v>0</v>
      </c>
      <c r="AQ86" s="78">
        <v>0</v>
      </c>
      <c r="AR86" s="78">
        <v>0</v>
      </c>
      <c r="AS86" s="78">
        <v>3234</v>
      </c>
      <c r="AT86" s="78">
        <v>0</v>
      </c>
      <c r="AU86" s="400">
        <v>1.106171E-3</v>
      </c>
      <c r="AV86" s="400">
        <v>1.8963160000000001E-3</v>
      </c>
      <c r="AW86" s="78">
        <v>83215.934999999998</v>
      </c>
      <c r="AX86" s="78">
        <v>0</v>
      </c>
      <c r="AY86" s="78">
        <v>1698</v>
      </c>
      <c r="AZ86" s="78">
        <v>6394.3326847027802</v>
      </c>
      <c r="BA86" s="78">
        <v>22</v>
      </c>
      <c r="BB86" s="78">
        <v>22</v>
      </c>
      <c r="BC86" s="78">
        <v>15545</v>
      </c>
      <c r="BD86" s="78">
        <v>1</v>
      </c>
      <c r="BE86" s="78">
        <v>0</v>
      </c>
      <c r="BF86" s="78">
        <v>0</v>
      </c>
      <c r="BG86" s="78">
        <v>0</v>
      </c>
      <c r="BH86" s="78">
        <v>0</v>
      </c>
      <c r="BI86" s="78">
        <v>0</v>
      </c>
      <c r="BJ86" s="78">
        <v>0</v>
      </c>
      <c r="BK86" s="78">
        <v>0</v>
      </c>
      <c r="BL86" s="78">
        <v>0</v>
      </c>
      <c r="BM86" s="78">
        <v>2564.694</v>
      </c>
      <c r="BN86" s="78">
        <v>584</v>
      </c>
      <c r="BO86" s="78">
        <v>438</v>
      </c>
      <c r="BP86" s="78">
        <v>32949.15</v>
      </c>
      <c r="BQ86" s="78">
        <v>8311.0400000000009</v>
      </c>
      <c r="BR86" s="78">
        <v>1230.57638802623</v>
      </c>
      <c r="BS86" s="78">
        <v>1130</v>
      </c>
      <c r="BT86" s="78">
        <v>477</v>
      </c>
      <c r="BU86" s="78">
        <v>354</v>
      </c>
      <c r="BV86" s="78">
        <v>5300</v>
      </c>
      <c r="BW86" s="78">
        <v>1873</v>
      </c>
      <c r="BX86" s="78">
        <v>16135.1965612081</v>
      </c>
      <c r="BY86" s="402">
        <v>3.169</v>
      </c>
      <c r="BZ86" s="78">
        <v>97360</v>
      </c>
      <c r="CA86" s="78">
        <v>12553</v>
      </c>
      <c r="CB86" s="78">
        <v>2733</v>
      </c>
      <c r="CC86" s="78">
        <v>2601</v>
      </c>
      <c r="CD86" s="78">
        <v>2387</v>
      </c>
      <c r="CE86" s="78">
        <v>1391</v>
      </c>
      <c r="CF86" s="78">
        <v>1220.86848104873</v>
      </c>
      <c r="CG86" s="78">
        <v>793.20891992020495</v>
      </c>
      <c r="CH86" s="78">
        <v>308.81255818371801</v>
      </c>
      <c r="CI86" s="78">
        <v>3379.6875</v>
      </c>
      <c r="CJ86" s="78">
        <v>2195.8125</v>
      </c>
      <c r="CK86" s="78">
        <v>854.875</v>
      </c>
      <c r="CL86" s="78">
        <v>187158</v>
      </c>
    </row>
    <row r="87" spans="1:90" x14ac:dyDescent="0.35">
      <c r="A87" s="72">
        <v>230</v>
      </c>
      <c r="B87" s="72" t="s">
        <v>103</v>
      </c>
      <c r="C87" s="72">
        <v>5</v>
      </c>
      <c r="D87" s="78">
        <v>2372400000</v>
      </c>
      <c r="E87" s="78">
        <v>313250000</v>
      </c>
      <c r="F87" s="78">
        <v>345100000</v>
      </c>
      <c r="G87" s="78">
        <v>23740</v>
      </c>
      <c r="H87" s="78">
        <v>3</v>
      </c>
      <c r="I87" s="78">
        <v>345.1</v>
      </c>
      <c r="J87" s="78">
        <v>5202</v>
      </c>
      <c r="K87" s="78">
        <v>4731</v>
      </c>
      <c r="L87" s="78">
        <v>1616</v>
      </c>
      <c r="M87" s="78">
        <v>2563</v>
      </c>
      <c r="N87" s="78">
        <v>1533.1</v>
      </c>
      <c r="O87" s="78">
        <v>227</v>
      </c>
      <c r="P87" s="78">
        <v>36</v>
      </c>
      <c r="Q87" s="78">
        <v>1348</v>
      </c>
      <c r="R87" s="78">
        <v>2650</v>
      </c>
      <c r="S87" s="78">
        <v>265</v>
      </c>
      <c r="T87" s="78">
        <v>0</v>
      </c>
      <c r="U87" s="78">
        <v>544</v>
      </c>
      <c r="V87" s="78">
        <v>9897</v>
      </c>
      <c r="W87" s="78">
        <v>22290</v>
      </c>
      <c r="X87" s="78">
        <v>9020</v>
      </c>
      <c r="Y87" s="78">
        <v>0</v>
      </c>
      <c r="Z87" s="78">
        <v>1606.4</v>
      </c>
      <c r="AA87" s="78">
        <v>0</v>
      </c>
      <c r="AB87" s="399">
        <v>0</v>
      </c>
      <c r="AC87" s="399">
        <v>0</v>
      </c>
      <c r="AD87" s="78">
        <v>6382</v>
      </c>
      <c r="AE87" s="78">
        <v>6382</v>
      </c>
      <c r="AF87" s="78">
        <v>209</v>
      </c>
      <c r="AG87" s="78">
        <v>0</v>
      </c>
      <c r="AH87" s="78">
        <v>131</v>
      </c>
      <c r="AI87" s="78">
        <v>36</v>
      </c>
      <c r="AJ87" s="78">
        <v>131</v>
      </c>
      <c r="AK87" s="78">
        <v>36</v>
      </c>
      <c r="AL87" s="78">
        <v>168</v>
      </c>
      <c r="AM87" s="78">
        <v>10299</v>
      </c>
      <c r="AN87" s="78">
        <v>10299</v>
      </c>
      <c r="AO87" s="78">
        <v>9</v>
      </c>
      <c r="AP87" s="78">
        <v>0</v>
      </c>
      <c r="AQ87" s="78">
        <v>0</v>
      </c>
      <c r="AR87" s="78">
        <v>2500</v>
      </c>
      <c r="AS87" s="78">
        <v>579</v>
      </c>
      <c r="AT87" s="78">
        <v>579</v>
      </c>
      <c r="AU87" s="400">
        <v>3.3823700000000002E-4</v>
      </c>
      <c r="AV87" s="400">
        <v>1.12794E-4</v>
      </c>
      <c r="AW87" s="78">
        <v>7075.4129999999996</v>
      </c>
      <c r="AX87" s="78">
        <v>0</v>
      </c>
      <c r="AY87" s="78">
        <v>620</v>
      </c>
      <c r="AZ87" s="78">
        <v>2233.1664390835999</v>
      </c>
      <c r="BA87" s="78">
        <v>6</v>
      </c>
      <c r="BB87" s="78">
        <v>6</v>
      </c>
      <c r="BC87" s="78">
        <v>2500</v>
      </c>
      <c r="BD87" s="78">
        <v>1</v>
      </c>
      <c r="BE87" s="78">
        <v>0</v>
      </c>
      <c r="BF87" s="78">
        <v>0</v>
      </c>
      <c r="BG87" s="78">
        <v>0</v>
      </c>
      <c r="BH87" s="78">
        <v>0</v>
      </c>
      <c r="BI87" s="78">
        <v>0</v>
      </c>
      <c r="BJ87" s="78">
        <v>0</v>
      </c>
      <c r="BK87" s="78">
        <v>0</v>
      </c>
      <c r="BL87" s="78">
        <v>0</v>
      </c>
      <c r="BM87" s="78">
        <v>395.35199999999998</v>
      </c>
      <c r="BN87" s="78">
        <v>130</v>
      </c>
      <c r="BO87" s="78">
        <v>43</v>
      </c>
      <c r="BP87" s="78">
        <v>5989.41</v>
      </c>
      <c r="BQ87" s="78">
        <v>1537.58</v>
      </c>
      <c r="BR87" s="78">
        <v>339.11024839400397</v>
      </c>
      <c r="BS87" s="78">
        <v>236</v>
      </c>
      <c r="BT87" s="78">
        <v>81.6666666666667</v>
      </c>
      <c r="BU87" s="78">
        <v>64.3333333333333</v>
      </c>
      <c r="BV87" s="78">
        <v>1121</v>
      </c>
      <c r="BW87" s="78">
        <v>355</v>
      </c>
      <c r="BX87" s="78">
        <v>3774.97310171155</v>
      </c>
      <c r="BY87" s="402">
        <v>0.33500000000000002</v>
      </c>
      <c r="BZ87" s="78">
        <v>19009</v>
      </c>
      <c r="CA87" s="78">
        <v>2570</v>
      </c>
      <c r="CB87" s="78">
        <v>545</v>
      </c>
      <c r="CC87" s="78">
        <v>463</v>
      </c>
      <c r="CD87" s="78">
        <v>464</v>
      </c>
      <c r="CE87" s="78">
        <v>239</v>
      </c>
      <c r="CF87" s="78">
        <v>230.88048354209101</v>
      </c>
      <c r="CG87" s="78">
        <v>162.40529177590099</v>
      </c>
      <c r="CH87" s="78">
        <v>51.802971162248802</v>
      </c>
      <c r="CI87" s="78">
        <v>760.14509999999996</v>
      </c>
      <c r="CJ87" s="78">
        <v>534.69910000000004</v>
      </c>
      <c r="CK87" s="78">
        <v>170.5548</v>
      </c>
      <c r="CL87" s="78">
        <v>11907</v>
      </c>
    </row>
    <row r="88" spans="1:90" x14ac:dyDescent="0.35">
      <c r="A88" s="72">
        <v>232</v>
      </c>
      <c r="B88" s="72" t="s">
        <v>107</v>
      </c>
      <c r="C88" s="72">
        <v>5</v>
      </c>
      <c r="D88" s="78">
        <v>4216800000</v>
      </c>
      <c r="E88" s="78">
        <v>418950000</v>
      </c>
      <c r="F88" s="78">
        <v>452200000</v>
      </c>
      <c r="G88" s="78">
        <v>33257</v>
      </c>
      <c r="H88" s="78">
        <v>4</v>
      </c>
      <c r="I88" s="78">
        <v>452.2</v>
      </c>
      <c r="J88" s="78">
        <v>5951</v>
      </c>
      <c r="K88" s="78">
        <v>8642</v>
      </c>
      <c r="L88" s="78">
        <v>3069</v>
      </c>
      <c r="M88" s="78">
        <v>4179</v>
      </c>
      <c r="N88" s="78">
        <v>2611.8000000000002</v>
      </c>
      <c r="O88" s="78">
        <v>378.33333333333297</v>
      </c>
      <c r="P88" s="78">
        <v>44</v>
      </c>
      <c r="Q88" s="78">
        <v>2044.3333333333301</v>
      </c>
      <c r="R88" s="78">
        <v>4475</v>
      </c>
      <c r="S88" s="78">
        <v>1240</v>
      </c>
      <c r="T88" s="78">
        <v>0</v>
      </c>
      <c r="U88" s="78">
        <v>787</v>
      </c>
      <c r="V88" s="78">
        <v>14874</v>
      </c>
      <c r="W88" s="78">
        <v>30220</v>
      </c>
      <c r="X88" s="78">
        <v>13230</v>
      </c>
      <c r="Y88" s="78">
        <v>190.94</v>
      </c>
      <c r="Z88" s="78">
        <v>743.2</v>
      </c>
      <c r="AA88" s="78">
        <v>0</v>
      </c>
      <c r="AB88" s="399">
        <v>0</v>
      </c>
      <c r="AC88" s="399">
        <v>0</v>
      </c>
      <c r="AD88" s="78">
        <v>15609</v>
      </c>
      <c r="AE88" s="78">
        <v>15609</v>
      </c>
      <c r="AF88" s="78">
        <v>128</v>
      </c>
      <c r="AG88" s="78">
        <v>0</v>
      </c>
      <c r="AH88" s="78">
        <v>187</v>
      </c>
      <c r="AI88" s="78">
        <v>110</v>
      </c>
      <c r="AJ88" s="78">
        <v>187</v>
      </c>
      <c r="AK88" s="78">
        <v>110</v>
      </c>
      <c r="AL88" s="78">
        <v>297</v>
      </c>
      <c r="AM88" s="78">
        <v>15672</v>
      </c>
      <c r="AN88" s="78">
        <v>15672</v>
      </c>
      <c r="AO88" s="78">
        <v>0</v>
      </c>
      <c r="AP88" s="78">
        <v>0</v>
      </c>
      <c r="AQ88" s="78">
        <v>0</v>
      </c>
      <c r="AR88" s="78">
        <v>0</v>
      </c>
      <c r="AS88" s="78">
        <v>604</v>
      </c>
      <c r="AT88" s="78">
        <v>0</v>
      </c>
      <c r="AU88" s="400">
        <v>5.4474500000000002E-4</v>
      </c>
      <c r="AV88" s="400">
        <v>3.8825200000000001E-4</v>
      </c>
      <c r="AW88" s="78">
        <v>11471.904</v>
      </c>
      <c r="AX88" s="78">
        <v>0</v>
      </c>
      <c r="AY88" s="78">
        <v>1660</v>
      </c>
      <c r="AZ88" s="78">
        <v>3508.0777784838301</v>
      </c>
      <c r="BA88" s="78">
        <v>14</v>
      </c>
      <c r="BB88" s="78">
        <v>14</v>
      </c>
      <c r="BC88" s="78">
        <v>3975</v>
      </c>
      <c r="BD88" s="78">
        <v>1</v>
      </c>
      <c r="BE88" s="78">
        <v>0</v>
      </c>
      <c r="BF88" s="78">
        <v>0</v>
      </c>
      <c r="BG88" s="78">
        <v>0</v>
      </c>
      <c r="BH88" s="78">
        <v>0</v>
      </c>
      <c r="BI88" s="78">
        <v>0</v>
      </c>
      <c r="BJ88" s="78">
        <v>0</v>
      </c>
      <c r="BK88" s="78">
        <v>0</v>
      </c>
      <c r="BL88" s="78">
        <v>0</v>
      </c>
      <c r="BM88" s="78">
        <v>565.34500000000003</v>
      </c>
      <c r="BN88" s="78">
        <v>88</v>
      </c>
      <c r="BO88" s="78">
        <v>75</v>
      </c>
      <c r="BP88" s="78">
        <v>10059</v>
      </c>
      <c r="BQ88" s="78">
        <v>2087.15</v>
      </c>
      <c r="BR88" s="78">
        <v>214.173332025604</v>
      </c>
      <c r="BS88" s="78">
        <v>274</v>
      </c>
      <c r="BT88" s="78">
        <v>116.666666666667</v>
      </c>
      <c r="BU88" s="78">
        <v>94.6666666666667</v>
      </c>
      <c r="BV88" s="78">
        <v>1665.999999999997</v>
      </c>
      <c r="BW88" s="78">
        <v>479</v>
      </c>
      <c r="BX88" s="78">
        <v>7239.08258569793</v>
      </c>
      <c r="BY88" s="402">
        <v>0.61499999999999999</v>
      </c>
      <c r="BZ88" s="78">
        <v>24615</v>
      </c>
      <c r="CA88" s="78">
        <v>4541</v>
      </c>
      <c r="CB88" s="78">
        <v>1032</v>
      </c>
      <c r="CC88" s="78">
        <v>871</v>
      </c>
      <c r="CD88" s="78">
        <v>847</v>
      </c>
      <c r="CE88" s="78">
        <v>522</v>
      </c>
      <c r="CF88" s="78">
        <v>450.13219754977001</v>
      </c>
      <c r="CG88" s="78">
        <v>339.64065849923401</v>
      </c>
      <c r="CH88" s="78">
        <v>122.657274119449</v>
      </c>
      <c r="CI88" s="78">
        <v>1150.8960999999999</v>
      </c>
      <c r="CJ88" s="78">
        <v>868.39179999999999</v>
      </c>
      <c r="CK88" s="78">
        <v>313.6096</v>
      </c>
      <c r="CL88" s="78">
        <v>25550</v>
      </c>
    </row>
    <row r="89" spans="1:90" x14ac:dyDescent="0.35">
      <c r="A89" s="72">
        <v>233</v>
      </c>
      <c r="B89" s="72" t="s">
        <v>108</v>
      </c>
      <c r="C89" s="72">
        <v>5</v>
      </c>
      <c r="D89" s="78">
        <v>3287200000</v>
      </c>
      <c r="E89" s="78">
        <v>434350000</v>
      </c>
      <c r="F89" s="78">
        <v>508550000</v>
      </c>
      <c r="G89" s="78">
        <v>27258</v>
      </c>
      <c r="H89" s="78">
        <v>1</v>
      </c>
      <c r="I89" s="78">
        <v>508.55</v>
      </c>
      <c r="J89" s="78">
        <v>5176</v>
      </c>
      <c r="K89" s="78">
        <v>6535</v>
      </c>
      <c r="L89" s="78">
        <v>2262</v>
      </c>
      <c r="M89" s="78">
        <v>3417</v>
      </c>
      <c r="N89" s="78">
        <v>1885.1</v>
      </c>
      <c r="O89" s="78">
        <v>342.66666666666703</v>
      </c>
      <c r="P89" s="78">
        <v>47</v>
      </c>
      <c r="Q89" s="78">
        <v>2164.6666666666702</v>
      </c>
      <c r="R89" s="78">
        <v>3899</v>
      </c>
      <c r="S89" s="78">
        <v>695</v>
      </c>
      <c r="T89" s="78">
        <v>0</v>
      </c>
      <c r="U89" s="78">
        <v>689</v>
      </c>
      <c r="V89" s="78">
        <v>12735</v>
      </c>
      <c r="W89" s="78">
        <v>27190</v>
      </c>
      <c r="X89" s="78">
        <v>16250</v>
      </c>
      <c r="Y89" s="78">
        <v>1179.8599999999999</v>
      </c>
      <c r="Z89" s="78">
        <v>2184.8000000000002</v>
      </c>
      <c r="AA89" s="78">
        <v>0</v>
      </c>
      <c r="AB89" s="399">
        <v>0</v>
      </c>
      <c r="AC89" s="399">
        <v>227.39999999999964</v>
      </c>
      <c r="AD89" s="78">
        <v>8562</v>
      </c>
      <c r="AE89" s="78">
        <v>8562</v>
      </c>
      <c r="AF89" s="78">
        <v>170</v>
      </c>
      <c r="AG89" s="78">
        <v>0</v>
      </c>
      <c r="AH89" s="78">
        <v>195</v>
      </c>
      <c r="AI89" s="78">
        <v>35</v>
      </c>
      <c r="AJ89" s="78">
        <v>195</v>
      </c>
      <c r="AK89" s="78">
        <v>35</v>
      </c>
      <c r="AL89" s="78">
        <v>229</v>
      </c>
      <c r="AM89" s="78">
        <v>15319</v>
      </c>
      <c r="AN89" s="78">
        <v>15319</v>
      </c>
      <c r="AO89" s="78">
        <v>0</v>
      </c>
      <c r="AP89" s="78">
        <v>0</v>
      </c>
      <c r="AQ89" s="78">
        <v>0</v>
      </c>
      <c r="AR89" s="78">
        <v>0</v>
      </c>
      <c r="AS89" s="78">
        <v>645</v>
      </c>
      <c r="AT89" s="78">
        <v>0</v>
      </c>
      <c r="AU89" s="400">
        <v>2.2730600000000001E-4</v>
      </c>
      <c r="AV89" s="400">
        <v>1.7026500000000001E-4</v>
      </c>
      <c r="AW89" s="78">
        <v>14108.799000000001</v>
      </c>
      <c r="AX89" s="78">
        <v>0</v>
      </c>
      <c r="AY89" s="78">
        <v>283</v>
      </c>
      <c r="AZ89" s="78">
        <v>883.41891891891896</v>
      </c>
      <c r="BA89" s="78">
        <v>9</v>
      </c>
      <c r="BB89" s="78">
        <v>9</v>
      </c>
      <c r="BC89" s="78">
        <v>3545</v>
      </c>
      <c r="BD89" s="78">
        <v>1</v>
      </c>
      <c r="BE89" s="78">
        <v>0</v>
      </c>
      <c r="BF89" s="78">
        <v>0</v>
      </c>
      <c r="BG89" s="78">
        <v>0</v>
      </c>
      <c r="BH89" s="78">
        <v>0</v>
      </c>
      <c r="BI89" s="78">
        <v>0</v>
      </c>
      <c r="BJ89" s="78">
        <v>0</v>
      </c>
      <c r="BK89" s="78">
        <v>0</v>
      </c>
      <c r="BL89" s="78">
        <v>0</v>
      </c>
      <c r="BM89" s="78">
        <v>429.608</v>
      </c>
      <c r="BN89" s="78">
        <v>63</v>
      </c>
      <c r="BO89" s="78">
        <v>46</v>
      </c>
      <c r="BP89" s="78">
        <v>7879.11</v>
      </c>
      <c r="BQ89" s="78">
        <v>1836.77</v>
      </c>
      <c r="BR89" s="78">
        <v>210.363311059311</v>
      </c>
      <c r="BS89" s="78">
        <v>249</v>
      </c>
      <c r="BT89" s="78">
        <v>93.6666666666667</v>
      </c>
      <c r="BU89" s="78">
        <v>70</v>
      </c>
      <c r="BV89" s="78">
        <v>1822.0000000000032</v>
      </c>
      <c r="BW89" s="78">
        <v>838</v>
      </c>
      <c r="BX89" s="78">
        <v>4949.0180130293202</v>
      </c>
      <c r="BY89" s="402">
        <v>0.52500000000000002</v>
      </c>
      <c r="BZ89" s="78">
        <v>20723</v>
      </c>
      <c r="CA89" s="78">
        <v>3470</v>
      </c>
      <c r="CB89" s="78">
        <v>803</v>
      </c>
      <c r="CC89" s="78">
        <v>684</v>
      </c>
      <c r="CD89" s="78">
        <v>667</v>
      </c>
      <c r="CE89" s="78">
        <v>364</v>
      </c>
      <c r="CF89" s="78">
        <v>251.157980285919</v>
      </c>
      <c r="CG89" s="78">
        <v>180.27753117044199</v>
      </c>
      <c r="CH89" s="78">
        <v>64.112350675631603</v>
      </c>
      <c r="CI89" s="78">
        <v>802.92939999999999</v>
      </c>
      <c r="CJ89" s="78">
        <v>576.33100000000002</v>
      </c>
      <c r="CK89" s="78">
        <v>204.9614</v>
      </c>
      <c r="CL89" s="78">
        <v>450229</v>
      </c>
    </row>
    <row r="90" spans="1:90" x14ac:dyDescent="0.35">
      <c r="A90" s="72">
        <v>243</v>
      </c>
      <c r="B90" s="72" t="s">
        <v>130</v>
      </c>
      <c r="C90" s="72">
        <v>5</v>
      </c>
      <c r="D90" s="78">
        <v>5360000000</v>
      </c>
      <c r="E90" s="78">
        <v>733600000</v>
      </c>
      <c r="F90" s="78">
        <v>753900000</v>
      </c>
      <c r="G90" s="78">
        <v>48857</v>
      </c>
      <c r="H90" s="78">
        <v>1</v>
      </c>
      <c r="I90" s="78">
        <v>753.9</v>
      </c>
      <c r="J90" s="78">
        <v>10292</v>
      </c>
      <c r="K90" s="78">
        <v>9341</v>
      </c>
      <c r="L90" s="78">
        <v>2977</v>
      </c>
      <c r="M90" s="78">
        <v>5964</v>
      </c>
      <c r="N90" s="78">
        <v>3818.2</v>
      </c>
      <c r="O90" s="78">
        <v>856.33333333333303</v>
      </c>
      <c r="P90" s="78">
        <v>74</v>
      </c>
      <c r="Q90" s="78">
        <v>3388.3333333333298</v>
      </c>
      <c r="R90" s="78">
        <v>7024</v>
      </c>
      <c r="S90" s="78">
        <v>4335</v>
      </c>
      <c r="T90" s="78">
        <v>0</v>
      </c>
      <c r="U90" s="78">
        <v>1500</v>
      </c>
      <c r="V90" s="78">
        <v>21837</v>
      </c>
      <c r="W90" s="78">
        <v>52330</v>
      </c>
      <c r="X90" s="78">
        <v>48580</v>
      </c>
      <c r="Y90" s="78">
        <v>1406.46</v>
      </c>
      <c r="Z90" s="78">
        <v>2958.4</v>
      </c>
      <c r="AA90" s="78">
        <v>0</v>
      </c>
      <c r="AB90" s="399">
        <v>0</v>
      </c>
      <c r="AC90" s="399">
        <v>0</v>
      </c>
      <c r="AD90" s="78">
        <v>3892</v>
      </c>
      <c r="AE90" s="78">
        <v>3892</v>
      </c>
      <c r="AF90" s="78">
        <v>935</v>
      </c>
      <c r="AG90" s="78">
        <v>0</v>
      </c>
      <c r="AH90" s="78">
        <v>254</v>
      </c>
      <c r="AI90" s="78">
        <v>34</v>
      </c>
      <c r="AJ90" s="78">
        <v>254</v>
      </c>
      <c r="AK90" s="78">
        <v>34</v>
      </c>
      <c r="AL90" s="78">
        <v>288</v>
      </c>
      <c r="AM90" s="78">
        <v>21458</v>
      </c>
      <c r="AN90" s="78">
        <v>21458</v>
      </c>
      <c r="AO90" s="78">
        <v>19</v>
      </c>
      <c r="AP90" s="78">
        <v>0</v>
      </c>
      <c r="AQ90" s="78">
        <v>0</v>
      </c>
      <c r="AR90" s="78">
        <v>1650</v>
      </c>
      <c r="AS90" s="78">
        <v>1443</v>
      </c>
      <c r="AT90" s="78">
        <v>1443</v>
      </c>
      <c r="AU90" s="400">
        <v>4.2419799999999998E-4</v>
      </c>
      <c r="AV90" s="400">
        <v>5.6964699999999995E-4</v>
      </c>
      <c r="AW90" s="78">
        <v>33624.686000000002</v>
      </c>
      <c r="AX90" s="78">
        <v>0</v>
      </c>
      <c r="AY90" s="78">
        <v>738</v>
      </c>
      <c r="AZ90" s="78">
        <v>7469.7464263517704</v>
      </c>
      <c r="BA90" s="78">
        <v>2</v>
      </c>
      <c r="BB90" s="78">
        <v>2</v>
      </c>
      <c r="BC90" s="78">
        <v>5890</v>
      </c>
      <c r="BD90" s="78">
        <v>1</v>
      </c>
      <c r="BE90" s="78">
        <v>0</v>
      </c>
      <c r="BF90" s="78">
        <v>0</v>
      </c>
      <c r="BG90" s="78">
        <v>0</v>
      </c>
      <c r="BH90" s="78">
        <v>0</v>
      </c>
      <c r="BI90" s="78">
        <v>0</v>
      </c>
      <c r="BJ90" s="78">
        <v>0</v>
      </c>
      <c r="BK90" s="78">
        <v>0</v>
      </c>
      <c r="BL90" s="78">
        <v>0</v>
      </c>
      <c r="BM90" s="78">
        <v>1121.828</v>
      </c>
      <c r="BN90" s="78">
        <v>161</v>
      </c>
      <c r="BO90" s="78">
        <v>197</v>
      </c>
      <c r="BP90" s="78">
        <v>13788.06</v>
      </c>
      <c r="BQ90" s="78">
        <v>3410.51</v>
      </c>
      <c r="BR90" s="78">
        <v>584.08970301142301</v>
      </c>
      <c r="BS90" s="78">
        <v>598</v>
      </c>
      <c r="BT90" s="78">
        <v>258</v>
      </c>
      <c r="BU90" s="78">
        <v>213.333333333333</v>
      </c>
      <c r="BV90" s="78">
        <v>2531.9999999999968</v>
      </c>
      <c r="BW90" s="78">
        <v>723</v>
      </c>
      <c r="BX90" s="78">
        <v>8413.4389065386003</v>
      </c>
      <c r="BY90" s="402">
        <v>1.708</v>
      </c>
      <c r="BZ90" s="78">
        <v>39516</v>
      </c>
      <c r="CA90" s="78">
        <v>5327</v>
      </c>
      <c r="CB90" s="78">
        <v>1037</v>
      </c>
      <c r="CC90" s="78">
        <v>1169</v>
      </c>
      <c r="CD90" s="78">
        <v>1007</v>
      </c>
      <c r="CE90" s="78">
        <v>529</v>
      </c>
      <c r="CF90" s="78">
        <v>590.93308789262699</v>
      </c>
      <c r="CG90" s="78">
        <v>368.51021530431501</v>
      </c>
      <c r="CH90" s="78">
        <v>131.852278870351</v>
      </c>
      <c r="CI90" s="78">
        <v>1531.3131000000001</v>
      </c>
      <c r="CJ90" s="78">
        <v>954.93809999999996</v>
      </c>
      <c r="CK90" s="78">
        <v>341.67509999999999</v>
      </c>
      <c r="CL90" s="78">
        <v>36543</v>
      </c>
    </row>
    <row r="91" spans="1:90" x14ac:dyDescent="0.35">
      <c r="A91" s="72">
        <v>244</v>
      </c>
      <c r="B91" s="72" t="s">
        <v>133</v>
      </c>
      <c r="C91" s="72">
        <v>5</v>
      </c>
      <c r="D91" s="78">
        <v>1503200000</v>
      </c>
      <c r="E91" s="78">
        <v>91000000</v>
      </c>
      <c r="F91" s="78">
        <v>97300000</v>
      </c>
      <c r="G91" s="78">
        <v>12307</v>
      </c>
      <c r="H91" s="78">
        <v>1</v>
      </c>
      <c r="I91" s="78">
        <v>97.3</v>
      </c>
      <c r="J91" s="78">
        <v>2630</v>
      </c>
      <c r="K91" s="78">
        <v>2798</v>
      </c>
      <c r="L91" s="78">
        <v>950</v>
      </c>
      <c r="M91" s="78">
        <v>1359</v>
      </c>
      <c r="N91" s="78">
        <v>802.69999999999993</v>
      </c>
      <c r="O91" s="78">
        <v>99</v>
      </c>
      <c r="P91" s="78">
        <v>13</v>
      </c>
      <c r="Q91" s="78">
        <v>548</v>
      </c>
      <c r="R91" s="78">
        <v>1527</v>
      </c>
      <c r="S91" s="78">
        <v>175</v>
      </c>
      <c r="T91" s="78">
        <v>0</v>
      </c>
      <c r="U91" s="78">
        <v>267</v>
      </c>
      <c r="V91" s="78">
        <v>5250</v>
      </c>
      <c r="W91" s="78">
        <v>10080</v>
      </c>
      <c r="X91" s="78">
        <v>3080</v>
      </c>
      <c r="Y91" s="78">
        <v>0</v>
      </c>
      <c r="Z91" s="78">
        <v>0</v>
      </c>
      <c r="AA91" s="78">
        <v>0</v>
      </c>
      <c r="AB91" s="399">
        <v>0</v>
      </c>
      <c r="AC91" s="399">
        <v>0</v>
      </c>
      <c r="AD91" s="78">
        <v>2308</v>
      </c>
      <c r="AE91" s="78">
        <v>2308</v>
      </c>
      <c r="AF91" s="78">
        <v>108</v>
      </c>
      <c r="AG91" s="78">
        <v>0</v>
      </c>
      <c r="AH91" s="78">
        <v>65</v>
      </c>
      <c r="AI91" s="78">
        <v>12</v>
      </c>
      <c r="AJ91" s="78">
        <v>65</v>
      </c>
      <c r="AK91" s="78">
        <v>12</v>
      </c>
      <c r="AL91" s="78">
        <v>77</v>
      </c>
      <c r="AM91" s="78">
        <v>5563</v>
      </c>
      <c r="AN91" s="78">
        <v>5563</v>
      </c>
      <c r="AO91" s="78">
        <v>7</v>
      </c>
      <c r="AP91" s="78">
        <v>0</v>
      </c>
      <c r="AQ91" s="78">
        <v>0</v>
      </c>
      <c r="AR91" s="78">
        <v>1000</v>
      </c>
      <c r="AS91" s="78">
        <v>652</v>
      </c>
      <c r="AT91" s="78">
        <v>652</v>
      </c>
      <c r="AU91" s="400">
        <v>2.59323E-4</v>
      </c>
      <c r="AV91" s="400">
        <v>1.18373E-4</v>
      </c>
      <c r="AW91" s="78">
        <v>4722.9870000000001</v>
      </c>
      <c r="AX91" s="78">
        <v>0</v>
      </c>
      <c r="AY91" s="78">
        <v>623</v>
      </c>
      <c r="AZ91" s="78">
        <v>3173.5351821192098</v>
      </c>
      <c r="BA91" s="78">
        <v>2</v>
      </c>
      <c r="BB91" s="78">
        <v>2</v>
      </c>
      <c r="BC91" s="78">
        <v>1410</v>
      </c>
      <c r="BD91" s="78">
        <v>1</v>
      </c>
      <c r="BE91" s="78">
        <v>0</v>
      </c>
      <c r="BF91" s="78">
        <v>0</v>
      </c>
      <c r="BG91" s="78">
        <v>0</v>
      </c>
      <c r="BH91" s="78">
        <v>0</v>
      </c>
      <c r="BI91" s="78">
        <v>0</v>
      </c>
      <c r="BJ91" s="78">
        <v>0</v>
      </c>
      <c r="BK91" s="78">
        <v>0</v>
      </c>
      <c r="BL91" s="78">
        <v>0</v>
      </c>
      <c r="BM91" s="78">
        <v>207.77</v>
      </c>
      <c r="BN91" s="78">
        <v>28</v>
      </c>
      <c r="BO91" s="78">
        <v>21</v>
      </c>
      <c r="BP91" s="78">
        <v>3697.92</v>
      </c>
      <c r="BQ91" s="78">
        <v>917.32</v>
      </c>
      <c r="BR91" s="78">
        <v>144.28724137930999</v>
      </c>
      <c r="BS91" s="78">
        <v>118</v>
      </c>
      <c r="BT91" s="78">
        <v>27.3333333333333</v>
      </c>
      <c r="BU91" s="78">
        <v>13.3333333333333</v>
      </c>
      <c r="BV91" s="78">
        <v>449</v>
      </c>
      <c r="BW91" s="78">
        <v>115</v>
      </c>
      <c r="BX91" s="78">
        <v>1893.7964900228999</v>
      </c>
      <c r="BY91" s="402">
        <v>5.8000000000000003E-2</v>
      </c>
      <c r="BZ91" s="78">
        <v>9509</v>
      </c>
      <c r="CA91" s="78">
        <v>1498</v>
      </c>
      <c r="CB91" s="78">
        <v>350</v>
      </c>
      <c r="CC91" s="78">
        <v>283</v>
      </c>
      <c r="CD91" s="78">
        <v>302</v>
      </c>
      <c r="CE91" s="78">
        <v>181</v>
      </c>
      <c r="CF91" s="78">
        <v>131.88348013661701</v>
      </c>
      <c r="CG91" s="78">
        <v>94.800269638684199</v>
      </c>
      <c r="CH91" s="78">
        <v>37.371795793636501</v>
      </c>
      <c r="CI91" s="78">
        <v>369.34739999999999</v>
      </c>
      <c r="CJ91" s="78">
        <v>265.49369999999999</v>
      </c>
      <c r="CK91" s="78">
        <v>104.6619</v>
      </c>
      <c r="CL91" s="78">
        <v>0</v>
      </c>
    </row>
    <row r="92" spans="1:90" x14ac:dyDescent="0.35">
      <c r="A92" s="72">
        <v>246</v>
      </c>
      <c r="B92" s="72" t="s">
        <v>136</v>
      </c>
      <c r="C92" s="72">
        <v>5</v>
      </c>
      <c r="D92" s="78">
        <v>2159600000</v>
      </c>
      <c r="E92" s="78">
        <v>179900000</v>
      </c>
      <c r="F92" s="78">
        <v>197050000</v>
      </c>
      <c r="G92" s="78">
        <v>18976</v>
      </c>
      <c r="H92" s="78">
        <v>2</v>
      </c>
      <c r="I92" s="78">
        <v>197.05</v>
      </c>
      <c r="J92" s="78">
        <v>3683</v>
      </c>
      <c r="K92" s="78">
        <v>4607</v>
      </c>
      <c r="L92" s="78">
        <v>1610</v>
      </c>
      <c r="M92" s="78">
        <v>2207</v>
      </c>
      <c r="N92" s="78">
        <v>1379.1</v>
      </c>
      <c r="O92" s="78">
        <v>162</v>
      </c>
      <c r="P92" s="78">
        <v>22</v>
      </c>
      <c r="Q92" s="78">
        <v>1033</v>
      </c>
      <c r="R92" s="78">
        <v>2130</v>
      </c>
      <c r="S92" s="78">
        <v>230</v>
      </c>
      <c r="T92" s="78">
        <v>0</v>
      </c>
      <c r="U92" s="78">
        <v>376</v>
      </c>
      <c r="V92" s="78">
        <v>8175</v>
      </c>
      <c r="W92" s="78">
        <v>16830</v>
      </c>
      <c r="X92" s="78">
        <v>5730</v>
      </c>
      <c r="Y92" s="78">
        <v>193.76</v>
      </c>
      <c r="Z92" s="78">
        <v>770.4</v>
      </c>
      <c r="AA92" s="78">
        <v>0</v>
      </c>
      <c r="AB92" s="399">
        <v>0</v>
      </c>
      <c r="AC92" s="399">
        <v>0</v>
      </c>
      <c r="AD92" s="78">
        <v>7854</v>
      </c>
      <c r="AE92" s="78">
        <v>7854</v>
      </c>
      <c r="AF92" s="78">
        <v>188</v>
      </c>
      <c r="AG92" s="78">
        <v>0</v>
      </c>
      <c r="AH92" s="78">
        <v>107</v>
      </c>
      <c r="AI92" s="78">
        <v>48</v>
      </c>
      <c r="AJ92" s="78">
        <v>107</v>
      </c>
      <c r="AK92" s="78">
        <v>48</v>
      </c>
      <c r="AL92" s="78">
        <v>155</v>
      </c>
      <c r="AM92" s="78">
        <v>8279</v>
      </c>
      <c r="AN92" s="78">
        <v>8279</v>
      </c>
      <c r="AO92" s="78">
        <v>0</v>
      </c>
      <c r="AP92" s="78">
        <v>0</v>
      </c>
      <c r="AQ92" s="78">
        <v>0</v>
      </c>
      <c r="AR92" s="78">
        <v>0</v>
      </c>
      <c r="AS92" s="78">
        <v>0</v>
      </c>
      <c r="AT92" s="78">
        <v>0</v>
      </c>
      <c r="AU92" s="400">
        <v>3.13064E-4</v>
      </c>
      <c r="AV92" s="400">
        <v>1.0768999999999999E-4</v>
      </c>
      <c r="AW92" s="78">
        <v>5174.375</v>
      </c>
      <c r="AX92" s="78">
        <v>0</v>
      </c>
      <c r="AY92" s="78">
        <v>1510</v>
      </c>
      <c r="AZ92" s="78">
        <v>3563.0141755782101</v>
      </c>
      <c r="BA92" s="78">
        <v>8</v>
      </c>
      <c r="BB92" s="78">
        <v>8</v>
      </c>
      <c r="BC92" s="78">
        <v>2060</v>
      </c>
      <c r="BD92" s="78">
        <v>1</v>
      </c>
      <c r="BE92" s="78">
        <v>0</v>
      </c>
      <c r="BF92" s="78">
        <v>0</v>
      </c>
      <c r="BG92" s="78">
        <v>0</v>
      </c>
      <c r="BH92" s="78">
        <v>0</v>
      </c>
      <c r="BI92" s="78">
        <v>0</v>
      </c>
      <c r="BJ92" s="78">
        <v>0</v>
      </c>
      <c r="BK92" s="78">
        <v>0</v>
      </c>
      <c r="BL92" s="78">
        <v>0</v>
      </c>
      <c r="BM92" s="78">
        <v>276.22500000000002</v>
      </c>
      <c r="BN92" s="78">
        <v>74</v>
      </c>
      <c r="BO92" s="78">
        <v>26</v>
      </c>
      <c r="BP92" s="78">
        <v>5448.24</v>
      </c>
      <c r="BQ92" s="78">
        <v>1220.48</v>
      </c>
      <c r="BR92" s="78">
        <v>142.735473722102</v>
      </c>
      <c r="BS92" s="78">
        <v>146</v>
      </c>
      <c r="BT92" s="78">
        <v>62</v>
      </c>
      <c r="BU92" s="78">
        <v>36.6666666666667</v>
      </c>
      <c r="BV92" s="78">
        <v>871</v>
      </c>
      <c r="BW92" s="78">
        <v>194</v>
      </c>
      <c r="BX92" s="78">
        <v>3654.3959778440599</v>
      </c>
      <c r="BY92" s="402">
        <v>0.17399999999999999</v>
      </c>
      <c r="BZ92" s="78">
        <v>14369</v>
      </c>
      <c r="CA92" s="78">
        <v>2466</v>
      </c>
      <c r="CB92" s="78">
        <v>531</v>
      </c>
      <c r="CC92" s="78">
        <v>398</v>
      </c>
      <c r="CD92" s="78">
        <v>448</v>
      </c>
      <c r="CE92" s="78">
        <v>243</v>
      </c>
      <c r="CF92" s="78">
        <v>240.53876071989399</v>
      </c>
      <c r="CG92" s="78">
        <v>178.23855538108501</v>
      </c>
      <c r="CH92" s="78">
        <v>59.801534001691003</v>
      </c>
      <c r="CI92" s="78">
        <v>631.75</v>
      </c>
      <c r="CJ92" s="78">
        <v>468.125</v>
      </c>
      <c r="CK92" s="78">
        <v>157.0625</v>
      </c>
      <c r="CL92" s="78">
        <v>32236</v>
      </c>
    </row>
    <row r="93" spans="1:90" x14ac:dyDescent="0.35">
      <c r="A93" s="72">
        <v>252</v>
      </c>
      <c r="B93" s="72" t="s">
        <v>148</v>
      </c>
      <c r="C93" s="72">
        <v>5</v>
      </c>
      <c r="D93" s="78">
        <v>2006800000</v>
      </c>
      <c r="E93" s="78">
        <v>145250000</v>
      </c>
      <c r="F93" s="78">
        <v>159250000</v>
      </c>
      <c r="G93" s="78">
        <v>17175</v>
      </c>
      <c r="H93" s="78">
        <v>2</v>
      </c>
      <c r="I93" s="78">
        <v>159.25</v>
      </c>
      <c r="J93" s="78">
        <v>3228</v>
      </c>
      <c r="K93" s="78">
        <v>4186</v>
      </c>
      <c r="L93" s="78">
        <v>1480</v>
      </c>
      <c r="M93" s="78">
        <v>1813</v>
      </c>
      <c r="N93" s="78">
        <v>1062</v>
      </c>
      <c r="O93" s="78">
        <v>233.666666666667</v>
      </c>
      <c r="P93" s="78">
        <v>13</v>
      </c>
      <c r="Q93" s="78">
        <v>926.66666666666697</v>
      </c>
      <c r="R93" s="78">
        <v>2353</v>
      </c>
      <c r="S93" s="78">
        <v>850</v>
      </c>
      <c r="T93" s="78">
        <v>0</v>
      </c>
      <c r="U93" s="78">
        <v>433</v>
      </c>
      <c r="V93" s="78">
        <v>8068</v>
      </c>
      <c r="W93" s="78">
        <v>14070</v>
      </c>
      <c r="X93" s="78">
        <v>3730</v>
      </c>
      <c r="Y93" s="78">
        <v>0</v>
      </c>
      <c r="Z93" s="78">
        <v>0</v>
      </c>
      <c r="AA93" s="78">
        <v>0</v>
      </c>
      <c r="AB93" s="399">
        <v>0</v>
      </c>
      <c r="AC93" s="399">
        <v>0</v>
      </c>
      <c r="AD93" s="78">
        <v>3970</v>
      </c>
      <c r="AE93" s="78">
        <v>3970</v>
      </c>
      <c r="AF93" s="78">
        <v>184</v>
      </c>
      <c r="AG93" s="78">
        <v>0</v>
      </c>
      <c r="AH93" s="78">
        <v>94</v>
      </c>
      <c r="AI93" s="78">
        <v>31</v>
      </c>
      <c r="AJ93" s="78">
        <v>94</v>
      </c>
      <c r="AK93" s="78">
        <v>31</v>
      </c>
      <c r="AL93" s="78">
        <v>125</v>
      </c>
      <c r="AM93" s="78">
        <v>7510</v>
      </c>
      <c r="AN93" s="78">
        <v>7510</v>
      </c>
      <c r="AO93" s="78">
        <v>0</v>
      </c>
      <c r="AP93" s="78">
        <v>0</v>
      </c>
      <c r="AQ93" s="78">
        <v>0</v>
      </c>
      <c r="AR93" s="78">
        <v>0</v>
      </c>
      <c r="AS93" s="78">
        <v>0</v>
      </c>
      <c r="AT93" s="78">
        <v>0</v>
      </c>
      <c r="AU93" s="400">
        <v>8.7250999999999995E-5</v>
      </c>
      <c r="AV93" s="400">
        <v>4.4721000000000001E-5</v>
      </c>
      <c r="AW93" s="78">
        <v>5985.47</v>
      </c>
      <c r="AX93" s="78">
        <v>0</v>
      </c>
      <c r="AY93" s="78">
        <v>667</v>
      </c>
      <c r="AZ93" s="78">
        <v>2757.7575830524802</v>
      </c>
      <c r="BA93" s="78">
        <v>4</v>
      </c>
      <c r="BB93" s="78">
        <v>4</v>
      </c>
      <c r="BC93" s="78">
        <v>2120</v>
      </c>
      <c r="BD93" s="78">
        <v>1</v>
      </c>
      <c r="BE93" s="78">
        <v>0</v>
      </c>
      <c r="BF93" s="78">
        <v>0</v>
      </c>
      <c r="BG93" s="78">
        <v>0</v>
      </c>
      <c r="BH93" s="78">
        <v>0</v>
      </c>
      <c r="BI93" s="78">
        <v>0</v>
      </c>
      <c r="BJ93" s="78">
        <v>0</v>
      </c>
      <c r="BK93" s="78">
        <v>0</v>
      </c>
      <c r="BL93" s="78">
        <v>0</v>
      </c>
      <c r="BM93" s="78">
        <v>238.87200000000001</v>
      </c>
      <c r="BN93" s="78">
        <v>15</v>
      </c>
      <c r="BO93" s="78">
        <v>14</v>
      </c>
      <c r="BP93" s="78">
        <v>5789.91</v>
      </c>
      <c r="BQ93" s="78">
        <v>1278.97</v>
      </c>
      <c r="BR93" s="78">
        <v>114.416963971177</v>
      </c>
      <c r="BS93" s="78">
        <v>153</v>
      </c>
      <c r="BT93" s="78">
        <v>69</v>
      </c>
      <c r="BU93" s="78">
        <v>58.3333333333333</v>
      </c>
      <c r="BV93" s="78">
        <v>693</v>
      </c>
      <c r="BW93" s="78">
        <v>227</v>
      </c>
      <c r="BX93" s="78">
        <v>2878.27666123484</v>
      </c>
      <c r="BY93" s="402">
        <v>0.441</v>
      </c>
      <c r="BZ93" s="78">
        <v>12989</v>
      </c>
      <c r="CA93" s="78">
        <v>2224</v>
      </c>
      <c r="CB93" s="78">
        <v>482</v>
      </c>
      <c r="CC93" s="78">
        <v>440</v>
      </c>
      <c r="CD93" s="78">
        <v>465</v>
      </c>
      <c r="CE93" s="78">
        <v>235</v>
      </c>
      <c r="CF93" s="78">
        <v>191.471105193076</v>
      </c>
      <c r="CG93" s="78">
        <v>142.25992010652499</v>
      </c>
      <c r="CH93" s="78">
        <v>48.221304926764297</v>
      </c>
      <c r="CI93" s="78">
        <v>456.70420000000001</v>
      </c>
      <c r="CJ93" s="78">
        <v>339.32380000000001</v>
      </c>
      <c r="CK93" s="78">
        <v>115.0193</v>
      </c>
      <c r="CL93" s="78">
        <v>14965</v>
      </c>
    </row>
    <row r="94" spans="1:90" x14ac:dyDescent="0.35">
      <c r="A94" s="72">
        <v>1705</v>
      </c>
      <c r="B94" s="72" t="s">
        <v>185</v>
      </c>
      <c r="C94" s="72">
        <v>5</v>
      </c>
      <c r="D94" s="78">
        <v>5239200000</v>
      </c>
      <c r="E94" s="78">
        <v>438900000</v>
      </c>
      <c r="F94" s="78">
        <v>460600000</v>
      </c>
      <c r="G94" s="78">
        <v>46963</v>
      </c>
      <c r="H94" s="78">
        <v>4</v>
      </c>
      <c r="I94" s="78">
        <v>460.6</v>
      </c>
      <c r="J94" s="78">
        <v>9079</v>
      </c>
      <c r="K94" s="78">
        <v>10749</v>
      </c>
      <c r="L94" s="78">
        <v>3394</v>
      </c>
      <c r="M94" s="78">
        <v>5457</v>
      </c>
      <c r="N94" s="78">
        <v>3430.6</v>
      </c>
      <c r="O94" s="78">
        <v>491.33333333333297</v>
      </c>
      <c r="P94" s="78">
        <v>62</v>
      </c>
      <c r="Q94" s="78">
        <v>2474.3333333333298</v>
      </c>
      <c r="R94" s="78">
        <v>5644</v>
      </c>
      <c r="S94" s="78">
        <v>785</v>
      </c>
      <c r="T94" s="78">
        <v>0</v>
      </c>
      <c r="U94" s="78">
        <v>1278</v>
      </c>
      <c r="V94" s="78">
        <v>20523</v>
      </c>
      <c r="W94" s="78">
        <v>39120</v>
      </c>
      <c r="X94" s="78">
        <v>12750</v>
      </c>
      <c r="Y94" s="78">
        <v>568.26</v>
      </c>
      <c r="Z94" s="78">
        <v>1788.8</v>
      </c>
      <c r="AA94" s="78">
        <v>0</v>
      </c>
      <c r="AB94" s="399">
        <v>0</v>
      </c>
      <c r="AC94" s="399">
        <v>0</v>
      </c>
      <c r="AD94" s="78">
        <v>6186</v>
      </c>
      <c r="AE94" s="78">
        <v>6247.86</v>
      </c>
      <c r="AF94" s="78">
        <v>728</v>
      </c>
      <c r="AG94" s="78">
        <v>0</v>
      </c>
      <c r="AH94" s="78">
        <v>248</v>
      </c>
      <c r="AI94" s="78">
        <v>56</v>
      </c>
      <c r="AJ94" s="78">
        <v>248</v>
      </c>
      <c r="AK94" s="78">
        <v>56.56</v>
      </c>
      <c r="AL94" s="78">
        <v>303</v>
      </c>
      <c r="AM94" s="78">
        <v>20264</v>
      </c>
      <c r="AN94" s="78">
        <v>20264</v>
      </c>
      <c r="AO94" s="78">
        <v>5</v>
      </c>
      <c r="AP94" s="78">
        <v>0</v>
      </c>
      <c r="AQ94" s="78">
        <v>0</v>
      </c>
      <c r="AR94" s="78">
        <v>0</v>
      </c>
      <c r="AS94" s="78">
        <v>0</v>
      </c>
      <c r="AT94" s="78">
        <v>0</v>
      </c>
      <c r="AU94" s="400">
        <v>2.5615399999999997E-4</v>
      </c>
      <c r="AV94" s="400">
        <v>2.4022599999999999E-4</v>
      </c>
      <c r="AW94" s="78">
        <v>19615.552</v>
      </c>
      <c r="AX94" s="78">
        <v>0</v>
      </c>
      <c r="AY94" s="78">
        <v>2151.3000000000002</v>
      </c>
      <c r="AZ94" s="78">
        <v>14667.480899624001</v>
      </c>
      <c r="BA94" s="78">
        <v>6</v>
      </c>
      <c r="BB94" s="78">
        <v>6.06</v>
      </c>
      <c r="BC94" s="78">
        <v>5090</v>
      </c>
      <c r="BD94" s="78">
        <v>1</v>
      </c>
      <c r="BE94" s="78">
        <v>0</v>
      </c>
      <c r="BF94" s="78">
        <v>0</v>
      </c>
      <c r="BG94" s="78">
        <v>0</v>
      </c>
      <c r="BH94" s="78">
        <v>0</v>
      </c>
      <c r="BI94" s="78">
        <v>0</v>
      </c>
      <c r="BJ94" s="78">
        <v>0</v>
      </c>
      <c r="BK94" s="78">
        <v>0</v>
      </c>
      <c r="BL94" s="78">
        <v>0</v>
      </c>
      <c r="BM94" s="78">
        <v>671.846</v>
      </c>
      <c r="BN94" s="78">
        <v>94</v>
      </c>
      <c r="BO94" s="78">
        <v>69</v>
      </c>
      <c r="BP94" s="78">
        <v>13553.76</v>
      </c>
      <c r="BQ94" s="78">
        <v>3496.73</v>
      </c>
      <c r="BR94" s="78">
        <v>390.24209304185501</v>
      </c>
      <c r="BS94" s="78">
        <v>451</v>
      </c>
      <c r="BT94" s="78">
        <v>145.333333333333</v>
      </c>
      <c r="BU94" s="78">
        <v>102.666666666667</v>
      </c>
      <c r="BV94" s="78">
        <v>1982.9999999999968</v>
      </c>
      <c r="BW94" s="78">
        <v>555</v>
      </c>
      <c r="BX94" s="78">
        <v>8845.9186638759602</v>
      </c>
      <c r="BY94" s="402">
        <v>0.66600000000000004</v>
      </c>
      <c r="BZ94" s="78">
        <v>36214</v>
      </c>
      <c r="CA94" s="78">
        <v>6357</v>
      </c>
      <c r="CB94" s="78">
        <v>998</v>
      </c>
      <c r="CC94" s="78">
        <v>1129</v>
      </c>
      <c r="CD94" s="78">
        <v>1058</v>
      </c>
      <c r="CE94" s="78">
        <v>519</v>
      </c>
      <c r="CF94" s="78">
        <v>649.75536912751704</v>
      </c>
      <c r="CG94" s="78">
        <v>396.82818791946301</v>
      </c>
      <c r="CH94" s="78">
        <v>123.924161073826</v>
      </c>
      <c r="CI94" s="78">
        <v>1693.7094</v>
      </c>
      <c r="CJ94" s="78">
        <v>1034.4072000000001</v>
      </c>
      <c r="CK94" s="78">
        <v>323.03160000000003</v>
      </c>
      <c r="CL94" s="78">
        <v>42932</v>
      </c>
    </row>
    <row r="95" spans="1:90" x14ac:dyDescent="0.35">
      <c r="A95" s="72">
        <v>262</v>
      </c>
      <c r="B95" s="72" t="s">
        <v>187</v>
      </c>
      <c r="C95" s="72">
        <v>5</v>
      </c>
      <c r="D95" s="78">
        <v>4546400000</v>
      </c>
      <c r="E95" s="78">
        <v>446250000</v>
      </c>
      <c r="F95" s="78">
        <v>520450000</v>
      </c>
      <c r="G95" s="78">
        <v>34069</v>
      </c>
      <c r="H95" s="78">
        <v>6</v>
      </c>
      <c r="I95" s="78">
        <v>520.45000000000005</v>
      </c>
      <c r="J95" s="78">
        <v>5867</v>
      </c>
      <c r="K95" s="78">
        <v>9880</v>
      </c>
      <c r="L95" s="78">
        <v>3474</v>
      </c>
      <c r="M95" s="78">
        <v>4103</v>
      </c>
      <c r="N95" s="78">
        <v>2424.5</v>
      </c>
      <c r="O95" s="78">
        <v>386.33333333333297</v>
      </c>
      <c r="P95" s="78">
        <v>26</v>
      </c>
      <c r="Q95" s="78">
        <v>1745.3333333333301</v>
      </c>
      <c r="R95" s="78">
        <v>4738</v>
      </c>
      <c r="S95" s="78">
        <v>970</v>
      </c>
      <c r="T95" s="78">
        <v>0</v>
      </c>
      <c r="U95" s="78">
        <v>784</v>
      </c>
      <c r="V95" s="78">
        <v>15782</v>
      </c>
      <c r="W95" s="78">
        <v>28060</v>
      </c>
      <c r="X95" s="78">
        <v>12340</v>
      </c>
      <c r="Y95" s="78">
        <v>477.48</v>
      </c>
      <c r="Z95" s="78">
        <v>1019.2</v>
      </c>
      <c r="AA95" s="78">
        <v>0</v>
      </c>
      <c r="AB95" s="399">
        <v>0</v>
      </c>
      <c r="AC95" s="399">
        <v>0</v>
      </c>
      <c r="AD95" s="78">
        <v>21299</v>
      </c>
      <c r="AE95" s="78">
        <v>21299</v>
      </c>
      <c r="AF95" s="78">
        <v>295</v>
      </c>
      <c r="AG95" s="78">
        <v>0</v>
      </c>
      <c r="AH95" s="78">
        <v>191</v>
      </c>
      <c r="AI95" s="78">
        <v>191</v>
      </c>
      <c r="AJ95" s="78">
        <v>191</v>
      </c>
      <c r="AK95" s="78">
        <v>191</v>
      </c>
      <c r="AL95" s="78">
        <v>382</v>
      </c>
      <c r="AM95" s="78">
        <v>16785</v>
      </c>
      <c r="AN95" s="78">
        <v>16785</v>
      </c>
      <c r="AO95" s="78">
        <v>7</v>
      </c>
      <c r="AP95" s="78">
        <v>0</v>
      </c>
      <c r="AQ95" s="78">
        <v>0</v>
      </c>
      <c r="AR95" s="78">
        <v>0</v>
      </c>
      <c r="AS95" s="78">
        <v>1361</v>
      </c>
      <c r="AT95" s="78">
        <v>1361</v>
      </c>
      <c r="AU95" s="400">
        <v>5.8622500000000001E-4</v>
      </c>
      <c r="AV95" s="400">
        <v>1.8063199999999999E-4</v>
      </c>
      <c r="AW95" s="78">
        <v>10087.785</v>
      </c>
      <c r="AX95" s="78">
        <v>0</v>
      </c>
      <c r="AY95" s="78">
        <v>2779</v>
      </c>
      <c r="AZ95" s="78">
        <v>4384.4471149393403</v>
      </c>
      <c r="BA95" s="78">
        <v>20</v>
      </c>
      <c r="BB95" s="78">
        <v>20</v>
      </c>
      <c r="BC95" s="78">
        <v>4885</v>
      </c>
      <c r="BD95" s="78">
        <v>1</v>
      </c>
      <c r="BE95" s="78">
        <v>0</v>
      </c>
      <c r="BF95" s="78">
        <v>0</v>
      </c>
      <c r="BG95" s="78">
        <v>0</v>
      </c>
      <c r="BH95" s="78">
        <v>0</v>
      </c>
      <c r="BI95" s="78">
        <v>0</v>
      </c>
      <c r="BJ95" s="78">
        <v>0</v>
      </c>
      <c r="BK95" s="78">
        <v>0</v>
      </c>
      <c r="BL95" s="78">
        <v>0</v>
      </c>
      <c r="BM95" s="78">
        <v>528.03</v>
      </c>
      <c r="BN95" s="78">
        <v>63</v>
      </c>
      <c r="BO95" s="78">
        <v>45</v>
      </c>
      <c r="BP95" s="78">
        <v>11629.31</v>
      </c>
      <c r="BQ95" s="78">
        <v>2325.0500000000002</v>
      </c>
      <c r="BR95" s="78">
        <v>158.13890792838899</v>
      </c>
      <c r="BS95" s="78">
        <v>304</v>
      </c>
      <c r="BT95" s="78">
        <v>105.333333333333</v>
      </c>
      <c r="BU95" s="78">
        <v>86.6666666666667</v>
      </c>
      <c r="BV95" s="78">
        <v>1358.999999999997</v>
      </c>
      <c r="BW95" s="78">
        <v>417</v>
      </c>
      <c r="BX95" s="78">
        <v>6343.7706362672297</v>
      </c>
      <c r="BY95" s="402">
        <v>0.77400000000000002</v>
      </c>
      <c r="BZ95" s="78">
        <v>24189</v>
      </c>
      <c r="CA95" s="78">
        <v>5144</v>
      </c>
      <c r="CB95" s="78">
        <v>1262</v>
      </c>
      <c r="CC95" s="78">
        <v>934</v>
      </c>
      <c r="CD95" s="78">
        <v>1057</v>
      </c>
      <c r="CE95" s="78">
        <v>612</v>
      </c>
      <c r="CF95" s="78">
        <v>446.62222222222198</v>
      </c>
      <c r="CG95" s="78">
        <v>339.01111111111101</v>
      </c>
      <c r="CH95" s="78">
        <v>128.98888888888899</v>
      </c>
      <c r="CI95" s="78">
        <v>1111.8832</v>
      </c>
      <c r="CJ95" s="78">
        <v>843.98119999999994</v>
      </c>
      <c r="CK95" s="78">
        <v>321.12279999999998</v>
      </c>
      <c r="CL95" s="78">
        <v>84565</v>
      </c>
    </row>
    <row r="96" spans="1:90" x14ac:dyDescent="0.35">
      <c r="A96" s="72">
        <v>263</v>
      </c>
      <c r="B96" s="72" t="s">
        <v>192</v>
      </c>
      <c r="C96" s="72">
        <v>5</v>
      </c>
      <c r="D96" s="78">
        <v>2628400000</v>
      </c>
      <c r="E96" s="78">
        <v>331100000</v>
      </c>
      <c r="F96" s="78">
        <v>398650000</v>
      </c>
      <c r="G96" s="78">
        <v>25504</v>
      </c>
      <c r="H96" s="78">
        <v>5</v>
      </c>
      <c r="I96" s="78">
        <v>398.65</v>
      </c>
      <c r="J96" s="78">
        <v>4686</v>
      </c>
      <c r="K96" s="78">
        <v>5019</v>
      </c>
      <c r="L96" s="78">
        <v>1514</v>
      </c>
      <c r="M96" s="78">
        <v>2908</v>
      </c>
      <c r="N96" s="78">
        <v>1865</v>
      </c>
      <c r="O96" s="78">
        <v>212.666666666667</v>
      </c>
      <c r="P96" s="78">
        <v>43</v>
      </c>
      <c r="Q96" s="78">
        <v>1240.6666666666699</v>
      </c>
      <c r="R96" s="78">
        <v>3500</v>
      </c>
      <c r="S96" s="78">
        <v>475</v>
      </c>
      <c r="T96" s="78">
        <v>0</v>
      </c>
      <c r="U96" s="78">
        <v>633</v>
      </c>
      <c r="V96" s="78">
        <v>11227</v>
      </c>
      <c r="W96" s="78">
        <v>18470</v>
      </c>
      <c r="X96" s="78">
        <v>1710</v>
      </c>
      <c r="Y96" s="78">
        <v>0</v>
      </c>
      <c r="Z96" s="78">
        <v>0</v>
      </c>
      <c r="AA96" s="78">
        <v>0</v>
      </c>
      <c r="AB96" s="399">
        <v>0</v>
      </c>
      <c r="AC96" s="399">
        <v>0</v>
      </c>
      <c r="AD96" s="78">
        <v>6580</v>
      </c>
      <c r="AE96" s="78">
        <v>6974.8</v>
      </c>
      <c r="AF96" s="78">
        <v>966</v>
      </c>
      <c r="AG96" s="78">
        <v>0</v>
      </c>
      <c r="AH96" s="78">
        <v>179</v>
      </c>
      <c r="AI96" s="78">
        <v>100</v>
      </c>
      <c r="AJ96" s="78">
        <v>187.95</v>
      </c>
      <c r="AK96" s="78">
        <v>106</v>
      </c>
      <c r="AL96" s="78">
        <v>280</v>
      </c>
      <c r="AM96" s="78">
        <v>10430</v>
      </c>
      <c r="AN96" s="78">
        <v>10951.5</v>
      </c>
      <c r="AO96" s="78">
        <v>0</v>
      </c>
      <c r="AP96" s="78">
        <v>0</v>
      </c>
      <c r="AQ96" s="78">
        <v>0</v>
      </c>
      <c r="AR96" s="78">
        <v>0</v>
      </c>
      <c r="AS96" s="78">
        <v>0</v>
      </c>
      <c r="AT96" s="78">
        <v>0</v>
      </c>
      <c r="AU96" s="400">
        <v>2.398E-4</v>
      </c>
      <c r="AV96" s="400">
        <v>1.0381E-4</v>
      </c>
      <c r="AW96" s="78">
        <v>5048.12</v>
      </c>
      <c r="AX96" s="78">
        <v>0</v>
      </c>
      <c r="AY96" s="78">
        <v>2317.16</v>
      </c>
      <c r="AZ96" s="78">
        <v>8025.0063079777401</v>
      </c>
      <c r="BA96" s="78">
        <v>14</v>
      </c>
      <c r="BB96" s="78">
        <v>14.84</v>
      </c>
      <c r="BC96" s="78">
        <v>4070</v>
      </c>
      <c r="BD96" s="78">
        <v>1</v>
      </c>
      <c r="BE96" s="78">
        <v>0</v>
      </c>
      <c r="BF96" s="78">
        <v>0</v>
      </c>
      <c r="BG96" s="78">
        <v>0</v>
      </c>
      <c r="BH96" s="78">
        <v>0</v>
      </c>
      <c r="BI96" s="78">
        <v>0</v>
      </c>
      <c r="BJ96" s="78">
        <v>0</v>
      </c>
      <c r="BK96" s="78">
        <v>0</v>
      </c>
      <c r="BL96" s="78">
        <v>0</v>
      </c>
      <c r="BM96" s="78">
        <v>379.56599999999997</v>
      </c>
      <c r="BN96" s="78">
        <v>103</v>
      </c>
      <c r="BO96" s="78">
        <v>66</v>
      </c>
      <c r="BP96" s="78">
        <v>7813.55</v>
      </c>
      <c r="BQ96" s="78">
        <v>1820.7</v>
      </c>
      <c r="BR96" s="78">
        <v>142.785176470588</v>
      </c>
      <c r="BS96" s="78">
        <v>252</v>
      </c>
      <c r="BT96" s="78">
        <v>61.3333333333333</v>
      </c>
      <c r="BU96" s="78">
        <v>49.3333333333333</v>
      </c>
      <c r="BV96" s="78">
        <v>1028.000000000003</v>
      </c>
      <c r="BW96" s="78">
        <v>187</v>
      </c>
      <c r="BX96" s="78">
        <v>3884.6804589030298</v>
      </c>
      <c r="BY96" s="402">
        <v>0.13200000000000001</v>
      </c>
      <c r="BZ96" s="78">
        <v>20485</v>
      </c>
      <c r="CA96" s="78">
        <v>3008</v>
      </c>
      <c r="CB96" s="78">
        <v>497</v>
      </c>
      <c r="CC96" s="78">
        <v>534</v>
      </c>
      <c r="CD96" s="78">
        <v>472</v>
      </c>
      <c r="CE96" s="78">
        <v>234</v>
      </c>
      <c r="CF96" s="78">
        <v>326.15148609779499</v>
      </c>
      <c r="CG96" s="78">
        <v>185.42713326941501</v>
      </c>
      <c r="CH96" s="78">
        <v>58.828859060402699</v>
      </c>
      <c r="CI96" s="78">
        <v>763.52639999999997</v>
      </c>
      <c r="CJ96" s="78">
        <v>434.08819999999997</v>
      </c>
      <c r="CK96" s="78">
        <v>137.71940000000001</v>
      </c>
      <c r="CL96" s="78">
        <v>17861</v>
      </c>
    </row>
    <row r="97" spans="1:90" x14ac:dyDescent="0.35">
      <c r="A97" s="72">
        <v>1955</v>
      </c>
      <c r="B97" s="72" t="s">
        <v>207</v>
      </c>
      <c r="C97" s="72">
        <v>5</v>
      </c>
      <c r="D97" s="78">
        <v>3228000000</v>
      </c>
      <c r="E97" s="78">
        <v>393050000</v>
      </c>
      <c r="F97" s="78">
        <v>421050000</v>
      </c>
      <c r="G97" s="78">
        <v>36359</v>
      </c>
      <c r="H97" s="78">
        <v>5</v>
      </c>
      <c r="I97" s="78">
        <v>421.05</v>
      </c>
      <c r="J97" s="78">
        <v>6036</v>
      </c>
      <c r="K97" s="78">
        <v>8871</v>
      </c>
      <c r="L97" s="78">
        <v>3086</v>
      </c>
      <c r="M97" s="78">
        <v>5028</v>
      </c>
      <c r="N97" s="78">
        <v>3387.3</v>
      </c>
      <c r="O97" s="78">
        <v>347.66666666666703</v>
      </c>
      <c r="P97" s="78">
        <v>60</v>
      </c>
      <c r="Q97" s="78">
        <v>2650.6666666666702</v>
      </c>
      <c r="R97" s="78">
        <v>4780</v>
      </c>
      <c r="S97" s="78">
        <v>845</v>
      </c>
      <c r="T97" s="78">
        <v>0</v>
      </c>
      <c r="U97" s="78">
        <v>972</v>
      </c>
      <c r="V97" s="78">
        <v>16355</v>
      </c>
      <c r="W97" s="78">
        <v>33610</v>
      </c>
      <c r="X97" s="78">
        <v>16460</v>
      </c>
      <c r="Y97" s="78">
        <v>858.08</v>
      </c>
      <c r="Z97" s="78">
        <v>320.8</v>
      </c>
      <c r="AA97" s="78">
        <v>0</v>
      </c>
      <c r="AB97" s="399">
        <v>0</v>
      </c>
      <c r="AC97" s="399">
        <v>0</v>
      </c>
      <c r="AD97" s="78">
        <v>10568</v>
      </c>
      <c r="AE97" s="78">
        <v>10568</v>
      </c>
      <c r="AF97" s="78">
        <v>96</v>
      </c>
      <c r="AG97" s="78">
        <v>0</v>
      </c>
      <c r="AH97" s="78">
        <v>243</v>
      </c>
      <c r="AI97" s="78">
        <v>111</v>
      </c>
      <c r="AJ97" s="78">
        <v>243</v>
      </c>
      <c r="AK97" s="78">
        <v>111</v>
      </c>
      <c r="AL97" s="78">
        <v>354</v>
      </c>
      <c r="AM97" s="78">
        <v>16407</v>
      </c>
      <c r="AN97" s="78">
        <v>16407</v>
      </c>
      <c r="AO97" s="78">
        <v>6</v>
      </c>
      <c r="AP97" s="78">
        <v>0</v>
      </c>
      <c r="AQ97" s="78">
        <v>0</v>
      </c>
      <c r="AR97" s="78">
        <v>0</v>
      </c>
      <c r="AS97" s="78">
        <v>620</v>
      </c>
      <c r="AT97" s="78">
        <v>620</v>
      </c>
      <c r="AU97" s="400">
        <v>4.4074799999999998E-4</v>
      </c>
      <c r="AV97" s="400">
        <v>2.3673499999999999E-4</v>
      </c>
      <c r="AW97" s="78">
        <v>12584.169</v>
      </c>
      <c r="AX97" s="78">
        <v>0</v>
      </c>
      <c r="AY97" s="78">
        <v>574</v>
      </c>
      <c r="AZ97" s="78">
        <v>1957.057951988</v>
      </c>
      <c r="BA97" s="78">
        <v>10</v>
      </c>
      <c r="BB97" s="78">
        <v>10</v>
      </c>
      <c r="BC97" s="78">
        <v>3980</v>
      </c>
      <c r="BD97" s="78">
        <v>1</v>
      </c>
      <c r="BE97" s="78">
        <v>0</v>
      </c>
      <c r="BF97" s="78">
        <v>0</v>
      </c>
      <c r="BG97" s="78">
        <v>0</v>
      </c>
      <c r="BH97" s="78">
        <v>0</v>
      </c>
      <c r="BI97" s="78">
        <v>0</v>
      </c>
      <c r="BJ97" s="78">
        <v>0</v>
      </c>
      <c r="BK97" s="78">
        <v>0</v>
      </c>
      <c r="BL97" s="78">
        <v>0</v>
      </c>
      <c r="BM97" s="78">
        <v>700.17600000000004</v>
      </c>
      <c r="BN97" s="78">
        <v>136</v>
      </c>
      <c r="BO97" s="78">
        <v>70</v>
      </c>
      <c r="BP97" s="78">
        <v>9881.56</v>
      </c>
      <c r="BQ97" s="78">
        <v>2109.9899999999998</v>
      </c>
      <c r="BR97" s="78">
        <v>194.668379641369</v>
      </c>
      <c r="BS97" s="78">
        <v>324</v>
      </c>
      <c r="BT97" s="78">
        <v>99.3333333333333</v>
      </c>
      <c r="BU97" s="78">
        <v>82.6666666666667</v>
      </c>
      <c r="BV97" s="78">
        <v>2303.0000000000032</v>
      </c>
      <c r="BW97" s="78">
        <v>589</v>
      </c>
      <c r="BX97" s="78">
        <v>7644.2398356970398</v>
      </c>
      <c r="BY97" s="402">
        <v>0.53700000000000003</v>
      </c>
      <c r="BZ97" s="78">
        <v>27488</v>
      </c>
      <c r="CA97" s="78">
        <v>4847</v>
      </c>
      <c r="CB97" s="78">
        <v>938</v>
      </c>
      <c r="CC97" s="78">
        <v>907</v>
      </c>
      <c r="CD97" s="78">
        <v>960</v>
      </c>
      <c r="CE97" s="78">
        <v>469</v>
      </c>
      <c r="CF97" s="78">
        <v>611.72486743463196</v>
      </c>
      <c r="CG97" s="78">
        <v>434.380398610349</v>
      </c>
      <c r="CH97" s="78">
        <v>141.21492046077901</v>
      </c>
      <c r="CI97" s="78">
        <v>1503.4262000000001</v>
      </c>
      <c r="CJ97" s="78">
        <v>1067.5696</v>
      </c>
      <c r="CK97" s="78">
        <v>347.0616</v>
      </c>
      <c r="CL97" s="78">
        <v>0</v>
      </c>
    </row>
    <row r="98" spans="1:90" x14ac:dyDescent="0.35">
      <c r="A98" s="72">
        <v>1740</v>
      </c>
      <c r="B98" s="72" t="s">
        <v>210</v>
      </c>
      <c r="C98" s="72">
        <v>5</v>
      </c>
      <c r="D98" s="78">
        <v>2202800000</v>
      </c>
      <c r="E98" s="78">
        <v>298200000</v>
      </c>
      <c r="F98" s="78">
        <v>313950000</v>
      </c>
      <c r="G98" s="78">
        <v>25032</v>
      </c>
      <c r="H98" s="78">
        <v>4</v>
      </c>
      <c r="I98" s="78">
        <v>313.95</v>
      </c>
      <c r="J98" s="78">
        <v>6209</v>
      </c>
      <c r="K98" s="78">
        <v>4342</v>
      </c>
      <c r="L98" s="78">
        <v>1369</v>
      </c>
      <c r="M98" s="78">
        <v>2527</v>
      </c>
      <c r="N98" s="78">
        <v>1601</v>
      </c>
      <c r="O98" s="78">
        <v>246.666666666667</v>
      </c>
      <c r="P98" s="78">
        <v>24</v>
      </c>
      <c r="Q98" s="78">
        <v>1099.6666666666699</v>
      </c>
      <c r="R98" s="78">
        <v>2611</v>
      </c>
      <c r="S98" s="78">
        <v>355</v>
      </c>
      <c r="T98" s="78">
        <v>0</v>
      </c>
      <c r="U98" s="78">
        <v>568</v>
      </c>
      <c r="V98" s="78">
        <v>9726</v>
      </c>
      <c r="W98" s="78">
        <v>19370</v>
      </c>
      <c r="X98" s="78">
        <v>2600</v>
      </c>
      <c r="Y98" s="78">
        <v>200.92</v>
      </c>
      <c r="Z98" s="78">
        <v>1216.8</v>
      </c>
      <c r="AA98" s="78">
        <v>0</v>
      </c>
      <c r="AB98" s="399">
        <v>0</v>
      </c>
      <c r="AC98" s="399">
        <v>0</v>
      </c>
      <c r="AD98" s="78">
        <v>5989</v>
      </c>
      <c r="AE98" s="78">
        <v>6288.45</v>
      </c>
      <c r="AF98" s="78">
        <v>757</v>
      </c>
      <c r="AG98" s="78">
        <v>0</v>
      </c>
      <c r="AH98" s="78">
        <v>138</v>
      </c>
      <c r="AI98" s="78">
        <v>83</v>
      </c>
      <c r="AJ98" s="78">
        <v>144.9</v>
      </c>
      <c r="AK98" s="78">
        <v>87.15</v>
      </c>
      <c r="AL98" s="78">
        <v>221</v>
      </c>
      <c r="AM98" s="78">
        <v>9260</v>
      </c>
      <c r="AN98" s="78">
        <v>9723</v>
      </c>
      <c r="AO98" s="78">
        <v>0</v>
      </c>
      <c r="AP98" s="78">
        <v>0</v>
      </c>
      <c r="AQ98" s="78">
        <v>0</v>
      </c>
      <c r="AR98" s="78">
        <v>0</v>
      </c>
      <c r="AS98" s="78">
        <v>0</v>
      </c>
      <c r="AT98" s="78">
        <v>0</v>
      </c>
      <c r="AU98" s="400">
        <v>1.63664E-4</v>
      </c>
      <c r="AV98" s="400">
        <v>8.3809999999999999E-5</v>
      </c>
      <c r="AW98" s="78">
        <v>4148.4799999999996</v>
      </c>
      <c r="AX98" s="78">
        <v>0</v>
      </c>
      <c r="AY98" s="78">
        <v>1960.35</v>
      </c>
      <c r="AZ98" s="78">
        <v>7414.4219982211698</v>
      </c>
      <c r="BA98" s="78">
        <v>11</v>
      </c>
      <c r="BB98" s="78">
        <v>11.55</v>
      </c>
      <c r="BC98" s="78">
        <v>3195</v>
      </c>
      <c r="BD98" s="78">
        <v>1</v>
      </c>
      <c r="BE98" s="78">
        <v>0</v>
      </c>
      <c r="BF98" s="78">
        <v>0</v>
      </c>
      <c r="BG98" s="78">
        <v>0</v>
      </c>
      <c r="BH98" s="78">
        <v>0</v>
      </c>
      <c r="BI98" s="78">
        <v>0</v>
      </c>
      <c r="BJ98" s="78">
        <v>0</v>
      </c>
      <c r="BK98" s="78">
        <v>0</v>
      </c>
      <c r="BL98" s="78">
        <v>0</v>
      </c>
      <c r="BM98" s="78">
        <v>440.839</v>
      </c>
      <c r="BN98" s="78">
        <v>248</v>
      </c>
      <c r="BO98" s="78">
        <v>69</v>
      </c>
      <c r="BP98" s="78">
        <v>6056.32</v>
      </c>
      <c r="BQ98" s="78">
        <v>1766.38</v>
      </c>
      <c r="BR98" s="78">
        <v>309.13143868394798</v>
      </c>
      <c r="BS98" s="78">
        <v>230</v>
      </c>
      <c r="BT98" s="78">
        <v>78</v>
      </c>
      <c r="BU98" s="78">
        <v>57</v>
      </c>
      <c r="BV98" s="78">
        <v>853.00000000000296</v>
      </c>
      <c r="BW98" s="78">
        <v>252</v>
      </c>
      <c r="BX98" s="78">
        <v>3816.79096397274</v>
      </c>
      <c r="BY98" s="402">
        <v>0.20599999999999999</v>
      </c>
      <c r="BZ98" s="78">
        <v>20690</v>
      </c>
      <c r="CA98" s="78">
        <v>2553</v>
      </c>
      <c r="CB98" s="78">
        <v>420</v>
      </c>
      <c r="CC98" s="78">
        <v>431</v>
      </c>
      <c r="CD98" s="78">
        <v>402</v>
      </c>
      <c r="CE98" s="78">
        <v>201</v>
      </c>
      <c r="CF98" s="78">
        <v>265.91123110151199</v>
      </c>
      <c r="CG98" s="78">
        <v>161.65604751619901</v>
      </c>
      <c r="CH98" s="78">
        <v>47.891684665226798</v>
      </c>
      <c r="CI98" s="78">
        <v>740.70079999999996</v>
      </c>
      <c r="CJ98" s="78">
        <v>450.29599999999999</v>
      </c>
      <c r="CK98" s="78">
        <v>133.4032</v>
      </c>
      <c r="CL98" s="78">
        <v>23360</v>
      </c>
    </row>
    <row r="99" spans="1:90" x14ac:dyDescent="0.35">
      <c r="A99" s="72">
        <v>267</v>
      </c>
      <c r="B99" s="72" t="s">
        <v>214</v>
      </c>
      <c r="C99" s="72">
        <v>5</v>
      </c>
      <c r="D99" s="78">
        <v>5481200000</v>
      </c>
      <c r="E99" s="78">
        <v>794850000</v>
      </c>
      <c r="F99" s="78">
        <v>818300000</v>
      </c>
      <c r="G99" s="78">
        <v>44311</v>
      </c>
      <c r="H99" s="78">
        <v>3</v>
      </c>
      <c r="I99" s="78">
        <v>818.3</v>
      </c>
      <c r="J99" s="78">
        <v>9697</v>
      </c>
      <c r="K99" s="78">
        <v>8508</v>
      </c>
      <c r="L99" s="78">
        <v>2939</v>
      </c>
      <c r="M99" s="78">
        <v>4621</v>
      </c>
      <c r="N99" s="78">
        <v>2812.8</v>
      </c>
      <c r="O99" s="78">
        <v>465.66666666666703</v>
      </c>
      <c r="P99" s="78">
        <v>60</v>
      </c>
      <c r="Q99" s="78">
        <v>2227.6666666666702</v>
      </c>
      <c r="R99" s="78">
        <v>5237</v>
      </c>
      <c r="S99" s="78">
        <v>1925</v>
      </c>
      <c r="T99" s="78">
        <v>0</v>
      </c>
      <c r="U99" s="78">
        <v>1073</v>
      </c>
      <c r="V99" s="78">
        <v>18377</v>
      </c>
      <c r="W99" s="78">
        <v>39480</v>
      </c>
      <c r="X99" s="78">
        <v>17150</v>
      </c>
      <c r="Y99" s="78">
        <v>793.82</v>
      </c>
      <c r="Z99" s="78">
        <v>2075.1999999999998</v>
      </c>
      <c r="AA99" s="78">
        <v>0</v>
      </c>
      <c r="AB99" s="399">
        <v>0</v>
      </c>
      <c r="AC99" s="399">
        <v>45.299999999999727</v>
      </c>
      <c r="AD99" s="78">
        <v>6934</v>
      </c>
      <c r="AE99" s="78">
        <v>6934</v>
      </c>
      <c r="AF99" s="78">
        <v>270</v>
      </c>
      <c r="AG99" s="78">
        <v>0</v>
      </c>
      <c r="AH99" s="78">
        <v>266</v>
      </c>
      <c r="AI99" s="78">
        <v>73</v>
      </c>
      <c r="AJ99" s="78">
        <v>266</v>
      </c>
      <c r="AK99" s="78">
        <v>73</v>
      </c>
      <c r="AL99" s="78">
        <v>339</v>
      </c>
      <c r="AM99" s="78">
        <v>18082</v>
      </c>
      <c r="AN99" s="78">
        <v>18082</v>
      </c>
      <c r="AO99" s="78">
        <v>14</v>
      </c>
      <c r="AP99" s="78">
        <v>0</v>
      </c>
      <c r="AQ99" s="78">
        <v>0</v>
      </c>
      <c r="AR99" s="78">
        <v>0</v>
      </c>
      <c r="AS99" s="78">
        <v>1146</v>
      </c>
      <c r="AT99" s="78">
        <v>1146</v>
      </c>
      <c r="AU99" s="400">
        <v>3.65294E-4</v>
      </c>
      <c r="AV99" s="400">
        <v>2.9211599999999998E-4</v>
      </c>
      <c r="AW99" s="78">
        <v>20432.66</v>
      </c>
      <c r="AX99" s="78">
        <v>0</v>
      </c>
      <c r="AY99" s="78">
        <v>1447</v>
      </c>
      <c r="AZ99" s="78">
        <v>8900.3355080510792</v>
      </c>
      <c r="BA99" s="78">
        <v>9</v>
      </c>
      <c r="BB99" s="78">
        <v>9</v>
      </c>
      <c r="BC99" s="78">
        <v>6015</v>
      </c>
      <c r="BD99" s="78">
        <v>1</v>
      </c>
      <c r="BE99" s="78">
        <v>0</v>
      </c>
      <c r="BF99" s="78">
        <v>0</v>
      </c>
      <c r="BG99" s="78">
        <v>0</v>
      </c>
      <c r="BH99" s="78">
        <v>0</v>
      </c>
      <c r="BI99" s="78">
        <v>0</v>
      </c>
      <c r="BJ99" s="78">
        <v>0</v>
      </c>
      <c r="BK99" s="78">
        <v>0</v>
      </c>
      <c r="BL99" s="78">
        <v>0</v>
      </c>
      <c r="BM99" s="78">
        <v>659.39599999999996</v>
      </c>
      <c r="BN99" s="78">
        <v>166</v>
      </c>
      <c r="BO99" s="78">
        <v>112</v>
      </c>
      <c r="BP99" s="78">
        <v>12792.07</v>
      </c>
      <c r="BQ99" s="78">
        <v>3379.86</v>
      </c>
      <c r="BR99" s="78">
        <v>399.66649013657099</v>
      </c>
      <c r="BS99" s="78">
        <v>415</v>
      </c>
      <c r="BT99" s="78">
        <v>130.666666666667</v>
      </c>
      <c r="BU99" s="78">
        <v>100.333333333333</v>
      </c>
      <c r="BV99" s="78">
        <v>1762.0000000000032</v>
      </c>
      <c r="BW99" s="78">
        <v>494</v>
      </c>
      <c r="BX99" s="78">
        <v>6582.6226376146797</v>
      </c>
      <c r="BY99" s="402">
        <v>0.36899999999999999</v>
      </c>
      <c r="BZ99" s="78">
        <v>35803</v>
      </c>
      <c r="CA99" s="78">
        <v>4647</v>
      </c>
      <c r="CB99" s="78">
        <v>922</v>
      </c>
      <c r="CC99" s="78">
        <v>858</v>
      </c>
      <c r="CD99" s="78">
        <v>930</v>
      </c>
      <c r="CE99" s="78">
        <v>441</v>
      </c>
      <c r="CF99" s="78">
        <v>442.251432363677</v>
      </c>
      <c r="CG99" s="78">
        <v>312.67160712310601</v>
      </c>
      <c r="CH99" s="78">
        <v>100.95715075766</v>
      </c>
      <c r="CI99" s="78">
        <v>1179.5607</v>
      </c>
      <c r="CJ99" s="78">
        <v>833.94899999999996</v>
      </c>
      <c r="CK99" s="78">
        <v>269.27010000000001</v>
      </c>
      <c r="CL99" s="78">
        <v>44254</v>
      </c>
    </row>
    <row r="100" spans="1:90" x14ac:dyDescent="0.35">
      <c r="A100" s="72">
        <v>268</v>
      </c>
      <c r="B100" s="72" t="s">
        <v>215</v>
      </c>
      <c r="C100" s="72">
        <v>5</v>
      </c>
      <c r="D100" s="78">
        <v>20414000000</v>
      </c>
      <c r="E100" s="78">
        <v>3047450000</v>
      </c>
      <c r="F100" s="78">
        <v>3123400000</v>
      </c>
      <c r="G100" s="78">
        <v>179100</v>
      </c>
      <c r="H100" s="78">
        <v>1</v>
      </c>
      <c r="I100" s="78">
        <v>3123.4</v>
      </c>
      <c r="J100" s="78">
        <v>29158</v>
      </c>
      <c r="K100" s="78">
        <v>29753</v>
      </c>
      <c r="L100" s="78">
        <v>9241</v>
      </c>
      <c r="M100" s="78">
        <v>30256</v>
      </c>
      <c r="N100" s="78">
        <v>21462.199999999997</v>
      </c>
      <c r="O100" s="78">
        <v>6998.3333333333303</v>
      </c>
      <c r="P100" s="78">
        <v>234</v>
      </c>
      <c r="Q100" s="78">
        <v>16314.333333333299</v>
      </c>
      <c r="R100" s="78">
        <v>52416</v>
      </c>
      <c r="S100" s="78">
        <v>14890</v>
      </c>
      <c r="T100" s="78">
        <v>0</v>
      </c>
      <c r="U100" s="78">
        <v>6389</v>
      </c>
      <c r="V100" s="78">
        <v>99965</v>
      </c>
      <c r="W100" s="78">
        <v>212410</v>
      </c>
      <c r="X100" s="78">
        <v>374380</v>
      </c>
      <c r="Y100" s="78">
        <v>5251.3678</v>
      </c>
      <c r="Z100" s="78">
        <v>10897.6</v>
      </c>
      <c r="AA100" s="78">
        <v>0</v>
      </c>
      <c r="AB100" s="399">
        <v>0</v>
      </c>
      <c r="AC100" s="399">
        <v>0</v>
      </c>
      <c r="AD100" s="78">
        <v>5248</v>
      </c>
      <c r="AE100" s="78">
        <v>5248</v>
      </c>
      <c r="AF100" s="78">
        <v>515</v>
      </c>
      <c r="AG100" s="78">
        <v>0</v>
      </c>
      <c r="AH100" s="78">
        <v>732</v>
      </c>
      <c r="AI100" s="78">
        <v>39</v>
      </c>
      <c r="AJ100" s="78">
        <v>732</v>
      </c>
      <c r="AK100" s="78">
        <v>39</v>
      </c>
      <c r="AL100" s="78">
        <v>770</v>
      </c>
      <c r="AM100" s="78">
        <v>87938</v>
      </c>
      <c r="AN100" s="78">
        <v>87938</v>
      </c>
      <c r="AO100" s="78">
        <v>20</v>
      </c>
      <c r="AP100" s="78">
        <v>0</v>
      </c>
      <c r="AQ100" s="78">
        <v>0</v>
      </c>
      <c r="AR100" s="78">
        <v>0</v>
      </c>
      <c r="AS100" s="78">
        <v>16196</v>
      </c>
      <c r="AT100" s="78">
        <v>14335</v>
      </c>
      <c r="AU100" s="400">
        <v>1.1320648000000001E-2</v>
      </c>
      <c r="AV100" s="400">
        <v>1.4075005999999999E-2</v>
      </c>
      <c r="AW100" s="78">
        <v>211930.58</v>
      </c>
      <c r="AX100" s="78">
        <v>0</v>
      </c>
      <c r="AY100" s="78">
        <v>1761</v>
      </c>
      <c r="AZ100" s="78">
        <v>54727.589796980697</v>
      </c>
      <c r="BA100" s="78">
        <v>2</v>
      </c>
      <c r="BB100" s="78">
        <v>2</v>
      </c>
      <c r="BC100" s="78">
        <v>21635</v>
      </c>
      <c r="BD100" s="78">
        <v>1</v>
      </c>
      <c r="BE100" s="78">
        <v>0</v>
      </c>
      <c r="BF100" s="78">
        <v>0</v>
      </c>
      <c r="BG100" s="78">
        <v>0</v>
      </c>
      <c r="BH100" s="78">
        <v>0</v>
      </c>
      <c r="BI100" s="78">
        <v>0</v>
      </c>
      <c r="BJ100" s="78">
        <v>0</v>
      </c>
      <c r="BK100" s="78">
        <v>0</v>
      </c>
      <c r="BL100" s="78">
        <v>0</v>
      </c>
      <c r="BM100" s="78">
        <v>4986.018</v>
      </c>
      <c r="BN100" s="78">
        <v>509</v>
      </c>
      <c r="BO100" s="78">
        <v>484</v>
      </c>
      <c r="BP100" s="78">
        <v>47726.98</v>
      </c>
      <c r="BQ100" s="78">
        <v>9927.6</v>
      </c>
      <c r="BR100" s="78">
        <v>1533.8554278122199</v>
      </c>
      <c r="BS100" s="78">
        <v>2248</v>
      </c>
      <c r="BT100" s="78">
        <v>1542</v>
      </c>
      <c r="BU100" s="78">
        <v>1538</v>
      </c>
      <c r="BV100" s="78">
        <v>9315.9999999999691</v>
      </c>
      <c r="BW100" s="78">
        <v>3272</v>
      </c>
      <c r="BX100" s="78">
        <v>23017.6707807329</v>
      </c>
      <c r="BY100" s="402">
        <v>19.882999999999999</v>
      </c>
      <c r="BZ100" s="78">
        <v>149347</v>
      </c>
      <c r="CA100" s="78">
        <v>17360</v>
      </c>
      <c r="CB100" s="78">
        <v>3152</v>
      </c>
      <c r="CC100" s="78">
        <v>5783</v>
      </c>
      <c r="CD100" s="78">
        <v>3805</v>
      </c>
      <c r="CE100" s="78">
        <v>1670</v>
      </c>
      <c r="CF100" s="78">
        <v>2908.9581500602699</v>
      </c>
      <c r="CG100" s="78">
        <v>1647.16490936796</v>
      </c>
      <c r="CH100" s="78">
        <v>560.60717096135897</v>
      </c>
      <c r="CI100" s="78">
        <v>6153.7797</v>
      </c>
      <c r="CJ100" s="78">
        <v>3484.5086999999999</v>
      </c>
      <c r="CK100" s="78">
        <v>1185.9411</v>
      </c>
      <c r="CL100" s="78">
        <v>148521</v>
      </c>
    </row>
    <row r="101" spans="1:90" x14ac:dyDescent="0.35">
      <c r="A101" s="72">
        <v>302</v>
      </c>
      <c r="B101" s="72" t="s">
        <v>223</v>
      </c>
      <c r="C101" s="72">
        <v>5</v>
      </c>
      <c r="D101" s="78">
        <v>3361200000</v>
      </c>
      <c r="E101" s="78">
        <v>357000000</v>
      </c>
      <c r="F101" s="78">
        <v>397250000</v>
      </c>
      <c r="G101" s="78">
        <v>28223</v>
      </c>
      <c r="H101" s="78">
        <v>3</v>
      </c>
      <c r="I101" s="78">
        <v>397.25</v>
      </c>
      <c r="J101" s="78">
        <v>6228</v>
      </c>
      <c r="K101" s="78">
        <v>5940</v>
      </c>
      <c r="L101" s="78">
        <v>1999</v>
      </c>
      <c r="M101" s="78">
        <v>3130</v>
      </c>
      <c r="N101" s="78">
        <v>1827</v>
      </c>
      <c r="O101" s="78">
        <v>271.66666666666703</v>
      </c>
      <c r="P101" s="78">
        <v>47</v>
      </c>
      <c r="Q101" s="78">
        <v>1551.6666666666699</v>
      </c>
      <c r="R101" s="78">
        <v>3266</v>
      </c>
      <c r="S101" s="78">
        <v>375</v>
      </c>
      <c r="T101" s="78">
        <v>0</v>
      </c>
      <c r="U101" s="78">
        <v>577</v>
      </c>
      <c r="V101" s="78">
        <v>11813</v>
      </c>
      <c r="W101" s="78">
        <v>27500</v>
      </c>
      <c r="X101" s="78">
        <v>16770</v>
      </c>
      <c r="Y101" s="78">
        <v>1190.46</v>
      </c>
      <c r="Z101" s="78">
        <v>394.4</v>
      </c>
      <c r="AA101" s="78">
        <v>0</v>
      </c>
      <c r="AB101" s="399">
        <v>0</v>
      </c>
      <c r="AC101" s="399">
        <v>153.09999999999997</v>
      </c>
      <c r="AD101" s="78">
        <v>12872</v>
      </c>
      <c r="AE101" s="78">
        <v>12872</v>
      </c>
      <c r="AF101" s="78">
        <v>81</v>
      </c>
      <c r="AG101" s="78">
        <v>0</v>
      </c>
      <c r="AH101" s="78">
        <v>167</v>
      </c>
      <c r="AI101" s="78">
        <v>48</v>
      </c>
      <c r="AJ101" s="78">
        <v>167</v>
      </c>
      <c r="AK101" s="78">
        <v>48</v>
      </c>
      <c r="AL101" s="78">
        <v>215</v>
      </c>
      <c r="AM101" s="78">
        <v>13030</v>
      </c>
      <c r="AN101" s="78">
        <v>13030</v>
      </c>
      <c r="AO101" s="78">
        <v>0</v>
      </c>
      <c r="AP101" s="78">
        <v>0</v>
      </c>
      <c r="AQ101" s="78">
        <v>0</v>
      </c>
      <c r="AR101" s="78">
        <v>0</v>
      </c>
      <c r="AS101" s="78">
        <v>579</v>
      </c>
      <c r="AT101" s="78">
        <v>0</v>
      </c>
      <c r="AU101" s="400">
        <v>2.19574E-4</v>
      </c>
      <c r="AV101" s="400">
        <v>1.6286499999999999E-4</v>
      </c>
      <c r="AW101" s="78">
        <v>10502.18</v>
      </c>
      <c r="AX101" s="78">
        <v>0</v>
      </c>
      <c r="AY101" s="78">
        <v>398</v>
      </c>
      <c r="AZ101" s="78">
        <v>867.19323708793297</v>
      </c>
      <c r="BA101" s="78">
        <v>13</v>
      </c>
      <c r="BB101" s="78">
        <v>13</v>
      </c>
      <c r="BC101" s="78">
        <v>3555</v>
      </c>
      <c r="BD101" s="78">
        <v>1</v>
      </c>
      <c r="BE101" s="78">
        <v>0</v>
      </c>
      <c r="BF101" s="78">
        <v>0</v>
      </c>
      <c r="BG101" s="78">
        <v>0</v>
      </c>
      <c r="BH101" s="78">
        <v>0</v>
      </c>
      <c r="BI101" s="78">
        <v>0</v>
      </c>
      <c r="BJ101" s="78">
        <v>0</v>
      </c>
      <c r="BK101" s="78">
        <v>0</v>
      </c>
      <c r="BL101" s="78">
        <v>0</v>
      </c>
      <c r="BM101" s="78">
        <v>411.048</v>
      </c>
      <c r="BN101" s="78">
        <v>196</v>
      </c>
      <c r="BO101" s="78">
        <v>45</v>
      </c>
      <c r="BP101" s="78">
        <v>7377.48</v>
      </c>
      <c r="BQ101" s="78">
        <v>1846.98</v>
      </c>
      <c r="BR101" s="78">
        <v>294.27698951782003</v>
      </c>
      <c r="BS101" s="78">
        <v>210</v>
      </c>
      <c r="BT101" s="78">
        <v>83.6666666666667</v>
      </c>
      <c r="BU101" s="78">
        <v>59</v>
      </c>
      <c r="BV101" s="78">
        <v>1280.000000000003</v>
      </c>
      <c r="BW101" s="78">
        <v>470</v>
      </c>
      <c r="BX101" s="78">
        <v>4696.0912544163302</v>
      </c>
      <c r="BY101" s="402">
        <v>0.47899999999999998</v>
      </c>
      <c r="BZ101" s="78">
        <v>22283</v>
      </c>
      <c r="CA101" s="78">
        <v>3211</v>
      </c>
      <c r="CB101" s="78">
        <v>730</v>
      </c>
      <c r="CC101" s="78">
        <v>615</v>
      </c>
      <c r="CD101" s="78">
        <v>606</v>
      </c>
      <c r="CE101" s="78">
        <v>336</v>
      </c>
      <c r="CF101" s="78">
        <v>274.12010744435901</v>
      </c>
      <c r="CG101" s="78">
        <v>189.14988488104399</v>
      </c>
      <c r="CH101" s="78">
        <v>67.4433614735226</v>
      </c>
      <c r="CI101" s="78">
        <v>893.63049999999998</v>
      </c>
      <c r="CJ101" s="78">
        <v>616.62789999999995</v>
      </c>
      <c r="CK101" s="78">
        <v>219.86510000000001</v>
      </c>
      <c r="CL101" s="78">
        <v>63145</v>
      </c>
    </row>
    <row r="102" spans="1:90" x14ac:dyDescent="0.35">
      <c r="A102" s="72">
        <v>269</v>
      </c>
      <c r="B102" s="72" t="s">
        <v>228</v>
      </c>
      <c r="C102" s="72">
        <v>5</v>
      </c>
      <c r="D102" s="78">
        <v>2461600000</v>
      </c>
      <c r="E102" s="78">
        <v>285950000</v>
      </c>
      <c r="F102" s="78">
        <v>310100000</v>
      </c>
      <c r="G102" s="78">
        <v>23930</v>
      </c>
      <c r="H102" s="78">
        <v>3</v>
      </c>
      <c r="I102" s="78">
        <v>310.10000000000002</v>
      </c>
      <c r="J102" s="78">
        <v>5276</v>
      </c>
      <c r="K102" s="78">
        <v>4716</v>
      </c>
      <c r="L102" s="78">
        <v>1495</v>
      </c>
      <c r="M102" s="78">
        <v>2454</v>
      </c>
      <c r="N102" s="78">
        <v>1452</v>
      </c>
      <c r="O102" s="78">
        <v>262.66666666666703</v>
      </c>
      <c r="P102" s="78">
        <v>40</v>
      </c>
      <c r="Q102" s="78">
        <v>1239.6666666666699</v>
      </c>
      <c r="R102" s="78">
        <v>2403</v>
      </c>
      <c r="S102" s="78">
        <v>250</v>
      </c>
      <c r="T102" s="78">
        <v>0</v>
      </c>
      <c r="U102" s="78">
        <v>494</v>
      </c>
      <c r="V102" s="78">
        <v>9625</v>
      </c>
      <c r="W102" s="78">
        <v>20990</v>
      </c>
      <c r="X102" s="78">
        <v>8020</v>
      </c>
      <c r="Y102" s="78">
        <v>0</v>
      </c>
      <c r="Z102" s="78">
        <v>231.2</v>
      </c>
      <c r="AA102" s="78">
        <v>0</v>
      </c>
      <c r="AB102" s="399">
        <v>0</v>
      </c>
      <c r="AC102" s="399">
        <v>0</v>
      </c>
      <c r="AD102" s="78">
        <v>9772</v>
      </c>
      <c r="AE102" s="78">
        <v>9772</v>
      </c>
      <c r="AF102" s="78">
        <v>111</v>
      </c>
      <c r="AG102" s="78">
        <v>0</v>
      </c>
      <c r="AH102" s="78">
        <v>137</v>
      </c>
      <c r="AI102" s="78">
        <v>64</v>
      </c>
      <c r="AJ102" s="78">
        <v>137</v>
      </c>
      <c r="AK102" s="78">
        <v>64</v>
      </c>
      <c r="AL102" s="78">
        <v>201</v>
      </c>
      <c r="AM102" s="78">
        <v>10020</v>
      </c>
      <c r="AN102" s="78">
        <v>10020</v>
      </c>
      <c r="AO102" s="78">
        <v>0</v>
      </c>
      <c r="AP102" s="78">
        <v>0</v>
      </c>
      <c r="AQ102" s="78">
        <v>0</v>
      </c>
      <c r="AR102" s="78">
        <v>0</v>
      </c>
      <c r="AS102" s="78">
        <v>0</v>
      </c>
      <c r="AT102" s="78">
        <v>0</v>
      </c>
      <c r="AU102" s="400">
        <v>1.9782299999999999E-4</v>
      </c>
      <c r="AV102" s="400">
        <v>9.9681999999999999E-5</v>
      </c>
      <c r="AW102" s="78">
        <v>6583.14</v>
      </c>
      <c r="AX102" s="78">
        <v>0</v>
      </c>
      <c r="AY102" s="78">
        <v>945</v>
      </c>
      <c r="AZ102" s="78">
        <v>2288.1564302337301</v>
      </c>
      <c r="BA102" s="78">
        <v>9</v>
      </c>
      <c r="BB102" s="78">
        <v>9</v>
      </c>
      <c r="BC102" s="78">
        <v>2755</v>
      </c>
      <c r="BD102" s="78">
        <v>1</v>
      </c>
      <c r="BE102" s="78">
        <v>0</v>
      </c>
      <c r="BF102" s="78">
        <v>0</v>
      </c>
      <c r="BG102" s="78">
        <v>0</v>
      </c>
      <c r="BH102" s="78">
        <v>0</v>
      </c>
      <c r="BI102" s="78">
        <v>0</v>
      </c>
      <c r="BJ102" s="78">
        <v>0</v>
      </c>
      <c r="BK102" s="78">
        <v>0</v>
      </c>
      <c r="BL102" s="78">
        <v>0</v>
      </c>
      <c r="BM102" s="78">
        <v>332.38799999999998</v>
      </c>
      <c r="BN102" s="78">
        <v>166</v>
      </c>
      <c r="BO102" s="78">
        <v>38</v>
      </c>
      <c r="BP102" s="78">
        <v>5819.94</v>
      </c>
      <c r="BQ102" s="78">
        <v>1617.72</v>
      </c>
      <c r="BR102" s="78">
        <v>269.86187432117902</v>
      </c>
      <c r="BS102" s="78">
        <v>187</v>
      </c>
      <c r="BT102" s="78">
        <v>84.3333333333333</v>
      </c>
      <c r="BU102" s="78">
        <v>66</v>
      </c>
      <c r="BV102" s="78">
        <v>977.00000000000296</v>
      </c>
      <c r="BW102" s="78">
        <v>276</v>
      </c>
      <c r="BX102" s="78">
        <v>3770.5864478114499</v>
      </c>
      <c r="BY102" s="402">
        <v>0.42199999999999999</v>
      </c>
      <c r="BZ102" s="78">
        <v>19214</v>
      </c>
      <c r="CA102" s="78">
        <v>2698</v>
      </c>
      <c r="CB102" s="78">
        <v>523</v>
      </c>
      <c r="CC102" s="78">
        <v>414</v>
      </c>
      <c r="CD102" s="78">
        <v>470</v>
      </c>
      <c r="CE102" s="78">
        <v>265</v>
      </c>
      <c r="CF102" s="78">
        <v>233.30538922155699</v>
      </c>
      <c r="CG102" s="78">
        <v>148.38802395209601</v>
      </c>
      <c r="CH102" s="78">
        <v>56.949700598802401</v>
      </c>
      <c r="CI102" s="78">
        <v>809.83</v>
      </c>
      <c r="CJ102" s="78">
        <v>515.072</v>
      </c>
      <c r="CK102" s="78">
        <v>197.679</v>
      </c>
      <c r="CL102" s="78">
        <v>10584</v>
      </c>
    </row>
    <row r="103" spans="1:90" x14ac:dyDescent="0.35">
      <c r="A103" s="72">
        <v>1586</v>
      </c>
      <c r="B103" s="72" t="s">
        <v>232</v>
      </c>
      <c r="C103" s="72">
        <v>5</v>
      </c>
      <c r="D103" s="78">
        <v>2560400000</v>
      </c>
      <c r="E103" s="78">
        <v>571900000</v>
      </c>
      <c r="F103" s="78">
        <v>616000000</v>
      </c>
      <c r="G103" s="78">
        <v>29603</v>
      </c>
      <c r="H103" s="78">
        <v>3</v>
      </c>
      <c r="I103" s="78">
        <v>616</v>
      </c>
      <c r="J103" s="78">
        <v>5415</v>
      </c>
      <c r="K103" s="78">
        <v>6901</v>
      </c>
      <c r="L103" s="78">
        <v>2293</v>
      </c>
      <c r="M103" s="78">
        <v>3827</v>
      </c>
      <c r="N103" s="78">
        <v>2449.6</v>
      </c>
      <c r="O103" s="78">
        <v>281.33333333333297</v>
      </c>
      <c r="P103" s="78">
        <v>42</v>
      </c>
      <c r="Q103" s="78">
        <v>1719.3333333333301</v>
      </c>
      <c r="R103" s="78">
        <v>3778</v>
      </c>
      <c r="S103" s="78">
        <v>460</v>
      </c>
      <c r="T103" s="78">
        <v>0</v>
      </c>
      <c r="U103" s="78">
        <v>632</v>
      </c>
      <c r="V103" s="78">
        <v>13260</v>
      </c>
      <c r="W103" s="78">
        <v>29290</v>
      </c>
      <c r="X103" s="78">
        <v>17750</v>
      </c>
      <c r="Y103" s="78">
        <v>1079.72</v>
      </c>
      <c r="Z103" s="78">
        <v>1222.4000000000001</v>
      </c>
      <c r="AA103" s="78">
        <v>0</v>
      </c>
      <c r="AB103" s="399">
        <v>0</v>
      </c>
      <c r="AC103" s="399">
        <v>0</v>
      </c>
      <c r="AD103" s="78">
        <v>10990</v>
      </c>
      <c r="AE103" s="78">
        <v>10990</v>
      </c>
      <c r="AF103" s="78">
        <v>54</v>
      </c>
      <c r="AG103" s="78">
        <v>0</v>
      </c>
      <c r="AH103" s="78">
        <v>197</v>
      </c>
      <c r="AI103" s="78">
        <v>145</v>
      </c>
      <c r="AJ103" s="78">
        <v>197</v>
      </c>
      <c r="AK103" s="78">
        <v>145</v>
      </c>
      <c r="AL103" s="78">
        <v>342</v>
      </c>
      <c r="AM103" s="78">
        <v>13774</v>
      </c>
      <c r="AN103" s="78">
        <v>13774</v>
      </c>
      <c r="AO103" s="78">
        <v>9</v>
      </c>
      <c r="AP103" s="78">
        <v>0</v>
      </c>
      <c r="AQ103" s="78">
        <v>0</v>
      </c>
      <c r="AR103" s="78">
        <v>2400</v>
      </c>
      <c r="AS103" s="78">
        <v>718</v>
      </c>
      <c r="AT103" s="78">
        <v>718</v>
      </c>
      <c r="AU103" s="400">
        <v>3.6675899999999998E-4</v>
      </c>
      <c r="AV103" s="400">
        <v>1.6792099999999999E-4</v>
      </c>
      <c r="AW103" s="78">
        <v>10178.986000000001</v>
      </c>
      <c r="AX103" s="78">
        <v>0</v>
      </c>
      <c r="AY103" s="78">
        <v>1260</v>
      </c>
      <c r="AZ103" s="78">
        <v>3377.3795726186199</v>
      </c>
      <c r="BA103" s="78">
        <v>10</v>
      </c>
      <c r="BB103" s="78">
        <v>10</v>
      </c>
      <c r="BC103" s="78">
        <v>3465</v>
      </c>
      <c r="BD103" s="78">
        <v>1</v>
      </c>
      <c r="BE103" s="78">
        <v>0</v>
      </c>
      <c r="BF103" s="78">
        <v>0</v>
      </c>
      <c r="BG103" s="78">
        <v>0</v>
      </c>
      <c r="BH103" s="78">
        <v>0</v>
      </c>
      <c r="BI103" s="78">
        <v>0</v>
      </c>
      <c r="BJ103" s="78">
        <v>0</v>
      </c>
      <c r="BK103" s="78">
        <v>0</v>
      </c>
      <c r="BL103" s="78">
        <v>0</v>
      </c>
      <c r="BM103" s="78">
        <v>357.39</v>
      </c>
      <c r="BN103" s="78">
        <v>75</v>
      </c>
      <c r="BO103" s="78">
        <v>48</v>
      </c>
      <c r="BP103" s="78">
        <v>8166.6</v>
      </c>
      <c r="BQ103" s="78">
        <v>1834.88</v>
      </c>
      <c r="BR103" s="78">
        <v>148.64206084959801</v>
      </c>
      <c r="BS103" s="78">
        <v>226</v>
      </c>
      <c r="BT103" s="78">
        <v>83.3333333333333</v>
      </c>
      <c r="BU103" s="78">
        <v>65.6666666666667</v>
      </c>
      <c r="BV103" s="78">
        <v>1437.999999999997</v>
      </c>
      <c r="BW103" s="78">
        <v>369</v>
      </c>
      <c r="BX103" s="78">
        <v>5423.43296003246</v>
      </c>
      <c r="BY103" s="402">
        <v>0.38400000000000001</v>
      </c>
      <c r="BZ103" s="78">
        <v>22702</v>
      </c>
      <c r="CA103" s="78">
        <v>3879</v>
      </c>
      <c r="CB103" s="78">
        <v>729</v>
      </c>
      <c r="CC103" s="78">
        <v>730</v>
      </c>
      <c r="CD103" s="78">
        <v>693</v>
      </c>
      <c r="CE103" s="78">
        <v>328</v>
      </c>
      <c r="CF103" s="78">
        <v>417.92943226368499</v>
      </c>
      <c r="CG103" s="78">
        <v>270.142471322782</v>
      </c>
      <c r="CH103" s="78">
        <v>80.918251778713497</v>
      </c>
      <c r="CI103" s="78">
        <v>1092.9849999999999</v>
      </c>
      <c r="CJ103" s="78">
        <v>706.48689999999999</v>
      </c>
      <c r="CK103" s="78">
        <v>211.62049999999999</v>
      </c>
      <c r="CL103" s="78">
        <v>19845</v>
      </c>
    </row>
    <row r="104" spans="1:90" x14ac:dyDescent="0.35">
      <c r="A104" s="72">
        <v>1509</v>
      </c>
      <c r="B104" s="72" t="s">
        <v>239</v>
      </c>
      <c r="C104" s="72">
        <v>5</v>
      </c>
      <c r="D104" s="78">
        <v>3659200000</v>
      </c>
      <c r="E104" s="78">
        <v>581350000</v>
      </c>
      <c r="F104" s="78">
        <v>627900000</v>
      </c>
      <c r="G104" s="78">
        <v>39387</v>
      </c>
      <c r="H104" s="78">
        <v>3</v>
      </c>
      <c r="I104" s="78">
        <v>627.9</v>
      </c>
      <c r="J104" s="78">
        <v>6745</v>
      </c>
      <c r="K104" s="78">
        <v>9800</v>
      </c>
      <c r="L104" s="78">
        <v>3256</v>
      </c>
      <c r="M104" s="78">
        <v>5846</v>
      </c>
      <c r="N104" s="78">
        <v>4046.8</v>
      </c>
      <c r="O104" s="78">
        <v>588.33333333333303</v>
      </c>
      <c r="P104" s="78">
        <v>76</v>
      </c>
      <c r="Q104" s="78">
        <v>2819.3333333333298</v>
      </c>
      <c r="R104" s="78">
        <v>5529</v>
      </c>
      <c r="S104" s="78">
        <v>1920</v>
      </c>
      <c r="T104" s="78">
        <v>0</v>
      </c>
      <c r="U104" s="78">
        <v>1019</v>
      </c>
      <c r="V104" s="78">
        <v>18011</v>
      </c>
      <c r="W104" s="78">
        <v>39650</v>
      </c>
      <c r="X104" s="78">
        <v>25820</v>
      </c>
      <c r="Y104" s="78">
        <v>0</v>
      </c>
      <c r="Z104" s="78">
        <v>1580.8</v>
      </c>
      <c r="AA104" s="78">
        <v>0</v>
      </c>
      <c r="AB104" s="399">
        <v>0</v>
      </c>
      <c r="AC104" s="399">
        <v>0</v>
      </c>
      <c r="AD104" s="78">
        <v>13595</v>
      </c>
      <c r="AE104" s="78">
        <v>13595</v>
      </c>
      <c r="AF104" s="78">
        <v>200</v>
      </c>
      <c r="AG104" s="78">
        <v>0</v>
      </c>
      <c r="AH104" s="78">
        <v>247</v>
      </c>
      <c r="AI104" s="78">
        <v>162</v>
      </c>
      <c r="AJ104" s="78">
        <v>247</v>
      </c>
      <c r="AK104" s="78">
        <v>162</v>
      </c>
      <c r="AL104" s="78">
        <v>409</v>
      </c>
      <c r="AM104" s="78">
        <v>17992</v>
      </c>
      <c r="AN104" s="78">
        <v>17992</v>
      </c>
      <c r="AO104" s="78">
        <v>0</v>
      </c>
      <c r="AP104" s="78">
        <v>0</v>
      </c>
      <c r="AQ104" s="78">
        <v>0</v>
      </c>
      <c r="AR104" s="78">
        <v>0</v>
      </c>
      <c r="AS104" s="78">
        <v>518</v>
      </c>
      <c r="AT104" s="78">
        <v>0</v>
      </c>
      <c r="AU104" s="400">
        <v>7.8256699999999996E-4</v>
      </c>
      <c r="AV104" s="400">
        <v>2.9898899999999999E-4</v>
      </c>
      <c r="AW104" s="78">
        <v>11748.776</v>
      </c>
      <c r="AX104" s="78">
        <v>0</v>
      </c>
      <c r="AY104" s="78">
        <v>1583</v>
      </c>
      <c r="AZ104" s="78">
        <v>4519.7260601667303</v>
      </c>
      <c r="BA104" s="78">
        <v>11</v>
      </c>
      <c r="BB104" s="78">
        <v>11</v>
      </c>
      <c r="BC104" s="78">
        <v>4425</v>
      </c>
      <c r="BD104" s="78">
        <v>1</v>
      </c>
      <c r="BE104" s="78">
        <v>0</v>
      </c>
      <c r="BF104" s="78">
        <v>0</v>
      </c>
      <c r="BG104" s="78">
        <v>0</v>
      </c>
      <c r="BH104" s="78">
        <v>0</v>
      </c>
      <c r="BI104" s="78">
        <v>0</v>
      </c>
      <c r="BJ104" s="78">
        <v>0</v>
      </c>
      <c r="BK104" s="78">
        <v>0</v>
      </c>
      <c r="BL104" s="78">
        <v>0</v>
      </c>
      <c r="BM104" s="78">
        <v>721.71500000000003</v>
      </c>
      <c r="BN104" s="78">
        <v>171</v>
      </c>
      <c r="BO104" s="78">
        <v>107</v>
      </c>
      <c r="BP104" s="78">
        <v>10318.200000000001</v>
      </c>
      <c r="BQ104" s="78">
        <v>2148.9</v>
      </c>
      <c r="BR104" s="78">
        <v>240.235055067975</v>
      </c>
      <c r="BS104" s="78">
        <v>392</v>
      </c>
      <c r="BT104" s="78">
        <v>174.333333333333</v>
      </c>
      <c r="BU104" s="78">
        <v>146</v>
      </c>
      <c r="BV104" s="78">
        <v>2230.9999999999968</v>
      </c>
      <c r="BW104" s="78">
        <v>563</v>
      </c>
      <c r="BX104" s="78">
        <v>7667.4614639353404</v>
      </c>
      <c r="BY104" s="402">
        <v>1.391</v>
      </c>
      <c r="BZ104" s="78">
        <v>29587</v>
      </c>
      <c r="CA104" s="78">
        <v>5441</v>
      </c>
      <c r="CB104" s="78">
        <v>1103</v>
      </c>
      <c r="CC104" s="78">
        <v>1051</v>
      </c>
      <c r="CD104" s="78">
        <v>1036</v>
      </c>
      <c r="CE104" s="78">
        <v>504</v>
      </c>
      <c r="CF104" s="78">
        <v>748.31611827478901</v>
      </c>
      <c r="CG104" s="78">
        <v>491.454979991107</v>
      </c>
      <c r="CH104" s="78">
        <v>157.89537572254301</v>
      </c>
      <c r="CI104" s="78">
        <v>1762.9773</v>
      </c>
      <c r="CJ104" s="78">
        <v>1157.8315</v>
      </c>
      <c r="CK104" s="78">
        <v>371.9898</v>
      </c>
      <c r="CL104" s="78">
        <v>32943</v>
      </c>
    </row>
    <row r="105" spans="1:90" x14ac:dyDescent="0.35">
      <c r="A105" s="72">
        <v>1734</v>
      </c>
      <c r="B105" s="72" t="s">
        <v>242</v>
      </c>
      <c r="C105" s="72">
        <v>5</v>
      </c>
      <c r="D105" s="78">
        <v>5197600000</v>
      </c>
      <c r="E105" s="78">
        <v>680400000</v>
      </c>
      <c r="F105" s="78">
        <v>721000000</v>
      </c>
      <c r="G105" s="78">
        <v>48266</v>
      </c>
      <c r="H105" s="78">
        <v>6</v>
      </c>
      <c r="I105" s="78">
        <v>721</v>
      </c>
      <c r="J105" s="78">
        <v>10076</v>
      </c>
      <c r="K105" s="78">
        <v>9804</v>
      </c>
      <c r="L105" s="78">
        <v>3284</v>
      </c>
      <c r="M105" s="78">
        <v>4975</v>
      </c>
      <c r="N105" s="78">
        <v>2929.2</v>
      </c>
      <c r="O105" s="78">
        <v>565</v>
      </c>
      <c r="P105" s="78">
        <v>53</v>
      </c>
      <c r="Q105" s="78">
        <v>2636</v>
      </c>
      <c r="R105" s="78">
        <v>5509</v>
      </c>
      <c r="S105" s="78">
        <v>1140</v>
      </c>
      <c r="T105" s="78">
        <v>0</v>
      </c>
      <c r="U105" s="78">
        <v>1476</v>
      </c>
      <c r="V105" s="78">
        <v>20631</v>
      </c>
      <c r="W105" s="78">
        <v>37940</v>
      </c>
      <c r="X105" s="78">
        <v>13320</v>
      </c>
      <c r="Y105" s="78">
        <v>584.74</v>
      </c>
      <c r="Z105" s="78">
        <v>2366.4</v>
      </c>
      <c r="AA105" s="78">
        <v>0</v>
      </c>
      <c r="AB105" s="399">
        <v>0</v>
      </c>
      <c r="AC105" s="399">
        <v>433.5</v>
      </c>
      <c r="AD105" s="78">
        <v>10883</v>
      </c>
      <c r="AE105" s="78">
        <v>11100.66</v>
      </c>
      <c r="AF105" s="78">
        <v>625</v>
      </c>
      <c r="AG105" s="78">
        <v>0</v>
      </c>
      <c r="AH105" s="78">
        <v>272</v>
      </c>
      <c r="AI105" s="78">
        <v>128</v>
      </c>
      <c r="AJ105" s="78">
        <v>274.72000000000003</v>
      </c>
      <c r="AK105" s="78">
        <v>130.56</v>
      </c>
      <c r="AL105" s="78">
        <v>399</v>
      </c>
      <c r="AM105" s="78">
        <v>20458</v>
      </c>
      <c r="AN105" s="78">
        <v>20662.580000000002</v>
      </c>
      <c r="AO105" s="78">
        <v>0</v>
      </c>
      <c r="AP105" s="78">
        <v>0</v>
      </c>
      <c r="AQ105" s="78">
        <v>0</v>
      </c>
      <c r="AR105" s="78">
        <v>0</v>
      </c>
      <c r="AS105" s="78">
        <v>676</v>
      </c>
      <c r="AT105" s="78">
        <v>0</v>
      </c>
      <c r="AU105" s="400">
        <v>3.1669899999999998E-4</v>
      </c>
      <c r="AV105" s="400">
        <v>2.1105599999999999E-4</v>
      </c>
      <c r="AW105" s="78">
        <v>16632.353999999999</v>
      </c>
      <c r="AX105" s="78">
        <v>0</v>
      </c>
      <c r="AY105" s="78">
        <v>2993.7</v>
      </c>
      <c r="AZ105" s="78">
        <v>12598.734567257599</v>
      </c>
      <c r="BA105" s="78">
        <v>11</v>
      </c>
      <c r="BB105" s="78">
        <v>11.22</v>
      </c>
      <c r="BC105" s="78">
        <v>6270</v>
      </c>
      <c r="BD105" s="78">
        <v>1</v>
      </c>
      <c r="BE105" s="78">
        <v>0</v>
      </c>
      <c r="BF105" s="78">
        <v>0</v>
      </c>
      <c r="BG105" s="78">
        <v>0</v>
      </c>
      <c r="BH105" s="78">
        <v>0</v>
      </c>
      <c r="BI105" s="78">
        <v>0</v>
      </c>
      <c r="BJ105" s="78">
        <v>0</v>
      </c>
      <c r="BK105" s="78">
        <v>0</v>
      </c>
      <c r="BL105" s="78">
        <v>0</v>
      </c>
      <c r="BM105" s="78">
        <v>826.23199999999997</v>
      </c>
      <c r="BN105" s="78">
        <v>138</v>
      </c>
      <c r="BO105" s="78">
        <v>81</v>
      </c>
      <c r="BP105" s="78">
        <v>14035.7</v>
      </c>
      <c r="BQ105" s="78">
        <v>3728.55</v>
      </c>
      <c r="BR105" s="78">
        <v>460.22152099260597</v>
      </c>
      <c r="BS105" s="78">
        <v>525</v>
      </c>
      <c r="BT105" s="78">
        <v>174.333333333333</v>
      </c>
      <c r="BU105" s="78">
        <v>144</v>
      </c>
      <c r="BV105" s="78">
        <v>2071</v>
      </c>
      <c r="BW105" s="78">
        <v>548</v>
      </c>
      <c r="BX105" s="78">
        <v>7795.7188186004096</v>
      </c>
      <c r="BY105" s="402">
        <v>0.85899999999999999</v>
      </c>
      <c r="BZ105" s="78">
        <v>38462</v>
      </c>
      <c r="CA105" s="78">
        <v>5563</v>
      </c>
      <c r="CB105" s="78">
        <v>957</v>
      </c>
      <c r="CC105" s="78">
        <v>1047</v>
      </c>
      <c r="CD105" s="78">
        <v>996</v>
      </c>
      <c r="CE105" s="78">
        <v>437</v>
      </c>
      <c r="CF105" s="78">
        <v>485.956828624499</v>
      </c>
      <c r="CG105" s="78">
        <v>322.87349692051998</v>
      </c>
      <c r="CH105" s="78">
        <v>95.788190438948106</v>
      </c>
      <c r="CI105" s="78">
        <v>1433.2862</v>
      </c>
      <c r="CJ105" s="78">
        <v>952.28650000000005</v>
      </c>
      <c r="CK105" s="78">
        <v>282.51870000000002</v>
      </c>
      <c r="CL105" s="78">
        <v>4482</v>
      </c>
    </row>
    <row r="106" spans="1:90" x14ac:dyDescent="0.35">
      <c r="A106" s="72">
        <v>273</v>
      </c>
      <c r="B106" s="72" t="s">
        <v>248</v>
      </c>
      <c r="C106" s="72">
        <v>5</v>
      </c>
      <c r="D106" s="78">
        <v>3364800000</v>
      </c>
      <c r="E106" s="78">
        <v>309400000</v>
      </c>
      <c r="F106" s="78">
        <v>334600000</v>
      </c>
      <c r="G106" s="78">
        <v>24598</v>
      </c>
      <c r="H106" s="78">
        <v>1</v>
      </c>
      <c r="I106" s="78">
        <v>334.6</v>
      </c>
      <c r="J106" s="78">
        <v>5149</v>
      </c>
      <c r="K106" s="78">
        <v>5276</v>
      </c>
      <c r="L106" s="78">
        <v>1853</v>
      </c>
      <c r="M106" s="78">
        <v>2639</v>
      </c>
      <c r="N106" s="78">
        <v>1473.8999999999999</v>
      </c>
      <c r="O106" s="78">
        <v>175</v>
      </c>
      <c r="P106" s="78">
        <v>52</v>
      </c>
      <c r="Q106" s="78">
        <v>1084</v>
      </c>
      <c r="R106" s="78">
        <v>2746</v>
      </c>
      <c r="S106" s="78">
        <v>390</v>
      </c>
      <c r="T106" s="78">
        <v>0</v>
      </c>
      <c r="U106" s="78">
        <v>547</v>
      </c>
      <c r="V106" s="78">
        <v>10226</v>
      </c>
      <c r="W106" s="78">
        <v>24230</v>
      </c>
      <c r="X106" s="78">
        <v>12710</v>
      </c>
      <c r="Y106" s="78">
        <v>0</v>
      </c>
      <c r="Z106" s="78">
        <v>380.8</v>
      </c>
      <c r="AA106" s="78">
        <v>0</v>
      </c>
      <c r="AB106" s="399">
        <v>0</v>
      </c>
      <c r="AC106" s="399">
        <v>0</v>
      </c>
      <c r="AD106" s="78">
        <v>8519</v>
      </c>
      <c r="AE106" s="78">
        <v>8519</v>
      </c>
      <c r="AF106" s="78">
        <v>231</v>
      </c>
      <c r="AG106" s="78">
        <v>0</v>
      </c>
      <c r="AH106" s="78">
        <v>137</v>
      </c>
      <c r="AI106" s="78">
        <v>95</v>
      </c>
      <c r="AJ106" s="78">
        <v>137</v>
      </c>
      <c r="AK106" s="78">
        <v>95</v>
      </c>
      <c r="AL106" s="78">
        <v>232</v>
      </c>
      <c r="AM106" s="78">
        <v>11651</v>
      </c>
      <c r="AN106" s="78">
        <v>11651</v>
      </c>
      <c r="AO106" s="78">
        <v>0</v>
      </c>
      <c r="AP106" s="78">
        <v>0</v>
      </c>
      <c r="AQ106" s="78">
        <v>0</v>
      </c>
      <c r="AR106" s="78">
        <v>0</v>
      </c>
      <c r="AS106" s="78">
        <v>704</v>
      </c>
      <c r="AT106" s="78">
        <v>0</v>
      </c>
      <c r="AU106" s="400">
        <v>2.3672499999999999E-4</v>
      </c>
      <c r="AV106" s="400">
        <v>1.25003E-4</v>
      </c>
      <c r="AW106" s="78">
        <v>10730.571</v>
      </c>
      <c r="AX106" s="78">
        <v>0</v>
      </c>
      <c r="AY106" s="78">
        <v>614</v>
      </c>
      <c r="AZ106" s="78">
        <v>1726.0768</v>
      </c>
      <c r="BA106" s="78">
        <v>7</v>
      </c>
      <c r="BB106" s="78">
        <v>7</v>
      </c>
      <c r="BC106" s="78">
        <v>3465</v>
      </c>
      <c r="BD106" s="78">
        <v>1</v>
      </c>
      <c r="BE106" s="78">
        <v>0</v>
      </c>
      <c r="BF106" s="78">
        <v>0</v>
      </c>
      <c r="BG106" s="78">
        <v>0</v>
      </c>
      <c r="BH106" s="78">
        <v>0</v>
      </c>
      <c r="BI106" s="78">
        <v>0</v>
      </c>
      <c r="BJ106" s="78">
        <v>0</v>
      </c>
      <c r="BK106" s="78">
        <v>0</v>
      </c>
      <c r="BL106" s="78">
        <v>0</v>
      </c>
      <c r="BM106" s="78">
        <v>458.26100000000002</v>
      </c>
      <c r="BN106" s="78">
        <v>118</v>
      </c>
      <c r="BO106" s="78">
        <v>48</v>
      </c>
      <c r="BP106" s="78">
        <v>6930</v>
      </c>
      <c r="BQ106" s="78">
        <v>1758.08</v>
      </c>
      <c r="BR106" s="78">
        <v>243.64915879715099</v>
      </c>
      <c r="BS106" s="78">
        <v>231</v>
      </c>
      <c r="BT106" s="78">
        <v>57.6666666666667</v>
      </c>
      <c r="BU106" s="78">
        <v>35.3333333333333</v>
      </c>
      <c r="BV106" s="78">
        <v>909</v>
      </c>
      <c r="BW106" s="78">
        <v>263</v>
      </c>
      <c r="BX106" s="78">
        <v>4611.8852288118196</v>
      </c>
      <c r="BY106" s="402">
        <v>0.12</v>
      </c>
      <c r="BZ106" s="78">
        <v>19322</v>
      </c>
      <c r="CA106" s="78">
        <v>2753</v>
      </c>
      <c r="CB106" s="78">
        <v>670</v>
      </c>
      <c r="CC106" s="78">
        <v>479</v>
      </c>
      <c r="CD106" s="78">
        <v>538</v>
      </c>
      <c r="CE106" s="78">
        <v>306</v>
      </c>
      <c r="CF106" s="78">
        <v>206.834306068149</v>
      </c>
      <c r="CG106" s="78">
        <v>157.244674276886</v>
      </c>
      <c r="CH106" s="78">
        <v>56.800369067032896</v>
      </c>
      <c r="CI106" s="78">
        <v>702.72299999999996</v>
      </c>
      <c r="CJ106" s="78">
        <v>534.2414</v>
      </c>
      <c r="CK106" s="78">
        <v>192.9802</v>
      </c>
      <c r="CL106" s="78">
        <v>936</v>
      </c>
    </row>
    <row r="107" spans="1:90" x14ac:dyDescent="0.35">
      <c r="A107" s="72">
        <v>274</v>
      </c>
      <c r="B107" s="72" t="s">
        <v>251</v>
      </c>
      <c r="C107" s="72">
        <v>5</v>
      </c>
      <c r="D107" s="78">
        <v>4006400000</v>
      </c>
      <c r="E107" s="78">
        <v>304150000</v>
      </c>
      <c r="F107" s="78">
        <v>329000000</v>
      </c>
      <c r="G107" s="78">
        <v>31358</v>
      </c>
      <c r="H107" s="78">
        <v>3</v>
      </c>
      <c r="I107" s="78">
        <v>329</v>
      </c>
      <c r="J107" s="78">
        <v>5287</v>
      </c>
      <c r="K107" s="78">
        <v>9016</v>
      </c>
      <c r="L107" s="78">
        <v>3132</v>
      </c>
      <c r="M107" s="78">
        <v>4304</v>
      </c>
      <c r="N107" s="78">
        <v>2738.8</v>
      </c>
      <c r="O107" s="78">
        <v>525.66666666666697</v>
      </c>
      <c r="P107" s="78">
        <v>48</v>
      </c>
      <c r="Q107" s="78">
        <v>2133.6666666666702</v>
      </c>
      <c r="R107" s="78">
        <v>5599</v>
      </c>
      <c r="S107" s="78">
        <v>825</v>
      </c>
      <c r="T107" s="78">
        <v>0</v>
      </c>
      <c r="U107" s="78">
        <v>961</v>
      </c>
      <c r="V107" s="78">
        <v>15740</v>
      </c>
      <c r="W107" s="78">
        <v>25890</v>
      </c>
      <c r="X107" s="78">
        <v>9270</v>
      </c>
      <c r="Y107" s="78">
        <v>1501.64</v>
      </c>
      <c r="Z107" s="78">
        <v>950.4</v>
      </c>
      <c r="AA107" s="78">
        <v>0</v>
      </c>
      <c r="AB107" s="399">
        <v>0</v>
      </c>
      <c r="AC107" s="399">
        <v>0</v>
      </c>
      <c r="AD107" s="78">
        <v>4595</v>
      </c>
      <c r="AE107" s="78">
        <v>4595</v>
      </c>
      <c r="AF107" s="78">
        <v>129</v>
      </c>
      <c r="AG107" s="78">
        <v>0</v>
      </c>
      <c r="AH107" s="78">
        <v>154</v>
      </c>
      <c r="AI107" s="78">
        <v>22</v>
      </c>
      <c r="AJ107" s="78">
        <v>154</v>
      </c>
      <c r="AK107" s="78">
        <v>22</v>
      </c>
      <c r="AL107" s="78">
        <v>177</v>
      </c>
      <c r="AM107" s="78">
        <v>15652</v>
      </c>
      <c r="AN107" s="78">
        <v>15652</v>
      </c>
      <c r="AO107" s="78">
        <v>0</v>
      </c>
      <c r="AP107" s="78">
        <v>0</v>
      </c>
      <c r="AQ107" s="78">
        <v>0</v>
      </c>
      <c r="AR107" s="78">
        <v>0</v>
      </c>
      <c r="AS107" s="78">
        <v>4064</v>
      </c>
      <c r="AT107" s="78">
        <v>0</v>
      </c>
      <c r="AU107" s="400">
        <v>7.1116899999999999E-4</v>
      </c>
      <c r="AV107" s="400">
        <v>8.4066399999999997E-4</v>
      </c>
      <c r="AW107" s="78">
        <v>14431.144</v>
      </c>
      <c r="AX107" s="78">
        <v>0</v>
      </c>
      <c r="AY107" s="78">
        <v>409</v>
      </c>
      <c r="AZ107" s="78">
        <v>2714.9496189669799</v>
      </c>
      <c r="BA107" s="78">
        <v>5</v>
      </c>
      <c r="BB107" s="78">
        <v>5</v>
      </c>
      <c r="BC107" s="78">
        <v>4385</v>
      </c>
      <c r="BD107" s="78">
        <v>1</v>
      </c>
      <c r="BE107" s="78">
        <v>0</v>
      </c>
      <c r="BF107" s="78">
        <v>0</v>
      </c>
      <c r="BG107" s="78">
        <v>0</v>
      </c>
      <c r="BH107" s="78">
        <v>0</v>
      </c>
      <c r="BI107" s="78">
        <v>0</v>
      </c>
      <c r="BJ107" s="78">
        <v>0</v>
      </c>
      <c r="BK107" s="78">
        <v>0</v>
      </c>
      <c r="BL107" s="78">
        <v>0</v>
      </c>
      <c r="BM107" s="78">
        <v>592.14400000000001</v>
      </c>
      <c r="BN107" s="78">
        <v>73</v>
      </c>
      <c r="BO107" s="78">
        <v>70</v>
      </c>
      <c r="BP107" s="78">
        <v>11372.9</v>
      </c>
      <c r="BQ107" s="78">
        <v>2325.96</v>
      </c>
      <c r="BR107" s="78">
        <v>277.555475460857</v>
      </c>
      <c r="BS107" s="78">
        <v>330</v>
      </c>
      <c r="BT107" s="78">
        <v>139.333333333333</v>
      </c>
      <c r="BU107" s="78">
        <v>111.333333333333</v>
      </c>
      <c r="BV107" s="78">
        <v>1608.0000000000032</v>
      </c>
      <c r="BW107" s="78">
        <v>552</v>
      </c>
      <c r="BX107" s="78">
        <v>6073.5326632078204</v>
      </c>
      <c r="BY107" s="402">
        <v>1.3540000000000001</v>
      </c>
      <c r="BZ107" s="78">
        <v>22342</v>
      </c>
      <c r="CA107" s="78">
        <v>4561</v>
      </c>
      <c r="CB107" s="78">
        <v>1323</v>
      </c>
      <c r="CC107" s="78">
        <v>1062</v>
      </c>
      <c r="CD107" s="78">
        <v>1090</v>
      </c>
      <c r="CE107" s="78">
        <v>642</v>
      </c>
      <c r="CF107" s="78">
        <v>498.69537439304901</v>
      </c>
      <c r="CG107" s="78">
        <v>379.88338870431897</v>
      </c>
      <c r="CH107" s="78">
        <v>159.407538972655</v>
      </c>
      <c r="CI107" s="78">
        <v>979.26</v>
      </c>
      <c r="CJ107" s="78">
        <v>745.9556</v>
      </c>
      <c r="CK107" s="78">
        <v>313.01960000000003</v>
      </c>
      <c r="CL107" s="78">
        <v>119044</v>
      </c>
    </row>
    <row r="108" spans="1:90" x14ac:dyDescent="0.35">
      <c r="A108" s="72">
        <v>275</v>
      </c>
      <c r="B108" s="72" t="s">
        <v>254</v>
      </c>
      <c r="C108" s="72">
        <v>5</v>
      </c>
      <c r="D108" s="78">
        <v>4614800000</v>
      </c>
      <c r="E108" s="78">
        <v>414750000</v>
      </c>
      <c r="F108" s="78">
        <v>420700000</v>
      </c>
      <c r="G108" s="78">
        <v>43435</v>
      </c>
      <c r="H108" s="78">
        <v>4</v>
      </c>
      <c r="I108" s="78">
        <v>420.7</v>
      </c>
      <c r="J108" s="78">
        <v>7312</v>
      </c>
      <c r="K108" s="78">
        <v>11600</v>
      </c>
      <c r="L108" s="78">
        <v>4211</v>
      </c>
      <c r="M108" s="78">
        <v>7291</v>
      </c>
      <c r="N108" s="78">
        <v>5104.7999999999993</v>
      </c>
      <c r="O108" s="78">
        <v>929</v>
      </c>
      <c r="P108" s="78">
        <v>70</v>
      </c>
      <c r="Q108" s="78">
        <v>3761</v>
      </c>
      <c r="R108" s="78">
        <v>8829</v>
      </c>
      <c r="S108" s="78">
        <v>2045</v>
      </c>
      <c r="T108" s="78">
        <v>0</v>
      </c>
      <c r="U108" s="78">
        <v>1521</v>
      </c>
      <c r="V108" s="78">
        <v>22078</v>
      </c>
      <c r="W108" s="78">
        <v>38520</v>
      </c>
      <c r="X108" s="78">
        <v>14850</v>
      </c>
      <c r="Y108" s="78">
        <v>441.54</v>
      </c>
      <c r="Z108" s="78">
        <v>1457.6</v>
      </c>
      <c r="AA108" s="78">
        <v>0</v>
      </c>
      <c r="AB108" s="399">
        <v>0</v>
      </c>
      <c r="AC108" s="399">
        <v>240.19999999999982</v>
      </c>
      <c r="AD108" s="78">
        <v>8167</v>
      </c>
      <c r="AE108" s="78">
        <v>8167</v>
      </c>
      <c r="AF108" s="78">
        <v>268</v>
      </c>
      <c r="AG108" s="78">
        <v>0</v>
      </c>
      <c r="AH108" s="78">
        <v>223</v>
      </c>
      <c r="AI108" s="78">
        <v>22</v>
      </c>
      <c r="AJ108" s="78">
        <v>223</v>
      </c>
      <c r="AK108" s="78">
        <v>22</v>
      </c>
      <c r="AL108" s="78">
        <v>245</v>
      </c>
      <c r="AM108" s="78">
        <v>21862</v>
      </c>
      <c r="AN108" s="78">
        <v>21862</v>
      </c>
      <c r="AO108" s="78">
        <v>0</v>
      </c>
      <c r="AP108" s="78">
        <v>0</v>
      </c>
      <c r="AQ108" s="78">
        <v>0</v>
      </c>
      <c r="AR108" s="78">
        <v>0</v>
      </c>
      <c r="AS108" s="78">
        <v>5119</v>
      </c>
      <c r="AT108" s="78">
        <v>0</v>
      </c>
      <c r="AU108" s="400">
        <v>1.308678E-3</v>
      </c>
      <c r="AV108" s="400">
        <v>1.0443920000000001E-3</v>
      </c>
      <c r="AW108" s="78">
        <v>31984.106</v>
      </c>
      <c r="AX108" s="78">
        <v>0</v>
      </c>
      <c r="AY108" s="78">
        <v>1135</v>
      </c>
      <c r="AZ108" s="78">
        <v>5844.54356846473</v>
      </c>
      <c r="BA108" s="78">
        <v>8</v>
      </c>
      <c r="BB108" s="78">
        <v>8</v>
      </c>
      <c r="BC108" s="78">
        <v>4930</v>
      </c>
      <c r="BD108" s="78">
        <v>1</v>
      </c>
      <c r="BE108" s="78">
        <v>0</v>
      </c>
      <c r="BF108" s="78">
        <v>0</v>
      </c>
      <c r="BG108" s="78">
        <v>0</v>
      </c>
      <c r="BH108" s="78">
        <v>0</v>
      </c>
      <c r="BI108" s="78">
        <v>0</v>
      </c>
      <c r="BJ108" s="78">
        <v>0</v>
      </c>
      <c r="BK108" s="78">
        <v>0</v>
      </c>
      <c r="BL108" s="78">
        <v>0</v>
      </c>
      <c r="BM108" s="78">
        <v>1067.5519999999999</v>
      </c>
      <c r="BN108" s="78">
        <v>125</v>
      </c>
      <c r="BO108" s="78">
        <v>91</v>
      </c>
      <c r="BP108" s="78">
        <v>13553.92</v>
      </c>
      <c r="BQ108" s="78">
        <v>2619.54</v>
      </c>
      <c r="BR108" s="78">
        <v>392.90953846153798</v>
      </c>
      <c r="BS108" s="78">
        <v>557</v>
      </c>
      <c r="BT108" s="78">
        <v>270</v>
      </c>
      <c r="BU108" s="78">
        <v>242</v>
      </c>
      <c r="BV108" s="78">
        <v>2832</v>
      </c>
      <c r="BW108" s="78">
        <v>1041</v>
      </c>
      <c r="BX108" s="78">
        <v>8413.5665709362402</v>
      </c>
      <c r="BY108" s="402">
        <v>2.4089999999999998</v>
      </c>
      <c r="BZ108" s="78">
        <v>31835</v>
      </c>
      <c r="CA108" s="78">
        <v>5640</v>
      </c>
      <c r="CB108" s="78">
        <v>1749</v>
      </c>
      <c r="CC108" s="78">
        <v>1425</v>
      </c>
      <c r="CD108" s="78">
        <v>1546</v>
      </c>
      <c r="CE108" s="78">
        <v>881</v>
      </c>
      <c r="CF108" s="78">
        <v>831.49724636355302</v>
      </c>
      <c r="CG108" s="78">
        <v>689.99560881895502</v>
      </c>
      <c r="CH108" s="78">
        <v>281.13526667276602</v>
      </c>
      <c r="CI108" s="78">
        <v>1627.7330999999999</v>
      </c>
      <c r="CJ108" s="78">
        <v>1350.7304999999999</v>
      </c>
      <c r="CK108" s="78">
        <v>550.34839999999997</v>
      </c>
      <c r="CL108" s="78">
        <v>38159</v>
      </c>
    </row>
    <row r="109" spans="1:90" x14ac:dyDescent="0.35">
      <c r="A109" s="72">
        <v>277</v>
      </c>
      <c r="B109" s="72" t="s">
        <v>263</v>
      </c>
      <c r="C109" s="72">
        <v>5</v>
      </c>
      <c r="D109" s="78">
        <v>344800000</v>
      </c>
      <c r="E109" s="78">
        <v>16100000</v>
      </c>
      <c r="F109" s="78">
        <v>16100000</v>
      </c>
      <c r="G109" s="78">
        <v>1756</v>
      </c>
      <c r="H109" s="78">
        <v>1</v>
      </c>
      <c r="I109" s="78">
        <v>16.100000000000001</v>
      </c>
      <c r="J109" s="78">
        <v>412</v>
      </c>
      <c r="K109" s="78">
        <v>413</v>
      </c>
      <c r="L109" s="78">
        <v>148</v>
      </c>
      <c r="M109" s="78">
        <v>111</v>
      </c>
      <c r="N109" s="78">
        <v>40.899999999999991</v>
      </c>
      <c r="O109" s="78">
        <v>5</v>
      </c>
      <c r="P109" s="78">
        <v>0</v>
      </c>
      <c r="Q109" s="78">
        <v>34</v>
      </c>
      <c r="R109" s="78">
        <v>150</v>
      </c>
      <c r="S109" s="78">
        <v>35</v>
      </c>
      <c r="T109" s="78">
        <v>0</v>
      </c>
      <c r="U109" s="78">
        <v>29</v>
      </c>
      <c r="V109" s="78">
        <v>710</v>
      </c>
      <c r="W109" s="78">
        <v>980</v>
      </c>
      <c r="X109" s="78">
        <v>40</v>
      </c>
      <c r="Y109" s="78">
        <v>0</v>
      </c>
      <c r="Z109" s="78">
        <v>533.6</v>
      </c>
      <c r="AA109" s="78">
        <v>0</v>
      </c>
      <c r="AB109" s="399">
        <v>34.699999999999989</v>
      </c>
      <c r="AC109" s="399">
        <v>0</v>
      </c>
      <c r="AD109" s="78">
        <v>2791</v>
      </c>
      <c r="AE109" s="78">
        <v>2791</v>
      </c>
      <c r="AF109" s="78">
        <v>1</v>
      </c>
      <c r="AG109" s="78">
        <v>0</v>
      </c>
      <c r="AH109" s="78">
        <v>10</v>
      </c>
      <c r="AI109" s="78">
        <v>1</v>
      </c>
      <c r="AJ109" s="78">
        <v>10</v>
      </c>
      <c r="AK109" s="78">
        <v>1</v>
      </c>
      <c r="AL109" s="78">
        <v>11</v>
      </c>
      <c r="AM109" s="78">
        <v>701</v>
      </c>
      <c r="AN109" s="78">
        <v>701</v>
      </c>
      <c r="AO109" s="78">
        <v>0</v>
      </c>
      <c r="AP109" s="78">
        <v>0</v>
      </c>
      <c r="AQ109" s="78">
        <v>0</v>
      </c>
      <c r="AR109" s="78">
        <v>0</v>
      </c>
      <c r="AS109" s="78">
        <v>0</v>
      </c>
      <c r="AT109" s="78">
        <v>0</v>
      </c>
      <c r="AU109" s="400">
        <v>7.5129999999999999E-6</v>
      </c>
      <c r="AV109" s="400">
        <v>4.2409999999999997E-6</v>
      </c>
      <c r="AW109" s="78">
        <v>664.548</v>
      </c>
      <c r="AX109" s="78">
        <v>0</v>
      </c>
      <c r="AY109" s="78">
        <v>32</v>
      </c>
      <c r="AZ109" s="78">
        <v>20.126074498567299</v>
      </c>
      <c r="BA109" s="78">
        <v>1</v>
      </c>
      <c r="BB109" s="78">
        <v>1</v>
      </c>
      <c r="BC109" s="78">
        <v>295</v>
      </c>
      <c r="BD109" s="78">
        <v>1</v>
      </c>
      <c r="BE109" s="78">
        <v>0</v>
      </c>
      <c r="BF109" s="78">
        <v>0</v>
      </c>
      <c r="BG109" s="78">
        <v>0</v>
      </c>
      <c r="BH109" s="78">
        <v>0</v>
      </c>
      <c r="BI109" s="78">
        <v>0</v>
      </c>
      <c r="BJ109" s="78">
        <v>0</v>
      </c>
      <c r="BK109" s="78">
        <v>0</v>
      </c>
      <c r="BL109" s="78">
        <v>0</v>
      </c>
      <c r="BM109" s="78">
        <v>8.6519999999999992</v>
      </c>
      <c r="BN109" s="78">
        <v>0</v>
      </c>
      <c r="BO109" s="78">
        <v>1</v>
      </c>
      <c r="BP109" s="78">
        <v>685.79</v>
      </c>
      <c r="BQ109" s="78">
        <v>215.34</v>
      </c>
      <c r="BR109" s="78">
        <v>4.5908571428571401</v>
      </c>
      <c r="BS109" s="78">
        <v>13</v>
      </c>
      <c r="BT109" s="78">
        <v>2</v>
      </c>
      <c r="BU109" s="78">
        <v>0.33333333333333298</v>
      </c>
      <c r="BV109" s="78">
        <v>29</v>
      </c>
      <c r="BW109" s="78">
        <v>5</v>
      </c>
      <c r="BX109" s="78">
        <v>130.102711471611</v>
      </c>
      <c r="BY109" s="402">
        <v>8.0000000000000002E-3</v>
      </c>
      <c r="BZ109" s="78">
        <v>1343</v>
      </c>
      <c r="CA109" s="78">
        <v>203</v>
      </c>
      <c r="CB109" s="78">
        <v>62</v>
      </c>
      <c r="CC109" s="78">
        <v>23</v>
      </c>
      <c r="CD109" s="78">
        <v>33</v>
      </c>
      <c r="CE109" s="78">
        <v>36</v>
      </c>
      <c r="CF109" s="78">
        <v>6.8263908701854499</v>
      </c>
      <c r="CG109" s="78">
        <v>5.6594864479315303</v>
      </c>
      <c r="CH109" s="78">
        <v>3.1506419400855901</v>
      </c>
      <c r="CI109" s="78">
        <v>7.02</v>
      </c>
      <c r="CJ109" s="78">
        <v>5.82</v>
      </c>
      <c r="CK109" s="78">
        <v>3.24</v>
      </c>
      <c r="CL109" s="78">
        <v>0</v>
      </c>
    </row>
    <row r="110" spans="1:90" x14ac:dyDescent="0.35">
      <c r="A110" s="72">
        <v>279</v>
      </c>
      <c r="B110" s="72" t="s">
        <v>266</v>
      </c>
      <c r="C110" s="72">
        <v>5</v>
      </c>
      <c r="D110" s="78">
        <v>1153200000</v>
      </c>
      <c r="E110" s="78">
        <v>107100000</v>
      </c>
      <c r="F110" s="78">
        <v>115850000</v>
      </c>
      <c r="G110" s="78">
        <v>10317</v>
      </c>
      <c r="H110" s="78">
        <v>1</v>
      </c>
      <c r="I110" s="78">
        <v>115.85</v>
      </c>
      <c r="J110" s="78">
        <v>2338</v>
      </c>
      <c r="K110" s="78">
        <v>2029</v>
      </c>
      <c r="L110" s="78">
        <v>724</v>
      </c>
      <c r="M110" s="78">
        <v>1128</v>
      </c>
      <c r="N110" s="78">
        <v>690.8</v>
      </c>
      <c r="O110" s="78">
        <v>61.3333333333333</v>
      </c>
      <c r="P110" s="78">
        <v>16</v>
      </c>
      <c r="Q110" s="78">
        <v>387.33333333333297</v>
      </c>
      <c r="R110" s="78">
        <v>1274</v>
      </c>
      <c r="S110" s="78">
        <v>155</v>
      </c>
      <c r="T110" s="78">
        <v>0</v>
      </c>
      <c r="U110" s="78">
        <v>207</v>
      </c>
      <c r="V110" s="78">
        <v>4316</v>
      </c>
      <c r="W110" s="78">
        <v>8500</v>
      </c>
      <c r="X110" s="78">
        <v>1520</v>
      </c>
      <c r="Y110" s="78">
        <v>0</v>
      </c>
      <c r="Z110" s="78">
        <v>0</v>
      </c>
      <c r="AA110" s="78">
        <v>0</v>
      </c>
      <c r="AB110" s="399">
        <v>0</v>
      </c>
      <c r="AC110" s="399">
        <v>0</v>
      </c>
      <c r="AD110" s="78">
        <v>1379</v>
      </c>
      <c r="AE110" s="78">
        <v>1379</v>
      </c>
      <c r="AF110" s="78">
        <v>3</v>
      </c>
      <c r="AG110" s="78">
        <v>0</v>
      </c>
      <c r="AH110" s="78">
        <v>53</v>
      </c>
      <c r="AI110" s="78">
        <v>25</v>
      </c>
      <c r="AJ110" s="78">
        <v>53</v>
      </c>
      <c r="AK110" s="78">
        <v>25</v>
      </c>
      <c r="AL110" s="78">
        <v>78</v>
      </c>
      <c r="AM110" s="78">
        <v>4372</v>
      </c>
      <c r="AN110" s="78">
        <v>4372</v>
      </c>
      <c r="AO110" s="78">
        <v>0</v>
      </c>
      <c r="AP110" s="78">
        <v>0</v>
      </c>
      <c r="AQ110" s="78">
        <v>0</v>
      </c>
      <c r="AR110" s="78">
        <v>0</v>
      </c>
      <c r="AS110" s="78">
        <v>0</v>
      </c>
      <c r="AT110" s="78">
        <v>0</v>
      </c>
      <c r="AU110" s="400">
        <v>7.8214999999999996E-5</v>
      </c>
      <c r="AV110" s="400">
        <v>3.5215000000000001E-5</v>
      </c>
      <c r="AW110" s="78">
        <v>4144.6559999999999</v>
      </c>
      <c r="AX110" s="78">
        <v>0</v>
      </c>
      <c r="AY110" s="78">
        <v>179</v>
      </c>
      <c r="AZ110" s="78">
        <v>1336.28292329957</v>
      </c>
      <c r="BA110" s="78">
        <v>2</v>
      </c>
      <c r="BB110" s="78">
        <v>2</v>
      </c>
      <c r="BC110" s="78">
        <v>1290</v>
      </c>
      <c r="BD110" s="78">
        <v>1</v>
      </c>
      <c r="BE110" s="78">
        <v>0</v>
      </c>
      <c r="BF110" s="78">
        <v>0</v>
      </c>
      <c r="BG110" s="78">
        <v>0</v>
      </c>
      <c r="BH110" s="78">
        <v>0</v>
      </c>
      <c r="BI110" s="78">
        <v>0</v>
      </c>
      <c r="BJ110" s="78">
        <v>0</v>
      </c>
      <c r="BK110" s="78">
        <v>0</v>
      </c>
      <c r="BL110" s="78">
        <v>0</v>
      </c>
      <c r="BM110" s="78">
        <v>135.60400000000001</v>
      </c>
      <c r="BN110" s="78">
        <v>59</v>
      </c>
      <c r="BO110" s="78">
        <v>18</v>
      </c>
      <c r="BP110" s="78">
        <v>2851.24</v>
      </c>
      <c r="BQ110" s="78">
        <v>621.54</v>
      </c>
      <c r="BR110" s="78">
        <v>122.619514124294</v>
      </c>
      <c r="BS110" s="78">
        <v>91</v>
      </c>
      <c r="BT110" s="78">
        <v>27</v>
      </c>
      <c r="BU110" s="78">
        <v>22.3333333333333</v>
      </c>
      <c r="BV110" s="78">
        <v>325.99999999999966</v>
      </c>
      <c r="BW110" s="78">
        <v>110</v>
      </c>
      <c r="BX110" s="78">
        <v>1483.82255924171</v>
      </c>
      <c r="BY110" s="402">
        <v>0.05</v>
      </c>
      <c r="BZ110" s="78">
        <v>8288</v>
      </c>
      <c r="CA110" s="78">
        <v>1076</v>
      </c>
      <c r="CB110" s="78">
        <v>229</v>
      </c>
      <c r="CC110" s="78">
        <v>192</v>
      </c>
      <c r="CD110" s="78">
        <v>246</v>
      </c>
      <c r="CE110" s="78">
        <v>124</v>
      </c>
      <c r="CF110" s="78">
        <v>102.229551692589</v>
      </c>
      <c r="CG110" s="78">
        <v>79.4767612076853</v>
      </c>
      <c r="CH110" s="78">
        <v>26.386916742909399</v>
      </c>
      <c r="CI110" s="78">
        <v>285.52109999999999</v>
      </c>
      <c r="CJ110" s="78">
        <v>221.97389999999999</v>
      </c>
      <c r="CK110" s="78">
        <v>73.697100000000006</v>
      </c>
      <c r="CL110" s="78">
        <v>0</v>
      </c>
    </row>
    <row r="111" spans="1:90" x14ac:dyDescent="0.35">
      <c r="A111" s="72">
        <v>281</v>
      </c>
      <c r="B111" s="72" t="s">
        <v>295</v>
      </c>
      <c r="C111" s="72">
        <v>5</v>
      </c>
      <c r="D111" s="78">
        <v>3756800000</v>
      </c>
      <c r="E111" s="78">
        <v>746900000</v>
      </c>
      <c r="F111" s="78">
        <v>766500000</v>
      </c>
      <c r="G111" s="78">
        <v>42277</v>
      </c>
      <c r="H111" s="78">
        <v>2</v>
      </c>
      <c r="I111" s="78">
        <v>766.5</v>
      </c>
      <c r="J111" s="78">
        <v>7816</v>
      </c>
      <c r="K111" s="78">
        <v>7939</v>
      </c>
      <c r="L111" s="78">
        <v>2603</v>
      </c>
      <c r="M111" s="78">
        <v>6084</v>
      </c>
      <c r="N111" s="78">
        <v>4219.6000000000004</v>
      </c>
      <c r="O111" s="78">
        <v>1003.66666666667</v>
      </c>
      <c r="P111" s="78">
        <v>144</v>
      </c>
      <c r="Q111" s="78">
        <v>3463.6666666666702</v>
      </c>
      <c r="R111" s="78">
        <v>7239</v>
      </c>
      <c r="S111" s="78">
        <v>5275</v>
      </c>
      <c r="T111" s="78">
        <v>0</v>
      </c>
      <c r="U111" s="78">
        <v>1486</v>
      </c>
      <c r="V111" s="78">
        <v>19790</v>
      </c>
      <c r="W111" s="78">
        <v>49570</v>
      </c>
      <c r="X111" s="78">
        <v>41790</v>
      </c>
      <c r="Y111" s="78">
        <v>2403.08</v>
      </c>
      <c r="Z111" s="78">
        <v>1650.4</v>
      </c>
      <c r="AA111" s="78">
        <v>0</v>
      </c>
      <c r="AB111" s="399">
        <v>0</v>
      </c>
      <c r="AC111" s="399">
        <v>0</v>
      </c>
      <c r="AD111" s="78">
        <v>3283</v>
      </c>
      <c r="AE111" s="78">
        <v>3676.96</v>
      </c>
      <c r="AF111" s="78">
        <v>268</v>
      </c>
      <c r="AG111" s="78">
        <v>0</v>
      </c>
      <c r="AH111" s="78">
        <v>226</v>
      </c>
      <c r="AI111" s="78">
        <v>79</v>
      </c>
      <c r="AJ111" s="78">
        <v>257.64</v>
      </c>
      <c r="AK111" s="78">
        <v>86.9</v>
      </c>
      <c r="AL111" s="78">
        <v>305</v>
      </c>
      <c r="AM111" s="78">
        <v>18644</v>
      </c>
      <c r="AN111" s="78">
        <v>21254.16</v>
      </c>
      <c r="AO111" s="78">
        <v>14</v>
      </c>
      <c r="AP111" s="78">
        <v>0</v>
      </c>
      <c r="AQ111" s="78">
        <v>0</v>
      </c>
      <c r="AR111" s="78">
        <v>1500</v>
      </c>
      <c r="AS111" s="78">
        <v>2802</v>
      </c>
      <c r="AT111" s="78">
        <v>2802</v>
      </c>
      <c r="AU111" s="400">
        <v>8.1596399999999997E-4</v>
      </c>
      <c r="AV111" s="400">
        <v>7.2984199999999997E-4</v>
      </c>
      <c r="AW111" s="78">
        <v>27145.664000000001</v>
      </c>
      <c r="AX111" s="78">
        <v>0</v>
      </c>
      <c r="AY111" s="78">
        <v>1331.68</v>
      </c>
      <c r="AZ111" s="78">
        <v>21321.6090566038</v>
      </c>
      <c r="BA111" s="78">
        <v>3</v>
      </c>
      <c r="BB111" s="78">
        <v>3.3</v>
      </c>
      <c r="BC111" s="78">
        <v>4670</v>
      </c>
      <c r="BD111" s="78">
        <v>1</v>
      </c>
      <c r="BE111" s="78">
        <v>0</v>
      </c>
      <c r="BF111" s="78">
        <v>0</v>
      </c>
      <c r="BG111" s="78">
        <v>0</v>
      </c>
      <c r="BH111" s="78">
        <v>0</v>
      </c>
      <c r="BI111" s="78">
        <v>0</v>
      </c>
      <c r="BJ111" s="78">
        <v>0</v>
      </c>
      <c r="BK111" s="78">
        <v>0</v>
      </c>
      <c r="BL111" s="78">
        <v>0</v>
      </c>
      <c r="BM111" s="78">
        <v>1242.7439999999999</v>
      </c>
      <c r="BN111" s="78">
        <v>212</v>
      </c>
      <c r="BO111" s="78">
        <v>272</v>
      </c>
      <c r="BP111" s="78">
        <v>11834.56</v>
      </c>
      <c r="BQ111" s="78">
        <v>2562.44</v>
      </c>
      <c r="BR111" s="78">
        <v>357.08969815351702</v>
      </c>
      <c r="BS111" s="78">
        <v>563</v>
      </c>
      <c r="BT111" s="78">
        <v>275</v>
      </c>
      <c r="BU111" s="78">
        <v>234.666666666667</v>
      </c>
      <c r="BV111" s="78">
        <v>2460</v>
      </c>
      <c r="BW111" s="78">
        <v>771</v>
      </c>
      <c r="BX111" s="78">
        <v>7891.23602576336</v>
      </c>
      <c r="BY111" s="402">
        <v>2.8039999999999998</v>
      </c>
      <c r="BZ111" s="78">
        <v>34338</v>
      </c>
      <c r="CA111" s="78">
        <v>4580</v>
      </c>
      <c r="CB111" s="78">
        <v>756</v>
      </c>
      <c r="CC111" s="78">
        <v>1091</v>
      </c>
      <c r="CD111" s="78">
        <v>854</v>
      </c>
      <c r="CE111" s="78">
        <v>335</v>
      </c>
      <c r="CF111" s="78">
        <v>648.87326753915499</v>
      </c>
      <c r="CG111" s="78">
        <v>409.19527998283598</v>
      </c>
      <c r="CH111" s="78">
        <v>108.183265393692</v>
      </c>
      <c r="CI111" s="78">
        <v>1417.4448</v>
      </c>
      <c r="CJ111" s="78">
        <v>893.87519999999995</v>
      </c>
      <c r="CK111" s="78">
        <v>236.32320000000001</v>
      </c>
      <c r="CL111" s="78">
        <v>81988</v>
      </c>
    </row>
    <row r="112" spans="1:90" x14ac:dyDescent="0.35">
      <c r="A112" s="72">
        <v>285</v>
      </c>
      <c r="B112" s="72" t="s">
        <v>323</v>
      </c>
      <c r="C112" s="72">
        <v>5</v>
      </c>
      <c r="D112" s="78">
        <v>3006800000</v>
      </c>
      <c r="E112" s="78">
        <v>395500000</v>
      </c>
      <c r="F112" s="78">
        <v>454300000</v>
      </c>
      <c r="G112" s="78">
        <v>24994</v>
      </c>
      <c r="H112" s="78">
        <v>3</v>
      </c>
      <c r="I112" s="78">
        <v>454.3</v>
      </c>
      <c r="J112" s="78">
        <v>4838</v>
      </c>
      <c r="K112" s="78">
        <v>6186</v>
      </c>
      <c r="L112" s="78">
        <v>2009</v>
      </c>
      <c r="M112" s="78">
        <v>2873</v>
      </c>
      <c r="N112" s="78">
        <v>1741.8</v>
      </c>
      <c r="O112" s="78">
        <v>253.666666666667</v>
      </c>
      <c r="P112" s="78">
        <v>22</v>
      </c>
      <c r="Q112" s="78">
        <v>1518.6666666666699</v>
      </c>
      <c r="R112" s="78">
        <v>2921</v>
      </c>
      <c r="S112" s="78">
        <v>485</v>
      </c>
      <c r="T112" s="78">
        <v>0</v>
      </c>
      <c r="U112" s="78">
        <v>519</v>
      </c>
      <c r="V112" s="78">
        <v>11115</v>
      </c>
      <c r="W112" s="78">
        <v>17990</v>
      </c>
      <c r="X112" s="78">
        <v>6020</v>
      </c>
      <c r="Y112" s="78">
        <v>1262.9000000000001</v>
      </c>
      <c r="Z112" s="78">
        <v>379.2</v>
      </c>
      <c r="AA112" s="78">
        <v>0</v>
      </c>
      <c r="AB112" s="399">
        <v>0</v>
      </c>
      <c r="AC112" s="399">
        <v>164.89999999999998</v>
      </c>
      <c r="AD112" s="78">
        <v>12293</v>
      </c>
      <c r="AE112" s="78">
        <v>12293</v>
      </c>
      <c r="AF112" s="78">
        <v>354</v>
      </c>
      <c r="AG112" s="78">
        <v>0</v>
      </c>
      <c r="AH112" s="78">
        <v>139</v>
      </c>
      <c r="AI112" s="78">
        <v>125</v>
      </c>
      <c r="AJ112" s="78">
        <v>139</v>
      </c>
      <c r="AK112" s="78">
        <v>125</v>
      </c>
      <c r="AL112" s="78">
        <v>264</v>
      </c>
      <c r="AM112" s="78">
        <v>11312</v>
      </c>
      <c r="AN112" s="78">
        <v>11312</v>
      </c>
      <c r="AO112" s="78">
        <v>0</v>
      </c>
      <c r="AP112" s="78">
        <v>0</v>
      </c>
      <c r="AQ112" s="78">
        <v>0</v>
      </c>
      <c r="AR112" s="78">
        <v>0</v>
      </c>
      <c r="AS112" s="78">
        <v>674</v>
      </c>
      <c r="AT112" s="78">
        <v>0</v>
      </c>
      <c r="AU112" s="400">
        <v>4.4639099999999998E-4</v>
      </c>
      <c r="AV112" s="400">
        <v>1.3076200000000001E-4</v>
      </c>
      <c r="AW112" s="78">
        <v>6572.2719999999999</v>
      </c>
      <c r="AX112" s="78">
        <v>0</v>
      </c>
      <c r="AY112" s="78">
        <v>2388</v>
      </c>
      <c r="AZ112" s="78">
        <v>4719.3541551356102</v>
      </c>
      <c r="BA112" s="78">
        <v>17</v>
      </c>
      <c r="BB112" s="78">
        <v>17</v>
      </c>
      <c r="BC112" s="78">
        <v>3275</v>
      </c>
      <c r="BD112" s="78">
        <v>1</v>
      </c>
      <c r="BE112" s="78">
        <v>0</v>
      </c>
      <c r="BF112" s="78">
        <v>0</v>
      </c>
      <c r="BG112" s="78">
        <v>0</v>
      </c>
      <c r="BH112" s="78">
        <v>0</v>
      </c>
      <c r="BI112" s="78">
        <v>0</v>
      </c>
      <c r="BJ112" s="78">
        <v>0</v>
      </c>
      <c r="BK112" s="78">
        <v>0</v>
      </c>
      <c r="BL112" s="78">
        <v>0</v>
      </c>
      <c r="BM112" s="78">
        <v>309.63200000000001</v>
      </c>
      <c r="BN112" s="78">
        <v>70</v>
      </c>
      <c r="BO112" s="78">
        <v>25</v>
      </c>
      <c r="BP112" s="78">
        <v>7169.79</v>
      </c>
      <c r="BQ112" s="78">
        <v>1757.25</v>
      </c>
      <c r="BR112" s="78">
        <v>101.60067366675899</v>
      </c>
      <c r="BS112" s="78">
        <v>200</v>
      </c>
      <c r="BT112" s="78">
        <v>68.3333333333333</v>
      </c>
      <c r="BU112" s="78">
        <v>58</v>
      </c>
      <c r="BV112" s="78">
        <v>1265.000000000003</v>
      </c>
      <c r="BW112" s="78">
        <v>543</v>
      </c>
      <c r="BX112" s="78">
        <v>4169.22907624042</v>
      </c>
      <c r="BY112" s="402">
        <v>0.34200000000000003</v>
      </c>
      <c r="BZ112" s="78">
        <v>18808</v>
      </c>
      <c r="CA112" s="78">
        <v>3486</v>
      </c>
      <c r="CB112" s="78">
        <v>691</v>
      </c>
      <c r="CC112" s="78">
        <v>595</v>
      </c>
      <c r="CD112" s="78">
        <v>566</v>
      </c>
      <c r="CE112" s="78">
        <v>346</v>
      </c>
      <c r="CF112" s="78">
        <v>319.042574257426</v>
      </c>
      <c r="CG112" s="78">
        <v>207.87040311173999</v>
      </c>
      <c r="CH112" s="78">
        <v>78.066884724186707</v>
      </c>
      <c r="CI112" s="78">
        <v>859.67280000000005</v>
      </c>
      <c r="CJ112" s="78">
        <v>560.11500000000001</v>
      </c>
      <c r="CK112" s="78">
        <v>210.35429999999999</v>
      </c>
      <c r="CL112" s="78">
        <v>170409</v>
      </c>
    </row>
    <row r="113" spans="1:90" x14ac:dyDescent="0.35">
      <c r="A113" s="72">
        <v>289</v>
      </c>
      <c r="B113" s="72" t="s">
        <v>329</v>
      </c>
      <c r="C113" s="72">
        <v>5</v>
      </c>
      <c r="D113" s="78">
        <v>4189600000</v>
      </c>
      <c r="E113" s="78">
        <v>677250000</v>
      </c>
      <c r="F113" s="78">
        <v>685650000</v>
      </c>
      <c r="G113" s="78">
        <v>39939</v>
      </c>
      <c r="H113" s="78">
        <v>1</v>
      </c>
      <c r="I113" s="78">
        <v>685.65</v>
      </c>
      <c r="J113" s="78">
        <v>5780</v>
      </c>
      <c r="K113" s="78">
        <v>6726</v>
      </c>
      <c r="L113" s="78">
        <v>2247</v>
      </c>
      <c r="M113" s="78">
        <v>5113</v>
      </c>
      <c r="N113" s="78">
        <v>3078.1</v>
      </c>
      <c r="O113" s="78">
        <v>646.66666666666697</v>
      </c>
      <c r="P113" s="78">
        <v>41</v>
      </c>
      <c r="Q113" s="78">
        <v>2200.6666666666702</v>
      </c>
      <c r="R113" s="78">
        <v>13806</v>
      </c>
      <c r="S113" s="78">
        <v>1420</v>
      </c>
      <c r="T113" s="78">
        <v>0</v>
      </c>
      <c r="U113" s="78">
        <v>929</v>
      </c>
      <c r="V113" s="78">
        <v>23770</v>
      </c>
      <c r="W113" s="78">
        <v>42540</v>
      </c>
      <c r="X113" s="78">
        <v>36520</v>
      </c>
      <c r="Y113" s="78">
        <v>405.9</v>
      </c>
      <c r="Z113" s="78">
        <v>1464</v>
      </c>
      <c r="AA113" s="78">
        <v>0</v>
      </c>
      <c r="AB113" s="399">
        <v>0</v>
      </c>
      <c r="AC113" s="399">
        <v>0</v>
      </c>
      <c r="AD113" s="78">
        <v>3038</v>
      </c>
      <c r="AE113" s="78">
        <v>3038</v>
      </c>
      <c r="AF113" s="78">
        <v>198</v>
      </c>
      <c r="AG113" s="78">
        <v>0</v>
      </c>
      <c r="AH113" s="78">
        <v>141</v>
      </c>
      <c r="AI113" s="78">
        <v>19</v>
      </c>
      <c r="AJ113" s="78">
        <v>141</v>
      </c>
      <c r="AK113" s="78">
        <v>19</v>
      </c>
      <c r="AL113" s="78">
        <v>161</v>
      </c>
      <c r="AM113" s="78">
        <v>20349</v>
      </c>
      <c r="AN113" s="78">
        <v>20349</v>
      </c>
      <c r="AO113" s="78">
        <v>9</v>
      </c>
      <c r="AP113" s="78">
        <v>0</v>
      </c>
      <c r="AQ113" s="78">
        <v>0</v>
      </c>
      <c r="AR113" s="78">
        <v>1800</v>
      </c>
      <c r="AS113" s="78">
        <v>2670</v>
      </c>
      <c r="AT113" s="78">
        <v>2670</v>
      </c>
      <c r="AU113" s="400">
        <v>5.4911200000000004E-4</v>
      </c>
      <c r="AV113" s="400">
        <v>1.3787420000000001E-3</v>
      </c>
      <c r="AW113" s="78">
        <v>42956.739000000001</v>
      </c>
      <c r="AX113" s="78">
        <v>0</v>
      </c>
      <c r="AY113" s="78">
        <v>883</v>
      </c>
      <c r="AZ113" s="78">
        <v>10898.0645859085</v>
      </c>
      <c r="BA113" s="78">
        <v>3</v>
      </c>
      <c r="BB113" s="78">
        <v>3</v>
      </c>
      <c r="BC113" s="78">
        <v>4200</v>
      </c>
      <c r="BD113" s="78">
        <v>1</v>
      </c>
      <c r="BE113" s="78">
        <v>0</v>
      </c>
      <c r="BF113" s="78">
        <v>0</v>
      </c>
      <c r="BG113" s="78">
        <v>0</v>
      </c>
      <c r="BH113" s="78">
        <v>0</v>
      </c>
      <c r="BI113" s="78">
        <v>0</v>
      </c>
      <c r="BJ113" s="78">
        <v>0</v>
      </c>
      <c r="BK113" s="78">
        <v>0</v>
      </c>
      <c r="BL113" s="78">
        <v>0</v>
      </c>
      <c r="BM113" s="78">
        <v>647.36</v>
      </c>
      <c r="BN113" s="78">
        <v>64</v>
      </c>
      <c r="BO113" s="78">
        <v>81</v>
      </c>
      <c r="BP113" s="78">
        <v>10752.19</v>
      </c>
      <c r="BQ113" s="78">
        <v>2211.4499999999998</v>
      </c>
      <c r="BR113" s="78">
        <v>290.335076071922</v>
      </c>
      <c r="BS113" s="78">
        <v>334</v>
      </c>
      <c r="BT113" s="78">
        <v>158</v>
      </c>
      <c r="BU113" s="78">
        <v>144.333333333333</v>
      </c>
      <c r="BV113" s="78">
        <v>1554.0000000000032</v>
      </c>
      <c r="BW113" s="78">
        <v>545</v>
      </c>
      <c r="BX113" s="78">
        <v>3693.91664437997</v>
      </c>
      <c r="BY113" s="402">
        <v>0.84399999999999997</v>
      </c>
      <c r="BZ113" s="78">
        <v>33213</v>
      </c>
      <c r="CA113" s="78">
        <v>3602</v>
      </c>
      <c r="CB113" s="78">
        <v>877</v>
      </c>
      <c r="CC113" s="78">
        <v>941</v>
      </c>
      <c r="CD113" s="78">
        <v>774</v>
      </c>
      <c r="CE113" s="78">
        <v>365</v>
      </c>
      <c r="CF113" s="78">
        <v>346.24654282765698</v>
      </c>
      <c r="CG113" s="78">
        <v>227.956985601258</v>
      </c>
      <c r="CH113" s="78">
        <v>76.086505479384698</v>
      </c>
      <c r="CI113" s="78">
        <v>1037.1459</v>
      </c>
      <c r="CJ113" s="78">
        <v>682.82169999999996</v>
      </c>
      <c r="CK113" s="78">
        <v>227.9093</v>
      </c>
      <c r="CL113" s="78">
        <v>21593</v>
      </c>
    </row>
    <row r="114" spans="1:90" x14ac:dyDescent="0.35">
      <c r="A114" s="72">
        <v>1960</v>
      </c>
      <c r="B114" s="72" t="s">
        <v>334</v>
      </c>
      <c r="C114" s="72">
        <v>5</v>
      </c>
      <c r="D114" s="78">
        <v>5547200000</v>
      </c>
      <c r="E114" s="78">
        <v>833350000</v>
      </c>
      <c r="F114" s="78">
        <v>918750000</v>
      </c>
      <c r="G114" s="78">
        <v>51971</v>
      </c>
      <c r="H114" s="78">
        <v>10</v>
      </c>
      <c r="I114" s="78">
        <v>918.75</v>
      </c>
      <c r="J114" s="78">
        <v>10671</v>
      </c>
      <c r="K114" s="78">
        <v>10374</v>
      </c>
      <c r="L114" s="78">
        <v>3445</v>
      </c>
      <c r="M114" s="78">
        <v>5098</v>
      </c>
      <c r="N114" s="78">
        <v>2966.2999999999997</v>
      </c>
      <c r="O114" s="78">
        <v>420.66666666666703</v>
      </c>
      <c r="P114" s="78">
        <v>84</v>
      </c>
      <c r="Q114" s="78">
        <v>2280.6666666666702</v>
      </c>
      <c r="R114" s="78">
        <v>5632</v>
      </c>
      <c r="S114" s="78">
        <v>1130</v>
      </c>
      <c r="T114" s="78">
        <v>0</v>
      </c>
      <c r="U114" s="78">
        <v>1344</v>
      </c>
      <c r="V114" s="78">
        <v>21632</v>
      </c>
      <c r="W114" s="78">
        <v>43300</v>
      </c>
      <c r="X114" s="78">
        <v>10750</v>
      </c>
      <c r="Y114" s="78">
        <v>0</v>
      </c>
      <c r="Z114" s="78">
        <v>1154.4000000000001</v>
      </c>
      <c r="AA114" s="78">
        <v>0</v>
      </c>
      <c r="AB114" s="399">
        <v>0</v>
      </c>
      <c r="AC114" s="399">
        <v>540.99999999999989</v>
      </c>
      <c r="AD114" s="78">
        <v>21546</v>
      </c>
      <c r="AE114" s="78">
        <v>26717.040000000001</v>
      </c>
      <c r="AF114" s="78">
        <v>1366</v>
      </c>
      <c r="AG114" s="78">
        <v>0</v>
      </c>
      <c r="AH114" s="78">
        <v>310</v>
      </c>
      <c r="AI114" s="78">
        <v>212</v>
      </c>
      <c r="AJ114" s="78">
        <v>365.8</v>
      </c>
      <c r="AK114" s="78">
        <v>265</v>
      </c>
      <c r="AL114" s="78">
        <v>522</v>
      </c>
      <c r="AM114" s="78">
        <v>21317</v>
      </c>
      <c r="AN114" s="78">
        <v>25154.06</v>
      </c>
      <c r="AO114" s="78">
        <v>12</v>
      </c>
      <c r="AP114" s="78">
        <v>0</v>
      </c>
      <c r="AQ114" s="78">
        <v>0</v>
      </c>
      <c r="AR114" s="78">
        <v>1150</v>
      </c>
      <c r="AS114" s="78">
        <v>0</v>
      </c>
      <c r="AT114" s="78">
        <v>0</v>
      </c>
      <c r="AU114" s="400">
        <v>6.7941200000000001E-4</v>
      </c>
      <c r="AV114" s="400">
        <v>2.02363E-4</v>
      </c>
      <c r="AW114" s="78">
        <v>9869.7710000000006</v>
      </c>
      <c r="AX114" s="78">
        <v>0</v>
      </c>
      <c r="AY114" s="78">
        <v>8197.64</v>
      </c>
      <c r="AZ114" s="78">
        <v>30621.607170041902</v>
      </c>
      <c r="BA114" s="78">
        <v>25</v>
      </c>
      <c r="BB114" s="78">
        <v>31.25</v>
      </c>
      <c r="BC114" s="78">
        <v>7645</v>
      </c>
      <c r="BD114" s="78">
        <v>1</v>
      </c>
      <c r="BE114" s="78">
        <v>0</v>
      </c>
      <c r="BF114" s="78">
        <v>0</v>
      </c>
      <c r="BG114" s="78">
        <v>0</v>
      </c>
      <c r="BH114" s="78">
        <v>0</v>
      </c>
      <c r="BI114" s="78">
        <v>0</v>
      </c>
      <c r="BJ114" s="78">
        <v>0</v>
      </c>
      <c r="BK114" s="78">
        <v>0</v>
      </c>
      <c r="BL114" s="78">
        <v>0</v>
      </c>
      <c r="BM114" s="78">
        <v>768.31200000000001</v>
      </c>
      <c r="BN114" s="78">
        <v>334</v>
      </c>
      <c r="BO114" s="78">
        <v>113</v>
      </c>
      <c r="BP114" s="78">
        <v>16193.1</v>
      </c>
      <c r="BQ114" s="78">
        <v>4073.76</v>
      </c>
      <c r="BR114" s="78">
        <v>423.336952329361</v>
      </c>
      <c r="BS114" s="78">
        <v>529</v>
      </c>
      <c r="BT114" s="78">
        <v>146.666666666667</v>
      </c>
      <c r="BU114" s="78">
        <v>105</v>
      </c>
      <c r="BV114" s="78">
        <v>1860.0000000000032</v>
      </c>
      <c r="BW114" s="78">
        <v>453</v>
      </c>
      <c r="BX114" s="78">
        <v>8307.4073147428899</v>
      </c>
      <c r="BY114" s="402">
        <v>0.26100000000000001</v>
      </c>
      <c r="BZ114" s="78">
        <v>41597</v>
      </c>
      <c r="CA114" s="78">
        <v>5951</v>
      </c>
      <c r="CB114" s="78">
        <v>978</v>
      </c>
      <c r="CC114" s="78">
        <v>1032</v>
      </c>
      <c r="CD114" s="78">
        <v>1034</v>
      </c>
      <c r="CE114" s="78">
        <v>459</v>
      </c>
      <c r="CF114" s="78">
        <v>498.99853637941601</v>
      </c>
      <c r="CG114" s="78">
        <v>326.171937889947</v>
      </c>
      <c r="CH114" s="78">
        <v>92.814284373973805</v>
      </c>
      <c r="CI114" s="78">
        <v>1325.027</v>
      </c>
      <c r="CJ114" s="78">
        <v>866.10799999999995</v>
      </c>
      <c r="CK114" s="78">
        <v>246.45650000000001</v>
      </c>
      <c r="CL114" s="78">
        <v>52879</v>
      </c>
    </row>
    <row r="115" spans="1:90" x14ac:dyDescent="0.35">
      <c r="A115" s="72">
        <v>668</v>
      </c>
      <c r="B115" s="72" t="s">
        <v>335</v>
      </c>
      <c r="C115" s="72">
        <v>5</v>
      </c>
      <c r="D115" s="78">
        <v>2070400000</v>
      </c>
      <c r="E115" s="78">
        <v>239050000</v>
      </c>
      <c r="F115" s="78">
        <v>272650000</v>
      </c>
      <c r="G115" s="78">
        <v>19675</v>
      </c>
      <c r="H115" s="78">
        <v>5</v>
      </c>
      <c r="I115" s="78">
        <v>272.64999999999998</v>
      </c>
      <c r="J115" s="78">
        <v>3409</v>
      </c>
      <c r="K115" s="78">
        <v>4363</v>
      </c>
      <c r="L115" s="78">
        <v>1370</v>
      </c>
      <c r="M115" s="78">
        <v>2506</v>
      </c>
      <c r="N115" s="78">
        <v>1648.1</v>
      </c>
      <c r="O115" s="78">
        <v>192</v>
      </c>
      <c r="P115" s="78">
        <v>36</v>
      </c>
      <c r="Q115" s="78">
        <v>1054</v>
      </c>
      <c r="R115" s="78">
        <v>2500</v>
      </c>
      <c r="S115" s="78">
        <v>280</v>
      </c>
      <c r="T115" s="78">
        <v>0</v>
      </c>
      <c r="U115" s="78">
        <v>449</v>
      </c>
      <c r="V115" s="78">
        <v>8793</v>
      </c>
      <c r="W115" s="78">
        <v>14810</v>
      </c>
      <c r="X115" s="78">
        <v>2460</v>
      </c>
      <c r="Y115" s="78">
        <v>69.2</v>
      </c>
      <c r="Z115" s="78">
        <v>175.2</v>
      </c>
      <c r="AA115" s="78">
        <v>0</v>
      </c>
      <c r="AB115" s="399">
        <v>0</v>
      </c>
      <c r="AC115" s="399">
        <v>0</v>
      </c>
      <c r="AD115" s="78">
        <v>7592</v>
      </c>
      <c r="AE115" s="78">
        <v>8047.52</v>
      </c>
      <c r="AF115" s="78">
        <v>929</v>
      </c>
      <c r="AG115" s="78">
        <v>0</v>
      </c>
      <c r="AH115" s="78">
        <v>153</v>
      </c>
      <c r="AI115" s="78">
        <v>74</v>
      </c>
      <c r="AJ115" s="78">
        <v>160.65</v>
      </c>
      <c r="AK115" s="78">
        <v>78.44</v>
      </c>
      <c r="AL115" s="78">
        <v>227</v>
      </c>
      <c r="AM115" s="78">
        <v>8579</v>
      </c>
      <c r="AN115" s="78">
        <v>9007.9500000000007</v>
      </c>
      <c r="AO115" s="78">
        <v>0</v>
      </c>
      <c r="AP115" s="78">
        <v>0</v>
      </c>
      <c r="AQ115" s="78">
        <v>0</v>
      </c>
      <c r="AR115" s="78">
        <v>0</v>
      </c>
      <c r="AS115" s="78">
        <v>836</v>
      </c>
      <c r="AT115" s="78">
        <v>0</v>
      </c>
      <c r="AU115" s="400">
        <v>2.87903E-4</v>
      </c>
      <c r="AV115" s="400">
        <v>7.3732000000000005E-5</v>
      </c>
      <c r="AW115" s="78">
        <v>3697.549</v>
      </c>
      <c r="AX115" s="78">
        <v>0</v>
      </c>
      <c r="AY115" s="78">
        <v>2440.12</v>
      </c>
      <c r="AZ115" s="78">
        <v>5756.6172984391496</v>
      </c>
      <c r="BA115" s="78">
        <v>12</v>
      </c>
      <c r="BB115" s="78">
        <v>12.72</v>
      </c>
      <c r="BC115" s="78">
        <v>2875</v>
      </c>
      <c r="BD115" s="78">
        <v>1</v>
      </c>
      <c r="BE115" s="78">
        <v>0</v>
      </c>
      <c r="BF115" s="78">
        <v>0</v>
      </c>
      <c r="BG115" s="78">
        <v>0</v>
      </c>
      <c r="BH115" s="78">
        <v>0</v>
      </c>
      <c r="BI115" s="78">
        <v>0</v>
      </c>
      <c r="BJ115" s="78">
        <v>0</v>
      </c>
      <c r="BK115" s="78">
        <v>0</v>
      </c>
      <c r="BL115" s="78">
        <v>0</v>
      </c>
      <c r="BM115" s="78">
        <v>262.49299999999999</v>
      </c>
      <c r="BN115" s="78">
        <v>100</v>
      </c>
      <c r="BO115" s="78">
        <v>47</v>
      </c>
      <c r="BP115" s="78">
        <v>5799.72</v>
      </c>
      <c r="BQ115" s="78">
        <v>1324.8</v>
      </c>
      <c r="BR115" s="78">
        <v>86.052618497109805</v>
      </c>
      <c r="BS115" s="78">
        <v>174</v>
      </c>
      <c r="BT115" s="78">
        <v>54</v>
      </c>
      <c r="BU115" s="78">
        <v>32.3333333333333</v>
      </c>
      <c r="BV115" s="78">
        <v>862</v>
      </c>
      <c r="BW115" s="78">
        <v>216</v>
      </c>
      <c r="BX115" s="78">
        <v>3340.2384454317998</v>
      </c>
      <c r="BY115" s="402">
        <v>0.193</v>
      </c>
      <c r="BZ115" s="78">
        <v>15312</v>
      </c>
      <c r="CA115" s="78">
        <v>2565</v>
      </c>
      <c r="CB115" s="78">
        <v>428</v>
      </c>
      <c r="CC115" s="78">
        <v>498</v>
      </c>
      <c r="CD115" s="78">
        <v>404</v>
      </c>
      <c r="CE115" s="78">
        <v>206</v>
      </c>
      <c r="CF115" s="78">
        <v>305.64484205618402</v>
      </c>
      <c r="CG115" s="78">
        <v>176.35572910595599</v>
      </c>
      <c r="CH115" s="78">
        <v>56.864156661615603</v>
      </c>
      <c r="CI115" s="78">
        <v>702.10829999999999</v>
      </c>
      <c r="CJ115" s="78">
        <v>405.11340000000001</v>
      </c>
      <c r="CK115" s="78">
        <v>130.62479999999999</v>
      </c>
      <c r="CL115" s="78">
        <v>16136</v>
      </c>
    </row>
    <row r="116" spans="1:90" x14ac:dyDescent="0.35">
      <c r="A116" s="72">
        <v>293</v>
      </c>
      <c r="B116" s="72" t="s">
        <v>338</v>
      </c>
      <c r="C116" s="72">
        <v>5</v>
      </c>
      <c r="D116" s="78">
        <v>1414800000</v>
      </c>
      <c r="E116" s="78">
        <v>75600000</v>
      </c>
      <c r="F116" s="78">
        <v>76650000</v>
      </c>
      <c r="G116" s="78">
        <v>14944</v>
      </c>
      <c r="H116" s="78">
        <v>1</v>
      </c>
      <c r="I116" s="78">
        <v>76.650000000000006</v>
      </c>
      <c r="J116" s="78">
        <v>2717</v>
      </c>
      <c r="K116" s="78">
        <v>3260</v>
      </c>
      <c r="L116" s="78">
        <v>863</v>
      </c>
      <c r="M116" s="78">
        <v>2069</v>
      </c>
      <c r="N116" s="78">
        <v>1391</v>
      </c>
      <c r="O116" s="78">
        <v>335.33333333333297</v>
      </c>
      <c r="P116" s="78">
        <v>28</v>
      </c>
      <c r="Q116" s="78">
        <v>1262.3333333333301</v>
      </c>
      <c r="R116" s="78">
        <v>2100</v>
      </c>
      <c r="S116" s="78">
        <v>755</v>
      </c>
      <c r="T116" s="78">
        <v>0</v>
      </c>
      <c r="U116" s="78">
        <v>596</v>
      </c>
      <c r="V116" s="78">
        <v>6907</v>
      </c>
      <c r="W116" s="78">
        <v>12640</v>
      </c>
      <c r="X116" s="78">
        <v>4070</v>
      </c>
      <c r="Y116" s="78">
        <v>0</v>
      </c>
      <c r="Z116" s="78">
        <v>0</v>
      </c>
      <c r="AA116" s="78">
        <v>0</v>
      </c>
      <c r="AB116" s="399">
        <v>0</v>
      </c>
      <c r="AC116" s="399">
        <v>0</v>
      </c>
      <c r="AD116" s="78">
        <v>703</v>
      </c>
      <c r="AE116" s="78">
        <v>703</v>
      </c>
      <c r="AF116" s="78">
        <v>81</v>
      </c>
      <c r="AG116" s="78">
        <v>0</v>
      </c>
      <c r="AH116" s="78">
        <v>65</v>
      </c>
      <c r="AI116" s="78">
        <v>2</v>
      </c>
      <c r="AJ116" s="78">
        <v>65</v>
      </c>
      <c r="AK116" s="78">
        <v>2</v>
      </c>
      <c r="AL116" s="78">
        <v>67</v>
      </c>
      <c r="AM116" s="78">
        <v>6780</v>
      </c>
      <c r="AN116" s="78">
        <v>6780</v>
      </c>
      <c r="AO116" s="78">
        <v>0</v>
      </c>
      <c r="AP116" s="78">
        <v>0</v>
      </c>
      <c r="AQ116" s="78">
        <v>0</v>
      </c>
      <c r="AR116" s="78">
        <v>0</v>
      </c>
      <c r="AS116" s="78">
        <v>0</v>
      </c>
      <c r="AT116" s="78">
        <v>0</v>
      </c>
      <c r="AU116" s="400">
        <v>5.8205000000000003E-5</v>
      </c>
      <c r="AV116" s="400">
        <v>5.3436000000000001E-5</v>
      </c>
      <c r="AW116" s="78">
        <v>7858.02</v>
      </c>
      <c r="AX116" s="78">
        <v>0</v>
      </c>
      <c r="AY116" s="78">
        <v>426</v>
      </c>
      <c r="AZ116" s="78">
        <v>8120.0816326530603</v>
      </c>
      <c r="BA116" s="78">
        <v>1</v>
      </c>
      <c r="BB116" s="78">
        <v>1</v>
      </c>
      <c r="BC116" s="78">
        <v>1370</v>
      </c>
      <c r="BD116" s="78">
        <v>1</v>
      </c>
      <c r="BE116" s="78">
        <v>0</v>
      </c>
      <c r="BF116" s="78">
        <v>0</v>
      </c>
      <c r="BG116" s="78">
        <v>0</v>
      </c>
      <c r="BH116" s="78">
        <v>0</v>
      </c>
      <c r="BI116" s="78">
        <v>0</v>
      </c>
      <c r="BJ116" s="78">
        <v>0</v>
      </c>
      <c r="BK116" s="78">
        <v>0</v>
      </c>
      <c r="BL116" s="78">
        <v>0</v>
      </c>
      <c r="BM116" s="78">
        <v>456.45600000000002</v>
      </c>
      <c r="BN116" s="78">
        <v>53</v>
      </c>
      <c r="BO116" s="78">
        <v>19</v>
      </c>
      <c r="BP116" s="78">
        <v>4249.3500000000004</v>
      </c>
      <c r="BQ116" s="78">
        <v>920.55</v>
      </c>
      <c r="BR116" s="78">
        <v>140.73227203065099</v>
      </c>
      <c r="BS116" s="78">
        <v>214</v>
      </c>
      <c r="BT116" s="78">
        <v>112.333333333333</v>
      </c>
      <c r="BU116" s="78">
        <v>92.6666666666667</v>
      </c>
      <c r="BV116" s="78">
        <v>926.99999999999704</v>
      </c>
      <c r="BW116" s="78">
        <v>262</v>
      </c>
      <c r="BX116" s="78">
        <v>2756.4085573464799</v>
      </c>
      <c r="BY116" s="402">
        <v>0.873</v>
      </c>
      <c r="BZ116" s="78">
        <v>11684</v>
      </c>
      <c r="CA116" s="78">
        <v>2086</v>
      </c>
      <c r="CB116" s="78">
        <v>311</v>
      </c>
      <c r="CC116" s="78">
        <v>441</v>
      </c>
      <c r="CD116" s="78">
        <v>302</v>
      </c>
      <c r="CE116" s="78">
        <v>157</v>
      </c>
      <c r="CF116" s="78">
        <v>274.30191740412999</v>
      </c>
      <c r="CG116" s="78">
        <v>126.37994100295001</v>
      </c>
      <c r="CH116" s="78">
        <v>45.546017699115097</v>
      </c>
      <c r="CI116" s="78">
        <v>661.01279999999997</v>
      </c>
      <c r="CJ116" s="78">
        <v>304.55040000000002</v>
      </c>
      <c r="CK116" s="78">
        <v>109.7568</v>
      </c>
      <c r="CL116" s="78">
        <v>0</v>
      </c>
    </row>
    <row r="117" spans="1:90" x14ac:dyDescent="0.35">
      <c r="A117" s="72">
        <v>296</v>
      </c>
      <c r="B117" s="72" t="s">
        <v>344</v>
      </c>
      <c r="C117" s="72">
        <v>5</v>
      </c>
      <c r="D117" s="78">
        <v>4532000000</v>
      </c>
      <c r="E117" s="78">
        <v>576100000</v>
      </c>
      <c r="F117" s="78">
        <v>598500000</v>
      </c>
      <c r="G117" s="78">
        <v>41344</v>
      </c>
      <c r="H117" s="78">
        <v>2</v>
      </c>
      <c r="I117" s="78">
        <v>598.5</v>
      </c>
      <c r="J117" s="78">
        <v>7678</v>
      </c>
      <c r="K117" s="78">
        <v>9165</v>
      </c>
      <c r="L117" s="78">
        <v>3091</v>
      </c>
      <c r="M117" s="78">
        <v>5224</v>
      </c>
      <c r="N117" s="78">
        <v>3384.1</v>
      </c>
      <c r="O117" s="78">
        <v>705</v>
      </c>
      <c r="P117" s="78">
        <v>41</v>
      </c>
      <c r="Q117" s="78">
        <v>2644</v>
      </c>
      <c r="R117" s="78">
        <v>5490</v>
      </c>
      <c r="S117" s="78">
        <v>1185</v>
      </c>
      <c r="T117" s="78">
        <v>0</v>
      </c>
      <c r="U117" s="78">
        <v>1274</v>
      </c>
      <c r="V117" s="78">
        <v>18370</v>
      </c>
      <c r="W117" s="78">
        <v>42140</v>
      </c>
      <c r="X117" s="78">
        <v>32550</v>
      </c>
      <c r="Y117" s="78">
        <v>498.96</v>
      </c>
      <c r="Z117" s="78">
        <v>1653.6</v>
      </c>
      <c r="AA117" s="78">
        <v>0</v>
      </c>
      <c r="AB117" s="399">
        <v>0</v>
      </c>
      <c r="AC117" s="399">
        <v>0</v>
      </c>
      <c r="AD117" s="78">
        <v>6599</v>
      </c>
      <c r="AE117" s="78">
        <v>6664.99</v>
      </c>
      <c r="AF117" s="78">
        <v>358</v>
      </c>
      <c r="AG117" s="78">
        <v>0</v>
      </c>
      <c r="AH117" s="78">
        <v>251</v>
      </c>
      <c r="AI117" s="78">
        <v>78</v>
      </c>
      <c r="AJ117" s="78">
        <v>251</v>
      </c>
      <c r="AK117" s="78">
        <v>79.56</v>
      </c>
      <c r="AL117" s="78">
        <v>329</v>
      </c>
      <c r="AM117" s="78">
        <v>18399</v>
      </c>
      <c r="AN117" s="78">
        <v>18399</v>
      </c>
      <c r="AO117" s="78">
        <v>5</v>
      </c>
      <c r="AP117" s="78">
        <v>0</v>
      </c>
      <c r="AQ117" s="78">
        <v>0</v>
      </c>
      <c r="AR117" s="78">
        <v>0</v>
      </c>
      <c r="AS117" s="78">
        <v>0</v>
      </c>
      <c r="AT117" s="78">
        <v>0</v>
      </c>
      <c r="AU117" s="400">
        <v>2.63255E-4</v>
      </c>
      <c r="AV117" s="400">
        <v>2.0608000000000001E-4</v>
      </c>
      <c r="AW117" s="78">
        <v>22741.164000000001</v>
      </c>
      <c r="AX117" s="78">
        <v>0</v>
      </c>
      <c r="AY117" s="78">
        <v>1520.05</v>
      </c>
      <c r="AZ117" s="78">
        <v>9033.3401178668992</v>
      </c>
      <c r="BA117" s="78">
        <v>7</v>
      </c>
      <c r="BB117" s="78">
        <v>7.14</v>
      </c>
      <c r="BC117" s="78">
        <v>4850</v>
      </c>
      <c r="BD117" s="78">
        <v>1</v>
      </c>
      <c r="BE117" s="78">
        <v>0</v>
      </c>
      <c r="BF117" s="78">
        <v>0</v>
      </c>
      <c r="BG117" s="78">
        <v>0</v>
      </c>
      <c r="BH117" s="78">
        <v>0</v>
      </c>
      <c r="BI117" s="78">
        <v>0</v>
      </c>
      <c r="BJ117" s="78">
        <v>0</v>
      </c>
      <c r="BK117" s="78">
        <v>0</v>
      </c>
      <c r="BL117" s="78">
        <v>0</v>
      </c>
      <c r="BM117" s="78">
        <v>729.41</v>
      </c>
      <c r="BN117" s="78">
        <v>83</v>
      </c>
      <c r="BO117" s="78">
        <v>65</v>
      </c>
      <c r="BP117" s="78">
        <v>12369.63</v>
      </c>
      <c r="BQ117" s="78">
        <v>2928.57</v>
      </c>
      <c r="BR117" s="78">
        <v>282.48905093016202</v>
      </c>
      <c r="BS117" s="78">
        <v>475</v>
      </c>
      <c r="BT117" s="78">
        <v>180</v>
      </c>
      <c r="BU117" s="78">
        <v>159.333333333333</v>
      </c>
      <c r="BV117" s="78">
        <v>1939</v>
      </c>
      <c r="BW117" s="78">
        <v>520</v>
      </c>
      <c r="BX117" s="78">
        <v>7317.3699600106602</v>
      </c>
      <c r="BY117" s="402">
        <v>1.3939999999999999</v>
      </c>
      <c r="BZ117" s="78">
        <v>32179</v>
      </c>
      <c r="CA117" s="78">
        <v>5229</v>
      </c>
      <c r="CB117" s="78">
        <v>845</v>
      </c>
      <c r="CC117" s="78">
        <v>1033</v>
      </c>
      <c r="CD117" s="78">
        <v>1019</v>
      </c>
      <c r="CE117" s="78">
        <v>417</v>
      </c>
      <c r="CF117" s="78">
        <v>593.90504375237799</v>
      </c>
      <c r="CG117" s="78">
        <v>395.26229142888201</v>
      </c>
      <c r="CH117" s="78">
        <v>109.253513777923</v>
      </c>
      <c r="CI117" s="78">
        <v>1400.0944</v>
      </c>
      <c r="CJ117" s="78">
        <v>931.80640000000005</v>
      </c>
      <c r="CK117" s="78">
        <v>257.55840000000001</v>
      </c>
      <c r="CL117" s="78">
        <v>8796</v>
      </c>
    </row>
    <row r="118" spans="1:90" x14ac:dyDescent="0.35">
      <c r="A118" s="72">
        <v>294</v>
      </c>
      <c r="B118" s="72" t="s">
        <v>347</v>
      </c>
      <c r="C118" s="72">
        <v>5</v>
      </c>
      <c r="D118" s="78">
        <v>2644400000</v>
      </c>
      <c r="E118" s="78">
        <v>432250000</v>
      </c>
      <c r="F118" s="78">
        <v>478450000</v>
      </c>
      <c r="G118" s="78">
        <v>29185</v>
      </c>
      <c r="H118" s="78">
        <v>1</v>
      </c>
      <c r="I118" s="78">
        <v>478.45</v>
      </c>
      <c r="J118" s="78">
        <v>5213</v>
      </c>
      <c r="K118" s="78">
        <v>7089</v>
      </c>
      <c r="L118" s="78">
        <v>2377</v>
      </c>
      <c r="M118" s="78">
        <v>4532</v>
      </c>
      <c r="N118" s="78">
        <v>3131.2</v>
      </c>
      <c r="O118" s="78">
        <v>569.66666666666697</v>
      </c>
      <c r="P118" s="78">
        <v>61</v>
      </c>
      <c r="Q118" s="78">
        <v>2231.6666666666702</v>
      </c>
      <c r="R118" s="78">
        <v>4411</v>
      </c>
      <c r="S118" s="78">
        <v>1130</v>
      </c>
      <c r="T118" s="78">
        <v>0</v>
      </c>
      <c r="U118" s="78">
        <v>855</v>
      </c>
      <c r="V118" s="78">
        <v>13520</v>
      </c>
      <c r="W118" s="78">
        <v>29860</v>
      </c>
      <c r="X118" s="78">
        <v>28660</v>
      </c>
      <c r="Y118" s="78">
        <v>607.86</v>
      </c>
      <c r="Z118" s="78">
        <v>1172</v>
      </c>
      <c r="AA118" s="78">
        <v>0</v>
      </c>
      <c r="AB118" s="399">
        <v>0</v>
      </c>
      <c r="AC118" s="399">
        <v>0</v>
      </c>
      <c r="AD118" s="78">
        <v>13811</v>
      </c>
      <c r="AE118" s="78">
        <v>13811</v>
      </c>
      <c r="AF118" s="78">
        <v>71</v>
      </c>
      <c r="AG118" s="78">
        <v>0</v>
      </c>
      <c r="AH118" s="78">
        <v>163</v>
      </c>
      <c r="AI118" s="78">
        <v>135</v>
      </c>
      <c r="AJ118" s="78">
        <v>163</v>
      </c>
      <c r="AK118" s="78">
        <v>135</v>
      </c>
      <c r="AL118" s="78">
        <v>298</v>
      </c>
      <c r="AM118" s="78">
        <v>14008</v>
      </c>
      <c r="AN118" s="78">
        <v>14008</v>
      </c>
      <c r="AO118" s="78">
        <v>0</v>
      </c>
      <c r="AP118" s="78">
        <v>0</v>
      </c>
      <c r="AQ118" s="78">
        <v>0</v>
      </c>
      <c r="AR118" s="78">
        <v>0</v>
      </c>
      <c r="AS118" s="78">
        <v>2524</v>
      </c>
      <c r="AT118" s="78">
        <v>0</v>
      </c>
      <c r="AU118" s="400">
        <v>1.009533E-3</v>
      </c>
      <c r="AV118" s="400">
        <v>3.87291E-4</v>
      </c>
      <c r="AW118" s="78">
        <v>17033.727999999999</v>
      </c>
      <c r="AX118" s="78">
        <v>0</v>
      </c>
      <c r="AY118" s="78">
        <v>1324</v>
      </c>
      <c r="AZ118" s="78">
        <v>2783.5283100417801</v>
      </c>
      <c r="BA118" s="78">
        <v>11</v>
      </c>
      <c r="BB118" s="78">
        <v>11</v>
      </c>
      <c r="BC118" s="78">
        <v>3475</v>
      </c>
      <c r="BD118" s="78">
        <v>1</v>
      </c>
      <c r="BE118" s="78">
        <v>0</v>
      </c>
      <c r="BF118" s="78">
        <v>0</v>
      </c>
      <c r="BG118" s="78">
        <v>0</v>
      </c>
      <c r="BH118" s="78">
        <v>0</v>
      </c>
      <c r="BI118" s="78">
        <v>0</v>
      </c>
      <c r="BJ118" s="78">
        <v>0</v>
      </c>
      <c r="BK118" s="78">
        <v>0</v>
      </c>
      <c r="BL118" s="78">
        <v>0</v>
      </c>
      <c r="BM118" s="78">
        <v>604.70799999999997</v>
      </c>
      <c r="BN118" s="78">
        <v>96</v>
      </c>
      <c r="BO118" s="78">
        <v>133</v>
      </c>
      <c r="BP118" s="78">
        <v>7797</v>
      </c>
      <c r="BQ118" s="78">
        <v>1639.32</v>
      </c>
      <c r="BR118" s="78">
        <v>202.86605075188001</v>
      </c>
      <c r="BS118" s="78">
        <v>319</v>
      </c>
      <c r="BT118" s="78">
        <v>146</v>
      </c>
      <c r="BU118" s="78">
        <v>127</v>
      </c>
      <c r="BV118" s="78">
        <v>1662.0000000000032</v>
      </c>
      <c r="BW118" s="78">
        <v>482</v>
      </c>
      <c r="BX118" s="78">
        <v>5725.33635173317</v>
      </c>
      <c r="BY118" s="402">
        <v>1.5529999999999999</v>
      </c>
      <c r="BZ118" s="78">
        <v>22096</v>
      </c>
      <c r="CA118" s="78">
        <v>3867</v>
      </c>
      <c r="CB118" s="78">
        <v>845</v>
      </c>
      <c r="CC118" s="78">
        <v>794</v>
      </c>
      <c r="CD118" s="78">
        <v>730</v>
      </c>
      <c r="CE118" s="78">
        <v>397</v>
      </c>
      <c r="CF118" s="78">
        <v>530.435294117647</v>
      </c>
      <c r="CG118" s="78">
        <v>358.31764705882398</v>
      </c>
      <c r="CH118" s="78">
        <v>126.741176470588</v>
      </c>
      <c r="CI118" s="78">
        <v>1257.4527</v>
      </c>
      <c r="CJ118" s="78">
        <v>849.42970000000003</v>
      </c>
      <c r="CK118" s="78">
        <v>300.45330000000001</v>
      </c>
      <c r="CL118" s="78">
        <v>27349</v>
      </c>
    </row>
    <row r="119" spans="1:90" x14ac:dyDescent="0.35">
      <c r="A119" s="72">
        <v>297</v>
      </c>
      <c r="B119" s="72" t="s">
        <v>353</v>
      </c>
      <c r="C119" s="72">
        <v>5</v>
      </c>
      <c r="D119" s="78">
        <v>3026000000</v>
      </c>
      <c r="E119" s="78">
        <v>542500000</v>
      </c>
      <c r="F119" s="78">
        <v>582050000</v>
      </c>
      <c r="G119" s="78">
        <v>29957</v>
      </c>
      <c r="H119" s="78">
        <v>7</v>
      </c>
      <c r="I119" s="78">
        <v>582.04999999999995</v>
      </c>
      <c r="J119" s="78">
        <v>6541</v>
      </c>
      <c r="K119" s="78">
        <v>5507</v>
      </c>
      <c r="L119" s="78">
        <v>1848</v>
      </c>
      <c r="M119" s="78">
        <v>3233</v>
      </c>
      <c r="N119" s="78">
        <v>2026</v>
      </c>
      <c r="O119" s="78">
        <v>287.66666666666703</v>
      </c>
      <c r="P119" s="78">
        <v>56</v>
      </c>
      <c r="Q119" s="78">
        <v>1434.6666666666699</v>
      </c>
      <c r="R119" s="78">
        <v>3811</v>
      </c>
      <c r="S119" s="78">
        <v>1225</v>
      </c>
      <c r="T119" s="78">
        <v>0</v>
      </c>
      <c r="U119" s="78">
        <v>812</v>
      </c>
      <c r="V119" s="78">
        <v>12623</v>
      </c>
      <c r="W119" s="78">
        <v>26340</v>
      </c>
      <c r="X119" s="78">
        <v>5260</v>
      </c>
      <c r="Y119" s="78">
        <v>397.98</v>
      </c>
      <c r="Z119" s="78">
        <v>1776.8</v>
      </c>
      <c r="AA119" s="78">
        <v>0</v>
      </c>
      <c r="AB119" s="399">
        <v>0</v>
      </c>
      <c r="AC119" s="399">
        <v>326.79999999999995</v>
      </c>
      <c r="AD119" s="78">
        <v>7834</v>
      </c>
      <c r="AE119" s="78">
        <v>8930.76</v>
      </c>
      <c r="AF119" s="78">
        <v>1070</v>
      </c>
      <c r="AG119" s="78">
        <v>0</v>
      </c>
      <c r="AH119" s="78">
        <v>174</v>
      </c>
      <c r="AI119" s="78">
        <v>94</v>
      </c>
      <c r="AJ119" s="78">
        <v>196.62</v>
      </c>
      <c r="AK119" s="78">
        <v>107.16</v>
      </c>
      <c r="AL119" s="78">
        <v>268</v>
      </c>
      <c r="AM119" s="78">
        <v>12070</v>
      </c>
      <c r="AN119" s="78">
        <v>13639.1</v>
      </c>
      <c r="AO119" s="78">
        <v>21</v>
      </c>
      <c r="AP119" s="78">
        <v>0</v>
      </c>
      <c r="AQ119" s="78">
        <v>0</v>
      </c>
      <c r="AR119" s="78">
        <v>4350</v>
      </c>
      <c r="AS119" s="78">
        <v>906</v>
      </c>
      <c r="AT119" s="78">
        <v>906</v>
      </c>
      <c r="AU119" s="400">
        <v>4.1790700000000002E-4</v>
      </c>
      <c r="AV119" s="400">
        <v>1.6507100000000001E-4</v>
      </c>
      <c r="AW119" s="78">
        <v>8521.42</v>
      </c>
      <c r="AX119" s="78">
        <v>0</v>
      </c>
      <c r="AY119" s="78">
        <v>4100.58</v>
      </c>
      <c r="AZ119" s="78">
        <v>18905.0067857143</v>
      </c>
      <c r="BA119" s="78">
        <v>11</v>
      </c>
      <c r="BB119" s="78">
        <v>12.54</v>
      </c>
      <c r="BC119" s="78">
        <v>4235</v>
      </c>
      <c r="BD119" s="78">
        <v>1</v>
      </c>
      <c r="BE119" s="78">
        <v>0</v>
      </c>
      <c r="BF119" s="78">
        <v>0</v>
      </c>
      <c r="BG119" s="78">
        <v>0</v>
      </c>
      <c r="BH119" s="78">
        <v>0</v>
      </c>
      <c r="BI119" s="78">
        <v>0</v>
      </c>
      <c r="BJ119" s="78">
        <v>0</v>
      </c>
      <c r="BK119" s="78">
        <v>0</v>
      </c>
      <c r="BL119" s="78">
        <v>0</v>
      </c>
      <c r="BM119" s="78">
        <v>490.57499999999999</v>
      </c>
      <c r="BN119" s="78">
        <v>180</v>
      </c>
      <c r="BO119" s="78">
        <v>103</v>
      </c>
      <c r="BP119" s="78">
        <v>8886.9599999999991</v>
      </c>
      <c r="BQ119" s="78">
        <v>2288.73</v>
      </c>
      <c r="BR119" s="78">
        <v>363.96671135781401</v>
      </c>
      <c r="BS119" s="78">
        <v>303</v>
      </c>
      <c r="BT119" s="78">
        <v>95</v>
      </c>
      <c r="BU119" s="78">
        <v>69</v>
      </c>
      <c r="BV119" s="78">
        <v>1147.000000000003</v>
      </c>
      <c r="BW119" s="78">
        <v>257</v>
      </c>
      <c r="BX119" s="78">
        <v>4444.0167256426803</v>
      </c>
      <c r="BY119" s="402">
        <v>0.22</v>
      </c>
      <c r="BZ119" s="78">
        <v>24450</v>
      </c>
      <c r="CA119" s="78">
        <v>3116</v>
      </c>
      <c r="CB119" s="78">
        <v>543</v>
      </c>
      <c r="CC119" s="78">
        <v>598</v>
      </c>
      <c r="CD119" s="78">
        <v>614</v>
      </c>
      <c r="CE119" s="78">
        <v>253</v>
      </c>
      <c r="CF119" s="78">
        <v>321.272908036454</v>
      </c>
      <c r="CG119" s="78">
        <v>216.36404308202199</v>
      </c>
      <c r="CH119" s="78">
        <v>63.113173156586598</v>
      </c>
      <c r="CI119" s="78">
        <v>780.33780000000002</v>
      </c>
      <c r="CJ119" s="78">
        <v>525.52530000000002</v>
      </c>
      <c r="CK119" s="78">
        <v>153.29519999999999</v>
      </c>
      <c r="CL119" s="78">
        <v>6747</v>
      </c>
    </row>
    <row r="120" spans="1:90" x14ac:dyDescent="0.35">
      <c r="A120" s="72">
        <v>299</v>
      </c>
      <c r="B120" s="72" t="s">
        <v>357</v>
      </c>
      <c r="C120" s="72">
        <v>5</v>
      </c>
      <c r="D120" s="78">
        <v>4220800000</v>
      </c>
      <c r="E120" s="78">
        <v>602700000</v>
      </c>
      <c r="F120" s="78">
        <v>617050000</v>
      </c>
      <c r="G120" s="78">
        <v>44645</v>
      </c>
      <c r="H120" s="78">
        <v>6</v>
      </c>
      <c r="I120" s="78">
        <v>617.04999999999995</v>
      </c>
      <c r="J120" s="78">
        <v>7761</v>
      </c>
      <c r="K120" s="78">
        <v>11108</v>
      </c>
      <c r="L120" s="78">
        <v>3676</v>
      </c>
      <c r="M120" s="78">
        <v>6466</v>
      </c>
      <c r="N120" s="78">
        <v>4389.7999999999993</v>
      </c>
      <c r="O120" s="78">
        <v>830</v>
      </c>
      <c r="P120" s="78">
        <v>61</v>
      </c>
      <c r="Q120" s="78">
        <v>3350</v>
      </c>
      <c r="R120" s="78">
        <v>6785</v>
      </c>
      <c r="S120" s="78">
        <v>1330</v>
      </c>
      <c r="T120" s="78">
        <v>0</v>
      </c>
      <c r="U120" s="78">
        <v>1388</v>
      </c>
      <c r="V120" s="78">
        <v>20807</v>
      </c>
      <c r="W120" s="78">
        <v>41280</v>
      </c>
      <c r="X120" s="78">
        <v>25720</v>
      </c>
      <c r="Y120" s="78">
        <v>465.3</v>
      </c>
      <c r="Z120" s="78">
        <v>1416</v>
      </c>
      <c r="AA120" s="78">
        <v>0</v>
      </c>
      <c r="AB120" s="399">
        <v>0</v>
      </c>
      <c r="AC120" s="399">
        <v>0</v>
      </c>
      <c r="AD120" s="78">
        <v>9238</v>
      </c>
      <c r="AE120" s="78">
        <v>9238</v>
      </c>
      <c r="AF120" s="78">
        <v>1373</v>
      </c>
      <c r="AG120" s="78">
        <v>0</v>
      </c>
      <c r="AH120" s="78">
        <v>236</v>
      </c>
      <c r="AI120" s="78">
        <v>106</v>
      </c>
      <c r="AJ120" s="78">
        <v>236</v>
      </c>
      <c r="AK120" s="78">
        <v>106</v>
      </c>
      <c r="AL120" s="78">
        <v>342</v>
      </c>
      <c r="AM120" s="78">
        <v>20762</v>
      </c>
      <c r="AN120" s="78">
        <v>20762</v>
      </c>
      <c r="AO120" s="78">
        <v>6</v>
      </c>
      <c r="AP120" s="78">
        <v>0</v>
      </c>
      <c r="AQ120" s="78">
        <v>0</v>
      </c>
      <c r="AR120" s="78">
        <v>0</v>
      </c>
      <c r="AS120" s="78">
        <v>0</v>
      </c>
      <c r="AT120" s="78">
        <v>0</v>
      </c>
      <c r="AU120" s="400">
        <v>4.2519900000000002E-4</v>
      </c>
      <c r="AV120" s="400">
        <v>4.5495600000000001E-4</v>
      </c>
      <c r="AW120" s="78">
        <v>21654.766</v>
      </c>
      <c r="AX120" s="78">
        <v>0</v>
      </c>
      <c r="AY120" s="78">
        <v>3438</v>
      </c>
      <c r="AZ120" s="78">
        <v>14465.1314673452</v>
      </c>
      <c r="BA120" s="78">
        <v>13</v>
      </c>
      <c r="BB120" s="78">
        <v>13</v>
      </c>
      <c r="BC120" s="78">
        <v>4730</v>
      </c>
      <c r="BD120" s="78">
        <v>1</v>
      </c>
      <c r="BE120" s="78">
        <v>0</v>
      </c>
      <c r="BF120" s="78">
        <v>0</v>
      </c>
      <c r="BG120" s="78">
        <v>0</v>
      </c>
      <c r="BH120" s="78">
        <v>0</v>
      </c>
      <c r="BI120" s="78">
        <v>0</v>
      </c>
      <c r="BJ120" s="78">
        <v>0</v>
      </c>
      <c r="BK120" s="78">
        <v>0</v>
      </c>
      <c r="BL120" s="78">
        <v>0</v>
      </c>
      <c r="BM120" s="78">
        <v>923.55899999999997</v>
      </c>
      <c r="BN120" s="78">
        <v>141</v>
      </c>
      <c r="BO120" s="78">
        <v>51</v>
      </c>
      <c r="BP120" s="78">
        <v>12601.5</v>
      </c>
      <c r="BQ120" s="78">
        <v>2624.5</v>
      </c>
      <c r="BR120" s="78">
        <v>300.74486698693897</v>
      </c>
      <c r="BS120" s="78">
        <v>512</v>
      </c>
      <c r="BT120" s="78">
        <v>196</v>
      </c>
      <c r="BU120" s="78">
        <v>188.666666666667</v>
      </c>
      <c r="BV120" s="78">
        <v>2520</v>
      </c>
      <c r="BW120" s="78">
        <v>726</v>
      </c>
      <c r="BX120" s="78">
        <v>8779.4408699201704</v>
      </c>
      <c r="BY120" s="402">
        <v>1.7549999999999999</v>
      </c>
      <c r="BZ120" s="78">
        <v>33537</v>
      </c>
      <c r="CA120" s="78">
        <v>6292</v>
      </c>
      <c r="CB120" s="78">
        <v>1140</v>
      </c>
      <c r="CC120" s="78">
        <v>1345</v>
      </c>
      <c r="CD120" s="78">
        <v>1187</v>
      </c>
      <c r="CE120" s="78">
        <v>600</v>
      </c>
      <c r="CF120" s="78">
        <v>819.09667662074901</v>
      </c>
      <c r="CG120" s="78">
        <v>540.84907041710801</v>
      </c>
      <c r="CH120" s="78">
        <v>175.06764280897801</v>
      </c>
      <c r="CI120" s="78">
        <v>1982.7131999999999</v>
      </c>
      <c r="CJ120" s="78">
        <v>1309.1844000000001</v>
      </c>
      <c r="CK120" s="78">
        <v>423.7704</v>
      </c>
      <c r="CL120" s="78">
        <v>42018</v>
      </c>
    </row>
    <row r="121" spans="1:90" x14ac:dyDescent="0.35">
      <c r="A121" s="72">
        <v>301</v>
      </c>
      <c r="B121" s="72" t="s">
        <v>362</v>
      </c>
      <c r="C121" s="72">
        <v>5</v>
      </c>
      <c r="D121" s="78">
        <v>4721600000</v>
      </c>
      <c r="E121" s="78">
        <v>626850000</v>
      </c>
      <c r="F121" s="78">
        <v>660800000</v>
      </c>
      <c r="G121" s="78">
        <v>48330</v>
      </c>
      <c r="H121" s="78">
        <v>1</v>
      </c>
      <c r="I121" s="78">
        <v>660.8</v>
      </c>
      <c r="J121" s="78">
        <v>8687</v>
      </c>
      <c r="K121" s="78">
        <v>11355</v>
      </c>
      <c r="L121" s="78">
        <v>3563</v>
      </c>
      <c r="M121" s="78">
        <v>7828</v>
      </c>
      <c r="N121" s="78">
        <v>5463.2</v>
      </c>
      <c r="O121" s="78">
        <v>1383</v>
      </c>
      <c r="P121" s="78">
        <v>122</v>
      </c>
      <c r="Q121" s="78">
        <v>4781</v>
      </c>
      <c r="R121" s="78">
        <v>8883</v>
      </c>
      <c r="S121" s="78">
        <v>2765</v>
      </c>
      <c r="T121" s="78">
        <v>0</v>
      </c>
      <c r="U121" s="78">
        <v>1804</v>
      </c>
      <c r="V121" s="78">
        <v>24026</v>
      </c>
      <c r="W121" s="78">
        <v>54900</v>
      </c>
      <c r="X121" s="78">
        <v>60620</v>
      </c>
      <c r="Y121" s="78">
        <v>1262.78</v>
      </c>
      <c r="Z121" s="78">
        <v>4076.8</v>
      </c>
      <c r="AA121" s="78">
        <v>0</v>
      </c>
      <c r="AB121" s="399">
        <v>0</v>
      </c>
      <c r="AC121" s="399">
        <v>0</v>
      </c>
      <c r="AD121" s="78">
        <v>4092</v>
      </c>
      <c r="AE121" s="78">
        <v>4092</v>
      </c>
      <c r="AF121" s="78">
        <v>202</v>
      </c>
      <c r="AG121" s="78">
        <v>0</v>
      </c>
      <c r="AH121" s="78">
        <v>231</v>
      </c>
      <c r="AI121" s="78">
        <v>44</v>
      </c>
      <c r="AJ121" s="78">
        <v>231</v>
      </c>
      <c r="AK121" s="78">
        <v>44</v>
      </c>
      <c r="AL121" s="78">
        <v>275</v>
      </c>
      <c r="AM121" s="78">
        <v>23648</v>
      </c>
      <c r="AN121" s="78">
        <v>23648</v>
      </c>
      <c r="AO121" s="78">
        <v>28</v>
      </c>
      <c r="AP121" s="78">
        <v>0</v>
      </c>
      <c r="AQ121" s="78">
        <v>0</v>
      </c>
      <c r="AR121" s="78">
        <v>5750</v>
      </c>
      <c r="AS121" s="78">
        <v>4318</v>
      </c>
      <c r="AT121" s="78">
        <v>4318</v>
      </c>
      <c r="AU121" s="400">
        <v>1.9470749999999999E-3</v>
      </c>
      <c r="AV121" s="400">
        <v>1.4612200000000001E-3</v>
      </c>
      <c r="AW121" s="78">
        <v>39326.624000000003</v>
      </c>
      <c r="AX121" s="78">
        <v>0</v>
      </c>
      <c r="AY121" s="78">
        <v>1381</v>
      </c>
      <c r="AZ121" s="78">
        <v>15543.4862598975</v>
      </c>
      <c r="BA121" s="78">
        <v>1</v>
      </c>
      <c r="BB121" s="78">
        <v>1</v>
      </c>
      <c r="BC121" s="78">
        <v>5780</v>
      </c>
      <c r="BD121" s="78">
        <v>1</v>
      </c>
      <c r="BE121" s="78">
        <v>0</v>
      </c>
      <c r="BF121" s="78">
        <v>0</v>
      </c>
      <c r="BG121" s="78">
        <v>0</v>
      </c>
      <c r="BH121" s="78">
        <v>0</v>
      </c>
      <c r="BI121" s="78">
        <v>0</v>
      </c>
      <c r="BJ121" s="78">
        <v>0</v>
      </c>
      <c r="BK121" s="78">
        <v>0</v>
      </c>
      <c r="BL121" s="78">
        <v>0</v>
      </c>
      <c r="BM121" s="78">
        <v>1337.798</v>
      </c>
      <c r="BN121" s="78">
        <v>173</v>
      </c>
      <c r="BO121" s="78">
        <v>150</v>
      </c>
      <c r="BP121" s="78">
        <v>13548</v>
      </c>
      <c r="BQ121" s="78">
        <v>2708.75</v>
      </c>
      <c r="BR121" s="78">
        <v>496.225274368231</v>
      </c>
      <c r="BS121" s="78">
        <v>668</v>
      </c>
      <c r="BT121" s="78">
        <v>351.33333333333297</v>
      </c>
      <c r="BU121" s="78">
        <v>339.66666666666703</v>
      </c>
      <c r="BV121" s="78">
        <v>3398</v>
      </c>
      <c r="BW121" s="78">
        <v>1170</v>
      </c>
      <c r="BX121" s="78">
        <v>9726.7553033609802</v>
      </c>
      <c r="BY121" s="402">
        <v>4.0149999999999997</v>
      </c>
      <c r="BZ121" s="78">
        <v>36975</v>
      </c>
      <c r="CA121" s="78">
        <v>6654</v>
      </c>
      <c r="CB121" s="78">
        <v>1138</v>
      </c>
      <c r="CC121" s="78">
        <v>1822</v>
      </c>
      <c r="CD121" s="78">
        <v>1255</v>
      </c>
      <c r="CE121" s="78">
        <v>589</v>
      </c>
      <c r="CF121" s="78">
        <v>995.01025033829501</v>
      </c>
      <c r="CG121" s="78">
        <v>582.63660351826798</v>
      </c>
      <c r="CH121" s="78">
        <v>188.28264546684699</v>
      </c>
      <c r="CI121" s="78">
        <v>2262.4670999999998</v>
      </c>
      <c r="CJ121" s="78">
        <v>1324.8065999999999</v>
      </c>
      <c r="CK121" s="78">
        <v>428.11950000000002</v>
      </c>
      <c r="CL121" s="78">
        <v>62639</v>
      </c>
    </row>
    <row r="122" spans="1:90" x14ac:dyDescent="0.35">
      <c r="A122" s="72">
        <v>307</v>
      </c>
      <c r="B122" s="72" t="s">
        <v>24</v>
      </c>
      <c r="C122" s="72">
        <v>6</v>
      </c>
      <c r="D122" s="78">
        <v>20752400000</v>
      </c>
      <c r="E122" s="78">
        <v>2499350000</v>
      </c>
      <c r="F122" s="78">
        <v>2564450000</v>
      </c>
      <c r="G122" s="78">
        <v>158590</v>
      </c>
      <c r="H122" s="78">
        <v>1</v>
      </c>
      <c r="I122" s="78">
        <v>2564.4499999999998</v>
      </c>
      <c r="J122" s="78">
        <v>33899</v>
      </c>
      <c r="K122" s="78">
        <v>24835</v>
      </c>
      <c r="L122" s="78">
        <v>7887</v>
      </c>
      <c r="M122" s="78">
        <v>19742</v>
      </c>
      <c r="N122" s="78">
        <v>12675.099999999999</v>
      </c>
      <c r="O122" s="78">
        <v>3333.6666666666702</v>
      </c>
      <c r="P122" s="78">
        <v>156</v>
      </c>
      <c r="Q122" s="78">
        <v>11178.666666666701</v>
      </c>
      <c r="R122" s="78">
        <v>26229</v>
      </c>
      <c r="S122" s="78">
        <v>16585</v>
      </c>
      <c r="T122" s="78">
        <v>0</v>
      </c>
      <c r="U122" s="78">
        <v>5442</v>
      </c>
      <c r="V122" s="78">
        <v>72957</v>
      </c>
      <c r="W122" s="78">
        <v>182610</v>
      </c>
      <c r="X122" s="78">
        <v>251070</v>
      </c>
      <c r="Y122" s="78">
        <v>5587.32</v>
      </c>
      <c r="Z122" s="78">
        <v>11500</v>
      </c>
      <c r="AA122" s="78">
        <v>0</v>
      </c>
      <c r="AB122" s="399">
        <v>0</v>
      </c>
      <c r="AC122" s="399">
        <v>0</v>
      </c>
      <c r="AD122" s="78">
        <v>6252</v>
      </c>
      <c r="AE122" s="78">
        <v>6252</v>
      </c>
      <c r="AF122" s="78">
        <v>134</v>
      </c>
      <c r="AG122" s="78">
        <v>0</v>
      </c>
      <c r="AH122" s="78">
        <v>643</v>
      </c>
      <c r="AI122" s="78">
        <v>40</v>
      </c>
      <c r="AJ122" s="78">
        <v>643</v>
      </c>
      <c r="AK122" s="78">
        <v>40</v>
      </c>
      <c r="AL122" s="78">
        <v>683</v>
      </c>
      <c r="AM122" s="78">
        <v>70669</v>
      </c>
      <c r="AN122" s="78">
        <v>70669</v>
      </c>
      <c r="AO122" s="78">
        <v>40</v>
      </c>
      <c r="AP122" s="78">
        <v>0</v>
      </c>
      <c r="AQ122" s="78">
        <v>0</v>
      </c>
      <c r="AR122" s="78">
        <v>6800</v>
      </c>
      <c r="AS122" s="78">
        <v>8558</v>
      </c>
      <c r="AT122" s="78">
        <v>8558</v>
      </c>
      <c r="AU122" s="400">
        <v>3.2054090000000002E-3</v>
      </c>
      <c r="AV122" s="400">
        <v>4.5012940000000003E-3</v>
      </c>
      <c r="AW122" s="78">
        <v>168050.88200000001</v>
      </c>
      <c r="AX122" s="78">
        <v>0</v>
      </c>
      <c r="AY122" s="78">
        <v>2533</v>
      </c>
      <c r="AZ122" s="78">
        <v>62904.552145317903</v>
      </c>
      <c r="BA122" s="78">
        <v>3</v>
      </c>
      <c r="BB122" s="78">
        <v>3</v>
      </c>
      <c r="BC122" s="78">
        <v>22040</v>
      </c>
      <c r="BD122" s="78">
        <v>1</v>
      </c>
      <c r="BE122" s="78">
        <v>0</v>
      </c>
      <c r="BF122" s="78">
        <v>0</v>
      </c>
      <c r="BG122" s="78">
        <v>0</v>
      </c>
      <c r="BH122" s="78">
        <v>0</v>
      </c>
      <c r="BI122" s="78">
        <v>0</v>
      </c>
      <c r="BJ122" s="78">
        <v>0</v>
      </c>
      <c r="BK122" s="78">
        <v>0</v>
      </c>
      <c r="BL122" s="78">
        <v>0</v>
      </c>
      <c r="BM122" s="78">
        <v>3559.395</v>
      </c>
      <c r="BN122" s="78">
        <v>270</v>
      </c>
      <c r="BO122" s="78">
        <v>459</v>
      </c>
      <c r="BP122" s="78">
        <v>50831.28</v>
      </c>
      <c r="BQ122" s="78">
        <v>13292.62</v>
      </c>
      <c r="BR122" s="78">
        <v>1708.80573043202</v>
      </c>
      <c r="BS122" s="78">
        <v>2067</v>
      </c>
      <c r="BT122" s="78">
        <v>944.33333333333303</v>
      </c>
      <c r="BU122" s="78">
        <v>872.66666666666697</v>
      </c>
      <c r="BV122" s="78">
        <v>7845.0000000000309</v>
      </c>
      <c r="BW122" s="78">
        <v>1900</v>
      </c>
      <c r="BX122" s="78">
        <v>20007.869583772601</v>
      </c>
      <c r="BY122" s="402">
        <v>7.2119999999999997</v>
      </c>
      <c r="BZ122" s="78">
        <v>133755</v>
      </c>
      <c r="CA122" s="78">
        <v>14141</v>
      </c>
      <c r="CB122" s="78">
        <v>2807</v>
      </c>
      <c r="CC122" s="78">
        <v>3867</v>
      </c>
      <c r="CD122" s="78">
        <v>3001</v>
      </c>
      <c r="CE122" s="78">
        <v>1448</v>
      </c>
      <c r="CF122" s="78">
        <v>1676.8244902291001</v>
      </c>
      <c r="CG122" s="78">
        <v>1009.43076596527</v>
      </c>
      <c r="CH122" s="78">
        <v>350.825618022046</v>
      </c>
      <c r="CI122" s="78">
        <v>3677.8966</v>
      </c>
      <c r="CJ122" s="78">
        <v>2214.0551999999998</v>
      </c>
      <c r="CK122" s="78">
        <v>769.49040000000002</v>
      </c>
      <c r="CL122" s="78">
        <v>128927</v>
      </c>
    </row>
    <row r="123" spans="1:90" x14ac:dyDescent="0.35">
      <c r="A123" s="72">
        <v>308</v>
      </c>
      <c r="B123" s="72" t="s">
        <v>33</v>
      </c>
      <c r="C123" s="72">
        <v>6</v>
      </c>
      <c r="D123" s="78">
        <v>3946400000</v>
      </c>
      <c r="E123" s="78">
        <v>285950000</v>
      </c>
      <c r="F123" s="78">
        <v>294000000</v>
      </c>
      <c r="G123" s="78">
        <v>24876</v>
      </c>
      <c r="H123" s="78">
        <v>1</v>
      </c>
      <c r="I123" s="78">
        <v>294</v>
      </c>
      <c r="J123" s="78">
        <v>4739</v>
      </c>
      <c r="K123" s="78">
        <v>6172</v>
      </c>
      <c r="L123" s="78">
        <v>2157</v>
      </c>
      <c r="M123" s="78">
        <v>3257</v>
      </c>
      <c r="N123" s="78">
        <v>1988.8</v>
      </c>
      <c r="O123" s="78">
        <v>333.66666666666703</v>
      </c>
      <c r="P123" s="78">
        <v>14</v>
      </c>
      <c r="Q123" s="78">
        <v>1833.6666666666699</v>
      </c>
      <c r="R123" s="78">
        <v>4292</v>
      </c>
      <c r="S123" s="78">
        <v>1165</v>
      </c>
      <c r="T123" s="78">
        <v>0</v>
      </c>
      <c r="U123" s="78">
        <v>766</v>
      </c>
      <c r="V123" s="78">
        <v>12265</v>
      </c>
      <c r="W123" s="78">
        <v>21540</v>
      </c>
      <c r="X123" s="78">
        <v>7740</v>
      </c>
      <c r="Y123" s="78">
        <v>0</v>
      </c>
      <c r="Z123" s="78">
        <v>1233.5999999999999</v>
      </c>
      <c r="AA123" s="78">
        <v>0</v>
      </c>
      <c r="AB123" s="399">
        <v>0</v>
      </c>
      <c r="AC123" s="399">
        <v>27.299999999999955</v>
      </c>
      <c r="AD123" s="78">
        <v>3253</v>
      </c>
      <c r="AE123" s="78">
        <v>3253</v>
      </c>
      <c r="AF123" s="78">
        <v>48</v>
      </c>
      <c r="AG123" s="78">
        <v>0</v>
      </c>
      <c r="AH123" s="78">
        <v>112</v>
      </c>
      <c r="AI123" s="78">
        <v>15</v>
      </c>
      <c r="AJ123" s="78">
        <v>112</v>
      </c>
      <c r="AK123" s="78">
        <v>15</v>
      </c>
      <c r="AL123" s="78">
        <v>127</v>
      </c>
      <c r="AM123" s="78">
        <v>12682</v>
      </c>
      <c r="AN123" s="78">
        <v>12682</v>
      </c>
      <c r="AO123" s="78">
        <v>0</v>
      </c>
      <c r="AP123" s="78">
        <v>0</v>
      </c>
      <c r="AQ123" s="78">
        <v>0</v>
      </c>
      <c r="AR123" s="78">
        <v>0</v>
      </c>
      <c r="AS123" s="78">
        <v>2959</v>
      </c>
      <c r="AT123" s="78">
        <v>0</v>
      </c>
      <c r="AU123" s="400">
        <v>5.3931300000000003E-4</v>
      </c>
      <c r="AV123" s="400">
        <v>3.8862899999999998E-4</v>
      </c>
      <c r="AW123" s="78">
        <v>20595.567999999999</v>
      </c>
      <c r="AX123" s="78">
        <v>0</v>
      </c>
      <c r="AY123" s="78">
        <v>624</v>
      </c>
      <c r="AZ123" s="78">
        <v>4702.4004847016104</v>
      </c>
      <c r="BA123" s="78">
        <v>5</v>
      </c>
      <c r="BB123" s="78">
        <v>5</v>
      </c>
      <c r="BC123" s="78">
        <v>4035</v>
      </c>
      <c r="BD123" s="78">
        <v>1</v>
      </c>
      <c r="BE123" s="78">
        <v>0</v>
      </c>
      <c r="BF123" s="78">
        <v>0</v>
      </c>
      <c r="BG123" s="78">
        <v>0</v>
      </c>
      <c r="BH123" s="78">
        <v>0</v>
      </c>
      <c r="BI123" s="78">
        <v>0</v>
      </c>
      <c r="BJ123" s="78">
        <v>0</v>
      </c>
      <c r="BK123" s="78">
        <v>0</v>
      </c>
      <c r="BL123" s="78">
        <v>0</v>
      </c>
      <c r="BM123" s="78">
        <v>445.46600000000001</v>
      </c>
      <c r="BN123" s="78">
        <v>40</v>
      </c>
      <c r="BO123" s="78">
        <v>46</v>
      </c>
      <c r="BP123" s="78">
        <v>8815.61</v>
      </c>
      <c r="BQ123" s="78">
        <v>2187.36</v>
      </c>
      <c r="BR123" s="78">
        <v>186.28324403927101</v>
      </c>
      <c r="BS123" s="78">
        <v>278</v>
      </c>
      <c r="BT123" s="78">
        <v>83.6666666666667</v>
      </c>
      <c r="BU123" s="78">
        <v>69.3333333333333</v>
      </c>
      <c r="BV123" s="78">
        <v>1500.000000000003</v>
      </c>
      <c r="BW123" s="78">
        <v>763</v>
      </c>
      <c r="BX123" s="78">
        <v>3833.9061374636999</v>
      </c>
      <c r="BY123" s="402">
        <v>0.59199999999999997</v>
      </c>
      <c r="BZ123" s="78">
        <v>18704</v>
      </c>
      <c r="CA123" s="78">
        <v>3177</v>
      </c>
      <c r="CB123" s="78">
        <v>838</v>
      </c>
      <c r="CC123" s="78">
        <v>828</v>
      </c>
      <c r="CD123" s="78">
        <v>780</v>
      </c>
      <c r="CE123" s="78">
        <v>409</v>
      </c>
      <c r="CF123" s="78">
        <v>305.64352625768799</v>
      </c>
      <c r="CG123" s="78">
        <v>234.603753351206</v>
      </c>
      <c r="CH123" s="78">
        <v>90.956000630815296</v>
      </c>
      <c r="CI123" s="78">
        <v>621.92589999999996</v>
      </c>
      <c r="CJ123" s="78">
        <v>477.37360000000001</v>
      </c>
      <c r="CK123" s="78">
        <v>185.078</v>
      </c>
      <c r="CL123" s="78">
        <v>339604</v>
      </c>
    </row>
    <row r="124" spans="1:90" x14ac:dyDescent="0.35">
      <c r="A124" s="72">
        <v>312</v>
      </c>
      <c r="B124" s="72" t="s">
        <v>65</v>
      </c>
      <c r="C124" s="72">
        <v>6</v>
      </c>
      <c r="D124" s="78">
        <v>2246400000</v>
      </c>
      <c r="E124" s="78">
        <v>217700000</v>
      </c>
      <c r="F124" s="78">
        <v>232400000</v>
      </c>
      <c r="G124" s="78">
        <v>15590</v>
      </c>
      <c r="H124" s="78">
        <v>3</v>
      </c>
      <c r="I124" s="78">
        <v>232.4</v>
      </c>
      <c r="J124" s="78">
        <v>3418</v>
      </c>
      <c r="K124" s="78">
        <v>3487</v>
      </c>
      <c r="L124" s="78">
        <v>1226</v>
      </c>
      <c r="M124" s="78">
        <v>1267</v>
      </c>
      <c r="N124" s="78">
        <v>604.09999999999991</v>
      </c>
      <c r="O124" s="78">
        <v>115</v>
      </c>
      <c r="P124" s="78">
        <v>12</v>
      </c>
      <c r="Q124" s="78">
        <v>606</v>
      </c>
      <c r="R124" s="78">
        <v>2059</v>
      </c>
      <c r="S124" s="78">
        <v>420</v>
      </c>
      <c r="T124" s="78">
        <v>0</v>
      </c>
      <c r="U124" s="78">
        <v>365</v>
      </c>
      <c r="V124" s="78">
        <v>6760</v>
      </c>
      <c r="W124" s="78">
        <v>8670</v>
      </c>
      <c r="X124" s="78">
        <v>640</v>
      </c>
      <c r="Y124" s="78">
        <v>48.44</v>
      </c>
      <c r="Z124" s="78">
        <v>0</v>
      </c>
      <c r="AA124" s="78">
        <v>0</v>
      </c>
      <c r="AB124" s="399">
        <v>0</v>
      </c>
      <c r="AC124" s="399">
        <v>0</v>
      </c>
      <c r="AD124" s="78">
        <v>3689</v>
      </c>
      <c r="AE124" s="78">
        <v>3762.78</v>
      </c>
      <c r="AF124" s="78">
        <v>68</v>
      </c>
      <c r="AG124" s="78">
        <v>0</v>
      </c>
      <c r="AH124" s="78">
        <v>83</v>
      </c>
      <c r="AI124" s="78">
        <v>31</v>
      </c>
      <c r="AJ124" s="78">
        <v>83</v>
      </c>
      <c r="AK124" s="78">
        <v>31.93</v>
      </c>
      <c r="AL124" s="78">
        <v>114</v>
      </c>
      <c r="AM124" s="78">
        <v>6629</v>
      </c>
      <c r="AN124" s="78">
        <v>6629</v>
      </c>
      <c r="AO124" s="78">
        <v>0</v>
      </c>
      <c r="AP124" s="78">
        <v>0</v>
      </c>
      <c r="AQ124" s="78">
        <v>0</v>
      </c>
      <c r="AR124" s="78">
        <v>0</v>
      </c>
      <c r="AS124" s="78">
        <v>0</v>
      </c>
      <c r="AT124" s="78">
        <v>0</v>
      </c>
      <c r="AU124" s="400">
        <v>4.5543000000000001E-5</v>
      </c>
      <c r="AV124" s="400">
        <v>4.6032999999999998E-5</v>
      </c>
      <c r="AW124" s="78">
        <v>4487.8329999999996</v>
      </c>
      <c r="AX124" s="78">
        <v>0</v>
      </c>
      <c r="AY124" s="78">
        <v>934.32</v>
      </c>
      <c r="AZ124" s="78">
        <v>3995.5547511312202</v>
      </c>
      <c r="BA124" s="78">
        <v>3</v>
      </c>
      <c r="BB124" s="78">
        <v>3.09</v>
      </c>
      <c r="BC124" s="78">
        <v>2300</v>
      </c>
      <c r="BD124" s="78">
        <v>1</v>
      </c>
      <c r="BE124" s="78">
        <v>0</v>
      </c>
      <c r="BF124" s="78">
        <v>0</v>
      </c>
      <c r="BG124" s="78">
        <v>0</v>
      </c>
      <c r="BH124" s="78">
        <v>0</v>
      </c>
      <c r="BI124" s="78">
        <v>0</v>
      </c>
      <c r="BJ124" s="78">
        <v>0</v>
      </c>
      <c r="BK124" s="78">
        <v>0</v>
      </c>
      <c r="BL124" s="78">
        <v>0</v>
      </c>
      <c r="BM124" s="78">
        <v>160.64599999999999</v>
      </c>
      <c r="BN124" s="78">
        <v>14</v>
      </c>
      <c r="BO124" s="78">
        <v>10</v>
      </c>
      <c r="BP124" s="78">
        <v>5829.12</v>
      </c>
      <c r="BQ124" s="78">
        <v>1554.02</v>
      </c>
      <c r="BR124" s="78">
        <v>141.672612244898</v>
      </c>
      <c r="BS124" s="78">
        <v>149</v>
      </c>
      <c r="BT124" s="78">
        <v>31.6666666666667</v>
      </c>
      <c r="BU124" s="78">
        <v>19</v>
      </c>
      <c r="BV124" s="78">
        <v>491</v>
      </c>
      <c r="BW124" s="78">
        <v>120</v>
      </c>
      <c r="BX124" s="78">
        <v>2348.59117397823</v>
      </c>
      <c r="BY124" s="402">
        <v>7.2999999999999995E-2</v>
      </c>
      <c r="BZ124" s="78">
        <v>12103</v>
      </c>
      <c r="CA124" s="78">
        <v>1766</v>
      </c>
      <c r="CB124" s="78">
        <v>495</v>
      </c>
      <c r="CC124" s="78">
        <v>325</v>
      </c>
      <c r="CD124" s="78">
        <v>391</v>
      </c>
      <c r="CE124" s="78">
        <v>253</v>
      </c>
      <c r="CF124" s="78">
        <v>99.513833157338993</v>
      </c>
      <c r="CG124" s="78">
        <v>76.457972544878601</v>
      </c>
      <c r="CH124" s="78">
        <v>33.626927138331602</v>
      </c>
      <c r="CI124" s="78">
        <v>296.25959999999998</v>
      </c>
      <c r="CJ124" s="78">
        <v>227.6207</v>
      </c>
      <c r="CK124" s="78">
        <v>100.1097</v>
      </c>
      <c r="CL124" s="78">
        <v>0</v>
      </c>
    </row>
    <row r="125" spans="1:90" x14ac:dyDescent="0.35">
      <c r="A125" s="72">
        <v>313</v>
      </c>
      <c r="B125" s="72" t="s">
        <v>66</v>
      </c>
      <c r="C125" s="72">
        <v>6</v>
      </c>
      <c r="D125" s="78">
        <v>2573200000</v>
      </c>
      <c r="E125" s="78">
        <v>395500000</v>
      </c>
      <c r="F125" s="78">
        <v>414400000</v>
      </c>
      <c r="G125" s="78">
        <v>22325</v>
      </c>
      <c r="H125" s="78">
        <v>1</v>
      </c>
      <c r="I125" s="78">
        <v>414.4</v>
      </c>
      <c r="J125" s="78">
        <v>5104</v>
      </c>
      <c r="K125" s="78">
        <v>3725</v>
      </c>
      <c r="L125" s="78">
        <v>1321</v>
      </c>
      <c r="M125" s="78">
        <v>2112</v>
      </c>
      <c r="N125" s="78">
        <v>1225.8</v>
      </c>
      <c r="O125" s="78">
        <v>163.333333333333</v>
      </c>
      <c r="P125" s="78">
        <v>21</v>
      </c>
      <c r="Q125" s="78">
        <v>993.33333333333303</v>
      </c>
      <c r="R125" s="78">
        <v>2269</v>
      </c>
      <c r="S125" s="78">
        <v>695</v>
      </c>
      <c r="T125" s="78">
        <v>0</v>
      </c>
      <c r="U125" s="78">
        <v>445</v>
      </c>
      <c r="V125" s="78">
        <v>8930</v>
      </c>
      <c r="W125" s="78">
        <v>19500</v>
      </c>
      <c r="X125" s="78">
        <v>6660</v>
      </c>
      <c r="Y125" s="78">
        <v>0</v>
      </c>
      <c r="Z125" s="78">
        <v>359.2</v>
      </c>
      <c r="AA125" s="78">
        <v>0</v>
      </c>
      <c r="AB125" s="399">
        <v>0</v>
      </c>
      <c r="AC125" s="399">
        <v>115.69999999999999</v>
      </c>
      <c r="AD125" s="78">
        <v>3039</v>
      </c>
      <c r="AE125" s="78">
        <v>3039</v>
      </c>
      <c r="AF125" s="78">
        <v>442</v>
      </c>
      <c r="AG125" s="78">
        <v>0</v>
      </c>
      <c r="AH125" s="78">
        <v>128</v>
      </c>
      <c r="AI125" s="78">
        <v>22</v>
      </c>
      <c r="AJ125" s="78">
        <v>128</v>
      </c>
      <c r="AK125" s="78">
        <v>22</v>
      </c>
      <c r="AL125" s="78">
        <v>150</v>
      </c>
      <c r="AM125" s="78">
        <v>8862</v>
      </c>
      <c r="AN125" s="78">
        <v>8862</v>
      </c>
      <c r="AO125" s="78">
        <v>0</v>
      </c>
      <c r="AP125" s="78">
        <v>0</v>
      </c>
      <c r="AQ125" s="78">
        <v>0</v>
      </c>
      <c r="AR125" s="78">
        <v>0</v>
      </c>
      <c r="AS125" s="78">
        <v>717</v>
      </c>
      <c r="AT125" s="78">
        <v>0</v>
      </c>
      <c r="AU125" s="400">
        <v>7.5710000000000005E-5</v>
      </c>
      <c r="AV125" s="400">
        <v>4.4685999999999999E-5</v>
      </c>
      <c r="AW125" s="78">
        <v>10652.124</v>
      </c>
      <c r="AX125" s="78">
        <v>0</v>
      </c>
      <c r="AY125" s="78">
        <v>1016</v>
      </c>
      <c r="AZ125" s="78">
        <v>6516.0011490950901</v>
      </c>
      <c r="BA125" s="78">
        <v>2</v>
      </c>
      <c r="BB125" s="78">
        <v>2</v>
      </c>
      <c r="BC125" s="78">
        <v>2870</v>
      </c>
      <c r="BD125" s="78">
        <v>1</v>
      </c>
      <c r="BE125" s="78">
        <v>0</v>
      </c>
      <c r="BF125" s="78">
        <v>0</v>
      </c>
      <c r="BG125" s="78">
        <v>0</v>
      </c>
      <c r="BH125" s="78">
        <v>0</v>
      </c>
      <c r="BI125" s="78">
        <v>0</v>
      </c>
      <c r="BJ125" s="78">
        <v>0</v>
      </c>
      <c r="BK125" s="78">
        <v>0</v>
      </c>
      <c r="BL125" s="78">
        <v>0</v>
      </c>
      <c r="BM125" s="78">
        <v>285.82400000000001</v>
      </c>
      <c r="BN125" s="78">
        <v>160</v>
      </c>
      <c r="BO125" s="78">
        <v>58</v>
      </c>
      <c r="BP125" s="78">
        <v>6122.33</v>
      </c>
      <c r="BQ125" s="78">
        <v>1840.92</v>
      </c>
      <c r="BR125" s="78">
        <v>227.14512751677799</v>
      </c>
      <c r="BS125" s="78">
        <v>195</v>
      </c>
      <c r="BT125" s="78">
        <v>51</v>
      </c>
      <c r="BU125" s="78">
        <v>35</v>
      </c>
      <c r="BV125" s="78">
        <v>830</v>
      </c>
      <c r="BW125" s="78">
        <v>221</v>
      </c>
      <c r="BX125" s="78">
        <v>2385.4159589445499</v>
      </c>
      <c r="BY125" s="402">
        <v>0.113</v>
      </c>
      <c r="BZ125" s="78">
        <v>18600</v>
      </c>
      <c r="CA125" s="78">
        <v>2074</v>
      </c>
      <c r="CB125" s="78">
        <v>330</v>
      </c>
      <c r="CC125" s="78">
        <v>338</v>
      </c>
      <c r="CD125" s="78">
        <v>427</v>
      </c>
      <c r="CE125" s="78">
        <v>152</v>
      </c>
      <c r="CF125" s="78">
        <v>173.731076506432</v>
      </c>
      <c r="CG125" s="78">
        <v>124.62714962762399</v>
      </c>
      <c r="CH125" s="78">
        <v>29.462356127284998</v>
      </c>
      <c r="CI125" s="78">
        <v>530.40880000000004</v>
      </c>
      <c r="CJ125" s="78">
        <v>380.4923</v>
      </c>
      <c r="CK125" s="78">
        <v>89.9499</v>
      </c>
      <c r="CL125" s="78">
        <v>0</v>
      </c>
    </row>
    <row r="126" spans="1:90" x14ac:dyDescent="0.35">
      <c r="A126" s="72">
        <v>310</v>
      </c>
      <c r="B126" s="72" t="s">
        <v>76</v>
      </c>
      <c r="C126" s="72">
        <v>6</v>
      </c>
      <c r="D126" s="78">
        <v>7316000000</v>
      </c>
      <c r="E126" s="78">
        <v>494900000</v>
      </c>
      <c r="F126" s="78">
        <v>534800000</v>
      </c>
      <c r="G126" s="78">
        <v>43508</v>
      </c>
      <c r="H126" s="78">
        <v>4</v>
      </c>
      <c r="I126" s="78">
        <v>534.79999999999995</v>
      </c>
      <c r="J126" s="78">
        <v>9175</v>
      </c>
      <c r="K126" s="78">
        <v>10537</v>
      </c>
      <c r="L126" s="78">
        <v>3556</v>
      </c>
      <c r="M126" s="78">
        <v>5000</v>
      </c>
      <c r="N126" s="78">
        <v>2951.1</v>
      </c>
      <c r="O126" s="78">
        <v>544.33333333333303</v>
      </c>
      <c r="P126" s="78">
        <v>34</v>
      </c>
      <c r="Q126" s="78">
        <v>2235.3333333333298</v>
      </c>
      <c r="R126" s="78">
        <v>7163</v>
      </c>
      <c r="S126" s="78">
        <v>2325</v>
      </c>
      <c r="T126" s="78">
        <v>0</v>
      </c>
      <c r="U126" s="78">
        <v>1343</v>
      </c>
      <c r="V126" s="78">
        <v>20086</v>
      </c>
      <c r="W126" s="78">
        <v>35300</v>
      </c>
      <c r="X126" s="78">
        <v>12260</v>
      </c>
      <c r="Y126" s="78">
        <v>1193.7</v>
      </c>
      <c r="Z126" s="78">
        <v>2042.4</v>
      </c>
      <c r="AA126" s="78">
        <v>0</v>
      </c>
      <c r="AB126" s="399">
        <v>0</v>
      </c>
      <c r="AC126" s="399">
        <v>103.29999999999973</v>
      </c>
      <c r="AD126" s="78">
        <v>6611</v>
      </c>
      <c r="AE126" s="78">
        <v>6611</v>
      </c>
      <c r="AF126" s="78">
        <v>102</v>
      </c>
      <c r="AG126" s="78">
        <v>0</v>
      </c>
      <c r="AH126" s="78">
        <v>207</v>
      </c>
      <c r="AI126" s="78">
        <v>37</v>
      </c>
      <c r="AJ126" s="78">
        <v>207</v>
      </c>
      <c r="AK126" s="78">
        <v>37</v>
      </c>
      <c r="AL126" s="78">
        <v>244</v>
      </c>
      <c r="AM126" s="78">
        <v>20489</v>
      </c>
      <c r="AN126" s="78">
        <v>20489</v>
      </c>
      <c r="AO126" s="78">
        <v>0</v>
      </c>
      <c r="AP126" s="78">
        <v>0</v>
      </c>
      <c r="AQ126" s="78">
        <v>0</v>
      </c>
      <c r="AR126" s="78">
        <v>0</v>
      </c>
      <c r="AS126" s="78">
        <v>2889</v>
      </c>
      <c r="AT126" s="78">
        <v>0</v>
      </c>
      <c r="AU126" s="400">
        <v>5.8828799999999996E-4</v>
      </c>
      <c r="AV126" s="400">
        <v>8.0894400000000003E-4</v>
      </c>
      <c r="AW126" s="78">
        <v>26164.453000000001</v>
      </c>
      <c r="AX126" s="78">
        <v>0</v>
      </c>
      <c r="AY126" s="78">
        <v>2003</v>
      </c>
      <c r="AZ126" s="78">
        <v>12981.7553999702</v>
      </c>
      <c r="BA126" s="78">
        <v>10</v>
      </c>
      <c r="BB126" s="78">
        <v>10</v>
      </c>
      <c r="BC126" s="78">
        <v>6725</v>
      </c>
      <c r="BD126" s="78">
        <v>1</v>
      </c>
      <c r="BE126" s="78">
        <v>0</v>
      </c>
      <c r="BF126" s="78">
        <v>0</v>
      </c>
      <c r="BG126" s="78">
        <v>0</v>
      </c>
      <c r="BH126" s="78">
        <v>0</v>
      </c>
      <c r="BI126" s="78">
        <v>0</v>
      </c>
      <c r="BJ126" s="78">
        <v>0</v>
      </c>
      <c r="BK126" s="78">
        <v>0</v>
      </c>
      <c r="BL126" s="78">
        <v>0</v>
      </c>
      <c r="BM126" s="78">
        <v>853.27499999999998</v>
      </c>
      <c r="BN126" s="78">
        <v>105</v>
      </c>
      <c r="BO126" s="78">
        <v>60</v>
      </c>
      <c r="BP126" s="78">
        <v>17625.79</v>
      </c>
      <c r="BQ126" s="78">
        <v>4635.1400000000003</v>
      </c>
      <c r="BR126" s="78">
        <v>414.32245547073802</v>
      </c>
      <c r="BS126" s="78">
        <v>491</v>
      </c>
      <c r="BT126" s="78">
        <v>169.666666666667</v>
      </c>
      <c r="BU126" s="78">
        <v>132.333333333333</v>
      </c>
      <c r="BV126" s="78">
        <v>1690.9999999999968</v>
      </c>
      <c r="BW126" s="78">
        <v>413</v>
      </c>
      <c r="BX126" s="78">
        <v>6098.3004646874397</v>
      </c>
      <c r="BY126" s="402">
        <v>0.871</v>
      </c>
      <c r="BZ126" s="78">
        <v>32971</v>
      </c>
      <c r="CA126" s="78">
        <v>5239</v>
      </c>
      <c r="CB126" s="78">
        <v>1742</v>
      </c>
      <c r="CC126" s="78">
        <v>1344</v>
      </c>
      <c r="CD126" s="78">
        <v>1304</v>
      </c>
      <c r="CE126" s="78">
        <v>867</v>
      </c>
      <c r="CF126" s="78">
        <v>486.11267021328501</v>
      </c>
      <c r="CG126" s="78">
        <v>358.06699204451201</v>
      </c>
      <c r="CH126" s="78">
        <v>171.83182683391101</v>
      </c>
      <c r="CI126" s="78">
        <v>828.5625</v>
      </c>
      <c r="CJ126" s="78">
        <v>610.31299999999999</v>
      </c>
      <c r="CK126" s="78">
        <v>292.88150000000002</v>
      </c>
      <c r="CL126" s="78">
        <v>36534</v>
      </c>
    </row>
    <row r="127" spans="1:90" x14ac:dyDescent="0.35">
      <c r="A127" s="72">
        <v>736</v>
      </c>
      <c r="B127" s="72" t="s">
        <v>78</v>
      </c>
      <c r="C127" s="72">
        <v>6</v>
      </c>
      <c r="D127" s="78">
        <v>6809600000</v>
      </c>
      <c r="E127" s="78">
        <v>658700000</v>
      </c>
      <c r="F127" s="78">
        <v>715400000</v>
      </c>
      <c r="G127" s="78">
        <v>44955</v>
      </c>
      <c r="H127" s="78">
        <v>5</v>
      </c>
      <c r="I127" s="78">
        <v>715.4</v>
      </c>
      <c r="J127" s="78">
        <v>8600</v>
      </c>
      <c r="K127" s="78">
        <v>9765</v>
      </c>
      <c r="L127" s="78">
        <v>3368</v>
      </c>
      <c r="M127" s="78">
        <v>4579</v>
      </c>
      <c r="N127" s="78">
        <v>2603.3000000000002</v>
      </c>
      <c r="O127" s="78">
        <v>407.33333333333297</v>
      </c>
      <c r="P127" s="78">
        <v>37</v>
      </c>
      <c r="Q127" s="78">
        <v>1885.3333333333301</v>
      </c>
      <c r="R127" s="78">
        <v>6064</v>
      </c>
      <c r="S127" s="78">
        <v>2125</v>
      </c>
      <c r="T127" s="78">
        <v>0</v>
      </c>
      <c r="U127" s="78">
        <v>1433</v>
      </c>
      <c r="V127" s="78">
        <v>19724</v>
      </c>
      <c r="W127" s="78">
        <v>33150</v>
      </c>
      <c r="X127" s="78">
        <v>5270</v>
      </c>
      <c r="Y127" s="78">
        <v>0</v>
      </c>
      <c r="Z127" s="78">
        <v>1134.4000000000001</v>
      </c>
      <c r="AA127" s="78">
        <v>0</v>
      </c>
      <c r="AB127" s="399">
        <v>0</v>
      </c>
      <c r="AC127" s="399">
        <v>0</v>
      </c>
      <c r="AD127" s="78">
        <v>9962</v>
      </c>
      <c r="AE127" s="78">
        <v>13149.84</v>
      </c>
      <c r="AF127" s="78">
        <v>1735</v>
      </c>
      <c r="AG127" s="78">
        <v>0</v>
      </c>
      <c r="AH127" s="78">
        <v>240</v>
      </c>
      <c r="AI127" s="78">
        <v>70</v>
      </c>
      <c r="AJ127" s="78">
        <v>312</v>
      </c>
      <c r="AK127" s="78">
        <v>93.1</v>
      </c>
      <c r="AL127" s="78">
        <v>310</v>
      </c>
      <c r="AM127" s="78">
        <v>19757</v>
      </c>
      <c r="AN127" s="78">
        <v>25684.1</v>
      </c>
      <c r="AO127" s="78">
        <v>0</v>
      </c>
      <c r="AP127" s="78">
        <v>0</v>
      </c>
      <c r="AQ127" s="78">
        <v>0</v>
      </c>
      <c r="AR127" s="78">
        <v>0</v>
      </c>
      <c r="AS127" s="78">
        <v>0</v>
      </c>
      <c r="AT127" s="78">
        <v>0</v>
      </c>
      <c r="AU127" s="400">
        <v>2.2641600000000001E-4</v>
      </c>
      <c r="AV127" s="400">
        <v>1.6967999999999999E-4</v>
      </c>
      <c r="AW127" s="78">
        <v>17504.702000000001</v>
      </c>
      <c r="AX127" s="78">
        <v>0</v>
      </c>
      <c r="AY127" s="78">
        <v>17150.759999999998</v>
      </c>
      <c r="AZ127" s="78">
        <v>171710.80518081601</v>
      </c>
      <c r="BA127" s="78">
        <v>22</v>
      </c>
      <c r="BB127" s="78">
        <v>29.26</v>
      </c>
      <c r="BC127" s="78">
        <v>7245</v>
      </c>
      <c r="BD127" s="78">
        <v>1</v>
      </c>
      <c r="BE127" s="78">
        <v>0</v>
      </c>
      <c r="BF127" s="78">
        <v>0</v>
      </c>
      <c r="BG127" s="78">
        <v>0</v>
      </c>
      <c r="BH127" s="78">
        <v>0</v>
      </c>
      <c r="BI127" s="78">
        <v>0</v>
      </c>
      <c r="BJ127" s="78">
        <v>0</v>
      </c>
      <c r="BK127" s="78">
        <v>0</v>
      </c>
      <c r="BL127" s="78">
        <v>0</v>
      </c>
      <c r="BM127" s="78">
        <v>696.6</v>
      </c>
      <c r="BN127" s="78">
        <v>88</v>
      </c>
      <c r="BO127" s="78">
        <v>101</v>
      </c>
      <c r="BP127" s="78">
        <v>17316.73</v>
      </c>
      <c r="BQ127" s="78">
        <v>4232.55</v>
      </c>
      <c r="BR127" s="78">
        <v>210.47069036792101</v>
      </c>
      <c r="BS127" s="78">
        <v>577</v>
      </c>
      <c r="BT127" s="78">
        <v>140.333333333333</v>
      </c>
      <c r="BU127" s="78">
        <v>118</v>
      </c>
      <c r="BV127" s="78">
        <v>1477.999999999997</v>
      </c>
      <c r="BW127" s="78">
        <v>307</v>
      </c>
      <c r="BX127" s="78">
        <v>6442.2766771019697</v>
      </c>
      <c r="BY127" s="402">
        <v>0.223</v>
      </c>
      <c r="BZ127" s="78">
        <v>35190</v>
      </c>
      <c r="CA127" s="78">
        <v>5378</v>
      </c>
      <c r="CB127" s="78">
        <v>1019</v>
      </c>
      <c r="CC127" s="78">
        <v>1103</v>
      </c>
      <c r="CD127" s="78">
        <v>1065</v>
      </c>
      <c r="CE127" s="78">
        <v>548</v>
      </c>
      <c r="CF127" s="78">
        <v>442.99714531558402</v>
      </c>
      <c r="CG127" s="78">
        <v>308.72763577466202</v>
      </c>
      <c r="CH127" s="78">
        <v>105.808062965025</v>
      </c>
      <c r="CI127" s="78">
        <v>939.00660000000005</v>
      </c>
      <c r="CJ127" s="78">
        <v>654.3999</v>
      </c>
      <c r="CK127" s="78">
        <v>224.27789999999999</v>
      </c>
      <c r="CL127" s="78">
        <v>25269</v>
      </c>
    </row>
    <row r="128" spans="1:90" x14ac:dyDescent="0.35">
      <c r="A128" s="72">
        <v>317</v>
      </c>
      <c r="B128" s="72" t="s">
        <v>99</v>
      </c>
      <c r="C128" s="72">
        <v>6</v>
      </c>
      <c r="D128" s="78">
        <v>1428400000</v>
      </c>
      <c r="E128" s="78">
        <v>136150000</v>
      </c>
      <c r="F128" s="78">
        <v>144550000</v>
      </c>
      <c r="G128" s="78">
        <v>9450</v>
      </c>
      <c r="H128" s="78">
        <v>1</v>
      </c>
      <c r="I128" s="78">
        <v>144.55000000000001</v>
      </c>
      <c r="J128" s="78">
        <v>1886</v>
      </c>
      <c r="K128" s="78">
        <v>2023</v>
      </c>
      <c r="L128" s="78">
        <v>674</v>
      </c>
      <c r="M128" s="78">
        <v>888</v>
      </c>
      <c r="N128" s="78">
        <v>476.79999999999995</v>
      </c>
      <c r="O128" s="78">
        <v>80.6666666666667</v>
      </c>
      <c r="P128" s="78">
        <v>7</v>
      </c>
      <c r="Q128" s="78">
        <v>425.66666666666703</v>
      </c>
      <c r="R128" s="78">
        <v>1247</v>
      </c>
      <c r="S128" s="78">
        <v>265</v>
      </c>
      <c r="T128" s="78">
        <v>0</v>
      </c>
      <c r="U128" s="78">
        <v>322</v>
      </c>
      <c r="V128" s="78">
        <v>4131</v>
      </c>
      <c r="W128" s="78">
        <v>6890</v>
      </c>
      <c r="X128" s="78">
        <v>840</v>
      </c>
      <c r="Y128" s="78">
        <v>0</v>
      </c>
      <c r="Z128" s="78">
        <v>0</v>
      </c>
      <c r="AA128" s="78">
        <v>0</v>
      </c>
      <c r="AB128" s="399">
        <v>0</v>
      </c>
      <c r="AC128" s="399">
        <v>0</v>
      </c>
      <c r="AD128" s="78">
        <v>3105</v>
      </c>
      <c r="AE128" s="78">
        <v>3105</v>
      </c>
      <c r="AF128" s="78">
        <v>266</v>
      </c>
      <c r="AG128" s="78">
        <v>0</v>
      </c>
      <c r="AH128" s="78">
        <v>47</v>
      </c>
      <c r="AI128" s="78">
        <v>12</v>
      </c>
      <c r="AJ128" s="78">
        <v>47</v>
      </c>
      <c r="AK128" s="78">
        <v>12</v>
      </c>
      <c r="AL128" s="78">
        <v>59</v>
      </c>
      <c r="AM128" s="78">
        <v>4112</v>
      </c>
      <c r="AN128" s="78">
        <v>4112</v>
      </c>
      <c r="AO128" s="78">
        <v>0</v>
      </c>
      <c r="AP128" s="78">
        <v>0</v>
      </c>
      <c r="AQ128" s="78">
        <v>0</v>
      </c>
      <c r="AR128" s="78">
        <v>0</v>
      </c>
      <c r="AS128" s="78">
        <v>0</v>
      </c>
      <c r="AT128" s="78">
        <v>0</v>
      </c>
      <c r="AU128" s="400">
        <v>3.4081000000000001E-5</v>
      </c>
      <c r="AV128" s="400">
        <v>1.5818999999999999E-5</v>
      </c>
      <c r="AW128" s="78">
        <v>3947.52</v>
      </c>
      <c r="AX128" s="78">
        <v>0</v>
      </c>
      <c r="AY128" s="78">
        <v>795</v>
      </c>
      <c r="AZ128" s="78">
        <v>2228.64135271433</v>
      </c>
      <c r="BA128" s="78">
        <v>3</v>
      </c>
      <c r="BB128" s="78">
        <v>3</v>
      </c>
      <c r="BC128" s="78">
        <v>1645</v>
      </c>
      <c r="BD128" s="78">
        <v>1</v>
      </c>
      <c r="BE128" s="78">
        <v>0</v>
      </c>
      <c r="BF128" s="78">
        <v>0</v>
      </c>
      <c r="BG128" s="78">
        <v>0</v>
      </c>
      <c r="BH128" s="78">
        <v>0</v>
      </c>
      <c r="BI128" s="78">
        <v>0</v>
      </c>
      <c r="BJ128" s="78">
        <v>0</v>
      </c>
      <c r="BK128" s="78">
        <v>0</v>
      </c>
      <c r="BL128" s="78">
        <v>0</v>
      </c>
      <c r="BM128" s="78">
        <v>156.53800000000001</v>
      </c>
      <c r="BN128" s="78">
        <v>23</v>
      </c>
      <c r="BO128" s="78">
        <v>14</v>
      </c>
      <c r="BP128" s="78">
        <v>3316.9</v>
      </c>
      <c r="BQ128" s="78">
        <v>795</v>
      </c>
      <c r="BR128" s="78">
        <v>75.913019987105102</v>
      </c>
      <c r="BS128" s="78">
        <v>133</v>
      </c>
      <c r="BT128" s="78">
        <v>23</v>
      </c>
      <c r="BU128" s="78">
        <v>17</v>
      </c>
      <c r="BV128" s="78">
        <v>345.00000000000034</v>
      </c>
      <c r="BW128" s="78">
        <v>101</v>
      </c>
      <c r="BX128" s="78">
        <v>1342.05746635334</v>
      </c>
      <c r="BY128" s="402">
        <v>4.7E-2</v>
      </c>
      <c r="BZ128" s="78">
        <v>7427</v>
      </c>
      <c r="CA128" s="78">
        <v>1145</v>
      </c>
      <c r="CB128" s="78">
        <v>204</v>
      </c>
      <c r="CC128" s="78">
        <v>257</v>
      </c>
      <c r="CD128" s="78">
        <v>242</v>
      </c>
      <c r="CE128" s="78">
        <v>106</v>
      </c>
      <c r="CF128" s="78">
        <v>84.066147859922197</v>
      </c>
      <c r="CG128" s="78">
        <v>56.817120622568098</v>
      </c>
      <c r="CH128" s="78">
        <v>18.204669260700399</v>
      </c>
      <c r="CI128" s="78">
        <v>235.69749999999999</v>
      </c>
      <c r="CJ128" s="78">
        <v>159.29900000000001</v>
      </c>
      <c r="CK128" s="78">
        <v>51.040700000000001</v>
      </c>
      <c r="CL128" s="78">
        <v>3285</v>
      </c>
    </row>
    <row r="129" spans="1:90" x14ac:dyDescent="0.35">
      <c r="A129" s="72">
        <v>321</v>
      </c>
      <c r="B129" s="72" t="s">
        <v>159</v>
      </c>
      <c r="C129" s="72">
        <v>6</v>
      </c>
      <c r="D129" s="78">
        <v>6870400000</v>
      </c>
      <c r="E129" s="78">
        <v>689850000</v>
      </c>
      <c r="F129" s="78">
        <v>711200000</v>
      </c>
      <c r="G129" s="78">
        <v>50323</v>
      </c>
      <c r="H129" s="78">
        <v>2</v>
      </c>
      <c r="I129" s="78">
        <v>711.2</v>
      </c>
      <c r="J129" s="78">
        <v>11395</v>
      </c>
      <c r="K129" s="78">
        <v>8487</v>
      </c>
      <c r="L129" s="78">
        <v>2239</v>
      </c>
      <c r="M129" s="78">
        <v>4170</v>
      </c>
      <c r="N129" s="78">
        <v>2068.1</v>
      </c>
      <c r="O129" s="78">
        <v>494.33333333333297</v>
      </c>
      <c r="P129" s="78">
        <v>30</v>
      </c>
      <c r="Q129" s="78">
        <v>2505.3333333333298</v>
      </c>
      <c r="R129" s="78">
        <v>5882</v>
      </c>
      <c r="S129" s="78">
        <v>2200</v>
      </c>
      <c r="T129" s="78">
        <v>0</v>
      </c>
      <c r="U129" s="78">
        <v>1501</v>
      </c>
      <c r="V129" s="78">
        <v>21065</v>
      </c>
      <c r="W129" s="78">
        <v>49670</v>
      </c>
      <c r="X129" s="78">
        <v>30510</v>
      </c>
      <c r="Y129" s="78">
        <v>1187.02</v>
      </c>
      <c r="Z129" s="78">
        <v>1644</v>
      </c>
      <c r="AA129" s="78">
        <v>0</v>
      </c>
      <c r="AB129" s="399">
        <v>0</v>
      </c>
      <c r="AC129" s="399">
        <v>5.6999999999998181</v>
      </c>
      <c r="AD129" s="78">
        <v>5489</v>
      </c>
      <c r="AE129" s="78">
        <v>6477.02</v>
      </c>
      <c r="AF129" s="78">
        <v>410</v>
      </c>
      <c r="AG129" s="78">
        <v>0</v>
      </c>
      <c r="AH129" s="78">
        <v>218</v>
      </c>
      <c r="AI129" s="78">
        <v>44</v>
      </c>
      <c r="AJ129" s="78">
        <v>250.7</v>
      </c>
      <c r="AK129" s="78">
        <v>52.36</v>
      </c>
      <c r="AL129" s="78">
        <v>263</v>
      </c>
      <c r="AM129" s="78">
        <v>21019</v>
      </c>
      <c r="AN129" s="78">
        <v>24171.85</v>
      </c>
      <c r="AO129" s="78">
        <v>0</v>
      </c>
      <c r="AP129" s="78">
        <v>0</v>
      </c>
      <c r="AQ129" s="78">
        <v>0</v>
      </c>
      <c r="AR129" s="78">
        <v>0</v>
      </c>
      <c r="AS129" s="78">
        <v>0</v>
      </c>
      <c r="AT129" s="78">
        <v>0</v>
      </c>
      <c r="AU129" s="400">
        <v>7.4672999999999995E-5</v>
      </c>
      <c r="AV129" s="400">
        <v>2.9285000000000002E-5</v>
      </c>
      <c r="AW129" s="78">
        <v>32852.697</v>
      </c>
      <c r="AX129" s="78">
        <v>0</v>
      </c>
      <c r="AY129" s="78">
        <v>2870.94</v>
      </c>
      <c r="AZ129" s="78">
        <v>43476.376277335097</v>
      </c>
      <c r="BA129" s="78">
        <v>9</v>
      </c>
      <c r="BB129" s="78">
        <v>10.71</v>
      </c>
      <c r="BC129" s="78">
        <v>6520</v>
      </c>
      <c r="BD129" s="78">
        <v>1</v>
      </c>
      <c r="BE129" s="78">
        <v>0</v>
      </c>
      <c r="BF129" s="78">
        <v>0</v>
      </c>
      <c r="BG129" s="78">
        <v>0</v>
      </c>
      <c r="BH129" s="78">
        <v>0</v>
      </c>
      <c r="BI129" s="78">
        <v>0</v>
      </c>
      <c r="BJ129" s="78">
        <v>0</v>
      </c>
      <c r="BK129" s="78">
        <v>0</v>
      </c>
      <c r="BL129" s="78">
        <v>0</v>
      </c>
      <c r="BM129" s="78">
        <v>695.09500000000003</v>
      </c>
      <c r="BN129" s="78">
        <v>52</v>
      </c>
      <c r="BO129" s="78">
        <v>37</v>
      </c>
      <c r="BP129" s="78">
        <v>17566.099999999999</v>
      </c>
      <c r="BQ129" s="78">
        <v>5083.5600000000004</v>
      </c>
      <c r="BR129" s="78">
        <v>537.57635185617596</v>
      </c>
      <c r="BS129" s="78">
        <v>642</v>
      </c>
      <c r="BT129" s="78">
        <v>178</v>
      </c>
      <c r="BU129" s="78">
        <v>135</v>
      </c>
      <c r="BV129" s="78">
        <v>2010.9999999999968</v>
      </c>
      <c r="BW129" s="78">
        <v>512</v>
      </c>
      <c r="BX129" s="78">
        <v>6244.64913525676</v>
      </c>
      <c r="BY129" s="402">
        <v>0.25900000000000001</v>
      </c>
      <c r="BZ129" s="78">
        <v>41836</v>
      </c>
      <c r="CA129" s="78">
        <v>5497</v>
      </c>
      <c r="CB129" s="78">
        <v>751</v>
      </c>
      <c r="CC129" s="78">
        <v>1111</v>
      </c>
      <c r="CD129" s="78">
        <v>731</v>
      </c>
      <c r="CE129" s="78">
        <v>409</v>
      </c>
      <c r="CF129" s="78">
        <v>343.97819116037903</v>
      </c>
      <c r="CG129" s="78">
        <v>154.475331842619</v>
      </c>
      <c r="CH129" s="78">
        <v>54.6075217660212</v>
      </c>
      <c r="CI129" s="78">
        <v>1064.5319999999999</v>
      </c>
      <c r="CJ129" s="78">
        <v>478.065</v>
      </c>
      <c r="CK129" s="78">
        <v>168.9975</v>
      </c>
      <c r="CL129" s="78">
        <v>0</v>
      </c>
    </row>
    <row r="130" spans="1:90" x14ac:dyDescent="0.35">
      <c r="A130" s="72">
        <v>353</v>
      </c>
      <c r="B130" s="72" t="s">
        <v>162</v>
      </c>
      <c r="C130" s="72">
        <v>6</v>
      </c>
      <c r="D130" s="78">
        <v>3838000000</v>
      </c>
      <c r="E130" s="78">
        <v>327950000</v>
      </c>
      <c r="F130" s="78">
        <v>334600000</v>
      </c>
      <c r="G130" s="78">
        <v>33429</v>
      </c>
      <c r="H130" s="78">
        <v>1</v>
      </c>
      <c r="I130" s="78">
        <v>334.6</v>
      </c>
      <c r="J130" s="78">
        <v>6756</v>
      </c>
      <c r="K130" s="78">
        <v>6261</v>
      </c>
      <c r="L130" s="78">
        <v>2070</v>
      </c>
      <c r="M130" s="78">
        <v>3565</v>
      </c>
      <c r="N130" s="78">
        <v>2111.3999999999996</v>
      </c>
      <c r="O130" s="78">
        <v>482</v>
      </c>
      <c r="P130" s="78">
        <v>33</v>
      </c>
      <c r="Q130" s="78">
        <v>1965</v>
      </c>
      <c r="R130" s="78">
        <v>4494</v>
      </c>
      <c r="S130" s="78">
        <v>3295</v>
      </c>
      <c r="T130" s="78">
        <v>0</v>
      </c>
      <c r="U130" s="78">
        <v>1235</v>
      </c>
      <c r="V130" s="78">
        <v>14614</v>
      </c>
      <c r="W130" s="78">
        <v>31910</v>
      </c>
      <c r="X130" s="78">
        <v>13020</v>
      </c>
      <c r="Y130" s="78">
        <v>592.02</v>
      </c>
      <c r="Z130" s="78">
        <v>750.4</v>
      </c>
      <c r="AA130" s="78">
        <v>0</v>
      </c>
      <c r="AB130" s="399">
        <v>0</v>
      </c>
      <c r="AC130" s="399">
        <v>0</v>
      </c>
      <c r="AD130" s="78">
        <v>2093</v>
      </c>
      <c r="AE130" s="78">
        <v>2469.7399999999998</v>
      </c>
      <c r="AF130" s="78">
        <v>75</v>
      </c>
      <c r="AG130" s="78">
        <v>0</v>
      </c>
      <c r="AH130" s="78">
        <v>133</v>
      </c>
      <c r="AI130" s="78">
        <v>19</v>
      </c>
      <c r="AJ130" s="78">
        <v>160.93</v>
      </c>
      <c r="AK130" s="78">
        <v>22.04</v>
      </c>
      <c r="AL130" s="78">
        <v>152</v>
      </c>
      <c r="AM130" s="78">
        <v>14536</v>
      </c>
      <c r="AN130" s="78">
        <v>17588.560000000001</v>
      </c>
      <c r="AO130" s="78">
        <v>10</v>
      </c>
      <c r="AP130" s="78">
        <v>0</v>
      </c>
      <c r="AQ130" s="78">
        <v>0</v>
      </c>
      <c r="AR130" s="78">
        <v>2950</v>
      </c>
      <c r="AS130" s="78">
        <v>703</v>
      </c>
      <c r="AT130" s="78">
        <v>703</v>
      </c>
      <c r="AU130" s="400">
        <v>1.29636E-4</v>
      </c>
      <c r="AV130" s="400">
        <v>3.4884400000000001E-4</v>
      </c>
      <c r="AW130" s="78">
        <v>27167.784</v>
      </c>
      <c r="AX130" s="78">
        <v>0</v>
      </c>
      <c r="AY130" s="78">
        <v>1129.26</v>
      </c>
      <c r="AZ130" s="78">
        <v>31313.166337638399</v>
      </c>
      <c r="BA130" s="78">
        <v>2</v>
      </c>
      <c r="BB130" s="78">
        <v>2.3199999999999998</v>
      </c>
      <c r="BC130" s="78">
        <v>4035</v>
      </c>
      <c r="BD130" s="78">
        <v>1</v>
      </c>
      <c r="BE130" s="78">
        <v>0</v>
      </c>
      <c r="BF130" s="78">
        <v>0</v>
      </c>
      <c r="BG130" s="78">
        <v>0</v>
      </c>
      <c r="BH130" s="78">
        <v>0</v>
      </c>
      <c r="BI130" s="78">
        <v>0</v>
      </c>
      <c r="BJ130" s="78">
        <v>0</v>
      </c>
      <c r="BK130" s="78">
        <v>0</v>
      </c>
      <c r="BL130" s="78">
        <v>0</v>
      </c>
      <c r="BM130" s="78">
        <v>662.08799999999997</v>
      </c>
      <c r="BN130" s="78">
        <v>75</v>
      </c>
      <c r="BO130" s="78">
        <v>85</v>
      </c>
      <c r="BP130" s="78">
        <v>11018.7</v>
      </c>
      <c r="BQ130" s="78">
        <v>2843.35</v>
      </c>
      <c r="BR130" s="78">
        <v>290.145197668256</v>
      </c>
      <c r="BS130" s="78">
        <v>515</v>
      </c>
      <c r="BT130" s="78">
        <v>167.333333333333</v>
      </c>
      <c r="BU130" s="78">
        <v>139</v>
      </c>
      <c r="BV130" s="78">
        <v>1483</v>
      </c>
      <c r="BW130" s="78">
        <v>327</v>
      </c>
      <c r="BX130" s="78">
        <v>5653.7603087022098</v>
      </c>
      <c r="BY130" s="402">
        <v>0.67800000000000005</v>
      </c>
      <c r="BZ130" s="78">
        <v>27168</v>
      </c>
      <c r="CA130" s="78">
        <v>3487</v>
      </c>
      <c r="CB130" s="78">
        <v>704</v>
      </c>
      <c r="CC130" s="78">
        <v>835</v>
      </c>
      <c r="CD130" s="78">
        <v>718</v>
      </c>
      <c r="CE130" s="78">
        <v>374</v>
      </c>
      <c r="CF130" s="78">
        <v>326.81962025316398</v>
      </c>
      <c r="CG130" s="78">
        <v>211.34335443038</v>
      </c>
      <c r="CH130" s="78">
        <v>73.352848101265806</v>
      </c>
      <c r="CI130" s="78">
        <v>816.52499999999998</v>
      </c>
      <c r="CJ130" s="78">
        <v>528.01949999999999</v>
      </c>
      <c r="CK130" s="78">
        <v>183.2645</v>
      </c>
      <c r="CL130" s="78">
        <v>7938</v>
      </c>
    </row>
    <row r="131" spans="1:90" x14ac:dyDescent="0.35">
      <c r="A131" s="72">
        <v>327</v>
      </c>
      <c r="B131" s="72" t="s">
        <v>184</v>
      </c>
      <c r="C131" s="72">
        <v>6</v>
      </c>
      <c r="D131" s="78">
        <v>4186400000</v>
      </c>
      <c r="E131" s="78">
        <v>406000000</v>
      </c>
      <c r="F131" s="78">
        <v>424200000</v>
      </c>
      <c r="G131" s="78">
        <v>30713</v>
      </c>
      <c r="H131" s="78">
        <v>2</v>
      </c>
      <c r="I131" s="78">
        <v>424.2</v>
      </c>
      <c r="J131" s="78">
        <v>6121</v>
      </c>
      <c r="K131" s="78">
        <v>7081</v>
      </c>
      <c r="L131" s="78">
        <v>2406</v>
      </c>
      <c r="M131" s="78">
        <v>2904</v>
      </c>
      <c r="N131" s="78">
        <v>1564.3</v>
      </c>
      <c r="O131" s="78">
        <v>303</v>
      </c>
      <c r="P131" s="78">
        <v>18</v>
      </c>
      <c r="Q131" s="78">
        <v>1461</v>
      </c>
      <c r="R131" s="78">
        <v>4141</v>
      </c>
      <c r="S131" s="78">
        <v>825</v>
      </c>
      <c r="T131" s="78">
        <v>0</v>
      </c>
      <c r="U131" s="78">
        <v>829</v>
      </c>
      <c r="V131" s="78">
        <v>13685</v>
      </c>
      <c r="W131" s="78">
        <v>27430</v>
      </c>
      <c r="X131" s="78">
        <v>11580</v>
      </c>
      <c r="Y131" s="78">
        <v>0</v>
      </c>
      <c r="Z131" s="78">
        <v>0</v>
      </c>
      <c r="AA131" s="78">
        <v>0</v>
      </c>
      <c r="AB131" s="399">
        <v>0</v>
      </c>
      <c r="AC131" s="399">
        <v>0</v>
      </c>
      <c r="AD131" s="78">
        <v>5852</v>
      </c>
      <c r="AE131" s="78">
        <v>5852</v>
      </c>
      <c r="AF131" s="78">
        <v>38</v>
      </c>
      <c r="AG131" s="78">
        <v>0</v>
      </c>
      <c r="AH131" s="78">
        <v>131</v>
      </c>
      <c r="AI131" s="78">
        <v>46</v>
      </c>
      <c r="AJ131" s="78">
        <v>131</v>
      </c>
      <c r="AK131" s="78">
        <v>46</v>
      </c>
      <c r="AL131" s="78">
        <v>176</v>
      </c>
      <c r="AM131" s="78">
        <v>13397</v>
      </c>
      <c r="AN131" s="78">
        <v>13397</v>
      </c>
      <c r="AO131" s="78">
        <v>0</v>
      </c>
      <c r="AP131" s="78">
        <v>0</v>
      </c>
      <c r="AQ131" s="78">
        <v>0</v>
      </c>
      <c r="AR131" s="78">
        <v>0</v>
      </c>
      <c r="AS131" s="78">
        <v>0</v>
      </c>
      <c r="AT131" s="78">
        <v>0</v>
      </c>
      <c r="AU131" s="400">
        <v>6.7461999999999999E-5</v>
      </c>
      <c r="AV131" s="400">
        <v>6.6707999999999999E-5</v>
      </c>
      <c r="AW131" s="78">
        <v>17094.572</v>
      </c>
      <c r="AX131" s="78">
        <v>0</v>
      </c>
      <c r="AY131" s="78">
        <v>934</v>
      </c>
      <c r="AZ131" s="78">
        <v>4870.2787775891302</v>
      </c>
      <c r="BA131" s="78">
        <v>4</v>
      </c>
      <c r="BB131" s="78">
        <v>4</v>
      </c>
      <c r="BC131" s="78">
        <v>4210</v>
      </c>
      <c r="BD131" s="78">
        <v>1</v>
      </c>
      <c r="BE131" s="78">
        <v>0</v>
      </c>
      <c r="BF131" s="78">
        <v>0</v>
      </c>
      <c r="BG131" s="78">
        <v>0</v>
      </c>
      <c r="BH131" s="78">
        <v>0</v>
      </c>
      <c r="BI131" s="78">
        <v>0</v>
      </c>
      <c r="BJ131" s="78">
        <v>0</v>
      </c>
      <c r="BK131" s="78">
        <v>0</v>
      </c>
      <c r="BL131" s="78">
        <v>0</v>
      </c>
      <c r="BM131" s="78">
        <v>342.77600000000001</v>
      </c>
      <c r="BN131" s="78">
        <v>43</v>
      </c>
      <c r="BO131" s="78">
        <v>41</v>
      </c>
      <c r="BP131" s="78">
        <v>11170.32</v>
      </c>
      <c r="BQ131" s="78">
        <v>2644.2</v>
      </c>
      <c r="BR131" s="78">
        <v>260.25849184840098</v>
      </c>
      <c r="BS131" s="78">
        <v>330</v>
      </c>
      <c r="BT131" s="78">
        <v>84.3333333333333</v>
      </c>
      <c r="BU131" s="78">
        <v>58.6666666666667</v>
      </c>
      <c r="BV131" s="78">
        <v>1158</v>
      </c>
      <c r="BW131" s="78">
        <v>285</v>
      </c>
      <c r="BX131" s="78">
        <v>4132.4590872184399</v>
      </c>
      <c r="BY131" s="402">
        <v>0.14799999999999999</v>
      </c>
      <c r="BZ131" s="78">
        <v>23632</v>
      </c>
      <c r="CA131" s="78">
        <v>3924</v>
      </c>
      <c r="CB131" s="78">
        <v>751</v>
      </c>
      <c r="CC131" s="78">
        <v>807</v>
      </c>
      <c r="CD131" s="78">
        <v>782</v>
      </c>
      <c r="CE131" s="78">
        <v>380</v>
      </c>
      <c r="CF131" s="78">
        <v>282.45440770321699</v>
      </c>
      <c r="CG131" s="78">
        <v>196.28187653952401</v>
      </c>
      <c r="CH131" s="78">
        <v>61.651892214674902</v>
      </c>
      <c r="CI131" s="78">
        <v>757.63080000000002</v>
      </c>
      <c r="CJ131" s="78">
        <v>526.48919999999998</v>
      </c>
      <c r="CK131" s="78">
        <v>165.36959999999999</v>
      </c>
      <c r="CL131" s="78">
        <v>26918</v>
      </c>
    </row>
    <row r="132" spans="1:90" x14ac:dyDescent="0.35">
      <c r="A132" s="72">
        <v>331</v>
      </c>
      <c r="B132" s="72" t="s">
        <v>189</v>
      </c>
      <c r="C132" s="72">
        <v>6</v>
      </c>
      <c r="D132" s="78">
        <v>1700000000</v>
      </c>
      <c r="E132" s="78">
        <v>177450000</v>
      </c>
      <c r="F132" s="78">
        <v>207900000</v>
      </c>
      <c r="G132" s="78">
        <v>14512</v>
      </c>
      <c r="H132" s="78">
        <v>2</v>
      </c>
      <c r="I132" s="78">
        <v>207.9</v>
      </c>
      <c r="J132" s="78">
        <v>2960</v>
      </c>
      <c r="K132" s="78">
        <v>2672</v>
      </c>
      <c r="L132" s="78">
        <v>843</v>
      </c>
      <c r="M132" s="78">
        <v>1290</v>
      </c>
      <c r="N132" s="78">
        <v>695.1</v>
      </c>
      <c r="O132" s="78">
        <v>129.666666666667</v>
      </c>
      <c r="P132" s="78">
        <v>17</v>
      </c>
      <c r="Q132" s="78">
        <v>645.66666666666697</v>
      </c>
      <c r="R132" s="78">
        <v>1528</v>
      </c>
      <c r="S132" s="78">
        <v>500</v>
      </c>
      <c r="T132" s="78">
        <v>0</v>
      </c>
      <c r="U132" s="78">
        <v>356</v>
      </c>
      <c r="V132" s="78">
        <v>5871</v>
      </c>
      <c r="W132" s="78">
        <v>9180</v>
      </c>
      <c r="X132" s="78">
        <v>450</v>
      </c>
      <c r="Y132" s="78">
        <v>0</v>
      </c>
      <c r="Z132" s="78">
        <v>0</v>
      </c>
      <c r="AA132" s="78">
        <v>0</v>
      </c>
      <c r="AB132" s="399">
        <v>0</v>
      </c>
      <c r="AC132" s="399">
        <v>0</v>
      </c>
      <c r="AD132" s="78">
        <v>7574</v>
      </c>
      <c r="AE132" s="78">
        <v>10452.120000000001</v>
      </c>
      <c r="AF132" s="78">
        <v>323</v>
      </c>
      <c r="AG132" s="78">
        <v>0</v>
      </c>
      <c r="AH132" s="78">
        <v>104</v>
      </c>
      <c r="AI132" s="78">
        <v>41</v>
      </c>
      <c r="AJ132" s="78">
        <v>138.32</v>
      </c>
      <c r="AK132" s="78">
        <v>56.99</v>
      </c>
      <c r="AL132" s="78">
        <v>146</v>
      </c>
      <c r="AM132" s="78">
        <v>5949</v>
      </c>
      <c r="AN132" s="78">
        <v>7912.17</v>
      </c>
      <c r="AO132" s="78">
        <v>0</v>
      </c>
      <c r="AP132" s="78">
        <v>0</v>
      </c>
      <c r="AQ132" s="78">
        <v>0</v>
      </c>
      <c r="AR132" s="78">
        <v>0</v>
      </c>
      <c r="AS132" s="78">
        <v>0</v>
      </c>
      <c r="AT132" s="78">
        <v>0</v>
      </c>
      <c r="AU132" s="400">
        <v>9.5358000000000004E-5</v>
      </c>
      <c r="AV132" s="400">
        <v>2.4828E-5</v>
      </c>
      <c r="AW132" s="78">
        <v>2207.0790000000002</v>
      </c>
      <c r="AX132" s="78">
        <v>0</v>
      </c>
      <c r="AY132" s="78">
        <v>6307.98</v>
      </c>
      <c r="AZ132" s="78">
        <v>29369.075770545802</v>
      </c>
      <c r="BA132" s="78">
        <v>14</v>
      </c>
      <c r="BB132" s="78">
        <v>19.46</v>
      </c>
      <c r="BC132" s="78">
        <v>2045</v>
      </c>
      <c r="BD132" s="78">
        <v>1</v>
      </c>
      <c r="BE132" s="78">
        <v>0</v>
      </c>
      <c r="BF132" s="78">
        <v>0</v>
      </c>
      <c r="BG132" s="78">
        <v>0</v>
      </c>
      <c r="BH132" s="78">
        <v>0</v>
      </c>
      <c r="BI132" s="78">
        <v>0</v>
      </c>
      <c r="BJ132" s="78">
        <v>0</v>
      </c>
      <c r="BK132" s="78">
        <v>0</v>
      </c>
      <c r="BL132" s="78">
        <v>0</v>
      </c>
      <c r="BM132" s="78">
        <v>239.76</v>
      </c>
      <c r="BN132" s="78">
        <v>55</v>
      </c>
      <c r="BO132" s="78">
        <v>38</v>
      </c>
      <c r="BP132" s="78">
        <v>4302</v>
      </c>
      <c r="BQ132" s="78">
        <v>1139.53</v>
      </c>
      <c r="BR132" s="78">
        <v>77.427368421052606</v>
      </c>
      <c r="BS132" s="78">
        <v>171</v>
      </c>
      <c r="BT132" s="78">
        <v>60.6666666666667</v>
      </c>
      <c r="BU132" s="78">
        <v>34.6666666666667</v>
      </c>
      <c r="BV132" s="78">
        <v>516</v>
      </c>
      <c r="BW132" s="78">
        <v>146</v>
      </c>
      <c r="BX132" s="78">
        <v>1807.2539679025999</v>
      </c>
      <c r="BY132" s="402">
        <v>0.125</v>
      </c>
      <c r="BZ132" s="78">
        <v>11840</v>
      </c>
      <c r="CA132" s="78">
        <v>1595</v>
      </c>
      <c r="CB132" s="78">
        <v>234</v>
      </c>
      <c r="CC132" s="78">
        <v>302</v>
      </c>
      <c r="CD132" s="78">
        <v>265</v>
      </c>
      <c r="CE132" s="78">
        <v>107</v>
      </c>
      <c r="CF132" s="78">
        <v>115.791578416541</v>
      </c>
      <c r="CG132" s="78">
        <v>67.769036812909704</v>
      </c>
      <c r="CH132" s="78">
        <v>20.213867876954101</v>
      </c>
      <c r="CI132" s="78">
        <v>379.553</v>
      </c>
      <c r="CJ132" s="78">
        <v>222.14</v>
      </c>
      <c r="CK132" s="78">
        <v>66.259</v>
      </c>
      <c r="CL132" s="78">
        <v>0</v>
      </c>
    </row>
    <row r="133" spans="1:90" x14ac:dyDescent="0.35">
      <c r="A133" s="72">
        <v>335</v>
      </c>
      <c r="B133" s="72" t="s">
        <v>482</v>
      </c>
      <c r="C133" s="72">
        <v>6</v>
      </c>
      <c r="D133" s="78">
        <v>1622000000</v>
      </c>
      <c r="E133" s="78">
        <v>182350000</v>
      </c>
      <c r="F133" s="78">
        <v>198100000</v>
      </c>
      <c r="G133" s="78">
        <v>13818</v>
      </c>
      <c r="H133" s="78">
        <v>2</v>
      </c>
      <c r="I133" s="78">
        <v>198.1</v>
      </c>
      <c r="J133" s="78">
        <v>2878</v>
      </c>
      <c r="K133" s="78">
        <v>2832</v>
      </c>
      <c r="L133" s="78">
        <v>1072</v>
      </c>
      <c r="M133" s="78">
        <v>1265</v>
      </c>
      <c r="N133" s="78">
        <v>685.5</v>
      </c>
      <c r="O133" s="78">
        <v>107</v>
      </c>
      <c r="P133" s="78">
        <v>18</v>
      </c>
      <c r="Q133" s="78">
        <v>479</v>
      </c>
      <c r="R133" s="78">
        <v>1647</v>
      </c>
      <c r="S133" s="78">
        <v>425</v>
      </c>
      <c r="T133" s="78">
        <v>0</v>
      </c>
      <c r="U133" s="78">
        <v>371</v>
      </c>
      <c r="V133" s="78">
        <v>5759</v>
      </c>
      <c r="W133" s="78">
        <v>9670</v>
      </c>
      <c r="X133" s="78">
        <v>750</v>
      </c>
      <c r="Y133" s="78">
        <v>0</v>
      </c>
      <c r="Z133" s="78">
        <v>0</v>
      </c>
      <c r="AA133" s="78">
        <v>0</v>
      </c>
      <c r="AB133" s="399">
        <v>0</v>
      </c>
      <c r="AC133" s="399">
        <v>0</v>
      </c>
      <c r="AD133" s="78">
        <v>3759</v>
      </c>
      <c r="AE133" s="78">
        <v>4999.47</v>
      </c>
      <c r="AF133" s="78">
        <v>61</v>
      </c>
      <c r="AG133" s="78">
        <v>0</v>
      </c>
      <c r="AH133" s="78">
        <v>82</v>
      </c>
      <c r="AI133" s="78">
        <v>28</v>
      </c>
      <c r="AJ133" s="78">
        <v>91.84</v>
      </c>
      <c r="AK133" s="78">
        <v>38.36</v>
      </c>
      <c r="AL133" s="78">
        <v>110</v>
      </c>
      <c r="AM133" s="78">
        <v>5795</v>
      </c>
      <c r="AN133" s="78">
        <v>6490.4</v>
      </c>
      <c r="AO133" s="78">
        <v>10</v>
      </c>
      <c r="AP133" s="78">
        <v>0</v>
      </c>
      <c r="AQ133" s="78">
        <v>0</v>
      </c>
      <c r="AR133" s="78">
        <v>1650</v>
      </c>
      <c r="AS133" s="78">
        <v>0</v>
      </c>
      <c r="AT133" s="78">
        <v>0</v>
      </c>
      <c r="AU133" s="400">
        <v>8.2126000000000006E-5</v>
      </c>
      <c r="AV133" s="400">
        <v>2.8126000000000001E-5</v>
      </c>
      <c r="AW133" s="78">
        <v>4363.6350000000002</v>
      </c>
      <c r="AX133" s="78">
        <v>0</v>
      </c>
      <c r="AY133" s="78">
        <v>1558.76</v>
      </c>
      <c r="AZ133" s="78">
        <v>10516.8002198953</v>
      </c>
      <c r="BA133" s="78">
        <v>4</v>
      </c>
      <c r="BB133" s="78">
        <v>5.48</v>
      </c>
      <c r="BC133" s="78">
        <v>1850</v>
      </c>
      <c r="BD133" s="78">
        <v>1</v>
      </c>
      <c r="BE133" s="78">
        <v>0</v>
      </c>
      <c r="BF133" s="78">
        <v>0</v>
      </c>
      <c r="BG133" s="78">
        <v>0</v>
      </c>
      <c r="BH133" s="78">
        <v>0</v>
      </c>
      <c r="BI133" s="78">
        <v>0</v>
      </c>
      <c r="BJ133" s="78">
        <v>0</v>
      </c>
      <c r="BK133" s="78">
        <v>0</v>
      </c>
      <c r="BL133" s="78">
        <v>0</v>
      </c>
      <c r="BM133" s="78">
        <v>184.19200000000001</v>
      </c>
      <c r="BN133" s="78">
        <v>31</v>
      </c>
      <c r="BO133" s="78">
        <v>27</v>
      </c>
      <c r="BP133" s="78">
        <v>4676.46</v>
      </c>
      <c r="BQ133" s="78">
        <v>1180.4100000000001</v>
      </c>
      <c r="BR133" s="78">
        <v>92.866386750223796</v>
      </c>
      <c r="BS133" s="78">
        <v>158</v>
      </c>
      <c r="BT133" s="78">
        <v>48.3333333333333</v>
      </c>
      <c r="BU133" s="78">
        <v>28.3333333333333</v>
      </c>
      <c r="BV133" s="78">
        <v>372</v>
      </c>
      <c r="BW133" s="78">
        <v>85</v>
      </c>
      <c r="BX133" s="78">
        <v>1737.6711744386901</v>
      </c>
      <c r="BY133" s="402">
        <v>6.9000000000000006E-2</v>
      </c>
      <c r="BZ133" s="78">
        <v>10986</v>
      </c>
      <c r="CA133" s="78">
        <v>1535</v>
      </c>
      <c r="CB133" s="78">
        <v>225</v>
      </c>
      <c r="CC133" s="78">
        <v>283</v>
      </c>
      <c r="CD133" s="78">
        <v>303</v>
      </c>
      <c r="CE133" s="78">
        <v>136</v>
      </c>
      <c r="CF133" s="78">
        <v>109.419758412425</v>
      </c>
      <c r="CG133" s="78">
        <v>87.772389991371895</v>
      </c>
      <c r="CH133" s="78">
        <v>22.357118205349401</v>
      </c>
      <c r="CI133" s="78">
        <v>309.13499999999999</v>
      </c>
      <c r="CJ133" s="78">
        <v>247.97640000000001</v>
      </c>
      <c r="CK133" s="78">
        <v>63.163800000000002</v>
      </c>
      <c r="CL133" s="78">
        <v>0</v>
      </c>
    </row>
    <row r="134" spans="1:90" x14ac:dyDescent="0.35">
      <c r="A134" s="72">
        <v>356</v>
      </c>
      <c r="B134" s="72" t="s">
        <v>212</v>
      </c>
      <c r="C134" s="72">
        <v>6</v>
      </c>
      <c r="D134" s="78">
        <v>6976800000</v>
      </c>
      <c r="E134" s="78">
        <v>1379000000</v>
      </c>
      <c r="F134" s="78">
        <v>1393700000</v>
      </c>
      <c r="G134" s="78">
        <v>64554</v>
      </c>
      <c r="H134" s="78">
        <v>1</v>
      </c>
      <c r="I134" s="78">
        <v>1393.7</v>
      </c>
      <c r="J134" s="78">
        <v>11838</v>
      </c>
      <c r="K134" s="78">
        <v>13594</v>
      </c>
      <c r="L134" s="78">
        <v>4242</v>
      </c>
      <c r="M134" s="78">
        <v>8330</v>
      </c>
      <c r="N134" s="78">
        <v>5304.1</v>
      </c>
      <c r="O134" s="78">
        <v>1216</v>
      </c>
      <c r="P134" s="78">
        <v>48</v>
      </c>
      <c r="Q134" s="78">
        <v>4529</v>
      </c>
      <c r="R134" s="78">
        <v>11324</v>
      </c>
      <c r="S134" s="78">
        <v>7385</v>
      </c>
      <c r="T134" s="78">
        <v>0</v>
      </c>
      <c r="U134" s="78">
        <v>2415</v>
      </c>
      <c r="V134" s="78">
        <v>30634</v>
      </c>
      <c r="W134" s="78">
        <v>68710</v>
      </c>
      <c r="X134" s="78">
        <v>50100</v>
      </c>
      <c r="Y134" s="78">
        <v>423.72</v>
      </c>
      <c r="Z134" s="78">
        <v>4160.8</v>
      </c>
      <c r="AA134" s="78">
        <v>0</v>
      </c>
      <c r="AB134" s="399">
        <v>0</v>
      </c>
      <c r="AC134" s="399">
        <v>0</v>
      </c>
      <c r="AD134" s="78">
        <v>2317</v>
      </c>
      <c r="AE134" s="78">
        <v>2641.38</v>
      </c>
      <c r="AF134" s="78">
        <v>247</v>
      </c>
      <c r="AG134" s="78">
        <v>0</v>
      </c>
      <c r="AH134" s="78">
        <v>296</v>
      </c>
      <c r="AI134" s="78">
        <v>33</v>
      </c>
      <c r="AJ134" s="78">
        <v>334.48</v>
      </c>
      <c r="AK134" s="78">
        <v>37.950000000000003</v>
      </c>
      <c r="AL134" s="78">
        <v>329</v>
      </c>
      <c r="AM134" s="78">
        <v>30259</v>
      </c>
      <c r="AN134" s="78">
        <v>34192.67</v>
      </c>
      <c r="AO134" s="78">
        <v>0</v>
      </c>
      <c r="AP134" s="78">
        <v>0</v>
      </c>
      <c r="AQ134" s="78">
        <v>0</v>
      </c>
      <c r="AR134" s="78">
        <v>0</v>
      </c>
      <c r="AS134" s="78">
        <v>567</v>
      </c>
      <c r="AT134" s="78">
        <v>0</v>
      </c>
      <c r="AU134" s="400">
        <v>1.5291099999999999E-4</v>
      </c>
      <c r="AV134" s="400">
        <v>5.8019899999999999E-4</v>
      </c>
      <c r="AW134" s="78">
        <v>59005.05</v>
      </c>
      <c r="AX134" s="78">
        <v>0</v>
      </c>
      <c r="AY134" s="78">
        <v>2444.16</v>
      </c>
      <c r="AZ134" s="78">
        <v>102293.41647425899</v>
      </c>
      <c r="BA134" s="78">
        <v>1</v>
      </c>
      <c r="BB134" s="78">
        <v>1.1499999999999999</v>
      </c>
      <c r="BC134" s="78">
        <v>7490</v>
      </c>
      <c r="BD134" s="78">
        <v>1</v>
      </c>
      <c r="BE134" s="78">
        <v>0</v>
      </c>
      <c r="BF134" s="78">
        <v>0</v>
      </c>
      <c r="BG134" s="78">
        <v>0</v>
      </c>
      <c r="BH134" s="78">
        <v>0</v>
      </c>
      <c r="BI134" s="78">
        <v>0</v>
      </c>
      <c r="BJ134" s="78">
        <v>0</v>
      </c>
      <c r="BK134" s="78">
        <v>0</v>
      </c>
      <c r="BL134" s="78">
        <v>0</v>
      </c>
      <c r="BM134" s="78">
        <v>1373.2080000000001</v>
      </c>
      <c r="BN134" s="78">
        <v>178</v>
      </c>
      <c r="BO134" s="78">
        <v>216</v>
      </c>
      <c r="BP134" s="78">
        <v>20481.599999999999</v>
      </c>
      <c r="BQ134" s="78">
        <v>4357.12</v>
      </c>
      <c r="BR134" s="78">
        <v>509.81873403395298</v>
      </c>
      <c r="BS134" s="78">
        <v>933</v>
      </c>
      <c r="BT134" s="78">
        <v>352</v>
      </c>
      <c r="BU134" s="78">
        <v>323.66666666666703</v>
      </c>
      <c r="BV134" s="78">
        <v>3313</v>
      </c>
      <c r="BW134" s="78">
        <v>742</v>
      </c>
      <c r="BX134" s="78">
        <v>11952.466325118199</v>
      </c>
      <c r="BY134" s="402">
        <v>2.8420000000000001</v>
      </c>
      <c r="BZ134" s="78">
        <v>50960</v>
      </c>
      <c r="CA134" s="78">
        <v>8310</v>
      </c>
      <c r="CB134" s="78">
        <v>1042</v>
      </c>
      <c r="CC134" s="78">
        <v>2104</v>
      </c>
      <c r="CD134" s="78">
        <v>1453</v>
      </c>
      <c r="CE134" s="78">
        <v>569</v>
      </c>
      <c r="CF134" s="78">
        <v>944.11192042037101</v>
      </c>
      <c r="CG134" s="78">
        <v>534.80977890875397</v>
      </c>
      <c r="CH134" s="78">
        <v>143.21192702997499</v>
      </c>
      <c r="CI134" s="78">
        <v>2376.8418000000001</v>
      </c>
      <c r="CJ134" s="78">
        <v>1346.4063000000001</v>
      </c>
      <c r="CK134" s="78">
        <v>360.5421</v>
      </c>
      <c r="CL134" s="78">
        <v>26460</v>
      </c>
    </row>
    <row r="135" spans="1:90" x14ac:dyDescent="0.35">
      <c r="A135" s="72">
        <v>589</v>
      </c>
      <c r="B135" s="72" t="s">
        <v>241</v>
      </c>
      <c r="C135" s="72">
        <v>6</v>
      </c>
      <c r="D135" s="78">
        <v>1240800000</v>
      </c>
      <c r="E135" s="78">
        <v>113750000</v>
      </c>
      <c r="F135" s="78">
        <v>132300000</v>
      </c>
      <c r="G135" s="78">
        <v>10159</v>
      </c>
      <c r="H135" s="78">
        <v>1</v>
      </c>
      <c r="I135" s="78">
        <v>132.30000000000001</v>
      </c>
      <c r="J135" s="78">
        <v>2018</v>
      </c>
      <c r="K135" s="78">
        <v>2239</v>
      </c>
      <c r="L135" s="78">
        <v>751</v>
      </c>
      <c r="M135" s="78">
        <v>1178</v>
      </c>
      <c r="N135" s="78">
        <v>743.5</v>
      </c>
      <c r="O135" s="78">
        <v>84.6666666666667</v>
      </c>
      <c r="P135" s="78">
        <v>6</v>
      </c>
      <c r="Q135" s="78">
        <v>403.66666666666703</v>
      </c>
      <c r="R135" s="78">
        <v>1369</v>
      </c>
      <c r="S135" s="78">
        <v>220</v>
      </c>
      <c r="T135" s="78">
        <v>0</v>
      </c>
      <c r="U135" s="78">
        <v>277</v>
      </c>
      <c r="V135" s="78">
        <v>4441</v>
      </c>
      <c r="W135" s="78">
        <v>7930</v>
      </c>
      <c r="X135" s="78">
        <v>670</v>
      </c>
      <c r="Y135" s="78">
        <v>0</v>
      </c>
      <c r="Z135" s="78">
        <v>0</v>
      </c>
      <c r="AA135" s="78">
        <v>0</v>
      </c>
      <c r="AB135" s="399">
        <v>0</v>
      </c>
      <c r="AC135" s="399">
        <v>0</v>
      </c>
      <c r="AD135" s="78">
        <v>3900</v>
      </c>
      <c r="AE135" s="78">
        <v>6396</v>
      </c>
      <c r="AF135" s="78">
        <v>110</v>
      </c>
      <c r="AG135" s="78">
        <v>0</v>
      </c>
      <c r="AH135" s="78">
        <v>52</v>
      </c>
      <c r="AI135" s="78">
        <v>33</v>
      </c>
      <c r="AJ135" s="78">
        <v>76.959999999999994</v>
      </c>
      <c r="AK135" s="78">
        <v>55.11</v>
      </c>
      <c r="AL135" s="78">
        <v>85</v>
      </c>
      <c r="AM135" s="78">
        <v>4345</v>
      </c>
      <c r="AN135" s="78">
        <v>6430.6</v>
      </c>
      <c r="AO135" s="78">
        <v>13</v>
      </c>
      <c r="AP135" s="78">
        <v>0</v>
      </c>
      <c r="AQ135" s="78">
        <v>0</v>
      </c>
      <c r="AR135" s="78">
        <v>3350</v>
      </c>
      <c r="AS135" s="78">
        <v>707</v>
      </c>
      <c r="AT135" s="78">
        <v>707</v>
      </c>
      <c r="AU135" s="400">
        <v>1.83189E-4</v>
      </c>
      <c r="AV135" s="400">
        <v>4.7942999999999998E-5</v>
      </c>
      <c r="AW135" s="78">
        <v>3671.5250000000001</v>
      </c>
      <c r="AX135" s="78">
        <v>0</v>
      </c>
      <c r="AY135" s="78">
        <v>4757.6400000000003</v>
      </c>
      <c r="AZ135" s="78">
        <v>33957.204857855402</v>
      </c>
      <c r="BA135" s="78">
        <v>3</v>
      </c>
      <c r="BB135" s="78">
        <v>5.01</v>
      </c>
      <c r="BC135" s="78">
        <v>1650</v>
      </c>
      <c r="BD135" s="78">
        <v>1</v>
      </c>
      <c r="BE135" s="78">
        <v>0</v>
      </c>
      <c r="BF135" s="78">
        <v>0</v>
      </c>
      <c r="BG135" s="78">
        <v>0</v>
      </c>
      <c r="BH135" s="78">
        <v>0</v>
      </c>
      <c r="BI135" s="78">
        <v>0</v>
      </c>
      <c r="BJ135" s="78">
        <v>0</v>
      </c>
      <c r="BK135" s="78">
        <v>0</v>
      </c>
      <c r="BL135" s="78">
        <v>0</v>
      </c>
      <c r="BM135" s="78">
        <v>165.476</v>
      </c>
      <c r="BN135" s="78">
        <v>23</v>
      </c>
      <c r="BO135" s="78">
        <v>22</v>
      </c>
      <c r="BP135" s="78">
        <v>3407.27</v>
      </c>
      <c r="BQ135" s="78">
        <v>858.4</v>
      </c>
      <c r="BR135" s="78">
        <v>69.661566049776596</v>
      </c>
      <c r="BS135" s="78">
        <v>134</v>
      </c>
      <c r="BT135" s="78">
        <v>33.3333333333333</v>
      </c>
      <c r="BU135" s="78">
        <v>25.6666666666667</v>
      </c>
      <c r="BV135" s="78">
        <v>319.00000000000034</v>
      </c>
      <c r="BW135" s="78">
        <v>67</v>
      </c>
      <c r="BX135" s="78">
        <v>1399.3326060366901</v>
      </c>
      <c r="BY135" s="402">
        <v>0.05</v>
      </c>
      <c r="BZ135" s="78">
        <v>7920</v>
      </c>
      <c r="CA135" s="78">
        <v>1235</v>
      </c>
      <c r="CB135" s="78">
        <v>253</v>
      </c>
      <c r="CC135" s="78">
        <v>235</v>
      </c>
      <c r="CD135" s="78">
        <v>255</v>
      </c>
      <c r="CE135" s="78">
        <v>134</v>
      </c>
      <c r="CF135" s="78">
        <v>131.07502876870001</v>
      </c>
      <c r="CG135" s="78">
        <v>87.611507479861899</v>
      </c>
      <c r="CH135" s="78">
        <v>30.629804372842301</v>
      </c>
      <c r="CI135" s="78">
        <v>265.57220000000001</v>
      </c>
      <c r="CJ135" s="78">
        <v>177.5104</v>
      </c>
      <c r="CK135" s="78">
        <v>62.0593</v>
      </c>
      <c r="CL135" s="78">
        <v>0</v>
      </c>
    </row>
    <row r="136" spans="1:90" x14ac:dyDescent="0.35">
      <c r="A136" s="72">
        <v>339</v>
      </c>
      <c r="B136" s="72" t="s">
        <v>252</v>
      </c>
      <c r="C136" s="72">
        <v>6</v>
      </c>
      <c r="D136" s="78">
        <v>661200000</v>
      </c>
      <c r="E136" s="78">
        <v>122500000</v>
      </c>
      <c r="F136" s="78">
        <v>124250000</v>
      </c>
      <c r="G136" s="78">
        <v>5651</v>
      </c>
      <c r="H136" s="78">
        <v>1</v>
      </c>
      <c r="I136" s="78">
        <v>124.25</v>
      </c>
      <c r="J136" s="78">
        <v>1399</v>
      </c>
      <c r="K136" s="78">
        <v>878</v>
      </c>
      <c r="L136" s="78">
        <v>298</v>
      </c>
      <c r="M136" s="78">
        <v>480</v>
      </c>
      <c r="N136" s="78">
        <v>260.5</v>
      </c>
      <c r="O136" s="78">
        <v>24</v>
      </c>
      <c r="P136" s="78">
        <v>3</v>
      </c>
      <c r="Q136" s="78">
        <v>140</v>
      </c>
      <c r="R136" s="78">
        <v>569</v>
      </c>
      <c r="S136" s="78">
        <v>95</v>
      </c>
      <c r="T136" s="78">
        <v>0</v>
      </c>
      <c r="U136" s="78">
        <v>106</v>
      </c>
      <c r="V136" s="78">
        <v>2201</v>
      </c>
      <c r="W136" s="78">
        <v>3770</v>
      </c>
      <c r="X136" s="78">
        <v>340</v>
      </c>
      <c r="Y136" s="78">
        <v>0</v>
      </c>
      <c r="Z136" s="78">
        <v>0</v>
      </c>
      <c r="AA136" s="78">
        <v>0</v>
      </c>
      <c r="AB136" s="399">
        <v>0</v>
      </c>
      <c r="AC136" s="399">
        <v>0</v>
      </c>
      <c r="AD136" s="78">
        <v>1839</v>
      </c>
      <c r="AE136" s="78">
        <v>1839</v>
      </c>
      <c r="AF136" s="78">
        <v>12</v>
      </c>
      <c r="AG136" s="78">
        <v>0</v>
      </c>
      <c r="AH136" s="78">
        <v>34</v>
      </c>
      <c r="AI136" s="78">
        <v>30</v>
      </c>
      <c r="AJ136" s="78">
        <v>34</v>
      </c>
      <c r="AK136" s="78">
        <v>30</v>
      </c>
      <c r="AL136" s="78">
        <v>65</v>
      </c>
      <c r="AM136" s="78">
        <v>2195</v>
      </c>
      <c r="AN136" s="78">
        <v>2195</v>
      </c>
      <c r="AO136" s="78">
        <v>0</v>
      </c>
      <c r="AP136" s="78">
        <v>0</v>
      </c>
      <c r="AQ136" s="78">
        <v>0</v>
      </c>
      <c r="AR136" s="78">
        <v>0</v>
      </c>
      <c r="AS136" s="78">
        <v>0</v>
      </c>
      <c r="AT136" s="78">
        <v>0</v>
      </c>
      <c r="AU136" s="400">
        <v>2.3407000000000001E-5</v>
      </c>
      <c r="AV136" s="400">
        <v>7.3950000000000003E-6</v>
      </c>
      <c r="AW136" s="78">
        <v>1161.155</v>
      </c>
      <c r="AX136" s="78">
        <v>0</v>
      </c>
      <c r="AY136" s="78">
        <v>393</v>
      </c>
      <c r="AZ136" s="78">
        <v>1199.80713128039</v>
      </c>
      <c r="BA136" s="78">
        <v>1</v>
      </c>
      <c r="BB136" s="78">
        <v>1</v>
      </c>
      <c r="BC136" s="78">
        <v>880</v>
      </c>
      <c r="BD136" s="78">
        <v>1</v>
      </c>
      <c r="BE136" s="78">
        <v>0</v>
      </c>
      <c r="BF136" s="78">
        <v>0</v>
      </c>
      <c r="BG136" s="78">
        <v>0</v>
      </c>
      <c r="BH136" s="78">
        <v>0</v>
      </c>
      <c r="BI136" s="78">
        <v>0</v>
      </c>
      <c r="BJ136" s="78">
        <v>0</v>
      </c>
      <c r="BK136" s="78">
        <v>0</v>
      </c>
      <c r="BL136" s="78">
        <v>0</v>
      </c>
      <c r="BM136" s="78">
        <v>76.944999999999993</v>
      </c>
      <c r="BN136" s="78">
        <v>15</v>
      </c>
      <c r="BO136" s="78">
        <v>12</v>
      </c>
      <c r="BP136" s="78">
        <v>1643.25</v>
      </c>
      <c r="BQ136" s="78">
        <v>470.58</v>
      </c>
      <c r="BR136" s="78">
        <v>45.214035908596301</v>
      </c>
      <c r="BS136" s="78">
        <v>51</v>
      </c>
      <c r="BT136" s="78">
        <v>10</v>
      </c>
      <c r="BU136" s="78">
        <v>4.6666666666666696</v>
      </c>
      <c r="BV136" s="78">
        <v>116</v>
      </c>
      <c r="BW136" s="78">
        <v>27</v>
      </c>
      <c r="BX136" s="78">
        <v>498.66311735061203</v>
      </c>
      <c r="BY136" s="402">
        <v>2.9000000000000001E-2</v>
      </c>
      <c r="BZ136" s="78">
        <v>4773</v>
      </c>
      <c r="CA136" s="78">
        <v>519</v>
      </c>
      <c r="CB136" s="78">
        <v>61</v>
      </c>
      <c r="CC136" s="78">
        <v>88</v>
      </c>
      <c r="CD136" s="78">
        <v>99</v>
      </c>
      <c r="CE136" s="78">
        <v>36</v>
      </c>
      <c r="CF136" s="78">
        <v>38.333257403189101</v>
      </c>
      <c r="CG136" s="78">
        <v>25.871981776765399</v>
      </c>
      <c r="CH136" s="78">
        <v>5.5779043280182199</v>
      </c>
      <c r="CI136" s="78">
        <v>125.93770000000001</v>
      </c>
      <c r="CJ136" s="78">
        <v>84.998199999999997</v>
      </c>
      <c r="CK136" s="78">
        <v>18.325299999999999</v>
      </c>
      <c r="CL136" s="78">
        <v>0</v>
      </c>
    </row>
    <row r="137" spans="1:90" x14ac:dyDescent="0.35">
      <c r="A137" s="72">
        <v>340</v>
      </c>
      <c r="B137" s="72" t="s">
        <v>255</v>
      </c>
      <c r="C137" s="72">
        <v>6</v>
      </c>
      <c r="D137" s="78">
        <v>2322800000</v>
      </c>
      <c r="E137" s="78">
        <v>202300000</v>
      </c>
      <c r="F137" s="78">
        <v>219800000</v>
      </c>
      <c r="G137" s="78">
        <v>20265</v>
      </c>
      <c r="H137" s="78">
        <v>3</v>
      </c>
      <c r="I137" s="78">
        <v>219.8</v>
      </c>
      <c r="J137" s="78">
        <v>4266</v>
      </c>
      <c r="K137" s="78">
        <v>4417</v>
      </c>
      <c r="L137" s="78">
        <v>1575</v>
      </c>
      <c r="M137" s="78">
        <v>2246</v>
      </c>
      <c r="N137" s="78">
        <v>1394.6</v>
      </c>
      <c r="O137" s="78">
        <v>216</v>
      </c>
      <c r="P137" s="78">
        <v>33</v>
      </c>
      <c r="Q137" s="78">
        <v>1125</v>
      </c>
      <c r="R137" s="78">
        <v>2601</v>
      </c>
      <c r="S137" s="78">
        <v>725</v>
      </c>
      <c r="T137" s="78">
        <v>0</v>
      </c>
      <c r="U137" s="78">
        <v>488</v>
      </c>
      <c r="V137" s="78">
        <v>8728</v>
      </c>
      <c r="W137" s="78">
        <v>16940</v>
      </c>
      <c r="X137" s="78">
        <v>3830</v>
      </c>
      <c r="Y137" s="78">
        <v>0</v>
      </c>
      <c r="Z137" s="78">
        <v>204.8</v>
      </c>
      <c r="AA137" s="78">
        <v>0</v>
      </c>
      <c r="AB137" s="399">
        <v>0</v>
      </c>
      <c r="AC137" s="399">
        <v>26.099999999999994</v>
      </c>
      <c r="AD137" s="78">
        <v>4198</v>
      </c>
      <c r="AE137" s="78">
        <v>4198</v>
      </c>
      <c r="AF137" s="78">
        <v>177</v>
      </c>
      <c r="AG137" s="78">
        <v>0</v>
      </c>
      <c r="AH137" s="78">
        <v>93</v>
      </c>
      <c r="AI137" s="78">
        <v>41</v>
      </c>
      <c r="AJ137" s="78">
        <v>93</v>
      </c>
      <c r="AK137" s="78">
        <v>41</v>
      </c>
      <c r="AL137" s="78">
        <v>134</v>
      </c>
      <c r="AM137" s="78">
        <v>8514</v>
      </c>
      <c r="AN137" s="78">
        <v>8514</v>
      </c>
      <c r="AO137" s="78">
        <v>5</v>
      </c>
      <c r="AP137" s="78">
        <v>0</v>
      </c>
      <c r="AQ137" s="78">
        <v>0</v>
      </c>
      <c r="AR137" s="78">
        <v>0</v>
      </c>
      <c r="AS137" s="78">
        <v>872</v>
      </c>
      <c r="AT137" s="78">
        <v>872</v>
      </c>
      <c r="AU137" s="400">
        <v>1.7055600000000001E-4</v>
      </c>
      <c r="AV137" s="400">
        <v>2.3299900000000001E-4</v>
      </c>
      <c r="AW137" s="78">
        <v>7918.02</v>
      </c>
      <c r="AX137" s="78">
        <v>0</v>
      </c>
      <c r="AY137" s="78">
        <v>716</v>
      </c>
      <c r="AZ137" s="78">
        <v>3316.5120000000002</v>
      </c>
      <c r="BA137" s="78">
        <v>9</v>
      </c>
      <c r="BB137" s="78">
        <v>9</v>
      </c>
      <c r="BC137" s="78">
        <v>2620</v>
      </c>
      <c r="BD137" s="78">
        <v>1</v>
      </c>
      <c r="BE137" s="78">
        <v>0</v>
      </c>
      <c r="BF137" s="78">
        <v>0</v>
      </c>
      <c r="BG137" s="78">
        <v>0</v>
      </c>
      <c r="BH137" s="78">
        <v>0</v>
      </c>
      <c r="BI137" s="78">
        <v>0</v>
      </c>
      <c r="BJ137" s="78">
        <v>0</v>
      </c>
      <c r="BK137" s="78">
        <v>0</v>
      </c>
      <c r="BL137" s="78">
        <v>0</v>
      </c>
      <c r="BM137" s="78">
        <v>396.738</v>
      </c>
      <c r="BN137" s="78">
        <v>145</v>
      </c>
      <c r="BO137" s="78">
        <v>53</v>
      </c>
      <c r="BP137" s="78">
        <v>5851.3</v>
      </c>
      <c r="BQ137" s="78">
        <v>1462.61</v>
      </c>
      <c r="BR137" s="78">
        <v>174.59289908256901</v>
      </c>
      <c r="BS137" s="78">
        <v>189</v>
      </c>
      <c r="BT137" s="78">
        <v>60.3333333333333</v>
      </c>
      <c r="BU137" s="78">
        <v>46</v>
      </c>
      <c r="BV137" s="78">
        <v>909</v>
      </c>
      <c r="BW137" s="78">
        <v>368</v>
      </c>
      <c r="BX137" s="78">
        <v>3101.1277830025201</v>
      </c>
      <c r="BY137" s="402">
        <v>0.34799999999999998</v>
      </c>
      <c r="BZ137" s="78">
        <v>15848</v>
      </c>
      <c r="CA137" s="78">
        <v>2331</v>
      </c>
      <c r="CB137" s="78">
        <v>511</v>
      </c>
      <c r="CC137" s="78">
        <v>432</v>
      </c>
      <c r="CD137" s="78">
        <v>513</v>
      </c>
      <c r="CE137" s="78">
        <v>259</v>
      </c>
      <c r="CF137" s="78">
        <v>226.04510218463699</v>
      </c>
      <c r="CG137" s="78">
        <v>176.24965938454301</v>
      </c>
      <c r="CH137" s="78">
        <v>60.933897110641297</v>
      </c>
      <c r="CI137" s="78">
        <v>572.56200000000001</v>
      </c>
      <c r="CJ137" s="78">
        <v>446.43239999999997</v>
      </c>
      <c r="CK137" s="78">
        <v>154.34280000000001</v>
      </c>
      <c r="CL137" s="78">
        <v>64970</v>
      </c>
    </row>
    <row r="138" spans="1:90" x14ac:dyDescent="0.35">
      <c r="A138" s="72">
        <v>342</v>
      </c>
      <c r="B138" s="72" t="s">
        <v>279</v>
      </c>
      <c r="C138" s="72">
        <v>6</v>
      </c>
      <c r="D138" s="78">
        <v>6484400000</v>
      </c>
      <c r="E138" s="78">
        <v>709100000</v>
      </c>
      <c r="F138" s="78">
        <v>716100000</v>
      </c>
      <c r="G138" s="78">
        <v>47113</v>
      </c>
      <c r="H138" s="78">
        <v>2</v>
      </c>
      <c r="I138" s="78">
        <v>716.1</v>
      </c>
      <c r="J138" s="78">
        <v>9181</v>
      </c>
      <c r="K138" s="78">
        <v>10792</v>
      </c>
      <c r="L138" s="78">
        <v>3777</v>
      </c>
      <c r="M138" s="78">
        <v>5720</v>
      </c>
      <c r="N138" s="78">
        <v>3567.7</v>
      </c>
      <c r="O138" s="78">
        <v>660</v>
      </c>
      <c r="P138" s="78">
        <v>20</v>
      </c>
      <c r="Q138" s="78">
        <v>2763</v>
      </c>
      <c r="R138" s="78">
        <v>7091</v>
      </c>
      <c r="S138" s="78">
        <v>4235</v>
      </c>
      <c r="T138" s="78">
        <v>0</v>
      </c>
      <c r="U138" s="78">
        <v>1453</v>
      </c>
      <c r="V138" s="78">
        <v>21364</v>
      </c>
      <c r="W138" s="78">
        <v>43070</v>
      </c>
      <c r="X138" s="78">
        <v>23040</v>
      </c>
      <c r="Y138" s="78">
        <v>588.20000000000005</v>
      </c>
      <c r="Z138" s="78">
        <v>1135.2</v>
      </c>
      <c r="AA138" s="78">
        <v>0</v>
      </c>
      <c r="AB138" s="399">
        <v>0</v>
      </c>
      <c r="AC138" s="399">
        <v>0</v>
      </c>
      <c r="AD138" s="78">
        <v>4625</v>
      </c>
      <c r="AE138" s="78">
        <v>4625</v>
      </c>
      <c r="AF138" s="78">
        <v>18</v>
      </c>
      <c r="AG138" s="78">
        <v>0</v>
      </c>
      <c r="AH138" s="78">
        <v>244</v>
      </c>
      <c r="AI138" s="78">
        <v>27</v>
      </c>
      <c r="AJ138" s="78">
        <v>244</v>
      </c>
      <c r="AK138" s="78">
        <v>27</v>
      </c>
      <c r="AL138" s="78">
        <v>271</v>
      </c>
      <c r="AM138" s="78">
        <v>21523</v>
      </c>
      <c r="AN138" s="78">
        <v>21523</v>
      </c>
      <c r="AO138" s="78">
        <v>0</v>
      </c>
      <c r="AP138" s="78">
        <v>0</v>
      </c>
      <c r="AQ138" s="78">
        <v>0</v>
      </c>
      <c r="AR138" s="78">
        <v>0</v>
      </c>
      <c r="AS138" s="78">
        <v>1926</v>
      </c>
      <c r="AT138" s="78">
        <v>0</v>
      </c>
      <c r="AU138" s="400">
        <v>5.4898299999999996E-4</v>
      </c>
      <c r="AV138" s="400">
        <v>9.1144700000000002E-4</v>
      </c>
      <c r="AW138" s="78">
        <v>31660.332999999999</v>
      </c>
      <c r="AX138" s="78">
        <v>0</v>
      </c>
      <c r="AY138" s="78">
        <v>405</v>
      </c>
      <c r="AZ138" s="78">
        <v>4109.5767822528496</v>
      </c>
      <c r="BA138" s="78">
        <v>4</v>
      </c>
      <c r="BB138" s="78">
        <v>4</v>
      </c>
      <c r="BC138" s="78">
        <v>6995</v>
      </c>
      <c r="BD138" s="78">
        <v>1</v>
      </c>
      <c r="BE138" s="78">
        <v>0</v>
      </c>
      <c r="BF138" s="78">
        <v>0</v>
      </c>
      <c r="BG138" s="78">
        <v>0</v>
      </c>
      <c r="BH138" s="78">
        <v>0</v>
      </c>
      <c r="BI138" s="78">
        <v>0</v>
      </c>
      <c r="BJ138" s="78">
        <v>0</v>
      </c>
      <c r="BK138" s="78">
        <v>0</v>
      </c>
      <c r="BL138" s="78">
        <v>0</v>
      </c>
      <c r="BM138" s="78">
        <v>973.18600000000004</v>
      </c>
      <c r="BN138" s="78">
        <v>97</v>
      </c>
      <c r="BO138" s="78">
        <v>145</v>
      </c>
      <c r="BP138" s="78">
        <v>16684.8</v>
      </c>
      <c r="BQ138" s="78">
        <v>3862.32</v>
      </c>
      <c r="BR138" s="78">
        <v>338.59140159100298</v>
      </c>
      <c r="BS138" s="78">
        <v>555</v>
      </c>
      <c r="BT138" s="78">
        <v>208.333333333333</v>
      </c>
      <c r="BU138" s="78">
        <v>169.333333333333</v>
      </c>
      <c r="BV138" s="78">
        <v>2103</v>
      </c>
      <c r="BW138" s="78">
        <v>525</v>
      </c>
      <c r="BX138" s="78">
        <v>6962.8727164968204</v>
      </c>
      <c r="BY138" s="402">
        <v>0.876</v>
      </c>
      <c r="BZ138" s="78">
        <v>36321</v>
      </c>
      <c r="CA138" s="78">
        <v>5674</v>
      </c>
      <c r="CB138" s="78">
        <v>1341</v>
      </c>
      <c r="CC138" s="78">
        <v>1333</v>
      </c>
      <c r="CD138" s="78">
        <v>1295</v>
      </c>
      <c r="CE138" s="78">
        <v>720</v>
      </c>
      <c r="CF138" s="78">
        <v>597.73852158156399</v>
      </c>
      <c r="CG138" s="78">
        <v>437.77799098638701</v>
      </c>
      <c r="CH138" s="78">
        <v>168.082878780839</v>
      </c>
      <c r="CI138" s="78">
        <v>1216.3037999999999</v>
      </c>
      <c r="CJ138" s="78">
        <v>890.80930000000001</v>
      </c>
      <c r="CK138" s="78">
        <v>342.0222</v>
      </c>
      <c r="CL138" s="78">
        <v>68299</v>
      </c>
    </row>
    <row r="139" spans="1:90" x14ac:dyDescent="0.35">
      <c r="A139" s="72">
        <v>1904</v>
      </c>
      <c r="B139" s="72" t="s">
        <v>288</v>
      </c>
      <c r="C139" s="72">
        <v>6</v>
      </c>
      <c r="D139" s="78">
        <v>8920800000</v>
      </c>
      <c r="E139" s="78">
        <v>661850000</v>
      </c>
      <c r="F139" s="78">
        <v>709800000</v>
      </c>
      <c r="G139" s="78">
        <v>65240</v>
      </c>
      <c r="H139" s="78">
        <v>7</v>
      </c>
      <c r="I139" s="78">
        <v>709.8</v>
      </c>
      <c r="J139" s="78">
        <v>13172</v>
      </c>
      <c r="K139" s="78">
        <v>13983</v>
      </c>
      <c r="L139" s="78">
        <v>4535</v>
      </c>
      <c r="M139" s="78">
        <v>6872</v>
      </c>
      <c r="N139" s="78">
        <v>3949.2999999999997</v>
      </c>
      <c r="O139" s="78">
        <v>738</v>
      </c>
      <c r="P139" s="78">
        <v>16</v>
      </c>
      <c r="Q139" s="78">
        <v>3161</v>
      </c>
      <c r="R139" s="78">
        <v>9389</v>
      </c>
      <c r="S139" s="78">
        <v>3715</v>
      </c>
      <c r="T139" s="78">
        <v>0</v>
      </c>
      <c r="U139" s="78">
        <v>2058</v>
      </c>
      <c r="V139" s="78">
        <v>29209</v>
      </c>
      <c r="W139" s="78">
        <v>52600</v>
      </c>
      <c r="X139" s="78">
        <v>16580</v>
      </c>
      <c r="Y139" s="78">
        <v>223.74</v>
      </c>
      <c r="Z139" s="78">
        <v>2963.2</v>
      </c>
      <c r="AA139" s="78">
        <v>0</v>
      </c>
      <c r="AB139" s="399">
        <v>0</v>
      </c>
      <c r="AC139" s="399">
        <v>0</v>
      </c>
      <c r="AD139" s="78">
        <v>9612</v>
      </c>
      <c r="AE139" s="78">
        <v>13552.92</v>
      </c>
      <c r="AF139" s="78">
        <v>1070</v>
      </c>
      <c r="AG139" s="78">
        <v>0</v>
      </c>
      <c r="AH139" s="78">
        <v>271</v>
      </c>
      <c r="AI139" s="78">
        <v>64</v>
      </c>
      <c r="AJ139" s="78">
        <v>325.2</v>
      </c>
      <c r="AK139" s="78">
        <v>96</v>
      </c>
      <c r="AL139" s="78">
        <v>335</v>
      </c>
      <c r="AM139" s="78">
        <v>29227</v>
      </c>
      <c r="AN139" s="78">
        <v>35072.400000000001</v>
      </c>
      <c r="AO139" s="78">
        <v>0</v>
      </c>
      <c r="AP139" s="78">
        <v>0</v>
      </c>
      <c r="AQ139" s="78">
        <v>0</v>
      </c>
      <c r="AR139" s="78">
        <v>0</v>
      </c>
      <c r="AS139" s="78">
        <v>1520</v>
      </c>
      <c r="AT139" s="78">
        <v>0</v>
      </c>
      <c r="AU139" s="400">
        <v>4.9929200000000003E-4</v>
      </c>
      <c r="AV139" s="400">
        <v>5.8178600000000004E-4</v>
      </c>
      <c r="AW139" s="78">
        <v>34984.718999999997</v>
      </c>
      <c r="AX139" s="78">
        <v>0</v>
      </c>
      <c r="AY139" s="78">
        <v>15497.31</v>
      </c>
      <c r="AZ139" s="78">
        <v>176235.03145478401</v>
      </c>
      <c r="BA139" s="78">
        <v>17</v>
      </c>
      <c r="BB139" s="78">
        <v>25.5</v>
      </c>
      <c r="BC139" s="78">
        <v>9150</v>
      </c>
      <c r="BD139" s="78">
        <v>1</v>
      </c>
      <c r="BE139" s="78">
        <v>0</v>
      </c>
      <c r="BF139" s="78">
        <v>0</v>
      </c>
      <c r="BG139" s="78">
        <v>0</v>
      </c>
      <c r="BH139" s="78">
        <v>0</v>
      </c>
      <c r="BI139" s="78">
        <v>0</v>
      </c>
      <c r="BJ139" s="78">
        <v>0</v>
      </c>
      <c r="BK139" s="78">
        <v>0</v>
      </c>
      <c r="BL139" s="78">
        <v>0</v>
      </c>
      <c r="BM139" s="78">
        <v>1001.072</v>
      </c>
      <c r="BN139" s="78">
        <v>160</v>
      </c>
      <c r="BO139" s="78">
        <v>110</v>
      </c>
      <c r="BP139" s="78">
        <v>23752.94</v>
      </c>
      <c r="BQ139" s="78">
        <v>6006.96</v>
      </c>
      <c r="BR139" s="78">
        <v>478.83909266151301</v>
      </c>
      <c r="BS139" s="78">
        <v>730</v>
      </c>
      <c r="BT139" s="78">
        <v>211.666666666667</v>
      </c>
      <c r="BU139" s="78">
        <v>181</v>
      </c>
      <c r="BV139" s="78">
        <v>2423</v>
      </c>
      <c r="BW139" s="78">
        <v>451</v>
      </c>
      <c r="BX139" s="78">
        <v>9490.2415924310408</v>
      </c>
      <c r="BY139" s="402">
        <v>0.79700000000000004</v>
      </c>
      <c r="BZ139" s="78">
        <v>51257</v>
      </c>
      <c r="CA139" s="78">
        <v>8014</v>
      </c>
      <c r="CB139" s="78">
        <v>1434</v>
      </c>
      <c r="CC139" s="78">
        <v>1875</v>
      </c>
      <c r="CD139" s="78">
        <v>1555</v>
      </c>
      <c r="CE139" s="78">
        <v>712</v>
      </c>
      <c r="CF139" s="78">
        <v>693.86716050227506</v>
      </c>
      <c r="CG139" s="78">
        <v>432.53530297327802</v>
      </c>
      <c r="CH139" s="78">
        <v>139.584182434051</v>
      </c>
      <c r="CI139" s="78">
        <v>1608.2819999999999</v>
      </c>
      <c r="CJ139" s="78">
        <v>1002.5531999999999</v>
      </c>
      <c r="CK139" s="78">
        <v>323.53559999999999</v>
      </c>
      <c r="CL139" s="78">
        <v>33031</v>
      </c>
    </row>
    <row r="140" spans="1:90" x14ac:dyDescent="0.35">
      <c r="A140" s="72">
        <v>344</v>
      </c>
      <c r="B140" s="72" t="s">
        <v>305</v>
      </c>
      <c r="C140" s="72">
        <v>6</v>
      </c>
      <c r="D140" s="78">
        <v>50371200000</v>
      </c>
      <c r="E140" s="78">
        <v>9661050000</v>
      </c>
      <c r="F140" s="78">
        <v>9762900000</v>
      </c>
      <c r="G140" s="78">
        <v>361699</v>
      </c>
      <c r="H140" s="78">
        <v>2</v>
      </c>
      <c r="I140" s="78">
        <v>9762.9</v>
      </c>
      <c r="J140" s="78">
        <v>70475</v>
      </c>
      <c r="K140" s="78">
        <v>38623</v>
      </c>
      <c r="L140" s="78">
        <v>12305</v>
      </c>
      <c r="M140" s="78">
        <v>48857</v>
      </c>
      <c r="N140" s="78">
        <v>31890.1</v>
      </c>
      <c r="O140" s="78">
        <v>9627</v>
      </c>
      <c r="P140" s="78">
        <v>229</v>
      </c>
      <c r="Q140" s="78">
        <v>24368</v>
      </c>
      <c r="R140" s="78">
        <v>92360</v>
      </c>
      <c r="S140" s="78">
        <v>59955</v>
      </c>
      <c r="T140" s="78">
        <v>0</v>
      </c>
      <c r="U140" s="78">
        <v>10429</v>
      </c>
      <c r="V140" s="78">
        <v>187145</v>
      </c>
      <c r="W140" s="78">
        <v>415270</v>
      </c>
      <c r="X140" s="78">
        <v>734070</v>
      </c>
      <c r="Y140" s="78">
        <v>8786.4033999999992</v>
      </c>
      <c r="Z140" s="78">
        <v>13052.8</v>
      </c>
      <c r="AA140" s="78">
        <v>1077.7</v>
      </c>
      <c r="AB140" s="399">
        <v>2366.2999999999884</v>
      </c>
      <c r="AC140" s="399">
        <v>4514.0999999999985</v>
      </c>
      <c r="AD140" s="78">
        <v>9372</v>
      </c>
      <c r="AE140" s="78">
        <v>9653.16</v>
      </c>
      <c r="AF140" s="78">
        <v>548</v>
      </c>
      <c r="AG140" s="78">
        <v>0</v>
      </c>
      <c r="AH140" s="78">
        <v>1215</v>
      </c>
      <c r="AI140" s="78">
        <v>105</v>
      </c>
      <c r="AJ140" s="78">
        <v>1227.1500000000001</v>
      </c>
      <c r="AK140" s="78">
        <v>111.3</v>
      </c>
      <c r="AL140" s="78">
        <v>1320</v>
      </c>
      <c r="AM140" s="78">
        <v>169669</v>
      </c>
      <c r="AN140" s="78">
        <v>171365.69</v>
      </c>
      <c r="AO140" s="78">
        <v>0</v>
      </c>
      <c r="AP140" s="78">
        <v>0</v>
      </c>
      <c r="AQ140" s="78">
        <v>132</v>
      </c>
      <c r="AR140" s="78">
        <v>14100</v>
      </c>
      <c r="AS140" s="78">
        <v>39725</v>
      </c>
      <c r="AT140" s="78">
        <v>37288</v>
      </c>
      <c r="AU140" s="400">
        <v>2.9825601E-2</v>
      </c>
      <c r="AV140" s="400">
        <v>2.8403813E-2</v>
      </c>
      <c r="AW140" s="78">
        <v>599270.90800000005</v>
      </c>
      <c r="AX140" s="78">
        <v>22396.308000000001</v>
      </c>
      <c r="AY140" s="78">
        <v>5380.72</v>
      </c>
      <c r="AZ140" s="78">
        <v>212864.236891129</v>
      </c>
      <c r="BA140" s="78">
        <v>5</v>
      </c>
      <c r="BB140" s="78">
        <v>5.3</v>
      </c>
      <c r="BC140" s="78">
        <v>54895</v>
      </c>
      <c r="BD140" s="78">
        <v>1</v>
      </c>
      <c r="BE140" s="78">
        <v>1</v>
      </c>
      <c r="BF140" s="78">
        <v>0</v>
      </c>
      <c r="BG140" s="78">
        <v>0</v>
      </c>
      <c r="BH140" s="78">
        <v>0</v>
      </c>
      <c r="BI140" s="78">
        <v>0</v>
      </c>
      <c r="BJ140" s="78">
        <v>0</v>
      </c>
      <c r="BK140" s="78">
        <v>0</v>
      </c>
      <c r="BL140" s="78">
        <v>0</v>
      </c>
      <c r="BM140" s="78">
        <v>10077.924999999999</v>
      </c>
      <c r="BN140" s="78">
        <v>858</v>
      </c>
      <c r="BO140" s="78">
        <v>2067</v>
      </c>
      <c r="BP140" s="78">
        <v>106409.7</v>
      </c>
      <c r="BQ140" s="78">
        <v>27192.2</v>
      </c>
      <c r="BR140" s="78">
        <v>3743.7896293888198</v>
      </c>
      <c r="BS140" s="78">
        <v>4182</v>
      </c>
      <c r="BT140" s="78">
        <v>2672</v>
      </c>
      <c r="BU140" s="78">
        <v>2137.6666666666702</v>
      </c>
      <c r="BV140" s="78">
        <v>14741</v>
      </c>
      <c r="BW140" s="78">
        <v>3504</v>
      </c>
      <c r="BX140" s="78">
        <v>29646.4954347887</v>
      </c>
      <c r="BY140" s="402">
        <v>23.68</v>
      </c>
      <c r="BZ140" s="78">
        <v>323076</v>
      </c>
      <c r="CA140" s="78">
        <v>21978</v>
      </c>
      <c r="CB140" s="78">
        <v>4340</v>
      </c>
      <c r="CC140" s="78">
        <v>7831</v>
      </c>
      <c r="CD140" s="78">
        <v>5073</v>
      </c>
      <c r="CE140" s="78">
        <v>2319</v>
      </c>
      <c r="CF140" s="78">
        <v>2906.1568477447299</v>
      </c>
      <c r="CG140" s="78">
        <v>1696.8557768360799</v>
      </c>
      <c r="CH140" s="78">
        <v>588.67437893781403</v>
      </c>
      <c r="CI140" s="78">
        <v>6415.1837999999998</v>
      </c>
      <c r="CJ140" s="78">
        <v>3745.7172</v>
      </c>
      <c r="CK140" s="78">
        <v>1299.4667999999999</v>
      </c>
      <c r="CL140" s="78">
        <v>199289</v>
      </c>
    </row>
    <row r="141" spans="1:90" x14ac:dyDescent="0.35">
      <c r="A141" s="72">
        <v>1581</v>
      </c>
      <c r="B141" s="72" t="s">
        <v>306</v>
      </c>
      <c r="C141" s="72">
        <v>6</v>
      </c>
      <c r="D141" s="78">
        <v>7320000000</v>
      </c>
      <c r="E141" s="78">
        <v>552650000</v>
      </c>
      <c r="F141" s="78">
        <v>597100000</v>
      </c>
      <c r="G141" s="78">
        <v>49981</v>
      </c>
      <c r="H141" s="78">
        <v>5</v>
      </c>
      <c r="I141" s="78">
        <v>597.1</v>
      </c>
      <c r="J141" s="78">
        <v>9837</v>
      </c>
      <c r="K141" s="78">
        <v>12435</v>
      </c>
      <c r="L141" s="78">
        <v>4466</v>
      </c>
      <c r="M141" s="78">
        <v>5474</v>
      </c>
      <c r="N141" s="78">
        <v>2979.3999999999996</v>
      </c>
      <c r="O141" s="78">
        <v>623.66666666666697</v>
      </c>
      <c r="P141" s="78">
        <v>55</v>
      </c>
      <c r="Q141" s="78">
        <v>2871.6666666666702</v>
      </c>
      <c r="R141" s="78">
        <v>7627</v>
      </c>
      <c r="S141" s="78">
        <v>2110</v>
      </c>
      <c r="T141" s="78">
        <v>0</v>
      </c>
      <c r="U141" s="78">
        <v>1276</v>
      </c>
      <c r="V141" s="78">
        <v>23391</v>
      </c>
      <c r="W141" s="78">
        <v>43820</v>
      </c>
      <c r="X141" s="78">
        <v>16070</v>
      </c>
      <c r="Y141" s="78">
        <v>734.80020000000002</v>
      </c>
      <c r="Z141" s="78">
        <v>1830.4</v>
      </c>
      <c r="AA141" s="78">
        <v>0</v>
      </c>
      <c r="AB141" s="399">
        <v>0</v>
      </c>
      <c r="AC141" s="399">
        <v>0</v>
      </c>
      <c r="AD141" s="78">
        <v>13205</v>
      </c>
      <c r="AE141" s="78">
        <v>13205</v>
      </c>
      <c r="AF141" s="78">
        <v>189</v>
      </c>
      <c r="AG141" s="78">
        <v>0</v>
      </c>
      <c r="AH141" s="78">
        <v>253</v>
      </c>
      <c r="AI141" s="78">
        <v>72</v>
      </c>
      <c r="AJ141" s="78">
        <v>253</v>
      </c>
      <c r="AK141" s="78">
        <v>72</v>
      </c>
      <c r="AL141" s="78">
        <v>325</v>
      </c>
      <c r="AM141" s="78">
        <v>24946</v>
      </c>
      <c r="AN141" s="78">
        <v>24946</v>
      </c>
      <c r="AO141" s="78">
        <v>0</v>
      </c>
      <c r="AP141" s="78">
        <v>0</v>
      </c>
      <c r="AQ141" s="78">
        <v>0</v>
      </c>
      <c r="AR141" s="78">
        <v>0</v>
      </c>
      <c r="AS141" s="78">
        <v>1930</v>
      </c>
      <c r="AT141" s="78">
        <v>0</v>
      </c>
      <c r="AU141" s="400">
        <v>5.9320800000000002E-4</v>
      </c>
      <c r="AV141" s="400">
        <v>4.0565300000000001E-4</v>
      </c>
      <c r="AW141" s="78">
        <v>19732.286</v>
      </c>
      <c r="AX141" s="78">
        <v>0</v>
      </c>
      <c r="AY141" s="78">
        <v>1652</v>
      </c>
      <c r="AZ141" s="78">
        <v>6164.59698372406</v>
      </c>
      <c r="BA141" s="78">
        <v>17</v>
      </c>
      <c r="BB141" s="78">
        <v>17</v>
      </c>
      <c r="BC141" s="78">
        <v>8050</v>
      </c>
      <c r="BD141" s="78">
        <v>1</v>
      </c>
      <c r="BE141" s="78">
        <v>0</v>
      </c>
      <c r="BF141" s="78">
        <v>0</v>
      </c>
      <c r="BG141" s="78">
        <v>0</v>
      </c>
      <c r="BH141" s="78">
        <v>0</v>
      </c>
      <c r="BI141" s="78">
        <v>0</v>
      </c>
      <c r="BJ141" s="78">
        <v>0</v>
      </c>
      <c r="BK141" s="78">
        <v>0</v>
      </c>
      <c r="BL141" s="78">
        <v>0</v>
      </c>
      <c r="BM141" s="78">
        <v>777.12300000000005</v>
      </c>
      <c r="BN141" s="78">
        <v>64</v>
      </c>
      <c r="BO141" s="78">
        <v>102</v>
      </c>
      <c r="BP141" s="78">
        <v>18042.54</v>
      </c>
      <c r="BQ141" s="78">
        <v>4521.4399999999996</v>
      </c>
      <c r="BR141" s="78">
        <v>459.24912925642798</v>
      </c>
      <c r="BS141" s="78">
        <v>451</v>
      </c>
      <c r="BT141" s="78">
        <v>149.333333333333</v>
      </c>
      <c r="BU141" s="78">
        <v>100.666666666667</v>
      </c>
      <c r="BV141" s="78">
        <v>2248.0000000000032</v>
      </c>
      <c r="BW141" s="78">
        <v>885</v>
      </c>
      <c r="BX141" s="78">
        <v>7716.8838721819602</v>
      </c>
      <c r="BY141" s="402">
        <v>0.93400000000000005</v>
      </c>
      <c r="BZ141" s="78">
        <v>37546</v>
      </c>
      <c r="CA141" s="78">
        <v>6093</v>
      </c>
      <c r="CB141" s="78">
        <v>1876</v>
      </c>
      <c r="CC141" s="78">
        <v>1332</v>
      </c>
      <c r="CD141" s="78">
        <v>1487</v>
      </c>
      <c r="CE141" s="78">
        <v>866</v>
      </c>
      <c r="CF141" s="78">
        <v>451.10213260643002</v>
      </c>
      <c r="CG141" s="78">
        <v>361.04891365349198</v>
      </c>
      <c r="CH141" s="78">
        <v>149.531339693738</v>
      </c>
      <c r="CI141" s="78">
        <v>1096.4630999999999</v>
      </c>
      <c r="CJ141" s="78">
        <v>877.57690000000002</v>
      </c>
      <c r="CK141" s="78">
        <v>363.4556</v>
      </c>
      <c r="CL141" s="78">
        <v>200212</v>
      </c>
    </row>
    <row r="142" spans="1:90" x14ac:dyDescent="0.35">
      <c r="A142" s="72">
        <v>345</v>
      </c>
      <c r="B142" s="72" t="s">
        <v>311</v>
      </c>
      <c r="C142" s="72">
        <v>6</v>
      </c>
      <c r="D142" s="78">
        <v>7072400000</v>
      </c>
      <c r="E142" s="78">
        <v>1071000000</v>
      </c>
      <c r="F142" s="78">
        <v>1076250000</v>
      </c>
      <c r="G142" s="78">
        <v>67671</v>
      </c>
      <c r="H142" s="78">
        <v>1</v>
      </c>
      <c r="I142" s="78">
        <v>1076.25</v>
      </c>
      <c r="J142" s="78">
        <v>14764</v>
      </c>
      <c r="K142" s="78">
        <v>12586</v>
      </c>
      <c r="L142" s="78">
        <v>4117</v>
      </c>
      <c r="M142" s="78">
        <v>8661</v>
      </c>
      <c r="N142" s="78">
        <v>5738.2999999999993</v>
      </c>
      <c r="O142" s="78">
        <v>1078.6666666666699</v>
      </c>
      <c r="P142" s="78">
        <v>76</v>
      </c>
      <c r="Q142" s="78">
        <v>4418.6666666666697</v>
      </c>
      <c r="R142" s="78">
        <v>9472</v>
      </c>
      <c r="S142" s="78">
        <v>5690</v>
      </c>
      <c r="T142" s="78">
        <v>0</v>
      </c>
      <c r="U142" s="78">
        <v>1943</v>
      </c>
      <c r="V142" s="78">
        <v>29456</v>
      </c>
      <c r="W142" s="78">
        <v>77780</v>
      </c>
      <c r="X142" s="78">
        <v>81930</v>
      </c>
      <c r="Y142" s="78">
        <v>1318.32</v>
      </c>
      <c r="Z142" s="78">
        <v>4608.8</v>
      </c>
      <c r="AA142" s="78">
        <v>0</v>
      </c>
      <c r="AB142" s="399">
        <v>0</v>
      </c>
      <c r="AC142" s="399">
        <v>0</v>
      </c>
      <c r="AD142" s="78">
        <v>1938</v>
      </c>
      <c r="AE142" s="78">
        <v>1938</v>
      </c>
      <c r="AF142" s="78">
        <v>34</v>
      </c>
      <c r="AG142" s="78">
        <v>0</v>
      </c>
      <c r="AH142" s="78">
        <v>353</v>
      </c>
      <c r="AI142" s="78">
        <v>5</v>
      </c>
      <c r="AJ142" s="78">
        <v>353</v>
      </c>
      <c r="AK142" s="78">
        <v>5</v>
      </c>
      <c r="AL142" s="78">
        <v>358</v>
      </c>
      <c r="AM142" s="78">
        <v>29227</v>
      </c>
      <c r="AN142" s="78">
        <v>29227</v>
      </c>
      <c r="AO142" s="78">
        <v>0</v>
      </c>
      <c r="AP142" s="78">
        <v>0</v>
      </c>
      <c r="AQ142" s="78">
        <v>0</v>
      </c>
      <c r="AR142" s="78">
        <v>0</v>
      </c>
      <c r="AS142" s="78">
        <v>2384</v>
      </c>
      <c r="AT142" s="78">
        <v>0</v>
      </c>
      <c r="AU142" s="400">
        <v>5.5279000000000005E-4</v>
      </c>
      <c r="AV142" s="400">
        <v>1.4079470000000001E-3</v>
      </c>
      <c r="AW142" s="78">
        <v>64942.394</v>
      </c>
      <c r="AX142" s="78">
        <v>0</v>
      </c>
      <c r="AY142" s="78">
        <v>919</v>
      </c>
      <c r="AZ142" s="78">
        <v>31536.333164300198</v>
      </c>
      <c r="BA142" s="78">
        <v>1</v>
      </c>
      <c r="BB142" s="78">
        <v>1</v>
      </c>
      <c r="BC142" s="78">
        <v>7805</v>
      </c>
      <c r="BD142" s="78">
        <v>1</v>
      </c>
      <c r="BE142" s="78">
        <v>0</v>
      </c>
      <c r="BF142" s="78">
        <v>0</v>
      </c>
      <c r="BG142" s="78">
        <v>0</v>
      </c>
      <c r="BH142" s="78">
        <v>0</v>
      </c>
      <c r="BI142" s="78">
        <v>0</v>
      </c>
      <c r="BJ142" s="78">
        <v>0</v>
      </c>
      <c r="BK142" s="78">
        <v>0</v>
      </c>
      <c r="BL142" s="78">
        <v>0</v>
      </c>
      <c r="BM142" s="78">
        <v>1697.86</v>
      </c>
      <c r="BN142" s="78">
        <v>299</v>
      </c>
      <c r="BO142" s="78">
        <v>226</v>
      </c>
      <c r="BP142" s="78">
        <v>18641.349999999999</v>
      </c>
      <c r="BQ142" s="78">
        <v>4688.46</v>
      </c>
      <c r="BR142" s="78">
        <v>803.13695599392997</v>
      </c>
      <c r="BS142" s="78">
        <v>795</v>
      </c>
      <c r="BT142" s="78">
        <v>348</v>
      </c>
      <c r="BU142" s="78">
        <v>300</v>
      </c>
      <c r="BV142" s="78">
        <v>3340</v>
      </c>
      <c r="BW142" s="78">
        <v>946</v>
      </c>
      <c r="BX142" s="78">
        <v>11339.746947632701</v>
      </c>
      <c r="BY142" s="402">
        <v>2.3149999999999999</v>
      </c>
      <c r="BZ142" s="78">
        <v>55085</v>
      </c>
      <c r="CA142" s="78">
        <v>7170</v>
      </c>
      <c r="CB142" s="78">
        <v>1299</v>
      </c>
      <c r="CC142" s="78">
        <v>1446</v>
      </c>
      <c r="CD142" s="78">
        <v>1377</v>
      </c>
      <c r="CE142" s="78">
        <v>677</v>
      </c>
      <c r="CF142" s="78">
        <v>867.80326410510804</v>
      </c>
      <c r="CG142" s="78">
        <v>566.62448420980604</v>
      </c>
      <c r="CH142" s="78">
        <v>182.39575392616399</v>
      </c>
      <c r="CI142" s="78">
        <v>2091.9859999999999</v>
      </c>
      <c r="CJ142" s="78">
        <v>1365.9438</v>
      </c>
      <c r="CK142" s="78">
        <v>439.69569999999999</v>
      </c>
      <c r="CL142" s="78">
        <v>34126</v>
      </c>
    </row>
    <row r="143" spans="1:90" x14ac:dyDescent="0.35">
      <c r="A143" s="72">
        <v>1961</v>
      </c>
      <c r="B143" s="72" t="s">
        <v>317</v>
      </c>
      <c r="C143" s="72">
        <v>6</v>
      </c>
      <c r="D143" s="78">
        <v>6454000000</v>
      </c>
      <c r="E143" s="78">
        <v>892850000</v>
      </c>
      <c r="F143" s="78">
        <v>945700000</v>
      </c>
      <c r="G143" s="78">
        <v>58788</v>
      </c>
      <c r="H143" s="78">
        <v>6</v>
      </c>
      <c r="I143" s="78">
        <v>945.7</v>
      </c>
      <c r="J143" s="78">
        <v>12346</v>
      </c>
      <c r="K143" s="78">
        <v>11909</v>
      </c>
      <c r="L143" s="78">
        <v>4085</v>
      </c>
      <c r="M143" s="78">
        <v>6783</v>
      </c>
      <c r="N143" s="78">
        <v>4299.7</v>
      </c>
      <c r="O143" s="78">
        <v>710</v>
      </c>
      <c r="P143" s="78">
        <v>72</v>
      </c>
      <c r="Q143" s="78">
        <v>3352</v>
      </c>
      <c r="R143" s="78">
        <v>7096</v>
      </c>
      <c r="S143" s="78">
        <v>4700</v>
      </c>
      <c r="T143" s="78">
        <v>0</v>
      </c>
      <c r="U143" s="78">
        <v>1720</v>
      </c>
      <c r="V143" s="78">
        <v>24976</v>
      </c>
      <c r="W143" s="78">
        <v>53230</v>
      </c>
      <c r="X143" s="78">
        <v>13550</v>
      </c>
      <c r="Y143" s="78">
        <v>174.24</v>
      </c>
      <c r="Z143" s="78">
        <v>1424</v>
      </c>
      <c r="AA143" s="78">
        <v>0</v>
      </c>
      <c r="AB143" s="399">
        <v>0</v>
      </c>
      <c r="AC143" s="399">
        <v>0</v>
      </c>
      <c r="AD143" s="78">
        <v>14626</v>
      </c>
      <c r="AE143" s="78">
        <v>19013.8</v>
      </c>
      <c r="AF143" s="78">
        <v>705</v>
      </c>
      <c r="AG143" s="78">
        <v>0</v>
      </c>
      <c r="AH143" s="78">
        <v>315</v>
      </c>
      <c r="AI143" s="78">
        <v>110</v>
      </c>
      <c r="AJ143" s="78">
        <v>390.6</v>
      </c>
      <c r="AK143" s="78">
        <v>145.19999999999999</v>
      </c>
      <c r="AL143" s="78">
        <v>425</v>
      </c>
      <c r="AM143" s="78">
        <v>24833</v>
      </c>
      <c r="AN143" s="78">
        <v>30792.92</v>
      </c>
      <c r="AO143" s="78">
        <v>20</v>
      </c>
      <c r="AP143" s="78">
        <v>0</v>
      </c>
      <c r="AQ143" s="78">
        <v>0</v>
      </c>
      <c r="AR143" s="78">
        <v>2200</v>
      </c>
      <c r="AS143" s="78">
        <v>2225</v>
      </c>
      <c r="AT143" s="78">
        <v>1400</v>
      </c>
      <c r="AU143" s="400">
        <v>8.9642200000000002E-4</v>
      </c>
      <c r="AV143" s="400">
        <v>6.3300800000000001E-4</v>
      </c>
      <c r="AW143" s="78">
        <v>22672.528999999999</v>
      </c>
      <c r="AX143" s="78">
        <v>0</v>
      </c>
      <c r="AY143" s="78">
        <v>6931.6</v>
      </c>
      <c r="AZ143" s="78">
        <v>59111.638849390103</v>
      </c>
      <c r="BA143" s="78">
        <v>19</v>
      </c>
      <c r="BB143" s="78">
        <v>25.08</v>
      </c>
      <c r="BC143" s="78">
        <v>7220</v>
      </c>
      <c r="BD143" s="78">
        <v>1</v>
      </c>
      <c r="BE143" s="78">
        <v>0</v>
      </c>
      <c r="BF143" s="78">
        <v>0</v>
      </c>
      <c r="BG143" s="78">
        <v>0</v>
      </c>
      <c r="BH143" s="78">
        <v>0</v>
      </c>
      <c r="BI143" s="78">
        <v>0</v>
      </c>
      <c r="BJ143" s="78">
        <v>0</v>
      </c>
      <c r="BK143" s="78">
        <v>0</v>
      </c>
      <c r="BL143" s="78">
        <v>0</v>
      </c>
      <c r="BM143" s="78">
        <v>1160.5239999999999</v>
      </c>
      <c r="BN143" s="78">
        <v>169</v>
      </c>
      <c r="BO143" s="78">
        <v>194</v>
      </c>
      <c r="BP143" s="78">
        <v>16685.580000000002</v>
      </c>
      <c r="BQ143" s="78">
        <v>4388.34</v>
      </c>
      <c r="BR143" s="78">
        <v>596.49960376372201</v>
      </c>
      <c r="BS143" s="78">
        <v>655</v>
      </c>
      <c r="BT143" s="78">
        <v>243</v>
      </c>
      <c r="BU143" s="78">
        <v>187.666666666667</v>
      </c>
      <c r="BV143" s="78">
        <v>2642</v>
      </c>
      <c r="BW143" s="78">
        <v>621</v>
      </c>
      <c r="BX143" s="78">
        <v>9952.8798658112701</v>
      </c>
      <c r="BY143" s="402">
        <v>1.212</v>
      </c>
      <c r="BZ143" s="78">
        <v>46879</v>
      </c>
      <c r="CA143" s="78">
        <v>6544</v>
      </c>
      <c r="CB143" s="78">
        <v>1280</v>
      </c>
      <c r="CC143" s="78">
        <v>1248</v>
      </c>
      <c r="CD143" s="78">
        <v>1314</v>
      </c>
      <c r="CE143" s="78">
        <v>594</v>
      </c>
      <c r="CF143" s="78">
        <v>695.34873756694697</v>
      </c>
      <c r="CG143" s="78">
        <v>488.26778882937998</v>
      </c>
      <c r="CH143" s="78">
        <v>146.307192042846</v>
      </c>
      <c r="CI143" s="78">
        <v>1726.0768</v>
      </c>
      <c r="CJ143" s="78">
        <v>1212.0360000000001</v>
      </c>
      <c r="CK143" s="78">
        <v>363.18099999999998</v>
      </c>
      <c r="CL143" s="78">
        <v>15611</v>
      </c>
    </row>
    <row r="144" spans="1:90" x14ac:dyDescent="0.35">
      <c r="A144" s="72">
        <v>352</v>
      </c>
      <c r="B144" s="72" t="s">
        <v>346</v>
      </c>
      <c r="C144" s="72">
        <v>6</v>
      </c>
      <c r="D144" s="78">
        <v>2811200000</v>
      </c>
      <c r="E144" s="78">
        <v>191100000</v>
      </c>
      <c r="F144" s="78">
        <v>213150000</v>
      </c>
      <c r="G144" s="78">
        <v>23921</v>
      </c>
      <c r="H144" s="78">
        <v>3</v>
      </c>
      <c r="I144" s="78">
        <v>213.15</v>
      </c>
      <c r="J144" s="78">
        <v>4622</v>
      </c>
      <c r="K144" s="78">
        <v>5244</v>
      </c>
      <c r="L144" s="78">
        <v>1561</v>
      </c>
      <c r="M144" s="78">
        <v>2352</v>
      </c>
      <c r="N144" s="78">
        <v>1310.0999999999999</v>
      </c>
      <c r="O144" s="78">
        <v>254.666666666667</v>
      </c>
      <c r="P144" s="78">
        <v>20</v>
      </c>
      <c r="Q144" s="78">
        <v>1209.6666666666699</v>
      </c>
      <c r="R144" s="78">
        <v>2994</v>
      </c>
      <c r="S144" s="78">
        <v>710</v>
      </c>
      <c r="T144" s="78">
        <v>0</v>
      </c>
      <c r="U144" s="78">
        <v>717</v>
      </c>
      <c r="V144" s="78">
        <v>10470</v>
      </c>
      <c r="W144" s="78">
        <v>22600</v>
      </c>
      <c r="X144" s="78">
        <v>6690</v>
      </c>
      <c r="Y144" s="78">
        <v>146.52000000000001</v>
      </c>
      <c r="Z144" s="78">
        <v>605.6</v>
      </c>
      <c r="AA144" s="78">
        <v>0</v>
      </c>
      <c r="AB144" s="399">
        <v>0</v>
      </c>
      <c r="AC144" s="399">
        <v>0</v>
      </c>
      <c r="AD144" s="78">
        <v>4762</v>
      </c>
      <c r="AE144" s="78">
        <v>5095.34</v>
      </c>
      <c r="AF144" s="78">
        <v>278</v>
      </c>
      <c r="AG144" s="78">
        <v>0</v>
      </c>
      <c r="AH144" s="78">
        <v>102</v>
      </c>
      <c r="AI144" s="78">
        <v>36</v>
      </c>
      <c r="AJ144" s="78">
        <v>113.22</v>
      </c>
      <c r="AK144" s="78">
        <v>38.159999999999997</v>
      </c>
      <c r="AL144" s="78">
        <v>138</v>
      </c>
      <c r="AM144" s="78">
        <v>10419</v>
      </c>
      <c r="AN144" s="78">
        <v>11565.09</v>
      </c>
      <c r="AO144" s="78">
        <v>13</v>
      </c>
      <c r="AP144" s="78">
        <v>0</v>
      </c>
      <c r="AQ144" s="78">
        <v>0</v>
      </c>
      <c r="AR144" s="78">
        <v>1250</v>
      </c>
      <c r="AS144" s="78">
        <v>591</v>
      </c>
      <c r="AT144" s="78">
        <v>591</v>
      </c>
      <c r="AU144" s="400">
        <v>1.3178800000000001E-4</v>
      </c>
      <c r="AV144" s="400">
        <v>1.0825E-4</v>
      </c>
      <c r="AW144" s="78">
        <v>11961.012000000001</v>
      </c>
      <c r="AX144" s="78">
        <v>0</v>
      </c>
      <c r="AY144" s="78">
        <v>1382.44</v>
      </c>
      <c r="AZ144" s="78">
        <v>8399.7832103174605</v>
      </c>
      <c r="BA144" s="78">
        <v>5</v>
      </c>
      <c r="BB144" s="78">
        <v>5.3</v>
      </c>
      <c r="BC144" s="78">
        <v>3040</v>
      </c>
      <c r="BD144" s="78">
        <v>1</v>
      </c>
      <c r="BE144" s="78">
        <v>0</v>
      </c>
      <c r="BF144" s="78">
        <v>0</v>
      </c>
      <c r="BG144" s="78">
        <v>0</v>
      </c>
      <c r="BH144" s="78">
        <v>0</v>
      </c>
      <c r="BI144" s="78">
        <v>0</v>
      </c>
      <c r="BJ144" s="78">
        <v>0</v>
      </c>
      <c r="BK144" s="78">
        <v>0</v>
      </c>
      <c r="BL144" s="78">
        <v>0</v>
      </c>
      <c r="BM144" s="78">
        <v>337.40600000000001</v>
      </c>
      <c r="BN144" s="78">
        <v>65</v>
      </c>
      <c r="BO144" s="78">
        <v>53</v>
      </c>
      <c r="BP144" s="78">
        <v>8041.02</v>
      </c>
      <c r="BQ144" s="78">
        <v>1836.06</v>
      </c>
      <c r="BR144" s="78">
        <v>223.27463366336599</v>
      </c>
      <c r="BS144" s="78">
        <v>279</v>
      </c>
      <c r="BT144" s="78">
        <v>86</v>
      </c>
      <c r="BU144" s="78">
        <v>67.6666666666667</v>
      </c>
      <c r="BV144" s="78">
        <v>955.00000000000296</v>
      </c>
      <c r="BW144" s="78">
        <v>203</v>
      </c>
      <c r="BX144" s="78">
        <v>4192.2989759665597</v>
      </c>
      <c r="BY144" s="402">
        <v>0.186</v>
      </c>
      <c r="BZ144" s="78">
        <v>18677</v>
      </c>
      <c r="CA144" s="78">
        <v>3281</v>
      </c>
      <c r="CB144" s="78">
        <v>402</v>
      </c>
      <c r="CC144" s="78">
        <v>658</v>
      </c>
      <c r="CD144" s="78">
        <v>495</v>
      </c>
      <c r="CE144" s="78">
        <v>208</v>
      </c>
      <c r="CF144" s="78">
        <v>256.13530089260001</v>
      </c>
      <c r="CG144" s="78">
        <v>139.69873308378899</v>
      </c>
      <c r="CH144" s="78">
        <v>37.722430175640703</v>
      </c>
      <c r="CI144" s="78">
        <v>732.50519999999995</v>
      </c>
      <c r="CJ144" s="78">
        <v>399.51560000000001</v>
      </c>
      <c r="CK144" s="78">
        <v>107.88</v>
      </c>
      <c r="CL144" s="78">
        <v>0</v>
      </c>
    </row>
    <row r="145" spans="1:90" x14ac:dyDescent="0.35">
      <c r="A145" s="72">
        <v>632</v>
      </c>
      <c r="B145" s="72" t="s">
        <v>349</v>
      </c>
      <c r="C145" s="72">
        <v>6</v>
      </c>
      <c r="D145" s="78">
        <v>6300800000</v>
      </c>
      <c r="E145" s="78">
        <v>736750000</v>
      </c>
      <c r="F145" s="78">
        <v>770350000</v>
      </c>
      <c r="G145" s="78">
        <v>52882</v>
      </c>
      <c r="H145" s="78">
        <v>4</v>
      </c>
      <c r="I145" s="78">
        <v>770.35</v>
      </c>
      <c r="J145" s="78">
        <v>11195</v>
      </c>
      <c r="K145" s="78">
        <v>10347</v>
      </c>
      <c r="L145" s="78">
        <v>3479</v>
      </c>
      <c r="M145" s="78">
        <v>5461</v>
      </c>
      <c r="N145" s="78">
        <v>3196.1</v>
      </c>
      <c r="O145" s="78">
        <v>549.33333333333303</v>
      </c>
      <c r="P145" s="78">
        <v>47</v>
      </c>
      <c r="Q145" s="78">
        <v>2697.3333333333298</v>
      </c>
      <c r="R145" s="78">
        <v>7148</v>
      </c>
      <c r="S145" s="78">
        <v>2890</v>
      </c>
      <c r="T145" s="78">
        <v>0</v>
      </c>
      <c r="U145" s="78">
        <v>1541</v>
      </c>
      <c r="V145" s="78">
        <v>22917</v>
      </c>
      <c r="W145" s="78">
        <v>50900</v>
      </c>
      <c r="X145" s="78">
        <v>21680</v>
      </c>
      <c r="Y145" s="78">
        <v>825.66</v>
      </c>
      <c r="Z145" s="78">
        <v>4054.4</v>
      </c>
      <c r="AA145" s="78">
        <v>0</v>
      </c>
      <c r="AB145" s="399">
        <v>0</v>
      </c>
      <c r="AC145" s="399">
        <v>0</v>
      </c>
      <c r="AD145" s="78">
        <v>8899</v>
      </c>
      <c r="AE145" s="78">
        <v>14505.37</v>
      </c>
      <c r="AF145" s="78">
        <v>393</v>
      </c>
      <c r="AG145" s="78">
        <v>0</v>
      </c>
      <c r="AH145" s="78">
        <v>262</v>
      </c>
      <c r="AI145" s="78">
        <v>64</v>
      </c>
      <c r="AJ145" s="78">
        <v>356.32</v>
      </c>
      <c r="AK145" s="78">
        <v>108.8</v>
      </c>
      <c r="AL145" s="78">
        <v>327</v>
      </c>
      <c r="AM145" s="78">
        <v>22649</v>
      </c>
      <c r="AN145" s="78">
        <v>30802.639999999999</v>
      </c>
      <c r="AO145" s="78">
        <v>9</v>
      </c>
      <c r="AP145" s="78">
        <v>0</v>
      </c>
      <c r="AQ145" s="78">
        <v>0</v>
      </c>
      <c r="AR145" s="78">
        <v>3900</v>
      </c>
      <c r="AS145" s="78">
        <v>1651</v>
      </c>
      <c r="AT145" s="78">
        <v>1651</v>
      </c>
      <c r="AU145" s="400">
        <v>3.46795E-4</v>
      </c>
      <c r="AV145" s="400">
        <v>3.0283399999999998E-4</v>
      </c>
      <c r="AW145" s="78">
        <v>31504.758999999998</v>
      </c>
      <c r="AX145" s="78">
        <v>0</v>
      </c>
      <c r="AY145" s="78">
        <v>15680.6</v>
      </c>
      <c r="AZ145" s="78">
        <v>230893.21538958201</v>
      </c>
      <c r="BA145" s="78">
        <v>10</v>
      </c>
      <c r="BB145" s="78">
        <v>17</v>
      </c>
      <c r="BC145" s="78">
        <v>7635</v>
      </c>
      <c r="BD145" s="78">
        <v>1</v>
      </c>
      <c r="BE145" s="78">
        <v>0</v>
      </c>
      <c r="BF145" s="78">
        <v>0</v>
      </c>
      <c r="BG145" s="78">
        <v>0</v>
      </c>
      <c r="BH145" s="78">
        <v>0</v>
      </c>
      <c r="BI145" s="78">
        <v>0</v>
      </c>
      <c r="BJ145" s="78">
        <v>0</v>
      </c>
      <c r="BK145" s="78">
        <v>0</v>
      </c>
      <c r="BL145" s="78">
        <v>0</v>
      </c>
      <c r="BM145" s="78">
        <v>828.43</v>
      </c>
      <c r="BN145" s="78">
        <v>130</v>
      </c>
      <c r="BO145" s="78">
        <v>138</v>
      </c>
      <c r="BP145" s="78">
        <v>17670.72</v>
      </c>
      <c r="BQ145" s="78">
        <v>4628.47</v>
      </c>
      <c r="BR145" s="78">
        <v>474.75445093871798</v>
      </c>
      <c r="BS145" s="78">
        <v>647</v>
      </c>
      <c r="BT145" s="78">
        <v>187</v>
      </c>
      <c r="BU145" s="78">
        <v>140</v>
      </c>
      <c r="BV145" s="78">
        <v>2147.9999999999968</v>
      </c>
      <c r="BW145" s="78">
        <v>534</v>
      </c>
      <c r="BX145" s="78">
        <v>7684.0374053972</v>
      </c>
      <c r="BY145" s="402">
        <v>0.75800000000000001</v>
      </c>
      <c r="BZ145" s="78">
        <v>42535</v>
      </c>
      <c r="CA145" s="78">
        <v>5742</v>
      </c>
      <c r="CB145" s="78">
        <v>1126</v>
      </c>
      <c r="CC145" s="78">
        <v>1154</v>
      </c>
      <c r="CD145" s="78">
        <v>1094</v>
      </c>
      <c r="CE145" s="78">
        <v>577</v>
      </c>
      <c r="CF145" s="78">
        <v>496.01710892313099</v>
      </c>
      <c r="CG145" s="78">
        <v>343.33133030155898</v>
      </c>
      <c r="CH145" s="78">
        <v>115.99603514504</v>
      </c>
      <c r="CI145" s="78">
        <v>1207.7539999999999</v>
      </c>
      <c r="CJ145" s="78">
        <v>835.97879999999998</v>
      </c>
      <c r="CK145" s="78">
        <v>282.43920000000003</v>
      </c>
      <c r="CL145" s="78">
        <v>36742</v>
      </c>
    </row>
    <row r="146" spans="1:90" x14ac:dyDescent="0.35">
      <c r="A146" s="72">
        <v>351</v>
      </c>
      <c r="B146" s="72" t="s">
        <v>351</v>
      </c>
      <c r="C146" s="72">
        <v>6</v>
      </c>
      <c r="D146" s="78">
        <v>1684800000</v>
      </c>
      <c r="E146" s="78">
        <v>179900000</v>
      </c>
      <c r="F146" s="78">
        <v>182700000</v>
      </c>
      <c r="G146" s="78">
        <v>13873</v>
      </c>
      <c r="H146" s="78">
        <v>1</v>
      </c>
      <c r="I146" s="78">
        <v>182.7</v>
      </c>
      <c r="J146" s="78">
        <v>3265</v>
      </c>
      <c r="K146" s="78">
        <v>2611</v>
      </c>
      <c r="L146" s="78">
        <v>918</v>
      </c>
      <c r="M146" s="78">
        <v>1228</v>
      </c>
      <c r="N146" s="78">
        <v>674</v>
      </c>
      <c r="O146" s="78">
        <v>96</v>
      </c>
      <c r="P146" s="78">
        <v>15</v>
      </c>
      <c r="Q146" s="78">
        <v>647</v>
      </c>
      <c r="R146" s="78">
        <v>1445</v>
      </c>
      <c r="S146" s="78">
        <v>335</v>
      </c>
      <c r="T146" s="78">
        <v>0</v>
      </c>
      <c r="U146" s="78">
        <v>298</v>
      </c>
      <c r="V146" s="78">
        <v>5628</v>
      </c>
      <c r="W146" s="78">
        <v>12350</v>
      </c>
      <c r="X146" s="78">
        <v>2900</v>
      </c>
      <c r="Y146" s="78">
        <v>0</v>
      </c>
      <c r="Z146" s="78">
        <v>0</v>
      </c>
      <c r="AA146" s="78">
        <v>0</v>
      </c>
      <c r="AB146" s="399">
        <v>0</v>
      </c>
      <c r="AC146" s="399">
        <v>0</v>
      </c>
      <c r="AD146" s="78">
        <v>3652</v>
      </c>
      <c r="AE146" s="78">
        <v>3652</v>
      </c>
      <c r="AF146" s="78">
        <v>31</v>
      </c>
      <c r="AG146" s="78">
        <v>0</v>
      </c>
      <c r="AH146" s="78">
        <v>63</v>
      </c>
      <c r="AI146" s="78">
        <v>40</v>
      </c>
      <c r="AJ146" s="78">
        <v>63</v>
      </c>
      <c r="AK146" s="78">
        <v>40</v>
      </c>
      <c r="AL146" s="78">
        <v>102</v>
      </c>
      <c r="AM146" s="78">
        <v>5540</v>
      </c>
      <c r="AN146" s="78">
        <v>5540</v>
      </c>
      <c r="AO146" s="78">
        <v>0</v>
      </c>
      <c r="AP146" s="78">
        <v>0</v>
      </c>
      <c r="AQ146" s="78">
        <v>0</v>
      </c>
      <c r="AR146" s="78">
        <v>0</v>
      </c>
      <c r="AS146" s="78">
        <v>0</v>
      </c>
      <c r="AT146" s="78">
        <v>0</v>
      </c>
      <c r="AU146" s="400">
        <v>5.0538999999999998E-5</v>
      </c>
      <c r="AV146" s="400">
        <v>2.5939999999999999E-5</v>
      </c>
      <c r="AW146" s="78">
        <v>5462.44</v>
      </c>
      <c r="AX146" s="78">
        <v>0</v>
      </c>
      <c r="AY146" s="78">
        <v>592</v>
      </c>
      <c r="AZ146" s="78">
        <v>2229.9256041270701</v>
      </c>
      <c r="BA146" s="78">
        <v>1</v>
      </c>
      <c r="BB146" s="78">
        <v>1</v>
      </c>
      <c r="BC146" s="78">
        <v>1735</v>
      </c>
      <c r="BD146" s="78">
        <v>1</v>
      </c>
      <c r="BE146" s="78">
        <v>0</v>
      </c>
      <c r="BF146" s="78">
        <v>0</v>
      </c>
      <c r="BG146" s="78">
        <v>0</v>
      </c>
      <c r="BH146" s="78">
        <v>0</v>
      </c>
      <c r="BI146" s="78">
        <v>0</v>
      </c>
      <c r="BJ146" s="78">
        <v>0</v>
      </c>
      <c r="BK146" s="78">
        <v>0</v>
      </c>
      <c r="BL146" s="78">
        <v>0</v>
      </c>
      <c r="BM146" s="78">
        <v>215.49</v>
      </c>
      <c r="BN146" s="78">
        <v>65</v>
      </c>
      <c r="BO146" s="78">
        <v>30</v>
      </c>
      <c r="BP146" s="78">
        <v>3897.47</v>
      </c>
      <c r="BQ146" s="78">
        <v>1105</v>
      </c>
      <c r="BR146" s="78">
        <v>180.19690476190499</v>
      </c>
      <c r="BS146" s="78">
        <v>115</v>
      </c>
      <c r="BT146" s="78">
        <v>37.3333333333333</v>
      </c>
      <c r="BU146" s="78">
        <v>20</v>
      </c>
      <c r="BV146" s="78">
        <v>551</v>
      </c>
      <c r="BW146" s="78">
        <v>247</v>
      </c>
      <c r="BX146" s="78">
        <v>1566.74678202214</v>
      </c>
      <c r="BY146" s="402">
        <v>6.8000000000000005E-2</v>
      </c>
      <c r="BZ146" s="78">
        <v>11262</v>
      </c>
      <c r="CA146" s="78">
        <v>1374</v>
      </c>
      <c r="CB146" s="78">
        <v>319</v>
      </c>
      <c r="CC146" s="78">
        <v>263</v>
      </c>
      <c r="CD146" s="78">
        <v>269</v>
      </c>
      <c r="CE146" s="78">
        <v>156</v>
      </c>
      <c r="CF146" s="78">
        <v>102.316606498195</v>
      </c>
      <c r="CG146" s="78">
        <v>73.969675090252693</v>
      </c>
      <c r="CH146" s="78">
        <v>27.738628158844801</v>
      </c>
      <c r="CI146" s="78">
        <v>322.10300000000001</v>
      </c>
      <c r="CJ146" s="78">
        <v>232.864</v>
      </c>
      <c r="CK146" s="78">
        <v>87.323999999999998</v>
      </c>
      <c r="CL146" s="78">
        <v>83220</v>
      </c>
    </row>
    <row r="147" spans="1:90" x14ac:dyDescent="0.35">
      <c r="A147" s="72">
        <v>355</v>
      </c>
      <c r="B147" s="72" t="s">
        <v>356</v>
      </c>
      <c r="C147" s="72">
        <v>6</v>
      </c>
      <c r="D147" s="78">
        <v>10120000000</v>
      </c>
      <c r="E147" s="78">
        <v>1068550000</v>
      </c>
      <c r="F147" s="78">
        <v>1095500000</v>
      </c>
      <c r="G147" s="78">
        <v>65987</v>
      </c>
      <c r="H147" s="78">
        <v>3</v>
      </c>
      <c r="I147" s="78">
        <v>1095.5</v>
      </c>
      <c r="J147" s="78">
        <v>13819</v>
      </c>
      <c r="K147" s="78">
        <v>14056</v>
      </c>
      <c r="L147" s="78">
        <v>4748</v>
      </c>
      <c r="M147" s="78">
        <v>9026</v>
      </c>
      <c r="N147" s="78">
        <v>5882.1</v>
      </c>
      <c r="O147" s="78">
        <v>1139</v>
      </c>
      <c r="P147" s="78">
        <v>68</v>
      </c>
      <c r="Q147" s="78">
        <v>4538</v>
      </c>
      <c r="R147" s="78">
        <v>12217</v>
      </c>
      <c r="S147" s="78">
        <v>6420</v>
      </c>
      <c r="T147" s="78">
        <v>0</v>
      </c>
      <c r="U147" s="78">
        <v>2114</v>
      </c>
      <c r="V147" s="78">
        <v>32278</v>
      </c>
      <c r="W147" s="78">
        <v>66930</v>
      </c>
      <c r="X147" s="78">
        <v>48720</v>
      </c>
      <c r="Y147" s="78">
        <v>3698.2692000000002</v>
      </c>
      <c r="Z147" s="78">
        <v>5101.6000000000004</v>
      </c>
      <c r="AA147" s="78">
        <v>0</v>
      </c>
      <c r="AB147" s="399">
        <v>0</v>
      </c>
      <c r="AC147" s="399">
        <v>0</v>
      </c>
      <c r="AD147" s="78">
        <v>4851</v>
      </c>
      <c r="AE147" s="78">
        <v>4851</v>
      </c>
      <c r="AF147" s="78">
        <v>14</v>
      </c>
      <c r="AG147" s="78">
        <v>0</v>
      </c>
      <c r="AH147" s="78">
        <v>285</v>
      </c>
      <c r="AI147" s="78">
        <v>25</v>
      </c>
      <c r="AJ147" s="78">
        <v>285</v>
      </c>
      <c r="AK147" s="78">
        <v>25</v>
      </c>
      <c r="AL147" s="78">
        <v>309</v>
      </c>
      <c r="AM147" s="78">
        <v>31439</v>
      </c>
      <c r="AN147" s="78">
        <v>31439</v>
      </c>
      <c r="AO147" s="78">
        <v>0</v>
      </c>
      <c r="AP147" s="78">
        <v>0</v>
      </c>
      <c r="AQ147" s="78">
        <v>0</v>
      </c>
      <c r="AR147" s="78">
        <v>0</v>
      </c>
      <c r="AS147" s="78">
        <v>4932</v>
      </c>
      <c r="AT147" s="78">
        <v>0</v>
      </c>
      <c r="AU147" s="400">
        <v>1.3231569999999999E-3</v>
      </c>
      <c r="AV147" s="400">
        <v>2.0160909999999998E-3</v>
      </c>
      <c r="AW147" s="78">
        <v>50711.107000000004</v>
      </c>
      <c r="AX147" s="78">
        <v>0</v>
      </c>
      <c r="AY147" s="78">
        <v>555</v>
      </c>
      <c r="AZ147" s="78">
        <v>7527.8078108941399</v>
      </c>
      <c r="BA147" s="78">
        <v>4</v>
      </c>
      <c r="BB147" s="78">
        <v>4</v>
      </c>
      <c r="BC147" s="78">
        <v>9630</v>
      </c>
      <c r="BD147" s="78">
        <v>1</v>
      </c>
      <c r="BE147" s="78">
        <v>0</v>
      </c>
      <c r="BF147" s="78">
        <v>0</v>
      </c>
      <c r="BG147" s="78">
        <v>0</v>
      </c>
      <c r="BH147" s="78">
        <v>0</v>
      </c>
      <c r="BI147" s="78">
        <v>0</v>
      </c>
      <c r="BJ147" s="78">
        <v>0</v>
      </c>
      <c r="BK147" s="78">
        <v>0</v>
      </c>
      <c r="BL147" s="78">
        <v>0</v>
      </c>
      <c r="BM147" s="78">
        <v>1616.8230000000001</v>
      </c>
      <c r="BN147" s="78">
        <v>101</v>
      </c>
      <c r="BO147" s="78">
        <v>211</v>
      </c>
      <c r="BP147" s="78">
        <v>23290.799999999999</v>
      </c>
      <c r="BQ147" s="78">
        <v>6484.54</v>
      </c>
      <c r="BR147" s="78">
        <v>662.44089235068805</v>
      </c>
      <c r="BS147" s="78">
        <v>820</v>
      </c>
      <c r="BT147" s="78">
        <v>329.66666666666703</v>
      </c>
      <c r="BU147" s="78">
        <v>284</v>
      </c>
      <c r="BV147" s="78">
        <v>3399</v>
      </c>
      <c r="BW147" s="78">
        <v>1273</v>
      </c>
      <c r="BX147" s="78">
        <v>9656.9914530387596</v>
      </c>
      <c r="BY147" s="402">
        <v>2.6789999999999998</v>
      </c>
      <c r="BZ147" s="78">
        <v>51931</v>
      </c>
      <c r="CA147" s="78">
        <v>7302</v>
      </c>
      <c r="CB147" s="78">
        <v>2006</v>
      </c>
      <c r="CC147" s="78">
        <v>2031</v>
      </c>
      <c r="CD147" s="78">
        <v>1710</v>
      </c>
      <c r="CE147" s="78">
        <v>897</v>
      </c>
      <c r="CF147" s="78">
        <v>885.149499029867</v>
      </c>
      <c r="CG147" s="78">
        <v>611.61566525652904</v>
      </c>
      <c r="CH147" s="78">
        <v>235.366322084036</v>
      </c>
      <c r="CI147" s="78">
        <v>1468.0292999999999</v>
      </c>
      <c r="CJ147" s="78">
        <v>1014.3707000000001</v>
      </c>
      <c r="CK147" s="78">
        <v>390.35739999999998</v>
      </c>
      <c r="CL147" s="78">
        <v>491263</v>
      </c>
    </row>
    <row r="148" spans="1:90" x14ac:dyDescent="0.35">
      <c r="A148" s="72">
        <v>358</v>
      </c>
      <c r="B148" s="72" t="s">
        <v>12</v>
      </c>
      <c r="C148" s="72">
        <v>7</v>
      </c>
      <c r="D148" s="78">
        <v>4629200000</v>
      </c>
      <c r="E148" s="78">
        <v>903000000</v>
      </c>
      <c r="F148" s="78">
        <v>914550000</v>
      </c>
      <c r="G148" s="78">
        <v>32452</v>
      </c>
      <c r="H148" s="78">
        <v>2</v>
      </c>
      <c r="I148" s="78">
        <v>914.55</v>
      </c>
      <c r="J148" s="78">
        <v>6758</v>
      </c>
      <c r="K148" s="78">
        <v>6114</v>
      </c>
      <c r="L148" s="78">
        <v>2257</v>
      </c>
      <c r="M148" s="78">
        <v>3344</v>
      </c>
      <c r="N148" s="78">
        <v>2002</v>
      </c>
      <c r="O148" s="78">
        <v>231.666666666667</v>
      </c>
      <c r="P148" s="78">
        <v>12</v>
      </c>
      <c r="Q148" s="78">
        <v>1230.6666666666699</v>
      </c>
      <c r="R148" s="78">
        <v>4290</v>
      </c>
      <c r="S148" s="78">
        <v>1670</v>
      </c>
      <c r="T148" s="78">
        <v>0</v>
      </c>
      <c r="U148" s="78">
        <v>1027</v>
      </c>
      <c r="V148" s="78">
        <v>14065</v>
      </c>
      <c r="W148" s="78">
        <v>25890</v>
      </c>
      <c r="X148" s="78">
        <v>4170</v>
      </c>
      <c r="Y148" s="78">
        <v>0</v>
      </c>
      <c r="Z148" s="78">
        <v>0</v>
      </c>
      <c r="AA148" s="78">
        <v>0</v>
      </c>
      <c r="AB148" s="399">
        <v>0</v>
      </c>
      <c r="AC148" s="399">
        <v>0</v>
      </c>
      <c r="AD148" s="78">
        <v>2000</v>
      </c>
      <c r="AE148" s="78">
        <v>2400</v>
      </c>
      <c r="AF148" s="78">
        <v>1228</v>
      </c>
      <c r="AG148" s="78">
        <v>0</v>
      </c>
      <c r="AH148" s="78">
        <v>228</v>
      </c>
      <c r="AI148" s="78">
        <v>66</v>
      </c>
      <c r="AJ148" s="78">
        <v>289.56</v>
      </c>
      <c r="AK148" s="78">
        <v>74.58</v>
      </c>
      <c r="AL148" s="78">
        <v>294</v>
      </c>
      <c r="AM148" s="78">
        <v>13420</v>
      </c>
      <c r="AN148" s="78">
        <v>17043.400000000001</v>
      </c>
      <c r="AO148" s="78">
        <v>0</v>
      </c>
      <c r="AP148" s="78">
        <v>0</v>
      </c>
      <c r="AQ148" s="78">
        <v>0</v>
      </c>
      <c r="AR148" s="78">
        <v>0</v>
      </c>
      <c r="AS148" s="78">
        <v>1605</v>
      </c>
      <c r="AT148" s="78">
        <v>0</v>
      </c>
      <c r="AU148" s="400">
        <v>2.2255300000000001E-4</v>
      </c>
      <c r="AV148" s="400">
        <v>1.25499E-4</v>
      </c>
      <c r="AW148" s="78">
        <v>12614.8</v>
      </c>
      <c r="AX148" s="78">
        <v>0</v>
      </c>
      <c r="AY148" s="78">
        <v>4238.3999999999996</v>
      </c>
      <c r="AZ148" s="78">
        <v>97404.255762081797</v>
      </c>
      <c r="BA148" s="78">
        <v>3</v>
      </c>
      <c r="BB148" s="78">
        <v>3.39</v>
      </c>
      <c r="BC148" s="78">
        <v>4945</v>
      </c>
      <c r="BD148" s="78">
        <v>1</v>
      </c>
      <c r="BE148" s="78">
        <v>0</v>
      </c>
      <c r="BF148" s="78">
        <v>0</v>
      </c>
      <c r="BG148" s="78">
        <v>0</v>
      </c>
      <c r="BH148" s="78">
        <v>0</v>
      </c>
      <c r="BI148" s="78">
        <v>0</v>
      </c>
      <c r="BJ148" s="78">
        <v>0</v>
      </c>
      <c r="BK148" s="78">
        <v>0</v>
      </c>
      <c r="BL148" s="78">
        <v>0</v>
      </c>
      <c r="BM148" s="78">
        <v>432.512</v>
      </c>
      <c r="BN148" s="78">
        <v>164</v>
      </c>
      <c r="BO148" s="78">
        <v>100</v>
      </c>
      <c r="BP148" s="78">
        <v>11106.72</v>
      </c>
      <c r="BQ148" s="78">
        <v>3180.78</v>
      </c>
      <c r="BR148" s="78">
        <v>180.29836265125499</v>
      </c>
      <c r="BS148" s="78">
        <v>418</v>
      </c>
      <c r="BT148" s="78">
        <v>87.6666666666667</v>
      </c>
      <c r="BU148" s="78">
        <v>59.3333333333333</v>
      </c>
      <c r="BV148" s="78">
        <v>999.00000000000296</v>
      </c>
      <c r="BW148" s="78">
        <v>271</v>
      </c>
      <c r="BX148" s="78">
        <v>4307.2672989278199</v>
      </c>
      <c r="BY148" s="402">
        <v>0.16500000000000001</v>
      </c>
      <c r="BZ148" s="78">
        <v>26338</v>
      </c>
      <c r="CA148" s="78">
        <v>3094</v>
      </c>
      <c r="CB148" s="78">
        <v>763</v>
      </c>
      <c r="CC148" s="78">
        <v>587</v>
      </c>
      <c r="CD148" s="78">
        <v>691</v>
      </c>
      <c r="CE148" s="78">
        <v>398</v>
      </c>
      <c r="CF148" s="78">
        <v>278.96721311475397</v>
      </c>
      <c r="CG148" s="78">
        <v>229.43934426229501</v>
      </c>
      <c r="CH148" s="78">
        <v>84.286885245901601</v>
      </c>
      <c r="CI148" s="78">
        <v>607.93700000000001</v>
      </c>
      <c r="CJ148" s="78">
        <v>500.00380000000001</v>
      </c>
      <c r="CK148" s="78">
        <v>183.6815</v>
      </c>
      <c r="CL148" s="78">
        <v>36773</v>
      </c>
    </row>
    <row r="149" spans="1:90" x14ac:dyDescent="0.35">
      <c r="A149" s="72">
        <v>361</v>
      </c>
      <c r="B149" s="72" t="s">
        <v>17</v>
      </c>
      <c r="C149" s="72">
        <v>7</v>
      </c>
      <c r="D149" s="78">
        <v>12384400000</v>
      </c>
      <c r="E149" s="78">
        <v>2108050000</v>
      </c>
      <c r="F149" s="78">
        <v>2149700000</v>
      </c>
      <c r="G149" s="78">
        <v>110783</v>
      </c>
      <c r="H149" s="78">
        <v>5</v>
      </c>
      <c r="I149" s="78">
        <v>2149.6999999999998</v>
      </c>
      <c r="J149" s="78">
        <v>20311</v>
      </c>
      <c r="K149" s="78">
        <v>22690</v>
      </c>
      <c r="L149" s="78">
        <v>7231</v>
      </c>
      <c r="M149" s="78">
        <v>17356</v>
      </c>
      <c r="N149" s="78">
        <v>12010.599999999999</v>
      </c>
      <c r="O149" s="78">
        <v>2319.6666666666702</v>
      </c>
      <c r="P149" s="78">
        <v>273</v>
      </c>
      <c r="Q149" s="78">
        <v>9316.6666666666697</v>
      </c>
      <c r="R149" s="78">
        <v>21990</v>
      </c>
      <c r="S149" s="78">
        <v>8660</v>
      </c>
      <c r="T149" s="78">
        <v>0</v>
      </c>
      <c r="U149" s="78">
        <v>4419</v>
      </c>
      <c r="V149" s="78">
        <v>54556</v>
      </c>
      <c r="W149" s="78">
        <v>118320</v>
      </c>
      <c r="X149" s="78">
        <v>122920</v>
      </c>
      <c r="Y149" s="78">
        <v>3429.86</v>
      </c>
      <c r="Z149" s="78">
        <v>5388.8</v>
      </c>
      <c r="AA149" s="78">
        <v>0</v>
      </c>
      <c r="AB149" s="399">
        <v>0</v>
      </c>
      <c r="AC149" s="399">
        <v>0</v>
      </c>
      <c r="AD149" s="78">
        <v>11010</v>
      </c>
      <c r="AE149" s="78">
        <v>12000.9</v>
      </c>
      <c r="AF149" s="78">
        <v>724</v>
      </c>
      <c r="AG149" s="78">
        <v>0</v>
      </c>
      <c r="AH149" s="78">
        <v>481</v>
      </c>
      <c r="AI149" s="78">
        <v>83</v>
      </c>
      <c r="AJ149" s="78">
        <v>505.05</v>
      </c>
      <c r="AK149" s="78">
        <v>91.3</v>
      </c>
      <c r="AL149" s="78">
        <v>563</v>
      </c>
      <c r="AM149" s="78">
        <v>53454</v>
      </c>
      <c r="AN149" s="78">
        <v>56126.7</v>
      </c>
      <c r="AO149" s="78">
        <v>0</v>
      </c>
      <c r="AP149" s="78">
        <v>47</v>
      </c>
      <c r="AQ149" s="78">
        <v>0</v>
      </c>
      <c r="AR149" s="78">
        <v>8600</v>
      </c>
      <c r="AS149" s="78">
        <v>7019</v>
      </c>
      <c r="AT149" s="78">
        <v>7019</v>
      </c>
      <c r="AU149" s="400">
        <v>5.9157480000000002E-3</v>
      </c>
      <c r="AV149" s="400">
        <v>6.6916470000000002E-3</v>
      </c>
      <c r="AW149" s="78">
        <v>123692.556</v>
      </c>
      <c r="AX149" s="78">
        <v>0</v>
      </c>
      <c r="AY149" s="78">
        <v>11445</v>
      </c>
      <c r="AZ149" s="78">
        <v>191781.290857338</v>
      </c>
      <c r="BA149" s="78">
        <v>12</v>
      </c>
      <c r="BB149" s="78">
        <v>13.2</v>
      </c>
      <c r="BC149" s="78">
        <v>14945</v>
      </c>
      <c r="BD149" s="78">
        <v>1</v>
      </c>
      <c r="BE149" s="78">
        <v>0</v>
      </c>
      <c r="BF149" s="78">
        <v>0</v>
      </c>
      <c r="BG149" s="78">
        <v>0</v>
      </c>
      <c r="BH149" s="78">
        <v>0</v>
      </c>
      <c r="BI149" s="78">
        <v>0</v>
      </c>
      <c r="BJ149" s="78">
        <v>0</v>
      </c>
      <c r="BK149" s="78">
        <v>0</v>
      </c>
      <c r="BL149" s="78">
        <v>0</v>
      </c>
      <c r="BM149" s="78">
        <v>2477.942</v>
      </c>
      <c r="BN149" s="78">
        <v>220</v>
      </c>
      <c r="BO149" s="78">
        <v>325</v>
      </c>
      <c r="BP149" s="78">
        <v>34039.68</v>
      </c>
      <c r="BQ149" s="78">
        <v>7308.56</v>
      </c>
      <c r="BR149" s="78">
        <v>766.51678156996604</v>
      </c>
      <c r="BS149" s="78">
        <v>1536</v>
      </c>
      <c r="BT149" s="78">
        <v>639</v>
      </c>
      <c r="BU149" s="78">
        <v>612.33333333333303</v>
      </c>
      <c r="BV149" s="78">
        <v>6997</v>
      </c>
      <c r="BW149" s="78">
        <v>1865</v>
      </c>
      <c r="BX149" s="78">
        <v>16830.2336831186</v>
      </c>
      <c r="BY149" s="402">
        <v>5.43</v>
      </c>
      <c r="BZ149" s="78">
        <v>88093</v>
      </c>
      <c r="CA149" s="78">
        <v>13113</v>
      </c>
      <c r="CB149" s="78">
        <v>2346</v>
      </c>
      <c r="CC149" s="78">
        <v>3713</v>
      </c>
      <c r="CD149" s="78">
        <v>2635</v>
      </c>
      <c r="CE149" s="78">
        <v>1209</v>
      </c>
      <c r="CF149" s="78">
        <v>1944.4706177273899</v>
      </c>
      <c r="CG149" s="78">
        <v>1169.2887791372</v>
      </c>
      <c r="CH149" s="78">
        <v>378.37861338721098</v>
      </c>
      <c r="CI149" s="78">
        <v>4095.9382000000001</v>
      </c>
      <c r="CJ149" s="78">
        <v>2463.0531999999998</v>
      </c>
      <c r="CK149" s="78">
        <v>797.03719999999998</v>
      </c>
      <c r="CL149" s="78">
        <v>60805</v>
      </c>
    </row>
    <row r="150" spans="1:90" x14ac:dyDescent="0.35">
      <c r="A150" s="72">
        <v>362</v>
      </c>
      <c r="B150" s="72" t="s">
        <v>25</v>
      </c>
      <c r="C150" s="72">
        <v>7</v>
      </c>
      <c r="D150" s="78">
        <v>16136400000</v>
      </c>
      <c r="E150" s="78">
        <v>1846250000</v>
      </c>
      <c r="F150" s="78">
        <v>1871450000</v>
      </c>
      <c r="G150" s="78">
        <v>92331</v>
      </c>
      <c r="H150" s="78">
        <v>1</v>
      </c>
      <c r="I150" s="78">
        <v>1871.45</v>
      </c>
      <c r="J150" s="78">
        <v>19190</v>
      </c>
      <c r="K150" s="78">
        <v>18026</v>
      </c>
      <c r="L150" s="78">
        <v>6195</v>
      </c>
      <c r="M150" s="78">
        <v>10717</v>
      </c>
      <c r="N150" s="78">
        <v>6388.5999999999995</v>
      </c>
      <c r="O150" s="78">
        <v>1089.6666666666699</v>
      </c>
      <c r="P150" s="78">
        <v>44</v>
      </c>
      <c r="Q150" s="78">
        <v>3851.6666666666702</v>
      </c>
      <c r="R150" s="78">
        <v>19061</v>
      </c>
      <c r="S150" s="78">
        <v>8025</v>
      </c>
      <c r="T150" s="78">
        <v>0</v>
      </c>
      <c r="U150" s="78">
        <v>3312</v>
      </c>
      <c r="V150" s="78">
        <v>44759</v>
      </c>
      <c r="W150" s="78">
        <v>91950</v>
      </c>
      <c r="X150" s="78">
        <v>57690</v>
      </c>
      <c r="Y150" s="78">
        <v>445.5</v>
      </c>
      <c r="Z150" s="78">
        <v>4704</v>
      </c>
      <c r="AA150" s="78">
        <v>0</v>
      </c>
      <c r="AB150" s="399">
        <v>948.69999999999709</v>
      </c>
      <c r="AC150" s="399">
        <v>0</v>
      </c>
      <c r="AD150" s="78">
        <v>4122</v>
      </c>
      <c r="AE150" s="78">
        <v>5358.6</v>
      </c>
      <c r="AF150" s="78">
        <v>286</v>
      </c>
      <c r="AG150" s="78">
        <v>0</v>
      </c>
      <c r="AH150" s="78">
        <v>309</v>
      </c>
      <c r="AI150" s="78">
        <v>25</v>
      </c>
      <c r="AJ150" s="78">
        <v>401.7</v>
      </c>
      <c r="AK150" s="78">
        <v>32.5</v>
      </c>
      <c r="AL150" s="78">
        <v>334</v>
      </c>
      <c r="AM150" s="78">
        <v>43284</v>
      </c>
      <c r="AN150" s="78">
        <v>56269.2</v>
      </c>
      <c r="AO150" s="78">
        <v>0</v>
      </c>
      <c r="AP150" s="78">
        <v>0</v>
      </c>
      <c r="AQ150" s="78">
        <v>0</v>
      </c>
      <c r="AR150" s="78">
        <v>0</v>
      </c>
      <c r="AS150" s="78">
        <v>1241</v>
      </c>
      <c r="AT150" s="78">
        <v>0</v>
      </c>
      <c r="AU150" s="400">
        <v>7.1556899999999999E-4</v>
      </c>
      <c r="AV150" s="400">
        <v>3.213704E-3</v>
      </c>
      <c r="AW150" s="78">
        <v>108599.556</v>
      </c>
      <c r="AX150" s="78">
        <v>0</v>
      </c>
      <c r="AY150" s="78">
        <v>4997.2</v>
      </c>
      <c r="AZ150" s="78">
        <v>181788.176678766</v>
      </c>
      <c r="BA150" s="78">
        <v>8</v>
      </c>
      <c r="BB150" s="78">
        <v>10.4</v>
      </c>
      <c r="BC150" s="78">
        <v>12590</v>
      </c>
      <c r="BD150" s="78">
        <v>1</v>
      </c>
      <c r="BE150" s="78">
        <v>0</v>
      </c>
      <c r="BF150" s="78">
        <v>0</v>
      </c>
      <c r="BG150" s="78">
        <v>0</v>
      </c>
      <c r="BH150" s="78">
        <v>0</v>
      </c>
      <c r="BI150" s="78">
        <v>0</v>
      </c>
      <c r="BJ150" s="78">
        <v>0</v>
      </c>
      <c r="BK150" s="78">
        <v>0</v>
      </c>
      <c r="BL150" s="78">
        <v>0</v>
      </c>
      <c r="BM150" s="78">
        <v>1707.91</v>
      </c>
      <c r="BN150" s="78">
        <v>52</v>
      </c>
      <c r="BO150" s="78">
        <v>128</v>
      </c>
      <c r="BP150" s="78">
        <v>35168.800000000003</v>
      </c>
      <c r="BQ150" s="78">
        <v>9885.23</v>
      </c>
      <c r="BR150" s="78">
        <v>373.52164369611</v>
      </c>
      <c r="BS150" s="78">
        <v>1327</v>
      </c>
      <c r="BT150" s="78">
        <v>344</v>
      </c>
      <c r="BU150" s="78">
        <v>314.33333333333297</v>
      </c>
      <c r="BV150" s="78">
        <v>2762</v>
      </c>
      <c r="BW150" s="78">
        <v>659</v>
      </c>
      <c r="BX150" s="78">
        <v>11052.3141741074</v>
      </c>
      <c r="BY150" s="402">
        <v>1.077</v>
      </c>
      <c r="BZ150" s="78">
        <v>74305</v>
      </c>
      <c r="CA150" s="78">
        <v>9013</v>
      </c>
      <c r="CB150" s="78">
        <v>2818</v>
      </c>
      <c r="CC150" s="78">
        <v>2645</v>
      </c>
      <c r="CD150" s="78">
        <v>2540</v>
      </c>
      <c r="CE150" s="78">
        <v>1596</v>
      </c>
      <c r="CF150" s="78">
        <v>889.71631087699802</v>
      </c>
      <c r="CG150" s="78">
        <v>665.95885777654598</v>
      </c>
      <c r="CH150" s="78">
        <v>316.74372978467801</v>
      </c>
      <c r="CI150" s="78">
        <v>1835.5260000000001</v>
      </c>
      <c r="CJ150" s="78">
        <v>1373.904</v>
      </c>
      <c r="CK150" s="78">
        <v>653.45699999999999</v>
      </c>
      <c r="CL150" s="78">
        <v>133948</v>
      </c>
    </row>
    <row r="151" spans="1:90" x14ac:dyDescent="0.35">
      <c r="A151" s="72">
        <v>363</v>
      </c>
      <c r="B151" s="72" t="s">
        <v>26</v>
      </c>
      <c r="C151" s="72">
        <v>7</v>
      </c>
      <c r="D151" s="78">
        <v>160014400000</v>
      </c>
      <c r="E151" s="78">
        <v>31570350000</v>
      </c>
      <c r="F151" s="78">
        <v>31716650000</v>
      </c>
      <c r="G151" s="78">
        <v>903399</v>
      </c>
      <c r="H151" s="78">
        <v>4</v>
      </c>
      <c r="I151" s="78">
        <v>31716.65</v>
      </c>
      <c r="J151" s="78">
        <v>148737</v>
      </c>
      <c r="K151" s="78">
        <v>120062</v>
      </c>
      <c r="L151" s="78">
        <v>36481</v>
      </c>
      <c r="M151" s="78">
        <v>162422</v>
      </c>
      <c r="N151" s="78">
        <v>114346.2</v>
      </c>
      <c r="O151" s="78">
        <v>39175.333333333299</v>
      </c>
      <c r="P151" s="78">
        <v>964</v>
      </c>
      <c r="Q151" s="78">
        <v>76830.333333333299</v>
      </c>
      <c r="R151" s="78">
        <v>268772</v>
      </c>
      <c r="S151" s="78">
        <v>210350</v>
      </c>
      <c r="T151" s="78">
        <v>29670.2</v>
      </c>
      <c r="U151" s="78">
        <v>40464</v>
      </c>
      <c r="V151" s="78">
        <v>505456</v>
      </c>
      <c r="W151" s="78">
        <v>990160</v>
      </c>
      <c r="X151" s="78">
        <v>1825830</v>
      </c>
      <c r="Y151" s="78">
        <v>17105.977999999999</v>
      </c>
      <c r="Z151" s="78">
        <v>34440.800000000003</v>
      </c>
      <c r="AA151" s="78">
        <v>4748.3999999999996</v>
      </c>
      <c r="AB151" s="399">
        <v>0</v>
      </c>
      <c r="AC151" s="399">
        <v>3122.0999999999985</v>
      </c>
      <c r="AD151" s="78">
        <v>18893</v>
      </c>
      <c r="AE151" s="78">
        <v>24371.97</v>
      </c>
      <c r="AF151" s="78">
        <v>3308</v>
      </c>
      <c r="AG151" s="78">
        <v>2165</v>
      </c>
      <c r="AH151" s="78">
        <v>2284</v>
      </c>
      <c r="AI151" s="78">
        <v>287</v>
      </c>
      <c r="AJ151" s="78">
        <v>2969.2</v>
      </c>
      <c r="AK151" s="78">
        <v>367.36</v>
      </c>
      <c r="AL151" s="78">
        <v>2571</v>
      </c>
      <c r="AM151" s="78">
        <v>480758</v>
      </c>
      <c r="AN151" s="78">
        <v>624985.4</v>
      </c>
      <c r="AO151" s="78">
        <v>19</v>
      </c>
      <c r="AP151" s="78">
        <v>0</v>
      </c>
      <c r="AQ151" s="78">
        <v>425</v>
      </c>
      <c r="AR151" s="78">
        <v>87000</v>
      </c>
      <c r="AS151" s="78">
        <v>200691</v>
      </c>
      <c r="AT151" s="78">
        <v>198362</v>
      </c>
      <c r="AU151" s="400">
        <v>0.21194460500000001</v>
      </c>
      <c r="AV151" s="400">
        <v>0.14144372199999999</v>
      </c>
      <c r="AW151" s="78">
        <v>2908105.142</v>
      </c>
      <c r="AX151" s="78">
        <v>1273527.942</v>
      </c>
      <c r="AY151" s="78">
        <v>20206.560000000001</v>
      </c>
      <c r="AZ151" s="78">
        <v>1897286.8320454</v>
      </c>
      <c r="BA151" s="78">
        <v>23</v>
      </c>
      <c r="BB151" s="78">
        <v>29.44</v>
      </c>
      <c r="BC151" s="78">
        <v>184915</v>
      </c>
      <c r="BD151" s="78">
        <v>1</v>
      </c>
      <c r="BE151" s="78">
        <v>0</v>
      </c>
      <c r="BF151" s="78">
        <v>0</v>
      </c>
      <c r="BG151" s="78">
        <v>0</v>
      </c>
      <c r="BH151" s="78">
        <v>1</v>
      </c>
      <c r="BI151" s="78">
        <v>0</v>
      </c>
      <c r="BJ151" s="78">
        <v>0</v>
      </c>
      <c r="BK151" s="78">
        <v>0</v>
      </c>
      <c r="BL151" s="78">
        <v>0</v>
      </c>
      <c r="BM151" s="78">
        <v>36143.091</v>
      </c>
      <c r="BN151" s="78">
        <v>2378</v>
      </c>
      <c r="BO151" s="78">
        <v>5241</v>
      </c>
      <c r="BP151" s="78">
        <v>306331.46000000002</v>
      </c>
      <c r="BQ151" s="78">
        <v>53706.239999999998</v>
      </c>
      <c r="BR151" s="78">
        <v>4778.8016583118297</v>
      </c>
      <c r="BS151" s="78">
        <v>15489</v>
      </c>
      <c r="BT151" s="78">
        <v>9653.6666666666697</v>
      </c>
      <c r="BU151" s="78">
        <v>9395.6666666666697</v>
      </c>
      <c r="BV151" s="78">
        <v>37655</v>
      </c>
      <c r="BW151" s="78">
        <v>8501</v>
      </c>
      <c r="BX151" s="78">
        <v>89134.812756519197</v>
      </c>
      <c r="BY151" s="402">
        <v>127.77800000000001</v>
      </c>
      <c r="BZ151" s="78">
        <v>783337</v>
      </c>
      <c r="CA151" s="78">
        <v>71995</v>
      </c>
      <c r="CB151" s="78">
        <v>11586</v>
      </c>
      <c r="CC151" s="78">
        <v>32872</v>
      </c>
      <c r="CD151" s="78">
        <v>18282</v>
      </c>
      <c r="CE151" s="78">
        <v>6951</v>
      </c>
      <c r="CF151" s="78">
        <v>13083.1757836583</v>
      </c>
      <c r="CG151" s="78">
        <v>6848.2898601791303</v>
      </c>
      <c r="CH151" s="78">
        <v>2178.1904816976498</v>
      </c>
      <c r="CI151" s="78">
        <v>24923.671699999999</v>
      </c>
      <c r="CJ151" s="78">
        <v>13046.1083</v>
      </c>
      <c r="CK151" s="78">
        <v>4149.4898000000003</v>
      </c>
      <c r="CL151" s="78">
        <v>745072</v>
      </c>
    </row>
    <row r="152" spans="1:90" x14ac:dyDescent="0.35">
      <c r="A152" s="72">
        <v>373</v>
      </c>
      <c r="B152" s="72" t="s">
        <v>499</v>
      </c>
      <c r="C152" s="72">
        <v>7</v>
      </c>
      <c r="D152" s="78">
        <v>6372800000</v>
      </c>
      <c r="E152" s="78">
        <v>467950000</v>
      </c>
      <c r="F152" s="78">
        <v>502250000</v>
      </c>
      <c r="G152" s="78">
        <v>29723</v>
      </c>
      <c r="H152" s="78">
        <v>4</v>
      </c>
      <c r="I152" s="78">
        <v>502.25</v>
      </c>
      <c r="J152" s="78">
        <v>4392</v>
      </c>
      <c r="K152" s="78">
        <v>9946</v>
      </c>
      <c r="L152" s="78">
        <v>3673</v>
      </c>
      <c r="M152" s="78">
        <v>3986</v>
      </c>
      <c r="N152" s="78">
        <v>2125.1999999999998</v>
      </c>
      <c r="O152" s="78">
        <v>276.33333333333297</v>
      </c>
      <c r="P152" s="78">
        <v>27</v>
      </c>
      <c r="Q152" s="78">
        <v>1633.3333333333301</v>
      </c>
      <c r="R152" s="78">
        <v>5308</v>
      </c>
      <c r="S152" s="78">
        <v>410</v>
      </c>
      <c r="T152" s="78">
        <v>0</v>
      </c>
      <c r="U152" s="78">
        <v>944</v>
      </c>
      <c r="V152" s="78">
        <v>14815</v>
      </c>
      <c r="W152" s="78">
        <v>24960</v>
      </c>
      <c r="X152" s="78">
        <v>6750</v>
      </c>
      <c r="Y152" s="78">
        <v>560.52</v>
      </c>
      <c r="Z152" s="78">
        <v>1520.8</v>
      </c>
      <c r="AA152" s="78">
        <v>0</v>
      </c>
      <c r="AB152" s="399">
        <v>0</v>
      </c>
      <c r="AC152" s="399">
        <v>194.89999999999986</v>
      </c>
      <c r="AD152" s="78">
        <v>9847</v>
      </c>
      <c r="AE152" s="78">
        <v>10142.41</v>
      </c>
      <c r="AF152" s="78">
        <v>98</v>
      </c>
      <c r="AG152" s="78">
        <v>2078</v>
      </c>
      <c r="AH152" s="78">
        <v>188</v>
      </c>
      <c r="AI152" s="78">
        <v>30</v>
      </c>
      <c r="AJ152" s="78">
        <v>191.76</v>
      </c>
      <c r="AK152" s="78">
        <v>30.9</v>
      </c>
      <c r="AL152" s="78">
        <v>218</v>
      </c>
      <c r="AM152" s="78">
        <v>18608</v>
      </c>
      <c r="AN152" s="78">
        <v>18980.16</v>
      </c>
      <c r="AO152" s="78">
        <v>0</v>
      </c>
      <c r="AP152" s="78">
        <v>0</v>
      </c>
      <c r="AQ152" s="78">
        <v>0</v>
      </c>
      <c r="AR152" s="78">
        <v>0</v>
      </c>
      <c r="AS152" s="78">
        <v>1819</v>
      </c>
      <c r="AT152" s="78">
        <v>0</v>
      </c>
      <c r="AU152" s="400">
        <v>6.1442699999999996E-4</v>
      </c>
      <c r="AV152" s="400">
        <v>3.6347700000000002E-4</v>
      </c>
      <c r="AW152" s="78">
        <v>15277.168</v>
      </c>
      <c r="AX152" s="78">
        <v>0</v>
      </c>
      <c r="AY152" s="78">
        <v>2314.41</v>
      </c>
      <c r="AZ152" s="78">
        <v>6917.1652518853698</v>
      </c>
      <c r="BA152" s="78">
        <v>5</v>
      </c>
      <c r="BB152" s="78">
        <v>5.15</v>
      </c>
      <c r="BC152" s="78">
        <v>4875</v>
      </c>
      <c r="BD152" s="78">
        <v>1</v>
      </c>
      <c r="BE152" s="78">
        <v>0</v>
      </c>
      <c r="BF152" s="78">
        <v>0</v>
      </c>
      <c r="BG152" s="78">
        <v>0</v>
      </c>
      <c r="BH152" s="78">
        <v>0</v>
      </c>
      <c r="BI152" s="78">
        <v>0</v>
      </c>
      <c r="BJ152" s="78">
        <v>0</v>
      </c>
      <c r="BK152" s="78">
        <v>0</v>
      </c>
      <c r="BL152" s="78">
        <v>0</v>
      </c>
      <c r="BM152" s="78">
        <v>386.49599999999998</v>
      </c>
      <c r="BN152" s="78">
        <v>26</v>
      </c>
      <c r="BO152" s="78">
        <v>51</v>
      </c>
      <c r="BP152" s="78">
        <v>11745.72</v>
      </c>
      <c r="BQ152" s="78">
        <v>2047.54</v>
      </c>
      <c r="BR152" s="78">
        <v>61.304189069423899</v>
      </c>
      <c r="BS152" s="78">
        <v>351</v>
      </c>
      <c r="BT152" s="78">
        <v>71</v>
      </c>
      <c r="BU152" s="78">
        <v>63</v>
      </c>
      <c r="BV152" s="78">
        <v>1356.999999999997</v>
      </c>
      <c r="BW152" s="78">
        <v>472</v>
      </c>
      <c r="BX152" s="78">
        <v>5078.5669056032302</v>
      </c>
      <c r="BY152" s="402">
        <v>0.36399999999999999</v>
      </c>
      <c r="BZ152" s="78">
        <v>19777</v>
      </c>
      <c r="CA152" s="78">
        <v>4981</v>
      </c>
      <c r="CB152" s="78">
        <v>1292</v>
      </c>
      <c r="CC152" s="78">
        <v>1263</v>
      </c>
      <c r="CD152" s="78">
        <v>1223</v>
      </c>
      <c r="CE152" s="78">
        <v>570</v>
      </c>
      <c r="CF152" s="78">
        <v>358.501870163371</v>
      </c>
      <c r="CG152" s="78">
        <v>290.66175838349102</v>
      </c>
      <c r="CH152" s="78">
        <v>97.762854686156501</v>
      </c>
      <c r="CI152" s="78">
        <v>937.93320000000006</v>
      </c>
      <c r="CJ152" s="78">
        <v>760.44600000000003</v>
      </c>
      <c r="CK152" s="78">
        <v>255.77279999999999</v>
      </c>
      <c r="CL152" s="78">
        <v>68335</v>
      </c>
    </row>
    <row r="153" spans="1:90" x14ac:dyDescent="0.35">
      <c r="A153" s="72">
        <v>375</v>
      </c>
      <c r="B153" s="72" t="s">
        <v>49</v>
      </c>
      <c r="C153" s="72">
        <v>7</v>
      </c>
      <c r="D153" s="78">
        <v>4548000000</v>
      </c>
      <c r="E153" s="78">
        <v>751450000</v>
      </c>
      <c r="F153" s="78">
        <v>760900000</v>
      </c>
      <c r="G153" s="78">
        <v>42084</v>
      </c>
      <c r="H153" s="78">
        <v>2</v>
      </c>
      <c r="I153" s="78">
        <v>760.9</v>
      </c>
      <c r="J153" s="78">
        <v>7970</v>
      </c>
      <c r="K153" s="78">
        <v>7889</v>
      </c>
      <c r="L153" s="78">
        <v>2555</v>
      </c>
      <c r="M153" s="78">
        <v>6480</v>
      </c>
      <c r="N153" s="78">
        <v>4508.6000000000004</v>
      </c>
      <c r="O153" s="78">
        <v>878.66666666666697</v>
      </c>
      <c r="P153" s="78">
        <v>42</v>
      </c>
      <c r="Q153" s="78">
        <v>3333.6666666666702</v>
      </c>
      <c r="R153" s="78">
        <v>7559</v>
      </c>
      <c r="S153" s="78">
        <v>3975</v>
      </c>
      <c r="T153" s="78">
        <v>0</v>
      </c>
      <c r="U153" s="78">
        <v>1662</v>
      </c>
      <c r="V153" s="78">
        <v>19869</v>
      </c>
      <c r="W153" s="78">
        <v>40230</v>
      </c>
      <c r="X153" s="78">
        <v>21370</v>
      </c>
      <c r="Y153" s="78">
        <v>527.12</v>
      </c>
      <c r="Z153" s="78">
        <v>1120</v>
      </c>
      <c r="AA153" s="78">
        <v>0</v>
      </c>
      <c r="AB153" s="399">
        <v>0</v>
      </c>
      <c r="AC153" s="399">
        <v>0</v>
      </c>
      <c r="AD153" s="78">
        <v>1836</v>
      </c>
      <c r="AE153" s="78">
        <v>1891.08</v>
      </c>
      <c r="AF153" s="78">
        <v>52</v>
      </c>
      <c r="AG153" s="78">
        <v>121</v>
      </c>
      <c r="AH153" s="78">
        <v>194</v>
      </c>
      <c r="AI153" s="78">
        <v>48</v>
      </c>
      <c r="AJ153" s="78">
        <v>197.88</v>
      </c>
      <c r="AK153" s="78">
        <v>50.4</v>
      </c>
      <c r="AL153" s="78">
        <v>243</v>
      </c>
      <c r="AM153" s="78">
        <v>19714</v>
      </c>
      <c r="AN153" s="78">
        <v>20108.28</v>
      </c>
      <c r="AO153" s="78">
        <v>17</v>
      </c>
      <c r="AP153" s="78">
        <v>0</v>
      </c>
      <c r="AQ153" s="78">
        <v>0</v>
      </c>
      <c r="AR153" s="78">
        <v>0</v>
      </c>
      <c r="AS153" s="78">
        <v>3506</v>
      </c>
      <c r="AT153" s="78">
        <v>2217</v>
      </c>
      <c r="AU153" s="400">
        <v>1.089345E-3</v>
      </c>
      <c r="AV153" s="400">
        <v>1.9743389999999999E-3</v>
      </c>
      <c r="AW153" s="78">
        <v>54272.642</v>
      </c>
      <c r="AX153" s="78">
        <v>0</v>
      </c>
      <c r="AY153" s="78">
        <v>607.70000000000005</v>
      </c>
      <c r="AZ153" s="78">
        <v>14188.638432203399</v>
      </c>
      <c r="BA153" s="78">
        <v>3</v>
      </c>
      <c r="BB153" s="78">
        <v>3.15</v>
      </c>
      <c r="BC153" s="78">
        <v>5320</v>
      </c>
      <c r="BD153" s="78">
        <v>1</v>
      </c>
      <c r="BE153" s="78">
        <v>0</v>
      </c>
      <c r="BF153" s="78">
        <v>0</v>
      </c>
      <c r="BG153" s="78">
        <v>0</v>
      </c>
      <c r="BH153" s="78">
        <v>0</v>
      </c>
      <c r="BI153" s="78">
        <v>0</v>
      </c>
      <c r="BJ153" s="78">
        <v>0</v>
      </c>
      <c r="BK153" s="78">
        <v>0</v>
      </c>
      <c r="BL153" s="78">
        <v>0</v>
      </c>
      <c r="BM153" s="78">
        <v>1083.92</v>
      </c>
      <c r="BN153" s="78">
        <v>145</v>
      </c>
      <c r="BO153" s="78">
        <v>135</v>
      </c>
      <c r="BP153" s="78">
        <v>12049.7</v>
      </c>
      <c r="BQ153" s="78">
        <v>2744.68</v>
      </c>
      <c r="BR153" s="78">
        <v>319.13972820436697</v>
      </c>
      <c r="BS153" s="78">
        <v>615</v>
      </c>
      <c r="BT153" s="78">
        <v>279</v>
      </c>
      <c r="BU153" s="78">
        <v>242.333333333333</v>
      </c>
      <c r="BV153" s="78">
        <v>2455.0000000000032</v>
      </c>
      <c r="BW153" s="78">
        <v>611</v>
      </c>
      <c r="BX153" s="78">
        <v>6879.56737357571</v>
      </c>
      <c r="BY153" s="402">
        <v>2.2469999999999999</v>
      </c>
      <c r="BZ153" s="78">
        <v>34195</v>
      </c>
      <c r="CA153" s="78">
        <v>4393</v>
      </c>
      <c r="CB153" s="78">
        <v>941</v>
      </c>
      <c r="CC153" s="78">
        <v>1142</v>
      </c>
      <c r="CD153" s="78">
        <v>978</v>
      </c>
      <c r="CE153" s="78">
        <v>502</v>
      </c>
      <c r="CF153" s="78">
        <v>657.97109668256098</v>
      </c>
      <c r="CG153" s="78">
        <v>423.78187075174998</v>
      </c>
      <c r="CH153" s="78">
        <v>155.05888201278299</v>
      </c>
      <c r="CI153" s="78">
        <v>1447.1310000000001</v>
      </c>
      <c r="CJ153" s="78">
        <v>932.05899999999997</v>
      </c>
      <c r="CK153" s="78">
        <v>341.03399999999999</v>
      </c>
      <c r="CL153" s="78">
        <v>0</v>
      </c>
    </row>
    <row r="154" spans="1:90" x14ac:dyDescent="0.35">
      <c r="A154" s="72">
        <v>376</v>
      </c>
      <c r="B154" s="72" t="s">
        <v>51</v>
      </c>
      <c r="C154" s="72">
        <v>7</v>
      </c>
      <c r="D154" s="78">
        <v>3167200000</v>
      </c>
      <c r="E154" s="78">
        <v>94850000</v>
      </c>
      <c r="F154" s="78">
        <v>96600000</v>
      </c>
      <c r="G154" s="78">
        <v>12359</v>
      </c>
      <c r="H154" s="78">
        <v>2</v>
      </c>
      <c r="I154" s="78">
        <v>96.6</v>
      </c>
      <c r="J154" s="78">
        <v>2871</v>
      </c>
      <c r="K154" s="78">
        <v>2936</v>
      </c>
      <c r="L154" s="78">
        <v>1008</v>
      </c>
      <c r="M154" s="78">
        <v>1110</v>
      </c>
      <c r="N154" s="78">
        <v>575.79999999999995</v>
      </c>
      <c r="O154" s="78">
        <v>100.333333333333</v>
      </c>
      <c r="P154" s="78">
        <v>6</v>
      </c>
      <c r="Q154" s="78">
        <v>412.33333333333297</v>
      </c>
      <c r="R154" s="78">
        <v>1506</v>
      </c>
      <c r="S154" s="78">
        <v>740</v>
      </c>
      <c r="T154" s="78">
        <v>0</v>
      </c>
      <c r="U154" s="78">
        <v>344</v>
      </c>
      <c r="V154" s="78">
        <v>5263</v>
      </c>
      <c r="W154" s="78">
        <v>8230</v>
      </c>
      <c r="X154" s="78">
        <v>700</v>
      </c>
      <c r="Y154" s="78">
        <v>0</v>
      </c>
      <c r="Z154" s="78">
        <v>0</v>
      </c>
      <c r="AA154" s="78">
        <v>0</v>
      </c>
      <c r="AB154" s="399">
        <v>874.49999999999977</v>
      </c>
      <c r="AC154" s="399">
        <v>0</v>
      </c>
      <c r="AD154" s="78">
        <v>1102</v>
      </c>
      <c r="AE154" s="78">
        <v>1102</v>
      </c>
      <c r="AF154" s="78">
        <v>454</v>
      </c>
      <c r="AG154" s="78">
        <v>0</v>
      </c>
      <c r="AH154" s="78">
        <v>64</v>
      </c>
      <c r="AI154" s="78">
        <v>2</v>
      </c>
      <c r="AJ154" s="78">
        <v>64</v>
      </c>
      <c r="AK154" s="78">
        <v>2</v>
      </c>
      <c r="AL154" s="78">
        <v>66</v>
      </c>
      <c r="AM154" s="78">
        <v>5342</v>
      </c>
      <c r="AN154" s="78">
        <v>5342</v>
      </c>
      <c r="AO154" s="78">
        <v>0</v>
      </c>
      <c r="AP154" s="78">
        <v>0</v>
      </c>
      <c r="AQ154" s="78">
        <v>0</v>
      </c>
      <c r="AR154" s="78">
        <v>0</v>
      </c>
      <c r="AS154" s="78">
        <v>779</v>
      </c>
      <c r="AT154" s="78">
        <v>0</v>
      </c>
      <c r="AU154" s="400">
        <v>1.12701E-4</v>
      </c>
      <c r="AV154" s="400">
        <v>5.1777000000000002E-5</v>
      </c>
      <c r="AW154" s="78">
        <v>5812.0959999999995</v>
      </c>
      <c r="AX154" s="78">
        <v>0</v>
      </c>
      <c r="AY154" s="78">
        <v>403</v>
      </c>
      <c r="AZ154" s="78">
        <v>3200.9492287917701</v>
      </c>
      <c r="BA154" s="78">
        <v>3</v>
      </c>
      <c r="BB154" s="78">
        <v>3</v>
      </c>
      <c r="BC154" s="78">
        <v>2230</v>
      </c>
      <c r="BD154" s="78">
        <v>1</v>
      </c>
      <c r="BE154" s="78">
        <v>0</v>
      </c>
      <c r="BF154" s="78">
        <v>0</v>
      </c>
      <c r="BG154" s="78">
        <v>0</v>
      </c>
      <c r="BH154" s="78">
        <v>0</v>
      </c>
      <c r="BI154" s="78">
        <v>0</v>
      </c>
      <c r="BJ154" s="78">
        <v>0</v>
      </c>
      <c r="BK154" s="78">
        <v>0</v>
      </c>
      <c r="BL154" s="78">
        <v>0</v>
      </c>
      <c r="BM154" s="78">
        <v>307.197</v>
      </c>
      <c r="BN154" s="78">
        <v>26</v>
      </c>
      <c r="BO154" s="78">
        <v>23</v>
      </c>
      <c r="BP154" s="78">
        <v>5011.99</v>
      </c>
      <c r="BQ154" s="78">
        <v>1509.32</v>
      </c>
      <c r="BR154" s="78">
        <v>94.246777777777794</v>
      </c>
      <c r="BS154" s="78">
        <v>142</v>
      </c>
      <c r="BT154" s="78">
        <v>34.6666666666667</v>
      </c>
      <c r="BU154" s="78">
        <v>22</v>
      </c>
      <c r="BV154" s="78">
        <v>312</v>
      </c>
      <c r="BW154" s="78">
        <v>58</v>
      </c>
      <c r="BX154" s="78">
        <v>1449.0033193910001</v>
      </c>
      <c r="BY154" s="402">
        <v>0.11700000000000001</v>
      </c>
      <c r="BZ154" s="78">
        <v>9423</v>
      </c>
      <c r="CA154" s="78">
        <v>1661</v>
      </c>
      <c r="CB154" s="78">
        <v>267</v>
      </c>
      <c r="CC154" s="78">
        <v>371</v>
      </c>
      <c r="CD154" s="78">
        <v>341</v>
      </c>
      <c r="CE154" s="78">
        <v>132</v>
      </c>
      <c r="CF154" s="78">
        <v>112.745563459379</v>
      </c>
      <c r="CG154" s="78">
        <v>77.714676151254196</v>
      </c>
      <c r="CH154" s="78">
        <v>21.4496817671284</v>
      </c>
      <c r="CI154" s="78">
        <v>105.3322</v>
      </c>
      <c r="CJ154" s="78">
        <v>72.604699999999994</v>
      </c>
      <c r="CK154" s="78">
        <v>20.039300000000001</v>
      </c>
      <c r="CL154" s="78">
        <v>7924</v>
      </c>
    </row>
    <row r="155" spans="1:90" x14ac:dyDescent="0.35">
      <c r="A155" s="72">
        <v>377</v>
      </c>
      <c r="B155" s="72" t="s">
        <v>52</v>
      </c>
      <c r="C155" s="72">
        <v>7</v>
      </c>
      <c r="D155" s="78">
        <v>6782400000</v>
      </c>
      <c r="E155" s="78">
        <v>189350000</v>
      </c>
      <c r="F155" s="78">
        <v>237300000</v>
      </c>
      <c r="G155" s="78">
        <v>23732</v>
      </c>
      <c r="H155" s="78">
        <v>3</v>
      </c>
      <c r="I155" s="78">
        <v>237.3</v>
      </c>
      <c r="J155" s="78">
        <v>5247</v>
      </c>
      <c r="K155" s="78">
        <v>6452</v>
      </c>
      <c r="L155" s="78">
        <v>2319</v>
      </c>
      <c r="M155" s="78">
        <v>1992</v>
      </c>
      <c r="N155" s="78">
        <v>935.8</v>
      </c>
      <c r="O155" s="78">
        <v>173</v>
      </c>
      <c r="P155" s="78">
        <v>2</v>
      </c>
      <c r="Q155" s="78">
        <v>867</v>
      </c>
      <c r="R155" s="78">
        <v>3138</v>
      </c>
      <c r="S155" s="78">
        <v>595</v>
      </c>
      <c r="T155" s="78">
        <v>0</v>
      </c>
      <c r="U155" s="78">
        <v>580</v>
      </c>
      <c r="V155" s="78">
        <v>10519</v>
      </c>
      <c r="W155" s="78">
        <v>13020</v>
      </c>
      <c r="X155" s="78">
        <v>1010</v>
      </c>
      <c r="Y155" s="78">
        <v>0</v>
      </c>
      <c r="Z155" s="78">
        <v>1405.6</v>
      </c>
      <c r="AA155" s="78">
        <v>0</v>
      </c>
      <c r="AB155" s="399">
        <v>0</v>
      </c>
      <c r="AC155" s="399">
        <v>147.69999999999982</v>
      </c>
      <c r="AD155" s="78">
        <v>3975</v>
      </c>
      <c r="AE155" s="78">
        <v>3975</v>
      </c>
      <c r="AF155" s="78">
        <v>79</v>
      </c>
      <c r="AG155" s="78">
        <v>468</v>
      </c>
      <c r="AH155" s="78">
        <v>111</v>
      </c>
      <c r="AI155" s="78">
        <v>10</v>
      </c>
      <c r="AJ155" s="78">
        <v>111</v>
      </c>
      <c r="AK155" s="78">
        <v>10</v>
      </c>
      <c r="AL155" s="78">
        <v>120</v>
      </c>
      <c r="AM155" s="78">
        <v>10562</v>
      </c>
      <c r="AN155" s="78">
        <v>10562</v>
      </c>
      <c r="AO155" s="78">
        <v>0</v>
      </c>
      <c r="AP155" s="78">
        <v>0</v>
      </c>
      <c r="AQ155" s="78">
        <v>0</v>
      </c>
      <c r="AR155" s="78">
        <v>0</v>
      </c>
      <c r="AS155" s="78">
        <v>2464</v>
      </c>
      <c r="AT155" s="78">
        <v>0</v>
      </c>
      <c r="AU155" s="400">
        <v>4.6462400000000002E-4</v>
      </c>
      <c r="AV155" s="400">
        <v>1.53929E-4</v>
      </c>
      <c r="AW155" s="78">
        <v>11523.142</v>
      </c>
      <c r="AX155" s="78">
        <v>0</v>
      </c>
      <c r="AY155" s="78">
        <v>1167</v>
      </c>
      <c r="AZ155" s="78">
        <v>6831.5846077947699</v>
      </c>
      <c r="BA155" s="78">
        <v>5</v>
      </c>
      <c r="BB155" s="78">
        <v>5</v>
      </c>
      <c r="BC155" s="78">
        <v>4090</v>
      </c>
      <c r="BD155" s="78">
        <v>1</v>
      </c>
      <c r="BE155" s="78">
        <v>0</v>
      </c>
      <c r="BF155" s="78">
        <v>0</v>
      </c>
      <c r="BG155" s="78">
        <v>0</v>
      </c>
      <c r="BH155" s="78">
        <v>0</v>
      </c>
      <c r="BI155" s="78">
        <v>0</v>
      </c>
      <c r="BJ155" s="78">
        <v>0</v>
      </c>
      <c r="BK155" s="78">
        <v>0</v>
      </c>
      <c r="BL155" s="78">
        <v>0</v>
      </c>
      <c r="BM155" s="78">
        <v>356.79599999999999</v>
      </c>
      <c r="BN155" s="78">
        <v>17</v>
      </c>
      <c r="BO155" s="78">
        <v>18</v>
      </c>
      <c r="BP155" s="78">
        <v>9596.2099999999991</v>
      </c>
      <c r="BQ155" s="78">
        <v>2627.73</v>
      </c>
      <c r="BR155" s="78">
        <v>138.36271082346499</v>
      </c>
      <c r="BS155" s="78">
        <v>230</v>
      </c>
      <c r="BT155" s="78">
        <v>50.3333333333333</v>
      </c>
      <c r="BU155" s="78">
        <v>28.3333333333333</v>
      </c>
      <c r="BV155" s="78">
        <v>694</v>
      </c>
      <c r="BW155" s="78">
        <v>183</v>
      </c>
      <c r="BX155" s="78">
        <v>2975.4861776982698</v>
      </c>
      <c r="BY155" s="402">
        <v>0.112</v>
      </c>
      <c r="BZ155" s="78">
        <v>17280</v>
      </c>
      <c r="CA155" s="78">
        <v>3049</v>
      </c>
      <c r="CB155" s="78">
        <v>1084</v>
      </c>
      <c r="CC155" s="78">
        <v>636</v>
      </c>
      <c r="CD155" s="78">
        <v>698</v>
      </c>
      <c r="CE155" s="78">
        <v>512</v>
      </c>
      <c r="CF155" s="78">
        <v>166.39200908918801</v>
      </c>
      <c r="CG155" s="78">
        <v>136.35639083506899</v>
      </c>
      <c r="CH155" s="78">
        <v>64.146866123840198</v>
      </c>
      <c r="CI155" s="78">
        <v>107.2338</v>
      </c>
      <c r="CJ155" s="78">
        <v>87.876900000000006</v>
      </c>
      <c r="CK155" s="78">
        <v>41.340400000000002</v>
      </c>
      <c r="CL155" s="78">
        <v>61688</v>
      </c>
    </row>
    <row r="156" spans="1:90" x14ac:dyDescent="0.35">
      <c r="A156" s="72">
        <v>383</v>
      </c>
      <c r="B156" s="72" t="s">
        <v>69</v>
      </c>
      <c r="C156" s="72">
        <v>7</v>
      </c>
      <c r="D156" s="78">
        <v>5296800000</v>
      </c>
      <c r="E156" s="78">
        <v>279650000</v>
      </c>
      <c r="F156" s="78">
        <v>288400000</v>
      </c>
      <c r="G156" s="78">
        <v>36263</v>
      </c>
      <c r="H156" s="78">
        <v>3</v>
      </c>
      <c r="I156" s="78">
        <v>288.39999999999998</v>
      </c>
      <c r="J156" s="78">
        <v>6546</v>
      </c>
      <c r="K156" s="78">
        <v>9319</v>
      </c>
      <c r="L156" s="78">
        <v>3345</v>
      </c>
      <c r="M156" s="78">
        <v>3753</v>
      </c>
      <c r="N156" s="78">
        <v>2104</v>
      </c>
      <c r="O156" s="78">
        <v>310.33333333333297</v>
      </c>
      <c r="P156" s="78">
        <v>45</v>
      </c>
      <c r="Q156" s="78">
        <v>1689.3333333333301</v>
      </c>
      <c r="R156" s="78">
        <v>5384</v>
      </c>
      <c r="S156" s="78">
        <v>655</v>
      </c>
      <c r="T156" s="78">
        <v>0</v>
      </c>
      <c r="U156" s="78">
        <v>949</v>
      </c>
      <c r="V156" s="78">
        <v>16560</v>
      </c>
      <c r="W156" s="78">
        <v>31160</v>
      </c>
      <c r="X156" s="78">
        <v>8360</v>
      </c>
      <c r="Y156" s="78">
        <v>65.739999999999995</v>
      </c>
      <c r="Z156" s="78">
        <v>2726.4</v>
      </c>
      <c r="AA156" s="78">
        <v>0</v>
      </c>
      <c r="AB156" s="399">
        <v>0</v>
      </c>
      <c r="AC156" s="399">
        <v>0</v>
      </c>
      <c r="AD156" s="78">
        <v>4951</v>
      </c>
      <c r="AE156" s="78">
        <v>5050.0200000000004</v>
      </c>
      <c r="AF156" s="78">
        <v>566</v>
      </c>
      <c r="AG156" s="78">
        <v>524</v>
      </c>
      <c r="AH156" s="78">
        <v>171</v>
      </c>
      <c r="AI156" s="78">
        <v>20</v>
      </c>
      <c r="AJ156" s="78">
        <v>172.71</v>
      </c>
      <c r="AK156" s="78">
        <v>20.399999999999999</v>
      </c>
      <c r="AL156" s="78">
        <v>191</v>
      </c>
      <c r="AM156" s="78">
        <v>16490</v>
      </c>
      <c r="AN156" s="78">
        <v>16654.900000000001</v>
      </c>
      <c r="AO156" s="78">
        <v>0</v>
      </c>
      <c r="AP156" s="78">
        <v>0</v>
      </c>
      <c r="AQ156" s="78">
        <v>0</v>
      </c>
      <c r="AR156" s="78">
        <v>0</v>
      </c>
      <c r="AS156" s="78">
        <v>0</v>
      </c>
      <c r="AT156" s="78">
        <v>0</v>
      </c>
      <c r="AU156" s="400">
        <v>2.6911300000000002E-4</v>
      </c>
      <c r="AV156" s="400">
        <v>2.25453E-4</v>
      </c>
      <c r="AW156" s="78">
        <v>22245.01</v>
      </c>
      <c r="AX156" s="78">
        <v>0</v>
      </c>
      <c r="AY156" s="78">
        <v>1979.82</v>
      </c>
      <c r="AZ156" s="78">
        <v>17223.643273518199</v>
      </c>
      <c r="BA156" s="78">
        <v>7</v>
      </c>
      <c r="BB156" s="78">
        <v>7.14</v>
      </c>
      <c r="BC156" s="78">
        <v>4745</v>
      </c>
      <c r="BD156" s="78">
        <v>1</v>
      </c>
      <c r="BE156" s="78">
        <v>0</v>
      </c>
      <c r="BF156" s="78">
        <v>0</v>
      </c>
      <c r="BG156" s="78">
        <v>0</v>
      </c>
      <c r="BH156" s="78">
        <v>0</v>
      </c>
      <c r="BI156" s="78">
        <v>0</v>
      </c>
      <c r="BJ156" s="78">
        <v>0</v>
      </c>
      <c r="BK156" s="78">
        <v>0</v>
      </c>
      <c r="BL156" s="78">
        <v>0</v>
      </c>
      <c r="BM156" s="78">
        <v>399.30599999999998</v>
      </c>
      <c r="BN156" s="78">
        <v>20</v>
      </c>
      <c r="BO156" s="78">
        <v>34</v>
      </c>
      <c r="BP156" s="78">
        <v>13301.58</v>
      </c>
      <c r="BQ156" s="78">
        <v>2998.74</v>
      </c>
      <c r="BR156" s="78">
        <v>112.60053262657701</v>
      </c>
      <c r="BS156" s="78">
        <v>390</v>
      </c>
      <c r="BT156" s="78">
        <v>93</v>
      </c>
      <c r="BU156" s="78">
        <v>63.6666666666667</v>
      </c>
      <c r="BV156" s="78">
        <v>1378.999999999997</v>
      </c>
      <c r="BW156" s="78">
        <v>373</v>
      </c>
      <c r="BX156" s="78">
        <v>5362.8561447652801</v>
      </c>
      <c r="BY156" s="402">
        <v>0.29799999999999999</v>
      </c>
      <c r="BZ156" s="78">
        <v>26944</v>
      </c>
      <c r="CA156" s="78">
        <v>4739</v>
      </c>
      <c r="CB156" s="78">
        <v>1235</v>
      </c>
      <c r="CC156" s="78">
        <v>972</v>
      </c>
      <c r="CD156" s="78">
        <v>1076</v>
      </c>
      <c r="CE156" s="78">
        <v>589</v>
      </c>
      <c r="CF156" s="78">
        <v>370.27337780472999</v>
      </c>
      <c r="CG156" s="78">
        <v>292.44196482716802</v>
      </c>
      <c r="CH156" s="78">
        <v>113.684899939357</v>
      </c>
      <c r="CI156" s="78">
        <v>900.49059999999997</v>
      </c>
      <c r="CJ156" s="78">
        <v>711.20759999999996</v>
      </c>
      <c r="CK156" s="78">
        <v>276.47730000000001</v>
      </c>
      <c r="CL156" s="78">
        <v>19266</v>
      </c>
    </row>
    <row r="157" spans="1:90" x14ac:dyDescent="0.35">
      <c r="A157" s="72">
        <v>400</v>
      </c>
      <c r="B157" s="72" t="s">
        <v>82</v>
      </c>
      <c r="C157" s="72">
        <v>7</v>
      </c>
      <c r="D157" s="78">
        <v>4470800000</v>
      </c>
      <c r="E157" s="78">
        <v>845950000</v>
      </c>
      <c r="F157" s="78">
        <v>858550000</v>
      </c>
      <c r="G157" s="78">
        <v>56334</v>
      </c>
      <c r="H157" s="78">
        <v>2</v>
      </c>
      <c r="I157" s="78">
        <v>858.55</v>
      </c>
      <c r="J157" s="78">
        <v>9718</v>
      </c>
      <c r="K157" s="78">
        <v>13415</v>
      </c>
      <c r="L157" s="78">
        <v>4500</v>
      </c>
      <c r="M157" s="78">
        <v>9669</v>
      </c>
      <c r="N157" s="78">
        <v>6621.5</v>
      </c>
      <c r="O157" s="78">
        <v>1555.3333333333301</v>
      </c>
      <c r="P157" s="78">
        <v>48</v>
      </c>
      <c r="Q157" s="78">
        <v>5779.3333333333303</v>
      </c>
      <c r="R157" s="78">
        <v>11311</v>
      </c>
      <c r="S157" s="78">
        <v>3210</v>
      </c>
      <c r="T157" s="78">
        <v>0</v>
      </c>
      <c r="U157" s="78">
        <v>2409</v>
      </c>
      <c r="V157" s="78">
        <v>29056</v>
      </c>
      <c r="W157" s="78">
        <v>59900</v>
      </c>
      <c r="X157" s="78">
        <v>55730</v>
      </c>
      <c r="Y157" s="78">
        <v>1650.92</v>
      </c>
      <c r="Z157" s="78">
        <v>1876</v>
      </c>
      <c r="AA157" s="78">
        <v>0</v>
      </c>
      <c r="AB157" s="399">
        <v>0</v>
      </c>
      <c r="AC157" s="399">
        <v>0</v>
      </c>
      <c r="AD157" s="78">
        <v>4503</v>
      </c>
      <c r="AE157" s="78">
        <v>4998.33</v>
      </c>
      <c r="AF157" s="78">
        <v>345</v>
      </c>
      <c r="AG157" s="78">
        <v>10000</v>
      </c>
      <c r="AH157" s="78">
        <v>286</v>
      </c>
      <c r="AI157" s="78">
        <v>51</v>
      </c>
      <c r="AJ157" s="78">
        <v>311.74</v>
      </c>
      <c r="AK157" s="78">
        <v>57.63</v>
      </c>
      <c r="AL157" s="78">
        <v>337</v>
      </c>
      <c r="AM157" s="78">
        <v>30475</v>
      </c>
      <c r="AN157" s="78">
        <v>33217.75</v>
      </c>
      <c r="AO157" s="78">
        <v>0</v>
      </c>
      <c r="AP157" s="78">
        <v>0</v>
      </c>
      <c r="AQ157" s="78">
        <v>0</v>
      </c>
      <c r="AR157" s="78">
        <v>0</v>
      </c>
      <c r="AS157" s="78">
        <v>7694</v>
      </c>
      <c r="AT157" s="78">
        <v>0</v>
      </c>
      <c r="AU157" s="400">
        <v>1.566914E-3</v>
      </c>
      <c r="AV157" s="400">
        <v>2.4964900000000001E-3</v>
      </c>
      <c r="AW157" s="78">
        <v>51563.7</v>
      </c>
      <c r="AX157" s="78">
        <v>0</v>
      </c>
      <c r="AY157" s="78">
        <v>3048.06</v>
      </c>
      <c r="AZ157" s="78">
        <v>50328.990816831698</v>
      </c>
      <c r="BA157" s="78">
        <v>5</v>
      </c>
      <c r="BB157" s="78">
        <v>5.65</v>
      </c>
      <c r="BC157" s="78">
        <v>4460</v>
      </c>
      <c r="BD157" s="78">
        <v>1</v>
      </c>
      <c r="BE157" s="78">
        <v>0</v>
      </c>
      <c r="BF157" s="78">
        <v>0</v>
      </c>
      <c r="BG157" s="78">
        <v>0</v>
      </c>
      <c r="BH157" s="78">
        <v>0</v>
      </c>
      <c r="BI157" s="78">
        <v>0</v>
      </c>
      <c r="BJ157" s="78">
        <v>0</v>
      </c>
      <c r="BK157" s="78">
        <v>0</v>
      </c>
      <c r="BL157" s="78">
        <v>0</v>
      </c>
      <c r="BM157" s="78">
        <v>1778.394</v>
      </c>
      <c r="BN157" s="78">
        <v>386</v>
      </c>
      <c r="BO157" s="78">
        <v>201</v>
      </c>
      <c r="BP157" s="78">
        <v>15831.68</v>
      </c>
      <c r="BQ157" s="78">
        <v>2936.2</v>
      </c>
      <c r="BR157" s="78">
        <v>341.03934373034798</v>
      </c>
      <c r="BS157" s="78">
        <v>891</v>
      </c>
      <c r="BT157" s="78">
        <v>392.33333333333297</v>
      </c>
      <c r="BU157" s="78">
        <v>424.33333333333297</v>
      </c>
      <c r="BV157" s="78">
        <v>4224</v>
      </c>
      <c r="BW157" s="78">
        <v>1544</v>
      </c>
      <c r="BX157" s="78">
        <v>11352.184112261901</v>
      </c>
      <c r="BY157" s="402">
        <v>4.298</v>
      </c>
      <c r="BZ157" s="78">
        <v>42919</v>
      </c>
      <c r="CA157" s="78">
        <v>7514</v>
      </c>
      <c r="CB157" s="78">
        <v>1401</v>
      </c>
      <c r="CC157" s="78">
        <v>2042</v>
      </c>
      <c r="CD157" s="78">
        <v>1581</v>
      </c>
      <c r="CE157" s="78">
        <v>723</v>
      </c>
      <c r="CF157" s="78">
        <v>1063.1336997538999</v>
      </c>
      <c r="CG157" s="78">
        <v>678.55437243642302</v>
      </c>
      <c r="CH157" s="78">
        <v>219.01466776045899</v>
      </c>
      <c r="CI157" s="78">
        <v>2684.2997999999998</v>
      </c>
      <c r="CJ157" s="78">
        <v>1713.2778000000001</v>
      </c>
      <c r="CK157" s="78">
        <v>552.98879999999997</v>
      </c>
      <c r="CL157" s="78">
        <v>243201</v>
      </c>
    </row>
    <row r="158" spans="1:90" x14ac:dyDescent="0.35">
      <c r="A158" s="72">
        <v>384</v>
      </c>
      <c r="B158" s="72" t="s">
        <v>85</v>
      </c>
      <c r="C158" s="72">
        <v>7</v>
      </c>
      <c r="D158" s="78">
        <v>4673200000</v>
      </c>
      <c r="E158" s="78">
        <v>516600000</v>
      </c>
      <c r="F158" s="78">
        <v>527800000</v>
      </c>
      <c r="G158" s="78">
        <v>31822</v>
      </c>
      <c r="H158" s="78">
        <v>1</v>
      </c>
      <c r="I158" s="78">
        <v>527.79999999999995</v>
      </c>
      <c r="J158" s="78">
        <v>5517</v>
      </c>
      <c r="K158" s="78">
        <v>4983</v>
      </c>
      <c r="L158" s="78">
        <v>1519</v>
      </c>
      <c r="M158" s="78">
        <v>4199</v>
      </c>
      <c r="N158" s="78">
        <v>2530.8000000000002</v>
      </c>
      <c r="O158" s="78">
        <v>413.66666666666703</v>
      </c>
      <c r="P158" s="78">
        <v>16</v>
      </c>
      <c r="Q158" s="78">
        <v>1499.6666666666699</v>
      </c>
      <c r="R158" s="78">
        <v>7652</v>
      </c>
      <c r="S158" s="78">
        <v>5510</v>
      </c>
      <c r="T158" s="78">
        <v>0</v>
      </c>
      <c r="U158" s="78">
        <v>1284</v>
      </c>
      <c r="V158" s="78">
        <v>16508</v>
      </c>
      <c r="W158" s="78">
        <v>24890</v>
      </c>
      <c r="X158" s="78">
        <v>4830</v>
      </c>
      <c r="Y158" s="78">
        <v>0</v>
      </c>
      <c r="Z158" s="78">
        <v>0</v>
      </c>
      <c r="AA158" s="78">
        <v>0</v>
      </c>
      <c r="AB158" s="399">
        <v>217.19999999999982</v>
      </c>
      <c r="AC158" s="399">
        <v>0</v>
      </c>
      <c r="AD158" s="78">
        <v>1186</v>
      </c>
      <c r="AE158" s="78">
        <v>1909.46</v>
      </c>
      <c r="AF158" s="78">
        <v>107</v>
      </c>
      <c r="AG158" s="78">
        <v>110</v>
      </c>
      <c r="AH158" s="78">
        <v>98</v>
      </c>
      <c r="AI158" s="78">
        <v>4</v>
      </c>
      <c r="AJ158" s="78">
        <v>150.91999999999999</v>
      </c>
      <c r="AK158" s="78">
        <v>6.68</v>
      </c>
      <c r="AL158" s="78">
        <v>102</v>
      </c>
      <c r="AM158" s="78">
        <v>16682</v>
      </c>
      <c r="AN158" s="78">
        <v>25690.28</v>
      </c>
      <c r="AO158" s="78">
        <v>0</v>
      </c>
      <c r="AP158" s="78">
        <v>0</v>
      </c>
      <c r="AQ158" s="78">
        <v>0</v>
      </c>
      <c r="AR158" s="78">
        <v>0</v>
      </c>
      <c r="AS158" s="78">
        <v>763</v>
      </c>
      <c r="AT158" s="78">
        <v>0</v>
      </c>
      <c r="AU158" s="400">
        <v>1.0310399999999999E-4</v>
      </c>
      <c r="AV158" s="400">
        <v>5.8070099999999998E-4</v>
      </c>
      <c r="AW158" s="78">
        <v>48494.574000000001</v>
      </c>
      <c r="AX158" s="78">
        <v>0</v>
      </c>
      <c r="AY158" s="78">
        <v>1553.65</v>
      </c>
      <c r="AZ158" s="78">
        <v>112491.631384377</v>
      </c>
      <c r="BA158" s="78">
        <v>1</v>
      </c>
      <c r="BB158" s="78">
        <v>1.67</v>
      </c>
      <c r="BC158" s="78">
        <v>4405</v>
      </c>
      <c r="BD158" s="78">
        <v>1</v>
      </c>
      <c r="BE158" s="78">
        <v>0</v>
      </c>
      <c r="BF158" s="78">
        <v>0</v>
      </c>
      <c r="BG158" s="78">
        <v>0</v>
      </c>
      <c r="BH158" s="78">
        <v>0</v>
      </c>
      <c r="BI158" s="78">
        <v>0</v>
      </c>
      <c r="BJ158" s="78">
        <v>0</v>
      </c>
      <c r="BK158" s="78">
        <v>0</v>
      </c>
      <c r="BL158" s="78">
        <v>0</v>
      </c>
      <c r="BM158" s="78">
        <v>877.20299999999997</v>
      </c>
      <c r="BN158" s="78">
        <v>53</v>
      </c>
      <c r="BO158" s="78">
        <v>70</v>
      </c>
      <c r="BP158" s="78">
        <v>9739.7999999999993</v>
      </c>
      <c r="BQ158" s="78">
        <v>2228.36</v>
      </c>
      <c r="BR158" s="78">
        <v>103.425376064643</v>
      </c>
      <c r="BS158" s="78">
        <v>484</v>
      </c>
      <c r="BT158" s="78">
        <v>139</v>
      </c>
      <c r="BU158" s="78">
        <v>124.333333333333</v>
      </c>
      <c r="BV158" s="78">
        <v>1086.000000000003</v>
      </c>
      <c r="BW158" s="78">
        <v>224</v>
      </c>
      <c r="BX158" s="78">
        <v>3361.4691466139002</v>
      </c>
      <c r="BY158" s="402">
        <v>0.64600000000000002</v>
      </c>
      <c r="BZ158" s="78">
        <v>26839</v>
      </c>
      <c r="CA158" s="78">
        <v>2863</v>
      </c>
      <c r="CB158" s="78">
        <v>601</v>
      </c>
      <c r="CC158" s="78">
        <v>817</v>
      </c>
      <c r="CD158" s="78">
        <v>572</v>
      </c>
      <c r="CE158" s="78">
        <v>295</v>
      </c>
      <c r="CF158" s="78">
        <v>293.40410022779002</v>
      </c>
      <c r="CG158" s="78">
        <v>166.57585421412301</v>
      </c>
      <c r="CH158" s="78">
        <v>64.324373576309796</v>
      </c>
      <c r="CI158" s="78">
        <v>809.57240000000002</v>
      </c>
      <c r="CJ158" s="78">
        <v>459.62279999999998</v>
      </c>
      <c r="CK158" s="78">
        <v>177.4864</v>
      </c>
      <c r="CL158" s="78">
        <v>0</v>
      </c>
    </row>
    <row r="159" spans="1:90" x14ac:dyDescent="0.35">
      <c r="A159" s="72">
        <v>1980</v>
      </c>
      <c r="B159" s="72" t="s">
        <v>1303</v>
      </c>
      <c r="C159" s="72">
        <v>7</v>
      </c>
      <c r="D159" s="78">
        <v>9283200000</v>
      </c>
      <c r="E159" s="78">
        <v>1143800000</v>
      </c>
      <c r="F159" s="78">
        <v>1173900000</v>
      </c>
      <c r="G159" s="78">
        <v>87695</v>
      </c>
      <c r="H159" s="78">
        <v>2</v>
      </c>
      <c r="I159" s="78">
        <v>1173.9000000000001</v>
      </c>
      <c r="J159" s="78">
        <v>18366</v>
      </c>
      <c r="K159" s="78">
        <v>17002</v>
      </c>
      <c r="L159" s="78">
        <v>5921</v>
      </c>
      <c r="M159" s="78">
        <v>9608</v>
      </c>
      <c r="N159" s="78">
        <v>5927.5</v>
      </c>
      <c r="O159" s="78">
        <v>1014.66666666667</v>
      </c>
      <c r="P159" s="78">
        <v>201</v>
      </c>
      <c r="Q159" s="78">
        <v>5989.6666666666697</v>
      </c>
      <c r="R159" s="78">
        <v>10962</v>
      </c>
      <c r="S159" s="78">
        <v>5075</v>
      </c>
      <c r="T159" s="78">
        <v>0</v>
      </c>
      <c r="U159" s="78">
        <v>2887</v>
      </c>
      <c r="V159" s="78">
        <v>38159</v>
      </c>
      <c r="W159" s="78">
        <v>98430</v>
      </c>
      <c r="X159" s="78">
        <v>99930</v>
      </c>
      <c r="Y159" s="78">
        <v>1255.92</v>
      </c>
      <c r="Z159" s="78">
        <v>3445.6</v>
      </c>
      <c r="AA159" s="78">
        <v>0</v>
      </c>
      <c r="AB159" s="399">
        <v>0</v>
      </c>
      <c r="AC159" s="399">
        <v>0</v>
      </c>
      <c r="AD159" s="78">
        <v>6167</v>
      </c>
      <c r="AE159" s="78">
        <v>6228.67</v>
      </c>
      <c r="AF159" s="78">
        <v>535</v>
      </c>
      <c r="AG159" s="78">
        <v>0</v>
      </c>
      <c r="AH159" s="78">
        <v>448</v>
      </c>
      <c r="AI159" s="78">
        <v>45</v>
      </c>
      <c r="AJ159" s="78">
        <v>448</v>
      </c>
      <c r="AK159" s="78">
        <v>45.9</v>
      </c>
      <c r="AL159" s="78">
        <v>493</v>
      </c>
      <c r="AM159" s="78">
        <v>36805</v>
      </c>
      <c r="AN159" s="78">
        <v>36805</v>
      </c>
      <c r="AO159" s="78">
        <v>0</v>
      </c>
      <c r="AP159" s="78">
        <v>0</v>
      </c>
      <c r="AQ159" s="78">
        <v>0</v>
      </c>
      <c r="AR159" s="78">
        <v>0</v>
      </c>
      <c r="AS159" s="78">
        <v>1101</v>
      </c>
      <c r="AT159" s="78">
        <v>0</v>
      </c>
      <c r="AU159" s="400">
        <v>3.9499700000000001E-4</v>
      </c>
      <c r="AV159" s="400">
        <v>2.8503699999999997E-4</v>
      </c>
      <c r="AW159" s="78">
        <v>53330.445</v>
      </c>
      <c r="AX159" s="78">
        <v>0</v>
      </c>
      <c r="AY159" s="78">
        <v>6027.68</v>
      </c>
      <c r="AZ159" s="78">
        <v>78871.590211877105</v>
      </c>
      <c r="BA159" s="78">
        <v>9</v>
      </c>
      <c r="BB159" s="78">
        <v>9.18</v>
      </c>
      <c r="BC159" s="78">
        <v>9860</v>
      </c>
      <c r="BD159" s="78">
        <v>1</v>
      </c>
      <c r="BE159" s="78">
        <v>0</v>
      </c>
      <c r="BF159" s="78">
        <v>0</v>
      </c>
      <c r="BG159" s="78">
        <v>0</v>
      </c>
      <c r="BH159" s="78">
        <v>0</v>
      </c>
      <c r="BI159" s="78">
        <v>0</v>
      </c>
      <c r="BJ159" s="78">
        <v>0</v>
      </c>
      <c r="BK159" s="78">
        <v>0</v>
      </c>
      <c r="BL159" s="78">
        <v>0</v>
      </c>
      <c r="BM159" s="78">
        <v>1818.2339999999999</v>
      </c>
      <c r="BN159" s="78">
        <v>257</v>
      </c>
      <c r="BO159" s="78">
        <v>190</v>
      </c>
      <c r="BP159" s="78">
        <v>24849.919999999998</v>
      </c>
      <c r="BQ159" s="78">
        <v>6375.6</v>
      </c>
      <c r="BR159" s="78">
        <v>721.52944658980402</v>
      </c>
      <c r="BS159" s="78">
        <v>1196</v>
      </c>
      <c r="BT159" s="78">
        <v>343</v>
      </c>
      <c r="BU159" s="78">
        <v>295</v>
      </c>
      <c r="BV159" s="78">
        <v>4975</v>
      </c>
      <c r="BW159" s="78">
        <v>1515</v>
      </c>
      <c r="BX159" s="78">
        <v>11800.2874149581</v>
      </c>
      <c r="BY159" s="402">
        <v>1.587</v>
      </c>
      <c r="BZ159" s="78">
        <v>70693</v>
      </c>
      <c r="CA159" s="78">
        <v>9695</v>
      </c>
      <c r="CB159" s="78">
        <v>1386</v>
      </c>
      <c r="CC159" s="78">
        <v>1883</v>
      </c>
      <c r="CD159" s="78">
        <v>1668</v>
      </c>
      <c r="CE159" s="78">
        <v>662</v>
      </c>
      <c r="CF159" s="78">
        <v>947.78800434723598</v>
      </c>
      <c r="CG159" s="78">
        <v>650.80906126884895</v>
      </c>
      <c r="CH159" s="78">
        <v>153.80417062899099</v>
      </c>
      <c r="CI159" s="78">
        <v>2620.002</v>
      </c>
      <c r="CJ159" s="78">
        <v>1799.0532000000001</v>
      </c>
      <c r="CK159" s="78">
        <v>425.166</v>
      </c>
      <c r="CL159" s="78">
        <v>193115</v>
      </c>
    </row>
    <row r="160" spans="1:90" x14ac:dyDescent="0.35">
      <c r="A160" s="72">
        <v>498</v>
      </c>
      <c r="B160" s="72" t="s">
        <v>91</v>
      </c>
      <c r="C160" s="72">
        <v>7</v>
      </c>
      <c r="D160" s="78">
        <v>2234000000</v>
      </c>
      <c r="E160" s="78">
        <v>171850000</v>
      </c>
      <c r="F160" s="78">
        <v>196350000</v>
      </c>
      <c r="G160" s="78">
        <v>19983</v>
      </c>
      <c r="H160" s="78">
        <v>3</v>
      </c>
      <c r="I160" s="78">
        <v>196.35</v>
      </c>
      <c r="J160" s="78">
        <v>3896</v>
      </c>
      <c r="K160" s="78">
        <v>4448</v>
      </c>
      <c r="L160" s="78">
        <v>1472</v>
      </c>
      <c r="M160" s="78">
        <v>2221</v>
      </c>
      <c r="N160" s="78">
        <v>1357</v>
      </c>
      <c r="O160" s="78">
        <v>159.333333333333</v>
      </c>
      <c r="P160" s="78">
        <v>25</v>
      </c>
      <c r="Q160" s="78">
        <v>1134.3333333333301</v>
      </c>
      <c r="R160" s="78">
        <v>2447</v>
      </c>
      <c r="S160" s="78">
        <v>380</v>
      </c>
      <c r="T160" s="78">
        <v>0</v>
      </c>
      <c r="U160" s="78">
        <v>521</v>
      </c>
      <c r="V160" s="78">
        <v>8593</v>
      </c>
      <c r="W160" s="78">
        <v>15370</v>
      </c>
      <c r="X160" s="78">
        <v>2120</v>
      </c>
      <c r="Y160" s="78">
        <v>0</v>
      </c>
      <c r="Z160" s="78">
        <v>0</v>
      </c>
      <c r="AA160" s="78">
        <v>0</v>
      </c>
      <c r="AB160" s="399">
        <v>0</v>
      </c>
      <c r="AC160" s="399">
        <v>0</v>
      </c>
      <c r="AD160" s="78">
        <v>5886</v>
      </c>
      <c r="AE160" s="78">
        <v>7298.64</v>
      </c>
      <c r="AF160" s="78">
        <v>67</v>
      </c>
      <c r="AG160" s="78">
        <v>2105</v>
      </c>
      <c r="AH160" s="78">
        <v>119</v>
      </c>
      <c r="AI160" s="78">
        <v>56</v>
      </c>
      <c r="AJ160" s="78">
        <v>142.80000000000001</v>
      </c>
      <c r="AK160" s="78">
        <v>70.56</v>
      </c>
      <c r="AL160" s="78">
        <v>176</v>
      </c>
      <c r="AM160" s="78">
        <v>8640</v>
      </c>
      <c r="AN160" s="78">
        <v>10368</v>
      </c>
      <c r="AO160" s="78">
        <v>0</v>
      </c>
      <c r="AP160" s="78">
        <v>0</v>
      </c>
      <c r="AQ160" s="78">
        <v>0</v>
      </c>
      <c r="AR160" s="78">
        <v>0</v>
      </c>
      <c r="AS160" s="78">
        <v>596</v>
      </c>
      <c r="AT160" s="78">
        <v>0</v>
      </c>
      <c r="AU160" s="400">
        <v>1.7064200000000001E-4</v>
      </c>
      <c r="AV160" s="400">
        <v>5.5639E-5</v>
      </c>
      <c r="AW160" s="78">
        <v>4389.12</v>
      </c>
      <c r="AX160" s="78">
        <v>0</v>
      </c>
      <c r="AY160" s="78">
        <v>2816.04</v>
      </c>
      <c r="AZ160" s="78">
        <v>12957.631103645201</v>
      </c>
      <c r="BA160" s="78">
        <v>12</v>
      </c>
      <c r="BB160" s="78">
        <v>15.12</v>
      </c>
      <c r="BC160" s="78">
        <v>2685</v>
      </c>
      <c r="BD160" s="78">
        <v>1</v>
      </c>
      <c r="BE160" s="78">
        <v>0</v>
      </c>
      <c r="BF160" s="78">
        <v>0</v>
      </c>
      <c r="BG160" s="78">
        <v>0</v>
      </c>
      <c r="BH160" s="78">
        <v>0</v>
      </c>
      <c r="BI160" s="78">
        <v>0</v>
      </c>
      <c r="BJ160" s="78">
        <v>0</v>
      </c>
      <c r="BK160" s="78">
        <v>0</v>
      </c>
      <c r="BL160" s="78">
        <v>0</v>
      </c>
      <c r="BM160" s="78">
        <v>292.2</v>
      </c>
      <c r="BN160" s="78">
        <v>36</v>
      </c>
      <c r="BO160" s="78">
        <v>23</v>
      </c>
      <c r="BP160" s="78">
        <v>6036.48</v>
      </c>
      <c r="BQ160" s="78">
        <v>1513.01</v>
      </c>
      <c r="BR160" s="78">
        <v>78.792051529790697</v>
      </c>
      <c r="BS160" s="78">
        <v>228</v>
      </c>
      <c r="BT160" s="78">
        <v>67.6666666666667</v>
      </c>
      <c r="BU160" s="78">
        <v>49.3333333333333</v>
      </c>
      <c r="BV160" s="78">
        <v>974.99999999999704</v>
      </c>
      <c r="BW160" s="78">
        <v>282</v>
      </c>
      <c r="BX160" s="78">
        <v>2210.4796108478699</v>
      </c>
      <c r="BY160" s="402">
        <v>0.159</v>
      </c>
      <c r="BZ160" s="78">
        <v>15535</v>
      </c>
      <c r="CA160" s="78">
        <v>2580</v>
      </c>
      <c r="CB160" s="78">
        <v>396</v>
      </c>
      <c r="CC160" s="78">
        <v>477</v>
      </c>
      <c r="CD160" s="78">
        <v>398</v>
      </c>
      <c r="CE160" s="78">
        <v>181</v>
      </c>
      <c r="CF160" s="78">
        <v>246.27037037036999</v>
      </c>
      <c r="CG160" s="78">
        <v>157.21724537036999</v>
      </c>
      <c r="CH160" s="78">
        <v>44.448032407407403</v>
      </c>
      <c r="CI160" s="78">
        <v>644.91840000000002</v>
      </c>
      <c r="CJ160" s="78">
        <v>411.71129999999999</v>
      </c>
      <c r="CK160" s="78">
        <v>116.39790000000001</v>
      </c>
      <c r="CL160" s="78">
        <v>8395</v>
      </c>
    </row>
    <row r="161" spans="1:90" x14ac:dyDescent="0.35">
      <c r="A161" s="72">
        <v>385</v>
      </c>
      <c r="B161" s="72" t="s">
        <v>97</v>
      </c>
      <c r="C161" s="72">
        <v>7</v>
      </c>
      <c r="D161" s="78">
        <v>4507200000</v>
      </c>
      <c r="E161" s="78">
        <v>455700000</v>
      </c>
      <c r="F161" s="78">
        <v>474950000</v>
      </c>
      <c r="G161" s="78">
        <v>36471</v>
      </c>
      <c r="H161" s="78">
        <v>2</v>
      </c>
      <c r="I161" s="78">
        <v>474.95</v>
      </c>
      <c r="J161" s="78">
        <v>6914</v>
      </c>
      <c r="K161" s="78">
        <v>7987</v>
      </c>
      <c r="L161" s="78">
        <v>2736</v>
      </c>
      <c r="M161" s="78">
        <v>3802</v>
      </c>
      <c r="N161" s="78">
        <v>2213.3000000000002</v>
      </c>
      <c r="O161" s="78">
        <v>277</v>
      </c>
      <c r="P161" s="78">
        <v>24</v>
      </c>
      <c r="Q161" s="78">
        <v>1815</v>
      </c>
      <c r="R161" s="78">
        <v>4367</v>
      </c>
      <c r="S161" s="78">
        <v>925</v>
      </c>
      <c r="T161" s="78">
        <v>0</v>
      </c>
      <c r="U161" s="78">
        <v>926</v>
      </c>
      <c r="V161" s="78">
        <v>15539</v>
      </c>
      <c r="W161" s="78">
        <v>31190</v>
      </c>
      <c r="X161" s="78">
        <v>11260</v>
      </c>
      <c r="Y161" s="78">
        <v>160.38</v>
      </c>
      <c r="Z161" s="78">
        <v>1355.2</v>
      </c>
      <c r="AA161" s="78">
        <v>0</v>
      </c>
      <c r="AB161" s="399">
        <v>0</v>
      </c>
      <c r="AC161" s="399">
        <v>0</v>
      </c>
      <c r="AD161" s="78">
        <v>5437</v>
      </c>
      <c r="AE161" s="78">
        <v>7557.43</v>
      </c>
      <c r="AF161" s="78">
        <v>300</v>
      </c>
      <c r="AG161" s="78">
        <v>2262</v>
      </c>
      <c r="AH161" s="78">
        <v>178</v>
      </c>
      <c r="AI161" s="78">
        <v>29</v>
      </c>
      <c r="AJ161" s="78">
        <v>252.76</v>
      </c>
      <c r="AK161" s="78">
        <v>39.729999999999997</v>
      </c>
      <c r="AL161" s="78">
        <v>207</v>
      </c>
      <c r="AM161" s="78">
        <v>15887</v>
      </c>
      <c r="AN161" s="78">
        <v>22559.54</v>
      </c>
      <c r="AO161" s="78">
        <v>31</v>
      </c>
      <c r="AP161" s="78">
        <v>0</v>
      </c>
      <c r="AQ161" s="78">
        <v>0</v>
      </c>
      <c r="AR161" s="78">
        <v>8100</v>
      </c>
      <c r="AS161" s="78">
        <v>1933</v>
      </c>
      <c r="AT161" s="78">
        <v>950</v>
      </c>
      <c r="AU161" s="400">
        <v>3.7418899999999998E-4</v>
      </c>
      <c r="AV161" s="400">
        <v>1.5284900000000001E-4</v>
      </c>
      <c r="AW161" s="78">
        <v>20970.84</v>
      </c>
      <c r="AX161" s="78">
        <v>0</v>
      </c>
      <c r="AY161" s="78">
        <v>7624.15</v>
      </c>
      <c r="AZ161" s="78">
        <v>140579.017467317</v>
      </c>
      <c r="BA161" s="78">
        <v>12</v>
      </c>
      <c r="BB161" s="78">
        <v>16.440000000000001</v>
      </c>
      <c r="BC161" s="78">
        <v>5580</v>
      </c>
      <c r="BD161" s="78">
        <v>1</v>
      </c>
      <c r="BE161" s="78">
        <v>0</v>
      </c>
      <c r="BF161" s="78">
        <v>0</v>
      </c>
      <c r="BG161" s="78">
        <v>0</v>
      </c>
      <c r="BH161" s="78">
        <v>0</v>
      </c>
      <c r="BI161" s="78">
        <v>0</v>
      </c>
      <c r="BJ161" s="78">
        <v>0</v>
      </c>
      <c r="BK161" s="78">
        <v>0</v>
      </c>
      <c r="BL161" s="78">
        <v>0</v>
      </c>
      <c r="BM161" s="78">
        <v>387.18400000000003</v>
      </c>
      <c r="BN161" s="78">
        <v>228</v>
      </c>
      <c r="BO161" s="78">
        <v>92</v>
      </c>
      <c r="BP161" s="78">
        <v>11850.54</v>
      </c>
      <c r="BQ161" s="78">
        <v>3132</v>
      </c>
      <c r="BR161" s="78">
        <v>119.567840779308</v>
      </c>
      <c r="BS161" s="78">
        <v>364</v>
      </c>
      <c r="BT161" s="78">
        <v>104</v>
      </c>
      <c r="BU161" s="78">
        <v>64</v>
      </c>
      <c r="BV161" s="78">
        <v>1538</v>
      </c>
      <c r="BW161" s="78">
        <v>280</v>
      </c>
      <c r="BX161" s="78">
        <v>5292.2972769383496</v>
      </c>
      <c r="BY161" s="402">
        <v>0.182</v>
      </c>
      <c r="BZ161" s="78">
        <v>28484</v>
      </c>
      <c r="CA161" s="78">
        <v>4627</v>
      </c>
      <c r="CB161" s="78">
        <v>624</v>
      </c>
      <c r="CC161" s="78">
        <v>856</v>
      </c>
      <c r="CD161" s="78">
        <v>872</v>
      </c>
      <c r="CE161" s="78">
        <v>343</v>
      </c>
      <c r="CF161" s="78">
        <v>394.54054258198499</v>
      </c>
      <c r="CG161" s="78">
        <v>264.69881034808299</v>
      </c>
      <c r="CH161" s="78">
        <v>66.453332913702994</v>
      </c>
      <c r="CI161" s="78">
        <v>1009.3248</v>
      </c>
      <c r="CJ161" s="78">
        <v>677.16</v>
      </c>
      <c r="CK161" s="78">
        <v>170.00280000000001</v>
      </c>
      <c r="CL161" s="78">
        <v>12316</v>
      </c>
    </row>
    <row r="162" spans="1:90" x14ac:dyDescent="0.35">
      <c r="A162" s="72">
        <v>388</v>
      </c>
      <c r="B162" s="72" t="s">
        <v>105</v>
      </c>
      <c r="C162" s="72">
        <v>7</v>
      </c>
      <c r="D162" s="78">
        <v>1887200000</v>
      </c>
      <c r="E162" s="78">
        <v>254450000</v>
      </c>
      <c r="F162" s="78">
        <v>263550000</v>
      </c>
      <c r="G162" s="78">
        <v>18620</v>
      </c>
      <c r="H162" s="78">
        <v>1</v>
      </c>
      <c r="I162" s="78">
        <v>263.55</v>
      </c>
      <c r="J162" s="78">
        <v>3485</v>
      </c>
      <c r="K162" s="78">
        <v>4176</v>
      </c>
      <c r="L162" s="78">
        <v>1411</v>
      </c>
      <c r="M162" s="78">
        <v>3017</v>
      </c>
      <c r="N162" s="78">
        <v>2119</v>
      </c>
      <c r="O162" s="78">
        <v>308.33333333333297</v>
      </c>
      <c r="P162" s="78">
        <v>24</v>
      </c>
      <c r="Q162" s="78">
        <v>1558.3333333333301</v>
      </c>
      <c r="R162" s="78">
        <v>3352</v>
      </c>
      <c r="S162" s="78">
        <v>775</v>
      </c>
      <c r="T162" s="78">
        <v>0</v>
      </c>
      <c r="U162" s="78">
        <v>701</v>
      </c>
      <c r="V162" s="78">
        <v>8971</v>
      </c>
      <c r="W162" s="78">
        <v>18840</v>
      </c>
      <c r="X162" s="78">
        <v>9870</v>
      </c>
      <c r="Y162" s="78">
        <v>0</v>
      </c>
      <c r="Z162" s="78">
        <v>1202.4000000000001</v>
      </c>
      <c r="AA162" s="78">
        <v>0</v>
      </c>
      <c r="AB162" s="399">
        <v>0</v>
      </c>
      <c r="AC162" s="399">
        <v>0</v>
      </c>
      <c r="AD162" s="78">
        <v>1264</v>
      </c>
      <c r="AE162" s="78">
        <v>1542.08</v>
      </c>
      <c r="AF162" s="78">
        <v>230</v>
      </c>
      <c r="AG162" s="78">
        <v>10000</v>
      </c>
      <c r="AH162" s="78">
        <v>100</v>
      </c>
      <c r="AI162" s="78">
        <v>23</v>
      </c>
      <c r="AJ162" s="78">
        <v>125</v>
      </c>
      <c r="AK162" s="78">
        <v>27.83</v>
      </c>
      <c r="AL162" s="78">
        <v>123</v>
      </c>
      <c r="AM162" s="78">
        <v>8980</v>
      </c>
      <c r="AN162" s="78">
        <v>11225</v>
      </c>
      <c r="AO162" s="78">
        <v>0</v>
      </c>
      <c r="AP162" s="78">
        <v>54</v>
      </c>
      <c r="AQ162" s="78">
        <v>0</v>
      </c>
      <c r="AR162" s="78">
        <v>10700</v>
      </c>
      <c r="AS162" s="78">
        <v>2330</v>
      </c>
      <c r="AT162" s="78">
        <v>2330</v>
      </c>
      <c r="AU162" s="400">
        <v>8.4585699999999999E-4</v>
      </c>
      <c r="AV162" s="400">
        <v>2.7025600000000002E-4</v>
      </c>
      <c r="AW162" s="78">
        <v>12428.32</v>
      </c>
      <c r="AX162" s="78">
        <v>0</v>
      </c>
      <c r="AY162" s="78">
        <v>1684.82</v>
      </c>
      <c r="AZ162" s="78">
        <v>25225.239357429698</v>
      </c>
      <c r="BA162" s="78">
        <v>1</v>
      </c>
      <c r="BB162" s="78">
        <v>1.21</v>
      </c>
      <c r="BC162" s="78">
        <v>2385</v>
      </c>
      <c r="BD162" s="78">
        <v>1</v>
      </c>
      <c r="BE162" s="78">
        <v>0</v>
      </c>
      <c r="BF162" s="78">
        <v>0</v>
      </c>
      <c r="BG162" s="78">
        <v>0</v>
      </c>
      <c r="BH162" s="78">
        <v>0</v>
      </c>
      <c r="BI162" s="78">
        <v>0</v>
      </c>
      <c r="BJ162" s="78">
        <v>0</v>
      </c>
      <c r="BK162" s="78">
        <v>0</v>
      </c>
      <c r="BL162" s="78">
        <v>0</v>
      </c>
      <c r="BM162" s="78">
        <v>446.08</v>
      </c>
      <c r="BN162" s="78">
        <v>78</v>
      </c>
      <c r="BO162" s="78">
        <v>43</v>
      </c>
      <c r="BP162" s="78">
        <v>5397.1</v>
      </c>
      <c r="BQ162" s="78">
        <v>1152.8599999999999</v>
      </c>
      <c r="BR162" s="78">
        <v>153.277093862816</v>
      </c>
      <c r="BS162" s="78">
        <v>279</v>
      </c>
      <c r="BT162" s="78">
        <v>94.3333333333333</v>
      </c>
      <c r="BU162" s="78">
        <v>94.3333333333333</v>
      </c>
      <c r="BV162" s="78">
        <v>1249.999999999997</v>
      </c>
      <c r="BW162" s="78">
        <v>398</v>
      </c>
      <c r="BX162" s="78">
        <v>2783.01911251811</v>
      </c>
      <c r="BY162" s="402">
        <v>0.60899999999999999</v>
      </c>
      <c r="BZ162" s="78">
        <v>14444</v>
      </c>
      <c r="CA162" s="78">
        <v>2374</v>
      </c>
      <c r="CB162" s="78">
        <v>391</v>
      </c>
      <c r="CC162" s="78">
        <v>606</v>
      </c>
      <c r="CD162" s="78">
        <v>505</v>
      </c>
      <c r="CE162" s="78">
        <v>205</v>
      </c>
      <c r="CF162" s="78">
        <v>361.032293986637</v>
      </c>
      <c r="CG162" s="78">
        <v>232.66525612472199</v>
      </c>
      <c r="CH162" s="78">
        <v>65.363363028953202</v>
      </c>
      <c r="CI162" s="78">
        <v>769.59</v>
      </c>
      <c r="CJ162" s="78">
        <v>495.95800000000003</v>
      </c>
      <c r="CK162" s="78">
        <v>139.33099999999999</v>
      </c>
      <c r="CL162" s="78">
        <v>0</v>
      </c>
    </row>
    <row r="163" spans="1:90" x14ac:dyDescent="0.35">
      <c r="A163" s="72">
        <v>1942</v>
      </c>
      <c r="B163" s="72" t="s">
        <v>118</v>
      </c>
      <c r="C163" s="72">
        <v>7</v>
      </c>
      <c r="D163" s="78">
        <v>11051600000</v>
      </c>
      <c r="E163" s="78">
        <v>646800000</v>
      </c>
      <c r="F163" s="78">
        <v>674800000</v>
      </c>
      <c r="G163" s="78">
        <v>58846</v>
      </c>
      <c r="H163" s="78">
        <v>3</v>
      </c>
      <c r="I163" s="78">
        <v>674.8</v>
      </c>
      <c r="J163" s="78">
        <v>13429</v>
      </c>
      <c r="K163" s="78">
        <v>12410</v>
      </c>
      <c r="L163" s="78">
        <v>4459</v>
      </c>
      <c r="M163" s="78">
        <v>7319</v>
      </c>
      <c r="N163" s="78">
        <v>4595.1000000000004</v>
      </c>
      <c r="O163" s="78">
        <v>834</v>
      </c>
      <c r="P163" s="78">
        <v>25</v>
      </c>
      <c r="Q163" s="78">
        <v>2607</v>
      </c>
      <c r="R163" s="78">
        <v>10336</v>
      </c>
      <c r="S163" s="78">
        <v>2945</v>
      </c>
      <c r="T163" s="78">
        <v>0</v>
      </c>
      <c r="U163" s="78">
        <v>1930</v>
      </c>
      <c r="V163" s="78">
        <v>27099</v>
      </c>
      <c r="W163" s="78">
        <v>57580</v>
      </c>
      <c r="X163" s="78">
        <v>35270</v>
      </c>
      <c r="Y163" s="78">
        <v>686.74</v>
      </c>
      <c r="Z163" s="78">
        <v>3254.4</v>
      </c>
      <c r="AA163" s="78">
        <v>0</v>
      </c>
      <c r="AB163" s="399">
        <v>0</v>
      </c>
      <c r="AC163" s="399">
        <v>0</v>
      </c>
      <c r="AD163" s="78">
        <v>4142</v>
      </c>
      <c r="AE163" s="78">
        <v>4307.68</v>
      </c>
      <c r="AF163" s="78">
        <v>1279</v>
      </c>
      <c r="AG163" s="78">
        <v>2101</v>
      </c>
      <c r="AH163" s="78">
        <v>255</v>
      </c>
      <c r="AI163" s="78">
        <v>17</v>
      </c>
      <c r="AJ163" s="78">
        <v>257.55</v>
      </c>
      <c r="AK163" s="78">
        <v>17.850000000000001</v>
      </c>
      <c r="AL163" s="78">
        <v>272</v>
      </c>
      <c r="AM163" s="78">
        <v>27239</v>
      </c>
      <c r="AN163" s="78">
        <v>27511.39</v>
      </c>
      <c r="AO163" s="78">
        <v>27</v>
      </c>
      <c r="AP163" s="78">
        <v>0</v>
      </c>
      <c r="AQ163" s="78">
        <v>0</v>
      </c>
      <c r="AR163" s="78">
        <v>11150</v>
      </c>
      <c r="AS163" s="78">
        <v>6822</v>
      </c>
      <c r="AT163" s="78">
        <v>651</v>
      </c>
      <c r="AU163" s="400">
        <v>1.9120840000000001E-3</v>
      </c>
      <c r="AV163" s="400">
        <v>1.1700020000000001E-3</v>
      </c>
      <c r="AW163" s="78">
        <v>51972.012000000002</v>
      </c>
      <c r="AX163" s="78">
        <v>0</v>
      </c>
      <c r="AY163" s="78">
        <v>3182.4</v>
      </c>
      <c r="AZ163" s="78">
        <v>44164.134676258996</v>
      </c>
      <c r="BA163" s="78">
        <v>9</v>
      </c>
      <c r="BB163" s="78">
        <v>9.4499999999999993</v>
      </c>
      <c r="BC163" s="78">
        <v>11105</v>
      </c>
      <c r="BD163" s="78">
        <v>1</v>
      </c>
      <c r="BE163" s="78">
        <v>0</v>
      </c>
      <c r="BF163" s="78">
        <v>0</v>
      </c>
      <c r="BG163" s="78">
        <v>0</v>
      </c>
      <c r="BH163" s="78">
        <v>0</v>
      </c>
      <c r="BI163" s="78">
        <v>0</v>
      </c>
      <c r="BJ163" s="78">
        <v>0</v>
      </c>
      <c r="BK163" s="78">
        <v>0</v>
      </c>
      <c r="BL163" s="78">
        <v>0</v>
      </c>
      <c r="BM163" s="78">
        <v>1034.0329999999999</v>
      </c>
      <c r="BN163" s="78">
        <v>71</v>
      </c>
      <c r="BO163" s="78">
        <v>88</v>
      </c>
      <c r="BP163" s="78">
        <v>25676.87</v>
      </c>
      <c r="BQ163" s="78">
        <v>7017.95</v>
      </c>
      <c r="BR163" s="78">
        <v>459.94040728196399</v>
      </c>
      <c r="BS163" s="78">
        <v>725</v>
      </c>
      <c r="BT163" s="78">
        <v>185</v>
      </c>
      <c r="BU163" s="78">
        <v>141</v>
      </c>
      <c r="BV163" s="78">
        <v>1773</v>
      </c>
      <c r="BW163" s="78">
        <v>432</v>
      </c>
      <c r="BX163" s="78">
        <v>7113.0419233135099</v>
      </c>
      <c r="BY163" s="402">
        <v>1.1539999999999999</v>
      </c>
      <c r="BZ163" s="78">
        <v>46436</v>
      </c>
      <c r="CA163" s="78">
        <v>6041</v>
      </c>
      <c r="CB163" s="78">
        <v>1910</v>
      </c>
      <c r="CC163" s="78">
        <v>1840</v>
      </c>
      <c r="CD163" s="78">
        <v>1743</v>
      </c>
      <c r="CE163" s="78">
        <v>1071</v>
      </c>
      <c r="CF163" s="78">
        <v>678.66248026726396</v>
      </c>
      <c r="CG163" s="78">
        <v>536.28337677594595</v>
      </c>
      <c r="CH163" s="78">
        <v>245.78951870479801</v>
      </c>
      <c r="CI163" s="78">
        <v>881.03700000000003</v>
      </c>
      <c r="CJ163" s="78">
        <v>696.20100000000002</v>
      </c>
      <c r="CK163" s="78">
        <v>319.08300000000003</v>
      </c>
      <c r="CL163" s="78">
        <v>35037</v>
      </c>
    </row>
    <row r="164" spans="1:90" x14ac:dyDescent="0.35">
      <c r="A164" s="72">
        <v>392</v>
      </c>
      <c r="B164" s="72" t="s">
        <v>126</v>
      </c>
      <c r="C164" s="72">
        <v>7</v>
      </c>
      <c r="D164" s="78">
        <v>26134800000</v>
      </c>
      <c r="E164" s="78">
        <v>2776200000</v>
      </c>
      <c r="F164" s="78">
        <v>2830100000</v>
      </c>
      <c r="G164" s="78">
        <v>162898</v>
      </c>
      <c r="H164" s="78">
        <v>1</v>
      </c>
      <c r="I164" s="78">
        <v>2830.1</v>
      </c>
      <c r="J164" s="78">
        <v>32346</v>
      </c>
      <c r="K164" s="78">
        <v>28369</v>
      </c>
      <c r="L164" s="78">
        <v>9310</v>
      </c>
      <c r="M164" s="78">
        <v>25272</v>
      </c>
      <c r="N164" s="78">
        <v>17443.599999999999</v>
      </c>
      <c r="O164" s="78">
        <v>3456.6666666666702</v>
      </c>
      <c r="P164" s="78">
        <v>102</v>
      </c>
      <c r="Q164" s="78">
        <v>11396.666666666701</v>
      </c>
      <c r="R164" s="78">
        <v>34199</v>
      </c>
      <c r="S164" s="78">
        <v>16895</v>
      </c>
      <c r="T164" s="78">
        <v>0</v>
      </c>
      <c r="U164" s="78">
        <v>6107</v>
      </c>
      <c r="V164" s="78">
        <v>80370</v>
      </c>
      <c r="W164" s="78">
        <v>185340</v>
      </c>
      <c r="X164" s="78">
        <v>206110</v>
      </c>
      <c r="Y164" s="78">
        <v>5439.3</v>
      </c>
      <c r="Z164" s="78">
        <v>9037.6</v>
      </c>
      <c r="AA164" s="78">
        <v>0</v>
      </c>
      <c r="AB164" s="399">
        <v>0</v>
      </c>
      <c r="AC164" s="399">
        <v>0</v>
      </c>
      <c r="AD164" s="78">
        <v>2915</v>
      </c>
      <c r="AE164" s="78">
        <v>2973.3</v>
      </c>
      <c r="AF164" s="78">
        <v>294</v>
      </c>
      <c r="AG164" s="78">
        <v>0</v>
      </c>
      <c r="AH164" s="78">
        <v>585</v>
      </c>
      <c r="AI164" s="78">
        <v>7</v>
      </c>
      <c r="AJ164" s="78">
        <v>596.70000000000005</v>
      </c>
      <c r="AK164" s="78">
        <v>7.14</v>
      </c>
      <c r="AL164" s="78">
        <v>592</v>
      </c>
      <c r="AM164" s="78">
        <v>78284</v>
      </c>
      <c r="AN164" s="78">
        <v>79849.679999999993</v>
      </c>
      <c r="AO164" s="78">
        <v>0</v>
      </c>
      <c r="AP164" s="78">
        <v>0</v>
      </c>
      <c r="AQ164" s="78">
        <v>107</v>
      </c>
      <c r="AR164" s="78">
        <v>11850</v>
      </c>
      <c r="AS164" s="78">
        <v>30680</v>
      </c>
      <c r="AT164" s="78">
        <v>30680</v>
      </c>
      <c r="AU164" s="400">
        <v>2.0210842E-2</v>
      </c>
      <c r="AV164" s="400">
        <v>1.251585E-2</v>
      </c>
      <c r="AW164" s="78">
        <v>282683.52399999998</v>
      </c>
      <c r="AX164" s="78">
        <v>16517.923999999999</v>
      </c>
      <c r="AY164" s="78">
        <v>1805.4</v>
      </c>
      <c r="AZ164" s="78">
        <v>102417.104668121</v>
      </c>
      <c r="BA164" s="78">
        <v>2</v>
      </c>
      <c r="BB164" s="78">
        <v>2.04</v>
      </c>
      <c r="BC164" s="78">
        <v>25430</v>
      </c>
      <c r="BD164" s="78">
        <v>1</v>
      </c>
      <c r="BE164" s="78">
        <v>0</v>
      </c>
      <c r="BF164" s="78">
        <v>0</v>
      </c>
      <c r="BG164" s="78">
        <v>0</v>
      </c>
      <c r="BH164" s="78">
        <v>0</v>
      </c>
      <c r="BI164" s="78">
        <v>0</v>
      </c>
      <c r="BJ164" s="78">
        <v>0</v>
      </c>
      <c r="BK164" s="78">
        <v>0</v>
      </c>
      <c r="BL164" s="78">
        <v>0</v>
      </c>
      <c r="BM164" s="78">
        <v>4043.25</v>
      </c>
      <c r="BN164" s="78">
        <v>301</v>
      </c>
      <c r="BO164" s="78">
        <v>726</v>
      </c>
      <c r="BP164" s="78">
        <v>54155.34</v>
      </c>
      <c r="BQ164" s="78">
        <v>13386.96</v>
      </c>
      <c r="BR164" s="78">
        <v>1410.37613818823</v>
      </c>
      <c r="BS164" s="78">
        <v>2176</v>
      </c>
      <c r="BT164" s="78">
        <v>927.33333333333303</v>
      </c>
      <c r="BU164" s="78">
        <v>793.66666666666697</v>
      </c>
      <c r="BV164" s="78">
        <v>7940.0000000000309</v>
      </c>
      <c r="BW164" s="78">
        <v>1891</v>
      </c>
      <c r="BX164" s="78">
        <v>20013.454878524499</v>
      </c>
      <c r="BY164" s="402">
        <v>7.7560000000000002</v>
      </c>
      <c r="BZ164" s="78">
        <v>134529</v>
      </c>
      <c r="CA164" s="78">
        <v>15679</v>
      </c>
      <c r="CB164" s="78">
        <v>3380</v>
      </c>
      <c r="CC164" s="78">
        <v>5264</v>
      </c>
      <c r="CD164" s="78">
        <v>3858</v>
      </c>
      <c r="CE164" s="78">
        <v>1891</v>
      </c>
      <c r="CF164" s="78">
        <v>2399.1523325328299</v>
      </c>
      <c r="CG164" s="78">
        <v>1526.34842368811</v>
      </c>
      <c r="CH164" s="78">
        <v>560.18101272290596</v>
      </c>
      <c r="CI164" s="78">
        <v>4546.9040999999997</v>
      </c>
      <c r="CJ164" s="78">
        <v>2892.7550000000001</v>
      </c>
      <c r="CK164" s="78">
        <v>1061.6622</v>
      </c>
      <c r="CL164" s="78">
        <v>107275</v>
      </c>
    </row>
    <row r="165" spans="1:90" x14ac:dyDescent="0.35">
      <c r="A165" s="72">
        <v>394</v>
      </c>
      <c r="B165" s="72" t="s">
        <v>127</v>
      </c>
      <c r="C165" s="72">
        <v>7</v>
      </c>
      <c r="D165" s="78">
        <v>21275200000</v>
      </c>
      <c r="E165" s="78">
        <v>8012200000</v>
      </c>
      <c r="F165" s="78">
        <v>8077300000</v>
      </c>
      <c r="G165" s="78">
        <v>159336</v>
      </c>
      <c r="H165" s="78">
        <v>9</v>
      </c>
      <c r="I165" s="78">
        <v>8077.3</v>
      </c>
      <c r="J165" s="78">
        <v>33119</v>
      </c>
      <c r="K165" s="78">
        <v>27765</v>
      </c>
      <c r="L165" s="78">
        <v>9141</v>
      </c>
      <c r="M165" s="78">
        <v>15315</v>
      </c>
      <c r="N165" s="78">
        <v>8667.2999999999993</v>
      </c>
      <c r="O165" s="78">
        <v>1927</v>
      </c>
      <c r="P165" s="78">
        <v>73</v>
      </c>
      <c r="Q165" s="78">
        <v>7955</v>
      </c>
      <c r="R165" s="78">
        <v>20848</v>
      </c>
      <c r="S165" s="78">
        <v>15855</v>
      </c>
      <c r="T165" s="78">
        <v>0</v>
      </c>
      <c r="U165" s="78">
        <v>5804</v>
      </c>
      <c r="V165" s="78">
        <v>68763</v>
      </c>
      <c r="W165" s="78">
        <v>143420</v>
      </c>
      <c r="X165" s="78">
        <v>82950</v>
      </c>
      <c r="Y165" s="78">
        <v>2533.3200000000002</v>
      </c>
      <c r="Z165" s="78">
        <v>6336.8</v>
      </c>
      <c r="AA165" s="78">
        <v>0</v>
      </c>
      <c r="AB165" s="399">
        <v>0</v>
      </c>
      <c r="AC165" s="399">
        <v>707.19999999999982</v>
      </c>
      <c r="AD165" s="78">
        <v>19722</v>
      </c>
      <c r="AE165" s="78">
        <v>22680.3</v>
      </c>
      <c r="AF165" s="78">
        <v>910</v>
      </c>
      <c r="AG165" s="78">
        <v>0</v>
      </c>
      <c r="AH165" s="78">
        <v>848</v>
      </c>
      <c r="AI165" s="78">
        <v>236</v>
      </c>
      <c r="AJ165" s="78">
        <v>958.24</v>
      </c>
      <c r="AK165" s="78">
        <v>273.76</v>
      </c>
      <c r="AL165" s="78">
        <v>1084</v>
      </c>
      <c r="AM165" s="78">
        <v>66477</v>
      </c>
      <c r="AN165" s="78">
        <v>75119.009999999995</v>
      </c>
      <c r="AO165" s="78">
        <v>0</v>
      </c>
      <c r="AP165" s="78">
        <v>0</v>
      </c>
      <c r="AQ165" s="78">
        <v>0</v>
      </c>
      <c r="AR165" s="78">
        <v>0</v>
      </c>
      <c r="AS165" s="78">
        <v>4976</v>
      </c>
      <c r="AT165" s="78">
        <v>0</v>
      </c>
      <c r="AU165" s="400">
        <v>7.0674099999999999E-4</v>
      </c>
      <c r="AV165" s="400">
        <v>7.8339100000000004E-4</v>
      </c>
      <c r="AW165" s="78">
        <v>101576.856</v>
      </c>
      <c r="AX165" s="78">
        <v>0</v>
      </c>
      <c r="AY165" s="78">
        <v>12862.75</v>
      </c>
      <c r="AZ165" s="78">
        <v>110792.656552927</v>
      </c>
      <c r="BA165" s="78">
        <v>29</v>
      </c>
      <c r="BB165" s="78">
        <v>33.64</v>
      </c>
      <c r="BC165" s="78">
        <v>23625</v>
      </c>
      <c r="BD165" s="78">
        <v>1</v>
      </c>
      <c r="BE165" s="78">
        <v>0</v>
      </c>
      <c r="BF165" s="78">
        <v>0</v>
      </c>
      <c r="BG165" s="78">
        <v>0</v>
      </c>
      <c r="BH165" s="78">
        <v>0</v>
      </c>
      <c r="BI165" s="78">
        <v>0</v>
      </c>
      <c r="BJ165" s="78">
        <v>0</v>
      </c>
      <c r="BK165" s="78">
        <v>0</v>
      </c>
      <c r="BL165" s="78">
        <v>0</v>
      </c>
      <c r="BM165" s="78">
        <v>2682.6390000000001</v>
      </c>
      <c r="BN165" s="78">
        <v>458</v>
      </c>
      <c r="BO165" s="78">
        <v>389</v>
      </c>
      <c r="BP165" s="78">
        <v>52519.74</v>
      </c>
      <c r="BQ165" s="78">
        <v>14649</v>
      </c>
      <c r="BR165" s="78">
        <v>928.20264616432905</v>
      </c>
      <c r="BS165" s="78">
        <v>2358</v>
      </c>
      <c r="BT165" s="78">
        <v>692</v>
      </c>
      <c r="BU165" s="78">
        <v>568</v>
      </c>
      <c r="BV165" s="78">
        <v>6028</v>
      </c>
      <c r="BW165" s="78">
        <v>1409</v>
      </c>
      <c r="BX165" s="78">
        <v>21043.633532882501</v>
      </c>
      <c r="BY165" s="402">
        <v>2.7930000000000001</v>
      </c>
      <c r="BZ165" s="78">
        <v>131571</v>
      </c>
      <c r="CA165" s="78">
        <v>15944</v>
      </c>
      <c r="CB165" s="78">
        <v>2680</v>
      </c>
      <c r="CC165" s="78">
        <v>3450</v>
      </c>
      <c r="CD165" s="78">
        <v>2997</v>
      </c>
      <c r="CE165" s="78">
        <v>1409</v>
      </c>
      <c r="CF165" s="78">
        <v>1310.3233449162899</v>
      </c>
      <c r="CG165" s="78">
        <v>837.17275599079403</v>
      </c>
      <c r="CH165" s="78">
        <v>262.45581028024702</v>
      </c>
      <c r="CI165" s="78">
        <v>3548.6550000000002</v>
      </c>
      <c r="CJ165" s="78">
        <v>2267.2550999999999</v>
      </c>
      <c r="CK165" s="78">
        <v>710.7903</v>
      </c>
      <c r="CL165" s="78">
        <v>233734</v>
      </c>
    </row>
    <row r="166" spans="1:90" x14ac:dyDescent="0.35">
      <c r="A166" s="72">
        <v>396</v>
      </c>
      <c r="B166" s="72" t="s">
        <v>134</v>
      </c>
      <c r="C166" s="72">
        <v>7</v>
      </c>
      <c r="D166" s="78">
        <v>4804800000</v>
      </c>
      <c r="E166" s="78">
        <v>315350000</v>
      </c>
      <c r="F166" s="78">
        <v>337050000</v>
      </c>
      <c r="G166" s="78">
        <v>39189</v>
      </c>
      <c r="H166" s="78">
        <v>1</v>
      </c>
      <c r="I166" s="78">
        <v>337.05</v>
      </c>
      <c r="J166" s="78">
        <v>7033</v>
      </c>
      <c r="K166" s="78">
        <v>9006</v>
      </c>
      <c r="L166" s="78">
        <v>3179</v>
      </c>
      <c r="M166" s="78">
        <v>5070</v>
      </c>
      <c r="N166" s="78">
        <v>3286.6</v>
      </c>
      <c r="O166" s="78">
        <v>748.33333333333303</v>
      </c>
      <c r="P166" s="78">
        <v>21</v>
      </c>
      <c r="Q166" s="78">
        <v>2809.3333333333298</v>
      </c>
      <c r="R166" s="78">
        <v>5925</v>
      </c>
      <c r="S166" s="78">
        <v>2305</v>
      </c>
      <c r="T166" s="78">
        <v>0</v>
      </c>
      <c r="U166" s="78">
        <v>1415</v>
      </c>
      <c r="V166" s="78">
        <v>18046</v>
      </c>
      <c r="W166" s="78">
        <v>40520</v>
      </c>
      <c r="X166" s="78">
        <v>21600</v>
      </c>
      <c r="Y166" s="78">
        <v>2531.84</v>
      </c>
      <c r="Z166" s="78">
        <v>893.6</v>
      </c>
      <c r="AA166" s="78">
        <v>0</v>
      </c>
      <c r="AB166" s="399">
        <v>0</v>
      </c>
      <c r="AC166" s="399">
        <v>0</v>
      </c>
      <c r="AD166" s="78">
        <v>2728</v>
      </c>
      <c r="AE166" s="78">
        <v>2782.56</v>
      </c>
      <c r="AF166" s="78">
        <v>44</v>
      </c>
      <c r="AG166" s="78">
        <v>395</v>
      </c>
      <c r="AH166" s="78">
        <v>156</v>
      </c>
      <c r="AI166" s="78">
        <v>12</v>
      </c>
      <c r="AJ166" s="78">
        <v>157.56</v>
      </c>
      <c r="AK166" s="78">
        <v>12.36</v>
      </c>
      <c r="AL166" s="78">
        <v>169</v>
      </c>
      <c r="AM166" s="78">
        <v>17834</v>
      </c>
      <c r="AN166" s="78">
        <v>18012.34</v>
      </c>
      <c r="AO166" s="78">
        <v>0</v>
      </c>
      <c r="AP166" s="78">
        <v>0</v>
      </c>
      <c r="AQ166" s="78">
        <v>0</v>
      </c>
      <c r="AR166" s="78">
        <v>0</v>
      </c>
      <c r="AS166" s="78">
        <v>780</v>
      </c>
      <c r="AT166" s="78">
        <v>0</v>
      </c>
      <c r="AU166" s="400">
        <v>8.8505999999999996E-5</v>
      </c>
      <c r="AV166" s="400">
        <v>1.0293310000000001E-3</v>
      </c>
      <c r="AW166" s="78">
        <v>41945.567999999999</v>
      </c>
      <c r="AX166" s="78">
        <v>0</v>
      </c>
      <c r="AY166" s="78">
        <v>1131.18</v>
      </c>
      <c r="AZ166" s="78">
        <v>20664.139155844201</v>
      </c>
      <c r="BA166" s="78">
        <v>3</v>
      </c>
      <c r="BB166" s="78">
        <v>3.09</v>
      </c>
      <c r="BC166" s="78">
        <v>3835</v>
      </c>
      <c r="BD166" s="78">
        <v>1</v>
      </c>
      <c r="BE166" s="78">
        <v>0</v>
      </c>
      <c r="BF166" s="78">
        <v>0</v>
      </c>
      <c r="BG166" s="78">
        <v>0</v>
      </c>
      <c r="BH166" s="78">
        <v>0</v>
      </c>
      <c r="BI166" s="78">
        <v>0</v>
      </c>
      <c r="BJ166" s="78">
        <v>0</v>
      </c>
      <c r="BK166" s="78">
        <v>0</v>
      </c>
      <c r="BL166" s="78">
        <v>0</v>
      </c>
      <c r="BM166" s="78">
        <v>907.25699999999995</v>
      </c>
      <c r="BN166" s="78">
        <v>138</v>
      </c>
      <c r="BO166" s="78">
        <v>174</v>
      </c>
      <c r="BP166" s="78">
        <v>12032.91</v>
      </c>
      <c r="BQ166" s="78">
        <v>2703.45</v>
      </c>
      <c r="BR166" s="78">
        <v>199.559233230469</v>
      </c>
      <c r="BS166" s="78">
        <v>583</v>
      </c>
      <c r="BT166" s="78">
        <v>262.33333333333297</v>
      </c>
      <c r="BU166" s="78">
        <v>230.333333333333</v>
      </c>
      <c r="BV166" s="78">
        <v>2060.9999999999968</v>
      </c>
      <c r="BW166" s="78">
        <v>545</v>
      </c>
      <c r="BX166" s="78">
        <v>6958.72486336149</v>
      </c>
      <c r="BY166" s="402">
        <v>1.861</v>
      </c>
      <c r="BZ166" s="78">
        <v>30183</v>
      </c>
      <c r="CA166" s="78">
        <v>4633</v>
      </c>
      <c r="CB166" s="78">
        <v>1194</v>
      </c>
      <c r="CC166" s="78">
        <v>1055</v>
      </c>
      <c r="CD166" s="78">
        <v>1058</v>
      </c>
      <c r="CE166" s="78">
        <v>623</v>
      </c>
      <c r="CF166" s="78">
        <v>535.17362341594696</v>
      </c>
      <c r="CG166" s="78">
        <v>399.16875630817498</v>
      </c>
      <c r="CH166" s="78">
        <v>165.49101715823701</v>
      </c>
      <c r="CI166" s="78">
        <v>1259.1744000000001</v>
      </c>
      <c r="CJ166" s="78">
        <v>939.17759999999998</v>
      </c>
      <c r="CK166" s="78">
        <v>389.37279999999998</v>
      </c>
      <c r="CL166" s="78">
        <v>115636</v>
      </c>
    </row>
    <row r="167" spans="1:90" x14ac:dyDescent="0.35">
      <c r="A167" s="72">
        <v>397</v>
      </c>
      <c r="B167" s="72" t="s">
        <v>135</v>
      </c>
      <c r="C167" s="72">
        <v>7</v>
      </c>
      <c r="D167" s="78">
        <v>6099600000</v>
      </c>
      <c r="E167" s="78">
        <v>224000000</v>
      </c>
      <c r="F167" s="78">
        <v>264250000</v>
      </c>
      <c r="G167" s="78">
        <v>27557</v>
      </c>
      <c r="H167" s="78">
        <v>1</v>
      </c>
      <c r="I167" s="78">
        <v>264.25</v>
      </c>
      <c r="J167" s="78">
        <v>5969</v>
      </c>
      <c r="K167" s="78">
        <v>7536</v>
      </c>
      <c r="L167" s="78">
        <v>2732</v>
      </c>
      <c r="M167" s="78">
        <v>3005</v>
      </c>
      <c r="N167" s="78">
        <v>1696.6</v>
      </c>
      <c r="O167" s="78">
        <v>242</v>
      </c>
      <c r="P167" s="78">
        <v>8</v>
      </c>
      <c r="Q167" s="78">
        <v>1217</v>
      </c>
      <c r="R167" s="78">
        <v>4442</v>
      </c>
      <c r="S167" s="78">
        <v>890</v>
      </c>
      <c r="T167" s="78">
        <v>0</v>
      </c>
      <c r="U167" s="78">
        <v>804</v>
      </c>
      <c r="V167" s="78">
        <v>12812</v>
      </c>
      <c r="W167" s="78">
        <v>22630</v>
      </c>
      <c r="X167" s="78">
        <v>5890</v>
      </c>
      <c r="Y167" s="78">
        <v>0</v>
      </c>
      <c r="Z167" s="78">
        <v>1412.8</v>
      </c>
      <c r="AA167" s="78">
        <v>0</v>
      </c>
      <c r="AB167" s="399">
        <v>0</v>
      </c>
      <c r="AC167" s="399">
        <v>0</v>
      </c>
      <c r="AD167" s="78">
        <v>918</v>
      </c>
      <c r="AE167" s="78">
        <v>918</v>
      </c>
      <c r="AF167" s="78">
        <v>47</v>
      </c>
      <c r="AG167" s="78">
        <v>0</v>
      </c>
      <c r="AH167" s="78">
        <v>117</v>
      </c>
      <c r="AI167" s="78">
        <v>6</v>
      </c>
      <c r="AJ167" s="78">
        <v>117</v>
      </c>
      <c r="AK167" s="78">
        <v>6</v>
      </c>
      <c r="AL167" s="78">
        <v>123</v>
      </c>
      <c r="AM167" s="78">
        <v>13084</v>
      </c>
      <c r="AN167" s="78">
        <v>13084</v>
      </c>
      <c r="AO167" s="78">
        <v>0</v>
      </c>
      <c r="AP167" s="78">
        <v>0</v>
      </c>
      <c r="AQ167" s="78">
        <v>0</v>
      </c>
      <c r="AR167" s="78">
        <v>0</v>
      </c>
      <c r="AS167" s="78">
        <v>3226</v>
      </c>
      <c r="AT167" s="78">
        <v>0</v>
      </c>
      <c r="AU167" s="400">
        <v>7.3676799999999995E-4</v>
      </c>
      <c r="AV167" s="400">
        <v>3.1776200000000002E-4</v>
      </c>
      <c r="AW167" s="78">
        <v>23315.687999999998</v>
      </c>
      <c r="AX167" s="78">
        <v>0</v>
      </c>
      <c r="AY167" s="78">
        <v>714</v>
      </c>
      <c r="AZ167" s="78">
        <v>20389.324352331601</v>
      </c>
      <c r="BA167" s="78">
        <v>1</v>
      </c>
      <c r="BB167" s="78">
        <v>1</v>
      </c>
      <c r="BC167" s="78">
        <v>4410</v>
      </c>
      <c r="BD167" s="78">
        <v>1</v>
      </c>
      <c r="BE167" s="78">
        <v>0</v>
      </c>
      <c r="BF167" s="78">
        <v>0</v>
      </c>
      <c r="BG167" s="78">
        <v>0</v>
      </c>
      <c r="BH167" s="78">
        <v>0</v>
      </c>
      <c r="BI167" s="78">
        <v>0</v>
      </c>
      <c r="BJ167" s="78">
        <v>0</v>
      </c>
      <c r="BK167" s="78">
        <v>0</v>
      </c>
      <c r="BL167" s="78">
        <v>0</v>
      </c>
      <c r="BM167" s="78">
        <v>346.202</v>
      </c>
      <c r="BN167" s="78">
        <v>12</v>
      </c>
      <c r="BO167" s="78">
        <v>17</v>
      </c>
      <c r="BP167" s="78">
        <v>11805.87</v>
      </c>
      <c r="BQ167" s="78">
        <v>3104.97</v>
      </c>
      <c r="BR167" s="78">
        <v>165.92469165488001</v>
      </c>
      <c r="BS167" s="78">
        <v>307</v>
      </c>
      <c r="BT167" s="78">
        <v>63</v>
      </c>
      <c r="BU167" s="78">
        <v>50.6666666666667</v>
      </c>
      <c r="BV167" s="78">
        <v>975</v>
      </c>
      <c r="BW167" s="78">
        <v>343</v>
      </c>
      <c r="BX167" s="78">
        <v>3959.3241314213101</v>
      </c>
      <c r="BY167" s="402">
        <v>0.17299999999999999</v>
      </c>
      <c r="BZ167" s="78">
        <v>20021</v>
      </c>
      <c r="CA167" s="78">
        <v>3639</v>
      </c>
      <c r="CB167" s="78">
        <v>1165</v>
      </c>
      <c r="CC167" s="78">
        <v>981</v>
      </c>
      <c r="CD167" s="78">
        <v>1031</v>
      </c>
      <c r="CE167" s="78">
        <v>619</v>
      </c>
      <c r="CF167" s="78">
        <v>298.75927850810098</v>
      </c>
      <c r="CG167" s="78">
        <v>252.078141241211</v>
      </c>
      <c r="CH167" s="78">
        <v>111.905059614797</v>
      </c>
      <c r="CI167" s="78">
        <v>389.1456</v>
      </c>
      <c r="CJ167" s="78">
        <v>328.34160000000003</v>
      </c>
      <c r="CK167" s="78">
        <v>145.76070000000001</v>
      </c>
      <c r="CL167" s="78">
        <v>196178</v>
      </c>
    </row>
    <row r="168" spans="1:90" x14ac:dyDescent="0.35">
      <c r="A168" s="72">
        <v>399</v>
      </c>
      <c r="B168" s="72" t="s">
        <v>141</v>
      </c>
      <c r="C168" s="72">
        <v>7</v>
      </c>
      <c r="D168" s="78">
        <v>3729600000</v>
      </c>
      <c r="E168" s="78">
        <v>264950000</v>
      </c>
      <c r="F168" s="78">
        <v>271600000</v>
      </c>
      <c r="G168" s="78">
        <v>24417</v>
      </c>
      <c r="H168" s="78">
        <v>1</v>
      </c>
      <c r="I168" s="78">
        <v>271.60000000000002</v>
      </c>
      <c r="J168" s="78">
        <v>4463</v>
      </c>
      <c r="K168" s="78">
        <v>6520</v>
      </c>
      <c r="L168" s="78">
        <v>2418</v>
      </c>
      <c r="M168" s="78">
        <v>2607</v>
      </c>
      <c r="N168" s="78">
        <v>1492.1</v>
      </c>
      <c r="O168" s="78">
        <v>199.333333333333</v>
      </c>
      <c r="P168" s="78">
        <v>23</v>
      </c>
      <c r="Q168" s="78">
        <v>1216.3333333333301</v>
      </c>
      <c r="R168" s="78">
        <v>3826</v>
      </c>
      <c r="S168" s="78">
        <v>445</v>
      </c>
      <c r="T168" s="78">
        <v>0</v>
      </c>
      <c r="U168" s="78">
        <v>644</v>
      </c>
      <c r="V168" s="78">
        <v>11267</v>
      </c>
      <c r="W168" s="78">
        <v>23400</v>
      </c>
      <c r="X168" s="78">
        <v>8740</v>
      </c>
      <c r="Y168" s="78">
        <v>0</v>
      </c>
      <c r="Z168" s="78">
        <v>244</v>
      </c>
      <c r="AA168" s="78">
        <v>0</v>
      </c>
      <c r="AB168" s="399">
        <v>0</v>
      </c>
      <c r="AC168" s="399">
        <v>0</v>
      </c>
      <c r="AD168" s="78">
        <v>1869</v>
      </c>
      <c r="AE168" s="78">
        <v>1869</v>
      </c>
      <c r="AF168" s="78">
        <v>32</v>
      </c>
      <c r="AG168" s="78">
        <v>0</v>
      </c>
      <c r="AH168" s="78">
        <v>119</v>
      </c>
      <c r="AI168" s="78">
        <v>8</v>
      </c>
      <c r="AJ168" s="78">
        <v>119</v>
      </c>
      <c r="AK168" s="78">
        <v>8</v>
      </c>
      <c r="AL168" s="78">
        <v>127</v>
      </c>
      <c r="AM168" s="78">
        <v>11149</v>
      </c>
      <c r="AN168" s="78">
        <v>11149</v>
      </c>
      <c r="AO168" s="78">
        <v>0</v>
      </c>
      <c r="AP168" s="78">
        <v>0</v>
      </c>
      <c r="AQ168" s="78">
        <v>0</v>
      </c>
      <c r="AR168" s="78">
        <v>0</v>
      </c>
      <c r="AS168" s="78">
        <v>929</v>
      </c>
      <c r="AT168" s="78">
        <v>0</v>
      </c>
      <c r="AU168" s="400">
        <v>2.29972E-4</v>
      </c>
      <c r="AV168" s="400">
        <v>1.4641099999999999E-4</v>
      </c>
      <c r="AW168" s="78">
        <v>15341.023999999999</v>
      </c>
      <c r="AX168" s="78">
        <v>0</v>
      </c>
      <c r="AY168" s="78">
        <v>920</v>
      </c>
      <c r="AZ168" s="78">
        <v>11816.7490794319</v>
      </c>
      <c r="BA168" s="78">
        <v>3</v>
      </c>
      <c r="BB168" s="78">
        <v>3</v>
      </c>
      <c r="BC168" s="78">
        <v>3170</v>
      </c>
      <c r="BD168" s="78">
        <v>1</v>
      </c>
      <c r="BE168" s="78">
        <v>0</v>
      </c>
      <c r="BF168" s="78">
        <v>0</v>
      </c>
      <c r="BG168" s="78">
        <v>0</v>
      </c>
      <c r="BH168" s="78">
        <v>0</v>
      </c>
      <c r="BI168" s="78">
        <v>0</v>
      </c>
      <c r="BJ168" s="78">
        <v>0</v>
      </c>
      <c r="BK168" s="78">
        <v>0</v>
      </c>
      <c r="BL168" s="78">
        <v>0</v>
      </c>
      <c r="BM168" s="78">
        <v>272.24299999999999</v>
      </c>
      <c r="BN168" s="78">
        <v>11</v>
      </c>
      <c r="BO168" s="78">
        <v>33</v>
      </c>
      <c r="BP168" s="78">
        <v>9020.82</v>
      </c>
      <c r="BQ168" s="78">
        <v>2049.1799999999998</v>
      </c>
      <c r="BR168" s="78">
        <v>120.332724979207</v>
      </c>
      <c r="BS168" s="78">
        <v>251</v>
      </c>
      <c r="BT168" s="78">
        <v>50</v>
      </c>
      <c r="BU168" s="78">
        <v>40.6666666666667</v>
      </c>
      <c r="BV168" s="78">
        <v>1016.999999999997</v>
      </c>
      <c r="BW168" s="78">
        <v>313</v>
      </c>
      <c r="BX168" s="78">
        <v>3563.5632554672002</v>
      </c>
      <c r="BY168" s="402">
        <v>0.28000000000000003</v>
      </c>
      <c r="BZ168" s="78">
        <v>17897</v>
      </c>
      <c r="CA168" s="78">
        <v>3178</v>
      </c>
      <c r="CB168" s="78">
        <v>924</v>
      </c>
      <c r="CC168" s="78">
        <v>676</v>
      </c>
      <c r="CD168" s="78">
        <v>762</v>
      </c>
      <c r="CE168" s="78">
        <v>437</v>
      </c>
      <c r="CF168" s="78">
        <v>264.05178042873803</v>
      </c>
      <c r="CG168" s="78">
        <v>218.81635124226401</v>
      </c>
      <c r="CH168" s="78">
        <v>89.400197327114498</v>
      </c>
      <c r="CI168" s="78">
        <v>612.22190000000001</v>
      </c>
      <c r="CJ168" s="78">
        <v>507.34050000000002</v>
      </c>
      <c r="CK168" s="78">
        <v>207.28039999999999</v>
      </c>
      <c r="CL168" s="78">
        <v>10660</v>
      </c>
    </row>
    <row r="169" spans="1:90" x14ac:dyDescent="0.35">
      <c r="A169" s="72">
        <v>402</v>
      </c>
      <c r="B169" s="72" t="s">
        <v>152</v>
      </c>
      <c r="C169" s="72">
        <v>7</v>
      </c>
      <c r="D169" s="78">
        <v>13218400000</v>
      </c>
      <c r="E169" s="78">
        <v>1707650000</v>
      </c>
      <c r="F169" s="78">
        <v>1749300000</v>
      </c>
      <c r="G169" s="78">
        <v>91733</v>
      </c>
      <c r="H169" s="78">
        <v>2</v>
      </c>
      <c r="I169" s="78">
        <v>1749.3</v>
      </c>
      <c r="J169" s="78">
        <v>18723</v>
      </c>
      <c r="K169" s="78">
        <v>17281</v>
      </c>
      <c r="L169" s="78">
        <v>5978</v>
      </c>
      <c r="M169" s="78">
        <v>14028</v>
      </c>
      <c r="N169" s="78">
        <v>9656.2999999999993</v>
      </c>
      <c r="O169" s="78">
        <v>2101.6666666666702</v>
      </c>
      <c r="P169" s="78">
        <v>71</v>
      </c>
      <c r="Q169" s="78">
        <v>5831.6666666666697</v>
      </c>
      <c r="R169" s="78">
        <v>18226</v>
      </c>
      <c r="S169" s="78">
        <v>7660</v>
      </c>
      <c r="T169" s="78">
        <v>0</v>
      </c>
      <c r="U169" s="78">
        <v>3245</v>
      </c>
      <c r="V169" s="78">
        <v>44592</v>
      </c>
      <c r="W169" s="78">
        <v>99750</v>
      </c>
      <c r="X169" s="78">
        <v>92400</v>
      </c>
      <c r="Y169" s="78">
        <v>3837.24</v>
      </c>
      <c r="Z169" s="78">
        <v>6464</v>
      </c>
      <c r="AA169" s="78">
        <v>0</v>
      </c>
      <c r="AB169" s="399">
        <v>0</v>
      </c>
      <c r="AC169" s="399">
        <v>667.09999999999945</v>
      </c>
      <c r="AD169" s="78">
        <v>4543</v>
      </c>
      <c r="AE169" s="78">
        <v>4543</v>
      </c>
      <c r="AF169" s="78">
        <v>92</v>
      </c>
      <c r="AG169" s="78">
        <v>0</v>
      </c>
      <c r="AH169" s="78">
        <v>385</v>
      </c>
      <c r="AI169" s="78">
        <v>11</v>
      </c>
      <c r="AJ169" s="78">
        <v>385</v>
      </c>
      <c r="AK169" s="78">
        <v>11</v>
      </c>
      <c r="AL169" s="78">
        <v>396</v>
      </c>
      <c r="AM169" s="78">
        <v>43717</v>
      </c>
      <c r="AN169" s="78">
        <v>43717</v>
      </c>
      <c r="AO169" s="78">
        <v>0</v>
      </c>
      <c r="AP169" s="78">
        <v>0</v>
      </c>
      <c r="AQ169" s="78">
        <v>0</v>
      </c>
      <c r="AR169" s="78">
        <v>0</v>
      </c>
      <c r="AS169" s="78">
        <v>13746</v>
      </c>
      <c r="AT169" s="78">
        <v>0</v>
      </c>
      <c r="AU169" s="400">
        <v>4.6107020000000004E-3</v>
      </c>
      <c r="AV169" s="400">
        <v>3.890148E-3</v>
      </c>
      <c r="AW169" s="78">
        <v>121576.977</v>
      </c>
      <c r="AX169" s="78">
        <v>0</v>
      </c>
      <c r="AY169" s="78">
        <v>805</v>
      </c>
      <c r="AZ169" s="78">
        <v>15932.052858683899</v>
      </c>
      <c r="BA169" s="78">
        <v>5</v>
      </c>
      <c r="BB169" s="78">
        <v>5</v>
      </c>
      <c r="BC169" s="78">
        <v>14620</v>
      </c>
      <c r="BD169" s="78">
        <v>1</v>
      </c>
      <c r="BE169" s="78">
        <v>0</v>
      </c>
      <c r="BF169" s="78">
        <v>0</v>
      </c>
      <c r="BG169" s="78">
        <v>0</v>
      </c>
      <c r="BH169" s="78">
        <v>0</v>
      </c>
      <c r="BI169" s="78">
        <v>0</v>
      </c>
      <c r="BJ169" s="78">
        <v>0</v>
      </c>
      <c r="BK169" s="78">
        <v>0</v>
      </c>
      <c r="BL169" s="78">
        <v>0</v>
      </c>
      <c r="BM169" s="78">
        <v>2228.0369999999998</v>
      </c>
      <c r="BN169" s="78">
        <v>150</v>
      </c>
      <c r="BO169" s="78">
        <v>263</v>
      </c>
      <c r="BP169" s="78">
        <v>32113.040000000001</v>
      </c>
      <c r="BQ169" s="78">
        <v>8518.4</v>
      </c>
      <c r="BR169" s="78">
        <v>690.76619217687096</v>
      </c>
      <c r="BS169" s="78">
        <v>1153</v>
      </c>
      <c r="BT169" s="78">
        <v>517.33333333333303</v>
      </c>
      <c r="BU169" s="78">
        <v>457.66666666666703</v>
      </c>
      <c r="BV169" s="78">
        <v>3729.9999999999995</v>
      </c>
      <c r="BW169" s="78">
        <v>944</v>
      </c>
      <c r="BX169" s="78">
        <v>11864.208400285001</v>
      </c>
      <c r="BY169" s="402">
        <v>4.7469999999999999</v>
      </c>
      <c r="BZ169" s="78">
        <v>74452</v>
      </c>
      <c r="CA169" s="78">
        <v>8943</v>
      </c>
      <c r="CB169" s="78">
        <v>2360</v>
      </c>
      <c r="CC169" s="78">
        <v>2755</v>
      </c>
      <c r="CD169" s="78">
        <v>2289</v>
      </c>
      <c r="CE169" s="78">
        <v>1257</v>
      </c>
      <c r="CF169" s="78">
        <v>1318.00311320539</v>
      </c>
      <c r="CG169" s="78">
        <v>952.00157833337096</v>
      </c>
      <c r="CH169" s="78">
        <v>380.80063133334897</v>
      </c>
      <c r="CI169" s="78">
        <v>2244.7854000000002</v>
      </c>
      <c r="CJ169" s="78">
        <v>1621.422</v>
      </c>
      <c r="CK169" s="78">
        <v>648.56880000000001</v>
      </c>
      <c r="CL169" s="78">
        <v>49630</v>
      </c>
    </row>
    <row r="170" spans="1:90" x14ac:dyDescent="0.35">
      <c r="A170" s="72">
        <v>1911</v>
      </c>
      <c r="B170" s="72" t="s">
        <v>155</v>
      </c>
      <c r="C170" s="72">
        <v>7</v>
      </c>
      <c r="D170" s="78">
        <v>4586800000</v>
      </c>
      <c r="E170" s="78">
        <v>1305850000</v>
      </c>
      <c r="F170" s="78">
        <v>1393000000</v>
      </c>
      <c r="G170" s="78">
        <v>48778</v>
      </c>
      <c r="H170" s="78">
        <v>10</v>
      </c>
      <c r="I170" s="78">
        <v>1393</v>
      </c>
      <c r="J170" s="78">
        <v>8984</v>
      </c>
      <c r="K170" s="78">
        <v>10528</v>
      </c>
      <c r="L170" s="78">
        <v>3533</v>
      </c>
      <c r="M170" s="78">
        <v>6087</v>
      </c>
      <c r="N170" s="78">
        <v>3945</v>
      </c>
      <c r="O170" s="78">
        <v>488.33333333333297</v>
      </c>
      <c r="P170" s="78">
        <v>52</v>
      </c>
      <c r="Q170" s="78">
        <v>2906.3333333333298</v>
      </c>
      <c r="R170" s="78">
        <v>6883</v>
      </c>
      <c r="S170" s="78">
        <v>820</v>
      </c>
      <c r="T170" s="78">
        <v>0</v>
      </c>
      <c r="U170" s="78">
        <v>1350</v>
      </c>
      <c r="V170" s="78">
        <v>21785</v>
      </c>
      <c r="W170" s="78">
        <v>42440</v>
      </c>
      <c r="X170" s="78">
        <v>7020</v>
      </c>
      <c r="Y170" s="78">
        <v>0</v>
      </c>
      <c r="Z170" s="78">
        <v>743.2</v>
      </c>
      <c r="AA170" s="78">
        <v>0</v>
      </c>
      <c r="AB170" s="399">
        <v>0</v>
      </c>
      <c r="AC170" s="399">
        <v>0</v>
      </c>
      <c r="AD170" s="78">
        <v>35756</v>
      </c>
      <c r="AE170" s="78">
        <v>41119.4</v>
      </c>
      <c r="AF170" s="78">
        <v>1775</v>
      </c>
      <c r="AG170" s="78">
        <v>10000</v>
      </c>
      <c r="AH170" s="78">
        <v>277</v>
      </c>
      <c r="AI170" s="78">
        <v>277</v>
      </c>
      <c r="AJ170" s="78">
        <v>315.77999999999997</v>
      </c>
      <c r="AK170" s="78">
        <v>318.55</v>
      </c>
      <c r="AL170" s="78">
        <v>554</v>
      </c>
      <c r="AM170" s="78">
        <v>21420</v>
      </c>
      <c r="AN170" s="78">
        <v>24418.799999999999</v>
      </c>
      <c r="AO170" s="78">
        <v>0</v>
      </c>
      <c r="AP170" s="78">
        <v>0</v>
      </c>
      <c r="AQ170" s="78">
        <v>0</v>
      </c>
      <c r="AR170" s="78">
        <v>0</v>
      </c>
      <c r="AS170" s="78">
        <v>0</v>
      </c>
      <c r="AT170" s="78">
        <v>0</v>
      </c>
      <c r="AU170" s="400">
        <v>5.69079E-4</v>
      </c>
      <c r="AV170" s="400">
        <v>2.33618E-4</v>
      </c>
      <c r="AW170" s="78">
        <v>9403.3799999999992</v>
      </c>
      <c r="AX170" s="78">
        <v>0</v>
      </c>
      <c r="AY170" s="78">
        <v>13044.45</v>
      </c>
      <c r="AZ170" s="78">
        <v>20089.2292424929</v>
      </c>
      <c r="BA170" s="78">
        <v>30</v>
      </c>
      <c r="BB170" s="78">
        <v>34.5</v>
      </c>
      <c r="BC170" s="78">
        <v>6505</v>
      </c>
      <c r="BD170" s="78">
        <v>1</v>
      </c>
      <c r="BE170" s="78">
        <v>0</v>
      </c>
      <c r="BF170" s="78">
        <v>0</v>
      </c>
      <c r="BG170" s="78">
        <v>0</v>
      </c>
      <c r="BH170" s="78">
        <v>0</v>
      </c>
      <c r="BI170" s="78">
        <v>0</v>
      </c>
      <c r="BJ170" s="78">
        <v>0</v>
      </c>
      <c r="BK170" s="78">
        <v>0</v>
      </c>
      <c r="BL170" s="78">
        <v>0</v>
      </c>
      <c r="BM170" s="78">
        <v>835.51199999999994</v>
      </c>
      <c r="BN170" s="78">
        <v>165</v>
      </c>
      <c r="BO170" s="78">
        <v>88</v>
      </c>
      <c r="BP170" s="78">
        <v>14337.33</v>
      </c>
      <c r="BQ170" s="78">
        <v>3238.3</v>
      </c>
      <c r="BR170" s="78">
        <v>238.106310391363</v>
      </c>
      <c r="BS170" s="78">
        <v>512</v>
      </c>
      <c r="BT170" s="78">
        <v>173</v>
      </c>
      <c r="BU170" s="78">
        <v>141</v>
      </c>
      <c r="BV170" s="78">
        <v>2417.9999999999968</v>
      </c>
      <c r="BW170" s="78">
        <v>589</v>
      </c>
      <c r="BX170" s="78">
        <v>6730.9483383076404</v>
      </c>
      <c r="BY170" s="402">
        <v>0.68500000000000005</v>
      </c>
      <c r="BZ170" s="78">
        <v>38250</v>
      </c>
      <c r="CA170" s="78">
        <v>5974</v>
      </c>
      <c r="CB170" s="78">
        <v>1021</v>
      </c>
      <c r="CC170" s="78">
        <v>1097</v>
      </c>
      <c r="CD170" s="78">
        <v>1080</v>
      </c>
      <c r="CE170" s="78">
        <v>469</v>
      </c>
      <c r="CF170" s="78">
        <v>670.57633053221298</v>
      </c>
      <c r="CG170" s="78">
        <v>450.48879551820698</v>
      </c>
      <c r="CH170" s="78">
        <v>136.28851540616199</v>
      </c>
      <c r="CI170" s="78">
        <v>1693.4291000000001</v>
      </c>
      <c r="CJ170" s="78">
        <v>1137.6346000000001</v>
      </c>
      <c r="CK170" s="78">
        <v>344.17399999999998</v>
      </c>
      <c r="CL170" s="78">
        <v>0</v>
      </c>
    </row>
    <row r="171" spans="1:90" x14ac:dyDescent="0.35">
      <c r="A171" s="72">
        <v>405</v>
      </c>
      <c r="B171" s="72" t="s">
        <v>157</v>
      </c>
      <c r="C171" s="72">
        <v>7</v>
      </c>
      <c r="D171" s="78">
        <v>7723600000</v>
      </c>
      <c r="E171" s="78">
        <v>1017100000</v>
      </c>
      <c r="F171" s="78">
        <v>1027950000</v>
      </c>
      <c r="G171" s="78">
        <v>74298</v>
      </c>
      <c r="H171" s="78">
        <v>1</v>
      </c>
      <c r="I171" s="78">
        <v>1027.95</v>
      </c>
      <c r="J171" s="78">
        <v>14563</v>
      </c>
      <c r="K171" s="78">
        <v>15080</v>
      </c>
      <c r="L171" s="78">
        <v>4871</v>
      </c>
      <c r="M171" s="78">
        <v>10849</v>
      </c>
      <c r="N171" s="78">
        <v>7436.7999999999993</v>
      </c>
      <c r="O171" s="78">
        <v>1510.3333333333301</v>
      </c>
      <c r="P171" s="78">
        <v>123</v>
      </c>
      <c r="Q171" s="78">
        <v>6384.3333333333303</v>
      </c>
      <c r="R171" s="78">
        <v>12584</v>
      </c>
      <c r="S171" s="78">
        <v>6700</v>
      </c>
      <c r="T171" s="78">
        <v>0</v>
      </c>
      <c r="U171" s="78">
        <v>3185</v>
      </c>
      <c r="V171" s="78">
        <v>34708</v>
      </c>
      <c r="W171" s="78">
        <v>86360</v>
      </c>
      <c r="X171" s="78">
        <v>88100</v>
      </c>
      <c r="Y171" s="78">
        <v>2625.76</v>
      </c>
      <c r="Z171" s="78">
        <v>5750.4</v>
      </c>
      <c r="AA171" s="78">
        <v>0</v>
      </c>
      <c r="AB171" s="399">
        <v>0</v>
      </c>
      <c r="AC171" s="399">
        <v>0</v>
      </c>
      <c r="AD171" s="78">
        <v>2027</v>
      </c>
      <c r="AE171" s="78">
        <v>2695.91</v>
      </c>
      <c r="AF171" s="78">
        <v>120</v>
      </c>
      <c r="AG171" s="78">
        <v>3198</v>
      </c>
      <c r="AH171" s="78">
        <v>349</v>
      </c>
      <c r="AI171" s="78">
        <v>3</v>
      </c>
      <c r="AJ171" s="78">
        <v>464.17</v>
      </c>
      <c r="AK171" s="78">
        <v>3.81</v>
      </c>
      <c r="AL171" s="78">
        <v>351</v>
      </c>
      <c r="AM171" s="78">
        <v>34122</v>
      </c>
      <c r="AN171" s="78">
        <v>45382.26</v>
      </c>
      <c r="AO171" s="78">
        <v>0</v>
      </c>
      <c r="AP171" s="78">
        <v>46</v>
      </c>
      <c r="AQ171" s="78">
        <v>0</v>
      </c>
      <c r="AR171" s="78">
        <v>5150</v>
      </c>
      <c r="AS171" s="78">
        <v>3299</v>
      </c>
      <c r="AT171" s="78">
        <v>3299</v>
      </c>
      <c r="AU171" s="400">
        <v>1.0728199999999999E-3</v>
      </c>
      <c r="AV171" s="400">
        <v>9.0026500000000003E-4</v>
      </c>
      <c r="AW171" s="78">
        <v>58314.498</v>
      </c>
      <c r="AX171" s="78">
        <v>0</v>
      </c>
      <c r="AY171" s="78">
        <v>2778.37</v>
      </c>
      <c r="AZ171" s="78">
        <v>202465.337522124</v>
      </c>
      <c r="BA171" s="78">
        <v>1</v>
      </c>
      <c r="BB171" s="78">
        <v>1.27</v>
      </c>
      <c r="BC171" s="78">
        <v>8735</v>
      </c>
      <c r="BD171" s="78">
        <v>1</v>
      </c>
      <c r="BE171" s="78">
        <v>0</v>
      </c>
      <c r="BF171" s="78">
        <v>0</v>
      </c>
      <c r="BG171" s="78">
        <v>0</v>
      </c>
      <c r="BH171" s="78">
        <v>0</v>
      </c>
      <c r="BI171" s="78">
        <v>0</v>
      </c>
      <c r="BJ171" s="78">
        <v>0</v>
      </c>
      <c r="BK171" s="78">
        <v>0</v>
      </c>
      <c r="BL171" s="78">
        <v>0</v>
      </c>
      <c r="BM171" s="78">
        <v>2038.82</v>
      </c>
      <c r="BN171" s="78">
        <v>248</v>
      </c>
      <c r="BO171" s="78">
        <v>229</v>
      </c>
      <c r="BP171" s="78">
        <v>22057.75</v>
      </c>
      <c r="BQ171" s="78">
        <v>5088.01</v>
      </c>
      <c r="BR171" s="78">
        <v>608.70852474252695</v>
      </c>
      <c r="BS171" s="78">
        <v>1266</v>
      </c>
      <c r="BT171" s="78">
        <v>418.66666666666703</v>
      </c>
      <c r="BU171" s="78">
        <v>400.66666666666703</v>
      </c>
      <c r="BV171" s="78">
        <v>4874</v>
      </c>
      <c r="BW171" s="78">
        <v>1458</v>
      </c>
      <c r="BX171" s="78">
        <v>10150.4839859275</v>
      </c>
      <c r="BY171" s="402">
        <v>3.46</v>
      </c>
      <c r="BZ171" s="78">
        <v>59218</v>
      </c>
      <c r="CA171" s="78">
        <v>8898</v>
      </c>
      <c r="CB171" s="78">
        <v>1311</v>
      </c>
      <c r="CC171" s="78">
        <v>2376</v>
      </c>
      <c r="CD171" s="78">
        <v>1732</v>
      </c>
      <c r="CE171" s="78">
        <v>727</v>
      </c>
      <c r="CF171" s="78">
        <v>1263.8767715843201</v>
      </c>
      <c r="CG171" s="78">
        <v>763.90551550319401</v>
      </c>
      <c r="CH171" s="78">
        <v>211.626891741398</v>
      </c>
      <c r="CI171" s="78">
        <v>2744.6667000000002</v>
      </c>
      <c r="CJ171" s="78">
        <v>1658.9165</v>
      </c>
      <c r="CK171" s="78">
        <v>459.57429999999999</v>
      </c>
      <c r="CL171" s="78">
        <v>44488</v>
      </c>
    </row>
    <row r="172" spans="1:90" x14ac:dyDescent="0.35">
      <c r="A172" s="72">
        <v>406</v>
      </c>
      <c r="B172" s="72" t="s">
        <v>160</v>
      </c>
      <c r="C172" s="72">
        <v>7</v>
      </c>
      <c r="D172" s="78">
        <v>6042000000</v>
      </c>
      <c r="E172" s="78">
        <v>365400000</v>
      </c>
      <c r="F172" s="78">
        <v>380100000</v>
      </c>
      <c r="G172" s="78">
        <v>40938</v>
      </c>
      <c r="H172" s="78">
        <v>1</v>
      </c>
      <c r="I172" s="78">
        <v>380.1</v>
      </c>
      <c r="J172" s="78">
        <v>7558</v>
      </c>
      <c r="K172" s="78">
        <v>10212</v>
      </c>
      <c r="L172" s="78">
        <v>3356</v>
      </c>
      <c r="M172" s="78">
        <v>5263</v>
      </c>
      <c r="N172" s="78">
        <v>3338.8999999999996</v>
      </c>
      <c r="O172" s="78">
        <v>678.66666666666697</v>
      </c>
      <c r="P172" s="78">
        <v>35</v>
      </c>
      <c r="Q172" s="78">
        <v>2460.6666666666702</v>
      </c>
      <c r="R172" s="78">
        <v>6704</v>
      </c>
      <c r="S172" s="78">
        <v>2950</v>
      </c>
      <c r="T172" s="78">
        <v>0</v>
      </c>
      <c r="U172" s="78">
        <v>1425</v>
      </c>
      <c r="V172" s="78">
        <v>19285</v>
      </c>
      <c r="W172" s="78">
        <v>42030</v>
      </c>
      <c r="X172" s="78">
        <v>23500</v>
      </c>
      <c r="Y172" s="78">
        <v>635.48</v>
      </c>
      <c r="Z172" s="78">
        <v>1831.2</v>
      </c>
      <c r="AA172" s="78">
        <v>0</v>
      </c>
      <c r="AB172" s="399">
        <v>0</v>
      </c>
      <c r="AC172" s="399">
        <v>0</v>
      </c>
      <c r="AD172" s="78">
        <v>1581</v>
      </c>
      <c r="AE172" s="78">
        <v>1581</v>
      </c>
      <c r="AF172" s="78">
        <v>751</v>
      </c>
      <c r="AG172" s="78">
        <v>0</v>
      </c>
      <c r="AH172" s="78">
        <v>169</v>
      </c>
      <c r="AI172" s="78">
        <v>6</v>
      </c>
      <c r="AJ172" s="78">
        <v>169</v>
      </c>
      <c r="AK172" s="78">
        <v>6</v>
      </c>
      <c r="AL172" s="78">
        <v>175</v>
      </c>
      <c r="AM172" s="78">
        <v>19241</v>
      </c>
      <c r="AN172" s="78">
        <v>19241</v>
      </c>
      <c r="AO172" s="78">
        <v>0</v>
      </c>
      <c r="AP172" s="78">
        <v>0</v>
      </c>
      <c r="AQ172" s="78">
        <v>0</v>
      </c>
      <c r="AR172" s="78">
        <v>0</v>
      </c>
      <c r="AS172" s="78">
        <v>1923</v>
      </c>
      <c r="AT172" s="78">
        <v>0</v>
      </c>
      <c r="AU172" s="400">
        <v>3.67773E-4</v>
      </c>
      <c r="AV172" s="400">
        <v>2.27016E-4</v>
      </c>
      <c r="AW172" s="78">
        <v>39405.567999999999</v>
      </c>
      <c r="AX172" s="78">
        <v>0</v>
      </c>
      <c r="AY172" s="78">
        <v>468</v>
      </c>
      <c r="AZ172" s="78">
        <v>8215.6878216123496</v>
      </c>
      <c r="BA172" s="78">
        <v>5</v>
      </c>
      <c r="BB172" s="78">
        <v>5</v>
      </c>
      <c r="BC172" s="78">
        <v>5645</v>
      </c>
      <c r="BD172" s="78">
        <v>1</v>
      </c>
      <c r="BE172" s="78">
        <v>0</v>
      </c>
      <c r="BF172" s="78">
        <v>0</v>
      </c>
      <c r="BG172" s="78">
        <v>0</v>
      </c>
      <c r="BH172" s="78">
        <v>0</v>
      </c>
      <c r="BI172" s="78">
        <v>0</v>
      </c>
      <c r="BJ172" s="78">
        <v>0</v>
      </c>
      <c r="BK172" s="78">
        <v>0</v>
      </c>
      <c r="BL172" s="78">
        <v>0</v>
      </c>
      <c r="BM172" s="78">
        <v>770.91600000000005</v>
      </c>
      <c r="BN172" s="78">
        <v>78</v>
      </c>
      <c r="BO172" s="78">
        <v>74</v>
      </c>
      <c r="BP172" s="78">
        <v>14716.12</v>
      </c>
      <c r="BQ172" s="78">
        <v>3264.96</v>
      </c>
      <c r="BR172" s="78">
        <v>241.253603743143</v>
      </c>
      <c r="BS172" s="78">
        <v>544</v>
      </c>
      <c r="BT172" s="78">
        <v>194</v>
      </c>
      <c r="BU172" s="78">
        <v>156.333333333333</v>
      </c>
      <c r="BV172" s="78">
        <v>1782.0000000000032</v>
      </c>
      <c r="BW172" s="78">
        <v>433</v>
      </c>
      <c r="BX172" s="78">
        <v>6572.7956583110199</v>
      </c>
      <c r="BY172" s="402">
        <v>1.329</v>
      </c>
      <c r="BZ172" s="78">
        <v>30726</v>
      </c>
      <c r="CA172" s="78">
        <v>5789</v>
      </c>
      <c r="CB172" s="78">
        <v>1067</v>
      </c>
      <c r="CC172" s="78">
        <v>1445</v>
      </c>
      <c r="CD172" s="78">
        <v>1240</v>
      </c>
      <c r="CE172" s="78">
        <v>543</v>
      </c>
      <c r="CF172" s="78">
        <v>652.12755054311106</v>
      </c>
      <c r="CG172" s="78">
        <v>412.82901616340098</v>
      </c>
      <c r="CH172" s="78">
        <v>130.66845278311899</v>
      </c>
      <c r="CI172" s="78">
        <v>1302.8986</v>
      </c>
      <c r="CJ172" s="78">
        <v>824.79930000000002</v>
      </c>
      <c r="CK172" s="78">
        <v>261.06509999999997</v>
      </c>
      <c r="CL172" s="78">
        <v>69350</v>
      </c>
    </row>
    <row r="173" spans="1:90" x14ac:dyDescent="0.35">
      <c r="A173" s="72">
        <v>1598</v>
      </c>
      <c r="B173" s="72" t="s">
        <v>168</v>
      </c>
      <c r="C173" s="72">
        <v>7</v>
      </c>
      <c r="D173" s="78">
        <v>2520400000</v>
      </c>
      <c r="E173" s="78">
        <v>284900000</v>
      </c>
      <c r="F173" s="78">
        <v>322350000</v>
      </c>
      <c r="G173" s="78">
        <v>23048</v>
      </c>
      <c r="H173" s="78">
        <v>6</v>
      </c>
      <c r="I173" s="78">
        <v>322.35000000000002</v>
      </c>
      <c r="J173" s="78">
        <v>4482</v>
      </c>
      <c r="K173" s="78">
        <v>4880</v>
      </c>
      <c r="L173" s="78">
        <v>1605</v>
      </c>
      <c r="M173" s="78">
        <v>2516</v>
      </c>
      <c r="N173" s="78">
        <v>1547.3</v>
      </c>
      <c r="O173" s="78">
        <v>179.666666666667</v>
      </c>
      <c r="P173" s="78">
        <v>30</v>
      </c>
      <c r="Q173" s="78">
        <v>1115.6666666666699</v>
      </c>
      <c r="R173" s="78">
        <v>2685</v>
      </c>
      <c r="S173" s="78">
        <v>400</v>
      </c>
      <c r="T173" s="78">
        <v>0</v>
      </c>
      <c r="U173" s="78">
        <v>599</v>
      </c>
      <c r="V173" s="78">
        <v>9798</v>
      </c>
      <c r="W173" s="78">
        <v>15330</v>
      </c>
      <c r="X173" s="78">
        <v>1080</v>
      </c>
      <c r="Y173" s="78">
        <v>0</v>
      </c>
      <c r="Z173" s="78">
        <v>0</v>
      </c>
      <c r="AA173" s="78">
        <v>0</v>
      </c>
      <c r="AB173" s="399">
        <v>0</v>
      </c>
      <c r="AC173" s="399">
        <v>0</v>
      </c>
      <c r="AD173" s="78">
        <v>8036</v>
      </c>
      <c r="AE173" s="78">
        <v>10125.36</v>
      </c>
      <c r="AF173" s="78">
        <v>293</v>
      </c>
      <c r="AG173" s="78">
        <v>79</v>
      </c>
      <c r="AH173" s="78">
        <v>132</v>
      </c>
      <c r="AI173" s="78">
        <v>62</v>
      </c>
      <c r="AJ173" s="78">
        <v>163.68</v>
      </c>
      <c r="AK173" s="78">
        <v>78.739999999999995</v>
      </c>
      <c r="AL173" s="78">
        <v>194</v>
      </c>
      <c r="AM173" s="78">
        <v>9687</v>
      </c>
      <c r="AN173" s="78">
        <v>12011.88</v>
      </c>
      <c r="AO173" s="78">
        <v>0</v>
      </c>
      <c r="AP173" s="78">
        <v>0</v>
      </c>
      <c r="AQ173" s="78">
        <v>0</v>
      </c>
      <c r="AR173" s="78">
        <v>0</v>
      </c>
      <c r="AS173" s="78">
        <v>0</v>
      </c>
      <c r="AT173" s="78">
        <v>0</v>
      </c>
      <c r="AU173" s="400">
        <v>1.7902700000000001E-4</v>
      </c>
      <c r="AV173" s="400">
        <v>5.9729999999999999E-5</v>
      </c>
      <c r="AW173" s="78">
        <v>4213.8450000000003</v>
      </c>
      <c r="AX173" s="78">
        <v>0</v>
      </c>
      <c r="AY173" s="78">
        <v>7489.44</v>
      </c>
      <c r="AZ173" s="78">
        <v>25111.002156321301</v>
      </c>
      <c r="BA173" s="78">
        <v>19</v>
      </c>
      <c r="BB173" s="78">
        <v>24.13</v>
      </c>
      <c r="BC173" s="78">
        <v>3180</v>
      </c>
      <c r="BD173" s="78">
        <v>1</v>
      </c>
      <c r="BE173" s="78">
        <v>0</v>
      </c>
      <c r="BF173" s="78">
        <v>0</v>
      </c>
      <c r="BG173" s="78">
        <v>0</v>
      </c>
      <c r="BH173" s="78">
        <v>0</v>
      </c>
      <c r="BI173" s="78">
        <v>0</v>
      </c>
      <c r="BJ173" s="78">
        <v>0</v>
      </c>
      <c r="BK173" s="78">
        <v>0</v>
      </c>
      <c r="BL173" s="78">
        <v>0</v>
      </c>
      <c r="BM173" s="78">
        <v>327.18599999999998</v>
      </c>
      <c r="BN173" s="78">
        <v>61</v>
      </c>
      <c r="BO173" s="78">
        <v>41</v>
      </c>
      <c r="BP173" s="78">
        <v>6741.45</v>
      </c>
      <c r="BQ173" s="78">
        <v>1751.76</v>
      </c>
      <c r="BR173" s="78">
        <v>74.044394779771594</v>
      </c>
      <c r="BS173" s="78">
        <v>261</v>
      </c>
      <c r="BT173" s="78">
        <v>55.3333333333333</v>
      </c>
      <c r="BU173" s="78">
        <v>35.3333333333333</v>
      </c>
      <c r="BV173" s="78">
        <v>936.00000000000296</v>
      </c>
      <c r="BW173" s="78">
        <v>248</v>
      </c>
      <c r="BX173" s="78">
        <v>2313.0386050566699</v>
      </c>
      <c r="BY173" s="402">
        <v>0.115</v>
      </c>
      <c r="BZ173" s="78">
        <v>18168</v>
      </c>
      <c r="CA173" s="78">
        <v>2743</v>
      </c>
      <c r="CB173" s="78">
        <v>532</v>
      </c>
      <c r="CC173" s="78">
        <v>466</v>
      </c>
      <c r="CD173" s="78">
        <v>480</v>
      </c>
      <c r="CE173" s="78">
        <v>253</v>
      </c>
      <c r="CF173" s="78">
        <v>262.27589553009199</v>
      </c>
      <c r="CG173" s="78">
        <v>172.98708578507299</v>
      </c>
      <c r="CH173" s="78">
        <v>56.863714256219701</v>
      </c>
      <c r="CI173" s="78">
        <v>681.26580000000001</v>
      </c>
      <c r="CJ173" s="78">
        <v>449.33670000000001</v>
      </c>
      <c r="CK173" s="78">
        <v>147.70439999999999</v>
      </c>
      <c r="CL173" s="78">
        <v>5840</v>
      </c>
    </row>
    <row r="174" spans="1:90" x14ac:dyDescent="0.35">
      <c r="A174" s="72">
        <v>415</v>
      </c>
      <c r="B174" s="72" t="s">
        <v>174</v>
      </c>
      <c r="C174" s="72">
        <v>7</v>
      </c>
      <c r="D174" s="78">
        <v>1879600000</v>
      </c>
      <c r="E174" s="78">
        <v>92750000</v>
      </c>
      <c r="F174" s="78">
        <v>96600000</v>
      </c>
      <c r="G174" s="78">
        <v>11560</v>
      </c>
      <c r="H174" s="78">
        <v>1</v>
      </c>
      <c r="I174" s="78">
        <v>96.6</v>
      </c>
      <c r="J174" s="78">
        <v>2416</v>
      </c>
      <c r="K174" s="78">
        <v>2588</v>
      </c>
      <c r="L174" s="78">
        <v>864</v>
      </c>
      <c r="M174" s="78">
        <v>1135</v>
      </c>
      <c r="N174" s="78">
        <v>643</v>
      </c>
      <c r="O174" s="78">
        <v>124</v>
      </c>
      <c r="P174" s="78">
        <v>11</v>
      </c>
      <c r="Q174" s="78">
        <v>531</v>
      </c>
      <c r="R174" s="78">
        <v>1390</v>
      </c>
      <c r="S174" s="78">
        <v>620</v>
      </c>
      <c r="T174" s="78">
        <v>0</v>
      </c>
      <c r="U174" s="78">
        <v>443</v>
      </c>
      <c r="V174" s="78">
        <v>4948</v>
      </c>
      <c r="W174" s="78">
        <v>5540</v>
      </c>
      <c r="X174" s="78">
        <v>310</v>
      </c>
      <c r="Y174" s="78">
        <v>0</v>
      </c>
      <c r="Z174" s="78">
        <v>0</v>
      </c>
      <c r="AA174" s="78">
        <v>0</v>
      </c>
      <c r="AB174" s="399">
        <v>93.899999999999636</v>
      </c>
      <c r="AC174" s="399">
        <v>0</v>
      </c>
      <c r="AD174" s="78">
        <v>2244</v>
      </c>
      <c r="AE174" s="78">
        <v>3029.4</v>
      </c>
      <c r="AF174" s="78">
        <v>406</v>
      </c>
      <c r="AG174" s="78">
        <v>0</v>
      </c>
      <c r="AH174" s="78">
        <v>51</v>
      </c>
      <c r="AI174" s="78">
        <v>8</v>
      </c>
      <c r="AJ174" s="78">
        <v>68.34</v>
      </c>
      <c r="AK174" s="78">
        <v>10.88</v>
      </c>
      <c r="AL174" s="78">
        <v>58</v>
      </c>
      <c r="AM174" s="78">
        <v>4920</v>
      </c>
      <c r="AN174" s="78">
        <v>6592.8</v>
      </c>
      <c r="AO174" s="78">
        <v>0</v>
      </c>
      <c r="AP174" s="78">
        <v>0</v>
      </c>
      <c r="AQ174" s="78">
        <v>0</v>
      </c>
      <c r="AR174" s="78">
        <v>0</v>
      </c>
      <c r="AS174" s="78">
        <v>0</v>
      </c>
      <c r="AT174" s="78">
        <v>0</v>
      </c>
      <c r="AU174" s="400">
        <v>6.2769999999999997E-5</v>
      </c>
      <c r="AV174" s="400">
        <v>6.5520999999999998E-5</v>
      </c>
      <c r="AW174" s="78">
        <v>5106.96</v>
      </c>
      <c r="AX174" s="78">
        <v>0</v>
      </c>
      <c r="AY174" s="78">
        <v>5749.65</v>
      </c>
      <c r="AZ174" s="78">
        <v>71546.148679245307</v>
      </c>
      <c r="BA174" s="78">
        <v>6</v>
      </c>
      <c r="BB174" s="78">
        <v>8.16</v>
      </c>
      <c r="BC174" s="78">
        <v>1960</v>
      </c>
      <c r="BD174" s="78">
        <v>1</v>
      </c>
      <c r="BE174" s="78">
        <v>0</v>
      </c>
      <c r="BF174" s="78">
        <v>0</v>
      </c>
      <c r="BG174" s="78">
        <v>0</v>
      </c>
      <c r="BH174" s="78">
        <v>0</v>
      </c>
      <c r="BI174" s="78">
        <v>0</v>
      </c>
      <c r="BJ174" s="78">
        <v>0</v>
      </c>
      <c r="BK174" s="78">
        <v>0</v>
      </c>
      <c r="BL174" s="78">
        <v>0</v>
      </c>
      <c r="BM174" s="78">
        <v>186.03200000000001</v>
      </c>
      <c r="BN174" s="78">
        <v>19</v>
      </c>
      <c r="BO174" s="78">
        <v>10</v>
      </c>
      <c r="BP174" s="78">
        <v>4247.34</v>
      </c>
      <c r="BQ174" s="78">
        <v>1156.68</v>
      </c>
      <c r="BR174" s="78">
        <v>58.536365805168998</v>
      </c>
      <c r="BS174" s="78">
        <v>179</v>
      </c>
      <c r="BT174" s="78">
        <v>40.6666666666667</v>
      </c>
      <c r="BU174" s="78">
        <v>30</v>
      </c>
      <c r="BV174" s="78">
        <v>407</v>
      </c>
      <c r="BW174" s="78">
        <v>66</v>
      </c>
      <c r="BX174" s="78">
        <v>1539.5341115434501</v>
      </c>
      <c r="BY174" s="402">
        <v>0.10100000000000001</v>
      </c>
      <c r="BZ174" s="78">
        <v>8972</v>
      </c>
      <c r="CA174" s="78">
        <v>1413</v>
      </c>
      <c r="CB174" s="78">
        <v>311</v>
      </c>
      <c r="CC174" s="78">
        <v>254</v>
      </c>
      <c r="CD174" s="78">
        <v>283</v>
      </c>
      <c r="CE174" s="78">
        <v>144</v>
      </c>
      <c r="CF174" s="78">
        <v>112.394308943089</v>
      </c>
      <c r="CG174" s="78">
        <v>79.590853658536602</v>
      </c>
      <c r="CH174" s="78">
        <v>29.797560975609802</v>
      </c>
      <c r="CI174" s="78">
        <v>252.066</v>
      </c>
      <c r="CJ174" s="78">
        <v>178.49789999999999</v>
      </c>
      <c r="CK174" s="78">
        <v>66.826800000000006</v>
      </c>
      <c r="CL174" s="78">
        <v>3650</v>
      </c>
    </row>
    <row r="175" spans="1:90" x14ac:dyDescent="0.35">
      <c r="A175" s="72">
        <v>417</v>
      </c>
      <c r="B175" s="72" t="s">
        <v>177</v>
      </c>
      <c r="C175" s="72">
        <v>7</v>
      </c>
      <c r="D175" s="78">
        <v>3426800000</v>
      </c>
      <c r="E175" s="78">
        <v>179900000</v>
      </c>
      <c r="F175" s="78">
        <v>186200000</v>
      </c>
      <c r="G175" s="78">
        <v>11528</v>
      </c>
      <c r="H175" s="78">
        <v>1</v>
      </c>
      <c r="I175" s="78">
        <v>186.2</v>
      </c>
      <c r="J175" s="78">
        <v>2210</v>
      </c>
      <c r="K175" s="78">
        <v>3655</v>
      </c>
      <c r="L175" s="78">
        <v>1391</v>
      </c>
      <c r="M175" s="78">
        <v>1364</v>
      </c>
      <c r="N175" s="78">
        <v>785.4</v>
      </c>
      <c r="O175" s="78">
        <v>104.666666666667</v>
      </c>
      <c r="P175" s="78">
        <v>7</v>
      </c>
      <c r="Q175" s="78">
        <v>420.66666666666703</v>
      </c>
      <c r="R175" s="78">
        <v>1916</v>
      </c>
      <c r="S175" s="78">
        <v>295</v>
      </c>
      <c r="T175" s="78">
        <v>0</v>
      </c>
      <c r="U175" s="78">
        <v>369</v>
      </c>
      <c r="V175" s="78">
        <v>5619</v>
      </c>
      <c r="W175" s="78">
        <v>9000</v>
      </c>
      <c r="X175" s="78">
        <v>1350</v>
      </c>
      <c r="Y175" s="78">
        <v>0</v>
      </c>
      <c r="Z175" s="78">
        <v>1168.8</v>
      </c>
      <c r="AA175" s="78">
        <v>0</v>
      </c>
      <c r="AB175" s="399">
        <v>0</v>
      </c>
      <c r="AC175" s="399">
        <v>0</v>
      </c>
      <c r="AD175" s="78">
        <v>1239</v>
      </c>
      <c r="AE175" s="78">
        <v>1239</v>
      </c>
      <c r="AF175" s="78">
        <v>2</v>
      </c>
      <c r="AG175" s="78">
        <v>0</v>
      </c>
      <c r="AH175" s="78">
        <v>74</v>
      </c>
      <c r="AI175" s="78">
        <v>2</v>
      </c>
      <c r="AJ175" s="78">
        <v>74</v>
      </c>
      <c r="AK175" s="78">
        <v>2</v>
      </c>
      <c r="AL175" s="78">
        <v>76</v>
      </c>
      <c r="AM175" s="78">
        <v>5786</v>
      </c>
      <c r="AN175" s="78">
        <v>5786</v>
      </c>
      <c r="AO175" s="78">
        <v>0</v>
      </c>
      <c r="AP175" s="78">
        <v>0</v>
      </c>
      <c r="AQ175" s="78">
        <v>0</v>
      </c>
      <c r="AR175" s="78">
        <v>0</v>
      </c>
      <c r="AS175" s="78">
        <v>1634</v>
      </c>
      <c r="AT175" s="78">
        <v>0</v>
      </c>
      <c r="AU175" s="400">
        <v>2.7848400000000001E-4</v>
      </c>
      <c r="AV175" s="400">
        <v>8.7148E-5</v>
      </c>
      <c r="AW175" s="78">
        <v>6410.8879999999999</v>
      </c>
      <c r="AX175" s="78">
        <v>0</v>
      </c>
      <c r="AY175" s="78">
        <v>69</v>
      </c>
      <c r="AZ175" s="78">
        <v>640.96051571313501</v>
      </c>
      <c r="BA175" s="78">
        <v>1</v>
      </c>
      <c r="BB175" s="78">
        <v>1</v>
      </c>
      <c r="BC175" s="78">
        <v>2660</v>
      </c>
      <c r="BD175" s="78">
        <v>1</v>
      </c>
      <c r="BE175" s="78">
        <v>0</v>
      </c>
      <c r="BF175" s="78">
        <v>0</v>
      </c>
      <c r="BG175" s="78">
        <v>0</v>
      </c>
      <c r="BH175" s="78">
        <v>0</v>
      </c>
      <c r="BI175" s="78">
        <v>0</v>
      </c>
      <c r="BJ175" s="78">
        <v>0</v>
      </c>
      <c r="BK175" s="78">
        <v>0</v>
      </c>
      <c r="BL175" s="78">
        <v>0</v>
      </c>
      <c r="BM175" s="78">
        <v>232.05</v>
      </c>
      <c r="BN175" s="78">
        <v>10</v>
      </c>
      <c r="BO175" s="78">
        <v>17</v>
      </c>
      <c r="BP175" s="78">
        <v>4977.07</v>
      </c>
      <c r="BQ175" s="78">
        <v>1149.45</v>
      </c>
      <c r="BR175" s="78">
        <v>35.293030303030299</v>
      </c>
      <c r="BS175" s="78">
        <v>157</v>
      </c>
      <c r="BT175" s="78">
        <v>33</v>
      </c>
      <c r="BU175" s="78">
        <v>24.6666666666667</v>
      </c>
      <c r="BV175" s="78">
        <v>316</v>
      </c>
      <c r="BW175" s="78">
        <v>80</v>
      </c>
      <c r="BX175" s="78">
        <v>1791.44189506931</v>
      </c>
      <c r="BY175" s="402">
        <v>6.0999999999999999E-2</v>
      </c>
      <c r="BZ175" s="78">
        <v>7873</v>
      </c>
      <c r="CA175" s="78">
        <v>1584</v>
      </c>
      <c r="CB175" s="78">
        <v>680</v>
      </c>
      <c r="CC175" s="78">
        <v>402</v>
      </c>
      <c r="CD175" s="78">
        <v>473</v>
      </c>
      <c r="CE175" s="78">
        <v>274</v>
      </c>
      <c r="CF175" s="78">
        <v>134.519771863118</v>
      </c>
      <c r="CG175" s="78">
        <v>123.117490494297</v>
      </c>
      <c r="CH175" s="78">
        <v>52.667680608365004</v>
      </c>
      <c r="CI175" s="78">
        <v>90.081900000000005</v>
      </c>
      <c r="CJ175" s="78">
        <v>82.446299999999994</v>
      </c>
      <c r="CK175" s="78">
        <v>35.269199999999998</v>
      </c>
      <c r="CL175" s="78">
        <v>39925</v>
      </c>
    </row>
    <row r="176" spans="1:90" x14ac:dyDescent="0.35">
      <c r="A176" s="72">
        <v>420</v>
      </c>
      <c r="B176" s="72" t="s">
        <v>196</v>
      </c>
      <c r="C176" s="72">
        <v>7</v>
      </c>
      <c r="D176" s="78">
        <v>4978000000</v>
      </c>
      <c r="E176" s="78">
        <v>733600000</v>
      </c>
      <c r="F176" s="78">
        <v>777000000</v>
      </c>
      <c r="G176" s="78">
        <v>45464</v>
      </c>
      <c r="H176" s="78">
        <v>6</v>
      </c>
      <c r="I176" s="78">
        <v>777</v>
      </c>
      <c r="J176" s="78">
        <v>8717</v>
      </c>
      <c r="K176" s="78">
        <v>10039</v>
      </c>
      <c r="L176" s="78">
        <v>3252</v>
      </c>
      <c r="M176" s="78">
        <v>5695</v>
      </c>
      <c r="N176" s="78">
        <v>3661.2</v>
      </c>
      <c r="O176" s="78">
        <v>476.66666666666703</v>
      </c>
      <c r="P176" s="78">
        <v>84</v>
      </c>
      <c r="Q176" s="78">
        <v>2925.6666666666702</v>
      </c>
      <c r="R176" s="78">
        <v>6113</v>
      </c>
      <c r="S176" s="78">
        <v>1285</v>
      </c>
      <c r="T176" s="78">
        <v>0</v>
      </c>
      <c r="U176" s="78">
        <v>1280</v>
      </c>
      <c r="V176" s="78">
        <v>20148</v>
      </c>
      <c r="W176" s="78">
        <v>39980</v>
      </c>
      <c r="X176" s="78">
        <v>12760</v>
      </c>
      <c r="Y176" s="78">
        <v>0</v>
      </c>
      <c r="Z176" s="78">
        <v>304.8</v>
      </c>
      <c r="AA176" s="78">
        <v>0</v>
      </c>
      <c r="AB176" s="399">
        <v>0</v>
      </c>
      <c r="AC176" s="399">
        <v>3.6999999999999886</v>
      </c>
      <c r="AD176" s="78">
        <v>12106</v>
      </c>
      <c r="AE176" s="78">
        <v>15495.68</v>
      </c>
      <c r="AF176" s="78">
        <v>612</v>
      </c>
      <c r="AG176" s="78">
        <v>10000</v>
      </c>
      <c r="AH176" s="78">
        <v>307</v>
      </c>
      <c r="AI176" s="78">
        <v>100</v>
      </c>
      <c r="AJ176" s="78">
        <v>386.82</v>
      </c>
      <c r="AK176" s="78">
        <v>129</v>
      </c>
      <c r="AL176" s="78">
        <v>407</v>
      </c>
      <c r="AM176" s="78">
        <v>20338</v>
      </c>
      <c r="AN176" s="78">
        <v>25625.88</v>
      </c>
      <c r="AO176" s="78">
        <v>31</v>
      </c>
      <c r="AP176" s="78">
        <v>0</v>
      </c>
      <c r="AQ176" s="78">
        <v>0</v>
      </c>
      <c r="AR176" s="78">
        <v>5950</v>
      </c>
      <c r="AS176" s="78">
        <v>1776</v>
      </c>
      <c r="AT176" s="78">
        <v>803</v>
      </c>
      <c r="AU176" s="400">
        <v>5.9836899999999996E-4</v>
      </c>
      <c r="AV176" s="400">
        <v>1.58083E-4</v>
      </c>
      <c r="AW176" s="78">
        <v>10718.126</v>
      </c>
      <c r="AX176" s="78">
        <v>0</v>
      </c>
      <c r="AY176" s="78">
        <v>10912</v>
      </c>
      <c r="AZ176" s="78">
        <v>55855.730573989596</v>
      </c>
      <c r="BA176" s="78">
        <v>20</v>
      </c>
      <c r="BB176" s="78">
        <v>25.8</v>
      </c>
      <c r="BC176" s="78">
        <v>6315</v>
      </c>
      <c r="BD176" s="78">
        <v>1</v>
      </c>
      <c r="BE176" s="78">
        <v>0</v>
      </c>
      <c r="BF176" s="78">
        <v>0</v>
      </c>
      <c r="BG176" s="78">
        <v>0</v>
      </c>
      <c r="BH176" s="78">
        <v>0</v>
      </c>
      <c r="BI176" s="78">
        <v>0</v>
      </c>
      <c r="BJ176" s="78">
        <v>0</v>
      </c>
      <c r="BK176" s="78">
        <v>0</v>
      </c>
      <c r="BL176" s="78">
        <v>0</v>
      </c>
      <c r="BM176" s="78">
        <v>793.24699999999996</v>
      </c>
      <c r="BN176" s="78">
        <v>139</v>
      </c>
      <c r="BO176" s="78">
        <v>98</v>
      </c>
      <c r="BP176" s="78">
        <v>13026.14</v>
      </c>
      <c r="BQ176" s="78">
        <v>3098.04</v>
      </c>
      <c r="BR176" s="78">
        <v>240.53766474405199</v>
      </c>
      <c r="BS176" s="78">
        <v>556</v>
      </c>
      <c r="BT176" s="78">
        <v>149.333333333333</v>
      </c>
      <c r="BU176" s="78">
        <v>130</v>
      </c>
      <c r="BV176" s="78">
        <v>2449.0000000000032</v>
      </c>
      <c r="BW176" s="78">
        <v>796</v>
      </c>
      <c r="BX176" s="78">
        <v>5702.7045898372598</v>
      </c>
      <c r="BY176" s="402">
        <v>0.624</v>
      </c>
      <c r="BZ176" s="78">
        <v>35425</v>
      </c>
      <c r="CA176" s="78">
        <v>5906</v>
      </c>
      <c r="CB176" s="78">
        <v>881</v>
      </c>
      <c r="CC176" s="78">
        <v>1119</v>
      </c>
      <c r="CD176" s="78">
        <v>982</v>
      </c>
      <c r="CE176" s="78">
        <v>397</v>
      </c>
      <c r="CF176" s="78">
        <v>652.38414790048205</v>
      </c>
      <c r="CG176" s="78">
        <v>404.67979152325699</v>
      </c>
      <c r="CH176" s="78">
        <v>103.150142590225</v>
      </c>
      <c r="CI176" s="78">
        <v>1656.5304000000001</v>
      </c>
      <c r="CJ176" s="78">
        <v>1027.5608</v>
      </c>
      <c r="CK176" s="78">
        <v>261.91829999999999</v>
      </c>
      <c r="CL176" s="78">
        <v>94170</v>
      </c>
    </row>
    <row r="177" spans="1:90" x14ac:dyDescent="0.35">
      <c r="A177" s="72">
        <v>431</v>
      </c>
      <c r="B177" s="72" t="s">
        <v>235</v>
      </c>
      <c r="C177" s="72">
        <v>7</v>
      </c>
      <c r="D177" s="78">
        <v>1375200000</v>
      </c>
      <c r="E177" s="78">
        <v>126000000</v>
      </c>
      <c r="F177" s="78">
        <v>129150000</v>
      </c>
      <c r="G177" s="78">
        <v>9639</v>
      </c>
      <c r="H177" s="78">
        <v>1</v>
      </c>
      <c r="I177" s="78">
        <v>129.15</v>
      </c>
      <c r="J177" s="78">
        <v>1832</v>
      </c>
      <c r="K177" s="78">
        <v>2094</v>
      </c>
      <c r="L177" s="78">
        <v>741</v>
      </c>
      <c r="M177" s="78">
        <v>1064</v>
      </c>
      <c r="N177" s="78">
        <v>649.20000000000005</v>
      </c>
      <c r="O177" s="78">
        <v>103.333333333333</v>
      </c>
      <c r="P177" s="78">
        <v>0</v>
      </c>
      <c r="Q177" s="78">
        <v>457.33333333333297</v>
      </c>
      <c r="R177" s="78">
        <v>1185</v>
      </c>
      <c r="S177" s="78">
        <v>400</v>
      </c>
      <c r="T177" s="78">
        <v>0</v>
      </c>
      <c r="U177" s="78">
        <v>307</v>
      </c>
      <c r="V177" s="78">
        <v>4171</v>
      </c>
      <c r="W177" s="78">
        <v>4610</v>
      </c>
      <c r="X177" s="78">
        <v>250</v>
      </c>
      <c r="Y177" s="78">
        <v>0</v>
      </c>
      <c r="Z177" s="78">
        <v>0</v>
      </c>
      <c r="AA177" s="78">
        <v>0</v>
      </c>
      <c r="AB177" s="399">
        <v>0</v>
      </c>
      <c r="AC177" s="399">
        <v>0</v>
      </c>
      <c r="AD177" s="78">
        <v>1156</v>
      </c>
      <c r="AE177" s="78">
        <v>1456.56</v>
      </c>
      <c r="AF177" s="78">
        <v>452</v>
      </c>
      <c r="AG177" s="78">
        <v>0</v>
      </c>
      <c r="AH177" s="78">
        <v>46</v>
      </c>
      <c r="AI177" s="78">
        <v>4</v>
      </c>
      <c r="AJ177" s="78">
        <v>62.1</v>
      </c>
      <c r="AK177" s="78">
        <v>4.84</v>
      </c>
      <c r="AL177" s="78">
        <v>50</v>
      </c>
      <c r="AM177" s="78">
        <v>4148</v>
      </c>
      <c r="AN177" s="78">
        <v>5599.8</v>
      </c>
      <c r="AO177" s="78">
        <v>0</v>
      </c>
      <c r="AP177" s="78">
        <v>0</v>
      </c>
      <c r="AQ177" s="78">
        <v>0</v>
      </c>
      <c r="AR177" s="78">
        <v>0</v>
      </c>
      <c r="AS177" s="78">
        <v>797</v>
      </c>
      <c r="AT177" s="78">
        <v>0</v>
      </c>
      <c r="AU177" s="400">
        <v>1.07664E-4</v>
      </c>
      <c r="AV177" s="400">
        <v>6.1731999999999998E-5</v>
      </c>
      <c r="AW177" s="78">
        <v>4413.4719999999998</v>
      </c>
      <c r="AX177" s="78">
        <v>0</v>
      </c>
      <c r="AY177" s="78">
        <v>4764.0600000000004</v>
      </c>
      <c r="AZ177" s="78">
        <v>73361.781604477597</v>
      </c>
      <c r="BA177" s="78">
        <v>4</v>
      </c>
      <c r="BB177" s="78">
        <v>4.84</v>
      </c>
      <c r="BC177" s="78">
        <v>1285</v>
      </c>
      <c r="BD177" s="78">
        <v>1</v>
      </c>
      <c r="BE177" s="78">
        <v>0</v>
      </c>
      <c r="BF177" s="78">
        <v>0</v>
      </c>
      <c r="BG177" s="78">
        <v>0</v>
      </c>
      <c r="BH177" s="78">
        <v>0</v>
      </c>
      <c r="BI177" s="78">
        <v>0</v>
      </c>
      <c r="BJ177" s="78">
        <v>0</v>
      </c>
      <c r="BK177" s="78">
        <v>0</v>
      </c>
      <c r="BL177" s="78">
        <v>0</v>
      </c>
      <c r="BM177" s="78">
        <v>124.57599999999999</v>
      </c>
      <c r="BN177" s="78">
        <v>28</v>
      </c>
      <c r="BO177" s="78">
        <v>13</v>
      </c>
      <c r="BP177" s="78">
        <v>3235.84</v>
      </c>
      <c r="BQ177" s="78">
        <v>885.6</v>
      </c>
      <c r="BR177" s="78">
        <v>54.793454545454502</v>
      </c>
      <c r="BS177" s="78">
        <v>117</v>
      </c>
      <c r="BT177" s="78">
        <v>35.6666666666667</v>
      </c>
      <c r="BU177" s="78">
        <v>23.6666666666667</v>
      </c>
      <c r="BV177" s="78">
        <v>354</v>
      </c>
      <c r="BW177" s="78">
        <v>51</v>
      </c>
      <c r="BX177" s="78">
        <v>1357.27943853855</v>
      </c>
      <c r="BY177" s="402">
        <v>0.12</v>
      </c>
      <c r="BZ177" s="78">
        <v>7545</v>
      </c>
      <c r="CA177" s="78">
        <v>1106</v>
      </c>
      <c r="CB177" s="78">
        <v>247</v>
      </c>
      <c r="CC177" s="78">
        <v>219</v>
      </c>
      <c r="CD177" s="78">
        <v>243</v>
      </c>
      <c r="CE177" s="78">
        <v>124</v>
      </c>
      <c r="CF177" s="78">
        <v>107.678302796528</v>
      </c>
      <c r="CG177" s="78">
        <v>82.480327868852498</v>
      </c>
      <c r="CH177" s="78">
        <v>27.232594021215</v>
      </c>
      <c r="CI177" s="78">
        <v>240.7312</v>
      </c>
      <c r="CJ177" s="78">
        <v>184.3973</v>
      </c>
      <c r="CK177" s="78">
        <v>60.882599999999996</v>
      </c>
      <c r="CL177" s="78">
        <v>0</v>
      </c>
    </row>
    <row r="178" spans="1:90" x14ac:dyDescent="0.35">
      <c r="A178" s="72">
        <v>432</v>
      </c>
      <c r="B178" s="72" t="s">
        <v>236</v>
      </c>
      <c r="C178" s="72">
        <v>7</v>
      </c>
      <c r="D178" s="78">
        <v>1284000000</v>
      </c>
      <c r="E178" s="78">
        <v>166250000</v>
      </c>
      <c r="F178" s="78">
        <v>183050000</v>
      </c>
      <c r="G178" s="78">
        <v>12074</v>
      </c>
      <c r="H178" s="78">
        <v>1</v>
      </c>
      <c r="I178" s="78">
        <v>183.05</v>
      </c>
      <c r="J178" s="78">
        <v>2236</v>
      </c>
      <c r="K178" s="78">
        <v>2718</v>
      </c>
      <c r="L178" s="78">
        <v>933</v>
      </c>
      <c r="M178" s="78">
        <v>1471</v>
      </c>
      <c r="N178" s="78">
        <v>953.19999999999993</v>
      </c>
      <c r="O178" s="78">
        <v>75.3333333333333</v>
      </c>
      <c r="P178" s="78">
        <v>17</v>
      </c>
      <c r="Q178" s="78">
        <v>580.33333333333303</v>
      </c>
      <c r="R178" s="78">
        <v>1634</v>
      </c>
      <c r="S178" s="78">
        <v>190</v>
      </c>
      <c r="T178" s="78">
        <v>0</v>
      </c>
      <c r="U178" s="78">
        <v>302</v>
      </c>
      <c r="V178" s="78">
        <v>5271</v>
      </c>
      <c r="W178" s="78">
        <v>10780</v>
      </c>
      <c r="X178" s="78">
        <v>1960</v>
      </c>
      <c r="Y178" s="78">
        <v>0</v>
      </c>
      <c r="Z178" s="78">
        <v>0</v>
      </c>
      <c r="AA178" s="78">
        <v>0</v>
      </c>
      <c r="AB178" s="399">
        <v>0</v>
      </c>
      <c r="AC178" s="399">
        <v>0</v>
      </c>
      <c r="AD178" s="78">
        <v>4146</v>
      </c>
      <c r="AE178" s="78">
        <v>4892.28</v>
      </c>
      <c r="AF178" s="78">
        <v>48</v>
      </c>
      <c r="AG178" s="78">
        <v>0</v>
      </c>
      <c r="AH178" s="78">
        <v>81</v>
      </c>
      <c r="AI178" s="78">
        <v>31</v>
      </c>
      <c r="AJ178" s="78">
        <v>90.72</v>
      </c>
      <c r="AK178" s="78">
        <v>36.89</v>
      </c>
      <c r="AL178" s="78">
        <v>112</v>
      </c>
      <c r="AM178" s="78">
        <v>5178</v>
      </c>
      <c r="AN178" s="78">
        <v>5799.36</v>
      </c>
      <c r="AO178" s="78">
        <v>0</v>
      </c>
      <c r="AP178" s="78">
        <v>0</v>
      </c>
      <c r="AQ178" s="78">
        <v>0</v>
      </c>
      <c r="AR178" s="78">
        <v>0</v>
      </c>
      <c r="AS178" s="78">
        <v>0</v>
      </c>
      <c r="AT178" s="78">
        <v>0</v>
      </c>
      <c r="AU178" s="400">
        <v>1.06526E-4</v>
      </c>
      <c r="AV178" s="400">
        <v>3.7902999999999999E-5</v>
      </c>
      <c r="AW178" s="78">
        <v>2790.942</v>
      </c>
      <c r="AX178" s="78">
        <v>0</v>
      </c>
      <c r="AY178" s="78">
        <v>1905.7</v>
      </c>
      <c r="AZ178" s="78">
        <v>5486.2712923223598</v>
      </c>
      <c r="BA178" s="78">
        <v>6</v>
      </c>
      <c r="BB178" s="78">
        <v>7.14</v>
      </c>
      <c r="BC178" s="78">
        <v>1715</v>
      </c>
      <c r="BD178" s="78">
        <v>1</v>
      </c>
      <c r="BE178" s="78">
        <v>0</v>
      </c>
      <c r="BF178" s="78">
        <v>0</v>
      </c>
      <c r="BG178" s="78">
        <v>0</v>
      </c>
      <c r="BH178" s="78">
        <v>0</v>
      </c>
      <c r="BI178" s="78">
        <v>0</v>
      </c>
      <c r="BJ178" s="78">
        <v>0</v>
      </c>
      <c r="BK178" s="78">
        <v>0</v>
      </c>
      <c r="BL178" s="78">
        <v>0</v>
      </c>
      <c r="BM178" s="78">
        <v>149.81200000000001</v>
      </c>
      <c r="BN178" s="78">
        <v>34</v>
      </c>
      <c r="BO178" s="78">
        <v>14</v>
      </c>
      <c r="BP178" s="78">
        <v>3631.6</v>
      </c>
      <c r="BQ178" s="78">
        <v>856.8</v>
      </c>
      <c r="BR178" s="78">
        <v>36.171155172413798</v>
      </c>
      <c r="BS178" s="78">
        <v>125</v>
      </c>
      <c r="BT178" s="78">
        <v>22.6666666666667</v>
      </c>
      <c r="BU178" s="78">
        <v>16.3333333333333</v>
      </c>
      <c r="BV178" s="78">
        <v>504.99999999999972</v>
      </c>
      <c r="BW178" s="78">
        <v>114</v>
      </c>
      <c r="BX178" s="78">
        <v>1323.0425580814399</v>
      </c>
      <c r="BY178" s="402">
        <v>0.06</v>
      </c>
      <c r="BZ178" s="78">
        <v>9356</v>
      </c>
      <c r="CA178" s="78">
        <v>1521</v>
      </c>
      <c r="CB178" s="78">
        <v>264</v>
      </c>
      <c r="CC178" s="78">
        <v>249</v>
      </c>
      <c r="CD178" s="78">
        <v>303</v>
      </c>
      <c r="CE178" s="78">
        <v>136</v>
      </c>
      <c r="CF178" s="78">
        <v>163.837002703747</v>
      </c>
      <c r="CG178" s="78">
        <v>122.969795287756</v>
      </c>
      <c r="CH178" s="78">
        <v>36.817303978369999</v>
      </c>
      <c r="CI178" s="78">
        <v>382.52199999999999</v>
      </c>
      <c r="CJ178" s="78">
        <v>287.10640000000001</v>
      </c>
      <c r="CK178" s="78">
        <v>85.96</v>
      </c>
      <c r="CL178" s="78">
        <v>0</v>
      </c>
    </row>
    <row r="179" spans="1:90" x14ac:dyDescent="0.35">
      <c r="A179" s="72">
        <v>437</v>
      </c>
      <c r="B179" s="72" t="s">
        <v>240</v>
      </c>
      <c r="C179" s="72">
        <v>7</v>
      </c>
      <c r="D179" s="78">
        <v>2582000000</v>
      </c>
      <c r="E179" s="78">
        <v>581350000</v>
      </c>
      <c r="F179" s="78">
        <v>598850000</v>
      </c>
      <c r="G179" s="78">
        <v>14212</v>
      </c>
      <c r="H179" s="78">
        <v>2</v>
      </c>
      <c r="I179" s="78">
        <v>598.85</v>
      </c>
      <c r="J179" s="78">
        <v>2847</v>
      </c>
      <c r="K179" s="78">
        <v>3068</v>
      </c>
      <c r="L179" s="78">
        <v>981</v>
      </c>
      <c r="M179" s="78">
        <v>1632</v>
      </c>
      <c r="N179" s="78">
        <v>989.19999999999993</v>
      </c>
      <c r="O179" s="78">
        <v>177.333333333333</v>
      </c>
      <c r="P179" s="78">
        <v>15</v>
      </c>
      <c r="Q179" s="78">
        <v>606.33333333333303</v>
      </c>
      <c r="R179" s="78">
        <v>2343</v>
      </c>
      <c r="S179" s="78">
        <v>1180</v>
      </c>
      <c r="T179" s="78">
        <v>0</v>
      </c>
      <c r="U179" s="78">
        <v>560</v>
      </c>
      <c r="V179" s="78">
        <v>6570</v>
      </c>
      <c r="W179" s="78">
        <v>6970</v>
      </c>
      <c r="X179" s="78">
        <v>350</v>
      </c>
      <c r="Y179" s="78">
        <v>280.26</v>
      </c>
      <c r="Z179" s="78">
        <v>56</v>
      </c>
      <c r="AA179" s="78">
        <v>0</v>
      </c>
      <c r="AB179" s="399">
        <v>0</v>
      </c>
      <c r="AC179" s="399">
        <v>70</v>
      </c>
      <c r="AD179" s="78">
        <v>2400</v>
      </c>
      <c r="AE179" s="78">
        <v>3360</v>
      </c>
      <c r="AF179" s="78">
        <v>178</v>
      </c>
      <c r="AG179" s="78">
        <v>0</v>
      </c>
      <c r="AH179" s="78">
        <v>84</v>
      </c>
      <c r="AI179" s="78">
        <v>16</v>
      </c>
      <c r="AJ179" s="78">
        <v>116.76</v>
      </c>
      <c r="AK179" s="78">
        <v>22.56</v>
      </c>
      <c r="AL179" s="78">
        <v>99</v>
      </c>
      <c r="AM179" s="78">
        <v>6428</v>
      </c>
      <c r="AN179" s="78">
        <v>8934.92</v>
      </c>
      <c r="AO179" s="78">
        <v>0</v>
      </c>
      <c r="AP179" s="78">
        <v>0</v>
      </c>
      <c r="AQ179" s="78">
        <v>0</v>
      </c>
      <c r="AR179" s="78">
        <v>0</v>
      </c>
      <c r="AS179" s="78">
        <v>0</v>
      </c>
      <c r="AT179" s="78">
        <v>0</v>
      </c>
      <c r="AU179" s="400">
        <v>1.39801E-4</v>
      </c>
      <c r="AV179" s="400">
        <v>2.3588999999999999E-4</v>
      </c>
      <c r="AW179" s="78">
        <v>8549.24</v>
      </c>
      <c r="AX179" s="78">
        <v>0</v>
      </c>
      <c r="AY179" s="78">
        <v>2430.4</v>
      </c>
      <c r="AZ179" s="78">
        <v>35872.896198603601</v>
      </c>
      <c r="BA179" s="78">
        <v>3</v>
      </c>
      <c r="BB179" s="78">
        <v>4.2300000000000004</v>
      </c>
      <c r="BC179" s="78">
        <v>3075</v>
      </c>
      <c r="BD179" s="78">
        <v>1</v>
      </c>
      <c r="BE179" s="78">
        <v>0</v>
      </c>
      <c r="BF179" s="78">
        <v>0</v>
      </c>
      <c r="BG179" s="78">
        <v>0</v>
      </c>
      <c r="BH179" s="78">
        <v>0</v>
      </c>
      <c r="BI179" s="78">
        <v>0</v>
      </c>
      <c r="BJ179" s="78">
        <v>0</v>
      </c>
      <c r="BK179" s="78">
        <v>0</v>
      </c>
      <c r="BL179" s="78">
        <v>0</v>
      </c>
      <c r="BM179" s="78">
        <v>227.76</v>
      </c>
      <c r="BN179" s="78">
        <v>8</v>
      </c>
      <c r="BO179" s="78">
        <v>17</v>
      </c>
      <c r="BP179" s="78">
        <v>5854.94</v>
      </c>
      <c r="BQ179" s="78">
        <v>1546.56</v>
      </c>
      <c r="BR179" s="78">
        <v>70.297856396866806</v>
      </c>
      <c r="BS179" s="78">
        <v>214</v>
      </c>
      <c r="BT179" s="78">
        <v>48.6666666666667</v>
      </c>
      <c r="BU179" s="78">
        <v>45.3333333333333</v>
      </c>
      <c r="BV179" s="78">
        <v>429</v>
      </c>
      <c r="BW179" s="78">
        <v>126</v>
      </c>
      <c r="BX179" s="78">
        <v>1877.4932389380499</v>
      </c>
      <c r="BY179" s="402">
        <v>0.251</v>
      </c>
      <c r="BZ179" s="78">
        <v>11144</v>
      </c>
      <c r="CA179" s="78">
        <v>1735</v>
      </c>
      <c r="CB179" s="78">
        <v>352</v>
      </c>
      <c r="CC179" s="78">
        <v>480</v>
      </c>
      <c r="CD179" s="78">
        <v>360</v>
      </c>
      <c r="CE179" s="78">
        <v>205</v>
      </c>
      <c r="CF179" s="78">
        <v>177.58817672682</v>
      </c>
      <c r="CG179" s="78">
        <v>107.87635345363999</v>
      </c>
      <c r="CH179" s="78">
        <v>43.704542626011197</v>
      </c>
      <c r="CI179" s="78">
        <v>294.9624</v>
      </c>
      <c r="CJ179" s="78">
        <v>179.1756</v>
      </c>
      <c r="CK179" s="78">
        <v>72.590400000000002</v>
      </c>
      <c r="CL179" s="78">
        <v>2392</v>
      </c>
    </row>
    <row r="180" spans="1:90" x14ac:dyDescent="0.35">
      <c r="A180" s="72">
        <v>439</v>
      </c>
      <c r="B180" s="72" t="s">
        <v>247</v>
      </c>
      <c r="C180" s="72">
        <v>7</v>
      </c>
      <c r="D180" s="78">
        <v>11109600000</v>
      </c>
      <c r="E180" s="78">
        <v>1074500000</v>
      </c>
      <c r="F180" s="78">
        <v>1138550000</v>
      </c>
      <c r="G180" s="78">
        <v>92240</v>
      </c>
      <c r="H180" s="78">
        <v>2</v>
      </c>
      <c r="I180" s="78">
        <v>1138.55</v>
      </c>
      <c r="J180" s="78">
        <v>16655</v>
      </c>
      <c r="K180" s="78">
        <v>19171</v>
      </c>
      <c r="L180" s="78">
        <v>6461</v>
      </c>
      <c r="M180" s="78">
        <v>12570</v>
      </c>
      <c r="N180" s="78">
        <v>8328.2000000000007</v>
      </c>
      <c r="O180" s="78">
        <v>1567</v>
      </c>
      <c r="P180" s="78">
        <v>71</v>
      </c>
      <c r="Q180" s="78">
        <v>7571</v>
      </c>
      <c r="R180" s="78">
        <v>14299</v>
      </c>
      <c r="S180" s="78">
        <v>8760</v>
      </c>
      <c r="T180" s="78">
        <v>0</v>
      </c>
      <c r="U180" s="78">
        <v>3935</v>
      </c>
      <c r="V180" s="78">
        <v>42906</v>
      </c>
      <c r="W180" s="78">
        <v>94830</v>
      </c>
      <c r="X180" s="78">
        <v>79580</v>
      </c>
      <c r="Y180" s="78">
        <v>2422.9</v>
      </c>
      <c r="Z180" s="78">
        <v>3102.4</v>
      </c>
      <c r="AA180" s="78">
        <v>0</v>
      </c>
      <c r="AB180" s="399">
        <v>0</v>
      </c>
      <c r="AC180" s="399">
        <v>0</v>
      </c>
      <c r="AD180" s="78">
        <v>9354</v>
      </c>
      <c r="AE180" s="78">
        <v>11505.42</v>
      </c>
      <c r="AF180" s="78">
        <v>309</v>
      </c>
      <c r="AG180" s="78">
        <v>0</v>
      </c>
      <c r="AH180" s="78">
        <v>338</v>
      </c>
      <c r="AI180" s="78">
        <v>66</v>
      </c>
      <c r="AJ180" s="78">
        <v>425.88</v>
      </c>
      <c r="AK180" s="78">
        <v>81.180000000000007</v>
      </c>
      <c r="AL180" s="78">
        <v>404</v>
      </c>
      <c r="AM180" s="78">
        <v>42418</v>
      </c>
      <c r="AN180" s="78">
        <v>53446.68</v>
      </c>
      <c r="AO180" s="78">
        <v>15</v>
      </c>
      <c r="AP180" s="78">
        <v>0</v>
      </c>
      <c r="AQ180" s="78">
        <v>0</v>
      </c>
      <c r="AR180" s="78">
        <v>2250</v>
      </c>
      <c r="AS180" s="78">
        <v>1496</v>
      </c>
      <c r="AT180" s="78">
        <v>1496</v>
      </c>
      <c r="AU180" s="400">
        <v>5.1036500000000004E-4</v>
      </c>
      <c r="AV180" s="400">
        <v>1.651224E-3</v>
      </c>
      <c r="AW180" s="78">
        <v>90520.012000000002</v>
      </c>
      <c r="AX180" s="78">
        <v>0</v>
      </c>
      <c r="AY180" s="78">
        <v>7355.4</v>
      </c>
      <c r="AZ180" s="78">
        <v>107197.14126047801</v>
      </c>
      <c r="BA180" s="78">
        <v>5</v>
      </c>
      <c r="BB180" s="78">
        <v>6.15</v>
      </c>
      <c r="BC180" s="78">
        <v>10215</v>
      </c>
      <c r="BD180" s="78">
        <v>1</v>
      </c>
      <c r="BE180" s="78">
        <v>0</v>
      </c>
      <c r="BF180" s="78">
        <v>0</v>
      </c>
      <c r="BG180" s="78">
        <v>0</v>
      </c>
      <c r="BH180" s="78">
        <v>0</v>
      </c>
      <c r="BI180" s="78">
        <v>0</v>
      </c>
      <c r="BJ180" s="78">
        <v>0</v>
      </c>
      <c r="BK180" s="78">
        <v>0</v>
      </c>
      <c r="BL180" s="78">
        <v>0</v>
      </c>
      <c r="BM180" s="78">
        <v>2031.91</v>
      </c>
      <c r="BN180" s="78">
        <v>179</v>
      </c>
      <c r="BO180" s="78">
        <v>183</v>
      </c>
      <c r="BP180" s="78">
        <v>27365.58</v>
      </c>
      <c r="BQ180" s="78">
        <v>6477.25</v>
      </c>
      <c r="BR180" s="78">
        <v>432.14925952789099</v>
      </c>
      <c r="BS180" s="78">
        <v>1491</v>
      </c>
      <c r="BT180" s="78">
        <v>457.33333333333297</v>
      </c>
      <c r="BU180" s="78">
        <v>421.33333333333297</v>
      </c>
      <c r="BV180" s="78">
        <v>6004</v>
      </c>
      <c r="BW180" s="78">
        <v>1665</v>
      </c>
      <c r="BX180" s="78">
        <v>16008.4176527622</v>
      </c>
      <c r="BY180" s="402">
        <v>3.0289999999999999</v>
      </c>
      <c r="BZ180" s="78">
        <v>73069</v>
      </c>
      <c r="CA180" s="78">
        <v>10442</v>
      </c>
      <c r="CB180" s="78">
        <v>2268</v>
      </c>
      <c r="CC180" s="78">
        <v>2495</v>
      </c>
      <c r="CD180" s="78">
        <v>2316</v>
      </c>
      <c r="CE180" s="78">
        <v>1263</v>
      </c>
      <c r="CF180" s="78">
        <v>1316.23963411759</v>
      </c>
      <c r="CG180" s="78">
        <v>898.63198170587998</v>
      </c>
      <c r="CH180" s="78">
        <v>340.05475034183598</v>
      </c>
      <c r="CI180" s="78">
        <v>3064.3984</v>
      </c>
      <c r="CJ180" s="78">
        <v>2092.1466999999998</v>
      </c>
      <c r="CK180" s="78">
        <v>791.69719999999995</v>
      </c>
      <c r="CL180" s="78">
        <v>245018</v>
      </c>
    </row>
    <row r="181" spans="1:90" x14ac:dyDescent="0.35">
      <c r="A181" s="72">
        <v>441</v>
      </c>
      <c r="B181" s="72" t="s">
        <v>265</v>
      </c>
      <c r="C181" s="72">
        <v>7</v>
      </c>
      <c r="D181" s="78">
        <v>5352000000</v>
      </c>
      <c r="E181" s="78">
        <v>585900000</v>
      </c>
      <c r="F181" s="78">
        <v>639800000</v>
      </c>
      <c r="G181" s="78">
        <v>46833</v>
      </c>
      <c r="H181" s="78">
        <v>9</v>
      </c>
      <c r="I181" s="78">
        <v>639.79999999999995</v>
      </c>
      <c r="J181" s="78">
        <v>8441</v>
      </c>
      <c r="K181" s="78">
        <v>11819</v>
      </c>
      <c r="L181" s="78">
        <v>4185</v>
      </c>
      <c r="M181" s="78">
        <v>5882</v>
      </c>
      <c r="N181" s="78">
        <v>3417.1</v>
      </c>
      <c r="O181" s="78">
        <v>522.66666666666697</v>
      </c>
      <c r="P181" s="78">
        <v>39</v>
      </c>
      <c r="Q181" s="78">
        <v>2917.6666666666702</v>
      </c>
      <c r="R181" s="78">
        <v>7136</v>
      </c>
      <c r="S181" s="78">
        <v>790</v>
      </c>
      <c r="T181" s="78">
        <v>0</v>
      </c>
      <c r="U181" s="78">
        <v>1419</v>
      </c>
      <c r="V181" s="78">
        <v>21460</v>
      </c>
      <c r="W181" s="78">
        <v>41690</v>
      </c>
      <c r="X181" s="78">
        <v>15620</v>
      </c>
      <c r="Y181" s="78">
        <v>1364.9</v>
      </c>
      <c r="Z181" s="78">
        <v>2286.4</v>
      </c>
      <c r="AA181" s="78">
        <v>0</v>
      </c>
      <c r="AB181" s="399">
        <v>0</v>
      </c>
      <c r="AC181" s="399">
        <v>0</v>
      </c>
      <c r="AD181" s="78">
        <v>16780</v>
      </c>
      <c r="AE181" s="78">
        <v>20303.8</v>
      </c>
      <c r="AF181" s="78">
        <v>411</v>
      </c>
      <c r="AG181" s="78">
        <v>1538</v>
      </c>
      <c r="AH181" s="78">
        <v>293</v>
      </c>
      <c r="AI181" s="78">
        <v>145</v>
      </c>
      <c r="AJ181" s="78">
        <v>348.67</v>
      </c>
      <c r="AK181" s="78">
        <v>176.9</v>
      </c>
      <c r="AL181" s="78">
        <v>438</v>
      </c>
      <c r="AM181" s="78">
        <v>24649</v>
      </c>
      <c r="AN181" s="78">
        <v>29332.31</v>
      </c>
      <c r="AO181" s="78">
        <v>6</v>
      </c>
      <c r="AP181" s="78">
        <v>0</v>
      </c>
      <c r="AQ181" s="78">
        <v>0</v>
      </c>
      <c r="AR181" s="78">
        <v>0</v>
      </c>
      <c r="AS181" s="78">
        <v>845</v>
      </c>
      <c r="AT181" s="78">
        <v>845</v>
      </c>
      <c r="AU181" s="400">
        <v>4.6075899999999998E-4</v>
      </c>
      <c r="AV181" s="400">
        <v>1.8069700000000001E-4</v>
      </c>
      <c r="AW181" s="78">
        <v>18462.100999999999</v>
      </c>
      <c r="AX181" s="78">
        <v>0</v>
      </c>
      <c r="AY181" s="78">
        <v>7607.27</v>
      </c>
      <c r="AZ181" s="78">
        <v>33566.955452853203</v>
      </c>
      <c r="BA181" s="78">
        <v>21</v>
      </c>
      <c r="BB181" s="78">
        <v>25.62</v>
      </c>
      <c r="BC181" s="78">
        <v>6400</v>
      </c>
      <c r="BD181" s="78">
        <v>1</v>
      </c>
      <c r="BE181" s="78">
        <v>0</v>
      </c>
      <c r="BF181" s="78">
        <v>0</v>
      </c>
      <c r="BG181" s="78">
        <v>0</v>
      </c>
      <c r="BH181" s="78">
        <v>0</v>
      </c>
      <c r="BI181" s="78">
        <v>0</v>
      </c>
      <c r="BJ181" s="78">
        <v>0</v>
      </c>
      <c r="BK181" s="78">
        <v>0</v>
      </c>
      <c r="BL181" s="78">
        <v>0</v>
      </c>
      <c r="BM181" s="78">
        <v>700.60299999999995</v>
      </c>
      <c r="BN181" s="78">
        <v>80</v>
      </c>
      <c r="BO181" s="78">
        <v>44</v>
      </c>
      <c r="BP181" s="78">
        <v>14190.92</v>
      </c>
      <c r="BQ181" s="78">
        <v>3053.16</v>
      </c>
      <c r="BR181" s="78">
        <v>184.669647482014</v>
      </c>
      <c r="BS181" s="78">
        <v>562</v>
      </c>
      <c r="BT181" s="78">
        <v>136</v>
      </c>
      <c r="BU181" s="78">
        <v>115.666666666667</v>
      </c>
      <c r="BV181" s="78">
        <v>2395.0000000000032</v>
      </c>
      <c r="BW181" s="78">
        <v>730</v>
      </c>
      <c r="BX181" s="78">
        <v>7134.0109447262103</v>
      </c>
      <c r="BY181" s="402">
        <v>0.79500000000000004</v>
      </c>
      <c r="BZ181" s="78">
        <v>35014</v>
      </c>
      <c r="CA181" s="78">
        <v>6452</v>
      </c>
      <c r="CB181" s="78">
        <v>1182</v>
      </c>
      <c r="CC181" s="78">
        <v>1361</v>
      </c>
      <c r="CD181" s="78">
        <v>1383</v>
      </c>
      <c r="CE181" s="78">
        <v>595</v>
      </c>
      <c r="CF181" s="78">
        <v>555.35326382409005</v>
      </c>
      <c r="CG181" s="78">
        <v>407.85054971804101</v>
      </c>
      <c r="CH181" s="78">
        <v>123.658290397176</v>
      </c>
      <c r="CI181" s="78">
        <v>1767.8478</v>
      </c>
      <c r="CJ181" s="78">
        <v>1298.3045999999999</v>
      </c>
      <c r="CK181" s="78">
        <v>393.63959999999997</v>
      </c>
      <c r="CL181" s="78">
        <v>55934</v>
      </c>
    </row>
    <row r="182" spans="1:90" x14ac:dyDescent="0.35">
      <c r="A182" s="72">
        <v>532</v>
      </c>
      <c r="B182" s="72" t="s">
        <v>284</v>
      </c>
      <c r="C182" s="72">
        <v>7</v>
      </c>
      <c r="D182" s="78">
        <v>2158800000</v>
      </c>
      <c r="E182" s="78">
        <v>174300000</v>
      </c>
      <c r="F182" s="78">
        <v>190050000</v>
      </c>
      <c r="G182" s="78">
        <v>21947</v>
      </c>
      <c r="H182" s="78">
        <v>1</v>
      </c>
      <c r="I182" s="78">
        <v>190.05</v>
      </c>
      <c r="J182" s="78">
        <v>4274</v>
      </c>
      <c r="K182" s="78">
        <v>4937</v>
      </c>
      <c r="L182" s="78">
        <v>1805</v>
      </c>
      <c r="M182" s="78">
        <v>2634</v>
      </c>
      <c r="N182" s="78">
        <v>1699.6999999999998</v>
      </c>
      <c r="O182" s="78">
        <v>232</v>
      </c>
      <c r="P182" s="78">
        <v>34</v>
      </c>
      <c r="Q182" s="78">
        <v>1521</v>
      </c>
      <c r="R182" s="78">
        <v>2786</v>
      </c>
      <c r="S182" s="78">
        <v>580</v>
      </c>
      <c r="T182" s="78">
        <v>0</v>
      </c>
      <c r="U182" s="78">
        <v>667</v>
      </c>
      <c r="V182" s="78">
        <v>9580</v>
      </c>
      <c r="W182" s="78">
        <v>23880</v>
      </c>
      <c r="X182" s="78">
        <v>13600</v>
      </c>
      <c r="Y182" s="78">
        <v>861.3</v>
      </c>
      <c r="Z182" s="78">
        <v>1289.5999999999999</v>
      </c>
      <c r="AA182" s="78">
        <v>0</v>
      </c>
      <c r="AB182" s="399">
        <v>0</v>
      </c>
      <c r="AC182" s="399">
        <v>0</v>
      </c>
      <c r="AD182" s="78">
        <v>1443</v>
      </c>
      <c r="AE182" s="78">
        <v>1746.03</v>
      </c>
      <c r="AF182" s="78">
        <v>114</v>
      </c>
      <c r="AG182" s="78">
        <v>80</v>
      </c>
      <c r="AH182" s="78">
        <v>111</v>
      </c>
      <c r="AI182" s="78">
        <v>19</v>
      </c>
      <c r="AJ182" s="78">
        <v>132.09</v>
      </c>
      <c r="AK182" s="78">
        <v>23.37</v>
      </c>
      <c r="AL182" s="78">
        <v>130</v>
      </c>
      <c r="AM182" s="78">
        <v>9343</v>
      </c>
      <c r="AN182" s="78">
        <v>11118.17</v>
      </c>
      <c r="AO182" s="78">
        <v>0</v>
      </c>
      <c r="AP182" s="78">
        <v>0</v>
      </c>
      <c r="AQ182" s="78">
        <v>0</v>
      </c>
      <c r="AR182" s="78">
        <v>0</v>
      </c>
      <c r="AS182" s="78">
        <v>1132</v>
      </c>
      <c r="AT182" s="78">
        <v>0</v>
      </c>
      <c r="AU182" s="400">
        <v>1.57169E-4</v>
      </c>
      <c r="AV182" s="400">
        <v>8.1997999999999997E-5</v>
      </c>
      <c r="AW182" s="78">
        <v>10753.793</v>
      </c>
      <c r="AX182" s="78">
        <v>0</v>
      </c>
      <c r="AY182" s="78">
        <v>2433.31</v>
      </c>
      <c r="AZ182" s="78">
        <v>34640.315973024997</v>
      </c>
      <c r="BA182" s="78">
        <v>1</v>
      </c>
      <c r="BB182" s="78">
        <v>1.23</v>
      </c>
      <c r="BC182" s="78">
        <v>1995</v>
      </c>
      <c r="BD182" s="78">
        <v>1</v>
      </c>
      <c r="BE182" s="78">
        <v>0</v>
      </c>
      <c r="BF182" s="78">
        <v>0</v>
      </c>
      <c r="BG182" s="78">
        <v>0</v>
      </c>
      <c r="BH182" s="78">
        <v>0</v>
      </c>
      <c r="BI182" s="78">
        <v>0</v>
      </c>
      <c r="BJ182" s="78">
        <v>0</v>
      </c>
      <c r="BK182" s="78">
        <v>0</v>
      </c>
      <c r="BL182" s="78">
        <v>0</v>
      </c>
      <c r="BM182" s="78">
        <v>448.77</v>
      </c>
      <c r="BN182" s="78">
        <v>81</v>
      </c>
      <c r="BO182" s="78">
        <v>36</v>
      </c>
      <c r="BP182" s="78">
        <v>5994.88</v>
      </c>
      <c r="BQ182" s="78">
        <v>1468.78</v>
      </c>
      <c r="BR182" s="78">
        <v>103.23363301696899</v>
      </c>
      <c r="BS182" s="78">
        <v>267</v>
      </c>
      <c r="BT182" s="78">
        <v>87.3333333333333</v>
      </c>
      <c r="BU182" s="78">
        <v>68.6666666666667</v>
      </c>
      <c r="BV182" s="78">
        <v>1289</v>
      </c>
      <c r="BW182" s="78">
        <v>372</v>
      </c>
      <c r="BX182" s="78">
        <v>3038.07931196247</v>
      </c>
      <c r="BY182" s="402">
        <v>0.32200000000000001</v>
      </c>
      <c r="BZ182" s="78">
        <v>17010</v>
      </c>
      <c r="CA182" s="78">
        <v>2785</v>
      </c>
      <c r="CB182" s="78">
        <v>347</v>
      </c>
      <c r="CC182" s="78">
        <v>496</v>
      </c>
      <c r="CD182" s="78">
        <v>516</v>
      </c>
      <c r="CE182" s="78">
        <v>165</v>
      </c>
      <c r="CF182" s="78">
        <v>303.26446537514698</v>
      </c>
      <c r="CG182" s="78">
        <v>226.67517927860399</v>
      </c>
      <c r="CH182" s="78">
        <v>43.661350743872397</v>
      </c>
      <c r="CI182" s="78">
        <v>802.82719999999995</v>
      </c>
      <c r="CJ182" s="78">
        <v>600.07360000000006</v>
      </c>
      <c r="CK182" s="78">
        <v>115.584</v>
      </c>
      <c r="CL182" s="78">
        <v>25137</v>
      </c>
    </row>
    <row r="183" spans="1:90" x14ac:dyDescent="0.35">
      <c r="A183" s="72">
        <v>448</v>
      </c>
      <c r="B183" s="72" t="s">
        <v>292</v>
      </c>
      <c r="C183" s="72">
        <v>7</v>
      </c>
      <c r="D183" s="78">
        <v>2604000000</v>
      </c>
      <c r="E183" s="78">
        <v>456750000</v>
      </c>
      <c r="F183" s="78">
        <v>507850000</v>
      </c>
      <c r="G183" s="78">
        <v>13687</v>
      </c>
      <c r="H183" s="78">
        <v>5</v>
      </c>
      <c r="I183" s="78">
        <v>507.85</v>
      </c>
      <c r="J183" s="78">
        <v>2153</v>
      </c>
      <c r="K183" s="78">
        <v>3683</v>
      </c>
      <c r="L183" s="78">
        <v>1221</v>
      </c>
      <c r="M183" s="78">
        <v>2119</v>
      </c>
      <c r="N183" s="78">
        <v>1008</v>
      </c>
      <c r="O183" s="78">
        <v>121</v>
      </c>
      <c r="P183" s="78">
        <v>11</v>
      </c>
      <c r="Q183" s="78">
        <v>915</v>
      </c>
      <c r="R183" s="78">
        <v>2530</v>
      </c>
      <c r="S183" s="78">
        <v>170</v>
      </c>
      <c r="T183" s="78">
        <v>0</v>
      </c>
      <c r="U183" s="78">
        <v>377</v>
      </c>
      <c r="V183" s="78">
        <v>6830</v>
      </c>
      <c r="W183" s="78">
        <v>12660</v>
      </c>
      <c r="X183" s="78">
        <v>6400</v>
      </c>
      <c r="Y183" s="78">
        <v>53.46</v>
      </c>
      <c r="Z183" s="78">
        <v>501.6</v>
      </c>
      <c r="AA183" s="78">
        <v>0</v>
      </c>
      <c r="AB183" s="399">
        <v>0</v>
      </c>
      <c r="AC183" s="399">
        <v>0</v>
      </c>
      <c r="AD183" s="78">
        <v>16202</v>
      </c>
      <c r="AE183" s="78">
        <v>16364.02</v>
      </c>
      <c r="AF183" s="78">
        <v>288</v>
      </c>
      <c r="AG183" s="78">
        <v>10000</v>
      </c>
      <c r="AH183" s="78">
        <v>120</v>
      </c>
      <c r="AI183" s="78">
        <v>60</v>
      </c>
      <c r="AJ183" s="78">
        <v>120</v>
      </c>
      <c r="AK183" s="78">
        <v>60.6</v>
      </c>
      <c r="AL183" s="78">
        <v>179</v>
      </c>
      <c r="AM183" s="78">
        <v>11110</v>
      </c>
      <c r="AN183" s="78">
        <v>11110</v>
      </c>
      <c r="AO183" s="78">
        <v>0</v>
      </c>
      <c r="AP183" s="78">
        <v>0</v>
      </c>
      <c r="AQ183" s="78">
        <v>0</v>
      </c>
      <c r="AR183" s="78">
        <v>0</v>
      </c>
      <c r="AS183" s="78">
        <v>636</v>
      </c>
      <c r="AT183" s="78">
        <v>0</v>
      </c>
      <c r="AU183" s="400">
        <v>4.0226500000000001E-4</v>
      </c>
      <c r="AV183" s="400">
        <v>9.2826999999999997E-5</v>
      </c>
      <c r="AW183" s="78">
        <v>5466.12</v>
      </c>
      <c r="AX183" s="78">
        <v>0</v>
      </c>
      <c r="AY183" s="78">
        <v>3437.03</v>
      </c>
      <c r="AZ183" s="78">
        <v>2852.7974293511202</v>
      </c>
      <c r="BA183" s="78">
        <v>22</v>
      </c>
      <c r="BB183" s="78">
        <v>22.22</v>
      </c>
      <c r="BC183" s="78">
        <v>2615</v>
      </c>
      <c r="BD183" s="78">
        <v>1</v>
      </c>
      <c r="BE183" s="78">
        <v>0</v>
      </c>
      <c r="BF183" s="78">
        <v>0</v>
      </c>
      <c r="BG183" s="78">
        <v>0</v>
      </c>
      <c r="BH183" s="78">
        <v>0</v>
      </c>
      <c r="BI183" s="78">
        <v>1</v>
      </c>
      <c r="BJ183" s="78">
        <v>2500</v>
      </c>
      <c r="BK183" s="78">
        <v>5000</v>
      </c>
      <c r="BL183" s="78">
        <v>6187</v>
      </c>
      <c r="BM183" s="78">
        <v>236.83</v>
      </c>
      <c r="BN183" s="78">
        <v>37</v>
      </c>
      <c r="BO183" s="78">
        <v>26</v>
      </c>
      <c r="BP183" s="78">
        <v>4056.04</v>
      </c>
      <c r="BQ183" s="78">
        <v>739.66</v>
      </c>
      <c r="BR183" s="78">
        <v>44.193285072951703</v>
      </c>
      <c r="BS183" s="78">
        <v>127</v>
      </c>
      <c r="BT183" s="78">
        <v>35</v>
      </c>
      <c r="BU183" s="78">
        <v>22</v>
      </c>
      <c r="BV183" s="78">
        <v>794</v>
      </c>
      <c r="BW183" s="78">
        <v>211</v>
      </c>
      <c r="BX183" s="78">
        <v>2162.1771646162902</v>
      </c>
      <c r="BY183" s="402">
        <v>0.20499999999999999</v>
      </c>
      <c r="BZ183" s="78">
        <v>10004</v>
      </c>
      <c r="CA183" s="78">
        <v>2097</v>
      </c>
      <c r="CB183" s="78">
        <v>365</v>
      </c>
      <c r="CC183" s="78">
        <v>498</v>
      </c>
      <c r="CD183" s="78">
        <v>399</v>
      </c>
      <c r="CE183" s="78">
        <v>148</v>
      </c>
      <c r="CF183" s="78">
        <v>119.127272727273</v>
      </c>
      <c r="CG183" s="78">
        <v>78.389918991899194</v>
      </c>
      <c r="CH183" s="78">
        <v>20.323312331233101</v>
      </c>
      <c r="CI183" s="78">
        <v>649.1472</v>
      </c>
      <c r="CJ183" s="78">
        <v>427.16160000000002</v>
      </c>
      <c r="CK183" s="78">
        <v>110.7456</v>
      </c>
      <c r="CL183" s="78">
        <v>10729</v>
      </c>
    </row>
    <row r="184" spans="1:90" x14ac:dyDescent="0.35">
      <c r="A184" s="72">
        <v>450</v>
      </c>
      <c r="B184" s="72" t="s">
        <v>302</v>
      </c>
      <c r="C184" s="72">
        <v>7</v>
      </c>
      <c r="D184" s="78">
        <v>1688400000</v>
      </c>
      <c r="E184" s="78">
        <v>116900000</v>
      </c>
      <c r="F184" s="78">
        <v>121800000</v>
      </c>
      <c r="G184" s="78">
        <v>13563</v>
      </c>
      <c r="H184" s="78">
        <v>1</v>
      </c>
      <c r="I184" s="78">
        <v>121.8</v>
      </c>
      <c r="J184" s="78">
        <v>2693</v>
      </c>
      <c r="K184" s="78">
        <v>2580</v>
      </c>
      <c r="L184" s="78">
        <v>821</v>
      </c>
      <c r="M184" s="78">
        <v>1247</v>
      </c>
      <c r="N184" s="78">
        <v>658.5</v>
      </c>
      <c r="O184" s="78">
        <v>149.666666666667</v>
      </c>
      <c r="P184" s="78">
        <v>9</v>
      </c>
      <c r="Q184" s="78">
        <v>666.66666666666697</v>
      </c>
      <c r="R184" s="78">
        <v>1629</v>
      </c>
      <c r="S184" s="78">
        <v>310</v>
      </c>
      <c r="T184" s="78">
        <v>0</v>
      </c>
      <c r="U184" s="78">
        <v>405</v>
      </c>
      <c r="V184" s="78">
        <v>5741</v>
      </c>
      <c r="W184" s="78">
        <v>10510</v>
      </c>
      <c r="X184" s="78">
        <v>1680</v>
      </c>
      <c r="Y184" s="78">
        <v>0</v>
      </c>
      <c r="Z184" s="78">
        <v>0</v>
      </c>
      <c r="AA184" s="78">
        <v>0</v>
      </c>
      <c r="AB184" s="399">
        <v>0</v>
      </c>
      <c r="AC184" s="399">
        <v>0</v>
      </c>
      <c r="AD184" s="78">
        <v>1914</v>
      </c>
      <c r="AE184" s="78">
        <v>2296.8000000000002</v>
      </c>
      <c r="AF184" s="78">
        <v>315</v>
      </c>
      <c r="AG184" s="78">
        <v>0</v>
      </c>
      <c r="AH184" s="78">
        <v>64</v>
      </c>
      <c r="AI184" s="78">
        <v>9</v>
      </c>
      <c r="AJ184" s="78">
        <v>67.84</v>
      </c>
      <c r="AK184" s="78">
        <v>11.16</v>
      </c>
      <c r="AL184" s="78">
        <v>73</v>
      </c>
      <c r="AM184" s="78">
        <v>5885</v>
      </c>
      <c r="AN184" s="78">
        <v>6238.1</v>
      </c>
      <c r="AO184" s="78">
        <v>0</v>
      </c>
      <c r="AP184" s="78">
        <v>0</v>
      </c>
      <c r="AQ184" s="78">
        <v>0</v>
      </c>
      <c r="AR184" s="78">
        <v>0</v>
      </c>
      <c r="AS184" s="78">
        <v>841</v>
      </c>
      <c r="AT184" s="78">
        <v>0</v>
      </c>
      <c r="AU184" s="400">
        <v>7.6898999999999997E-5</v>
      </c>
      <c r="AV184" s="400">
        <v>5.6538E-5</v>
      </c>
      <c r="AW184" s="78">
        <v>6502.9250000000002</v>
      </c>
      <c r="AX184" s="78">
        <v>0</v>
      </c>
      <c r="AY184" s="78">
        <v>1815.6</v>
      </c>
      <c r="AZ184" s="78">
        <v>23358.2971736205</v>
      </c>
      <c r="BA184" s="78">
        <v>1</v>
      </c>
      <c r="BB184" s="78">
        <v>1.24</v>
      </c>
      <c r="BC184" s="78">
        <v>1615</v>
      </c>
      <c r="BD184" s="78">
        <v>1</v>
      </c>
      <c r="BE184" s="78">
        <v>0</v>
      </c>
      <c r="BF184" s="78">
        <v>0</v>
      </c>
      <c r="BG184" s="78">
        <v>0</v>
      </c>
      <c r="BH184" s="78">
        <v>0</v>
      </c>
      <c r="BI184" s="78">
        <v>0</v>
      </c>
      <c r="BJ184" s="78">
        <v>0</v>
      </c>
      <c r="BK184" s="78">
        <v>0</v>
      </c>
      <c r="BL184" s="78">
        <v>0</v>
      </c>
      <c r="BM184" s="78">
        <v>177.738</v>
      </c>
      <c r="BN184" s="78">
        <v>24</v>
      </c>
      <c r="BO184" s="78">
        <v>25</v>
      </c>
      <c r="BP184" s="78">
        <v>4439.76</v>
      </c>
      <c r="BQ184" s="78">
        <v>1139.5999999999999</v>
      </c>
      <c r="BR184" s="78">
        <v>98.744509829619901</v>
      </c>
      <c r="BS184" s="78">
        <v>175</v>
      </c>
      <c r="BT184" s="78">
        <v>54</v>
      </c>
      <c r="BU184" s="78">
        <v>37.3333333333333</v>
      </c>
      <c r="BV184" s="78">
        <v>517</v>
      </c>
      <c r="BW184" s="78">
        <v>110</v>
      </c>
      <c r="BX184" s="78">
        <v>1388.0982306338001</v>
      </c>
      <c r="BY184" s="402">
        <v>0.14599999999999999</v>
      </c>
      <c r="BZ184" s="78">
        <v>10983</v>
      </c>
      <c r="CA184" s="78">
        <v>1513</v>
      </c>
      <c r="CB184" s="78">
        <v>246</v>
      </c>
      <c r="CC184" s="78">
        <v>240</v>
      </c>
      <c r="CD184" s="78">
        <v>253</v>
      </c>
      <c r="CE184" s="78">
        <v>125</v>
      </c>
      <c r="CF184" s="78">
        <v>103.16686491079</v>
      </c>
      <c r="CG184" s="78">
        <v>65.122684791843696</v>
      </c>
      <c r="CH184" s="78">
        <v>20.364825828377199</v>
      </c>
      <c r="CI184" s="78">
        <v>334.59379999999999</v>
      </c>
      <c r="CJ184" s="78">
        <v>211.20779999999999</v>
      </c>
      <c r="CK184" s="78">
        <v>66.047799999999995</v>
      </c>
      <c r="CL184" s="78">
        <v>0</v>
      </c>
    </row>
    <row r="185" spans="1:90" x14ac:dyDescent="0.35">
      <c r="A185" s="72">
        <v>451</v>
      </c>
      <c r="B185" s="72" t="s">
        <v>303</v>
      </c>
      <c r="C185" s="72">
        <v>7</v>
      </c>
      <c r="D185" s="78">
        <v>3916400000</v>
      </c>
      <c r="E185" s="78">
        <v>549850000</v>
      </c>
      <c r="F185" s="78">
        <v>567350000</v>
      </c>
      <c r="G185" s="78">
        <v>31018</v>
      </c>
      <c r="H185" s="78">
        <v>1</v>
      </c>
      <c r="I185" s="78">
        <v>567.35</v>
      </c>
      <c r="J185" s="78">
        <v>6398</v>
      </c>
      <c r="K185" s="78">
        <v>5609</v>
      </c>
      <c r="L185" s="78">
        <v>2030</v>
      </c>
      <c r="M185" s="78">
        <v>3561</v>
      </c>
      <c r="N185" s="78">
        <v>2204.5</v>
      </c>
      <c r="O185" s="78">
        <v>326</v>
      </c>
      <c r="P185" s="78">
        <v>36</v>
      </c>
      <c r="Q185" s="78">
        <v>1593</v>
      </c>
      <c r="R185" s="78">
        <v>4438</v>
      </c>
      <c r="S185" s="78">
        <v>2445</v>
      </c>
      <c r="T185" s="78">
        <v>0</v>
      </c>
      <c r="U185" s="78">
        <v>1223</v>
      </c>
      <c r="V185" s="78">
        <v>13763</v>
      </c>
      <c r="W185" s="78">
        <v>29220</v>
      </c>
      <c r="X185" s="78">
        <v>8250</v>
      </c>
      <c r="Y185" s="78">
        <v>722.7</v>
      </c>
      <c r="Z185" s="78">
        <v>1806.4</v>
      </c>
      <c r="AA185" s="78">
        <v>0</v>
      </c>
      <c r="AB185" s="399">
        <v>0</v>
      </c>
      <c r="AC185" s="399">
        <v>0</v>
      </c>
      <c r="AD185" s="78">
        <v>1815</v>
      </c>
      <c r="AE185" s="78">
        <v>2432.1</v>
      </c>
      <c r="AF185" s="78">
        <v>127</v>
      </c>
      <c r="AG185" s="78">
        <v>0</v>
      </c>
      <c r="AH185" s="78">
        <v>125</v>
      </c>
      <c r="AI185" s="78">
        <v>47</v>
      </c>
      <c r="AJ185" s="78">
        <v>168.75</v>
      </c>
      <c r="AK185" s="78">
        <v>62.04</v>
      </c>
      <c r="AL185" s="78">
        <v>172</v>
      </c>
      <c r="AM185" s="78">
        <v>13565</v>
      </c>
      <c r="AN185" s="78">
        <v>18312.75</v>
      </c>
      <c r="AO185" s="78">
        <v>0</v>
      </c>
      <c r="AP185" s="78">
        <v>0</v>
      </c>
      <c r="AQ185" s="78">
        <v>0</v>
      </c>
      <c r="AR185" s="78">
        <v>0</v>
      </c>
      <c r="AS185" s="78">
        <v>0</v>
      </c>
      <c r="AT185" s="78">
        <v>0</v>
      </c>
      <c r="AU185" s="400">
        <v>5.8717E-5</v>
      </c>
      <c r="AV185" s="400">
        <v>3.5199100000000001E-4</v>
      </c>
      <c r="AW185" s="78">
        <v>19709.945</v>
      </c>
      <c r="AX185" s="78">
        <v>0</v>
      </c>
      <c r="AY185" s="78">
        <v>3363.4</v>
      </c>
      <c r="AZ185" s="78">
        <v>136035.81190525199</v>
      </c>
      <c r="BA185" s="78">
        <v>2</v>
      </c>
      <c r="BB185" s="78">
        <v>2.64</v>
      </c>
      <c r="BC185" s="78">
        <v>3980</v>
      </c>
      <c r="BD185" s="78">
        <v>1</v>
      </c>
      <c r="BE185" s="78">
        <v>0</v>
      </c>
      <c r="BF185" s="78">
        <v>0</v>
      </c>
      <c r="BG185" s="78">
        <v>0</v>
      </c>
      <c r="BH185" s="78">
        <v>0</v>
      </c>
      <c r="BI185" s="78">
        <v>0</v>
      </c>
      <c r="BJ185" s="78">
        <v>0</v>
      </c>
      <c r="BK185" s="78">
        <v>0</v>
      </c>
      <c r="BL185" s="78">
        <v>0</v>
      </c>
      <c r="BM185" s="78">
        <v>710.178</v>
      </c>
      <c r="BN185" s="78">
        <v>68</v>
      </c>
      <c r="BO185" s="78">
        <v>51</v>
      </c>
      <c r="BP185" s="78">
        <v>10263.799999999999</v>
      </c>
      <c r="BQ185" s="78">
        <v>2762.32</v>
      </c>
      <c r="BR185" s="78">
        <v>205.935921423276</v>
      </c>
      <c r="BS185" s="78">
        <v>516</v>
      </c>
      <c r="BT185" s="78">
        <v>131.666666666667</v>
      </c>
      <c r="BU185" s="78">
        <v>98</v>
      </c>
      <c r="BV185" s="78">
        <v>1267</v>
      </c>
      <c r="BW185" s="78">
        <v>342</v>
      </c>
      <c r="BX185" s="78">
        <v>4257.7406157716996</v>
      </c>
      <c r="BY185" s="402">
        <v>0.373</v>
      </c>
      <c r="BZ185" s="78">
        <v>25409</v>
      </c>
      <c r="CA185" s="78">
        <v>2829</v>
      </c>
      <c r="CB185" s="78">
        <v>750</v>
      </c>
      <c r="CC185" s="78">
        <v>657</v>
      </c>
      <c r="CD185" s="78">
        <v>741</v>
      </c>
      <c r="CE185" s="78">
        <v>419</v>
      </c>
      <c r="CF185" s="78">
        <v>295.61264283081499</v>
      </c>
      <c r="CG185" s="78">
        <v>234.669959454478</v>
      </c>
      <c r="CH185" s="78">
        <v>93.120420199041703</v>
      </c>
      <c r="CI185" s="78">
        <v>678.1232</v>
      </c>
      <c r="CJ185" s="78">
        <v>538.32320000000004</v>
      </c>
      <c r="CK185" s="78">
        <v>213.61439999999999</v>
      </c>
      <c r="CL185" s="78">
        <v>20075</v>
      </c>
    </row>
    <row r="186" spans="1:90" x14ac:dyDescent="0.35">
      <c r="A186" s="72">
        <v>453</v>
      </c>
      <c r="B186" s="72" t="s">
        <v>314</v>
      </c>
      <c r="C186" s="72">
        <v>7</v>
      </c>
      <c r="D186" s="78">
        <v>8497600000</v>
      </c>
      <c r="E186" s="78">
        <v>1147300000</v>
      </c>
      <c r="F186" s="78">
        <v>1155350000</v>
      </c>
      <c r="G186" s="78">
        <v>68482</v>
      </c>
      <c r="H186" s="78">
        <v>1</v>
      </c>
      <c r="I186" s="78">
        <v>1155.3499999999999</v>
      </c>
      <c r="J186" s="78">
        <v>12563</v>
      </c>
      <c r="K186" s="78">
        <v>14399</v>
      </c>
      <c r="L186" s="78">
        <v>4763</v>
      </c>
      <c r="M186" s="78">
        <v>9507</v>
      </c>
      <c r="N186" s="78">
        <v>6314.7999999999993</v>
      </c>
      <c r="O186" s="78">
        <v>1351</v>
      </c>
      <c r="P186" s="78">
        <v>15</v>
      </c>
      <c r="Q186" s="78">
        <v>4848</v>
      </c>
      <c r="R186" s="78">
        <v>11489</v>
      </c>
      <c r="S186" s="78">
        <v>3530</v>
      </c>
      <c r="T186" s="78">
        <v>0</v>
      </c>
      <c r="U186" s="78">
        <v>2667</v>
      </c>
      <c r="V186" s="78">
        <v>32177</v>
      </c>
      <c r="W186" s="78">
        <v>69010</v>
      </c>
      <c r="X186" s="78">
        <v>52650</v>
      </c>
      <c r="Y186" s="78">
        <v>1257.18</v>
      </c>
      <c r="Z186" s="78">
        <v>2986.4</v>
      </c>
      <c r="AA186" s="78">
        <v>0</v>
      </c>
      <c r="AB186" s="399">
        <v>0</v>
      </c>
      <c r="AC186" s="399">
        <v>0</v>
      </c>
      <c r="AD186" s="78">
        <v>4549</v>
      </c>
      <c r="AE186" s="78">
        <v>4685.47</v>
      </c>
      <c r="AF186" s="78">
        <v>835</v>
      </c>
      <c r="AG186" s="78">
        <v>934</v>
      </c>
      <c r="AH186" s="78">
        <v>330</v>
      </c>
      <c r="AI186" s="78">
        <v>71</v>
      </c>
      <c r="AJ186" s="78">
        <v>336.6</v>
      </c>
      <c r="AK186" s="78">
        <v>73.84</v>
      </c>
      <c r="AL186" s="78">
        <v>401</v>
      </c>
      <c r="AM186" s="78">
        <v>31922</v>
      </c>
      <c r="AN186" s="78">
        <v>32560.44</v>
      </c>
      <c r="AO186" s="78">
        <v>0</v>
      </c>
      <c r="AP186" s="78">
        <v>0</v>
      </c>
      <c r="AQ186" s="78">
        <v>0</v>
      </c>
      <c r="AR186" s="78">
        <v>0</v>
      </c>
      <c r="AS186" s="78">
        <v>10063</v>
      </c>
      <c r="AT186" s="78">
        <v>0</v>
      </c>
      <c r="AU186" s="400">
        <v>1.594151E-3</v>
      </c>
      <c r="AV186" s="400">
        <v>2.8038680000000002E-3</v>
      </c>
      <c r="AW186" s="78">
        <v>59566.451999999997</v>
      </c>
      <c r="AX186" s="78">
        <v>0</v>
      </c>
      <c r="AY186" s="78">
        <v>1904.47</v>
      </c>
      <c r="AZ186" s="78">
        <v>27368.2512890045</v>
      </c>
      <c r="BA186" s="78">
        <v>6</v>
      </c>
      <c r="BB186" s="78">
        <v>6.24</v>
      </c>
      <c r="BC186" s="78">
        <v>8025</v>
      </c>
      <c r="BD186" s="78">
        <v>1</v>
      </c>
      <c r="BE186" s="78">
        <v>0</v>
      </c>
      <c r="BF186" s="78">
        <v>0</v>
      </c>
      <c r="BG186" s="78">
        <v>0</v>
      </c>
      <c r="BH186" s="78">
        <v>0</v>
      </c>
      <c r="BI186" s="78">
        <v>0</v>
      </c>
      <c r="BJ186" s="78">
        <v>0</v>
      </c>
      <c r="BK186" s="78">
        <v>0</v>
      </c>
      <c r="BL186" s="78">
        <v>0</v>
      </c>
      <c r="BM186" s="78">
        <v>1507.56</v>
      </c>
      <c r="BN186" s="78">
        <v>234</v>
      </c>
      <c r="BO186" s="78">
        <v>140</v>
      </c>
      <c r="BP186" s="78">
        <v>21650.82</v>
      </c>
      <c r="BQ186" s="78">
        <v>5004.12</v>
      </c>
      <c r="BR186" s="78">
        <v>496.17937594809501</v>
      </c>
      <c r="BS186" s="78">
        <v>1014</v>
      </c>
      <c r="BT186" s="78">
        <v>406.66666666666703</v>
      </c>
      <c r="BU186" s="78">
        <v>340.66666666666703</v>
      </c>
      <c r="BV186" s="78">
        <v>3497</v>
      </c>
      <c r="BW186" s="78">
        <v>839</v>
      </c>
      <c r="BX186" s="78">
        <v>11268.745685763</v>
      </c>
      <c r="BY186" s="402">
        <v>3.077</v>
      </c>
      <c r="BZ186" s="78">
        <v>54083</v>
      </c>
      <c r="CA186" s="78">
        <v>7782</v>
      </c>
      <c r="CB186" s="78">
        <v>1854</v>
      </c>
      <c r="CC186" s="78">
        <v>1911</v>
      </c>
      <c r="CD186" s="78">
        <v>1742</v>
      </c>
      <c r="CE186" s="78">
        <v>1048</v>
      </c>
      <c r="CF186" s="78">
        <v>1002.35234634421</v>
      </c>
      <c r="CG186" s="78">
        <v>667.04797944990901</v>
      </c>
      <c r="CH186" s="78">
        <v>270.41951005576101</v>
      </c>
      <c r="CI186" s="78">
        <v>2197.0511999999999</v>
      </c>
      <c r="CJ186" s="78">
        <v>1462.0992000000001</v>
      </c>
      <c r="CK186" s="78">
        <v>592.73119999999994</v>
      </c>
      <c r="CL186" s="78">
        <v>50550</v>
      </c>
    </row>
    <row r="187" spans="1:90" x14ac:dyDescent="0.35">
      <c r="A187" s="72">
        <v>852</v>
      </c>
      <c r="B187" s="72" t="s">
        <v>331</v>
      </c>
      <c r="C187" s="72">
        <v>7</v>
      </c>
      <c r="D187" s="78">
        <v>2541200000</v>
      </c>
      <c r="E187" s="78">
        <v>105000000</v>
      </c>
      <c r="F187" s="78">
        <v>117950000</v>
      </c>
      <c r="G187" s="78">
        <v>17343</v>
      </c>
      <c r="H187" s="78">
        <v>4</v>
      </c>
      <c r="I187" s="78">
        <v>117.95</v>
      </c>
      <c r="J187" s="78">
        <v>3326</v>
      </c>
      <c r="K187" s="78">
        <v>4458</v>
      </c>
      <c r="L187" s="78">
        <v>1571</v>
      </c>
      <c r="M187" s="78">
        <v>1747</v>
      </c>
      <c r="N187" s="78">
        <v>985.9</v>
      </c>
      <c r="O187" s="78">
        <v>170.666666666667</v>
      </c>
      <c r="P187" s="78">
        <v>17</v>
      </c>
      <c r="Q187" s="78">
        <v>782.66666666666697</v>
      </c>
      <c r="R187" s="78">
        <v>2377</v>
      </c>
      <c r="S187" s="78">
        <v>460</v>
      </c>
      <c r="T187" s="78">
        <v>0</v>
      </c>
      <c r="U187" s="78">
        <v>558</v>
      </c>
      <c r="V187" s="78">
        <v>7712</v>
      </c>
      <c r="W187" s="78">
        <v>8800</v>
      </c>
      <c r="X187" s="78">
        <v>540</v>
      </c>
      <c r="Y187" s="78">
        <v>0</v>
      </c>
      <c r="Z187" s="78">
        <v>238.4</v>
      </c>
      <c r="AA187" s="78">
        <v>0</v>
      </c>
      <c r="AB187" s="399">
        <v>0</v>
      </c>
      <c r="AC187" s="399">
        <v>93.399999999999977</v>
      </c>
      <c r="AD187" s="78">
        <v>5197</v>
      </c>
      <c r="AE187" s="78">
        <v>7431.71</v>
      </c>
      <c r="AF187" s="78">
        <v>413</v>
      </c>
      <c r="AG187" s="78">
        <v>5956</v>
      </c>
      <c r="AH187" s="78">
        <v>67</v>
      </c>
      <c r="AI187" s="78">
        <v>32</v>
      </c>
      <c r="AJ187" s="78">
        <v>93.8</v>
      </c>
      <c r="AK187" s="78">
        <v>45.76</v>
      </c>
      <c r="AL187" s="78">
        <v>99</v>
      </c>
      <c r="AM187" s="78">
        <v>7611</v>
      </c>
      <c r="AN187" s="78">
        <v>10655.4</v>
      </c>
      <c r="AO187" s="78">
        <v>18</v>
      </c>
      <c r="AP187" s="78">
        <v>0</v>
      </c>
      <c r="AQ187" s="78">
        <v>0</v>
      </c>
      <c r="AR187" s="78">
        <v>4600</v>
      </c>
      <c r="AS187" s="78">
        <v>568</v>
      </c>
      <c r="AT187" s="78">
        <v>568</v>
      </c>
      <c r="AU187" s="400">
        <v>3.1241800000000002E-4</v>
      </c>
      <c r="AV187" s="400">
        <v>1.1174E-4</v>
      </c>
      <c r="AW187" s="78">
        <v>4886.2619999999997</v>
      </c>
      <c r="AX187" s="78">
        <v>0</v>
      </c>
      <c r="AY187" s="78">
        <v>4425.8500000000004</v>
      </c>
      <c r="AZ187" s="78">
        <v>39225.445235294101</v>
      </c>
      <c r="BA187" s="78">
        <v>11</v>
      </c>
      <c r="BB187" s="78">
        <v>15.73</v>
      </c>
      <c r="BC187" s="78">
        <v>2615</v>
      </c>
      <c r="BD187" s="78">
        <v>1</v>
      </c>
      <c r="BE187" s="78">
        <v>0</v>
      </c>
      <c r="BF187" s="78">
        <v>0</v>
      </c>
      <c r="BG187" s="78">
        <v>0</v>
      </c>
      <c r="BH187" s="78">
        <v>0</v>
      </c>
      <c r="BI187" s="78">
        <v>0</v>
      </c>
      <c r="BJ187" s="78">
        <v>0</v>
      </c>
      <c r="BK187" s="78">
        <v>0</v>
      </c>
      <c r="BL187" s="78">
        <v>0</v>
      </c>
      <c r="BM187" s="78">
        <v>206.21199999999999</v>
      </c>
      <c r="BN187" s="78">
        <v>26</v>
      </c>
      <c r="BO187" s="78">
        <v>12</v>
      </c>
      <c r="BP187" s="78">
        <v>6453.2</v>
      </c>
      <c r="BQ187" s="78">
        <v>1656.16</v>
      </c>
      <c r="BR187" s="78">
        <v>117.07568237853501</v>
      </c>
      <c r="BS187" s="78">
        <v>225</v>
      </c>
      <c r="BT187" s="78">
        <v>52.3333333333333</v>
      </c>
      <c r="BU187" s="78">
        <v>39.6666666666667</v>
      </c>
      <c r="BV187" s="78">
        <v>612</v>
      </c>
      <c r="BW187" s="78">
        <v>108</v>
      </c>
      <c r="BX187" s="78">
        <v>2626.2543368761599</v>
      </c>
      <c r="BY187" s="402">
        <v>0.158</v>
      </c>
      <c r="BZ187" s="78">
        <v>12885</v>
      </c>
      <c r="CA187" s="78">
        <v>2434</v>
      </c>
      <c r="CB187" s="78">
        <v>453</v>
      </c>
      <c r="CC187" s="78">
        <v>496</v>
      </c>
      <c r="CD187" s="78">
        <v>505</v>
      </c>
      <c r="CE187" s="78">
        <v>248</v>
      </c>
      <c r="CF187" s="78">
        <v>194.045224017869</v>
      </c>
      <c r="CG187" s="78">
        <v>144.04425174090099</v>
      </c>
      <c r="CH187" s="78">
        <v>44.689988175009901</v>
      </c>
      <c r="CI187" s="78">
        <v>460.48520000000002</v>
      </c>
      <c r="CJ187" s="78">
        <v>341.8288</v>
      </c>
      <c r="CK187" s="78">
        <v>106.053</v>
      </c>
      <c r="CL187" s="78">
        <v>0</v>
      </c>
    </row>
    <row r="188" spans="1:90" x14ac:dyDescent="0.35">
      <c r="A188" s="72">
        <v>1696</v>
      </c>
      <c r="B188" s="72" t="s">
        <v>345</v>
      </c>
      <c r="C188" s="72">
        <v>7</v>
      </c>
      <c r="D188" s="78">
        <v>4113600000</v>
      </c>
      <c r="E188" s="78">
        <v>295750000</v>
      </c>
      <c r="F188" s="78">
        <v>310800000</v>
      </c>
      <c r="G188" s="78">
        <v>24494</v>
      </c>
      <c r="H188" s="78">
        <v>4</v>
      </c>
      <c r="I188" s="78">
        <v>310.8</v>
      </c>
      <c r="J188" s="78">
        <v>4613</v>
      </c>
      <c r="K188" s="78">
        <v>5954</v>
      </c>
      <c r="L188" s="78">
        <v>2112</v>
      </c>
      <c r="M188" s="78">
        <v>2659</v>
      </c>
      <c r="N188" s="78">
        <v>1451.3999999999999</v>
      </c>
      <c r="O188" s="78">
        <v>205.666666666667</v>
      </c>
      <c r="P188" s="78">
        <v>11</v>
      </c>
      <c r="Q188" s="78">
        <v>967.66666666666697</v>
      </c>
      <c r="R188" s="78">
        <v>3528</v>
      </c>
      <c r="S188" s="78">
        <v>630</v>
      </c>
      <c r="T188" s="78">
        <v>0</v>
      </c>
      <c r="U188" s="78">
        <v>681</v>
      </c>
      <c r="V188" s="78">
        <v>11023</v>
      </c>
      <c r="W188" s="78">
        <v>13900</v>
      </c>
      <c r="X188" s="78">
        <v>940</v>
      </c>
      <c r="Y188" s="78">
        <v>0</v>
      </c>
      <c r="Z188" s="78">
        <v>0</v>
      </c>
      <c r="AA188" s="78">
        <v>0</v>
      </c>
      <c r="AB188" s="399">
        <v>0</v>
      </c>
      <c r="AC188" s="399">
        <v>0</v>
      </c>
      <c r="AD188" s="78">
        <v>4753</v>
      </c>
      <c r="AE188" s="78">
        <v>4800.53</v>
      </c>
      <c r="AF188" s="78">
        <v>2883</v>
      </c>
      <c r="AG188" s="78">
        <v>0</v>
      </c>
      <c r="AH188" s="78">
        <v>142</v>
      </c>
      <c r="AI188" s="78">
        <v>19</v>
      </c>
      <c r="AJ188" s="78">
        <v>144.84</v>
      </c>
      <c r="AK188" s="78">
        <v>19.190000000000001</v>
      </c>
      <c r="AL188" s="78">
        <v>161</v>
      </c>
      <c r="AM188" s="78">
        <v>12076</v>
      </c>
      <c r="AN188" s="78">
        <v>12317.52</v>
      </c>
      <c r="AO188" s="78">
        <v>0</v>
      </c>
      <c r="AP188" s="78">
        <v>0</v>
      </c>
      <c r="AQ188" s="78">
        <v>0</v>
      </c>
      <c r="AR188" s="78">
        <v>0</v>
      </c>
      <c r="AS188" s="78">
        <v>0</v>
      </c>
      <c r="AT188" s="78">
        <v>0</v>
      </c>
      <c r="AU188" s="400">
        <v>2.7410100000000001E-4</v>
      </c>
      <c r="AV188" s="400">
        <v>1.14014E-4</v>
      </c>
      <c r="AW188" s="78">
        <v>7245.6</v>
      </c>
      <c r="AX188" s="78">
        <v>0</v>
      </c>
      <c r="AY188" s="78">
        <v>8110.3</v>
      </c>
      <c r="AZ188" s="78">
        <v>28762.7434939759</v>
      </c>
      <c r="BA188" s="78">
        <v>15</v>
      </c>
      <c r="BB188" s="78">
        <v>15.15</v>
      </c>
      <c r="BC188" s="78">
        <v>4465</v>
      </c>
      <c r="BD188" s="78">
        <v>1</v>
      </c>
      <c r="BE188" s="78">
        <v>0</v>
      </c>
      <c r="BF188" s="78">
        <v>0</v>
      </c>
      <c r="BG188" s="78">
        <v>0</v>
      </c>
      <c r="BH188" s="78">
        <v>0</v>
      </c>
      <c r="BI188" s="78">
        <v>0</v>
      </c>
      <c r="BJ188" s="78">
        <v>0</v>
      </c>
      <c r="BK188" s="78">
        <v>0</v>
      </c>
      <c r="BL188" s="78">
        <v>0</v>
      </c>
      <c r="BM188" s="78">
        <v>369.04</v>
      </c>
      <c r="BN188" s="78">
        <v>25</v>
      </c>
      <c r="BO188" s="78">
        <v>33</v>
      </c>
      <c r="BP188" s="78">
        <v>9413.4</v>
      </c>
      <c r="BQ188" s="78">
        <v>2248.25</v>
      </c>
      <c r="BR188" s="78">
        <v>113.84874367006</v>
      </c>
      <c r="BS188" s="78">
        <v>238</v>
      </c>
      <c r="BT188" s="78">
        <v>55</v>
      </c>
      <c r="BU188" s="78">
        <v>37.6666666666667</v>
      </c>
      <c r="BV188" s="78">
        <v>762</v>
      </c>
      <c r="BW188" s="78">
        <v>147</v>
      </c>
      <c r="BX188" s="78">
        <v>3523.89990434534</v>
      </c>
      <c r="BY188" s="402">
        <v>0.11700000000000001</v>
      </c>
      <c r="BZ188" s="78">
        <v>18540</v>
      </c>
      <c r="CA188" s="78">
        <v>3184</v>
      </c>
      <c r="CB188" s="78">
        <v>658</v>
      </c>
      <c r="CC188" s="78">
        <v>742</v>
      </c>
      <c r="CD188" s="78">
        <v>682</v>
      </c>
      <c r="CE188" s="78">
        <v>349</v>
      </c>
      <c r="CF188" s="78">
        <v>243.141950977145</v>
      </c>
      <c r="CG188" s="78">
        <v>177.39867505796599</v>
      </c>
      <c r="CH188" s="78">
        <v>58.531947664789698</v>
      </c>
      <c r="CI188" s="78">
        <v>592.94129999999996</v>
      </c>
      <c r="CJ188" s="78">
        <v>432.61559999999997</v>
      </c>
      <c r="CK188" s="78">
        <v>142.7397</v>
      </c>
      <c r="CL188" s="78">
        <v>19845</v>
      </c>
    </row>
    <row r="189" spans="1:90" x14ac:dyDescent="0.35">
      <c r="A189" s="72">
        <v>880</v>
      </c>
      <c r="B189" s="72" t="s">
        <v>350</v>
      </c>
      <c r="C189" s="72">
        <v>7</v>
      </c>
      <c r="D189" s="78">
        <v>2001200000</v>
      </c>
      <c r="E189" s="78">
        <v>187950000</v>
      </c>
      <c r="F189" s="78">
        <v>200900000</v>
      </c>
      <c r="G189" s="78">
        <v>16381</v>
      </c>
      <c r="H189" s="78">
        <v>2</v>
      </c>
      <c r="I189" s="78">
        <v>200.9</v>
      </c>
      <c r="J189" s="78">
        <v>2897</v>
      </c>
      <c r="K189" s="78">
        <v>3878</v>
      </c>
      <c r="L189" s="78">
        <v>1491</v>
      </c>
      <c r="M189" s="78">
        <v>2005</v>
      </c>
      <c r="N189" s="78">
        <v>1285.4000000000001</v>
      </c>
      <c r="O189" s="78">
        <v>210</v>
      </c>
      <c r="P189" s="78">
        <v>0</v>
      </c>
      <c r="Q189" s="78">
        <v>981</v>
      </c>
      <c r="R189" s="78">
        <v>2288</v>
      </c>
      <c r="S189" s="78">
        <v>770</v>
      </c>
      <c r="T189" s="78">
        <v>0</v>
      </c>
      <c r="U189" s="78">
        <v>555</v>
      </c>
      <c r="V189" s="78">
        <v>7309</v>
      </c>
      <c r="W189" s="78">
        <v>9750</v>
      </c>
      <c r="X189" s="78">
        <v>1090</v>
      </c>
      <c r="Y189" s="78">
        <v>0</v>
      </c>
      <c r="Z189" s="78">
        <v>0</v>
      </c>
      <c r="AA189" s="78">
        <v>0</v>
      </c>
      <c r="AB189" s="399">
        <v>0</v>
      </c>
      <c r="AC189" s="399">
        <v>0</v>
      </c>
      <c r="AD189" s="78">
        <v>3836</v>
      </c>
      <c r="AE189" s="78">
        <v>4488.12</v>
      </c>
      <c r="AF189" s="78">
        <v>681</v>
      </c>
      <c r="AG189" s="78">
        <v>0</v>
      </c>
      <c r="AH189" s="78">
        <v>72</v>
      </c>
      <c r="AI189" s="78">
        <v>26</v>
      </c>
      <c r="AJ189" s="78">
        <v>89.28</v>
      </c>
      <c r="AK189" s="78">
        <v>29.9</v>
      </c>
      <c r="AL189" s="78">
        <v>98</v>
      </c>
      <c r="AM189" s="78">
        <v>7196</v>
      </c>
      <c r="AN189" s="78">
        <v>8923.0400000000009</v>
      </c>
      <c r="AO189" s="78">
        <v>0</v>
      </c>
      <c r="AP189" s="78">
        <v>0</v>
      </c>
      <c r="AQ189" s="78">
        <v>0</v>
      </c>
      <c r="AR189" s="78">
        <v>0</v>
      </c>
      <c r="AS189" s="78">
        <v>886</v>
      </c>
      <c r="AT189" s="78">
        <v>0</v>
      </c>
      <c r="AU189" s="400">
        <v>1.80609E-4</v>
      </c>
      <c r="AV189" s="400">
        <v>1.9239600000000001E-4</v>
      </c>
      <c r="AW189" s="78">
        <v>10455.788</v>
      </c>
      <c r="AX189" s="78">
        <v>0</v>
      </c>
      <c r="AY189" s="78">
        <v>7112.43</v>
      </c>
      <c r="AZ189" s="78">
        <v>52583.880365286699</v>
      </c>
      <c r="BA189" s="78">
        <v>6</v>
      </c>
      <c r="BB189" s="78">
        <v>6.9</v>
      </c>
      <c r="BC189" s="78">
        <v>1945</v>
      </c>
      <c r="BD189" s="78">
        <v>1</v>
      </c>
      <c r="BE189" s="78">
        <v>0</v>
      </c>
      <c r="BF189" s="78">
        <v>0</v>
      </c>
      <c r="BG189" s="78">
        <v>0</v>
      </c>
      <c r="BH189" s="78">
        <v>0</v>
      </c>
      <c r="BI189" s="78">
        <v>0</v>
      </c>
      <c r="BJ189" s="78">
        <v>0</v>
      </c>
      <c r="BK189" s="78">
        <v>0</v>
      </c>
      <c r="BL189" s="78">
        <v>0</v>
      </c>
      <c r="BM189" s="78">
        <v>283.90600000000001</v>
      </c>
      <c r="BN189" s="78">
        <v>43</v>
      </c>
      <c r="BO189" s="78">
        <v>51</v>
      </c>
      <c r="BP189" s="78">
        <v>5260.38</v>
      </c>
      <c r="BQ189" s="78">
        <v>1171.8</v>
      </c>
      <c r="BR189" s="78">
        <v>114.469779011873</v>
      </c>
      <c r="BS189" s="78">
        <v>222</v>
      </c>
      <c r="BT189" s="78">
        <v>68.3333333333333</v>
      </c>
      <c r="BU189" s="78">
        <v>58.3333333333333</v>
      </c>
      <c r="BV189" s="78">
        <v>771</v>
      </c>
      <c r="BW189" s="78">
        <v>145</v>
      </c>
      <c r="BX189" s="78">
        <v>2678.8897471376999</v>
      </c>
      <c r="BY189" s="402">
        <v>0.30499999999999999</v>
      </c>
      <c r="BZ189" s="78">
        <v>12503</v>
      </c>
      <c r="CA189" s="78">
        <v>1946</v>
      </c>
      <c r="CB189" s="78">
        <v>441</v>
      </c>
      <c r="CC189" s="78">
        <v>383</v>
      </c>
      <c r="CD189" s="78">
        <v>473</v>
      </c>
      <c r="CE189" s="78">
        <v>230</v>
      </c>
      <c r="CF189" s="78">
        <v>209.708115619789</v>
      </c>
      <c r="CG189" s="78">
        <v>186.48660366870499</v>
      </c>
      <c r="CH189" s="78">
        <v>60.375931072818197</v>
      </c>
      <c r="CI189" s="78">
        <v>470.18700000000001</v>
      </c>
      <c r="CJ189" s="78">
        <v>418.12200000000001</v>
      </c>
      <c r="CK189" s="78">
        <v>135.369</v>
      </c>
      <c r="CL189" s="78">
        <v>0</v>
      </c>
    </row>
    <row r="190" spans="1:90" x14ac:dyDescent="0.35">
      <c r="A190" s="72">
        <v>479</v>
      </c>
      <c r="B190" s="72" t="s">
        <v>352</v>
      </c>
      <c r="C190" s="72">
        <v>7</v>
      </c>
      <c r="D190" s="78">
        <v>17198800000</v>
      </c>
      <c r="E190" s="78">
        <v>2413600000</v>
      </c>
      <c r="F190" s="78">
        <v>2448250000</v>
      </c>
      <c r="G190" s="78">
        <v>157166</v>
      </c>
      <c r="H190" s="78">
        <v>3</v>
      </c>
      <c r="I190" s="78">
        <v>2448.25</v>
      </c>
      <c r="J190" s="78">
        <v>30960</v>
      </c>
      <c r="K190" s="78">
        <v>29264</v>
      </c>
      <c r="L190" s="78">
        <v>10215</v>
      </c>
      <c r="M190" s="78">
        <v>22602</v>
      </c>
      <c r="N190" s="78">
        <v>15575.5</v>
      </c>
      <c r="O190" s="78">
        <v>3617</v>
      </c>
      <c r="P190" s="78">
        <v>31</v>
      </c>
      <c r="Q190" s="78">
        <v>13105</v>
      </c>
      <c r="R190" s="78">
        <v>25941</v>
      </c>
      <c r="S190" s="78">
        <v>26535</v>
      </c>
      <c r="T190" s="78">
        <v>0</v>
      </c>
      <c r="U190" s="78">
        <v>7086</v>
      </c>
      <c r="V190" s="78">
        <v>72556</v>
      </c>
      <c r="W190" s="78">
        <v>167700</v>
      </c>
      <c r="X190" s="78">
        <v>172240</v>
      </c>
      <c r="Y190" s="78">
        <v>2713.94</v>
      </c>
      <c r="Z190" s="78">
        <v>7045.6</v>
      </c>
      <c r="AA190" s="78">
        <v>0</v>
      </c>
      <c r="AB190" s="399">
        <v>0</v>
      </c>
      <c r="AC190" s="399">
        <v>0</v>
      </c>
      <c r="AD190" s="78">
        <v>7354</v>
      </c>
      <c r="AE190" s="78">
        <v>9413.1200000000008</v>
      </c>
      <c r="AF190" s="78">
        <v>970</v>
      </c>
      <c r="AG190" s="78">
        <v>0</v>
      </c>
      <c r="AH190" s="78">
        <v>647</v>
      </c>
      <c r="AI190" s="78">
        <v>64</v>
      </c>
      <c r="AJ190" s="78">
        <v>854.04</v>
      </c>
      <c r="AK190" s="78">
        <v>79.36</v>
      </c>
      <c r="AL190" s="78">
        <v>710</v>
      </c>
      <c r="AM190" s="78">
        <v>70265</v>
      </c>
      <c r="AN190" s="78">
        <v>92749.8</v>
      </c>
      <c r="AO190" s="78">
        <v>12</v>
      </c>
      <c r="AP190" s="78">
        <v>0</v>
      </c>
      <c r="AQ190" s="78">
        <v>0</v>
      </c>
      <c r="AR190" s="78">
        <v>10200</v>
      </c>
      <c r="AS190" s="78">
        <v>15821</v>
      </c>
      <c r="AT190" s="78">
        <v>8346</v>
      </c>
      <c r="AU190" s="400">
        <v>6.0473640000000004E-3</v>
      </c>
      <c r="AV190" s="400">
        <v>9.5495489999999992E-3</v>
      </c>
      <c r="AW190" s="78">
        <v>146713.32</v>
      </c>
      <c r="AX190" s="78">
        <v>0</v>
      </c>
      <c r="AY190" s="78">
        <v>10693.12</v>
      </c>
      <c r="AZ190" s="78">
        <v>484128.67844305601</v>
      </c>
      <c r="BA190" s="78">
        <v>7</v>
      </c>
      <c r="BB190" s="78">
        <v>8.68</v>
      </c>
      <c r="BC190" s="78">
        <v>19325</v>
      </c>
      <c r="BD190" s="78">
        <v>1</v>
      </c>
      <c r="BE190" s="78">
        <v>0</v>
      </c>
      <c r="BF190" s="78">
        <v>0</v>
      </c>
      <c r="BG190" s="78">
        <v>0</v>
      </c>
      <c r="BH190" s="78">
        <v>0</v>
      </c>
      <c r="BI190" s="78">
        <v>0</v>
      </c>
      <c r="BJ190" s="78">
        <v>0</v>
      </c>
      <c r="BK190" s="78">
        <v>0</v>
      </c>
      <c r="BL190" s="78">
        <v>0</v>
      </c>
      <c r="BM190" s="78">
        <v>4613.04</v>
      </c>
      <c r="BN190" s="78">
        <v>569</v>
      </c>
      <c r="BO190" s="78">
        <v>545</v>
      </c>
      <c r="BP190" s="78">
        <v>44607.78</v>
      </c>
      <c r="BQ190" s="78">
        <v>10774.8</v>
      </c>
      <c r="BR190" s="78">
        <v>1060.1737538708601</v>
      </c>
      <c r="BS190" s="78">
        <v>2736</v>
      </c>
      <c r="BT190" s="78">
        <v>1092</v>
      </c>
      <c r="BU190" s="78">
        <v>1060.6666666666699</v>
      </c>
      <c r="BV190" s="78">
        <v>9488</v>
      </c>
      <c r="BW190" s="78">
        <v>2103</v>
      </c>
      <c r="BX190" s="78">
        <v>23720.876132593199</v>
      </c>
      <c r="BY190" s="402">
        <v>8.5280000000000005</v>
      </c>
      <c r="BZ190" s="78">
        <v>127902</v>
      </c>
      <c r="CA190" s="78">
        <v>15890</v>
      </c>
      <c r="CB190" s="78">
        <v>3159</v>
      </c>
      <c r="CC190" s="78">
        <v>4069</v>
      </c>
      <c r="CD190" s="78">
        <v>3543</v>
      </c>
      <c r="CE190" s="78">
        <v>1578</v>
      </c>
      <c r="CF190" s="78">
        <v>2257.4666192272098</v>
      </c>
      <c r="CG190" s="78">
        <v>1599.5560805522</v>
      </c>
      <c r="CH190" s="78">
        <v>506.95465025261501</v>
      </c>
      <c r="CI190" s="78">
        <v>5034.9696000000004</v>
      </c>
      <c r="CJ190" s="78">
        <v>3567.5904</v>
      </c>
      <c r="CK190" s="78">
        <v>1130.6928</v>
      </c>
      <c r="CL190" s="78">
        <v>79343</v>
      </c>
    </row>
    <row r="191" spans="1:90" x14ac:dyDescent="0.35">
      <c r="A191" s="72">
        <v>473</v>
      </c>
      <c r="B191" s="72" t="s">
        <v>354</v>
      </c>
      <c r="C191" s="72">
        <v>7</v>
      </c>
      <c r="D191" s="78">
        <v>3263600000</v>
      </c>
      <c r="E191" s="78">
        <v>197750000</v>
      </c>
      <c r="F191" s="78">
        <v>214900000</v>
      </c>
      <c r="G191" s="78">
        <v>17107</v>
      </c>
      <c r="H191" s="78">
        <v>2</v>
      </c>
      <c r="I191" s="78">
        <v>214.9</v>
      </c>
      <c r="J191" s="78">
        <v>2682</v>
      </c>
      <c r="K191" s="78">
        <v>4567</v>
      </c>
      <c r="L191" s="78">
        <v>1661</v>
      </c>
      <c r="M191" s="78">
        <v>2998</v>
      </c>
      <c r="N191" s="78">
        <v>1994</v>
      </c>
      <c r="O191" s="78">
        <v>367.33333333333297</v>
      </c>
      <c r="P191" s="78">
        <v>9</v>
      </c>
      <c r="Q191" s="78">
        <v>1273.3333333333301</v>
      </c>
      <c r="R191" s="78">
        <v>3807</v>
      </c>
      <c r="S191" s="78">
        <v>670</v>
      </c>
      <c r="T191" s="78">
        <v>0</v>
      </c>
      <c r="U191" s="78">
        <v>768</v>
      </c>
      <c r="V191" s="78">
        <v>8953</v>
      </c>
      <c r="W191" s="78">
        <v>13340</v>
      </c>
      <c r="X191" s="78">
        <v>1970</v>
      </c>
      <c r="Y191" s="78">
        <v>0</v>
      </c>
      <c r="Z191" s="78">
        <v>159.19999999999999</v>
      </c>
      <c r="AA191" s="78">
        <v>0</v>
      </c>
      <c r="AB191" s="399">
        <v>0</v>
      </c>
      <c r="AC191" s="399">
        <v>25.199999999999989</v>
      </c>
      <c r="AD191" s="78">
        <v>3207</v>
      </c>
      <c r="AE191" s="78">
        <v>3207</v>
      </c>
      <c r="AF191" s="78">
        <v>162</v>
      </c>
      <c r="AG191" s="78">
        <v>1028</v>
      </c>
      <c r="AH191" s="78">
        <v>72</v>
      </c>
      <c r="AI191" s="78">
        <v>3</v>
      </c>
      <c r="AJ191" s="78">
        <v>72</v>
      </c>
      <c r="AK191" s="78">
        <v>3</v>
      </c>
      <c r="AL191" s="78">
        <v>75</v>
      </c>
      <c r="AM191" s="78">
        <v>10040</v>
      </c>
      <c r="AN191" s="78">
        <v>10040</v>
      </c>
      <c r="AO191" s="78">
        <v>0</v>
      </c>
      <c r="AP191" s="78">
        <v>0</v>
      </c>
      <c r="AQ191" s="78">
        <v>0</v>
      </c>
      <c r="AR191" s="78">
        <v>0</v>
      </c>
      <c r="AS191" s="78">
        <v>2296</v>
      </c>
      <c r="AT191" s="78">
        <v>0</v>
      </c>
      <c r="AU191" s="400">
        <v>4.87364E-4</v>
      </c>
      <c r="AV191" s="400">
        <v>7.7458500000000005E-4</v>
      </c>
      <c r="AW191" s="78">
        <v>18292.88</v>
      </c>
      <c r="AX191" s="78">
        <v>0</v>
      </c>
      <c r="AY191" s="78">
        <v>1526</v>
      </c>
      <c r="AZ191" s="78">
        <v>7748.6737904422698</v>
      </c>
      <c r="BA191" s="78">
        <v>2</v>
      </c>
      <c r="BB191" s="78">
        <v>2</v>
      </c>
      <c r="BC191" s="78">
        <v>2730</v>
      </c>
      <c r="BD191" s="78">
        <v>1</v>
      </c>
      <c r="BE191" s="78">
        <v>0</v>
      </c>
      <c r="BF191" s="78">
        <v>0</v>
      </c>
      <c r="BG191" s="78">
        <v>0</v>
      </c>
      <c r="BH191" s="78">
        <v>0</v>
      </c>
      <c r="BI191" s="78">
        <v>0</v>
      </c>
      <c r="BJ191" s="78">
        <v>0</v>
      </c>
      <c r="BK191" s="78">
        <v>0</v>
      </c>
      <c r="BL191" s="78">
        <v>0</v>
      </c>
      <c r="BM191" s="78">
        <v>445.21199999999999</v>
      </c>
      <c r="BN191" s="78">
        <v>26</v>
      </c>
      <c r="BO191" s="78">
        <v>40</v>
      </c>
      <c r="BP191" s="78">
        <v>6030.5</v>
      </c>
      <c r="BQ191" s="78">
        <v>1172.21</v>
      </c>
      <c r="BR191" s="78">
        <v>56.1489677419355</v>
      </c>
      <c r="BS191" s="78">
        <v>242</v>
      </c>
      <c r="BT191" s="78">
        <v>107.333333333333</v>
      </c>
      <c r="BU191" s="78">
        <v>104</v>
      </c>
      <c r="BV191" s="78">
        <v>905.99999999999704</v>
      </c>
      <c r="BW191" s="78">
        <v>182</v>
      </c>
      <c r="BX191" s="78">
        <v>3022.0639492078299</v>
      </c>
      <c r="BY191" s="402">
        <v>1.042</v>
      </c>
      <c r="BZ191" s="78">
        <v>12540</v>
      </c>
      <c r="CA191" s="78">
        <v>2396</v>
      </c>
      <c r="CB191" s="78">
        <v>510</v>
      </c>
      <c r="CC191" s="78">
        <v>768</v>
      </c>
      <c r="CD191" s="78">
        <v>666</v>
      </c>
      <c r="CE191" s="78">
        <v>308</v>
      </c>
      <c r="CF191" s="78">
        <v>312.80378486055798</v>
      </c>
      <c r="CG191" s="78">
        <v>240.31274900398401</v>
      </c>
      <c r="CH191" s="78">
        <v>83.6129482071713</v>
      </c>
      <c r="CI191" s="78">
        <v>653.46749999999997</v>
      </c>
      <c r="CJ191" s="78">
        <v>502.029</v>
      </c>
      <c r="CK191" s="78">
        <v>174.6729</v>
      </c>
      <c r="CL191" s="78">
        <v>73000</v>
      </c>
    </row>
    <row r="192" spans="1:90" x14ac:dyDescent="0.35">
      <c r="A192" s="72">
        <v>482</v>
      </c>
      <c r="B192" s="72" t="s">
        <v>15</v>
      </c>
      <c r="C192" s="72">
        <v>8</v>
      </c>
      <c r="D192" s="78">
        <v>1854400000</v>
      </c>
      <c r="E192" s="78">
        <v>383250000</v>
      </c>
      <c r="F192" s="78">
        <v>386400000</v>
      </c>
      <c r="G192" s="78">
        <v>20087</v>
      </c>
      <c r="H192" s="78">
        <v>1</v>
      </c>
      <c r="I192" s="78">
        <v>386.4</v>
      </c>
      <c r="J192" s="78">
        <v>4500</v>
      </c>
      <c r="K192" s="78">
        <v>4038</v>
      </c>
      <c r="L192" s="78">
        <v>1521</v>
      </c>
      <c r="M192" s="78">
        <v>2489</v>
      </c>
      <c r="N192" s="78">
        <v>1644.9</v>
      </c>
      <c r="O192" s="78">
        <v>333.33333333333297</v>
      </c>
      <c r="P192" s="78">
        <v>35</v>
      </c>
      <c r="Q192" s="78">
        <v>1205.3333333333301</v>
      </c>
      <c r="R192" s="78">
        <v>2587</v>
      </c>
      <c r="S192" s="78">
        <v>1195</v>
      </c>
      <c r="T192" s="78">
        <v>0</v>
      </c>
      <c r="U192" s="78">
        <v>605</v>
      </c>
      <c r="V192" s="78">
        <v>8436</v>
      </c>
      <c r="W192" s="78">
        <v>17410</v>
      </c>
      <c r="X192" s="78">
        <v>3910</v>
      </c>
      <c r="Y192" s="78">
        <v>0</v>
      </c>
      <c r="Z192" s="78">
        <v>0</v>
      </c>
      <c r="AA192" s="78">
        <v>0</v>
      </c>
      <c r="AB192" s="399">
        <v>0</v>
      </c>
      <c r="AC192" s="399">
        <v>0</v>
      </c>
      <c r="AD192" s="78">
        <v>873</v>
      </c>
      <c r="AE192" s="78">
        <v>1187.28</v>
      </c>
      <c r="AF192" s="78">
        <v>133</v>
      </c>
      <c r="AG192" s="78">
        <v>0</v>
      </c>
      <c r="AH192" s="78">
        <v>92</v>
      </c>
      <c r="AI192" s="78">
        <v>14</v>
      </c>
      <c r="AJ192" s="78">
        <v>126.04</v>
      </c>
      <c r="AK192" s="78">
        <v>19.04</v>
      </c>
      <c r="AL192" s="78">
        <v>106</v>
      </c>
      <c r="AM192" s="78">
        <v>8441</v>
      </c>
      <c r="AN192" s="78">
        <v>11564.17</v>
      </c>
      <c r="AO192" s="78">
        <v>0</v>
      </c>
      <c r="AP192" s="78">
        <v>0</v>
      </c>
      <c r="AQ192" s="78">
        <v>0</v>
      </c>
      <c r="AR192" s="78">
        <v>0</v>
      </c>
      <c r="AS192" s="78">
        <v>1467</v>
      </c>
      <c r="AT192" s="78">
        <v>0</v>
      </c>
      <c r="AU192" s="400">
        <v>2.1213199999999999E-4</v>
      </c>
      <c r="AV192" s="400">
        <v>5.8744400000000001E-4</v>
      </c>
      <c r="AW192" s="78">
        <v>12889.406999999999</v>
      </c>
      <c r="AX192" s="78">
        <v>0</v>
      </c>
      <c r="AY192" s="78">
        <v>896.24</v>
      </c>
      <c r="AZ192" s="78">
        <v>49178.407077534801</v>
      </c>
      <c r="BA192" s="78">
        <v>3</v>
      </c>
      <c r="BB192" s="78">
        <v>4.08</v>
      </c>
      <c r="BC192" s="78">
        <v>2290</v>
      </c>
      <c r="BD192" s="78">
        <v>1</v>
      </c>
      <c r="BE192" s="78">
        <v>0</v>
      </c>
      <c r="BF192" s="78">
        <v>0</v>
      </c>
      <c r="BG192" s="78">
        <v>0</v>
      </c>
      <c r="BH192" s="78">
        <v>0</v>
      </c>
      <c r="BI192" s="78">
        <v>0</v>
      </c>
      <c r="BJ192" s="78">
        <v>0</v>
      </c>
      <c r="BK192" s="78">
        <v>0</v>
      </c>
      <c r="BL192" s="78">
        <v>0</v>
      </c>
      <c r="BM192" s="78">
        <v>333</v>
      </c>
      <c r="BN192" s="78">
        <v>153</v>
      </c>
      <c r="BO192" s="78">
        <v>40</v>
      </c>
      <c r="BP192" s="78">
        <v>5543.58</v>
      </c>
      <c r="BQ192" s="78">
        <v>1420.8</v>
      </c>
      <c r="BR192" s="78">
        <v>309.07478833490097</v>
      </c>
      <c r="BS192" s="78">
        <v>249</v>
      </c>
      <c r="BT192" s="78">
        <v>92.3333333333333</v>
      </c>
      <c r="BU192" s="78">
        <v>99.6666666666667</v>
      </c>
      <c r="BV192" s="78">
        <v>871.99999999999704</v>
      </c>
      <c r="BW192" s="78">
        <v>214</v>
      </c>
      <c r="BX192" s="78">
        <v>3505.1296265395299</v>
      </c>
      <c r="BY192" s="402">
        <v>0.77600000000000002</v>
      </c>
      <c r="BZ192" s="78">
        <v>16049</v>
      </c>
      <c r="CA192" s="78">
        <v>2048</v>
      </c>
      <c r="CB192" s="78">
        <v>469</v>
      </c>
      <c r="CC192" s="78">
        <v>434</v>
      </c>
      <c r="CD192" s="78">
        <v>524</v>
      </c>
      <c r="CE192" s="78">
        <v>244</v>
      </c>
      <c r="CF192" s="78">
        <v>246.90063973462901</v>
      </c>
      <c r="CG192" s="78">
        <v>211.23937922047199</v>
      </c>
      <c r="CH192" s="78">
        <v>68.594337163843093</v>
      </c>
      <c r="CI192" s="78">
        <v>579.14570000000003</v>
      </c>
      <c r="CJ192" s="78">
        <v>495.49639999999999</v>
      </c>
      <c r="CK192" s="78">
        <v>160.89920000000001</v>
      </c>
      <c r="CL192" s="78">
        <v>7938</v>
      </c>
    </row>
    <row r="193" spans="1:90" x14ac:dyDescent="0.35">
      <c r="A193" s="72">
        <v>613</v>
      </c>
      <c r="B193" s="72" t="s">
        <v>16</v>
      </c>
      <c r="C193" s="72">
        <v>8</v>
      </c>
      <c r="D193" s="78">
        <v>3106000000</v>
      </c>
      <c r="E193" s="78">
        <v>310450000</v>
      </c>
      <c r="F193" s="78">
        <v>345800000</v>
      </c>
      <c r="G193" s="78">
        <v>25934</v>
      </c>
      <c r="H193" s="78">
        <v>2</v>
      </c>
      <c r="I193" s="78">
        <v>345.8</v>
      </c>
      <c r="J193" s="78">
        <v>5564</v>
      </c>
      <c r="K193" s="78">
        <v>4669</v>
      </c>
      <c r="L193" s="78">
        <v>1497</v>
      </c>
      <c r="M193" s="78">
        <v>2263</v>
      </c>
      <c r="N193" s="78">
        <v>1164.3999999999999</v>
      </c>
      <c r="O193" s="78">
        <v>281</v>
      </c>
      <c r="P193" s="78">
        <v>12</v>
      </c>
      <c r="Q193" s="78">
        <v>1194</v>
      </c>
      <c r="R193" s="78">
        <v>2845</v>
      </c>
      <c r="S193" s="78">
        <v>2655</v>
      </c>
      <c r="T193" s="78">
        <v>0</v>
      </c>
      <c r="U193" s="78">
        <v>832</v>
      </c>
      <c r="V193" s="78">
        <v>11136</v>
      </c>
      <c r="W193" s="78">
        <v>17520</v>
      </c>
      <c r="X193" s="78">
        <v>2430</v>
      </c>
      <c r="Y193" s="78">
        <v>0</v>
      </c>
      <c r="Z193" s="78">
        <v>0</v>
      </c>
      <c r="AA193" s="78">
        <v>0</v>
      </c>
      <c r="AB193" s="399">
        <v>0</v>
      </c>
      <c r="AC193" s="399">
        <v>0</v>
      </c>
      <c r="AD193" s="78">
        <v>2165</v>
      </c>
      <c r="AE193" s="78">
        <v>2662.95</v>
      </c>
      <c r="AF193" s="78">
        <v>210</v>
      </c>
      <c r="AG193" s="78">
        <v>0</v>
      </c>
      <c r="AH193" s="78">
        <v>112</v>
      </c>
      <c r="AI193" s="78">
        <v>15</v>
      </c>
      <c r="AJ193" s="78">
        <v>143.36000000000001</v>
      </c>
      <c r="AK193" s="78">
        <v>17.850000000000001</v>
      </c>
      <c r="AL193" s="78">
        <v>127</v>
      </c>
      <c r="AM193" s="78">
        <v>10986</v>
      </c>
      <c r="AN193" s="78">
        <v>14062.08</v>
      </c>
      <c r="AO193" s="78">
        <v>0</v>
      </c>
      <c r="AP193" s="78">
        <v>0</v>
      </c>
      <c r="AQ193" s="78">
        <v>0</v>
      </c>
      <c r="AR193" s="78">
        <v>0</v>
      </c>
      <c r="AS193" s="78">
        <v>0</v>
      </c>
      <c r="AT193" s="78">
        <v>0</v>
      </c>
      <c r="AU193" s="400">
        <v>6.9413999999999996E-5</v>
      </c>
      <c r="AV193" s="400">
        <v>1.8736E-4</v>
      </c>
      <c r="AW193" s="78">
        <v>11469.384</v>
      </c>
      <c r="AX193" s="78">
        <v>0</v>
      </c>
      <c r="AY193" s="78">
        <v>1483.38</v>
      </c>
      <c r="AZ193" s="78">
        <v>28688.791376842099</v>
      </c>
      <c r="BA193" s="78">
        <v>2</v>
      </c>
      <c r="BB193" s="78">
        <v>2.38</v>
      </c>
      <c r="BC193" s="78">
        <v>2930</v>
      </c>
      <c r="BD193" s="78">
        <v>1</v>
      </c>
      <c r="BE193" s="78">
        <v>0</v>
      </c>
      <c r="BF193" s="78">
        <v>0</v>
      </c>
      <c r="BG193" s="78">
        <v>0</v>
      </c>
      <c r="BH193" s="78">
        <v>0</v>
      </c>
      <c r="BI193" s="78">
        <v>0</v>
      </c>
      <c r="BJ193" s="78">
        <v>0</v>
      </c>
      <c r="BK193" s="78">
        <v>0</v>
      </c>
      <c r="BL193" s="78">
        <v>0</v>
      </c>
      <c r="BM193" s="78">
        <v>433.99200000000002</v>
      </c>
      <c r="BN193" s="78">
        <v>39</v>
      </c>
      <c r="BO193" s="78">
        <v>41</v>
      </c>
      <c r="BP193" s="78">
        <v>8680.9699999999993</v>
      </c>
      <c r="BQ193" s="78">
        <v>2609.8200000000002</v>
      </c>
      <c r="BR193" s="78">
        <v>159.74360588497501</v>
      </c>
      <c r="BS193" s="78">
        <v>355</v>
      </c>
      <c r="BT193" s="78">
        <v>91.6666666666667</v>
      </c>
      <c r="BU193" s="78">
        <v>76.3333333333333</v>
      </c>
      <c r="BV193" s="78">
        <v>913</v>
      </c>
      <c r="BW193" s="78">
        <v>288</v>
      </c>
      <c r="BX193" s="78">
        <v>3477.4104315487698</v>
      </c>
      <c r="BY193" s="402">
        <v>0.66300000000000003</v>
      </c>
      <c r="BZ193" s="78">
        <v>21265</v>
      </c>
      <c r="CA193" s="78">
        <v>2696</v>
      </c>
      <c r="CB193" s="78">
        <v>476</v>
      </c>
      <c r="CC193" s="78">
        <v>533</v>
      </c>
      <c r="CD193" s="78">
        <v>532</v>
      </c>
      <c r="CE193" s="78">
        <v>267</v>
      </c>
      <c r="CF193" s="78">
        <v>176.79038776624799</v>
      </c>
      <c r="CG193" s="78">
        <v>113.30271254323701</v>
      </c>
      <c r="CH193" s="78">
        <v>38.792135445112002</v>
      </c>
      <c r="CI193" s="78">
        <v>484.22039999999998</v>
      </c>
      <c r="CJ193" s="78">
        <v>310.33069999999998</v>
      </c>
      <c r="CK193" s="78">
        <v>106.24979999999999</v>
      </c>
      <c r="CL193" s="78">
        <v>18434</v>
      </c>
    </row>
    <row r="194" spans="1:90" x14ac:dyDescent="0.35">
      <c r="A194" s="72">
        <v>484</v>
      </c>
      <c r="B194" s="72" t="s">
        <v>20</v>
      </c>
      <c r="C194" s="72">
        <v>8</v>
      </c>
      <c r="D194" s="78">
        <v>12342400000</v>
      </c>
      <c r="E194" s="78">
        <v>1605450000</v>
      </c>
      <c r="F194" s="78">
        <v>1671250000</v>
      </c>
      <c r="G194" s="78">
        <v>112926</v>
      </c>
      <c r="H194" s="78">
        <v>5</v>
      </c>
      <c r="I194" s="78">
        <v>1671.25</v>
      </c>
      <c r="J194" s="78">
        <v>22158</v>
      </c>
      <c r="K194" s="78">
        <v>22495</v>
      </c>
      <c r="L194" s="78">
        <v>7458</v>
      </c>
      <c r="M194" s="78">
        <v>13155</v>
      </c>
      <c r="N194" s="78">
        <v>8186.4</v>
      </c>
      <c r="O194" s="78">
        <v>1571</v>
      </c>
      <c r="P194" s="78">
        <v>126</v>
      </c>
      <c r="Q194" s="78">
        <v>6183</v>
      </c>
      <c r="R194" s="78">
        <v>16411</v>
      </c>
      <c r="S194" s="78">
        <v>7925</v>
      </c>
      <c r="T194" s="78">
        <v>0</v>
      </c>
      <c r="U194" s="78">
        <v>3558</v>
      </c>
      <c r="V194" s="78">
        <v>51041</v>
      </c>
      <c r="W194" s="78">
        <v>113460</v>
      </c>
      <c r="X194" s="78">
        <v>83460</v>
      </c>
      <c r="Y194" s="78">
        <v>2249.34</v>
      </c>
      <c r="Z194" s="78">
        <v>5041.6000000000004</v>
      </c>
      <c r="AA194" s="78">
        <v>0</v>
      </c>
      <c r="AB194" s="399">
        <v>0</v>
      </c>
      <c r="AC194" s="399">
        <v>0</v>
      </c>
      <c r="AD194" s="78">
        <v>12635</v>
      </c>
      <c r="AE194" s="78">
        <v>16678.2</v>
      </c>
      <c r="AF194" s="78">
        <v>615</v>
      </c>
      <c r="AG194" s="78">
        <v>0</v>
      </c>
      <c r="AH194" s="78">
        <v>524</v>
      </c>
      <c r="AI194" s="78">
        <v>86</v>
      </c>
      <c r="AJ194" s="78">
        <v>675.96</v>
      </c>
      <c r="AK194" s="78">
        <v>115.24</v>
      </c>
      <c r="AL194" s="78">
        <v>609</v>
      </c>
      <c r="AM194" s="78">
        <v>49686</v>
      </c>
      <c r="AN194" s="78">
        <v>64094.94</v>
      </c>
      <c r="AO194" s="78">
        <v>0</v>
      </c>
      <c r="AP194" s="78">
        <v>0</v>
      </c>
      <c r="AQ194" s="78">
        <v>0</v>
      </c>
      <c r="AR194" s="78">
        <v>0</v>
      </c>
      <c r="AS194" s="78">
        <v>3731</v>
      </c>
      <c r="AT194" s="78">
        <v>0</v>
      </c>
      <c r="AU194" s="400">
        <v>1.1199599999999999E-3</v>
      </c>
      <c r="AV194" s="400">
        <v>2.3711610000000001E-3</v>
      </c>
      <c r="AW194" s="78">
        <v>93608.423999999999</v>
      </c>
      <c r="AX194" s="78">
        <v>0</v>
      </c>
      <c r="AY194" s="78">
        <v>14970.12</v>
      </c>
      <c r="AZ194" s="78">
        <v>321265.86205584899</v>
      </c>
      <c r="BA194" s="78">
        <v>12</v>
      </c>
      <c r="BB194" s="78">
        <v>16.079999999999998</v>
      </c>
      <c r="BC194" s="78">
        <v>13645</v>
      </c>
      <c r="BD194" s="78">
        <v>1</v>
      </c>
      <c r="BE194" s="78">
        <v>0</v>
      </c>
      <c r="BF194" s="78">
        <v>0</v>
      </c>
      <c r="BG194" s="78">
        <v>0</v>
      </c>
      <c r="BH194" s="78">
        <v>0</v>
      </c>
      <c r="BI194" s="78">
        <v>0</v>
      </c>
      <c r="BJ194" s="78">
        <v>0</v>
      </c>
      <c r="BK194" s="78">
        <v>0</v>
      </c>
      <c r="BL194" s="78">
        <v>0</v>
      </c>
      <c r="BM194" s="78">
        <v>2038.5360000000001</v>
      </c>
      <c r="BN194" s="78">
        <v>382</v>
      </c>
      <c r="BO194" s="78">
        <v>318</v>
      </c>
      <c r="BP194" s="78">
        <v>35577.360000000001</v>
      </c>
      <c r="BQ194" s="78">
        <v>8538.06</v>
      </c>
      <c r="BR194" s="78">
        <v>1084.0428633910799</v>
      </c>
      <c r="BS194" s="78">
        <v>1422</v>
      </c>
      <c r="BT194" s="78">
        <v>460.33333333333297</v>
      </c>
      <c r="BU194" s="78">
        <v>389.66666666666703</v>
      </c>
      <c r="BV194" s="78">
        <v>4612</v>
      </c>
      <c r="BW194" s="78">
        <v>1469</v>
      </c>
      <c r="BX194" s="78">
        <v>17700.696888273102</v>
      </c>
      <c r="BY194" s="402">
        <v>2.415</v>
      </c>
      <c r="BZ194" s="78">
        <v>90431</v>
      </c>
      <c r="CA194" s="78">
        <v>12813</v>
      </c>
      <c r="CB194" s="78">
        <v>2224</v>
      </c>
      <c r="CC194" s="78">
        <v>2591</v>
      </c>
      <c r="CD194" s="78">
        <v>2421</v>
      </c>
      <c r="CE194" s="78">
        <v>1159</v>
      </c>
      <c r="CF194" s="78">
        <v>1304.2616109165599</v>
      </c>
      <c r="CG194" s="78">
        <v>859.07276898925204</v>
      </c>
      <c r="CH194" s="78">
        <v>271.19942035986003</v>
      </c>
      <c r="CI194" s="78">
        <v>3170.3580000000002</v>
      </c>
      <c r="CJ194" s="78">
        <v>2088.2069999999999</v>
      </c>
      <c r="CK194" s="78">
        <v>659.22299999999996</v>
      </c>
      <c r="CL194" s="78">
        <v>259444</v>
      </c>
    </row>
    <row r="195" spans="1:90" x14ac:dyDescent="0.35">
      <c r="A195" s="72">
        <v>489</v>
      </c>
      <c r="B195" s="72" t="s">
        <v>34</v>
      </c>
      <c r="C195" s="72">
        <v>8</v>
      </c>
      <c r="D195" s="78">
        <v>5785200000</v>
      </c>
      <c r="E195" s="78">
        <v>783650000</v>
      </c>
      <c r="F195" s="78">
        <v>786450000</v>
      </c>
      <c r="G195" s="78">
        <v>48714</v>
      </c>
      <c r="H195" s="78">
        <v>1</v>
      </c>
      <c r="I195" s="78">
        <v>786.45</v>
      </c>
      <c r="J195" s="78">
        <v>10514</v>
      </c>
      <c r="K195" s="78">
        <v>8990</v>
      </c>
      <c r="L195" s="78">
        <v>3022</v>
      </c>
      <c r="M195" s="78">
        <v>3873</v>
      </c>
      <c r="N195" s="78">
        <v>1900.1</v>
      </c>
      <c r="O195" s="78">
        <v>498.33333333333297</v>
      </c>
      <c r="P195" s="78">
        <v>43</v>
      </c>
      <c r="Q195" s="78">
        <v>2043.3333333333301</v>
      </c>
      <c r="R195" s="78">
        <v>5073</v>
      </c>
      <c r="S195" s="78">
        <v>6325</v>
      </c>
      <c r="T195" s="78">
        <v>0</v>
      </c>
      <c r="U195" s="78">
        <v>1577</v>
      </c>
      <c r="V195" s="78">
        <v>19965</v>
      </c>
      <c r="W195" s="78">
        <v>45850</v>
      </c>
      <c r="X195" s="78">
        <v>18890</v>
      </c>
      <c r="Y195" s="78">
        <v>1984.96</v>
      </c>
      <c r="Z195" s="78">
        <v>3540.8</v>
      </c>
      <c r="AA195" s="78">
        <v>0</v>
      </c>
      <c r="AB195" s="399">
        <v>0</v>
      </c>
      <c r="AC195" s="399">
        <v>421.99999999999955</v>
      </c>
      <c r="AD195" s="78">
        <v>1947</v>
      </c>
      <c r="AE195" s="78">
        <v>2608.98</v>
      </c>
      <c r="AF195" s="78">
        <v>226</v>
      </c>
      <c r="AG195" s="78">
        <v>0</v>
      </c>
      <c r="AH195" s="78">
        <v>230</v>
      </c>
      <c r="AI195" s="78">
        <v>4</v>
      </c>
      <c r="AJ195" s="78">
        <v>315.10000000000002</v>
      </c>
      <c r="AK195" s="78">
        <v>5.04</v>
      </c>
      <c r="AL195" s="78">
        <v>234</v>
      </c>
      <c r="AM195" s="78">
        <v>19729</v>
      </c>
      <c r="AN195" s="78">
        <v>27028.73</v>
      </c>
      <c r="AO195" s="78">
        <v>0</v>
      </c>
      <c r="AP195" s="78">
        <v>0</v>
      </c>
      <c r="AQ195" s="78">
        <v>0</v>
      </c>
      <c r="AR195" s="78">
        <v>0</v>
      </c>
      <c r="AS195" s="78">
        <v>716</v>
      </c>
      <c r="AT195" s="78">
        <v>0</v>
      </c>
      <c r="AU195" s="400">
        <v>1.07892E-4</v>
      </c>
      <c r="AV195" s="400">
        <v>1.4540199999999999E-4</v>
      </c>
      <c r="AW195" s="78">
        <v>33144.720000000001</v>
      </c>
      <c r="AX195" s="78">
        <v>0</v>
      </c>
      <c r="AY195" s="78">
        <v>2887.7</v>
      </c>
      <c r="AZ195" s="78">
        <v>166511.31186378299</v>
      </c>
      <c r="BA195" s="78">
        <v>4</v>
      </c>
      <c r="BB195" s="78">
        <v>5.04</v>
      </c>
      <c r="BC195" s="78">
        <v>6225</v>
      </c>
      <c r="BD195" s="78">
        <v>1</v>
      </c>
      <c r="BE195" s="78">
        <v>0</v>
      </c>
      <c r="BF195" s="78">
        <v>0</v>
      </c>
      <c r="BG195" s="78">
        <v>0</v>
      </c>
      <c r="BH195" s="78">
        <v>0</v>
      </c>
      <c r="BI195" s="78">
        <v>0</v>
      </c>
      <c r="BJ195" s="78">
        <v>0</v>
      </c>
      <c r="BK195" s="78">
        <v>0</v>
      </c>
      <c r="BL195" s="78">
        <v>0</v>
      </c>
      <c r="BM195" s="78">
        <v>778.03599999999994</v>
      </c>
      <c r="BN195" s="78">
        <v>106</v>
      </c>
      <c r="BO195" s="78">
        <v>88</v>
      </c>
      <c r="BP195" s="78">
        <v>16377.48</v>
      </c>
      <c r="BQ195" s="78">
        <v>4611.3599999999997</v>
      </c>
      <c r="BR195" s="78">
        <v>306.74625670945198</v>
      </c>
      <c r="BS195" s="78">
        <v>681</v>
      </c>
      <c r="BT195" s="78">
        <v>176.666666666667</v>
      </c>
      <c r="BU195" s="78">
        <v>144.666666666667</v>
      </c>
      <c r="BV195" s="78">
        <v>1544.999999999997</v>
      </c>
      <c r="BW195" s="78">
        <v>383</v>
      </c>
      <c r="BX195" s="78">
        <v>6178.8455843595202</v>
      </c>
      <c r="BY195" s="402">
        <v>0.47899999999999998</v>
      </c>
      <c r="BZ195" s="78">
        <v>39724</v>
      </c>
      <c r="CA195" s="78">
        <v>4999</v>
      </c>
      <c r="CB195" s="78">
        <v>969</v>
      </c>
      <c r="CC195" s="78">
        <v>932</v>
      </c>
      <c r="CD195" s="78">
        <v>945</v>
      </c>
      <c r="CE195" s="78">
        <v>501</v>
      </c>
      <c r="CF195" s="78">
        <v>293.45657154442699</v>
      </c>
      <c r="CG195" s="78">
        <v>198.39860104414799</v>
      </c>
      <c r="CH195" s="78">
        <v>71.076780374068605</v>
      </c>
      <c r="CI195" s="78">
        <v>954.32039999999995</v>
      </c>
      <c r="CJ195" s="78">
        <v>645.19200000000001</v>
      </c>
      <c r="CK195" s="78">
        <v>231.14160000000001</v>
      </c>
      <c r="CL195" s="78">
        <v>27342</v>
      </c>
    </row>
    <row r="196" spans="1:90" x14ac:dyDescent="0.35">
      <c r="A196" s="72">
        <v>1901</v>
      </c>
      <c r="B196" s="72" t="s">
        <v>53</v>
      </c>
      <c r="C196" s="72">
        <v>8</v>
      </c>
      <c r="D196" s="78">
        <v>4617600000</v>
      </c>
      <c r="E196" s="78">
        <v>485800000</v>
      </c>
      <c r="F196" s="78">
        <v>508550000</v>
      </c>
      <c r="G196" s="78">
        <v>35752</v>
      </c>
      <c r="H196" s="78">
        <v>6</v>
      </c>
      <c r="I196" s="78">
        <v>508.55</v>
      </c>
      <c r="J196" s="78">
        <v>7595</v>
      </c>
      <c r="K196" s="78">
        <v>7391</v>
      </c>
      <c r="L196" s="78">
        <v>2593</v>
      </c>
      <c r="M196" s="78">
        <v>3428</v>
      </c>
      <c r="N196" s="78">
        <v>1889.8999999999999</v>
      </c>
      <c r="O196" s="78">
        <v>305.33333333333297</v>
      </c>
      <c r="P196" s="78">
        <v>46</v>
      </c>
      <c r="Q196" s="78">
        <v>1384.3333333333301</v>
      </c>
      <c r="R196" s="78">
        <v>4327</v>
      </c>
      <c r="S196" s="78">
        <v>1675</v>
      </c>
      <c r="T196" s="78">
        <v>0</v>
      </c>
      <c r="U196" s="78">
        <v>913</v>
      </c>
      <c r="V196" s="78">
        <v>15080</v>
      </c>
      <c r="W196" s="78">
        <v>28380</v>
      </c>
      <c r="X196" s="78">
        <v>4570</v>
      </c>
      <c r="Y196" s="78">
        <v>0</v>
      </c>
      <c r="Z196" s="78">
        <v>0</v>
      </c>
      <c r="AA196" s="78">
        <v>0</v>
      </c>
      <c r="AB196" s="399">
        <v>0</v>
      </c>
      <c r="AC196" s="399">
        <v>0</v>
      </c>
      <c r="AD196" s="78">
        <v>7567</v>
      </c>
      <c r="AE196" s="78">
        <v>11501.84</v>
      </c>
      <c r="AF196" s="78">
        <v>1297</v>
      </c>
      <c r="AG196" s="78">
        <v>0</v>
      </c>
      <c r="AH196" s="78">
        <v>191</v>
      </c>
      <c r="AI196" s="78">
        <v>48</v>
      </c>
      <c r="AJ196" s="78">
        <v>263.58</v>
      </c>
      <c r="AK196" s="78">
        <v>74.88</v>
      </c>
      <c r="AL196" s="78">
        <v>240</v>
      </c>
      <c r="AM196" s="78">
        <v>15381</v>
      </c>
      <c r="AN196" s="78">
        <v>21225.78</v>
      </c>
      <c r="AO196" s="78">
        <v>0</v>
      </c>
      <c r="AP196" s="78">
        <v>0</v>
      </c>
      <c r="AQ196" s="78">
        <v>0</v>
      </c>
      <c r="AR196" s="78">
        <v>0</v>
      </c>
      <c r="AS196" s="78">
        <v>870</v>
      </c>
      <c r="AT196" s="78">
        <v>0</v>
      </c>
      <c r="AU196" s="400">
        <v>3.8592299999999998E-4</v>
      </c>
      <c r="AV196" s="400">
        <v>2.3670000000000001E-4</v>
      </c>
      <c r="AW196" s="78">
        <v>17688.150000000001</v>
      </c>
      <c r="AX196" s="78">
        <v>0</v>
      </c>
      <c r="AY196" s="78">
        <v>13991.6</v>
      </c>
      <c r="AZ196" s="78">
        <v>158057.075162455</v>
      </c>
      <c r="BA196" s="78">
        <v>19</v>
      </c>
      <c r="BB196" s="78">
        <v>29.64</v>
      </c>
      <c r="BC196" s="78">
        <v>5325</v>
      </c>
      <c r="BD196" s="78">
        <v>1</v>
      </c>
      <c r="BE196" s="78">
        <v>0</v>
      </c>
      <c r="BF196" s="78">
        <v>0</v>
      </c>
      <c r="BG196" s="78">
        <v>0</v>
      </c>
      <c r="BH196" s="78">
        <v>0</v>
      </c>
      <c r="BI196" s="78">
        <v>0</v>
      </c>
      <c r="BJ196" s="78">
        <v>0</v>
      </c>
      <c r="BK196" s="78">
        <v>0</v>
      </c>
      <c r="BL196" s="78">
        <v>0</v>
      </c>
      <c r="BM196" s="78">
        <v>600.005</v>
      </c>
      <c r="BN196" s="78">
        <v>123</v>
      </c>
      <c r="BO196" s="78">
        <v>75</v>
      </c>
      <c r="BP196" s="78">
        <v>12434.52</v>
      </c>
      <c r="BQ196" s="78">
        <v>3053.82</v>
      </c>
      <c r="BR196" s="78">
        <v>259.60453867991498</v>
      </c>
      <c r="BS196" s="78">
        <v>363</v>
      </c>
      <c r="BT196" s="78">
        <v>106.333333333333</v>
      </c>
      <c r="BU196" s="78">
        <v>77</v>
      </c>
      <c r="BV196" s="78">
        <v>1078.999999999997</v>
      </c>
      <c r="BW196" s="78">
        <v>330</v>
      </c>
      <c r="BX196" s="78">
        <v>4678.6698021429802</v>
      </c>
      <c r="BY196" s="402">
        <v>0.17499999999999999</v>
      </c>
      <c r="BZ196" s="78">
        <v>28361</v>
      </c>
      <c r="CA196" s="78">
        <v>4003</v>
      </c>
      <c r="CB196" s="78">
        <v>795</v>
      </c>
      <c r="CC196" s="78">
        <v>759</v>
      </c>
      <c r="CD196" s="78">
        <v>797</v>
      </c>
      <c r="CE196" s="78">
        <v>413</v>
      </c>
      <c r="CF196" s="78">
        <v>299.68572264482202</v>
      </c>
      <c r="CG196" s="78">
        <v>220.555913139588</v>
      </c>
      <c r="CH196" s="78">
        <v>73.969169754892405</v>
      </c>
      <c r="CI196" s="78">
        <v>763.89480000000003</v>
      </c>
      <c r="CJ196" s="78">
        <v>562.19399999999996</v>
      </c>
      <c r="CK196" s="78">
        <v>188.54640000000001</v>
      </c>
      <c r="CL196" s="78">
        <v>30295</v>
      </c>
    </row>
    <row r="197" spans="1:90" x14ac:dyDescent="0.35">
      <c r="A197" s="72">
        <v>501</v>
      </c>
      <c r="B197" s="72" t="s">
        <v>61</v>
      </c>
      <c r="C197" s="72">
        <v>8</v>
      </c>
      <c r="D197" s="78">
        <v>2007200000</v>
      </c>
      <c r="E197" s="78">
        <v>231700000</v>
      </c>
      <c r="F197" s="78">
        <v>242200000</v>
      </c>
      <c r="G197" s="78">
        <v>17704</v>
      </c>
      <c r="H197" s="78">
        <v>3</v>
      </c>
      <c r="I197" s="78">
        <v>242.2</v>
      </c>
      <c r="J197" s="78">
        <v>3042</v>
      </c>
      <c r="K197" s="78">
        <v>4086</v>
      </c>
      <c r="L197" s="78">
        <v>1396</v>
      </c>
      <c r="M197" s="78">
        <v>1845</v>
      </c>
      <c r="N197" s="78">
        <v>1009.6999999999999</v>
      </c>
      <c r="O197" s="78">
        <v>197</v>
      </c>
      <c r="P197" s="78">
        <v>14</v>
      </c>
      <c r="Q197" s="78">
        <v>798</v>
      </c>
      <c r="R197" s="78">
        <v>2629</v>
      </c>
      <c r="S197" s="78">
        <v>615</v>
      </c>
      <c r="T197" s="78">
        <v>0</v>
      </c>
      <c r="U197" s="78">
        <v>586</v>
      </c>
      <c r="V197" s="78">
        <v>8273</v>
      </c>
      <c r="W197" s="78">
        <v>14490</v>
      </c>
      <c r="X197" s="78">
        <v>2230</v>
      </c>
      <c r="Y197" s="78">
        <v>612.54</v>
      </c>
      <c r="Z197" s="78">
        <v>1324.8</v>
      </c>
      <c r="AA197" s="78">
        <v>0</v>
      </c>
      <c r="AB197" s="399">
        <v>0</v>
      </c>
      <c r="AC197" s="399">
        <v>0</v>
      </c>
      <c r="AD197" s="78">
        <v>2756</v>
      </c>
      <c r="AE197" s="78">
        <v>3224.52</v>
      </c>
      <c r="AF197" s="78">
        <v>359</v>
      </c>
      <c r="AG197" s="78">
        <v>0</v>
      </c>
      <c r="AH197" s="78">
        <v>72</v>
      </c>
      <c r="AI197" s="78">
        <v>20</v>
      </c>
      <c r="AJ197" s="78">
        <v>87.84</v>
      </c>
      <c r="AK197" s="78">
        <v>23.2</v>
      </c>
      <c r="AL197" s="78">
        <v>92</v>
      </c>
      <c r="AM197" s="78">
        <v>8353</v>
      </c>
      <c r="AN197" s="78">
        <v>10190.66</v>
      </c>
      <c r="AO197" s="78">
        <v>26</v>
      </c>
      <c r="AP197" s="78">
        <v>0</v>
      </c>
      <c r="AQ197" s="78">
        <v>0</v>
      </c>
      <c r="AR197" s="78">
        <v>5800</v>
      </c>
      <c r="AS197" s="78">
        <v>870</v>
      </c>
      <c r="AT197" s="78">
        <v>870</v>
      </c>
      <c r="AU197" s="400">
        <v>3.4786700000000002E-4</v>
      </c>
      <c r="AV197" s="400">
        <v>1.5063399999999999E-4</v>
      </c>
      <c r="AW197" s="78">
        <v>7609.5829999999996</v>
      </c>
      <c r="AX197" s="78">
        <v>0</v>
      </c>
      <c r="AY197" s="78">
        <v>1876.68</v>
      </c>
      <c r="AZ197" s="78">
        <v>19124.412096308199</v>
      </c>
      <c r="BA197" s="78">
        <v>3</v>
      </c>
      <c r="BB197" s="78">
        <v>3.48</v>
      </c>
      <c r="BC197" s="78">
        <v>2150</v>
      </c>
      <c r="BD197" s="78">
        <v>1</v>
      </c>
      <c r="BE197" s="78">
        <v>0</v>
      </c>
      <c r="BF197" s="78">
        <v>0</v>
      </c>
      <c r="BG197" s="78">
        <v>0</v>
      </c>
      <c r="BH197" s="78">
        <v>0</v>
      </c>
      <c r="BI197" s="78">
        <v>0</v>
      </c>
      <c r="BJ197" s="78">
        <v>0</v>
      </c>
      <c r="BK197" s="78">
        <v>0</v>
      </c>
      <c r="BL197" s="78">
        <v>0</v>
      </c>
      <c r="BM197" s="78">
        <v>301.15800000000002</v>
      </c>
      <c r="BN197" s="78">
        <v>27</v>
      </c>
      <c r="BO197" s="78">
        <v>14</v>
      </c>
      <c r="BP197" s="78">
        <v>6297.88</v>
      </c>
      <c r="BQ197" s="78">
        <v>1331.26</v>
      </c>
      <c r="BR197" s="78">
        <v>91.886460111317305</v>
      </c>
      <c r="BS197" s="78">
        <v>204</v>
      </c>
      <c r="BT197" s="78">
        <v>63.6666666666667</v>
      </c>
      <c r="BU197" s="78">
        <v>55</v>
      </c>
      <c r="BV197" s="78">
        <v>601</v>
      </c>
      <c r="BW197" s="78">
        <v>194</v>
      </c>
      <c r="BX197" s="78">
        <v>2811.4021033316099</v>
      </c>
      <c r="BY197" s="402">
        <v>0.26700000000000002</v>
      </c>
      <c r="BZ197" s="78">
        <v>13618</v>
      </c>
      <c r="CA197" s="78">
        <v>2255</v>
      </c>
      <c r="CB197" s="78">
        <v>435</v>
      </c>
      <c r="CC197" s="78">
        <v>462</v>
      </c>
      <c r="CD197" s="78">
        <v>473</v>
      </c>
      <c r="CE197" s="78">
        <v>221</v>
      </c>
      <c r="CF197" s="78">
        <v>166.32912725966699</v>
      </c>
      <c r="CG197" s="78">
        <v>118.82378786064901</v>
      </c>
      <c r="CH197" s="78">
        <v>37.5932838501137</v>
      </c>
      <c r="CI197" s="78">
        <v>477.05919999999998</v>
      </c>
      <c r="CJ197" s="78">
        <v>340.80610000000001</v>
      </c>
      <c r="CK197" s="78">
        <v>107.8237</v>
      </c>
      <c r="CL197" s="78">
        <v>29973</v>
      </c>
    </row>
    <row r="198" spans="1:90" x14ac:dyDescent="0.35">
      <c r="A198" s="72">
        <v>502</v>
      </c>
      <c r="B198" s="72" t="s">
        <v>68</v>
      </c>
      <c r="C198" s="72">
        <v>8</v>
      </c>
      <c r="D198" s="78">
        <v>6722800000</v>
      </c>
      <c r="E198" s="78">
        <v>751450000</v>
      </c>
      <c r="F198" s="78">
        <v>778050000</v>
      </c>
      <c r="G198" s="78">
        <v>67188</v>
      </c>
      <c r="H198" s="78">
        <v>1</v>
      </c>
      <c r="I198" s="78">
        <v>778.05</v>
      </c>
      <c r="J198" s="78">
        <v>12826</v>
      </c>
      <c r="K198" s="78">
        <v>14387</v>
      </c>
      <c r="L198" s="78">
        <v>4508</v>
      </c>
      <c r="M198" s="78">
        <v>10232</v>
      </c>
      <c r="N198" s="78">
        <v>7035.5</v>
      </c>
      <c r="O198" s="78">
        <v>1829.6666666666699</v>
      </c>
      <c r="P198" s="78">
        <v>91</v>
      </c>
      <c r="Q198" s="78">
        <v>4635.6666666666697</v>
      </c>
      <c r="R198" s="78">
        <v>12355</v>
      </c>
      <c r="S198" s="78">
        <v>10405</v>
      </c>
      <c r="T198" s="78">
        <v>0</v>
      </c>
      <c r="U198" s="78">
        <v>3420</v>
      </c>
      <c r="V198" s="78">
        <v>32194</v>
      </c>
      <c r="W198" s="78">
        <v>66770</v>
      </c>
      <c r="X198" s="78">
        <v>33680</v>
      </c>
      <c r="Y198" s="78">
        <v>1698.12</v>
      </c>
      <c r="Z198" s="78">
        <v>2034.4</v>
      </c>
      <c r="AA198" s="78">
        <v>0</v>
      </c>
      <c r="AB198" s="399">
        <v>0</v>
      </c>
      <c r="AC198" s="399">
        <v>0</v>
      </c>
      <c r="AD198" s="78">
        <v>1422</v>
      </c>
      <c r="AE198" s="78">
        <v>2047.68</v>
      </c>
      <c r="AF198" s="78">
        <v>118</v>
      </c>
      <c r="AG198" s="78">
        <v>0</v>
      </c>
      <c r="AH198" s="78">
        <v>227</v>
      </c>
      <c r="AI198" s="78">
        <v>3</v>
      </c>
      <c r="AJ198" s="78">
        <v>326.88</v>
      </c>
      <c r="AK198" s="78">
        <v>4.05</v>
      </c>
      <c r="AL198" s="78">
        <v>231</v>
      </c>
      <c r="AM198" s="78">
        <v>31965</v>
      </c>
      <c r="AN198" s="78">
        <v>46029.599999999999</v>
      </c>
      <c r="AO198" s="78">
        <v>0</v>
      </c>
      <c r="AP198" s="78">
        <v>0</v>
      </c>
      <c r="AQ198" s="78">
        <v>0</v>
      </c>
      <c r="AR198" s="78">
        <v>0</v>
      </c>
      <c r="AS198" s="78">
        <v>841</v>
      </c>
      <c r="AT198" s="78">
        <v>0</v>
      </c>
      <c r="AU198" s="400">
        <v>2.5181200000000002E-4</v>
      </c>
      <c r="AV198" s="400">
        <v>3.1328100000000002E-3</v>
      </c>
      <c r="AW198" s="78">
        <v>74286.66</v>
      </c>
      <c r="AX198" s="78">
        <v>0</v>
      </c>
      <c r="AY198" s="78">
        <v>3003.84</v>
      </c>
      <c r="AZ198" s="78">
        <v>384741.17485714302</v>
      </c>
      <c r="BA198" s="78">
        <v>1</v>
      </c>
      <c r="BB198" s="78">
        <v>1.35</v>
      </c>
      <c r="BC198" s="78">
        <v>8120</v>
      </c>
      <c r="BD198" s="78">
        <v>1</v>
      </c>
      <c r="BE198" s="78">
        <v>0</v>
      </c>
      <c r="BF198" s="78">
        <v>0</v>
      </c>
      <c r="BG198" s="78">
        <v>0</v>
      </c>
      <c r="BH198" s="78">
        <v>0</v>
      </c>
      <c r="BI198" s="78">
        <v>0</v>
      </c>
      <c r="BJ198" s="78">
        <v>0</v>
      </c>
      <c r="BK198" s="78">
        <v>0</v>
      </c>
      <c r="BL198" s="78">
        <v>0</v>
      </c>
      <c r="BM198" s="78">
        <v>2334.3319999999999</v>
      </c>
      <c r="BN198" s="78">
        <v>250</v>
      </c>
      <c r="BO198" s="78">
        <v>206</v>
      </c>
      <c r="BP198" s="78">
        <v>21142.52</v>
      </c>
      <c r="BQ198" s="78">
        <v>4468.34</v>
      </c>
      <c r="BR198" s="78">
        <v>363.60342441970198</v>
      </c>
      <c r="BS198" s="78">
        <v>1484</v>
      </c>
      <c r="BT198" s="78">
        <v>610.33333333333303</v>
      </c>
      <c r="BU198" s="78">
        <v>633.66666666666697</v>
      </c>
      <c r="BV198" s="78">
        <v>2806</v>
      </c>
      <c r="BW198" s="78">
        <v>753</v>
      </c>
      <c r="BX198" s="78">
        <v>12295.7463325361</v>
      </c>
      <c r="BY198" s="402">
        <v>4.8029999999999999</v>
      </c>
      <c r="BZ198" s="78">
        <v>52801</v>
      </c>
      <c r="CA198" s="78">
        <v>8306</v>
      </c>
      <c r="CB198" s="78">
        <v>1573</v>
      </c>
      <c r="CC198" s="78">
        <v>2341</v>
      </c>
      <c r="CD198" s="78">
        <v>1713</v>
      </c>
      <c r="CE198" s="78">
        <v>856</v>
      </c>
      <c r="CF198" s="78">
        <v>1205.2681995933101</v>
      </c>
      <c r="CG198" s="78">
        <v>732.27306428906604</v>
      </c>
      <c r="CH198" s="78">
        <v>256.856827780385</v>
      </c>
      <c r="CI198" s="78">
        <v>2437.9151999999999</v>
      </c>
      <c r="CJ198" s="78">
        <v>1481.1804</v>
      </c>
      <c r="CK198" s="78">
        <v>519.54840000000002</v>
      </c>
      <c r="CL198" s="78">
        <v>45774</v>
      </c>
    </row>
    <row r="199" spans="1:90" x14ac:dyDescent="0.35">
      <c r="A199" s="72">
        <v>503</v>
      </c>
      <c r="B199" s="72" t="s">
        <v>80</v>
      </c>
      <c r="C199" s="72">
        <v>8</v>
      </c>
      <c r="D199" s="78">
        <v>12039600000</v>
      </c>
      <c r="E199" s="78">
        <v>1812300000</v>
      </c>
      <c r="F199" s="78">
        <v>1862350000</v>
      </c>
      <c r="G199" s="78">
        <v>104572</v>
      </c>
      <c r="H199" s="78">
        <v>1</v>
      </c>
      <c r="I199" s="78">
        <v>1862.35</v>
      </c>
      <c r="J199" s="78">
        <v>15366</v>
      </c>
      <c r="K199" s="78">
        <v>17093</v>
      </c>
      <c r="L199" s="78">
        <v>5411</v>
      </c>
      <c r="M199" s="78">
        <v>15451</v>
      </c>
      <c r="N199" s="78">
        <v>9859.7000000000007</v>
      </c>
      <c r="O199" s="78">
        <v>2956.6666666666702</v>
      </c>
      <c r="P199" s="78">
        <v>192</v>
      </c>
      <c r="Q199" s="78">
        <v>7302.6666666666697</v>
      </c>
      <c r="R199" s="78">
        <v>33810</v>
      </c>
      <c r="S199" s="78">
        <v>9990</v>
      </c>
      <c r="T199" s="78">
        <v>0</v>
      </c>
      <c r="U199" s="78">
        <v>3503</v>
      </c>
      <c r="V199" s="78">
        <v>60406</v>
      </c>
      <c r="W199" s="78">
        <v>109220</v>
      </c>
      <c r="X199" s="78">
        <v>89240</v>
      </c>
      <c r="Y199" s="78">
        <v>2527.3200000000002</v>
      </c>
      <c r="Z199" s="78">
        <v>5515.2</v>
      </c>
      <c r="AA199" s="78">
        <v>0</v>
      </c>
      <c r="AB199" s="399">
        <v>0</v>
      </c>
      <c r="AC199" s="399">
        <v>0</v>
      </c>
      <c r="AD199" s="78">
        <v>2268</v>
      </c>
      <c r="AE199" s="78">
        <v>2880.36</v>
      </c>
      <c r="AF199" s="78">
        <v>139</v>
      </c>
      <c r="AG199" s="78">
        <v>0</v>
      </c>
      <c r="AH199" s="78">
        <v>341</v>
      </c>
      <c r="AI199" s="78">
        <v>13</v>
      </c>
      <c r="AJ199" s="78">
        <v>429.66</v>
      </c>
      <c r="AK199" s="78">
        <v>17.29</v>
      </c>
      <c r="AL199" s="78">
        <v>354</v>
      </c>
      <c r="AM199" s="78">
        <v>55913</v>
      </c>
      <c r="AN199" s="78">
        <v>70450.38</v>
      </c>
      <c r="AO199" s="78">
        <v>0</v>
      </c>
      <c r="AP199" s="78">
        <v>0</v>
      </c>
      <c r="AQ199" s="78">
        <v>85</v>
      </c>
      <c r="AR199" s="78">
        <v>18100</v>
      </c>
      <c r="AS199" s="78">
        <v>11645</v>
      </c>
      <c r="AT199" s="78">
        <v>11645</v>
      </c>
      <c r="AU199" s="400">
        <v>6.998074E-3</v>
      </c>
      <c r="AV199" s="400">
        <v>9.5393400000000003E-3</v>
      </c>
      <c r="AW199" s="78">
        <v>201622.27799999999</v>
      </c>
      <c r="AX199" s="78">
        <v>11518.078</v>
      </c>
      <c r="AY199" s="78">
        <v>3423.92</v>
      </c>
      <c r="AZ199" s="78">
        <v>303794.04181138298</v>
      </c>
      <c r="BA199" s="78">
        <v>1</v>
      </c>
      <c r="BB199" s="78">
        <v>1.33</v>
      </c>
      <c r="BC199" s="78">
        <v>11870</v>
      </c>
      <c r="BD199" s="78">
        <v>1</v>
      </c>
      <c r="BE199" s="78">
        <v>0</v>
      </c>
      <c r="BF199" s="78">
        <v>0</v>
      </c>
      <c r="BG199" s="78">
        <v>0</v>
      </c>
      <c r="BH199" s="78">
        <v>0</v>
      </c>
      <c r="BI199" s="78">
        <v>0</v>
      </c>
      <c r="BJ199" s="78">
        <v>0</v>
      </c>
      <c r="BK199" s="78">
        <v>0</v>
      </c>
      <c r="BL199" s="78">
        <v>0</v>
      </c>
      <c r="BM199" s="78">
        <v>2796.6120000000001</v>
      </c>
      <c r="BN199" s="78">
        <v>260</v>
      </c>
      <c r="BO199" s="78">
        <v>261</v>
      </c>
      <c r="BP199" s="78">
        <v>29666</v>
      </c>
      <c r="BQ199" s="78">
        <v>5616</v>
      </c>
      <c r="BR199" s="78">
        <v>661.20806883085197</v>
      </c>
      <c r="BS199" s="78">
        <v>1358</v>
      </c>
      <c r="BT199" s="78">
        <v>768.66666666666697</v>
      </c>
      <c r="BU199" s="78">
        <v>789.33333333333303</v>
      </c>
      <c r="BV199" s="78">
        <v>4346</v>
      </c>
      <c r="BW199" s="78">
        <v>1257</v>
      </c>
      <c r="BX199" s="78">
        <v>13413.395045037199</v>
      </c>
      <c r="BY199" s="402">
        <v>7.048</v>
      </c>
      <c r="BZ199" s="78">
        <v>87479</v>
      </c>
      <c r="CA199" s="78">
        <v>9749</v>
      </c>
      <c r="CB199" s="78">
        <v>1933</v>
      </c>
      <c r="CC199" s="78">
        <v>3289</v>
      </c>
      <c r="CD199" s="78">
        <v>2179</v>
      </c>
      <c r="CE199" s="78">
        <v>1080</v>
      </c>
      <c r="CF199" s="78">
        <v>1187.8264303471501</v>
      </c>
      <c r="CG199" s="78">
        <v>699.71723212848497</v>
      </c>
      <c r="CH199" s="78">
        <v>254.28232074830501</v>
      </c>
      <c r="CI199" s="78">
        <v>3272.3488000000002</v>
      </c>
      <c r="CJ199" s="78">
        <v>1927.6543999999999</v>
      </c>
      <c r="CK199" s="78">
        <v>700.52359999999999</v>
      </c>
      <c r="CL199" s="78">
        <v>104807</v>
      </c>
    </row>
    <row r="200" spans="1:90" x14ac:dyDescent="0.35">
      <c r="A200" s="72">
        <v>505</v>
      </c>
      <c r="B200" s="72" t="s">
        <v>90</v>
      </c>
      <c r="C200" s="72">
        <v>8</v>
      </c>
      <c r="D200" s="78">
        <v>10987600000</v>
      </c>
      <c r="E200" s="78">
        <v>2013900000</v>
      </c>
      <c r="F200" s="78">
        <v>2034200000</v>
      </c>
      <c r="G200" s="78">
        <v>119537</v>
      </c>
      <c r="H200" s="78">
        <v>2</v>
      </c>
      <c r="I200" s="78">
        <v>2034.2</v>
      </c>
      <c r="J200" s="78">
        <v>22340</v>
      </c>
      <c r="K200" s="78">
        <v>23488</v>
      </c>
      <c r="L200" s="78">
        <v>7744</v>
      </c>
      <c r="M200" s="78">
        <v>18814</v>
      </c>
      <c r="N200" s="78">
        <v>13096.8</v>
      </c>
      <c r="O200" s="78">
        <v>3653.6666666666702</v>
      </c>
      <c r="P200" s="78">
        <v>361</v>
      </c>
      <c r="Q200" s="78">
        <v>10474.666666666701</v>
      </c>
      <c r="R200" s="78">
        <v>21993</v>
      </c>
      <c r="S200" s="78">
        <v>16580</v>
      </c>
      <c r="T200" s="78">
        <v>0</v>
      </c>
      <c r="U200" s="78">
        <v>4797</v>
      </c>
      <c r="V200" s="78">
        <v>57632</v>
      </c>
      <c r="W200" s="78">
        <v>139620</v>
      </c>
      <c r="X200" s="78">
        <v>165500</v>
      </c>
      <c r="Y200" s="78">
        <v>4587.72</v>
      </c>
      <c r="Z200" s="78">
        <v>4801.6000000000004</v>
      </c>
      <c r="AA200" s="78">
        <v>40.899999999999899</v>
      </c>
      <c r="AB200" s="399">
        <v>0</v>
      </c>
      <c r="AC200" s="399">
        <v>0</v>
      </c>
      <c r="AD200" s="78">
        <v>7706</v>
      </c>
      <c r="AE200" s="78">
        <v>8938.9599999999991</v>
      </c>
      <c r="AF200" s="78">
        <v>2241</v>
      </c>
      <c r="AG200" s="78">
        <v>0</v>
      </c>
      <c r="AH200" s="78">
        <v>472</v>
      </c>
      <c r="AI200" s="78">
        <v>75</v>
      </c>
      <c r="AJ200" s="78">
        <v>618.32000000000005</v>
      </c>
      <c r="AK200" s="78">
        <v>81.75</v>
      </c>
      <c r="AL200" s="78">
        <v>547</v>
      </c>
      <c r="AM200" s="78">
        <v>57172</v>
      </c>
      <c r="AN200" s="78">
        <v>74895.320000000007</v>
      </c>
      <c r="AO200" s="78">
        <v>0</v>
      </c>
      <c r="AP200" s="78">
        <v>0</v>
      </c>
      <c r="AQ200" s="78">
        <v>72</v>
      </c>
      <c r="AR200" s="78">
        <v>10800</v>
      </c>
      <c r="AS200" s="78">
        <v>14520</v>
      </c>
      <c r="AT200" s="78">
        <v>13939</v>
      </c>
      <c r="AU200" s="400">
        <v>1.2629937000000001E-2</v>
      </c>
      <c r="AV200" s="400">
        <v>1.5432448E-2</v>
      </c>
      <c r="AW200" s="78">
        <v>144416.47200000001</v>
      </c>
      <c r="AX200" s="78">
        <v>0</v>
      </c>
      <c r="AY200" s="78">
        <v>6951.88</v>
      </c>
      <c r="AZ200" s="78">
        <v>144824.47731778401</v>
      </c>
      <c r="BA200" s="78">
        <v>4</v>
      </c>
      <c r="BB200" s="78">
        <v>4.3600000000000003</v>
      </c>
      <c r="BC200" s="78">
        <v>14000</v>
      </c>
      <c r="BD200" s="78">
        <v>1</v>
      </c>
      <c r="BE200" s="78">
        <v>0</v>
      </c>
      <c r="BF200" s="78">
        <v>0</v>
      </c>
      <c r="BG200" s="78">
        <v>0</v>
      </c>
      <c r="BH200" s="78">
        <v>0</v>
      </c>
      <c r="BI200" s="78">
        <v>0</v>
      </c>
      <c r="BJ200" s="78">
        <v>0</v>
      </c>
      <c r="BK200" s="78">
        <v>0</v>
      </c>
      <c r="BL200" s="78">
        <v>0</v>
      </c>
      <c r="BM200" s="78">
        <v>3552.06</v>
      </c>
      <c r="BN200" s="78">
        <v>442</v>
      </c>
      <c r="BO200" s="78">
        <v>625</v>
      </c>
      <c r="BP200" s="78">
        <v>34418.68</v>
      </c>
      <c r="BQ200" s="78">
        <v>7447.57</v>
      </c>
      <c r="BR200" s="78">
        <v>1215.4279415931101</v>
      </c>
      <c r="BS200" s="78">
        <v>1844</v>
      </c>
      <c r="BT200" s="78">
        <v>1014.66666666667</v>
      </c>
      <c r="BU200" s="78">
        <v>1026.6666666666699</v>
      </c>
      <c r="BV200" s="78">
        <v>6821.0000000000309</v>
      </c>
      <c r="BW200" s="78">
        <v>1575</v>
      </c>
      <c r="BX200" s="78">
        <v>22130.3264190068</v>
      </c>
      <c r="BY200" s="402">
        <v>10.548</v>
      </c>
      <c r="BZ200" s="78">
        <v>96049</v>
      </c>
      <c r="CA200" s="78">
        <v>13029</v>
      </c>
      <c r="CB200" s="78">
        <v>2715</v>
      </c>
      <c r="CC200" s="78">
        <v>3595</v>
      </c>
      <c r="CD200" s="78">
        <v>2972</v>
      </c>
      <c r="CE200" s="78">
        <v>1453</v>
      </c>
      <c r="CF200" s="78">
        <v>1948.7594906597601</v>
      </c>
      <c r="CG200" s="78">
        <v>1281.2286154061401</v>
      </c>
      <c r="CH200" s="78">
        <v>461.81957601623202</v>
      </c>
      <c r="CI200" s="78">
        <v>4242.4408999999996</v>
      </c>
      <c r="CJ200" s="78">
        <v>2789.2291</v>
      </c>
      <c r="CK200" s="78">
        <v>1005.3792</v>
      </c>
      <c r="CL200" s="78">
        <v>115229</v>
      </c>
    </row>
    <row r="201" spans="1:90" x14ac:dyDescent="0.35">
      <c r="A201" s="72">
        <v>1924</v>
      </c>
      <c r="B201" s="72" t="s">
        <v>115</v>
      </c>
      <c r="C201" s="72">
        <v>8</v>
      </c>
      <c r="D201" s="78">
        <v>5862800000</v>
      </c>
      <c r="E201" s="78">
        <v>773500000</v>
      </c>
      <c r="F201" s="78">
        <v>820750000</v>
      </c>
      <c r="G201" s="78">
        <v>51051</v>
      </c>
      <c r="H201" s="78">
        <v>13</v>
      </c>
      <c r="I201" s="78">
        <v>820.75</v>
      </c>
      <c r="J201" s="78">
        <v>9850</v>
      </c>
      <c r="K201" s="78">
        <v>11455</v>
      </c>
      <c r="L201" s="78">
        <v>3836</v>
      </c>
      <c r="M201" s="78">
        <v>6050</v>
      </c>
      <c r="N201" s="78">
        <v>3321.5</v>
      </c>
      <c r="O201" s="78">
        <v>475.66666666666703</v>
      </c>
      <c r="P201" s="78">
        <v>21</v>
      </c>
      <c r="Q201" s="78">
        <v>2630.6666666666702</v>
      </c>
      <c r="R201" s="78">
        <v>6705</v>
      </c>
      <c r="S201" s="78">
        <v>700</v>
      </c>
      <c r="T201" s="78">
        <v>0</v>
      </c>
      <c r="U201" s="78">
        <v>1163</v>
      </c>
      <c r="V201" s="78">
        <v>22768</v>
      </c>
      <c r="W201" s="78">
        <v>46820</v>
      </c>
      <c r="X201" s="78">
        <v>5890</v>
      </c>
      <c r="Y201" s="78">
        <v>683.3</v>
      </c>
      <c r="Z201" s="78">
        <v>2599.1999999999998</v>
      </c>
      <c r="AA201" s="78">
        <v>0</v>
      </c>
      <c r="AB201" s="399">
        <v>0</v>
      </c>
      <c r="AC201" s="399">
        <v>97.499999999999545</v>
      </c>
      <c r="AD201" s="78">
        <v>26158</v>
      </c>
      <c r="AE201" s="78">
        <v>26942.74</v>
      </c>
      <c r="AF201" s="78">
        <v>11730</v>
      </c>
      <c r="AG201" s="78">
        <v>4347</v>
      </c>
      <c r="AH201" s="78">
        <v>324</v>
      </c>
      <c r="AI201" s="78">
        <v>111</v>
      </c>
      <c r="AJ201" s="78">
        <v>336.96</v>
      </c>
      <c r="AK201" s="78">
        <v>114.33</v>
      </c>
      <c r="AL201" s="78">
        <v>435</v>
      </c>
      <c r="AM201" s="78">
        <v>27285</v>
      </c>
      <c r="AN201" s="78">
        <v>28376.400000000001</v>
      </c>
      <c r="AO201" s="78">
        <v>7</v>
      </c>
      <c r="AP201" s="78">
        <v>0</v>
      </c>
      <c r="AQ201" s="78">
        <v>0</v>
      </c>
      <c r="AR201" s="78">
        <v>0</v>
      </c>
      <c r="AS201" s="78">
        <v>3633</v>
      </c>
      <c r="AT201" s="78">
        <v>0</v>
      </c>
      <c r="AU201" s="400">
        <v>1.1003059999999999E-3</v>
      </c>
      <c r="AV201" s="400">
        <v>3.3899700000000001E-4</v>
      </c>
      <c r="AW201" s="78">
        <v>17244.12</v>
      </c>
      <c r="AX201" s="78">
        <v>0</v>
      </c>
      <c r="AY201" s="78">
        <v>9747.92</v>
      </c>
      <c r="AZ201" s="78">
        <v>15096.937324218699</v>
      </c>
      <c r="BA201" s="78">
        <v>28</v>
      </c>
      <c r="BB201" s="78">
        <v>28.84</v>
      </c>
      <c r="BC201" s="78">
        <v>6095</v>
      </c>
      <c r="BD201" s="78">
        <v>1</v>
      </c>
      <c r="BE201" s="78">
        <v>0</v>
      </c>
      <c r="BF201" s="78">
        <v>0</v>
      </c>
      <c r="BG201" s="78">
        <v>0</v>
      </c>
      <c r="BH201" s="78">
        <v>0</v>
      </c>
      <c r="BI201" s="78">
        <v>0</v>
      </c>
      <c r="BJ201" s="78">
        <v>0</v>
      </c>
      <c r="BK201" s="78">
        <v>0</v>
      </c>
      <c r="BL201" s="78">
        <v>0</v>
      </c>
      <c r="BM201" s="78">
        <v>669.8</v>
      </c>
      <c r="BN201" s="78">
        <v>191</v>
      </c>
      <c r="BO201" s="78">
        <v>108</v>
      </c>
      <c r="BP201" s="78">
        <v>15211</v>
      </c>
      <c r="BQ201" s="78">
        <v>3573.4</v>
      </c>
      <c r="BR201" s="78">
        <v>599.81399036531502</v>
      </c>
      <c r="BS201" s="78">
        <v>453</v>
      </c>
      <c r="BT201" s="78">
        <v>173</v>
      </c>
      <c r="BU201" s="78">
        <v>123.666666666667</v>
      </c>
      <c r="BV201" s="78">
        <v>2155.0000000000032</v>
      </c>
      <c r="BW201" s="78">
        <v>698</v>
      </c>
      <c r="BX201" s="78">
        <v>10430.7156164384</v>
      </c>
      <c r="BY201" s="402">
        <v>0.68600000000000005</v>
      </c>
      <c r="BZ201" s="78">
        <v>39596</v>
      </c>
      <c r="CA201" s="78">
        <v>6238</v>
      </c>
      <c r="CB201" s="78">
        <v>1381</v>
      </c>
      <c r="CC201" s="78">
        <v>1173</v>
      </c>
      <c r="CD201" s="78">
        <v>1188</v>
      </c>
      <c r="CE201" s="78">
        <v>634</v>
      </c>
      <c r="CF201" s="78">
        <v>463.92657137621399</v>
      </c>
      <c r="CG201" s="78">
        <v>320.64617921935098</v>
      </c>
      <c r="CH201" s="78">
        <v>109.803665017409</v>
      </c>
      <c r="CI201" s="78">
        <v>1595.2846</v>
      </c>
      <c r="CJ201" s="78">
        <v>1102.5924</v>
      </c>
      <c r="CK201" s="78">
        <v>377.5772</v>
      </c>
      <c r="CL201" s="78">
        <v>105314</v>
      </c>
    </row>
    <row r="202" spans="1:90" x14ac:dyDescent="0.35">
      <c r="A202" s="72">
        <v>512</v>
      </c>
      <c r="B202" s="72" t="s">
        <v>119</v>
      </c>
      <c r="C202" s="72">
        <v>8</v>
      </c>
      <c r="D202" s="78">
        <v>3632000000</v>
      </c>
      <c r="E202" s="78">
        <v>676900000</v>
      </c>
      <c r="F202" s="78">
        <v>689850000</v>
      </c>
      <c r="G202" s="78">
        <v>37632</v>
      </c>
      <c r="H202" s="78">
        <v>1</v>
      </c>
      <c r="I202" s="78">
        <v>689.85</v>
      </c>
      <c r="J202" s="78">
        <v>7286</v>
      </c>
      <c r="K202" s="78">
        <v>7075</v>
      </c>
      <c r="L202" s="78">
        <v>2392</v>
      </c>
      <c r="M202" s="78">
        <v>5814</v>
      </c>
      <c r="N202" s="78">
        <v>4051</v>
      </c>
      <c r="O202" s="78">
        <v>829</v>
      </c>
      <c r="P202" s="78">
        <v>87</v>
      </c>
      <c r="Q202" s="78">
        <v>3101</v>
      </c>
      <c r="R202" s="78">
        <v>6560</v>
      </c>
      <c r="S202" s="78">
        <v>4585</v>
      </c>
      <c r="T202" s="78">
        <v>0</v>
      </c>
      <c r="U202" s="78">
        <v>1292</v>
      </c>
      <c r="V202" s="78">
        <v>17576</v>
      </c>
      <c r="W202" s="78">
        <v>46690</v>
      </c>
      <c r="X202" s="78">
        <v>28540</v>
      </c>
      <c r="Y202" s="78">
        <v>1859.98</v>
      </c>
      <c r="Z202" s="78">
        <v>4939.2</v>
      </c>
      <c r="AA202" s="78">
        <v>0</v>
      </c>
      <c r="AB202" s="399">
        <v>0</v>
      </c>
      <c r="AC202" s="399">
        <v>0</v>
      </c>
      <c r="AD202" s="78">
        <v>1869</v>
      </c>
      <c r="AE202" s="78">
        <v>2523.15</v>
      </c>
      <c r="AF202" s="78">
        <v>325</v>
      </c>
      <c r="AG202" s="78">
        <v>0</v>
      </c>
      <c r="AH202" s="78">
        <v>176</v>
      </c>
      <c r="AI202" s="78">
        <v>27</v>
      </c>
      <c r="AJ202" s="78">
        <v>246.4</v>
      </c>
      <c r="AK202" s="78">
        <v>35.1</v>
      </c>
      <c r="AL202" s="78">
        <v>203</v>
      </c>
      <c r="AM202" s="78">
        <v>17630</v>
      </c>
      <c r="AN202" s="78">
        <v>24682</v>
      </c>
      <c r="AO202" s="78">
        <v>31</v>
      </c>
      <c r="AP202" s="78">
        <v>0</v>
      </c>
      <c r="AQ202" s="78">
        <v>0</v>
      </c>
      <c r="AR202" s="78">
        <v>5750</v>
      </c>
      <c r="AS202" s="78">
        <v>3432</v>
      </c>
      <c r="AT202" s="78">
        <v>3432</v>
      </c>
      <c r="AU202" s="400">
        <v>1.14252E-3</v>
      </c>
      <c r="AV202" s="400">
        <v>2.2560409999999999E-3</v>
      </c>
      <c r="AW202" s="78">
        <v>30658.57</v>
      </c>
      <c r="AX202" s="78">
        <v>0</v>
      </c>
      <c r="AY202" s="78">
        <v>1846.8</v>
      </c>
      <c r="AZ202" s="78">
        <v>76181.644484959004</v>
      </c>
      <c r="BA202" s="78">
        <v>1</v>
      </c>
      <c r="BB202" s="78">
        <v>1.3</v>
      </c>
      <c r="BC202" s="78">
        <v>4720</v>
      </c>
      <c r="BD202" s="78">
        <v>1</v>
      </c>
      <c r="BE202" s="78">
        <v>0</v>
      </c>
      <c r="BF202" s="78">
        <v>0</v>
      </c>
      <c r="BG202" s="78">
        <v>0</v>
      </c>
      <c r="BH202" s="78">
        <v>0</v>
      </c>
      <c r="BI202" s="78">
        <v>0</v>
      </c>
      <c r="BJ202" s="78">
        <v>0</v>
      </c>
      <c r="BK202" s="78">
        <v>0</v>
      </c>
      <c r="BL202" s="78">
        <v>0</v>
      </c>
      <c r="BM202" s="78">
        <v>961.75199999999995</v>
      </c>
      <c r="BN202" s="78">
        <v>155</v>
      </c>
      <c r="BO202" s="78">
        <v>152</v>
      </c>
      <c r="BP202" s="78">
        <v>11113.7</v>
      </c>
      <c r="BQ202" s="78">
        <v>2609.2800000000002</v>
      </c>
      <c r="BR202" s="78">
        <v>397.09261325115602</v>
      </c>
      <c r="BS202" s="78">
        <v>493</v>
      </c>
      <c r="BT202" s="78">
        <v>243.333333333333</v>
      </c>
      <c r="BU202" s="78">
        <v>215</v>
      </c>
      <c r="BV202" s="78">
        <v>2272</v>
      </c>
      <c r="BW202" s="78">
        <v>525</v>
      </c>
      <c r="BX202" s="78">
        <v>6971.9290457097004</v>
      </c>
      <c r="BY202" s="402">
        <v>2.1829999999999998</v>
      </c>
      <c r="BZ202" s="78">
        <v>30557</v>
      </c>
      <c r="CA202" s="78">
        <v>3864</v>
      </c>
      <c r="CB202" s="78">
        <v>819</v>
      </c>
      <c r="CC202" s="78">
        <v>1055</v>
      </c>
      <c r="CD202" s="78">
        <v>844</v>
      </c>
      <c r="CE202" s="78">
        <v>445</v>
      </c>
      <c r="CF202" s="78">
        <v>576.05541690300595</v>
      </c>
      <c r="CG202" s="78">
        <v>389.24526375496299</v>
      </c>
      <c r="CH202" s="78">
        <v>139.705501985252</v>
      </c>
      <c r="CI202" s="78">
        <v>1166.0056999999999</v>
      </c>
      <c r="CJ202" s="78">
        <v>787.87940000000003</v>
      </c>
      <c r="CK202" s="78">
        <v>282.7808</v>
      </c>
      <c r="CL202" s="78">
        <v>30131</v>
      </c>
    </row>
    <row r="203" spans="1:90" x14ac:dyDescent="0.35">
      <c r="A203" s="72">
        <v>513</v>
      </c>
      <c r="B203" s="72" t="s">
        <v>120</v>
      </c>
      <c r="C203" s="72">
        <v>8</v>
      </c>
      <c r="D203" s="78">
        <v>7500800000</v>
      </c>
      <c r="E203" s="78">
        <v>954100000</v>
      </c>
      <c r="F203" s="78">
        <v>998550000</v>
      </c>
      <c r="G203" s="78">
        <v>74095</v>
      </c>
      <c r="H203" s="78">
        <v>1</v>
      </c>
      <c r="I203" s="78">
        <v>998.55</v>
      </c>
      <c r="J203" s="78">
        <v>14330</v>
      </c>
      <c r="K203" s="78">
        <v>14706</v>
      </c>
      <c r="L203" s="78">
        <v>4735</v>
      </c>
      <c r="M203" s="78">
        <v>10794</v>
      </c>
      <c r="N203" s="78">
        <v>7345.7</v>
      </c>
      <c r="O203" s="78">
        <v>1646</v>
      </c>
      <c r="P203" s="78">
        <v>100</v>
      </c>
      <c r="Q203" s="78">
        <v>5351</v>
      </c>
      <c r="R203" s="78">
        <v>13581</v>
      </c>
      <c r="S203" s="78">
        <v>9745</v>
      </c>
      <c r="T203" s="78">
        <v>0</v>
      </c>
      <c r="U203" s="78">
        <v>2496</v>
      </c>
      <c r="V203" s="78">
        <v>35366</v>
      </c>
      <c r="W203" s="78">
        <v>84650</v>
      </c>
      <c r="X203" s="78">
        <v>67960</v>
      </c>
      <c r="Y203" s="78">
        <v>4001.54</v>
      </c>
      <c r="Z203" s="78">
        <v>6534.4</v>
      </c>
      <c r="AA203" s="78">
        <v>0</v>
      </c>
      <c r="AB203" s="399">
        <v>0</v>
      </c>
      <c r="AC203" s="399">
        <v>0</v>
      </c>
      <c r="AD203" s="78">
        <v>1660</v>
      </c>
      <c r="AE203" s="78">
        <v>3071</v>
      </c>
      <c r="AF203" s="78">
        <v>152</v>
      </c>
      <c r="AG203" s="78">
        <v>0</v>
      </c>
      <c r="AH203" s="78">
        <v>275</v>
      </c>
      <c r="AI203" s="78">
        <v>2</v>
      </c>
      <c r="AJ203" s="78">
        <v>514.25</v>
      </c>
      <c r="AK203" s="78">
        <v>3.42</v>
      </c>
      <c r="AL203" s="78">
        <v>278</v>
      </c>
      <c r="AM203" s="78">
        <v>34483</v>
      </c>
      <c r="AN203" s="78">
        <v>64483.21</v>
      </c>
      <c r="AO203" s="78">
        <v>0</v>
      </c>
      <c r="AP203" s="78">
        <v>53</v>
      </c>
      <c r="AQ203" s="78">
        <v>0</v>
      </c>
      <c r="AR203" s="78">
        <v>10350</v>
      </c>
      <c r="AS203" s="78">
        <v>7377</v>
      </c>
      <c r="AT203" s="78">
        <v>7377</v>
      </c>
      <c r="AU203" s="400">
        <v>2.767439E-3</v>
      </c>
      <c r="AV203" s="400">
        <v>2.8907170000000001E-3</v>
      </c>
      <c r="AW203" s="78">
        <v>87897.167000000001</v>
      </c>
      <c r="AX203" s="78">
        <v>0</v>
      </c>
      <c r="AY203" s="78">
        <v>5111.55</v>
      </c>
      <c r="AZ203" s="78">
        <v>623724.92204746103</v>
      </c>
      <c r="BA203" s="78">
        <v>1</v>
      </c>
      <c r="BB203" s="78">
        <v>1.71</v>
      </c>
      <c r="BC203" s="78">
        <v>8480</v>
      </c>
      <c r="BD203" s="78">
        <v>1</v>
      </c>
      <c r="BE203" s="78">
        <v>0</v>
      </c>
      <c r="BF203" s="78">
        <v>0</v>
      </c>
      <c r="BG203" s="78">
        <v>0</v>
      </c>
      <c r="BH203" s="78">
        <v>0</v>
      </c>
      <c r="BI203" s="78">
        <v>0</v>
      </c>
      <c r="BJ203" s="78">
        <v>0</v>
      </c>
      <c r="BK203" s="78">
        <v>0</v>
      </c>
      <c r="BL203" s="78">
        <v>0</v>
      </c>
      <c r="BM203" s="78">
        <v>1891.56</v>
      </c>
      <c r="BN203" s="78">
        <v>255</v>
      </c>
      <c r="BO203" s="78">
        <v>414</v>
      </c>
      <c r="BP203" s="78">
        <v>22599.06</v>
      </c>
      <c r="BQ203" s="78">
        <v>4972.8</v>
      </c>
      <c r="BR203" s="78">
        <v>654.40333333333297</v>
      </c>
      <c r="BS203" s="78">
        <v>942</v>
      </c>
      <c r="BT203" s="78">
        <v>482.33333333333297</v>
      </c>
      <c r="BU203" s="78">
        <v>405</v>
      </c>
      <c r="BV203" s="78">
        <v>3705</v>
      </c>
      <c r="BW203" s="78">
        <v>1036</v>
      </c>
      <c r="BX203" s="78">
        <v>11578.9766235529</v>
      </c>
      <c r="BY203" s="402">
        <v>4.3550000000000004</v>
      </c>
      <c r="BZ203" s="78">
        <v>59389</v>
      </c>
      <c r="CA203" s="78">
        <v>8182</v>
      </c>
      <c r="CB203" s="78">
        <v>1789</v>
      </c>
      <c r="CC203" s="78">
        <v>2085</v>
      </c>
      <c r="CD203" s="78">
        <v>1686</v>
      </c>
      <c r="CE203" s="78">
        <v>874</v>
      </c>
      <c r="CF203" s="78">
        <v>1114.11452019836</v>
      </c>
      <c r="CG203" s="78">
        <v>721.51164051851595</v>
      </c>
      <c r="CH203" s="78">
        <v>259.03695154133902</v>
      </c>
      <c r="CI203" s="78">
        <v>2348.7930000000001</v>
      </c>
      <c r="CJ203" s="78">
        <v>1521.1016999999999</v>
      </c>
      <c r="CK203" s="78">
        <v>546.10559999999998</v>
      </c>
      <c r="CL203" s="78">
        <v>64607</v>
      </c>
    </row>
    <row r="204" spans="1:90" x14ac:dyDescent="0.35">
      <c r="A204" s="72">
        <v>523</v>
      </c>
      <c r="B204" s="72" t="s">
        <v>131</v>
      </c>
      <c r="C204" s="72">
        <v>8</v>
      </c>
      <c r="D204" s="78">
        <v>1718800000</v>
      </c>
      <c r="E204" s="78">
        <v>297850000</v>
      </c>
      <c r="F204" s="78">
        <v>301700000</v>
      </c>
      <c r="G204" s="78">
        <v>18511</v>
      </c>
      <c r="H204" s="78">
        <v>1</v>
      </c>
      <c r="I204" s="78">
        <v>301.7</v>
      </c>
      <c r="J204" s="78">
        <v>4311</v>
      </c>
      <c r="K204" s="78">
        <v>3474</v>
      </c>
      <c r="L204" s="78">
        <v>1216</v>
      </c>
      <c r="M204" s="78">
        <v>1906</v>
      </c>
      <c r="N204" s="78">
        <v>1150.0999999999999</v>
      </c>
      <c r="O204" s="78">
        <v>149</v>
      </c>
      <c r="P204" s="78">
        <v>25</v>
      </c>
      <c r="Q204" s="78">
        <v>764</v>
      </c>
      <c r="R204" s="78">
        <v>2076</v>
      </c>
      <c r="S204" s="78">
        <v>355</v>
      </c>
      <c r="T204" s="78">
        <v>0</v>
      </c>
      <c r="U204" s="78">
        <v>349</v>
      </c>
      <c r="V204" s="78">
        <v>7460</v>
      </c>
      <c r="W204" s="78">
        <v>18820</v>
      </c>
      <c r="X204" s="78">
        <v>5410</v>
      </c>
      <c r="Y204" s="78">
        <v>0</v>
      </c>
      <c r="Z204" s="78">
        <v>604</v>
      </c>
      <c r="AA204" s="78">
        <v>0</v>
      </c>
      <c r="AB204" s="399">
        <v>0</v>
      </c>
      <c r="AC204" s="399">
        <v>0</v>
      </c>
      <c r="AD204" s="78">
        <v>1684</v>
      </c>
      <c r="AE204" s="78">
        <v>2441.8000000000002</v>
      </c>
      <c r="AF204" s="78">
        <v>252</v>
      </c>
      <c r="AG204" s="78">
        <v>0</v>
      </c>
      <c r="AH204" s="78">
        <v>106</v>
      </c>
      <c r="AI204" s="78">
        <v>5</v>
      </c>
      <c r="AJ204" s="78">
        <v>151.58000000000001</v>
      </c>
      <c r="AK204" s="78">
        <v>7.35</v>
      </c>
      <c r="AL204" s="78">
        <v>111</v>
      </c>
      <c r="AM204" s="78">
        <v>7559</v>
      </c>
      <c r="AN204" s="78">
        <v>10809.37</v>
      </c>
      <c r="AO204" s="78">
        <v>0</v>
      </c>
      <c r="AP204" s="78">
        <v>0</v>
      </c>
      <c r="AQ204" s="78">
        <v>0</v>
      </c>
      <c r="AR204" s="78">
        <v>0</v>
      </c>
      <c r="AS204" s="78">
        <v>2315</v>
      </c>
      <c r="AT204" s="78">
        <v>0</v>
      </c>
      <c r="AU204" s="400">
        <v>3.2248800000000001E-4</v>
      </c>
      <c r="AV204" s="400">
        <v>2.46567E-4</v>
      </c>
      <c r="AW204" s="78">
        <v>7460.7330000000002</v>
      </c>
      <c r="AX204" s="78">
        <v>0</v>
      </c>
      <c r="AY204" s="78">
        <v>1387.65</v>
      </c>
      <c r="AZ204" s="78">
        <v>33426.410356405002</v>
      </c>
      <c r="BA204" s="78">
        <v>2</v>
      </c>
      <c r="BB204" s="78">
        <v>2.94</v>
      </c>
      <c r="BC204" s="78">
        <v>2235</v>
      </c>
      <c r="BD204" s="78">
        <v>1</v>
      </c>
      <c r="BE204" s="78">
        <v>0</v>
      </c>
      <c r="BF204" s="78">
        <v>0</v>
      </c>
      <c r="BG204" s="78">
        <v>0</v>
      </c>
      <c r="BH204" s="78">
        <v>0</v>
      </c>
      <c r="BI204" s="78">
        <v>0</v>
      </c>
      <c r="BJ204" s="78">
        <v>0</v>
      </c>
      <c r="BK204" s="78">
        <v>0</v>
      </c>
      <c r="BL204" s="78">
        <v>0</v>
      </c>
      <c r="BM204" s="78">
        <v>215.55</v>
      </c>
      <c r="BN204" s="78">
        <v>101</v>
      </c>
      <c r="BO204" s="78">
        <v>33</v>
      </c>
      <c r="BP204" s="78">
        <v>5008.0200000000004</v>
      </c>
      <c r="BQ204" s="78">
        <v>1419.84</v>
      </c>
      <c r="BR204" s="78">
        <v>176.625451066712</v>
      </c>
      <c r="BS204" s="78">
        <v>147</v>
      </c>
      <c r="BT204" s="78">
        <v>58</v>
      </c>
      <c r="BU204" s="78">
        <v>36.6666666666667</v>
      </c>
      <c r="BV204" s="78">
        <v>615</v>
      </c>
      <c r="BW204" s="78">
        <v>176</v>
      </c>
      <c r="BX204" s="78">
        <v>2630.3655482539498</v>
      </c>
      <c r="BY204" s="402">
        <v>0.156</v>
      </c>
      <c r="BZ204" s="78">
        <v>15037</v>
      </c>
      <c r="CA204" s="78">
        <v>1820</v>
      </c>
      <c r="CB204" s="78">
        <v>438</v>
      </c>
      <c r="CC204" s="78">
        <v>340</v>
      </c>
      <c r="CD204" s="78">
        <v>400</v>
      </c>
      <c r="CE204" s="78">
        <v>224</v>
      </c>
      <c r="CF204" s="78">
        <v>163.560986903029</v>
      </c>
      <c r="CG204" s="78">
        <v>128.71869294880301</v>
      </c>
      <c r="CH204" s="78">
        <v>45.340627067072397</v>
      </c>
      <c r="CI204" s="78">
        <v>470.3125</v>
      </c>
      <c r="CJ204" s="78">
        <v>370.125</v>
      </c>
      <c r="CK204" s="78">
        <v>130.375</v>
      </c>
      <c r="CL204" s="78">
        <v>0</v>
      </c>
    </row>
    <row r="205" spans="1:90" x14ac:dyDescent="0.35">
      <c r="A205" s="72">
        <v>530</v>
      </c>
      <c r="B205" s="72" t="s">
        <v>143</v>
      </c>
      <c r="C205" s="72">
        <v>8</v>
      </c>
      <c r="D205" s="78">
        <v>4032400000</v>
      </c>
      <c r="E205" s="78">
        <v>394450000</v>
      </c>
      <c r="F205" s="78">
        <v>404600000</v>
      </c>
      <c r="G205" s="78">
        <v>40574</v>
      </c>
      <c r="H205" s="78">
        <v>2</v>
      </c>
      <c r="I205" s="78">
        <v>404.6</v>
      </c>
      <c r="J205" s="78">
        <v>7554</v>
      </c>
      <c r="K205" s="78">
        <v>9159</v>
      </c>
      <c r="L205" s="78">
        <v>2873</v>
      </c>
      <c r="M205" s="78">
        <v>4883</v>
      </c>
      <c r="N205" s="78">
        <v>3014.8</v>
      </c>
      <c r="O205" s="78">
        <v>739</v>
      </c>
      <c r="P205" s="78">
        <v>34</v>
      </c>
      <c r="Q205" s="78">
        <v>2505</v>
      </c>
      <c r="R205" s="78">
        <v>5944</v>
      </c>
      <c r="S205" s="78">
        <v>2810</v>
      </c>
      <c r="T205" s="78">
        <v>0</v>
      </c>
      <c r="U205" s="78">
        <v>1600</v>
      </c>
      <c r="V205" s="78">
        <v>18635</v>
      </c>
      <c r="W205" s="78">
        <v>43160</v>
      </c>
      <c r="X205" s="78">
        <v>26340</v>
      </c>
      <c r="Y205" s="78">
        <v>279.64</v>
      </c>
      <c r="Z205" s="78">
        <v>2057.6</v>
      </c>
      <c r="AA205" s="78">
        <v>0</v>
      </c>
      <c r="AB205" s="399">
        <v>0</v>
      </c>
      <c r="AC205" s="399">
        <v>0</v>
      </c>
      <c r="AD205" s="78">
        <v>4109</v>
      </c>
      <c r="AE205" s="78">
        <v>4478.8100000000004</v>
      </c>
      <c r="AF205" s="78">
        <v>1900</v>
      </c>
      <c r="AG205" s="78">
        <v>112</v>
      </c>
      <c r="AH205" s="78">
        <v>161</v>
      </c>
      <c r="AI205" s="78">
        <v>23</v>
      </c>
      <c r="AJ205" s="78">
        <v>170.66</v>
      </c>
      <c r="AK205" s="78">
        <v>25.3</v>
      </c>
      <c r="AL205" s="78">
        <v>184</v>
      </c>
      <c r="AM205" s="78">
        <v>18682</v>
      </c>
      <c r="AN205" s="78">
        <v>19802.919999999998</v>
      </c>
      <c r="AO205" s="78">
        <v>5</v>
      </c>
      <c r="AP205" s="78">
        <v>0</v>
      </c>
      <c r="AQ205" s="78">
        <v>0</v>
      </c>
      <c r="AR205" s="78">
        <v>3700</v>
      </c>
      <c r="AS205" s="78">
        <v>1211</v>
      </c>
      <c r="AT205" s="78">
        <v>636</v>
      </c>
      <c r="AU205" s="400">
        <v>2.9061499999999998E-4</v>
      </c>
      <c r="AV205" s="400">
        <v>4.1157800000000001E-4</v>
      </c>
      <c r="AW205" s="78">
        <v>28546.096000000001</v>
      </c>
      <c r="AX205" s="78">
        <v>0</v>
      </c>
      <c r="AY205" s="78">
        <v>2153.84</v>
      </c>
      <c r="AZ205" s="78">
        <v>19974.778039607299</v>
      </c>
      <c r="BA205" s="78">
        <v>3</v>
      </c>
      <c r="BB205" s="78">
        <v>3.3</v>
      </c>
      <c r="BC205" s="78">
        <v>3695</v>
      </c>
      <c r="BD205" s="78">
        <v>1</v>
      </c>
      <c r="BE205" s="78">
        <v>0</v>
      </c>
      <c r="BF205" s="78">
        <v>0</v>
      </c>
      <c r="BG205" s="78">
        <v>0</v>
      </c>
      <c r="BH205" s="78">
        <v>0</v>
      </c>
      <c r="BI205" s="78">
        <v>0</v>
      </c>
      <c r="BJ205" s="78">
        <v>0</v>
      </c>
      <c r="BK205" s="78">
        <v>0</v>
      </c>
      <c r="BL205" s="78">
        <v>0</v>
      </c>
      <c r="BM205" s="78">
        <v>891.37199999999996</v>
      </c>
      <c r="BN205" s="78">
        <v>207</v>
      </c>
      <c r="BO205" s="78">
        <v>92</v>
      </c>
      <c r="BP205" s="78">
        <v>13326.88</v>
      </c>
      <c r="BQ205" s="78">
        <v>2905.98</v>
      </c>
      <c r="BR205" s="78">
        <v>333.15064885021798</v>
      </c>
      <c r="BS205" s="78">
        <v>629</v>
      </c>
      <c r="BT205" s="78">
        <v>233</v>
      </c>
      <c r="BU205" s="78">
        <v>212.666666666667</v>
      </c>
      <c r="BV205" s="78">
        <v>1766</v>
      </c>
      <c r="BW205" s="78">
        <v>497</v>
      </c>
      <c r="BX205" s="78">
        <v>8167.2990037705904</v>
      </c>
      <c r="BY205" s="402">
        <v>1.7949999999999999</v>
      </c>
      <c r="BZ205" s="78">
        <v>31415</v>
      </c>
      <c r="CA205" s="78">
        <v>5525</v>
      </c>
      <c r="CB205" s="78">
        <v>761</v>
      </c>
      <c r="CC205" s="78">
        <v>1247</v>
      </c>
      <c r="CD205" s="78">
        <v>927</v>
      </c>
      <c r="CE205" s="78">
        <v>398</v>
      </c>
      <c r="CF205" s="78">
        <v>557.87194090568505</v>
      </c>
      <c r="CG205" s="78">
        <v>331.302023337972</v>
      </c>
      <c r="CH205" s="78">
        <v>91.176640616636405</v>
      </c>
      <c r="CI205" s="78">
        <v>1384.5284999999999</v>
      </c>
      <c r="CJ205" s="78">
        <v>822.22649999999999</v>
      </c>
      <c r="CK205" s="78">
        <v>226.2825</v>
      </c>
      <c r="CL205" s="78">
        <v>46847</v>
      </c>
    </row>
    <row r="206" spans="1:90" x14ac:dyDescent="0.35">
      <c r="A206" s="72">
        <v>531</v>
      </c>
      <c r="B206" s="72" t="s">
        <v>145</v>
      </c>
      <c r="C206" s="72">
        <v>8</v>
      </c>
      <c r="D206" s="78">
        <v>3296800000</v>
      </c>
      <c r="E206" s="78">
        <v>252350000</v>
      </c>
      <c r="F206" s="78">
        <v>256900000</v>
      </c>
      <c r="G206" s="78">
        <v>31663</v>
      </c>
      <c r="H206" s="78">
        <v>1</v>
      </c>
      <c r="I206" s="78">
        <v>256.89999999999998</v>
      </c>
      <c r="J206" s="78">
        <v>7791</v>
      </c>
      <c r="K206" s="78">
        <v>5393</v>
      </c>
      <c r="L206" s="78">
        <v>1794</v>
      </c>
      <c r="M206" s="78">
        <v>2805</v>
      </c>
      <c r="N206" s="78">
        <v>1539.1</v>
      </c>
      <c r="O206" s="78">
        <v>318.66666666666703</v>
      </c>
      <c r="P206" s="78">
        <v>31</v>
      </c>
      <c r="Q206" s="78">
        <v>1312.6666666666699</v>
      </c>
      <c r="R206" s="78">
        <v>3162</v>
      </c>
      <c r="S206" s="78">
        <v>1730</v>
      </c>
      <c r="T206" s="78">
        <v>0</v>
      </c>
      <c r="U206" s="78">
        <v>868</v>
      </c>
      <c r="V206" s="78">
        <v>12693</v>
      </c>
      <c r="W206" s="78">
        <v>30620</v>
      </c>
      <c r="X206" s="78">
        <v>12270</v>
      </c>
      <c r="Y206" s="78">
        <v>0</v>
      </c>
      <c r="Z206" s="78">
        <v>0</v>
      </c>
      <c r="AA206" s="78">
        <v>0</v>
      </c>
      <c r="AB206" s="399">
        <v>169.09999999999945</v>
      </c>
      <c r="AC206" s="399">
        <v>0</v>
      </c>
      <c r="AD206" s="78">
        <v>1049</v>
      </c>
      <c r="AE206" s="78">
        <v>1384.68</v>
      </c>
      <c r="AF206" s="78">
        <v>141</v>
      </c>
      <c r="AG206" s="78">
        <v>0</v>
      </c>
      <c r="AH206" s="78">
        <v>116</v>
      </c>
      <c r="AI206" s="78">
        <v>2</v>
      </c>
      <c r="AJ206" s="78">
        <v>157.76</v>
      </c>
      <c r="AK206" s="78">
        <v>2.46</v>
      </c>
      <c r="AL206" s="78">
        <v>118</v>
      </c>
      <c r="AM206" s="78">
        <v>12659</v>
      </c>
      <c r="AN206" s="78">
        <v>17216.240000000002</v>
      </c>
      <c r="AO206" s="78">
        <v>0</v>
      </c>
      <c r="AP206" s="78">
        <v>0</v>
      </c>
      <c r="AQ206" s="78">
        <v>0</v>
      </c>
      <c r="AR206" s="78">
        <v>0</v>
      </c>
      <c r="AS206" s="78">
        <v>964</v>
      </c>
      <c r="AT206" s="78">
        <v>0</v>
      </c>
      <c r="AU206" s="400">
        <v>8.7233999999999999E-5</v>
      </c>
      <c r="AV206" s="400">
        <v>2.6871499999999999E-4</v>
      </c>
      <c r="AW206" s="78">
        <v>23571.058000000001</v>
      </c>
      <c r="AX206" s="78">
        <v>0</v>
      </c>
      <c r="AY206" s="78">
        <v>1153.68</v>
      </c>
      <c r="AZ206" s="78">
        <v>71227.381915966398</v>
      </c>
      <c r="BA206" s="78">
        <v>1</v>
      </c>
      <c r="BB206" s="78">
        <v>1.23</v>
      </c>
      <c r="BC206" s="78">
        <v>3265</v>
      </c>
      <c r="BD206" s="78">
        <v>1</v>
      </c>
      <c r="BE206" s="78">
        <v>0</v>
      </c>
      <c r="BF206" s="78">
        <v>0</v>
      </c>
      <c r="BG206" s="78">
        <v>0</v>
      </c>
      <c r="BH206" s="78">
        <v>0</v>
      </c>
      <c r="BI206" s="78">
        <v>0</v>
      </c>
      <c r="BJ206" s="78">
        <v>0</v>
      </c>
      <c r="BK206" s="78">
        <v>0</v>
      </c>
      <c r="BL206" s="78">
        <v>0</v>
      </c>
      <c r="BM206" s="78">
        <v>521.99699999999996</v>
      </c>
      <c r="BN206" s="78">
        <v>126</v>
      </c>
      <c r="BO206" s="78">
        <v>73</v>
      </c>
      <c r="BP206" s="78">
        <v>9414.1200000000008</v>
      </c>
      <c r="BQ206" s="78">
        <v>2907.8</v>
      </c>
      <c r="BR206" s="78">
        <v>330.06489220684603</v>
      </c>
      <c r="BS206" s="78">
        <v>360</v>
      </c>
      <c r="BT206" s="78">
        <v>125.666666666667</v>
      </c>
      <c r="BU206" s="78">
        <v>108</v>
      </c>
      <c r="BV206" s="78">
        <v>994.00000000000296</v>
      </c>
      <c r="BW206" s="78">
        <v>213</v>
      </c>
      <c r="BX206" s="78">
        <v>4433.7519201484401</v>
      </c>
      <c r="BY206" s="402">
        <v>0.51300000000000001</v>
      </c>
      <c r="BZ206" s="78">
        <v>26270</v>
      </c>
      <c r="CA206" s="78">
        <v>2935</v>
      </c>
      <c r="CB206" s="78">
        <v>664</v>
      </c>
      <c r="CC206" s="78">
        <v>569</v>
      </c>
      <c r="CD206" s="78">
        <v>601</v>
      </c>
      <c r="CE206" s="78">
        <v>352</v>
      </c>
      <c r="CF206" s="78">
        <v>219.94090370487399</v>
      </c>
      <c r="CG206" s="78">
        <v>153.43583221423501</v>
      </c>
      <c r="CH206" s="78">
        <v>59.939671380045802</v>
      </c>
      <c r="CI206" s="78">
        <v>674.39520000000005</v>
      </c>
      <c r="CJ206" s="78">
        <v>470.47359999999998</v>
      </c>
      <c r="CK206" s="78">
        <v>183.79040000000001</v>
      </c>
      <c r="CL206" s="78">
        <v>0</v>
      </c>
    </row>
    <row r="207" spans="1:90" x14ac:dyDescent="0.35">
      <c r="A207" s="72">
        <v>534</v>
      </c>
      <c r="B207" s="72" t="s">
        <v>150</v>
      </c>
      <c r="C207" s="72">
        <v>8</v>
      </c>
      <c r="D207" s="78">
        <v>2810000000</v>
      </c>
      <c r="E207" s="78">
        <v>292250000</v>
      </c>
      <c r="F207" s="78">
        <v>297850000</v>
      </c>
      <c r="G207" s="78">
        <v>22312</v>
      </c>
      <c r="H207" s="78">
        <v>1</v>
      </c>
      <c r="I207" s="78">
        <v>297.85000000000002</v>
      </c>
      <c r="J207" s="78">
        <v>4114</v>
      </c>
      <c r="K207" s="78">
        <v>4706</v>
      </c>
      <c r="L207" s="78">
        <v>1589</v>
      </c>
      <c r="M207" s="78">
        <v>3031</v>
      </c>
      <c r="N207" s="78">
        <v>2026.8</v>
      </c>
      <c r="O207" s="78">
        <v>251.666666666667</v>
      </c>
      <c r="P207" s="78">
        <v>18</v>
      </c>
      <c r="Q207" s="78">
        <v>1218.6666666666699</v>
      </c>
      <c r="R207" s="78">
        <v>3517</v>
      </c>
      <c r="S207" s="78">
        <v>700</v>
      </c>
      <c r="T207" s="78">
        <v>0</v>
      </c>
      <c r="U207" s="78">
        <v>701</v>
      </c>
      <c r="V207" s="78">
        <v>10364</v>
      </c>
      <c r="W207" s="78">
        <v>20420</v>
      </c>
      <c r="X207" s="78">
        <v>5000</v>
      </c>
      <c r="Y207" s="78">
        <v>134.63999999999999</v>
      </c>
      <c r="Z207" s="78">
        <v>651.20000000000005</v>
      </c>
      <c r="AA207" s="78">
        <v>0</v>
      </c>
      <c r="AB207" s="399">
        <v>0</v>
      </c>
      <c r="AC207" s="399">
        <v>216.69999999999993</v>
      </c>
      <c r="AD207" s="78">
        <v>1291</v>
      </c>
      <c r="AE207" s="78">
        <v>1407.19</v>
      </c>
      <c r="AF207" s="78">
        <v>55</v>
      </c>
      <c r="AG207" s="78">
        <v>0</v>
      </c>
      <c r="AH207" s="78">
        <v>118</v>
      </c>
      <c r="AI207" s="78">
        <v>17</v>
      </c>
      <c r="AJ207" s="78">
        <v>130.97999999999999</v>
      </c>
      <c r="AK207" s="78">
        <v>17.850000000000001</v>
      </c>
      <c r="AL207" s="78">
        <v>135</v>
      </c>
      <c r="AM207" s="78">
        <v>10042</v>
      </c>
      <c r="AN207" s="78">
        <v>11146.62</v>
      </c>
      <c r="AO207" s="78">
        <v>0</v>
      </c>
      <c r="AP207" s="78">
        <v>0</v>
      </c>
      <c r="AQ207" s="78">
        <v>0</v>
      </c>
      <c r="AR207" s="78">
        <v>0</v>
      </c>
      <c r="AS207" s="78">
        <v>1874</v>
      </c>
      <c r="AT207" s="78">
        <v>0</v>
      </c>
      <c r="AU207" s="400">
        <v>4.78849E-4</v>
      </c>
      <c r="AV207" s="400">
        <v>3.7916300000000002E-4</v>
      </c>
      <c r="AW207" s="78">
        <v>15866.36</v>
      </c>
      <c r="AX207" s="78">
        <v>0</v>
      </c>
      <c r="AY207" s="78">
        <v>1718.93</v>
      </c>
      <c r="AZ207" s="78">
        <v>39045.834234769703</v>
      </c>
      <c r="BA207" s="78">
        <v>2</v>
      </c>
      <c r="BB207" s="78">
        <v>2.1</v>
      </c>
      <c r="BC207" s="78">
        <v>2710</v>
      </c>
      <c r="BD207" s="78">
        <v>1</v>
      </c>
      <c r="BE207" s="78">
        <v>0</v>
      </c>
      <c r="BF207" s="78">
        <v>0</v>
      </c>
      <c r="BG207" s="78">
        <v>0</v>
      </c>
      <c r="BH207" s="78">
        <v>0</v>
      </c>
      <c r="BI207" s="78">
        <v>0</v>
      </c>
      <c r="BJ207" s="78">
        <v>0</v>
      </c>
      <c r="BK207" s="78">
        <v>0</v>
      </c>
      <c r="BL207" s="78">
        <v>0</v>
      </c>
      <c r="BM207" s="78">
        <v>394.94400000000002</v>
      </c>
      <c r="BN207" s="78">
        <v>59</v>
      </c>
      <c r="BO207" s="78">
        <v>36</v>
      </c>
      <c r="BP207" s="78">
        <v>7037.1</v>
      </c>
      <c r="BQ207" s="78">
        <v>1683.5</v>
      </c>
      <c r="BR207" s="78">
        <v>181.027938479396</v>
      </c>
      <c r="BS207" s="78">
        <v>267</v>
      </c>
      <c r="BT207" s="78">
        <v>69.3333333333333</v>
      </c>
      <c r="BU207" s="78">
        <v>53</v>
      </c>
      <c r="BV207" s="78">
        <v>967.00000000000296</v>
      </c>
      <c r="BW207" s="78">
        <v>237</v>
      </c>
      <c r="BX207" s="78">
        <v>3273.23081137091</v>
      </c>
      <c r="BY207" s="402">
        <v>0.248</v>
      </c>
      <c r="BZ207" s="78">
        <v>17606</v>
      </c>
      <c r="CA207" s="78">
        <v>2550</v>
      </c>
      <c r="CB207" s="78">
        <v>567</v>
      </c>
      <c r="CC207" s="78">
        <v>557</v>
      </c>
      <c r="CD207" s="78">
        <v>535</v>
      </c>
      <c r="CE207" s="78">
        <v>273</v>
      </c>
      <c r="CF207" s="78">
        <v>322.52802230631301</v>
      </c>
      <c r="CG207" s="78">
        <v>221.61187014538899</v>
      </c>
      <c r="CH207" s="78">
        <v>78.916430989842695</v>
      </c>
      <c r="CI207" s="78">
        <v>668.92280000000005</v>
      </c>
      <c r="CJ207" s="78">
        <v>459.62279999999998</v>
      </c>
      <c r="CK207" s="78">
        <v>163.67259999999999</v>
      </c>
      <c r="CL207" s="78">
        <v>23946</v>
      </c>
    </row>
    <row r="208" spans="1:90" x14ac:dyDescent="0.35">
      <c r="A208" s="72">
        <v>1963</v>
      </c>
      <c r="B208" s="72" t="s">
        <v>153</v>
      </c>
      <c r="C208" s="72">
        <v>8</v>
      </c>
      <c r="D208" s="78">
        <v>9512800000</v>
      </c>
      <c r="E208" s="78">
        <v>1262450000</v>
      </c>
      <c r="F208" s="78">
        <v>1309700000</v>
      </c>
      <c r="G208" s="78">
        <v>88715</v>
      </c>
      <c r="H208" s="78">
        <v>13</v>
      </c>
      <c r="I208" s="78">
        <v>1309.7</v>
      </c>
      <c r="J208" s="78">
        <v>16875</v>
      </c>
      <c r="K208" s="78">
        <v>20480</v>
      </c>
      <c r="L208" s="78">
        <v>7047</v>
      </c>
      <c r="M208" s="78">
        <v>9361</v>
      </c>
      <c r="N208" s="78">
        <v>5485.6</v>
      </c>
      <c r="O208" s="78">
        <v>797.33333333333303</v>
      </c>
      <c r="P208" s="78">
        <v>85</v>
      </c>
      <c r="Q208" s="78">
        <v>3795.3333333333298</v>
      </c>
      <c r="R208" s="78">
        <v>11184</v>
      </c>
      <c r="S208" s="78">
        <v>1885</v>
      </c>
      <c r="T208" s="78">
        <v>0</v>
      </c>
      <c r="U208" s="78">
        <v>2348</v>
      </c>
      <c r="V208" s="78">
        <v>39002</v>
      </c>
      <c r="W208" s="78">
        <v>64020</v>
      </c>
      <c r="X208" s="78">
        <v>9630</v>
      </c>
      <c r="Y208" s="78">
        <v>547.6</v>
      </c>
      <c r="Z208" s="78">
        <v>2532</v>
      </c>
      <c r="AA208" s="78">
        <v>0</v>
      </c>
      <c r="AB208" s="399">
        <v>0</v>
      </c>
      <c r="AC208" s="399">
        <v>0</v>
      </c>
      <c r="AD208" s="78">
        <v>26829</v>
      </c>
      <c r="AE208" s="78">
        <v>32999.67</v>
      </c>
      <c r="AF208" s="78">
        <v>5539</v>
      </c>
      <c r="AG208" s="78">
        <v>0</v>
      </c>
      <c r="AH208" s="78">
        <v>489</v>
      </c>
      <c r="AI208" s="78">
        <v>120</v>
      </c>
      <c r="AJ208" s="78">
        <v>621.03</v>
      </c>
      <c r="AK208" s="78">
        <v>146.4</v>
      </c>
      <c r="AL208" s="78">
        <v>609</v>
      </c>
      <c r="AM208" s="78">
        <v>38754</v>
      </c>
      <c r="AN208" s="78">
        <v>49217.58</v>
      </c>
      <c r="AO208" s="78">
        <v>0</v>
      </c>
      <c r="AP208" s="78">
        <v>0</v>
      </c>
      <c r="AQ208" s="78">
        <v>0</v>
      </c>
      <c r="AR208" s="78">
        <v>0</v>
      </c>
      <c r="AS208" s="78">
        <v>3172</v>
      </c>
      <c r="AT208" s="78">
        <v>0</v>
      </c>
      <c r="AU208" s="400">
        <v>1.0551600000000001E-3</v>
      </c>
      <c r="AV208" s="400">
        <v>5.5092100000000001E-4</v>
      </c>
      <c r="AW208" s="78">
        <v>32320.835999999999</v>
      </c>
      <c r="AX208" s="78">
        <v>0</v>
      </c>
      <c r="AY208" s="78">
        <v>11566.92</v>
      </c>
      <c r="AZ208" s="78">
        <v>58564.727057587799</v>
      </c>
      <c r="BA208" s="78">
        <v>27</v>
      </c>
      <c r="BB208" s="78">
        <v>32.94</v>
      </c>
      <c r="BC208" s="78">
        <v>10850</v>
      </c>
      <c r="BD208" s="78">
        <v>1</v>
      </c>
      <c r="BE208" s="78">
        <v>0</v>
      </c>
      <c r="BF208" s="78">
        <v>0</v>
      </c>
      <c r="BG208" s="78">
        <v>0</v>
      </c>
      <c r="BH208" s="78">
        <v>0</v>
      </c>
      <c r="BI208" s="78">
        <v>0</v>
      </c>
      <c r="BJ208" s="78">
        <v>0</v>
      </c>
      <c r="BK208" s="78">
        <v>0</v>
      </c>
      <c r="BL208" s="78">
        <v>0</v>
      </c>
      <c r="BM208" s="78">
        <v>1096.875</v>
      </c>
      <c r="BN208" s="78">
        <v>214</v>
      </c>
      <c r="BO208" s="78">
        <v>126</v>
      </c>
      <c r="BP208" s="78">
        <v>29635.32</v>
      </c>
      <c r="BQ208" s="78">
        <v>6899.02</v>
      </c>
      <c r="BR208" s="78">
        <v>673.74450790861204</v>
      </c>
      <c r="BS208" s="78">
        <v>858</v>
      </c>
      <c r="BT208" s="78">
        <v>242.333333333333</v>
      </c>
      <c r="BU208" s="78">
        <v>163.333333333333</v>
      </c>
      <c r="BV208" s="78">
        <v>2997.9999999999968</v>
      </c>
      <c r="BW208" s="78">
        <v>893</v>
      </c>
      <c r="BX208" s="78">
        <v>15834.5901893307</v>
      </c>
      <c r="BY208" s="402">
        <v>0.92700000000000005</v>
      </c>
      <c r="BZ208" s="78">
        <v>68235</v>
      </c>
      <c r="CA208" s="78">
        <v>11284</v>
      </c>
      <c r="CB208" s="78">
        <v>2149</v>
      </c>
      <c r="CC208" s="78">
        <v>2058</v>
      </c>
      <c r="CD208" s="78">
        <v>2200</v>
      </c>
      <c r="CE208" s="78">
        <v>1075</v>
      </c>
      <c r="CF208" s="78">
        <v>965.22440006192903</v>
      </c>
      <c r="CG208" s="78">
        <v>695.99770862362595</v>
      </c>
      <c r="CH208" s="78">
        <v>226.195716571193</v>
      </c>
      <c r="CI208" s="78">
        <v>2452.1124</v>
      </c>
      <c r="CJ208" s="78">
        <v>1768.1532</v>
      </c>
      <c r="CK208" s="78">
        <v>574.64080000000001</v>
      </c>
      <c r="CL208" s="78">
        <v>64425</v>
      </c>
    </row>
    <row r="209" spans="1:90" x14ac:dyDescent="0.35">
      <c r="A209" s="72">
        <v>1884</v>
      </c>
      <c r="B209" s="72" t="s">
        <v>163</v>
      </c>
      <c r="C209" s="72">
        <v>8</v>
      </c>
      <c r="D209" s="78">
        <v>3762400000</v>
      </c>
      <c r="E209" s="78">
        <v>356300000</v>
      </c>
      <c r="F209" s="78">
        <v>375900000</v>
      </c>
      <c r="G209" s="78">
        <v>27895</v>
      </c>
      <c r="H209" s="78">
        <v>6</v>
      </c>
      <c r="I209" s="78">
        <v>375.9</v>
      </c>
      <c r="J209" s="78">
        <v>5267</v>
      </c>
      <c r="K209" s="78">
        <v>5956</v>
      </c>
      <c r="L209" s="78">
        <v>1907</v>
      </c>
      <c r="M209" s="78">
        <v>2933</v>
      </c>
      <c r="N209" s="78">
        <v>1678.6999999999998</v>
      </c>
      <c r="O209" s="78">
        <v>253.666666666667</v>
      </c>
      <c r="P209" s="78">
        <v>19</v>
      </c>
      <c r="Q209" s="78">
        <v>1099.6666666666699</v>
      </c>
      <c r="R209" s="78">
        <v>3571</v>
      </c>
      <c r="S209" s="78">
        <v>765</v>
      </c>
      <c r="T209" s="78">
        <v>0</v>
      </c>
      <c r="U209" s="78">
        <v>764</v>
      </c>
      <c r="V209" s="78">
        <v>12210</v>
      </c>
      <c r="W209" s="78">
        <v>20760</v>
      </c>
      <c r="X209" s="78">
        <v>3210</v>
      </c>
      <c r="Y209" s="78">
        <v>0</v>
      </c>
      <c r="Z209" s="78">
        <v>0</v>
      </c>
      <c r="AA209" s="78">
        <v>0</v>
      </c>
      <c r="AB209" s="399">
        <v>0</v>
      </c>
      <c r="AC209" s="399">
        <v>0</v>
      </c>
      <c r="AD209" s="78">
        <v>6317</v>
      </c>
      <c r="AE209" s="78">
        <v>7896.25</v>
      </c>
      <c r="AF209" s="78">
        <v>907</v>
      </c>
      <c r="AG209" s="78">
        <v>0</v>
      </c>
      <c r="AH209" s="78">
        <v>152</v>
      </c>
      <c r="AI209" s="78">
        <v>42</v>
      </c>
      <c r="AJ209" s="78">
        <v>194.56</v>
      </c>
      <c r="AK209" s="78">
        <v>52.08</v>
      </c>
      <c r="AL209" s="78">
        <v>194</v>
      </c>
      <c r="AM209" s="78">
        <v>12543</v>
      </c>
      <c r="AN209" s="78">
        <v>16055.04</v>
      </c>
      <c r="AO209" s="78">
        <v>0</v>
      </c>
      <c r="AP209" s="78">
        <v>0</v>
      </c>
      <c r="AQ209" s="78">
        <v>0</v>
      </c>
      <c r="AR209" s="78">
        <v>0</v>
      </c>
      <c r="AS209" s="78">
        <v>542</v>
      </c>
      <c r="AT209" s="78">
        <v>0</v>
      </c>
      <c r="AU209" s="400">
        <v>1.7202100000000001E-4</v>
      </c>
      <c r="AV209" s="400">
        <v>1.10513E-4</v>
      </c>
      <c r="AW209" s="78">
        <v>8215.6650000000009</v>
      </c>
      <c r="AX209" s="78">
        <v>0</v>
      </c>
      <c r="AY209" s="78">
        <v>6560</v>
      </c>
      <c r="AZ209" s="78">
        <v>62603.5004844961</v>
      </c>
      <c r="BA209" s="78">
        <v>17</v>
      </c>
      <c r="BB209" s="78">
        <v>21.08</v>
      </c>
      <c r="BC209" s="78">
        <v>3800</v>
      </c>
      <c r="BD209" s="78">
        <v>1</v>
      </c>
      <c r="BE209" s="78">
        <v>0</v>
      </c>
      <c r="BF209" s="78">
        <v>0</v>
      </c>
      <c r="BG209" s="78">
        <v>0</v>
      </c>
      <c r="BH209" s="78">
        <v>0</v>
      </c>
      <c r="BI209" s="78">
        <v>0</v>
      </c>
      <c r="BJ209" s="78">
        <v>0</v>
      </c>
      <c r="BK209" s="78">
        <v>0</v>
      </c>
      <c r="BL209" s="78">
        <v>0</v>
      </c>
      <c r="BM209" s="78">
        <v>373.95699999999999</v>
      </c>
      <c r="BN209" s="78">
        <v>140</v>
      </c>
      <c r="BO209" s="78">
        <v>38</v>
      </c>
      <c r="BP209" s="78">
        <v>9507.65</v>
      </c>
      <c r="BQ209" s="78">
        <v>2268.6</v>
      </c>
      <c r="BR209" s="78">
        <v>190.02085388127901</v>
      </c>
      <c r="BS209" s="78">
        <v>306</v>
      </c>
      <c r="BT209" s="78">
        <v>76.6666666666667</v>
      </c>
      <c r="BU209" s="78">
        <v>55.6666666666667</v>
      </c>
      <c r="BV209" s="78">
        <v>846.00000000000296</v>
      </c>
      <c r="BW209" s="78">
        <v>235</v>
      </c>
      <c r="BX209" s="78">
        <v>4129.4850078065401</v>
      </c>
      <c r="BY209" s="402">
        <v>0.21199999999999999</v>
      </c>
      <c r="BZ209" s="78">
        <v>21939</v>
      </c>
      <c r="CA209" s="78">
        <v>3411</v>
      </c>
      <c r="CB209" s="78">
        <v>638</v>
      </c>
      <c r="CC209" s="78">
        <v>569</v>
      </c>
      <c r="CD209" s="78">
        <v>598</v>
      </c>
      <c r="CE209" s="78">
        <v>300</v>
      </c>
      <c r="CF209" s="78">
        <v>276.77203220920001</v>
      </c>
      <c r="CG209" s="78">
        <v>177.46601291556999</v>
      </c>
      <c r="CH209" s="78">
        <v>61.029036115761798</v>
      </c>
      <c r="CI209" s="78">
        <v>737.03520000000003</v>
      </c>
      <c r="CJ209" s="78">
        <v>472.58640000000003</v>
      </c>
      <c r="CK209" s="78">
        <v>162.51840000000001</v>
      </c>
      <c r="CL209" s="78">
        <v>0</v>
      </c>
    </row>
    <row r="210" spans="1:90" x14ac:dyDescent="0.35">
      <c r="A210" s="72">
        <v>537</v>
      </c>
      <c r="B210" s="72" t="s">
        <v>166</v>
      </c>
      <c r="C210" s="72">
        <v>8</v>
      </c>
      <c r="D210" s="78">
        <v>7980800000</v>
      </c>
      <c r="E210" s="78">
        <v>768950000</v>
      </c>
      <c r="F210" s="78">
        <v>796250000</v>
      </c>
      <c r="G210" s="78">
        <v>66032</v>
      </c>
      <c r="H210" s="78">
        <v>1</v>
      </c>
      <c r="I210" s="78">
        <v>796.25</v>
      </c>
      <c r="J210" s="78">
        <v>14483</v>
      </c>
      <c r="K210" s="78">
        <v>12393</v>
      </c>
      <c r="L210" s="78">
        <v>4178</v>
      </c>
      <c r="M210" s="78">
        <v>7486</v>
      </c>
      <c r="N210" s="78">
        <v>4748.1000000000004</v>
      </c>
      <c r="O210" s="78">
        <v>837.33333333333303</v>
      </c>
      <c r="P210" s="78">
        <v>63</v>
      </c>
      <c r="Q210" s="78">
        <v>3348.3333333333298</v>
      </c>
      <c r="R210" s="78">
        <v>8468</v>
      </c>
      <c r="S210" s="78">
        <v>1775</v>
      </c>
      <c r="T210" s="78">
        <v>0</v>
      </c>
      <c r="U210" s="78">
        <v>1656</v>
      </c>
      <c r="V210" s="78">
        <v>28203</v>
      </c>
      <c r="W210" s="78">
        <v>67840</v>
      </c>
      <c r="X210" s="78">
        <v>50410</v>
      </c>
      <c r="Y210" s="78">
        <v>1066.58</v>
      </c>
      <c r="Z210" s="78">
        <v>1977.6</v>
      </c>
      <c r="AA210" s="78">
        <v>0</v>
      </c>
      <c r="AB210" s="399">
        <v>0</v>
      </c>
      <c r="AC210" s="399">
        <v>0</v>
      </c>
      <c r="AD210" s="78">
        <v>2480</v>
      </c>
      <c r="AE210" s="78">
        <v>2480</v>
      </c>
      <c r="AF210" s="78">
        <v>166</v>
      </c>
      <c r="AG210" s="78">
        <v>468</v>
      </c>
      <c r="AH210" s="78">
        <v>264</v>
      </c>
      <c r="AI210" s="78">
        <v>41</v>
      </c>
      <c r="AJ210" s="78">
        <v>264</v>
      </c>
      <c r="AK210" s="78">
        <v>41</v>
      </c>
      <c r="AL210" s="78">
        <v>305</v>
      </c>
      <c r="AM210" s="78">
        <v>27379</v>
      </c>
      <c r="AN210" s="78">
        <v>27379</v>
      </c>
      <c r="AO210" s="78">
        <v>0</v>
      </c>
      <c r="AP210" s="78">
        <v>0</v>
      </c>
      <c r="AQ210" s="78">
        <v>0</v>
      </c>
      <c r="AR210" s="78">
        <v>0</v>
      </c>
      <c r="AS210" s="78">
        <v>5004</v>
      </c>
      <c r="AT210" s="78">
        <v>0</v>
      </c>
      <c r="AU210" s="400">
        <v>8.0005500000000004E-4</v>
      </c>
      <c r="AV210" s="400">
        <v>1.928201E-3</v>
      </c>
      <c r="AW210" s="78">
        <v>59494.567000000003</v>
      </c>
      <c r="AX210" s="78">
        <v>0</v>
      </c>
      <c r="AY210" s="78">
        <v>1471</v>
      </c>
      <c r="AZ210" s="78">
        <v>36709.399848828398</v>
      </c>
      <c r="BA210" s="78">
        <v>4</v>
      </c>
      <c r="BB210" s="78">
        <v>4</v>
      </c>
      <c r="BC210" s="78">
        <v>6355</v>
      </c>
      <c r="BD210" s="78">
        <v>1</v>
      </c>
      <c r="BE210" s="78">
        <v>0</v>
      </c>
      <c r="BF210" s="78">
        <v>0</v>
      </c>
      <c r="BG210" s="78">
        <v>0</v>
      </c>
      <c r="BH210" s="78">
        <v>0</v>
      </c>
      <c r="BI210" s="78">
        <v>0</v>
      </c>
      <c r="BJ210" s="78">
        <v>0</v>
      </c>
      <c r="BK210" s="78">
        <v>0</v>
      </c>
      <c r="BL210" s="78">
        <v>0</v>
      </c>
      <c r="BM210" s="78">
        <v>1115.191</v>
      </c>
      <c r="BN210" s="78">
        <v>439</v>
      </c>
      <c r="BO210" s="78">
        <v>221</v>
      </c>
      <c r="BP210" s="78">
        <v>18306.28</v>
      </c>
      <c r="BQ210" s="78">
        <v>5016.96</v>
      </c>
      <c r="BR210" s="78">
        <v>646.03122816265102</v>
      </c>
      <c r="BS210" s="78">
        <v>683</v>
      </c>
      <c r="BT210" s="78">
        <v>271</v>
      </c>
      <c r="BU210" s="78">
        <v>236</v>
      </c>
      <c r="BV210" s="78">
        <v>2510.9999999999968</v>
      </c>
      <c r="BW210" s="78">
        <v>778</v>
      </c>
      <c r="BX210" s="78">
        <v>10975.750090158301</v>
      </c>
      <c r="BY210" s="402">
        <v>1.3460000000000001</v>
      </c>
      <c r="BZ210" s="78">
        <v>53639</v>
      </c>
      <c r="CA210" s="78">
        <v>6958</v>
      </c>
      <c r="CB210" s="78">
        <v>1257</v>
      </c>
      <c r="CC210" s="78">
        <v>1499</v>
      </c>
      <c r="CD210" s="78">
        <v>1498</v>
      </c>
      <c r="CE210" s="78">
        <v>675</v>
      </c>
      <c r="CF210" s="78">
        <v>754.90263705759901</v>
      </c>
      <c r="CG210" s="78">
        <v>512.80659264399696</v>
      </c>
      <c r="CH210" s="78">
        <v>164.92359472588501</v>
      </c>
      <c r="CI210" s="78">
        <v>1920.9789000000001</v>
      </c>
      <c r="CJ210" s="78">
        <v>1304.9241</v>
      </c>
      <c r="CK210" s="78">
        <v>419.67630000000003</v>
      </c>
      <c r="CL210" s="78">
        <v>117214</v>
      </c>
    </row>
    <row r="211" spans="1:90" x14ac:dyDescent="0.35">
      <c r="A211" s="72">
        <v>542</v>
      </c>
      <c r="B211" s="72" t="s">
        <v>169</v>
      </c>
      <c r="C211" s="72">
        <v>8</v>
      </c>
      <c r="D211" s="78">
        <v>3176400000</v>
      </c>
      <c r="E211" s="78">
        <v>318850000</v>
      </c>
      <c r="F211" s="78">
        <v>322000000</v>
      </c>
      <c r="G211" s="78">
        <v>29415</v>
      </c>
      <c r="H211" s="78">
        <v>1</v>
      </c>
      <c r="I211" s="78">
        <v>322</v>
      </c>
      <c r="J211" s="78">
        <v>6193</v>
      </c>
      <c r="K211" s="78">
        <v>7197</v>
      </c>
      <c r="L211" s="78">
        <v>2701</v>
      </c>
      <c r="M211" s="78">
        <v>3415</v>
      </c>
      <c r="N211" s="78">
        <v>2153.1</v>
      </c>
      <c r="O211" s="78">
        <v>482</v>
      </c>
      <c r="P211" s="78">
        <v>47</v>
      </c>
      <c r="Q211" s="78">
        <v>1463</v>
      </c>
      <c r="R211" s="78">
        <v>3808</v>
      </c>
      <c r="S211" s="78">
        <v>1640</v>
      </c>
      <c r="T211" s="78">
        <v>0</v>
      </c>
      <c r="U211" s="78">
        <v>1088</v>
      </c>
      <c r="V211" s="78">
        <v>12895</v>
      </c>
      <c r="W211" s="78">
        <v>24850</v>
      </c>
      <c r="X211" s="78">
        <v>6000</v>
      </c>
      <c r="Y211" s="78">
        <v>0</v>
      </c>
      <c r="Z211" s="78">
        <v>1009.6</v>
      </c>
      <c r="AA211" s="78">
        <v>0</v>
      </c>
      <c r="AB211" s="399">
        <v>0</v>
      </c>
      <c r="AC211" s="399">
        <v>0</v>
      </c>
      <c r="AD211" s="78">
        <v>767</v>
      </c>
      <c r="AE211" s="78">
        <v>1081.47</v>
      </c>
      <c r="AF211" s="78">
        <v>128</v>
      </c>
      <c r="AG211" s="78">
        <v>0</v>
      </c>
      <c r="AH211" s="78">
        <v>121</v>
      </c>
      <c r="AI211" s="78">
        <v>9</v>
      </c>
      <c r="AJ211" s="78">
        <v>171.82</v>
      </c>
      <c r="AK211" s="78">
        <v>12.24</v>
      </c>
      <c r="AL211" s="78">
        <v>130</v>
      </c>
      <c r="AM211" s="78">
        <v>12619</v>
      </c>
      <c r="AN211" s="78">
        <v>17918.98</v>
      </c>
      <c r="AO211" s="78">
        <v>0</v>
      </c>
      <c r="AP211" s="78">
        <v>0</v>
      </c>
      <c r="AQ211" s="78">
        <v>0</v>
      </c>
      <c r="AR211" s="78">
        <v>0</v>
      </c>
      <c r="AS211" s="78">
        <v>925</v>
      </c>
      <c r="AT211" s="78">
        <v>0</v>
      </c>
      <c r="AU211" s="400">
        <v>2.0524200000000001E-4</v>
      </c>
      <c r="AV211" s="400">
        <v>6.2073200000000003E-4</v>
      </c>
      <c r="AW211" s="78">
        <v>24821.573</v>
      </c>
      <c r="AX211" s="78">
        <v>0</v>
      </c>
      <c r="AY211" s="78">
        <v>1230.93</v>
      </c>
      <c r="AZ211" s="78">
        <v>121366.947318436</v>
      </c>
      <c r="BA211" s="78">
        <v>1</v>
      </c>
      <c r="BB211" s="78">
        <v>1.36</v>
      </c>
      <c r="BC211" s="78">
        <v>2825</v>
      </c>
      <c r="BD211" s="78">
        <v>1</v>
      </c>
      <c r="BE211" s="78">
        <v>0</v>
      </c>
      <c r="BF211" s="78">
        <v>0</v>
      </c>
      <c r="BG211" s="78">
        <v>0</v>
      </c>
      <c r="BH211" s="78">
        <v>0</v>
      </c>
      <c r="BI211" s="78">
        <v>0</v>
      </c>
      <c r="BJ211" s="78">
        <v>0</v>
      </c>
      <c r="BK211" s="78">
        <v>0</v>
      </c>
      <c r="BL211" s="78">
        <v>0</v>
      </c>
      <c r="BM211" s="78">
        <v>532.59799999999996</v>
      </c>
      <c r="BN211" s="78">
        <v>108</v>
      </c>
      <c r="BO211" s="78">
        <v>50</v>
      </c>
      <c r="BP211" s="78">
        <v>9043.24</v>
      </c>
      <c r="BQ211" s="78">
        <v>2235.6</v>
      </c>
      <c r="BR211" s="78">
        <v>242.189352941176</v>
      </c>
      <c r="BS211" s="78">
        <v>476</v>
      </c>
      <c r="BT211" s="78">
        <v>173.333333333333</v>
      </c>
      <c r="BU211" s="78">
        <v>164.666666666667</v>
      </c>
      <c r="BV211" s="78">
        <v>981</v>
      </c>
      <c r="BW211" s="78">
        <v>298</v>
      </c>
      <c r="BX211" s="78">
        <v>5236.6901394083698</v>
      </c>
      <c r="BY211" s="402">
        <v>1.1479999999999999</v>
      </c>
      <c r="BZ211" s="78">
        <v>22218</v>
      </c>
      <c r="CA211" s="78">
        <v>3537</v>
      </c>
      <c r="CB211" s="78">
        <v>959</v>
      </c>
      <c r="CC211" s="78">
        <v>728</v>
      </c>
      <c r="CD211" s="78">
        <v>815</v>
      </c>
      <c r="CE211" s="78">
        <v>492</v>
      </c>
      <c r="CF211" s="78">
        <v>367.35274585941801</v>
      </c>
      <c r="CG211" s="78">
        <v>312.24130279736897</v>
      </c>
      <c r="CH211" s="78">
        <v>124.38465013075501</v>
      </c>
      <c r="CI211" s="78">
        <v>854.52570000000003</v>
      </c>
      <c r="CJ211" s="78">
        <v>726.327</v>
      </c>
      <c r="CK211" s="78">
        <v>289.34010000000001</v>
      </c>
      <c r="CL211" s="78">
        <v>0</v>
      </c>
    </row>
    <row r="212" spans="1:90" x14ac:dyDescent="0.35">
      <c r="A212" s="72">
        <v>1931</v>
      </c>
      <c r="B212" s="72" t="s">
        <v>170</v>
      </c>
      <c r="C212" s="72">
        <v>8</v>
      </c>
      <c r="D212" s="78">
        <v>6332400000</v>
      </c>
      <c r="E212" s="78">
        <v>694400000</v>
      </c>
      <c r="F212" s="78">
        <v>743750000</v>
      </c>
      <c r="G212" s="78">
        <v>57062</v>
      </c>
      <c r="H212" s="78">
        <v>9</v>
      </c>
      <c r="I212" s="78">
        <v>743.75</v>
      </c>
      <c r="J212" s="78">
        <v>11557</v>
      </c>
      <c r="K212" s="78">
        <v>12325</v>
      </c>
      <c r="L212" s="78">
        <v>4321</v>
      </c>
      <c r="M212" s="78">
        <v>6387</v>
      </c>
      <c r="N212" s="78">
        <v>3962.7999999999997</v>
      </c>
      <c r="O212" s="78">
        <v>655.66666666666697</v>
      </c>
      <c r="P212" s="78">
        <v>2</v>
      </c>
      <c r="Q212" s="78">
        <v>2531.6666666666702</v>
      </c>
      <c r="R212" s="78">
        <v>7496</v>
      </c>
      <c r="S212" s="78">
        <v>2160</v>
      </c>
      <c r="T212" s="78">
        <v>0</v>
      </c>
      <c r="U212" s="78">
        <v>1410</v>
      </c>
      <c r="V212" s="78">
        <v>24684</v>
      </c>
      <c r="W212" s="78">
        <v>41530</v>
      </c>
      <c r="X212" s="78">
        <v>3610</v>
      </c>
      <c r="Y212" s="78">
        <v>0</v>
      </c>
      <c r="Z212" s="78">
        <v>2412</v>
      </c>
      <c r="AA212" s="78">
        <v>0</v>
      </c>
      <c r="AB212" s="399">
        <v>0</v>
      </c>
      <c r="AC212" s="399">
        <v>0</v>
      </c>
      <c r="AD212" s="78">
        <v>14910</v>
      </c>
      <c r="AE212" s="78">
        <v>24005.1</v>
      </c>
      <c r="AF212" s="78">
        <v>1221</v>
      </c>
      <c r="AG212" s="78">
        <v>0</v>
      </c>
      <c r="AH212" s="78">
        <v>292</v>
      </c>
      <c r="AI212" s="78">
        <v>95</v>
      </c>
      <c r="AJ212" s="78">
        <v>435.08</v>
      </c>
      <c r="AK212" s="78">
        <v>154.85</v>
      </c>
      <c r="AL212" s="78">
        <v>387</v>
      </c>
      <c r="AM212" s="78">
        <v>24242</v>
      </c>
      <c r="AN212" s="78">
        <v>36120.58</v>
      </c>
      <c r="AO212" s="78">
        <v>15</v>
      </c>
      <c r="AP212" s="78">
        <v>0</v>
      </c>
      <c r="AQ212" s="78">
        <v>0</v>
      </c>
      <c r="AR212" s="78">
        <v>3000</v>
      </c>
      <c r="AS212" s="78">
        <v>3668</v>
      </c>
      <c r="AT212" s="78">
        <v>1194</v>
      </c>
      <c r="AU212" s="400">
        <v>1.099844E-3</v>
      </c>
      <c r="AV212" s="400">
        <v>6.4869999999999999E-4</v>
      </c>
      <c r="AW212" s="78">
        <v>19126.937999999998</v>
      </c>
      <c r="AX212" s="78">
        <v>0</v>
      </c>
      <c r="AY212" s="78">
        <v>32093.74</v>
      </c>
      <c r="AZ212" s="78">
        <v>330232.449499721</v>
      </c>
      <c r="BA212" s="78">
        <v>25</v>
      </c>
      <c r="BB212" s="78">
        <v>40.75</v>
      </c>
      <c r="BC212" s="78">
        <v>7230</v>
      </c>
      <c r="BD212" s="78">
        <v>1</v>
      </c>
      <c r="BE212" s="78">
        <v>0</v>
      </c>
      <c r="BF212" s="78">
        <v>0</v>
      </c>
      <c r="BG212" s="78">
        <v>0</v>
      </c>
      <c r="BH212" s="78">
        <v>0</v>
      </c>
      <c r="BI212" s="78">
        <v>0</v>
      </c>
      <c r="BJ212" s="78">
        <v>0</v>
      </c>
      <c r="BK212" s="78">
        <v>0</v>
      </c>
      <c r="BL212" s="78">
        <v>0</v>
      </c>
      <c r="BM212" s="78">
        <v>901.44600000000003</v>
      </c>
      <c r="BN212" s="78">
        <v>240</v>
      </c>
      <c r="BO212" s="78">
        <v>145</v>
      </c>
      <c r="BP212" s="78">
        <v>17835.48</v>
      </c>
      <c r="BQ212" s="78">
        <v>4352.3999999999996</v>
      </c>
      <c r="BR212" s="78">
        <v>455.58292144177398</v>
      </c>
      <c r="BS212" s="78">
        <v>585</v>
      </c>
      <c r="BT212" s="78">
        <v>208.333333333333</v>
      </c>
      <c r="BU212" s="78">
        <v>154</v>
      </c>
      <c r="BV212" s="78">
        <v>1876.0000000000032</v>
      </c>
      <c r="BW212" s="78">
        <v>607</v>
      </c>
      <c r="BX212" s="78">
        <v>8448.5056748260395</v>
      </c>
      <c r="BY212" s="402">
        <v>0.96799999999999997</v>
      </c>
      <c r="BZ212" s="78">
        <v>44737</v>
      </c>
      <c r="CA212" s="78">
        <v>6613</v>
      </c>
      <c r="CB212" s="78">
        <v>1391</v>
      </c>
      <c r="CC212" s="78">
        <v>1172</v>
      </c>
      <c r="CD212" s="78">
        <v>1390</v>
      </c>
      <c r="CE212" s="78">
        <v>660</v>
      </c>
      <c r="CF212" s="78">
        <v>650.44060721062601</v>
      </c>
      <c r="CG212" s="78">
        <v>490.56855044963299</v>
      </c>
      <c r="CH212" s="78">
        <v>163.63182905700901</v>
      </c>
      <c r="CI212" s="78">
        <v>1537.8834999999999</v>
      </c>
      <c r="CJ212" s="78">
        <v>1159.8865000000001</v>
      </c>
      <c r="CK212" s="78">
        <v>386.88650000000001</v>
      </c>
      <c r="CL212" s="78">
        <v>50916</v>
      </c>
    </row>
    <row r="213" spans="1:90" x14ac:dyDescent="0.35">
      <c r="A213" s="72">
        <v>1621</v>
      </c>
      <c r="B213" s="72" t="s">
        <v>176</v>
      </c>
      <c r="C213" s="72">
        <v>8</v>
      </c>
      <c r="D213" s="78">
        <v>8041600000</v>
      </c>
      <c r="E213" s="78">
        <v>1467900000</v>
      </c>
      <c r="F213" s="78">
        <v>1480850000</v>
      </c>
      <c r="G213" s="78">
        <v>64110</v>
      </c>
      <c r="H213" s="78">
        <v>2</v>
      </c>
      <c r="I213" s="78">
        <v>1480.85</v>
      </c>
      <c r="J213" s="78">
        <v>15941</v>
      </c>
      <c r="K213" s="78">
        <v>10162</v>
      </c>
      <c r="L213" s="78">
        <v>3417</v>
      </c>
      <c r="M213" s="78">
        <v>4569</v>
      </c>
      <c r="N213" s="78">
        <v>2075.3999999999996</v>
      </c>
      <c r="O213" s="78">
        <v>590.33333333333303</v>
      </c>
      <c r="P213" s="78">
        <v>36</v>
      </c>
      <c r="Q213" s="78">
        <v>2271.3333333333298</v>
      </c>
      <c r="R213" s="78">
        <v>5651</v>
      </c>
      <c r="S213" s="78">
        <v>4610</v>
      </c>
      <c r="T213" s="78">
        <v>0</v>
      </c>
      <c r="U213" s="78">
        <v>2081</v>
      </c>
      <c r="V213" s="78">
        <v>25189</v>
      </c>
      <c r="W213" s="78">
        <v>53360</v>
      </c>
      <c r="X213" s="78">
        <v>20060</v>
      </c>
      <c r="Y213" s="78">
        <v>0</v>
      </c>
      <c r="Z213" s="78">
        <v>3675.2</v>
      </c>
      <c r="AA213" s="78">
        <v>0</v>
      </c>
      <c r="AB213" s="399">
        <v>0</v>
      </c>
      <c r="AC213" s="399">
        <v>1116.8999999999996</v>
      </c>
      <c r="AD213" s="78">
        <v>5326</v>
      </c>
      <c r="AE213" s="78">
        <v>6817.28</v>
      </c>
      <c r="AF213" s="78">
        <v>313</v>
      </c>
      <c r="AG213" s="78">
        <v>0</v>
      </c>
      <c r="AH213" s="78">
        <v>313</v>
      </c>
      <c r="AI213" s="78">
        <v>114</v>
      </c>
      <c r="AJ213" s="78">
        <v>403.77</v>
      </c>
      <c r="AK213" s="78">
        <v>145.91999999999999</v>
      </c>
      <c r="AL213" s="78">
        <v>427</v>
      </c>
      <c r="AM213" s="78">
        <v>24936</v>
      </c>
      <c r="AN213" s="78">
        <v>32167.439999999999</v>
      </c>
      <c r="AO213" s="78">
        <v>0</v>
      </c>
      <c r="AP213" s="78">
        <v>0</v>
      </c>
      <c r="AQ213" s="78">
        <v>0</v>
      </c>
      <c r="AR213" s="78">
        <v>0</v>
      </c>
      <c r="AS213" s="78">
        <v>501</v>
      </c>
      <c r="AT213" s="78">
        <v>0</v>
      </c>
      <c r="AU213" s="400">
        <v>1.67963E-4</v>
      </c>
      <c r="AV213" s="400">
        <v>1.50531E-4</v>
      </c>
      <c r="AW213" s="78">
        <v>33464.112000000001</v>
      </c>
      <c r="AX213" s="78">
        <v>0</v>
      </c>
      <c r="AY213" s="78">
        <v>5486.08</v>
      </c>
      <c r="AZ213" s="78">
        <v>101138.953715198</v>
      </c>
      <c r="BA213" s="78">
        <v>6</v>
      </c>
      <c r="BB213" s="78">
        <v>7.68</v>
      </c>
      <c r="BC213" s="78">
        <v>9030</v>
      </c>
      <c r="BD213" s="78">
        <v>1</v>
      </c>
      <c r="BE213" s="78">
        <v>0</v>
      </c>
      <c r="BF213" s="78">
        <v>0</v>
      </c>
      <c r="BG213" s="78">
        <v>0</v>
      </c>
      <c r="BH213" s="78">
        <v>0</v>
      </c>
      <c r="BI213" s="78">
        <v>0</v>
      </c>
      <c r="BJ213" s="78">
        <v>0</v>
      </c>
      <c r="BK213" s="78">
        <v>0</v>
      </c>
      <c r="BL213" s="78">
        <v>0</v>
      </c>
      <c r="BM213" s="78">
        <v>1020.224</v>
      </c>
      <c r="BN213" s="78">
        <v>90</v>
      </c>
      <c r="BO213" s="78">
        <v>119</v>
      </c>
      <c r="BP213" s="78">
        <v>21729.84</v>
      </c>
      <c r="BQ213" s="78">
        <v>7358.78</v>
      </c>
      <c r="BR213" s="78">
        <v>577.76362328478797</v>
      </c>
      <c r="BS213" s="78">
        <v>923</v>
      </c>
      <c r="BT213" s="78">
        <v>233.333333333333</v>
      </c>
      <c r="BU213" s="78">
        <v>164.333333333333</v>
      </c>
      <c r="BV213" s="78">
        <v>1680.9999999999968</v>
      </c>
      <c r="BW213" s="78">
        <v>368</v>
      </c>
      <c r="BX213" s="78">
        <v>6585.1693953884796</v>
      </c>
      <c r="BY213" s="402">
        <v>0.49299999999999999</v>
      </c>
      <c r="BZ213" s="78">
        <v>53948</v>
      </c>
      <c r="CA213" s="78">
        <v>5592</v>
      </c>
      <c r="CB213" s="78">
        <v>1153</v>
      </c>
      <c r="CC213" s="78">
        <v>1035</v>
      </c>
      <c r="CD213" s="78">
        <v>1041</v>
      </c>
      <c r="CE213" s="78">
        <v>543</v>
      </c>
      <c r="CF213" s="78">
        <v>286.05830125120298</v>
      </c>
      <c r="CG213" s="78">
        <v>193.34112127045199</v>
      </c>
      <c r="CH213" s="78">
        <v>69.329812319537993</v>
      </c>
      <c r="CI213" s="78">
        <v>978.85760000000005</v>
      </c>
      <c r="CJ213" s="78">
        <v>661.59040000000005</v>
      </c>
      <c r="CK213" s="78">
        <v>237.23840000000001</v>
      </c>
      <c r="CL213" s="78">
        <v>23549</v>
      </c>
    </row>
    <row r="214" spans="1:90" x14ac:dyDescent="0.35">
      <c r="A214" s="72">
        <v>546</v>
      </c>
      <c r="B214" s="72" t="s">
        <v>179</v>
      </c>
      <c r="C214" s="72">
        <v>8</v>
      </c>
      <c r="D214" s="78">
        <v>16956400000</v>
      </c>
      <c r="E214" s="78">
        <v>2275350000</v>
      </c>
      <c r="F214" s="78">
        <v>2308250000</v>
      </c>
      <c r="G214" s="78">
        <v>125074</v>
      </c>
      <c r="H214" s="78">
        <v>1</v>
      </c>
      <c r="I214" s="78">
        <v>2308.25</v>
      </c>
      <c r="J214" s="78">
        <v>18740</v>
      </c>
      <c r="K214" s="78">
        <v>20036</v>
      </c>
      <c r="L214" s="78">
        <v>6291</v>
      </c>
      <c r="M214" s="78">
        <v>18713</v>
      </c>
      <c r="N214" s="78">
        <v>12194.2</v>
      </c>
      <c r="O214" s="78">
        <v>3128.3333333333298</v>
      </c>
      <c r="P214" s="78">
        <v>138</v>
      </c>
      <c r="Q214" s="78">
        <v>8090.3333333333303</v>
      </c>
      <c r="R214" s="78">
        <v>37598</v>
      </c>
      <c r="S214" s="78">
        <v>11715</v>
      </c>
      <c r="T214" s="78">
        <v>0</v>
      </c>
      <c r="U214" s="78">
        <v>3818</v>
      </c>
      <c r="V214" s="78">
        <v>70390</v>
      </c>
      <c r="W214" s="78">
        <v>148300</v>
      </c>
      <c r="X214" s="78">
        <v>159200</v>
      </c>
      <c r="Y214" s="78">
        <v>5154.42</v>
      </c>
      <c r="Z214" s="78">
        <v>8382.4</v>
      </c>
      <c r="AA214" s="78">
        <v>0</v>
      </c>
      <c r="AB214" s="399">
        <v>0</v>
      </c>
      <c r="AC214" s="399">
        <v>0</v>
      </c>
      <c r="AD214" s="78">
        <v>2185</v>
      </c>
      <c r="AE214" s="78">
        <v>2556.4499999999998</v>
      </c>
      <c r="AF214" s="78">
        <v>142</v>
      </c>
      <c r="AG214" s="78">
        <v>0</v>
      </c>
      <c r="AH214" s="78">
        <v>414</v>
      </c>
      <c r="AI214" s="78">
        <v>6</v>
      </c>
      <c r="AJ214" s="78">
        <v>476.1</v>
      </c>
      <c r="AK214" s="78">
        <v>7.5</v>
      </c>
      <c r="AL214" s="78">
        <v>420</v>
      </c>
      <c r="AM214" s="78">
        <v>65188</v>
      </c>
      <c r="AN214" s="78">
        <v>74966.2</v>
      </c>
      <c r="AO214" s="78">
        <v>0</v>
      </c>
      <c r="AP214" s="78">
        <v>0</v>
      </c>
      <c r="AQ214" s="78">
        <v>125</v>
      </c>
      <c r="AR214" s="78">
        <v>21850</v>
      </c>
      <c r="AS214" s="78">
        <v>17166</v>
      </c>
      <c r="AT214" s="78">
        <v>17166</v>
      </c>
      <c r="AU214" s="400">
        <v>1.1120166000000001E-2</v>
      </c>
      <c r="AV214" s="400">
        <v>1.0416431E-2</v>
      </c>
      <c r="AW214" s="78">
        <v>250843.424</v>
      </c>
      <c r="AX214" s="78">
        <v>29204.223999999998</v>
      </c>
      <c r="AY214" s="78">
        <v>2531.88</v>
      </c>
      <c r="AZ214" s="78">
        <v>226516.700111732</v>
      </c>
      <c r="BA214" s="78">
        <v>1</v>
      </c>
      <c r="BB214" s="78">
        <v>1.25</v>
      </c>
      <c r="BC214" s="78">
        <v>15260</v>
      </c>
      <c r="BD214" s="78">
        <v>1</v>
      </c>
      <c r="BE214" s="78">
        <v>0</v>
      </c>
      <c r="BF214" s="78">
        <v>0</v>
      </c>
      <c r="BG214" s="78">
        <v>0</v>
      </c>
      <c r="BH214" s="78">
        <v>0</v>
      </c>
      <c r="BI214" s="78">
        <v>0</v>
      </c>
      <c r="BJ214" s="78">
        <v>0</v>
      </c>
      <c r="BK214" s="78">
        <v>0</v>
      </c>
      <c r="BL214" s="78">
        <v>0</v>
      </c>
      <c r="BM214" s="78">
        <v>2642.34</v>
      </c>
      <c r="BN214" s="78">
        <v>295</v>
      </c>
      <c r="BO214" s="78">
        <v>352</v>
      </c>
      <c r="BP214" s="78">
        <v>39465.089999999997</v>
      </c>
      <c r="BQ214" s="78">
        <v>7427.85</v>
      </c>
      <c r="BR214" s="78">
        <v>1074.33536539995</v>
      </c>
      <c r="BS214" s="78">
        <v>1393</v>
      </c>
      <c r="BT214" s="78">
        <v>814.66666666666697</v>
      </c>
      <c r="BU214" s="78">
        <v>718.33333333333303</v>
      </c>
      <c r="BV214" s="78">
        <v>4962</v>
      </c>
      <c r="BW214" s="78">
        <v>1560</v>
      </c>
      <c r="BX214" s="78">
        <v>15649.5852800722</v>
      </c>
      <c r="BY214" s="402">
        <v>7.4020000000000001</v>
      </c>
      <c r="BZ214" s="78">
        <v>105038</v>
      </c>
      <c r="CA214" s="78">
        <v>11584</v>
      </c>
      <c r="CB214" s="78">
        <v>2161</v>
      </c>
      <c r="CC214" s="78">
        <v>3638</v>
      </c>
      <c r="CD214" s="78">
        <v>2511</v>
      </c>
      <c r="CE214" s="78">
        <v>1175</v>
      </c>
      <c r="CF214" s="78">
        <v>1472.7394090937</v>
      </c>
      <c r="CG214" s="78">
        <v>864.97485426765695</v>
      </c>
      <c r="CH214" s="78">
        <v>299.29925753206101</v>
      </c>
      <c r="CI214" s="78">
        <v>3354.6853000000001</v>
      </c>
      <c r="CJ214" s="78">
        <v>1970.2864</v>
      </c>
      <c r="CK214" s="78">
        <v>681.76</v>
      </c>
      <c r="CL214" s="78">
        <v>52431</v>
      </c>
    </row>
    <row r="215" spans="1:90" x14ac:dyDescent="0.35">
      <c r="A215" s="72">
        <v>547</v>
      </c>
      <c r="B215" s="72" t="s">
        <v>180</v>
      </c>
      <c r="C215" s="72">
        <v>8</v>
      </c>
      <c r="D215" s="78">
        <v>3630800000</v>
      </c>
      <c r="E215" s="78">
        <v>296100000</v>
      </c>
      <c r="F215" s="78">
        <v>296800000</v>
      </c>
      <c r="G215" s="78">
        <v>27464</v>
      </c>
      <c r="H215" s="78">
        <v>1</v>
      </c>
      <c r="I215" s="78">
        <v>296.8</v>
      </c>
      <c r="J215" s="78">
        <v>5199</v>
      </c>
      <c r="K215" s="78">
        <v>6364</v>
      </c>
      <c r="L215" s="78">
        <v>2226</v>
      </c>
      <c r="M215" s="78">
        <v>2917</v>
      </c>
      <c r="N215" s="78">
        <v>1654.8</v>
      </c>
      <c r="O215" s="78">
        <v>342.66666666666703</v>
      </c>
      <c r="P215" s="78">
        <v>30</v>
      </c>
      <c r="Q215" s="78">
        <v>1338.6666666666699</v>
      </c>
      <c r="R215" s="78">
        <v>4447</v>
      </c>
      <c r="S215" s="78">
        <v>2005</v>
      </c>
      <c r="T215" s="78">
        <v>0</v>
      </c>
      <c r="U215" s="78">
        <v>848</v>
      </c>
      <c r="V215" s="78">
        <v>12733</v>
      </c>
      <c r="W215" s="78">
        <v>23090</v>
      </c>
      <c r="X215" s="78">
        <v>6490</v>
      </c>
      <c r="Y215" s="78">
        <v>692</v>
      </c>
      <c r="Z215" s="78">
        <v>365.6</v>
      </c>
      <c r="AA215" s="78">
        <v>0</v>
      </c>
      <c r="AB215" s="399">
        <v>0</v>
      </c>
      <c r="AC215" s="399">
        <v>0</v>
      </c>
      <c r="AD215" s="78">
        <v>1150</v>
      </c>
      <c r="AE215" s="78">
        <v>1460.5</v>
      </c>
      <c r="AF215" s="78">
        <v>78</v>
      </c>
      <c r="AG215" s="78">
        <v>0</v>
      </c>
      <c r="AH215" s="78">
        <v>103</v>
      </c>
      <c r="AI215" s="78">
        <v>5</v>
      </c>
      <c r="AJ215" s="78">
        <v>127.72</v>
      </c>
      <c r="AK215" s="78">
        <v>6.45</v>
      </c>
      <c r="AL215" s="78">
        <v>107</v>
      </c>
      <c r="AM215" s="78">
        <v>12622</v>
      </c>
      <c r="AN215" s="78">
        <v>15651.28</v>
      </c>
      <c r="AO215" s="78">
        <v>0</v>
      </c>
      <c r="AP215" s="78">
        <v>0</v>
      </c>
      <c r="AQ215" s="78">
        <v>0</v>
      </c>
      <c r="AR215" s="78">
        <v>0</v>
      </c>
      <c r="AS215" s="78">
        <v>510</v>
      </c>
      <c r="AT215" s="78">
        <v>0</v>
      </c>
      <c r="AU215" s="400">
        <v>1.4603700000000001E-4</v>
      </c>
      <c r="AV215" s="400">
        <v>6.9047100000000001E-4</v>
      </c>
      <c r="AW215" s="78">
        <v>31832.684000000001</v>
      </c>
      <c r="AX215" s="78">
        <v>0</v>
      </c>
      <c r="AY215" s="78">
        <v>1198.8800000000001</v>
      </c>
      <c r="AZ215" s="78">
        <v>58908.490814332297</v>
      </c>
      <c r="BA215" s="78">
        <v>2</v>
      </c>
      <c r="BB215" s="78">
        <v>2.58</v>
      </c>
      <c r="BC215" s="78">
        <v>3205</v>
      </c>
      <c r="BD215" s="78">
        <v>1</v>
      </c>
      <c r="BE215" s="78">
        <v>0</v>
      </c>
      <c r="BF215" s="78">
        <v>0</v>
      </c>
      <c r="BG215" s="78">
        <v>0</v>
      </c>
      <c r="BH215" s="78">
        <v>0</v>
      </c>
      <c r="BI215" s="78">
        <v>0</v>
      </c>
      <c r="BJ215" s="78">
        <v>0</v>
      </c>
      <c r="BK215" s="78">
        <v>0</v>
      </c>
      <c r="BL215" s="78">
        <v>0</v>
      </c>
      <c r="BM215" s="78">
        <v>405.52199999999999</v>
      </c>
      <c r="BN215" s="78">
        <v>48</v>
      </c>
      <c r="BO215" s="78">
        <v>41</v>
      </c>
      <c r="BP215" s="78">
        <v>9879.74</v>
      </c>
      <c r="BQ215" s="78">
        <v>2208.75</v>
      </c>
      <c r="BR215" s="78">
        <v>230.47908297568</v>
      </c>
      <c r="BS215" s="78">
        <v>318</v>
      </c>
      <c r="BT215" s="78">
        <v>102</v>
      </c>
      <c r="BU215" s="78">
        <v>84.6666666666667</v>
      </c>
      <c r="BV215" s="78">
        <v>996.00000000000296</v>
      </c>
      <c r="BW215" s="78">
        <v>283</v>
      </c>
      <c r="BX215" s="78">
        <v>4818.0224509624904</v>
      </c>
      <c r="BY215" s="402">
        <v>0.56100000000000005</v>
      </c>
      <c r="BZ215" s="78">
        <v>21100</v>
      </c>
      <c r="CA215" s="78">
        <v>3359</v>
      </c>
      <c r="CB215" s="78">
        <v>779</v>
      </c>
      <c r="CC215" s="78">
        <v>801</v>
      </c>
      <c r="CD215" s="78">
        <v>829</v>
      </c>
      <c r="CE215" s="78">
        <v>450</v>
      </c>
      <c r="CF215" s="78">
        <v>274.13934400253498</v>
      </c>
      <c r="CG215" s="78">
        <v>213.83131041039499</v>
      </c>
      <c r="CH215" s="78">
        <v>80.104801140865206</v>
      </c>
      <c r="CI215" s="78">
        <v>724.94970000000001</v>
      </c>
      <c r="CJ215" s="78">
        <v>565.46770000000004</v>
      </c>
      <c r="CK215" s="78">
        <v>211.83369999999999</v>
      </c>
      <c r="CL215" s="78">
        <v>40239</v>
      </c>
    </row>
    <row r="216" spans="1:90" x14ac:dyDescent="0.35">
      <c r="A216" s="72">
        <v>1916</v>
      </c>
      <c r="B216" s="72" t="s">
        <v>181</v>
      </c>
      <c r="C216" s="72">
        <v>8</v>
      </c>
      <c r="D216" s="78">
        <v>10222800000</v>
      </c>
      <c r="E216" s="78">
        <v>828100000</v>
      </c>
      <c r="F216" s="78">
        <v>850500000</v>
      </c>
      <c r="G216" s="78">
        <v>76659</v>
      </c>
      <c r="H216" s="78">
        <v>2</v>
      </c>
      <c r="I216" s="78">
        <v>850.5</v>
      </c>
      <c r="J216" s="78">
        <v>14808</v>
      </c>
      <c r="K216" s="78">
        <v>17844</v>
      </c>
      <c r="L216" s="78">
        <v>6205</v>
      </c>
      <c r="M216" s="78">
        <v>10775</v>
      </c>
      <c r="N216" s="78">
        <v>7030.7</v>
      </c>
      <c r="O216" s="78">
        <v>1778.6666666666699</v>
      </c>
      <c r="P216" s="78">
        <v>61</v>
      </c>
      <c r="Q216" s="78">
        <v>4636.6666666666697</v>
      </c>
      <c r="R216" s="78">
        <v>15421</v>
      </c>
      <c r="S216" s="78">
        <v>6370</v>
      </c>
      <c r="T216" s="78">
        <v>0</v>
      </c>
      <c r="U216" s="78">
        <v>3041</v>
      </c>
      <c r="V216" s="78">
        <v>37838</v>
      </c>
      <c r="W216" s="78">
        <v>67620</v>
      </c>
      <c r="X216" s="78">
        <v>34070</v>
      </c>
      <c r="Y216" s="78">
        <v>613.32000000000005</v>
      </c>
      <c r="Z216" s="78">
        <v>3624.8</v>
      </c>
      <c r="AA216" s="78">
        <v>0</v>
      </c>
      <c r="AB216" s="399">
        <v>0</v>
      </c>
      <c r="AC216" s="399">
        <v>0</v>
      </c>
      <c r="AD216" s="78">
        <v>3218</v>
      </c>
      <c r="AE216" s="78">
        <v>3700.7</v>
      </c>
      <c r="AF216" s="78">
        <v>344</v>
      </c>
      <c r="AG216" s="78">
        <v>0</v>
      </c>
      <c r="AH216" s="78">
        <v>242</v>
      </c>
      <c r="AI216" s="78">
        <v>18</v>
      </c>
      <c r="AJ216" s="78">
        <v>256.52</v>
      </c>
      <c r="AK216" s="78">
        <v>22.14</v>
      </c>
      <c r="AL216" s="78">
        <v>260</v>
      </c>
      <c r="AM216" s="78">
        <v>37443</v>
      </c>
      <c r="AN216" s="78">
        <v>39689.58</v>
      </c>
      <c r="AO216" s="78">
        <v>0</v>
      </c>
      <c r="AP216" s="78">
        <v>0</v>
      </c>
      <c r="AQ216" s="78">
        <v>0</v>
      </c>
      <c r="AR216" s="78">
        <v>0</v>
      </c>
      <c r="AS216" s="78">
        <v>6047</v>
      </c>
      <c r="AT216" s="78">
        <v>0</v>
      </c>
      <c r="AU216" s="400">
        <v>3.6292170000000001E-3</v>
      </c>
      <c r="AV216" s="400">
        <v>6.4129119999999998E-3</v>
      </c>
      <c r="AW216" s="78">
        <v>110419.40700000001</v>
      </c>
      <c r="AX216" s="78">
        <v>0</v>
      </c>
      <c r="AY216" s="78">
        <v>3187.8</v>
      </c>
      <c r="AZ216" s="78">
        <v>102908.57391914701</v>
      </c>
      <c r="BA216" s="78">
        <v>4</v>
      </c>
      <c r="BB216" s="78">
        <v>4.92</v>
      </c>
      <c r="BC216" s="78">
        <v>8905</v>
      </c>
      <c r="BD216" s="78">
        <v>1</v>
      </c>
      <c r="BE216" s="78">
        <v>0</v>
      </c>
      <c r="BF216" s="78">
        <v>0</v>
      </c>
      <c r="BG216" s="78">
        <v>0</v>
      </c>
      <c r="BH216" s="78">
        <v>0</v>
      </c>
      <c r="BI216" s="78">
        <v>0</v>
      </c>
      <c r="BJ216" s="78">
        <v>0</v>
      </c>
      <c r="BK216" s="78">
        <v>0</v>
      </c>
      <c r="BL216" s="78">
        <v>0</v>
      </c>
      <c r="BM216" s="78">
        <v>1806.576</v>
      </c>
      <c r="BN216" s="78">
        <v>97</v>
      </c>
      <c r="BO216" s="78">
        <v>160</v>
      </c>
      <c r="BP216" s="78">
        <v>29185.759999999998</v>
      </c>
      <c r="BQ216" s="78">
        <v>6593.34</v>
      </c>
      <c r="BR216" s="78">
        <v>526.63804744113304</v>
      </c>
      <c r="BS216" s="78">
        <v>1154</v>
      </c>
      <c r="BT216" s="78">
        <v>525</v>
      </c>
      <c r="BU216" s="78">
        <v>472.33333333333297</v>
      </c>
      <c r="BV216" s="78">
        <v>2858</v>
      </c>
      <c r="BW216" s="78">
        <v>744</v>
      </c>
      <c r="BX216" s="78">
        <v>12606.204615283999</v>
      </c>
      <c r="BY216" s="402">
        <v>4.399</v>
      </c>
      <c r="BZ216" s="78">
        <v>58815</v>
      </c>
      <c r="CA216" s="78">
        <v>9152</v>
      </c>
      <c r="CB216" s="78">
        <v>2487</v>
      </c>
      <c r="CC216" s="78">
        <v>2822</v>
      </c>
      <c r="CD216" s="78">
        <v>2437</v>
      </c>
      <c r="CE216" s="78">
        <v>1357</v>
      </c>
      <c r="CF216" s="78">
        <v>1159.10880805491</v>
      </c>
      <c r="CG216" s="78">
        <v>842.71510295649398</v>
      </c>
      <c r="CH216" s="78">
        <v>352.07014662286701</v>
      </c>
      <c r="CI216" s="78">
        <v>2140.1790999999998</v>
      </c>
      <c r="CJ216" s="78">
        <v>1555.9896000000001</v>
      </c>
      <c r="CK216" s="78">
        <v>650.0625</v>
      </c>
      <c r="CL216" s="78">
        <v>107836</v>
      </c>
    </row>
    <row r="217" spans="1:90" x14ac:dyDescent="0.35">
      <c r="A217" s="72">
        <v>553</v>
      </c>
      <c r="B217" s="72" t="s">
        <v>186</v>
      </c>
      <c r="C217" s="72">
        <v>8</v>
      </c>
      <c r="D217" s="78">
        <v>2997600000</v>
      </c>
      <c r="E217" s="78">
        <v>410550000</v>
      </c>
      <c r="F217" s="78">
        <v>418600000</v>
      </c>
      <c r="G217" s="78">
        <v>23015</v>
      </c>
      <c r="H217" s="78">
        <v>2</v>
      </c>
      <c r="I217" s="78">
        <v>418.6</v>
      </c>
      <c r="J217" s="78">
        <v>4296</v>
      </c>
      <c r="K217" s="78">
        <v>5393</v>
      </c>
      <c r="L217" s="78">
        <v>1887</v>
      </c>
      <c r="M217" s="78">
        <v>2921</v>
      </c>
      <c r="N217" s="78">
        <v>1874.7</v>
      </c>
      <c r="O217" s="78">
        <v>217</v>
      </c>
      <c r="P217" s="78">
        <v>26</v>
      </c>
      <c r="Q217" s="78">
        <v>984</v>
      </c>
      <c r="R217" s="78">
        <v>3419</v>
      </c>
      <c r="S217" s="78">
        <v>520</v>
      </c>
      <c r="T217" s="78">
        <v>0</v>
      </c>
      <c r="U217" s="78">
        <v>721</v>
      </c>
      <c r="V217" s="78">
        <v>10421</v>
      </c>
      <c r="W217" s="78">
        <v>21240</v>
      </c>
      <c r="X217" s="78">
        <v>5380</v>
      </c>
      <c r="Y217" s="78">
        <v>287.10000000000002</v>
      </c>
      <c r="Z217" s="78">
        <v>1260</v>
      </c>
      <c r="AA217" s="78">
        <v>0</v>
      </c>
      <c r="AB217" s="399">
        <v>0</v>
      </c>
      <c r="AC217" s="399">
        <v>0</v>
      </c>
      <c r="AD217" s="78">
        <v>1569</v>
      </c>
      <c r="AE217" s="78">
        <v>1725.9</v>
      </c>
      <c r="AF217" s="78">
        <v>36</v>
      </c>
      <c r="AG217" s="78">
        <v>0</v>
      </c>
      <c r="AH217" s="78">
        <v>116</v>
      </c>
      <c r="AI217" s="78">
        <v>17</v>
      </c>
      <c r="AJ217" s="78">
        <v>132.24</v>
      </c>
      <c r="AK217" s="78">
        <v>18.190000000000001</v>
      </c>
      <c r="AL217" s="78">
        <v>133</v>
      </c>
      <c r="AM217" s="78">
        <v>10463</v>
      </c>
      <c r="AN217" s="78">
        <v>11927.82</v>
      </c>
      <c r="AO217" s="78">
        <v>0</v>
      </c>
      <c r="AP217" s="78">
        <v>0</v>
      </c>
      <c r="AQ217" s="78">
        <v>0</v>
      </c>
      <c r="AR217" s="78">
        <v>0</v>
      </c>
      <c r="AS217" s="78">
        <v>1325</v>
      </c>
      <c r="AT217" s="78">
        <v>0</v>
      </c>
      <c r="AU217" s="400">
        <v>2.9625000000000002E-4</v>
      </c>
      <c r="AV217" s="400">
        <v>4.2545499999999998E-4</v>
      </c>
      <c r="AW217" s="78">
        <v>17284.876</v>
      </c>
      <c r="AX217" s="78">
        <v>0</v>
      </c>
      <c r="AY217" s="78">
        <v>1185.8</v>
      </c>
      <c r="AZ217" s="78">
        <v>20694.858566978201</v>
      </c>
      <c r="BA217" s="78">
        <v>3</v>
      </c>
      <c r="BB217" s="78">
        <v>3.21</v>
      </c>
      <c r="BC217" s="78">
        <v>2880</v>
      </c>
      <c r="BD217" s="78">
        <v>1</v>
      </c>
      <c r="BE217" s="78">
        <v>0</v>
      </c>
      <c r="BF217" s="78">
        <v>0</v>
      </c>
      <c r="BG217" s="78">
        <v>0</v>
      </c>
      <c r="BH217" s="78">
        <v>0</v>
      </c>
      <c r="BI217" s="78">
        <v>0</v>
      </c>
      <c r="BJ217" s="78">
        <v>0</v>
      </c>
      <c r="BK217" s="78">
        <v>0</v>
      </c>
      <c r="BL217" s="78">
        <v>0</v>
      </c>
      <c r="BM217" s="78">
        <v>360.86399999999998</v>
      </c>
      <c r="BN217" s="78">
        <v>55</v>
      </c>
      <c r="BO217" s="78">
        <v>29</v>
      </c>
      <c r="BP217" s="78">
        <v>7508.05</v>
      </c>
      <c r="BQ217" s="78">
        <v>1683.6</v>
      </c>
      <c r="BR217" s="78">
        <v>149.532441926346</v>
      </c>
      <c r="BS217" s="78">
        <v>263</v>
      </c>
      <c r="BT217" s="78">
        <v>59</v>
      </c>
      <c r="BU217" s="78">
        <v>47</v>
      </c>
      <c r="BV217" s="78">
        <v>767</v>
      </c>
      <c r="BW217" s="78">
        <v>164</v>
      </c>
      <c r="BX217" s="78">
        <v>3696.4601601253198</v>
      </c>
      <c r="BY217" s="402">
        <v>0.182</v>
      </c>
      <c r="BZ217" s="78">
        <v>17622</v>
      </c>
      <c r="CA217" s="78">
        <v>2865</v>
      </c>
      <c r="CB217" s="78">
        <v>641</v>
      </c>
      <c r="CC217" s="78">
        <v>638</v>
      </c>
      <c r="CD217" s="78">
        <v>649</v>
      </c>
      <c r="CE217" s="78">
        <v>336</v>
      </c>
      <c r="CF217" s="78">
        <v>324.48453598394298</v>
      </c>
      <c r="CG217" s="78">
        <v>240.27264646850799</v>
      </c>
      <c r="CH217" s="78">
        <v>87.257851476631899</v>
      </c>
      <c r="CI217" s="78">
        <v>731.82510000000002</v>
      </c>
      <c r="CJ217" s="78">
        <v>541.8981</v>
      </c>
      <c r="CK217" s="78">
        <v>196.79669999999999</v>
      </c>
      <c r="CL217" s="78">
        <v>0</v>
      </c>
    </row>
    <row r="218" spans="1:90" x14ac:dyDescent="0.35">
      <c r="A218" s="72">
        <v>556</v>
      </c>
      <c r="B218" s="72" t="s">
        <v>194</v>
      </c>
      <c r="C218" s="72">
        <v>8</v>
      </c>
      <c r="D218" s="78">
        <v>3426000000</v>
      </c>
      <c r="E218" s="78">
        <v>283150000</v>
      </c>
      <c r="F218" s="78">
        <v>293650000</v>
      </c>
      <c r="G218" s="78">
        <v>34148</v>
      </c>
      <c r="H218" s="78">
        <v>1</v>
      </c>
      <c r="I218" s="78">
        <v>293.64999999999998</v>
      </c>
      <c r="J218" s="78">
        <v>6700</v>
      </c>
      <c r="K218" s="78">
        <v>7858</v>
      </c>
      <c r="L218" s="78">
        <v>2755</v>
      </c>
      <c r="M218" s="78">
        <v>4762</v>
      </c>
      <c r="N218" s="78">
        <v>3158.6</v>
      </c>
      <c r="O218" s="78">
        <v>731.33333333333303</v>
      </c>
      <c r="P218" s="78">
        <v>41</v>
      </c>
      <c r="Q218" s="78">
        <v>2213.3333333333298</v>
      </c>
      <c r="R218" s="78">
        <v>5257</v>
      </c>
      <c r="S218" s="78">
        <v>5170</v>
      </c>
      <c r="T218" s="78">
        <v>0</v>
      </c>
      <c r="U218" s="78">
        <v>1262</v>
      </c>
      <c r="V218" s="78">
        <v>15602</v>
      </c>
      <c r="W218" s="78">
        <v>32540</v>
      </c>
      <c r="X218" s="78">
        <v>13320</v>
      </c>
      <c r="Y218" s="78">
        <v>132.66</v>
      </c>
      <c r="Z218" s="78">
        <v>795.2</v>
      </c>
      <c r="AA218" s="78">
        <v>0</v>
      </c>
      <c r="AB218" s="399">
        <v>0</v>
      </c>
      <c r="AC218" s="399">
        <v>0</v>
      </c>
      <c r="AD218" s="78">
        <v>845</v>
      </c>
      <c r="AE218" s="78">
        <v>1047.8</v>
      </c>
      <c r="AF218" s="78">
        <v>168</v>
      </c>
      <c r="AG218" s="78">
        <v>0</v>
      </c>
      <c r="AH218" s="78">
        <v>111</v>
      </c>
      <c r="AI218" s="78">
        <v>2</v>
      </c>
      <c r="AJ218" s="78">
        <v>138.75</v>
      </c>
      <c r="AK218" s="78">
        <v>2.4</v>
      </c>
      <c r="AL218" s="78">
        <v>113</v>
      </c>
      <c r="AM218" s="78">
        <v>16034</v>
      </c>
      <c r="AN218" s="78">
        <v>20042.5</v>
      </c>
      <c r="AO218" s="78">
        <v>14</v>
      </c>
      <c r="AP218" s="78">
        <v>0</v>
      </c>
      <c r="AQ218" s="78">
        <v>0</v>
      </c>
      <c r="AR218" s="78">
        <v>3750</v>
      </c>
      <c r="AS218" s="78">
        <v>2422</v>
      </c>
      <c r="AT218" s="78">
        <v>2422</v>
      </c>
      <c r="AU218" s="400">
        <v>4.9686200000000004E-4</v>
      </c>
      <c r="AV218" s="400">
        <v>2.250578E-3</v>
      </c>
      <c r="AW218" s="78">
        <v>32917.802000000003</v>
      </c>
      <c r="AX218" s="78">
        <v>0</v>
      </c>
      <c r="AY218" s="78">
        <v>674.56</v>
      </c>
      <c r="AZ218" s="78">
        <v>44224.525330700897</v>
      </c>
      <c r="BA218" s="78">
        <v>1</v>
      </c>
      <c r="BB218" s="78">
        <v>1.2</v>
      </c>
      <c r="BC218" s="78">
        <v>3420</v>
      </c>
      <c r="BD218" s="78">
        <v>1</v>
      </c>
      <c r="BE218" s="78">
        <v>0</v>
      </c>
      <c r="BF218" s="78">
        <v>0</v>
      </c>
      <c r="BG218" s="78">
        <v>0</v>
      </c>
      <c r="BH218" s="78">
        <v>0</v>
      </c>
      <c r="BI218" s="78">
        <v>0</v>
      </c>
      <c r="BJ218" s="78">
        <v>0</v>
      </c>
      <c r="BK218" s="78">
        <v>0</v>
      </c>
      <c r="BL218" s="78">
        <v>0</v>
      </c>
      <c r="BM218" s="78">
        <v>1072</v>
      </c>
      <c r="BN218" s="78">
        <v>141</v>
      </c>
      <c r="BO218" s="78">
        <v>140</v>
      </c>
      <c r="BP218" s="78">
        <v>10288.52</v>
      </c>
      <c r="BQ218" s="78">
        <v>2348.56</v>
      </c>
      <c r="BR218" s="78">
        <v>255.73466717238799</v>
      </c>
      <c r="BS218" s="78">
        <v>549</v>
      </c>
      <c r="BT218" s="78">
        <v>272.66666666666703</v>
      </c>
      <c r="BU218" s="78">
        <v>222.333333333333</v>
      </c>
      <c r="BV218" s="78">
        <v>1481.9999999999968</v>
      </c>
      <c r="BW218" s="78">
        <v>372</v>
      </c>
      <c r="BX218" s="78">
        <v>6147.5555777996296</v>
      </c>
      <c r="BY218" s="402">
        <v>2.169</v>
      </c>
      <c r="BZ218" s="78">
        <v>26290</v>
      </c>
      <c r="CA218" s="78">
        <v>4308</v>
      </c>
      <c r="CB218" s="78">
        <v>795</v>
      </c>
      <c r="CC218" s="78">
        <v>938</v>
      </c>
      <c r="CD218" s="78">
        <v>908</v>
      </c>
      <c r="CE218" s="78">
        <v>442</v>
      </c>
      <c r="CF218" s="78">
        <v>524.98871148808803</v>
      </c>
      <c r="CG218" s="78">
        <v>385.32004490457803</v>
      </c>
      <c r="CH218" s="78">
        <v>122.530198328552</v>
      </c>
      <c r="CI218" s="78">
        <v>1228.8315</v>
      </c>
      <c r="CJ218" s="78">
        <v>901.91160000000002</v>
      </c>
      <c r="CK218" s="78">
        <v>286.80419999999998</v>
      </c>
      <c r="CL218" s="78">
        <v>27556</v>
      </c>
    </row>
    <row r="219" spans="1:90" x14ac:dyDescent="0.35">
      <c r="A219" s="72">
        <v>1842</v>
      </c>
      <c r="B219" s="72" t="s">
        <v>202</v>
      </c>
      <c r="C219" s="72">
        <v>8</v>
      </c>
      <c r="D219" s="78">
        <v>2652000000</v>
      </c>
      <c r="E219" s="78">
        <v>358750000</v>
      </c>
      <c r="F219" s="78">
        <v>368900000</v>
      </c>
      <c r="G219" s="78">
        <v>19484</v>
      </c>
      <c r="H219" s="78">
        <v>3</v>
      </c>
      <c r="I219" s="78">
        <v>368.9</v>
      </c>
      <c r="J219" s="78">
        <v>4009</v>
      </c>
      <c r="K219" s="78">
        <v>3943</v>
      </c>
      <c r="L219" s="78">
        <v>1235</v>
      </c>
      <c r="M219" s="78">
        <v>1609</v>
      </c>
      <c r="N219" s="78">
        <v>798.19999999999993</v>
      </c>
      <c r="O219" s="78">
        <v>133</v>
      </c>
      <c r="P219" s="78">
        <v>12</v>
      </c>
      <c r="Q219" s="78">
        <v>662</v>
      </c>
      <c r="R219" s="78">
        <v>2166</v>
      </c>
      <c r="S219" s="78">
        <v>745</v>
      </c>
      <c r="T219" s="78">
        <v>0</v>
      </c>
      <c r="U219" s="78">
        <v>488</v>
      </c>
      <c r="V219" s="78">
        <v>8090</v>
      </c>
      <c r="W219" s="78">
        <v>9820</v>
      </c>
      <c r="X219" s="78">
        <v>610</v>
      </c>
      <c r="Y219" s="78">
        <v>0</v>
      </c>
      <c r="Z219" s="78">
        <v>0</v>
      </c>
      <c r="AA219" s="78">
        <v>0</v>
      </c>
      <c r="AB219" s="399">
        <v>0</v>
      </c>
      <c r="AC219" s="399">
        <v>0</v>
      </c>
      <c r="AD219" s="78">
        <v>4723</v>
      </c>
      <c r="AE219" s="78">
        <v>6281.59</v>
      </c>
      <c r="AF219" s="78">
        <v>215</v>
      </c>
      <c r="AG219" s="78">
        <v>0</v>
      </c>
      <c r="AH219" s="78">
        <v>91</v>
      </c>
      <c r="AI219" s="78">
        <v>41</v>
      </c>
      <c r="AJ219" s="78">
        <v>112.84</v>
      </c>
      <c r="AK219" s="78">
        <v>55.35</v>
      </c>
      <c r="AL219" s="78">
        <v>131</v>
      </c>
      <c r="AM219" s="78">
        <v>8108</v>
      </c>
      <c r="AN219" s="78">
        <v>10053.92</v>
      </c>
      <c r="AO219" s="78">
        <v>0</v>
      </c>
      <c r="AP219" s="78">
        <v>0</v>
      </c>
      <c r="AQ219" s="78">
        <v>0</v>
      </c>
      <c r="AR219" s="78">
        <v>0</v>
      </c>
      <c r="AS219" s="78">
        <v>0</v>
      </c>
      <c r="AT219" s="78">
        <v>0</v>
      </c>
      <c r="AU219" s="400">
        <v>1.6998E-4</v>
      </c>
      <c r="AV219" s="400">
        <v>6.9238000000000004E-5</v>
      </c>
      <c r="AW219" s="78">
        <v>10889.044</v>
      </c>
      <c r="AX219" s="78">
        <v>0</v>
      </c>
      <c r="AY219" s="78">
        <v>4071.13</v>
      </c>
      <c r="AZ219" s="78">
        <v>38219.850700688497</v>
      </c>
      <c r="BA219" s="78">
        <v>12</v>
      </c>
      <c r="BB219" s="78">
        <v>16.2</v>
      </c>
      <c r="BC219" s="78">
        <v>2595</v>
      </c>
      <c r="BD219" s="78">
        <v>1</v>
      </c>
      <c r="BE219" s="78">
        <v>0</v>
      </c>
      <c r="BF219" s="78">
        <v>0</v>
      </c>
      <c r="BG219" s="78">
        <v>0</v>
      </c>
      <c r="BH219" s="78">
        <v>0</v>
      </c>
      <c r="BI219" s="78">
        <v>0</v>
      </c>
      <c r="BJ219" s="78">
        <v>0</v>
      </c>
      <c r="BK219" s="78">
        <v>0</v>
      </c>
      <c r="BL219" s="78">
        <v>0</v>
      </c>
      <c r="BM219" s="78">
        <v>200.45</v>
      </c>
      <c r="BN219" s="78">
        <v>32</v>
      </c>
      <c r="BO219" s="78">
        <v>22</v>
      </c>
      <c r="BP219" s="78">
        <v>6955.65</v>
      </c>
      <c r="BQ219" s="78">
        <v>1848</v>
      </c>
      <c r="BR219" s="78">
        <v>103.286689067823</v>
      </c>
      <c r="BS219" s="78">
        <v>201</v>
      </c>
      <c r="BT219" s="78">
        <v>55.3333333333333</v>
      </c>
      <c r="BU219" s="78">
        <v>35.3333333333333</v>
      </c>
      <c r="BV219" s="78">
        <v>529</v>
      </c>
      <c r="BW219" s="78">
        <v>134</v>
      </c>
      <c r="BX219" s="78">
        <v>2304.5997156691001</v>
      </c>
      <c r="BY219" s="402">
        <v>9.7000000000000003E-2</v>
      </c>
      <c r="BZ219" s="78">
        <v>15541</v>
      </c>
      <c r="CA219" s="78">
        <v>2211</v>
      </c>
      <c r="CB219" s="78">
        <v>497</v>
      </c>
      <c r="CC219" s="78">
        <v>369</v>
      </c>
      <c r="CD219" s="78">
        <v>356</v>
      </c>
      <c r="CE219" s="78">
        <v>243</v>
      </c>
      <c r="CF219" s="78">
        <v>134.674099654662</v>
      </c>
      <c r="CG219" s="78">
        <v>82.989960532807103</v>
      </c>
      <c r="CH219" s="78">
        <v>36.621904292057202</v>
      </c>
      <c r="CI219" s="78">
        <v>389.60640000000001</v>
      </c>
      <c r="CJ219" s="78">
        <v>240.0864</v>
      </c>
      <c r="CK219" s="78">
        <v>105.9456</v>
      </c>
      <c r="CL219" s="78">
        <v>0</v>
      </c>
    </row>
    <row r="220" spans="1:90" x14ac:dyDescent="0.35">
      <c r="A220" s="72">
        <v>1978</v>
      </c>
      <c r="B220" s="72" t="s">
        <v>206</v>
      </c>
      <c r="C220" s="72">
        <v>8</v>
      </c>
      <c r="D220" s="78">
        <v>4806000000</v>
      </c>
      <c r="E220" s="78">
        <v>624050000</v>
      </c>
      <c r="F220" s="78">
        <v>673400000</v>
      </c>
      <c r="G220" s="78">
        <v>44644</v>
      </c>
      <c r="H220" s="78">
        <v>12</v>
      </c>
      <c r="I220" s="78">
        <v>673.4</v>
      </c>
      <c r="J220" s="78">
        <v>9957</v>
      </c>
      <c r="K220" s="78">
        <v>8588</v>
      </c>
      <c r="L220" s="78">
        <v>2879</v>
      </c>
      <c r="M220" s="78">
        <v>4044</v>
      </c>
      <c r="N220" s="78">
        <v>2260.5</v>
      </c>
      <c r="O220" s="78">
        <v>309</v>
      </c>
      <c r="P220" s="78">
        <v>86</v>
      </c>
      <c r="Q220" s="78">
        <v>1579</v>
      </c>
      <c r="R220" s="78">
        <v>4562</v>
      </c>
      <c r="S220" s="78">
        <v>685</v>
      </c>
      <c r="T220" s="78">
        <v>0</v>
      </c>
      <c r="U220" s="78">
        <v>937</v>
      </c>
      <c r="V220" s="78">
        <v>17597</v>
      </c>
      <c r="W220" s="78">
        <v>29350</v>
      </c>
      <c r="X220" s="78">
        <v>1470</v>
      </c>
      <c r="Y220" s="78">
        <v>0</v>
      </c>
      <c r="Z220" s="78">
        <v>0</v>
      </c>
      <c r="AA220" s="78">
        <v>0</v>
      </c>
      <c r="AB220" s="399">
        <v>0</v>
      </c>
      <c r="AC220" s="399">
        <v>0</v>
      </c>
      <c r="AD220" s="78">
        <v>18144</v>
      </c>
      <c r="AE220" s="78">
        <v>26671.68</v>
      </c>
      <c r="AF220" s="78">
        <v>1014</v>
      </c>
      <c r="AG220" s="78">
        <v>0</v>
      </c>
      <c r="AH220" s="78">
        <v>251</v>
      </c>
      <c r="AI220" s="78">
        <v>119</v>
      </c>
      <c r="AJ220" s="78">
        <v>356.42</v>
      </c>
      <c r="AK220" s="78">
        <v>176.12</v>
      </c>
      <c r="AL220" s="78">
        <v>370</v>
      </c>
      <c r="AM220" s="78">
        <v>17835</v>
      </c>
      <c r="AN220" s="78">
        <v>25325.7</v>
      </c>
      <c r="AO220" s="78">
        <v>5</v>
      </c>
      <c r="AP220" s="78">
        <v>0</v>
      </c>
      <c r="AQ220" s="78">
        <v>0</v>
      </c>
      <c r="AR220" s="78">
        <v>2450</v>
      </c>
      <c r="AS220" s="78">
        <v>892</v>
      </c>
      <c r="AT220" s="78">
        <v>0</v>
      </c>
      <c r="AU220" s="400">
        <v>5.0770299999999997E-4</v>
      </c>
      <c r="AV220" s="400">
        <v>1.75212E-4</v>
      </c>
      <c r="AW220" s="78">
        <v>7098.33</v>
      </c>
      <c r="AX220" s="78">
        <v>0</v>
      </c>
      <c r="AY220" s="78">
        <v>15579.06</v>
      </c>
      <c r="AZ220" s="78">
        <v>102307.46554337601</v>
      </c>
      <c r="BA220" s="78">
        <v>29</v>
      </c>
      <c r="BB220" s="78">
        <v>42.92</v>
      </c>
      <c r="BC220" s="78">
        <v>5755</v>
      </c>
      <c r="BD220" s="78">
        <v>1</v>
      </c>
      <c r="BE220" s="78">
        <v>0</v>
      </c>
      <c r="BF220" s="78">
        <v>0</v>
      </c>
      <c r="BG220" s="78">
        <v>0</v>
      </c>
      <c r="BH220" s="78">
        <v>0</v>
      </c>
      <c r="BI220" s="78">
        <v>0</v>
      </c>
      <c r="BJ220" s="78">
        <v>0</v>
      </c>
      <c r="BK220" s="78">
        <v>0</v>
      </c>
      <c r="BL220" s="78">
        <v>0</v>
      </c>
      <c r="BM220" s="78">
        <v>507.80700000000002</v>
      </c>
      <c r="BN220" s="78">
        <v>245</v>
      </c>
      <c r="BO220" s="78">
        <v>76</v>
      </c>
      <c r="BP220" s="78">
        <v>13475.28</v>
      </c>
      <c r="BQ220" s="78">
        <v>3632.66</v>
      </c>
      <c r="BR220" s="78">
        <v>485.44742105263202</v>
      </c>
      <c r="BS220" s="78">
        <v>369</v>
      </c>
      <c r="BT220" s="78">
        <v>114.666666666667</v>
      </c>
      <c r="BU220" s="78">
        <v>87.6666666666667</v>
      </c>
      <c r="BV220" s="78">
        <v>1270</v>
      </c>
      <c r="BW220" s="78">
        <v>352</v>
      </c>
      <c r="BX220" s="78">
        <v>6321.1776478585998</v>
      </c>
      <c r="BY220" s="402">
        <v>0.221</v>
      </c>
      <c r="BZ220" s="78">
        <v>36056</v>
      </c>
      <c r="CA220" s="78">
        <v>4858</v>
      </c>
      <c r="CB220" s="78">
        <v>851</v>
      </c>
      <c r="CC220" s="78">
        <v>838</v>
      </c>
      <c r="CD220" s="78">
        <v>856</v>
      </c>
      <c r="CE220" s="78">
        <v>451</v>
      </c>
      <c r="CF220" s="78">
        <v>367.687720773759</v>
      </c>
      <c r="CG220" s="78">
        <v>249.941463414634</v>
      </c>
      <c r="CH220" s="78">
        <v>82.257611438183403</v>
      </c>
      <c r="CI220" s="78">
        <v>1062.3462</v>
      </c>
      <c r="CJ220" s="78">
        <v>722.14639999999997</v>
      </c>
      <c r="CK220" s="78">
        <v>237.66380000000001</v>
      </c>
      <c r="CL220" s="78">
        <v>2920</v>
      </c>
    </row>
    <row r="221" spans="1:90" x14ac:dyDescent="0.35">
      <c r="A221" s="72">
        <v>569</v>
      </c>
      <c r="B221" s="72" t="s">
        <v>213</v>
      </c>
      <c r="C221" s="72">
        <v>8</v>
      </c>
      <c r="D221" s="78">
        <v>3589200000</v>
      </c>
      <c r="E221" s="78">
        <v>416150000</v>
      </c>
      <c r="F221" s="78">
        <v>441700000</v>
      </c>
      <c r="G221" s="78">
        <v>29304</v>
      </c>
      <c r="H221" s="78">
        <v>4</v>
      </c>
      <c r="I221" s="78">
        <v>441.7</v>
      </c>
      <c r="J221" s="78">
        <v>5532</v>
      </c>
      <c r="K221" s="78">
        <v>6224</v>
      </c>
      <c r="L221" s="78">
        <v>2094</v>
      </c>
      <c r="M221" s="78">
        <v>2902</v>
      </c>
      <c r="N221" s="78">
        <v>1666.8999999999999</v>
      </c>
      <c r="O221" s="78">
        <v>220.333333333333</v>
      </c>
      <c r="P221" s="78">
        <v>29</v>
      </c>
      <c r="Q221" s="78">
        <v>1359.3333333333301</v>
      </c>
      <c r="R221" s="78">
        <v>3371</v>
      </c>
      <c r="S221" s="78">
        <v>700</v>
      </c>
      <c r="T221" s="78">
        <v>0</v>
      </c>
      <c r="U221" s="78">
        <v>718</v>
      </c>
      <c r="V221" s="78">
        <v>12697</v>
      </c>
      <c r="W221" s="78">
        <v>22440</v>
      </c>
      <c r="X221" s="78">
        <v>2020</v>
      </c>
      <c r="Y221" s="78">
        <v>0</v>
      </c>
      <c r="Z221" s="78">
        <v>237.6</v>
      </c>
      <c r="AA221" s="78">
        <v>0</v>
      </c>
      <c r="AB221" s="399">
        <v>0</v>
      </c>
      <c r="AC221" s="399">
        <v>0</v>
      </c>
      <c r="AD221" s="78">
        <v>7806</v>
      </c>
      <c r="AE221" s="78">
        <v>10460.040000000001</v>
      </c>
      <c r="AF221" s="78">
        <v>1310</v>
      </c>
      <c r="AG221" s="78">
        <v>0</v>
      </c>
      <c r="AH221" s="78">
        <v>159</v>
      </c>
      <c r="AI221" s="78">
        <v>58</v>
      </c>
      <c r="AJ221" s="78">
        <v>208.29</v>
      </c>
      <c r="AK221" s="78">
        <v>78.3</v>
      </c>
      <c r="AL221" s="78">
        <v>217</v>
      </c>
      <c r="AM221" s="78">
        <v>12351</v>
      </c>
      <c r="AN221" s="78">
        <v>16179.81</v>
      </c>
      <c r="AO221" s="78">
        <v>0</v>
      </c>
      <c r="AP221" s="78">
        <v>0</v>
      </c>
      <c r="AQ221" s="78">
        <v>0</v>
      </c>
      <c r="AR221" s="78">
        <v>0</v>
      </c>
      <c r="AS221" s="78">
        <v>0</v>
      </c>
      <c r="AT221" s="78">
        <v>0</v>
      </c>
      <c r="AU221" s="400">
        <v>1.5621100000000001E-4</v>
      </c>
      <c r="AV221" s="400">
        <v>1.2901300000000001E-4</v>
      </c>
      <c r="AW221" s="78">
        <v>6237.2550000000001</v>
      </c>
      <c r="AX221" s="78">
        <v>0</v>
      </c>
      <c r="AY221" s="78">
        <v>13249.92</v>
      </c>
      <c r="AZ221" s="78">
        <v>109178.423273366</v>
      </c>
      <c r="BA221" s="78">
        <v>14</v>
      </c>
      <c r="BB221" s="78">
        <v>18.899999999999999</v>
      </c>
      <c r="BC221" s="78">
        <v>4050</v>
      </c>
      <c r="BD221" s="78">
        <v>1</v>
      </c>
      <c r="BE221" s="78">
        <v>0</v>
      </c>
      <c r="BF221" s="78">
        <v>0</v>
      </c>
      <c r="BG221" s="78">
        <v>0</v>
      </c>
      <c r="BH221" s="78">
        <v>0</v>
      </c>
      <c r="BI221" s="78">
        <v>0</v>
      </c>
      <c r="BJ221" s="78">
        <v>0</v>
      </c>
      <c r="BK221" s="78">
        <v>0</v>
      </c>
      <c r="BL221" s="78">
        <v>0</v>
      </c>
      <c r="BM221" s="78">
        <v>309.79199999999997</v>
      </c>
      <c r="BN221" s="78">
        <v>54</v>
      </c>
      <c r="BO221" s="78">
        <v>53</v>
      </c>
      <c r="BP221" s="78">
        <v>9317</v>
      </c>
      <c r="BQ221" s="78">
        <v>2279.25</v>
      </c>
      <c r="BR221" s="78">
        <v>115.534806282723</v>
      </c>
      <c r="BS221" s="78">
        <v>262</v>
      </c>
      <c r="BT221" s="78">
        <v>68.6666666666667</v>
      </c>
      <c r="BU221" s="78">
        <v>47.3333333333333</v>
      </c>
      <c r="BV221" s="78">
        <v>1138.999999999997</v>
      </c>
      <c r="BW221" s="78">
        <v>516</v>
      </c>
      <c r="BX221" s="78">
        <v>4274.1961346094504</v>
      </c>
      <c r="BY221" s="402">
        <v>0.14599999999999999</v>
      </c>
      <c r="BZ221" s="78">
        <v>23080</v>
      </c>
      <c r="CA221" s="78">
        <v>3507</v>
      </c>
      <c r="CB221" s="78">
        <v>623</v>
      </c>
      <c r="CC221" s="78">
        <v>587</v>
      </c>
      <c r="CD221" s="78">
        <v>585</v>
      </c>
      <c r="CE221" s="78">
        <v>321</v>
      </c>
      <c r="CF221" s="78">
        <v>281.39312606266702</v>
      </c>
      <c r="CG221" s="78">
        <v>195.55810055865899</v>
      </c>
      <c r="CH221" s="78">
        <v>61.812015221439601</v>
      </c>
      <c r="CI221" s="78">
        <v>729.54150000000004</v>
      </c>
      <c r="CJ221" s="78">
        <v>507.00510000000003</v>
      </c>
      <c r="CK221" s="78">
        <v>160.2542</v>
      </c>
      <c r="CL221" s="78">
        <v>175930</v>
      </c>
    </row>
    <row r="222" spans="1:90" x14ac:dyDescent="0.35">
      <c r="A222" s="72">
        <v>1930</v>
      </c>
      <c r="B222" s="72" t="s">
        <v>216</v>
      </c>
      <c r="C222" s="72">
        <v>8</v>
      </c>
      <c r="D222" s="78">
        <v>7665600000</v>
      </c>
      <c r="E222" s="78">
        <v>834050000</v>
      </c>
      <c r="F222" s="78">
        <v>857150000</v>
      </c>
      <c r="G222" s="78">
        <v>86332</v>
      </c>
      <c r="H222" s="78">
        <v>4</v>
      </c>
      <c r="I222" s="78">
        <v>857.15</v>
      </c>
      <c r="J222" s="78">
        <v>16433</v>
      </c>
      <c r="K222" s="78">
        <v>17918</v>
      </c>
      <c r="L222" s="78">
        <v>5536</v>
      </c>
      <c r="M222" s="78">
        <v>11731</v>
      </c>
      <c r="N222" s="78">
        <v>7723.9</v>
      </c>
      <c r="O222" s="78">
        <v>2253.3333333333298</v>
      </c>
      <c r="P222" s="78">
        <v>63</v>
      </c>
      <c r="Q222" s="78">
        <v>6401.3333333333303</v>
      </c>
      <c r="R222" s="78">
        <v>13334</v>
      </c>
      <c r="S222" s="78">
        <v>9540</v>
      </c>
      <c r="T222" s="78">
        <v>0</v>
      </c>
      <c r="U222" s="78">
        <v>3922</v>
      </c>
      <c r="V222" s="78">
        <v>40034</v>
      </c>
      <c r="W222" s="78">
        <v>89880</v>
      </c>
      <c r="X222" s="78">
        <v>70310</v>
      </c>
      <c r="Y222" s="78">
        <v>1550.32</v>
      </c>
      <c r="Z222" s="78">
        <v>3231.2</v>
      </c>
      <c r="AA222" s="78">
        <v>0</v>
      </c>
      <c r="AB222" s="399">
        <v>0</v>
      </c>
      <c r="AC222" s="399">
        <v>0</v>
      </c>
      <c r="AD222" s="78">
        <v>7337</v>
      </c>
      <c r="AE222" s="78">
        <v>9171.25</v>
      </c>
      <c r="AF222" s="78">
        <v>1042</v>
      </c>
      <c r="AG222" s="78">
        <v>0</v>
      </c>
      <c r="AH222" s="78">
        <v>314</v>
      </c>
      <c r="AI222" s="78">
        <v>36</v>
      </c>
      <c r="AJ222" s="78">
        <v>411.34</v>
      </c>
      <c r="AK222" s="78">
        <v>44.28</v>
      </c>
      <c r="AL222" s="78">
        <v>350</v>
      </c>
      <c r="AM222" s="78">
        <v>40071</v>
      </c>
      <c r="AN222" s="78">
        <v>52493.01</v>
      </c>
      <c r="AO222" s="78">
        <v>5</v>
      </c>
      <c r="AP222" s="78">
        <v>0</v>
      </c>
      <c r="AQ222" s="78">
        <v>0</v>
      </c>
      <c r="AR222" s="78">
        <v>0</v>
      </c>
      <c r="AS222" s="78">
        <v>0</v>
      </c>
      <c r="AT222" s="78">
        <v>0</v>
      </c>
      <c r="AU222" s="400">
        <v>3.1035399999999999E-4</v>
      </c>
      <c r="AV222" s="400">
        <v>2.02177E-3</v>
      </c>
      <c r="AW222" s="78">
        <v>82586.331000000006</v>
      </c>
      <c r="AX222" s="78">
        <v>0</v>
      </c>
      <c r="AY222" s="78">
        <v>5202.5</v>
      </c>
      <c r="AZ222" s="78">
        <v>104295.938656164</v>
      </c>
      <c r="BA222" s="78">
        <v>6</v>
      </c>
      <c r="BB222" s="78">
        <v>7.38</v>
      </c>
      <c r="BC222" s="78">
        <v>7265</v>
      </c>
      <c r="BD222" s="78">
        <v>1</v>
      </c>
      <c r="BE222" s="78">
        <v>0</v>
      </c>
      <c r="BF222" s="78">
        <v>0</v>
      </c>
      <c r="BG222" s="78">
        <v>0</v>
      </c>
      <c r="BH222" s="78">
        <v>0</v>
      </c>
      <c r="BI222" s="78">
        <v>0</v>
      </c>
      <c r="BJ222" s="78">
        <v>0</v>
      </c>
      <c r="BK222" s="78">
        <v>0</v>
      </c>
      <c r="BL222" s="78">
        <v>0</v>
      </c>
      <c r="BM222" s="78">
        <v>2612.8470000000002</v>
      </c>
      <c r="BN222" s="78">
        <v>480</v>
      </c>
      <c r="BO222" s="78">
        <v>247</v>
      </c>
      <c r="BP222" s="78">
        <v>26226.48</v>
      </c>
      <c r="BQ222" s="78">
        <v>5945.18</v>
      </c>
      <c r="BR222" s="78">
        <v>554.71696349581305</v>
      </c>
      <c r="BS222" s="78">
        <v>1618</v>
      </c>
      <c r="BT222" s="78">
        <v>726</v>
      </c>
      <c r="BU222" s="78">
        <v>711.66666666666697</v>
      </c>
      <c r="BV222" s="78">
        <v>4148</v>
      </c>
      <c r="BW222" s="78">
        <v>1281</v>
      </c>
      <c r="BX222" s="78">
        <v>17924.398576779</v>
      </c>
      <c r="BY222" s="402">
        <v>5.9619999999999997</v>
      </c>
      <c r="BZ222" s="78">
        <v>68414</v>
      </c>
      <c r="CA222" s="78">
        <v>10674</v>
      </c>
      <c r="CB222" s="78">
        <v>1708</v>
      </c>
      <c r="CC222" s="78">
        <v>2465</v>
      </c>
      <c r="CD222" s="78">
        <v>1959</v>
      </c>
      <c r="CE222" s="78">
        <v>948</v>
      </c>
      <c r="CF222" s="78">
        <v>1323.45829652367</v>
      </c>
      <c r="CG222" s="78">
        <v>764.66051009458204</v>
      </c>
      <c r="CH222" s="78">
        <v>254.62982955254401</v>
      </c>
      <c r="CI222" s="78">
        <v>3165.9126000000001</v>
      </c>
      <c r="CJ222" s="78">
        <v>1829.1837</v>
      </c>
      <c r="CK222" s="78">
        <v>609.11310000000003</v>
      </c>
      <c r="CL222" s="78">
        <v>54385</v>
      </c>
    </row>
    <row r="223" spans="1:90" x14ac:dyDescent="0.35">
      <c r="A223" s="72">
        <v>575</v>
      </c>
      <c r="B223" s="72" t="s">
        <v>221</v>
      </c>
      <c r="C223" s="72">
        <v>8</v>
      </c>
      <c r="D223" s="78">
        <v>7492800000</v>
      </c>
      <c r="E223" s="78">
        <v>827400000</v>
      </c>
      <c r="F223" s="78">
        <v>890400000</v>
      </c>
      <c r="G223" s="78">
        <v>44365</v>
      </c>
      <c r="H223" s="78">
        <v>4</v>
      </c>
      <c r="I223" s="78">
        <v>890.4</v>
      </c>
      <c r="J223" s="78">
        <v>7907</v>
      </c>
      <c r="K223" s="78">
        <v>10077</v>
      </c>
      <c r="L223" s="78">
        <v>3440</v>
      </c>
      <c r="M223" s="78">
        <v>5687</v>
      </c>
      <c r="N223" s="78">
        <v>3406.7</v>
      </c>
      <c r="O223" s="78">
        <v>429</v>
      </c>
      <c r="P223" s="78">
        <v>49</v>
      </c>
      <c r="Q223" s="78">
        <v>2374</v>
      </c>
      <c r="R223" s="78">
        <v>7433</v>
      </c>
      <c r="S223" s="78">
        <v>1145</v>
      </c>
      <c r="T223" s="78">
        <v>0</v>
      </c>
      <c r="U223" s="78">
        <v>1425</v>
      </c>
      <c r="V223" s="78">
        <v>21167</v>
      </c>
      <c r="W223" s="78">
        <v>37480</v>
      </c>
      <c r="X223" s="78">
        <v>9810</v>
      </c>
      <c r="Y223" s="78">
        <v>747.36</v>
      </c>
      <c r="Z223" s="78">
        <v>1831.2</v>
      </c>
      <c r="AA223" s="78">
        <v>0</v>
      </c>
      <c r="AB223" s="399">
        <v>0</v>
      </c>
      <c r="AC223" s="399">
        <v>0</v>
      </c>
      <c r="AD223" s="78">
        <v>5840</v>
      </c>
      <c r="AE223" s="78">
        <v>5840</v>
      </c>
      <c r="AF223" s="78">
        <v>103</v>
      </c>
      <c r="AG223" s="78">
        <v>1550</v>
      </c>
      <c r="AH223" s="78">
        <v>244</v>
      </c>
      <c r="AI223" s="78">
        <v>39</v>
      </c>
      <c r="AJ223" s="78">
        <v>244</v>
      </c>
      <c r="AK223" s="78">
        <v>39</v>
      </c>
      <c r="AL223" s="78">
        <v>283</v>
      </c>
      <c r="AM223" s="78">
        <v>22803</v>
      </c>
      <c r="AN223" s="78">
        <v>22803</v>
      </c>
      <c r="AO223" s="78">
        <v>0</v>
      </c>
      <c r="AP223" s="78">
        <v>0</v>
      </c>
      <c r="AQ223" s="78">
        <v>0</v>
      </c>
      <c r="AR223" s="78">
        <v>0</v>
      </c>
      <c r="AS223" s="78">
        <v>2742</v>
      </c>
      <c r="AT223" s="78">
        <v>0</v>
      </c>
      <c r="AU223" s="400">
        <v>6.3022600000000001E-4</v>
      </c>
      <c r="AV223" s="400">
        <v>6.9664399999999995E-4</v>
      </c>
      <c r="AW223" s="78">
        <v>32494.275000000001</v>
      </c>
      <c r="AX223" s="78">
        <v>0</v>
      </c>
      <c r="AY223" s="78">
        <v>1862</v>
      </c>
      <c r="AZ223" s="78">
        <v>13899.988221437001</v>
      </c>
      <c r="BA223" s="78">
        <v>7</v>
      </c>
      <c r="BB223" s="78">
        <v>7</v>
      </c>
      <c r="BC223" s="78">
        <v>6465</v>
      </c>
      <c r="BD223" s="78">
        <v>1</v>
      </c>
      <c r="BE223" s="78">
        <v>0</v>
      </c>
      <c r="BF223" s="78">
        <v>0</v>
      </c>
      <c r="BG223" s="78">
        <v>0</v>
      </c>
      <c r="BH223" s="78">
        <v>0</v>
      </c>
      <c r="BI223" s="78">
        <v>0</v>
      </c>
      <c r="BJ223" s="78">
        <v>0</v>
      </c>
      <c r="BK223" s="78">
        <v>0</v>
      </c>
      <c r="BL223" s="78">
        <v>0</v>
      </c>
      <c r="BM223" s="78">
        <v>735.351</v>
      </c>
      <c r="BN223" s="78">
        <v>78</v>
      </c>
      <c r="BO223" s="78">
        <v>81</v>
      </c>
      <c r="BP223" s="78">
        <v>15129.75</v>
      </c>
      <c r="BQ223" s="78">
        <v>3375.14</v>
      </c>
      <c r="BR223" s="78">
        <v>228.94607854348499</v>
      </c>
      <c r="BS223" s="78">
        <v>530</v>
      </c>
      <c r="BT223" s="78">
        <v>110</v>
      </c>
      <c r="BU223" s="78">
        <v>75</v>
      </c>
      <c r="BV223" s="78">
        <v>1945</v>
      </c>
      <c r="BW223" s="78">
        <v>803</v>
      </c>
      <c r="BX223" s="78">
        <v>6244.2061050338198</v>
      </c>
      <c r="BY223" s="402">
        <v>0.57899999999999996</v>
      </c>
      <c r="BZ223" s="78">
        <v>34288</v>
      </c>
      <c r="CA223" s="78">
        <v>5627</v>
      </c>
      <c r="CB223" s="78">
        <v>1010</v>
      </c>
      <c r="CC223" s="78">
        <v>1250</v>
      </c>
      <c r="CD223" s="78">
        <v>1153</v>
      </c>
      <c r="CE223" s="78">
        <v>544</v>
      </c>
      <c r="CF223" s="78">
        <v>518.25822479498299</v>
      </c>
      <c r="CG223" s="78">
        <v>362.138350217077</v>
      </c>
      <c r="CH223" s="78">
        <v>112.794741919923</v>
      </c>
      <c r="CI223" s="78">
        <v>1258.9001000000001</v>
      </c>
      <c r="CJ223" s="78">
        <v>879.66959999999995</v>
      </c>
      <c r="CK223" s="78">
        <v>273.98950000000002</v>
      </c>
      <c r="CL223" s="78">
        <v>366686</v>
      </c>
    </row>
    <row r="224" spans="1:90" x14ac:dyDescent="0.35">
      <c r="A224" s="72">
        <v>579</v>
      </c>
      <c r="B224" s="72" t="s">
        <v>224</v>
      </c>
      <c r="C224" s="72">
        <v>8</v>
      </c>
      <c r="D224" s="78">
        <v>4452800000</v>
      </c>
      <c r="E224" s="78">
        <v>327950000</v>
      </c>
      <c r="F224" s="78">
        <v>329350000</v>
      </c>
      <c r="G224" s="78">
        <v>25499</v>
      </c>
      <c r="H224" s="78">
        <v>1</v>
      </c>
      <c r="I224" s="78">
        <v>329.35</v>
      </c>
      <c r="J224" s="78">
        <v>5625</v>
      </c>
      <c r="K224" s="78">
        <v>5334</v>
      </c>
      <c r="L224" s="78">
        <v>1868</v>
      </c>
      <c r="M224" s="78">
        <v>2280</v>
      </c>
      <c r="N224" s="78">
        <v>1152.7</v>
      </c>
      <c r="O224" s="78">
        <v>308</v>
      </c>
      <c r="P224" s="78">
        <v>13</v>
      </c>
      <c r="Q224" s="78">
        <v>993</v>
      </c>
      <c r="R224" s="78">
        <v>3737</v>
      </c>
      <c r="S224" s="78">
        <v>950</v>
      </c>
      <c r="T224" s="78">
        <v>0</v>
      </c>
      <c r="U224" s="78">
        <v>746</v>
      </c>
      <c r="V224" s="78">
        <v>11501</v>
      </c>
      <c r="W224" s="78">
        <v>21130</v>
      </c>
      <c r="X224" s="78">
        <v>5720</v>
      </c>
      <c r="Y224" s="78">
        <v>1851.1</v>
      </c>
      <c r="Z224" s="78">
        <v>1537.6</v>
      </c>
      <c r="AA224" s="78">
        <v>0</v>
      </c>
      <c r="AB224" s="399">
        <v>0</v>
      </c>
      <c r="AC224" s="399">
        <v>0</v>
      </c>
      <c r="AD224" s="78">
        <v>726</v>
      </c>
      <c r="AE224" s="78">
        <v>726</v>
      </c>
      <c r="AF224" s="78">
        <v>71</v>
      </c>
      <c r="AG224" s="78">
        <v>0</v>
      </c>
      <c r="AH224" s="78">
        <v>99</v>
      </c>
      <c r="AI224" s="78">
        <v>3</v>
      </c>
      <c r="AJ224" s="78">
        <v>99</v>
      </c>
      <c r="AK224" s="78">
        <v>3</v>
      </c>
      <c r="AL224" s="78">
        <v>102</v>
      </c>
      <c r="AM224" s="78">
        <v>11273</v>
      </c>
      <c r="AN224" s="78">
        <v>11273</v>
      </c>
      <c r="AO224" s="78">
        <v>0</v>
      </c>
      <c r="AP224" s="78">
        <v>0</v>
      </c>
      <c r="AQ224" s="78">
        <v>0</v>
      </c>
      <c r="AR224" s="78">
        <v>0</v>
      </c>
      <c r="AS224" s="78">
        <v>1027</v>
      </c>
      <c r="AT224" s="78">
        <v>0</v>
      </c>
      <c r="AU224" s="400">
        <v>2.5899099999999997E-4</v>
      </c>
      <c r="AV224" s="400">
        <v>3.4362999999999999E-4</v>
      </c>
      <c r="AW224" s="78">
        <v>19975.756000000001</v>
      </c>
      <c r="AX224" s="78">
        <v>0</v>
      </c>
      <c r="AY224" s="78">
        <v>669</v>
      </c>
      <c r="AZ224" s="78">
        <v>21403.803011292301</v>
      </c>
      <c r="BA224" s="78">
        <v>1</v>
      </c>
      <c r="BB224" s="78">
        <v>1</v>
      </c>
      <c r="BC224" s="78">
        <v>3095</v>
      </c>
      <c r="BD224" s="78">
        <v>1</v>
      </c>
      <c r="BE224" s="78">
        <v>0</v>
      </c>
      <c r="BF224" s="78">
        <v>0</v>
      </c>
      <c r="BG224" s="78">
        <v>0</v>
      </c>
      <c r="BH224" s="78">
        <v>0</v>
      </c>
      <c r="BI224" s="78">
        <v>0</v>
      </c>
      <c r="BJ224" s="78">
        <v>0</v>
      </c>
      <c r="BK224" s="78">
        <v>0</v>
      </c>
      <c r="BL224" s="78">
        <v>0</v>
      </c>
      <c r="BM224" s="78">
        <v>348.75</v>
      </c>
      <c r="BN224" s="78">
        <v>12</v>
      </c>
      <c r="BO224" s="78">
        <v>25</v>
      </c>
      <c r="BP224" s="78">
        <v>10685.52</v>
      </c>
      <c r="BQ224" s="78">
        <v>2954.88</v>
      </c>
      <c r="BR224" s="78">
        <v>255.31898340249001</v>
      </c>
      <c r="BS224" s="78">
        <v>268</v>
      </c>
      <c r="BT224" s="78">
        <v>93</v>
      </c>
      <c r="BU224" s="78">
        <v>77</v>
      </c>
      <c r="BV224" s="78">
        <v>685</v>
      </c>
      <c r="BW224" s="78">
        <v>253</v>
      </c>
      <c r="BX224" s="78">
        <v>2977.1079508458301</v>
      </c>
      <c r="BY224" s="402">
        <v>0.48499999999999999</v>
      </c>
      <c r="BZ224" s="78">
        <v>20165</v>
      </c>
      <c r="CA224" s="78">
        <v>2765</v>
      </c>
      <c r="CB224" s="78">
        <v>701</v>
      </c>
      <c r="CC224" s="78">
        <v>653</v>
      </c>
      <c r="CD224" s="78">
        <v>680</v>
      </c>
      <c r="CE224" s="78">
        <v>365</v>
      </c>
      <c r="CF224" s="78">
        <v>183.339936130577</v>
      </c>
      <c r="CG224" s="78">
        <v>133.133629025104</v>
      </c>
      <c r="CH224" s="78">
        <v>52.660383216535102</v>
      </c>
      <c r="CI224" s="78">
        <v>352.14519999999999</v>
      </c>
      <c r="CJ224" s="78">
        <v>255.71279999999999</v>
      </c>
      <c r="CK224" s="78">
        <v>101.146</v>
      </c>
      <c r="CL224" s="78">
        <v>29186</v>
      </c>
    </row>
    <row r="225" spans="1:90" x14ac:dyDescent="0.35">
      <c r="A225" s="72">
        <v>590</v>
      </c>
      <c r="B225" s="72" t="s">
        <v>243</v>
      </c>
      <c r="C225" s="72">
        <v>8</v>
      </c>
      <c r="D225" s="78">
        <v>3207600000</v>
      </c>
      <c r="E225" s="78">
        <v>416150000</v>
      </c>
      <c r="F225" s="78">
        <v>421400000</v>
      </c>
      <c r="G225" s="78">
        <v>32208</v>
      </c>
      <c r="H225" s="78">
        <v>1</v>
      </c>
      <c r="I225" s="78">
        <v>421.4</v>
      </c>
      <c r="J225" s="78">
        <v>6264</v>
      </c>
      <c r="K225" s="78">
        <v>7313</v>
      </c>
      <c r="L225" s="78">
        <v>2697</v>
      </c>
      <c r="M225" s="78">
        <v>3674</v>
      </c>
      <c r="N225" s="78">
        <v>2214.3999999999996</v>
      </c>
      <c r="O225" s="78">
        <v>487.33333333333297</v>
      </c>
      <c r="P225" s="78">
        <v>52</v>
      </c>
      <c r="Q225" s="78">
        <v>1799.3333333333301</v>
      </c>
      <c r="R225" s="78">
        <v>4662</v>
      </c>
      <c r="S225" s="78">
        <v>2060</v>
      </c>
      <c r="T225" s="78">
        <v>0</v>
      </c>
      <c r="U225" s="78">
        <v>1161</v>
      </c>
      <c r="V225" s="78">
        <v>14441</v>
      </c>
      <c r="W225" s="78">
        <v>30040</v>
      </c>
      <c r="X225" s="78">
        <v>12670</v>
      </c>
      <c r="Y225" s="78">
        <v>314.82</v>
      </c>
      <c r="Z225" s="78">
        <v>2516</v>
      </c>
      <c r="AA225" s="78">
        <v>0</v>
      </c>
      <c r="AB225" s="399">
        <v>0</v>
      </c>
      <c r="AC225" s="399">
        <v>0</v>
      </c>
      <c r="AD225" s="78">
        <v>935</v>
      </c>
      <c r="AE225" s="78">
        <v>1309</v>
      </c>
      <c r="AF225" s="78">
        <v>144</v>
      </c>
      <c r="AG225" s="78">
        <v>0</v>
      </c>
      <c r="AH225" s="78">
        <v>127</v>
      </c>
      <c r="AI225" s="78">
        <v>6</v>
      </c>
      <c r="AJ225" s="78">
        <v>176.53</v>
      </c>
      <c r="AK225" s="78">
        <v>8.4</v>
      </c>
      <c r="AL225" s="78">
        <v>134</v>
      </c>
      <c r="AM225" s="78">
        <v>14596</v>
      </c>
      <c r="AN225" s="78">
        <v>20288.439999999999</v>
      </c>
      <c r="AO225" s="78">
        <v>0</v>
      </c>
      <c r="AP225" s="78">
        <v>0</v>
      </c>
      <c r="AQ225" s="78">
        <v>0</v>
      </c>
      <c r="AR225" s="78">
        <v>0</v>
      </c>
      <c r="AS225" s="78">
        <v>1239</v>
      </c>
      <c r="AT225" s="78">
        <v>0</v>
      </c>
      <c r="AU225" s="400">
        <v>1.0791E-4</v>
      </c>
      <c r="AV225" s="400">
        <v>6.3495999999999995E-4</v>
      </c>
      <c r="AW225" s="78">
        <v>27995.128000000001</v>
      </c>
      <c r="AX225" s="78">
        <v>0</v>
      </c>
      <c r="AY225" s="78">
        <v>1104.5999999999999</v>
      </c>
      <c r="AZ225" s="78">
        <v>85125.833549582894</v>
      </c>
      <c r="BA225" s="78">
        <v>1</v>
      </c>
      <c r="BB225" s="78">
        <v>1.4</v>
      </c>
      <c r="BC225" s="78">
        <v>3175</v>
      </c>
      <c r="BD225" s="78">
        <v>1</v>
      </c>
      <c r="BE225" s="78">
        <v>0</v>
      </c>
      <c r="BF225" s="78">
        <v>0</v>
      </c>
      <c r="BG225" s="78">
        <v>0</v>
      </c>
      <c r="BH225" s="78">
        <v>0</v>
      </c>
      <c r="BI225" s="78">
        <v>0</v>
      </c>
      <c r="BJ225" s="78">
        <v>0</v>
      </c>
      <c r="BK225" s="78">
        <v>0</v>
      </c>
      <c r="BL225" s="78">
        <v>0</v>
      </c>
      <c r="BM225" s="78">
        <v>582.55200000000002</v>
      </c>
      <c r="BN225" s="78">
        <v>102</v>
      </c>
      <c r="BO225" s="78">
        <v>86</v>
      </c>
      <c r="BP225" s="78">
        <v>10255.68</v>
      </c>
      <c r="BQ225" s="78">
        <v>2346.34</v>
      </c>
      <c r="BR225" s="78">
        <v>301.72211957795997</v>
      </c>
      <c r="BS225" s="78">
        <v>484</v>
      </c>
      <c r="BT225" s="78">
        <v>155</v>
      </c>
      <c r="BU225" s="78">
        <v>141</v>
      </c>
      <c r="BV225" s="78">
        <v>1311.999999999997</v>
      </c>
      <c r="BW225" s="78">
        <v>333</v>
      </c>
      <c r="BX225" s="78">
        <v>6236.6445506822902</v>
      </c>
      <c r="BY225" s="402">
        <v>1.0529999999999999</v>
      </c>
      <c r="BZ225" s="78">
        <v>24895</v>
      </c>
      <c r="CA225" s="78">
        <v>3775</v>
      </c>
      <c r="CB225" s="78">
        <v>841</v>
      </c>
      <c r="CC225" s="78">
        <v>784</v>
      </c>
      <c r="CD225" s="78">
        <v>901</v>
      </c>
      <c r="CE225" s="78">
        <v>444</v>
      </c>
      <c r="CF225" s="78">
        <v>353.49081940257599</v>
      </c>
      <c r="CG225" s="78">
        <v>286.73718827075902</v>
      </c>
      <c r="CH225" s="78">
        <v>99.371882707591098</v>
      </c>
      <c r="CI225" s="78">
        <v>958.32899999999995</v>
      </c>
      <c r="CJ225" s="78">
        <v>777.35699999999997</v>
      </c>
      <c r="CK225" s="78">
        <v>269.4015</v>
      </c>
      <c r="CL225" s="78">
        <v>5475</v>
      </c>
    </row>
    <row r="226" spans="1:90" x14ac:dyDescent="0.35">
      <c r="A226" s="72">
        <v>1926</v>
      </c>
      <c r="B226" s="72" t="s">
        <v>246</v>
      </c>
      <c r="C226" s="72">
        <v>8</v>
      </c>
      <c r="D226" s="78">
        <v>7022800000</v>
      </c>
      <c r="E226" s="78">
        <v>681450000</v>
      </c>
      <c r="F226" s="78">
        <v>705600000</v>
      </c>
      <c r="G226" s="78">
        <v>56572</v>
      </c>
      <c r="H226" s="78">
        <v>3</v>
      </c>
      <c r="I226" s="78">
        <v>705.6</v>
      </c>
      <c r="J226" s="78">
        <v>13372</v>
      </c>
      <c r="K226" s="78">
        <v>8730</v>
      </c>
      <c r="L226" s="78">
        <v>2927</v>
      </c>
      <c r="M226" s="78">
        <v>4261</v>
      </c>
      <c r="N226" s="78">
        <v>2026.1</v>
      </c>
      <c r="O226" s="78">
        <v>445.66666666666703</v>
      </c>
      <c r="P226" s="78">
        <v>3</v>
      </c>
      <c r="Q226" s="78">
        <v>2363.6666666666702</v>
      </c>
      <c r="R226" s="78">
        <v>5481</v>
      </c>
      <c r="S226" s="78">
        <v>4465</v>
      </c>
      <c r="T226" s="78">
        <v>0</v>
      </c>
      <c r="U226" s="78">
        <v>1713</v>
      </c>
      <c r="V226" s="78">
        <v>22746</v>
      </c>
      <c r="W226" s="78">
        <v>37410</v>
      </c>
      <c r="X226" s="78">
        <v>6570</v>
      </c>
      <c r="Y226" s="78">
        <v>691.84</v>
      </c>
      <c r="Z226" s="78">
        <v>1060.8</v>
      </c>
      <c r="AA226" s="78">
        <v>0</v>
      </c>
      <c r="AB226" s="399">
        <v>0</v>
      </c>
      <c r="AC226" s="399">
        <v>0</v>
      </c>
      <c r="AD226" s="78">
        <v>3694</v>
      </c>
      <c r="AE226" s="78">
        <v>4913.0200000000004</v>
      </c>
      <c r="AF226" s="78">
        <v>167</v>
      </c>
      <c r="AG226" s="78">
        <v>0</v>
      </c>
      <c r="AH226" s="78">
        <v>230</v>
      </c>
      <c r="AI226" s="78">
        <v>20</v>
      </c>
      <c r="AJ226" s="78">
        <v>303.60000000000002</v>
      </c>
      <c r="AK226" s="78">
        <v>26.8</v>
      </c>
      <c r="AL226" s="78">
        <v>250</v>
      </c>
      <c r="AM226" s="78">
        <v>22349</v>
      </c>
      <c r="AN226" s="78">
        <v>29500.68</v>
      </c>
      <c r="AO226" s="78">
        <v>0</v>
      </c>
      <c r="AP226" s="78">
        <v>0</v>
      </c>
      <c r="AQ226" s="78">
        <v>0</v>
      </c>
      <c r="AR226" s="78">
        <v>0</v>
      </c>
      <c r="AS226" s="78">
        <v>0</v>
      </c>
      <c r="AT226" s="78">
        <v>0</v>
      </c>
      <c r="AU226" s="400">
        <v>1.7387899999999999E-4</v>
      </c>
      <c r="AV226" s="400">
        <v>2.0177899999999999E-4</v>
      </c>
      <c r="AW226" s="78">
        <v>34931.487000000001</v>
      </c>
      <c r="AX226" s="78">
        <v>0</v>
      </c>
      <c r="AY226" s="78">
        <v>4874.45</v>
      </c>
      <c r="AZ226" s="78">
        <v>153229.24006216001</v>
      </c>
      <c r="BA226" s="78">
        <v>8</v>
      </c>
      <c r="BB226" s="78">
        <v>10.72</v>
      </c>
      <c r="BC226" s="78">
        <v>6630</v>
      </c>
      <c r="BD226" s="78">
        <v>1</v>
      </c>
      <c r="BE226" s="78">
        <v>0</v>
      </c>
      <c r="BF226" s="78">
        <v>0</v>
      </c>
      <c r="BG226" s="78">
        <v>0</v>
      </c>
      <c r="BH226" s="78">
        <v>0</v>
      </c>
      <c r="BI226" s="78">
        <v>0</v>
      </c>
      <c r="BJ226" s="78">
        <v>0</v>
      </c>
      <c r="BK226" s="78">
        <v>0</v>
      </c>
      <c r="BL226" s="78">
        <v>0</v>
      </c>
      <c r="BM226" s="78">
        <v>976.15599999999995</v>
      </c>
      <c r="BN226" s="78">
        <v>76</v>
      </c>
      <c r="BO226" s="78">
        <v>96</v>
      </c>
      <c r="BP226" s="78">
        <v>18075.259999999998</v>
      </c>
      <c r="BQ226" s="78">
        <v>5943.96</v>
      </c>
      <c r="BR226" s="78">
        <v>543.07993391642401</v>
      </c>
      <c r="BS226" s="78">
        <v>730</v>
      </c>
      <c r="BT226" s="78">
        <v>170.666666666667</v>
      </c>
      <c r="BU226" s="78">
        <v>129.666666666667</v>
      </c>
      <c r="BV226" s="78">
        <v>1918.0000000000032</v>
      </c>
      <c r="BW226" s="78">
        <v>686</v>
      </c>
      <c r="BX226" s="78">
        <v>6369.22234148795</v>
      </c>
      <c r="BY226" s="402">
        <v>0.29399999999999998</v>
      </c>
      <c r="BZ226" s="78">
        <v>47842</v>
      </c>
      <c r="CA226" s="78">
        <v>4721</v>
      </c>
      <c r="CB226" s="78">
        <v>1082</v>
      </c>
      <c r="CC226" s="78">
        <v>879</v>
      </c>
      <c r="CD226" s="78">
        <v>862</v>
      </c>
      <c r="CE226" s="78">
        <v>530</v>
      </c>
      <c r="CF226" s="78">
        <v>265.44457470132897</v>
      </c>
      <c r="CG226" s="78">
        <v>180.58934180500199</v>
      </c>
      <c r="CH226" s="78">
        <v>70.622036780169097</v>
      </c>
      <c r="CI226" s="78">
        <v>925.54079999999999</v>
      </c>
      <c r="CJ226" s="78">
        <v>629.6712</v>
      </c>
      <c r="CK226" s="78">
        <v>246.24189999999999</v>
      </c>
      <c r="CL226" s="78">
        <v>165710</v>
      </c>
    </row>
    <row r="227" spans="1:90" x14ac:dyDescent="0.35">
      <c r="A227" s="72">
        <v>597</v>
      </c>
      <c r="B227" s="72" t="s">
        <v>256</v>
      </c>
      <c r="C227" s="72">
        <v>8</v>
      </c>
      <c r="D227" s="78">
        <v>4844800000</v>
      </c>
      <c r="E227" s="78">
        <v>974400000</v>
      </c>
      <c r="F227" s="78">
        <v>975450000</v>
      </c>
      <c r="G227" s="78">
        <v>47099</v>
      </c>
      <c r="H227" s="78">
        <v>2</v>
      </c>
      <c r="I227" s="78">
        <v>975.45</v>
      </c>
      <c r="J227" s="78">
        <v>8882</v>
      </c>
      <c r="K227" s="78">
        <v>11494</v>
      </c>
      <c r="L227" s="78">
        <v>4161</v>
      </c>
      <c r="M227" s="78">
        <v>6644</v>
      </c>
      <c r="N227" s="78">
        <v>4486.1000000000004</v>
      </c>
      <c r="O227" s="78">
        <v>888.66666666666697</v>
      </c>
      <c r="P227" s="78">
        <v>56</v>
      </c>
      <c r="Q227" s="78">
        <v>2655.6666666666702</v>
      </c>
      <c r="R227" s="78">
        <v>7286</v>
      </c>
      <c r="S227" s="78">
        <v>4100</v>
      </c>
      <c r="T227" s="78">
        <v>0</v>
      </c>
      <c r="U227" s="78">
        <v>1774</v>
      </c>
      <c r="V227" s="78">
        <v>21686</v>
      </c>
      <c r="W227" s="78">
        <v>44200</v>
      </c>
      <c r="X227" s="78">
        <v>17500</v>
      </c>
      <c r="Y227" s="78">
        <v>576.17999999999995</v>
      </c>
      <c r="Z227" s="78">
        <v>1738.4</v>
      </c>
      <c r="AA227" s="78">
        <v>0</v>
      </c>
      <c r="AB227" s="399">
        <v>0</v>
      </c>
      <c r="AC227" s="399">
        <v>0</v>
      </c>
      <c r="AD227" s="78">
        <v>2349</v>
      </c>
      <c r="AE227" s="78">
        <v>3194.64</v>
      </c>
      <c r="AF227" s="78">
        <v>178</v>
      </c>
      <c r="AG227" s="78">
        <v>0</v>
      </c>
      <c r="AH227" s="78">
        <v>231</v>
      </c>
      <c r="AI227" s="78">
        <v>16</v>
      </c>
      <c r="AJ227" s="78">
        <v>314.16000000000003</v>
      </c>
      <c r="AK227" s="78">
        <v>21.92</v>
      </c>
      <c r="AL227" s="78">
        <v>247</v>
      </c>
      <c r="AM227" s="78">
        <v>21579</v>
      </c>
      <c r="AN227" s="78">
        <v>29347.439999999999</v>
      </c>
      <c r="AO227" s="78">
        <v>0</v>
      </c>
      <c r="AP227" s="78">
        <v>0</v>
      </c>
      <c r="AQ227" s="78">
        <v>0</v>
      </c>
      <c r="AR227" s="78">
        <v>0</v>
      </c>
      <c r="AS227" s="78">
        <v>2380</v>
      </c>
      <c r="AT227" s="78">
        <v>0</v>
      </c>
      <c r="AU227" s="400">
        <v>7.2109300000000002E-4</v>
      </c>
      <c r="AV227" s="400">
        <v>2.511381E-3</v>
      </c>
      <c r="AW227" s="78">
        <v>37741.671000000002</v>
      </c>
      <c r="AX227" s="78">
        <v>0</v>
      </c>
      <c r="AY227" s="78">
        <v>2210</v>
      </c>
      <c r="AZ227" s="78">
        <v>101012.164780372</v>
      </c>
      <c r="BA227" s="78">
        <v>5</v>
      </c>
      <c r="BB227" s="78">
        <v>6.85</v>
      </c>
      <c r="BC227" s="78">
        <v>5210</v>
      </c>
      <c r="BD227" s="78">
        <v>1</v>
      </c>
      <c r="BE227" s="78">
        <v>0</v>
      </c>
      <c r="BF227" s="78">
        <v>0</v>
      </c>
      <c r="BG227" s="78">
        <v>0</v>
      </c>
      <c r="BH227" s="78">
        <v>0</v>
      </c>
      <c r="BI227" s="78">
        <v>0</v>
      </c>
      <c r="BJ227" s="78">
        <v>0</v>
      </c>
      <c r="BK227" s="78">
        <v>0</v>
      </c>
      <c r="BL227" s="78">
        <v>0</v>
      </c>
      <c r="BM227" s="78">
        <v>985.90200000000004</v>
      </c>
      <c r="BN227" s="78">
        <v>218</v>
      </c>
      <c r="BO227" s="78">
        <v>130</v>
      </c>
      <c r="BP227" s="78">
        <v>14394.92</v>
      </c>
      <c r="BQ227" s="78">
        <v>3137.28</v>
      </c>
      <c r="BR227" s="78">
        <v>336.16562115757398</v>
      </c>
      <c r="BS227" s="78">
        <v>732</v>
      </c>
      <c r="BT227" s="78">
        <v>320.33333333333297</v>
      </c>
      <c r="BU227" s="78">
        <v>290.33333333333297</v>
      </c>
      <c r="BV227" s="78">
        <v>1767.0000000000032</v>
      </c>
      <c r="BW227" s="78">
        <v>455</v>
      </c>
      <c r="BX227" s="78">
        <v>9275.77117524801</v>
      </c>
      <c r="BY227" s="402">
        <v>2.3780000000000001</v>
      </c>
      <c r="BZ227" s="78">
        <v>35605</v>
      </c>
      <c r="CA227" s="78">
        <v>5833</v>
      </c>
      <c r="CB227" s="78">
        <v>1500</v>
      </c>
      <c r="CC227" s="78">
        <v>1254</v>
      </c>
      <c r="CD227" s="78">
        <v>1403</v>
      </c>
      <c r="CE227" s="78">
        <v>775</v>
      </c>
      <c r="CF227" s="78">
        <v>752.56879373464994</v>
      </c>
      <c r="CG227" s="78">
        <v>604.75763010334094</v>
      </c>
      <c r="CH227" s="78">
        <v>227.433773576162</v>
      </c>
      <c r="CI227" s="78">
        <v>1640.222</v>
      </c>
      <c r="CJ227" s="78">
        <v>1318.0679</v>
      </c>
      <c r="CK227" s="78">
        <v>495.69139999999999</v>
      </c>
      <c r="CL227" s="78">
        <v>27783</v>
      </c>
    </row>
    <row r="228" spans="1:90" x14ac:dyDescent="0.35">
      <c r="A228" s="72">
        <v>603</v>
      </c>
      <c r="B228" s="72" t="s">
        <v>258</v>
      </c>
      <c r="C228" s="72">
        <v>8</v>
      </c>
      <c r="D228" s="78">
        <v>6786800000</v>
      </c>
      <c r="E228" s="78">
        <v>794150000</v>
      </c>
      <c r="F228" s="78">
        <v>795900000</v>
      </c>
      <c r="G228" s="78">
        <v>56941</v>
      </c>
      <c r="H228" s="78">
        <v>1</v>
      </c>
      <c r="I228" s="78">
        <v>795.9</v>
      </c>
      <c r="J228" s="78">
        <v>11325</v>
      </c>
      <c r="K228" s="78">
        <v>12030</v>
      </c>
      <c r="L228" s="78">
        <v>3934</v>
      </c>
      <c r="M228" s="78">
        <v>9266</v>
      </c>
      <c r="N228" s="78">
        <v>6452.7</v>
      </c>
      <c r="O228" s="78">
        <v>1417.3333333333301</v>
      </c>
      <c r="P228" s="78">
        <v>66</v>
      </c>
      <c r="Q228" s="78">
        <v>3812.3333333333298</v>
      </c>
      <c r="R228" s="78">
        <v>11637</v>
      </c>
      <c r="S228" s="78">
        <v>8195</v>
      </c>
      <c r="T228" s="78">
        <v>0</v>
      </c>
      <c r="U228" s="78">
        <v>2601</v>
      </c>
      <c r="V228" s="78">
        <v>28418</v>
      </c>
      <c r="W228" s="78">
        <v>43150</v>
      </c>
      <c r="X228" s="78">
        <v>13930</v>
      </c>
      <c r="Y228" s="78">
        <v>1323.42</v>
      </c>
      <c r="Z228" s="78">
        <v>1651.2</v>
      </c>
      <c r="AA228" s="78">
        <v>0</v>
      </c>
      <c r="AB228" s="399">
        <v>2880.2999999999993</v>
      </c>
      <c r="AC228" s="399">
        <v>0</v>
      </c>
      <c r="AD228" s="78">
        <v>1399</v>
      </c>
      <c r="AE228" s="78">
        <v>1440.97</v>
      </c>
      <c r="AF228" s="78">
        <v>50</v>
      </c>
      <c r="AG228" s="78">
        <v>0</v>
      </c>
      <c r="AH228" s="78">
        <v>200</v>
      </c>
      <c r="AI228" s="78">
        <v>7</v>
      </c>
      <c r="AJ228" s="78">
        <v>204</v>
      </c>
      <c r="AK228" s="78">
        <v>7.21</v>
      </c>
      <c r="AL228" s="78">
        <v>207</v>
      </c>
      <c r="AM228" s="78">
        <v>28133</v>
      </c>
      <c r="AN228" s="78">
        <v>28695.66</v>
      </c>
      <c r="AO228" s="78">
        <v>0</v>
      </c>
      <c r="AP228" s="78">
        <v>0</v>
      </c>
      <c r="AQ228" s="78">
        <v>0</v>
      </c>
      <c r="AR228" s="78">
        <v>0</v>
      </c>
      <c r="AS228" s="78">
        <v>4042</v>
      </c>
      <c r="AT228" s="78">
        <v>0</v>
      </c>
      <c r="AU228" s="400">
        <v>2.4989299999999999E-3</v>
      </c>
      <c r="AV228" s="400">
        <v>7.041121E-3</v>
      </c>
      <c r="AW228" s="78">
        <v>90250.664000000004</v>
      </c>
      <c r="AX228" s="78">
        <v>0</v>
      </c>
      <c r="AY228" s="78">
        <v>1228.79</v>
      </c>
      <c r="AZ228" s="78">
        <v>49420.779730848903</v>
      </c>
      <c r="BA228" s="78">
        <v>1</v>
      </c>
      <c r="BB228" s="78">
        <v>1.03</v>
      </c>
      <c r="BC228" s="78">
        <v>7280</v>
      </c>
      <c r="BD228" s="78">
        <v>1</v>
      </c>
      <c r="BE228" s="78">
        <v>0</v>
      </c>
      <c r="BF228" s="78">
        <v>0</v>
      </c>
      <c r="BG228" s="78">
        <v>0</v>
      </c>
      <c r="BH228" s="78">
        <v>0</v>
      </c>
      <c r="BI228" s="78">
        <v>0</v>
      </c>
      <c r="BJ228" s="78">
        <v>0</v>
      </c>
      <c r="BK228" s="78">
        <v>0</v>
      </c>
      <c r="BL228" s="78">
        <v>0</v>
      </c>
      <c r="BM228" s="78">
        <v>2027.175</v>
      </c>
      <c r="BN228" s="78">
        <v>145</v>
      </c>
      <c r="BO228" s="78">
        <v>185</v>
      </c>
      <c r="BP228" s="78">
        <v>18750.32</v>
      </c>
      <c r="BQ228" s="78">
        <v>4095</v>
      </c>
      <c r="BR228" s="78">
        <v>466.94685649599398</v>
      </c>
      <c r="BS228" s="78">
        <v>1019</v>
      </c>
      <c r="BT228" s="78">
        <v>504</v>
      </c>
      <c r="BU228" s="78">
        <v>475.66666666666703</v>
      </c>
      <c r="BV228" s="78">
        <v>2395</v>
      </c>
      <c r="BW228" s="78">
        <v>618</v>
      </c>
      <c r="BX228" s="78">
        <v>9756.4825353132892</v>
      </c>
      <c r="BY228" s="402">
        <v>3.58</v>
      </c>
      <c r="BZ228" s="78">
        <v>44911</v>
      </c>
      <c r="CA228" s="78">
        <v>6299</v>
      </c>
      <c r="CB228" s="78">
        <v>1797</v>
      </c>
      <c r="CC228" s="78">
        <v>1933</v>
      </c>
      <c r="CD228" s="78">
        <v>1601</v>
      </c>
      <c r="CE228" s="78">
        <v>950</v>
      </c>
      <c r="CF228" s="78">
        <v>961.494273628835</v>
      </c>
      <c r="CG228" s="78">
        <v>658.50430810791602</v>
      </c>
      <c r="CH228" s="78">
        <v>296.56777094515297</v>
      </c>
      <c r="CI228" s="78">
        <v>1866.2783999999999</v>
      </c>
      <c r="CJ228" s="78">
        <v>1278.1692</v>
      </c>
      <c r="CK228" s="78">
        <v>575.64359999999999</v>
      </c>
      <c r="CL228" s="78">
        <v>44982</v>
      </c>
    </row>
    <row r="229" spans="1:90" x14ac:dyDescent="0.35">
      <c r="A229" s="72">
        <v>599</v>
      </c>
      <c r="B229" s="72" t="s">
        <v>262</v>
      </c>
      <c r="C229" s="72">
        <v>8</v>
      </c>
      <c r="D229" s="78">
        <v>72610000000</v>
      </c>
      <c r="E229" s="78">
        <v>24484950000</v>
      </c>
      <c r="F229" s="78">
        <v>24570350000</v>
      </c>
      <c r="G229" s="78">
        <v>655468</v>
      </c>
      <c r="H229" s="78">
        <v>7</v>
      </c>
      <c r="I229" s="78">
        <v>24570.35</v>
      </c>
      <c r="J229" s="78">
        <v>120757</v>
      </c>
      <c r="K229" s="78">
        <v>102022</v>
      </c>
      <c r="L229" s="78">
        <v>32681</v>
      </c>
      <c r="M229" s="78">
        <v>126236</v>
      </c>
      <c r="N229" s="78">
        <v>93426</v>
      </c>
      <c r="O229" s="78">
        <v>34240.333333333299</v>
      </c>
      <c r="P229" s="78">
        <v>869</v>
      </c>
      <c r="Q229" s="78">
        <v>62833.333333333299</v>
      </c>
      <c r="R229" s="78">
        <v>162989</v>
      </c>
      <c r="S229" s="78">
        <v>181045</v>
      </c>
      <c r="T229" s="78">
        <v>49951.4</v>
      </c>
      <c r="U229" s="78">
        <v>34292</v>
      </c>
      <c r="V229" s="78">
        <v>342888</v>
      </c>
      <c r="W229" s="78">
        <v>743740</v>
      </c>
      <c r="X229" s="78">
        <v>1459650</v>
      </c>
      <c r="Y229" s="78">
        <v>21511.52</v>
      </c>
      <c r="Z229" s="78">
        <v>26737.599999999999</v>
      </c>
      <c r="AA229" s="78">
        <v>4891.8999999999996</v>
      </c>
      <c r="AB229" s="399">
        <v>0</v>
      </c>
      <c r="AC229" s="399">
        <v>0</v>
      </c>
      <c r="AD229" s="78">
        <v>21895</v>
      </c>
      <c r="AE229" s="78">
        <v>25617.15</v>
      </c>
      <c r="AF229" s="78">
        <v>7510</v>
      </c>
      <c r="AG229" s="78">
        <v>3010</v>
      </c>
      <c r="AH229" s="78">
        <v>1897</v>
      </c>
      <c r="AI229" s="78">
        <v>467</v>
      </c>
      <c r="AJ229" s="78">
        <v>2504.04</v>
      </c>
      <c r="AK229" s="78">
        <v>499.69</v>
      </c>
      <c r="AL229" s="78">
        <v>2364</v>
      </c>
      <c r="AM229" s="78">
        <v>328100</v>
      </c>
      <c r="AN229" s="78">
        <v>433092</v>
      </c>
      <c r="AO229" s="78">
        <v>25</v>
      </c>
      <c r="AP229" s="78">
        <v>0</v>
      </c>
      <c r="AQ229" s="78">
        <v>0</v>
      </c>
      <c r="AR229" s="78">
        <v>12900</v>
      </c>
      <c r="AS229" s="78">
        <v>152086</v>
      </c>
      <c r="AT229" s="78">
        <v>143539</v>
      </c>
      <c r="AU229" s="400">
        <v>0.17663910499999999</v>
      </c>
      <c r="AV229" s="400">
        <v>0.18705828599999999</v>
      </c>
      <c r="AW229" s="78">
        <v>1319618.2</v>
      </c>
      <c r="AX229" s="78">
        <v>204078.2</v>
      </c>
      <c r="AY229" s="78">
        <v>14899.95</v>
      </c>
      <c r="AZ229" s="78">
        <v>657985.32702737604</v>
      </c>
      <c r="BA229" s="78">
        <v>11</v>
      </c>
      <c r="BB229" s="78">
        <v>11.77</v>
      </c>
      <c r="BC229" s="78">
        <v>92765</v>
      </c>
      <c r="BD229" s="78">
        <v>1</v>
      </c>
      <c r="BE229" s="78">
        <v>0</v>
      </c>
      <c r="BF229" s="78">
        <v>0</v>
      </c>
      <c r="BG229" s="78">
        <v>1</v>
      </c>
      <c r="BH229" s="78">
        <v>0</v>
      </c>
      <c r="BI229" s="78">
        <v>0</v>
      </c>
      <c r="BJ229" s="78">
        <v>0</v>
      </c>
      <c r="BK229" s="78">
        <v>0</v>
      </c>
      <c r="BL229" s="78">
        <v>0</v>
      </c>
      <c r="BM229" s="78">
        <v>33691.203000000001</v>
      </c>
      <c r="BN229" s="78">
        <v>3055</v>
      </c>
      <c r="BO229" s="78">
        <v>5347</v>
      </c>
      <c r="BP229" s="78">
        <v>179849.7</v>
      </c>
      <c r="BQ229" s="78">
        <v>35467.120000000003</v>
      </c>
      <c r="BR229" s="78">
        <v>3823.0627620493901</v>
      </c>
      <c r="BS229" s="78">
        <v>13988</v>
      </c>
      <c r="BT229" s="78">
        <v>9365</v>
      </c>
      <c r="BU229" s="78">
        <v>9319</v>
      </c>
      <c r="BV229" s="78">
        <v>28593</v>
      </c>
      <c r="BW229" s="78">
        <v>8201</v>
      </c>
      <c r="BX229" s="78">
        <v>94014.625889560193</v>
      </c>
      <c r="BY229" s="402">
        <v>110.86</v>
      </c>
      <c r="BZ229" s="78">
        <v>553446</v>
      </c>
      <c r="CA229" s="78">
        <v>56798</v>
      </c>
      <c r="CB229" s="78">
        <v>12543</v>
      </c>
      <c r="CC229" s="78">
        <v>20809</v>
      </c>
      <c r="CD229" s="78">
        <v>14148</v>
      </c>
      <c r="CE229" s="78">
        <v>7082</v>
      </c>
      <c r="CF229" s="78">
        <v>11465.4004571777</v>
      </c>
      <c r="CG229" s="78">
        <v>6964.9495885400802</v>
      </c>
      <c r="CH229" s="78">
        <v>2668.9481804328002</v>
      </c>
      <c r="CI229" s="78">
        <v>22475.922999999999</v>
      </c>
      <c r="CJ229" s="78">
        <v>13653.572</v>
      </c>
      <c r="CK229" s="78">
        <v>5232.0086000000001</v>
      </c>
      <c r="CL229" s="78">
        <v>647621</v>
      </c>
    </row>
    <row r="230" spans="1:90" x14ac:dyDescent="0.35">
      <c r="A230" s="72">
        <v>606</v>
      </c>
      <c r="B230" s="72" t="s">
        <v>267</v>
      </c>
      <c r="C230" s="72">
        <v>8</v>
      </c>
      <c r="D230" s="78">
        <v>7507200000</v>
      </c>
      <c r="E230" s="78">
        <v>1098300000</v>
      </c>
      <c r="F230" s="78">
        <v>1121400000</v>
      </c>
      <c r="G230" s="78">
        <v>79644</v>
      </c>
      <c r="H230" s="78">
        <v>1</v>
      </c>
      <c r="I230" s="78">
        <v>1121.4000000000001</v>
      </c>
      <c r="J230" s="78">
        <v>15059</v>
      </c>
      <c r="K230" s="78">
        <v>13967</v>
      </c>
      <c r="L230" s="78">
        <v>4438</v>
      </c>
      <c r="M230" s="78">
        <v>13884</v>
      </c>
      <c r="N230" s="78">
        <v>10072.700000000001</v>
      </c>
      <c r="O230" s="78">
        <v>2302.6666666666702</v>
      </c>
      <c r="P230" s="78">
        <v>93</v>
      </c>
      <c r="Q230" s="78">
        <v>5800.6666666666697</v>
      </c>
      <c r="R230" s="78">
        <v>15840</v>
      </c>
      <c r="S230" s="78">
        <v>16940</v>
      </c>
      <c r="T230" s="78">
        <v>1011.2</v>
      </c>
      <c r="U230" s="78">
        <v>3741</v>
      </c>
      <c r="V230" s="78">
        <v>38848</v>
      </c>
      <c r="W230" s="78">
        <v>78660</v>
      </c>
      <c r="X230" s="78">
        <v>52430</v>
      </c>
      <c r="Y230" s="78">
        <v>1351.28</v>
      </c>
      <c r="Z230" s="78">
        <v>3116.8</v>
      </c>
      <c r="AA230" s="78">
        <v>347.3</v>
      </c>
      <c r="AB230" s="399">
        <v>0</v>
      </c>
      <c r="AC230" s="399">
        <v>252.79999999999973</v>
      </c>
      <c r="AD230" s="78">
        <v>1783</v>
      </c>
      <c r="AE230" s="78">
        <v>2442.71</v>
      </c>
      <c r="AF230" s="78">
        <v>203</v>
      </c>
      <c r="AG230" s="78">
        <v>0</v>
      </c>
      <c r="AH230" s="78">
        <v>265</v>
      </c>
      <c r="AI230" s="78">
        <v>18</v>
      </c>
      <c r="AJ230" s="78">
        <v>365.7</v>
      </c>
      <c r="AK230" s="78">
        <v>24.12</v>
      </c>
      <c r="AL230" s="78">
        <v>283</v>
      </c>
      <c r="AM230" s="78">
        <v>38113</v>
      </c>
      <c r="AN230" s="78">
        <v>52595.94</v>
      </c>
      <c r="AO230" s="78">
        <v>33</v>
      </c>
      <c r="AP230" s="78">
        <v>0</v>
      </c>
      <c r="AQ230" s="78">
        <v>0</v>
      </c>
      <c r="AR230" s="78">
        <v>6850</v>
      </c>
      <c r="AS230" s="78">
        <v>13298</v>
      </c>
      <c r="AT230" s="78">
        <v>13298</v>
      </c>
      <c r="AU230" s="400">
        <v>1.3840837E-2</v>
      </c>
      <c r="AV230" s="400">
        <v>1.9156579E-2</v>
      </c>
      <c r="AW230" s="78">
        <v>127221.194</v>
      </c>
      <c r="AX230" s="78">
        <v>0</v>
      </c>
      <c r="AY230" s="78">
        <v>2194.7399999999998</v>
      </c>
      <c r="AZ230" s="78">
        <v>231849.859818731</v>
      </c>
      <c r="BA230" s="78">
        <v>2</v>
      </c>
      <c r="BB230" s="78">
        <v>2.68</v>
      </c>
      <c r="BC230" s="78">
        <v>9615</v>
      </c>
      <c r="BD230" s="78">
        <v>1</v>
      </c>
      <c r="BE230" s="78">
        <v>0</v>
      </c>
      <c r="BF230" s="78">
        <v>0</v>
      </c>
      <c r="BG230" s="78">
        <v>0</v>
      </c>
      <c r="BH230" s="78">
        <v>0</v>
      </c>
      <c r="BI230" s="78">
        <v>0</v>
      </c>
      <c r="BJ230" s="78">
        <v>0</v>
      </c>
      <c r="BK230" s="78">
        <v>0</v>
      </c>
      <c r="BL230" s="78">
        <v>0</v>
      </c>
      <c r="BM230" s="78">
        <v>3252.7440000000001</v>
      </c>
      <c r="BN230" s="78">
        <v>445</v>
      </c>
      <c r="BO230" s="78">
        <v>720</v>
      </c>
      <c r="BP230" s="78">
        <v>22070.16</v>
      </c>
      <c r="BQ230" s="78">
        <v>4749.3</v>
      </c>
      <c r="BR230" s="78">
        <v>435.74845605624802</v>
      </c>
      <c r="BS230" s="78">
        <v>1463</v>
      </c>
      <c r="BT230" s="78">
        <v>697.33333333333303</v>
      </c>
      <c r="BU230" s="78">
        <v>698.66666666666697</v>
      </c>
      <c r="BV230" s="78">
        <v>3497.9999999999995</v>
      </c>
      <c r="BW230" s="78">
        <v>853</v>
      </c>
      <c r="BX230" s="78">
        <v>11892.019865033601</v>
      </c>
      <c r="BY230" s="402">
        <v>6.1020000000000003</v>
      </c>
      <c r="BZ230" s="78">
        <v>65677</v>
      </c>
      <c r="CA230" s="78">
        <v>7885</v>
      </c>
      <c r="CB230" s="78">
        <v>1644</v>
      </c>
      <c r="CC230" s="78">
        <v>2350</v>
      </c>
      <c r="CD230" s="78">
        <v>1817</v>
      </c>
      <c r="CE230" s="78">
        <v>903</v>
      </c>
      <c r="CF230" s="78">
        <v>1388.0256185553501</v>
      </c>
      <c r="CG230" s="78">
        <v>861.30531052396805</v>
      </c>
      <c r="CH230" s="78">
        <v>310.00648335213702</v>
      </c>
      <c r="CI230" s="78">
        <v>2881.2471999999998</v>
      </c>
      <c r="CJ230" s="78">
        <v>1787.8874000000001</v>
      </c>
      <c r="CK230" s="78">
        <v>643.50779999999997</v>
      </c>
      <c r="CL230" s="78">
        <v>66794</v>
      </c>
    </row>
    <row r="231" spans="1:90" x14ac:dyDescent="0.35">
      <c r="A231" s="72">
        <v>518</v>
      </c>
      <c r="B231" s="72" t="s">
        <v>270</v>
      </c>
      <c r="C231" s="72">
        <v>8</v>
      </c>
      <c r="D231" s="78">
        <v>67868000000</v>
      </c>
      <c r="E231" s="78">
        <v>10156300000</v>
      </c>
      <c r="F231" s="78">
        <v>10282650000</v>
      </c>
      <c r="G231" s="78">
        <v>553417</v>
      </c>
      <c r="H231" s="78">
        <v>3</v>
      </c>
      <c r="I231" s="78">
        <v>10282.65</v>
      </c>
      <c r="J231" s="78">
        <v>108309</v>
      </c>
      <c r="K231" s="78">
        <v>82771</v>
      </c>
      <c r="L231" s="78">
        <v>26178</v>
      </c>
      <c r="M231" s="78">
        <v>93876</v>
      </c>
      <c r="N231" s="78">
        <v>66471.8</v>
      </c>
      <c r="O231" s="78">
        <v>23722.333333333299</v>
      </c>
      <c r="P231" s="78">
        <v>1186</v>
      </c>
      <c r="Q231" s="78">
        <v>49737.333333333299</v>
      </c>
      <c r="R231" s="78">
        <v>133440</v>
      </c>
      <c r="S231" s="78">
        <v>139960</v>
      </c>
      <c r="T231" s="78">
        <v>29276.6</v>
      </c>
      <c r="U231" s="78">
        <v>24828</v>
      </c>
      <c r="V231" s="78">
        <v>283353</v>
      </c>
      <c r="W231" s="78">
        <v>616400</v>
      </c>
      <c r="X231" s="78">
        <v>1027050</v>
      </c>
      <c r="Y231" s="78">
        <v>12926.82</v>
      </c>
      <c r="Z231" s="78">
        <v>21628.799999999999</v>
      </c>
      <c r="AA231" s="78">
        <v>3337.5</v>
      </c>
      <c r="AB231" s="399">
        <v>0</v>
      </c>
      <c r="AC231" s="399">
        <v>2148.4999999999964</v>
      </c>
      <c r="AD231" s="78">
        <v>8283</v>
      </c>
      <c r="AE231" s="78">
        <v>8448.66</v>
      </c>
      <c r="AF231" s="78">
        <v>357</v>
      </c>
      <c r="AG231" s="78">
        <v>1173</v>
      </c>
      <c r="AH231" s="78">
        <v>1545</v>
      </c>
      <c r="AI231" s="78">
        <v>22</v>
      </c>
      <c r="AJ231" s="78">
        <v>1575.9</v>
      </c>
      <c r="AK231" s="78">
        <v>22</v>
      </c>
      <c r="AL231" s="78">
        <v>1567</v>
      </c>
      <c r="AM231" s="78">
        <v>274042</v>
      </c>
      <c r="AN231" s="78">
        <v>279522.84000000003</v>
      </c>
      <c r="AO231" s="78">
        <v>0</v>
      </c>
      <c r="AP231" s="78">
        <v>0</v>
      </c>
      <c r="AQ231" s="78">
        <v>130</v>
      </c>
      <c r="AR231" s="78">
        <v>9850</v>
      </c>
      <c r="AS231" s="78">
        <v>130270</v>
      </c>
      <c r="AT231" s="78">
        <v>116262</v>
      </c>
      <c r="AU231" s="400">
        <v>0.11285255199999999</v>
      </c>
      <c r="AV231" s="400">
        <v>0.10392003900000001</v>
      </c>
      <c r="AW231" s="78">
        <v>1374594.672</v>
      </c>
      <c r="AX231" s="78">
        <v>442851.87199999997</v>
      </c>
      <c r="AY231" s="78">
        <v>6054.72</v>
      </c>
      <c r="AZ231" s="78">
        <v>411473.22584722203</v>
      </c>
      <c r="BA231" s="78">
        <v>3</v>
      </c>
      <c r="BB231" s="78">
        <v>3</v>
      </c>
      <c r="BC231" s="78">
        <v>85710</v>
      </c>
      <c r="BD231" s="78">
        <v>1</v>
      </c>
      <c r="BE231" s="78">
        <v>0</v>
      </c>
      <c r="BF231" s="78">
        <v>1</v>
      </c>
      <c r="BG231" s="78">
        <v>0</v>
      </c>
      <c r="BH231" s="78">
        <v>0</v>
      </c>
      <c r="BI231" s="78">
        <v>0</v>
      </c>
      <c r="BJ231" s="78">
        <v>0</v>
      </c>
      <c r="BK231" s="78">
        <v>0</v>
      </c>
      <c r="BL231" s="78">
        <v>0</v>
      </c>
      <c r="BM231" s="78">
        <v>24694.452000000001</v>
      </c>
      <c r="BN231" s="78">
        <v>1767</v>
      </c>
      <c r="BO231" s="78">
        <v>4161</v>
      </c>
      <c r="BP231" s="78">
        <v>167542.6</v>
      </c>
      <c r="BQ231" s="78">
        <v>35752.230000000003</v>
      </c>
      <c r="BR231" s="78">
        <v>4261.89738679932</v>
      </c>
      <c r="BS231" s="78">
        <v>9562</v>
      </c>
      <c r="BT231" s="78">
        <v>6053.6666666666697</v>
      </c>
      <c r="BU231" s="78">
        <v>5832.3333333333303</v>
      </c>
      <c r="BV231" s="78">
        <v>26015</v>
      </c>
      <c r="BW231" s="78">
        <v>6204</v>
      </c>
      <c r="BX231" s="78">
        <v>77360.090547855303</v>
      </c>
      <c r="BY231" s="402">
        <v>68.908000000000001</v>
      </c>
      <c r="BZ231" s="78">
        <v>470646</v>
      </c>
      <c r="CA231" s="78">
        <v>47307</v>
      </c>
      <c r="CB231" s="78">
        <v>9286</v>
      </c>
      <c r="CC231" s="78">
        <v>17464</v>
      </c>
      <c r="CD231" s="78">
        <v>11564</v>
      </c>
      <c r="CE231" s="78">
        <v>5038</v>
      </c>
      <c r="CF231" s="78">
        <v>8132.8153429036402</v>
      </c>
      <c r="CG231" s="78">
        <v>4784.5084147685402</v>
      </c>
      <c r="CH231" s="78">
        <v>1635.58632399413</v>
      </c>
      <c r="CI231" s="78">
        <v>16576.7376</v>
      </c>
      <c r="CJ231" s="78">
        <v>9752.0400000000009</v>
      </c>
      <c r="CK231" s="78">
        <v>3333.7392</v>
      </c>
      <c r="CL231" s="78">
        <v>547158</v>
      </c>
    </row>
    <row r="232" spans="1:90" x14ac:dyDescent="0.35">
      <c r="A232" s="72">
        <v>610</v>
      </c>
      <c r="B232" s="72" t="s">
        <v>276</v>
      </c>
      <c r="C232" s="72">
        <v>8</v>
      </c>
      <c r="D232" s="78">
        <v>2225600000</v>
      </c>
      <c r="E232" s="78">
        <v>439250000</v>
      </c>
      <c r="F232" s="78">
        <v>452200000</v>
      </c>
      <c r="G232" s="78">
        <v>25897</v>
      </c>
      <c r="H232" s="78">
        <v>1</v>
      </c>
      <c r="I232" s="78">
        <v>452.2</v>
      </c>
      <c r="J232" s="78">
        <v>5525</v>
      </c>
      <c r="K232" s="78">
        <v>5235</v>
      </c>
      <c r="L232" s="78">
        <v>1785</v>
      </c>
      <c r="M232" s="78">
        <v>3470</v>
      </c>
      <c r="N232" s="78">
        <v>2289.6999999999998</v>
      </c>
      <c r="O232" s="78">
        <v>446.33333333333297</v>
      </c>
      <c r="P232" s="78">
        <v>52</v>
      </c>
      <c r="Q232" s="78">
        <v>2147.3333333333298</v>
      </c>
      <c r="R232" s="78">
        <v>3696</v>
      </c>
      <c r="S232" s="78">
        <v>1510</v>
      </c>
      <c r="T232" s="78">
        <v>0</v>
      </c>
      <c r="U232" s="78">
        <v>749</v>
      </c>
      <c r="V232" s="78">
        <v>11690</v>
      </c>
      <c r="W232" s="78">
        <v>25500</v>
      </c>
      <c r="X232" s="78">
        <v>9840</v>
      </c>
      <c r="Y232" s="78">
        <v>1092.52</v>
      </c>
      <c r="Z232" s="78">
        <v>269.60000000000002</v>
      </c>
      <c r="AA232" s="78">
        <v>0</v>
      </c>
      <c r="AB232" s="399">
        <v>0</v>
      </c>
      <c r="AC232" s="399">
        <v>0</v>
      </c>
      <c r="AD232" s="78">
        <v>1283</v>
      </c>
      <c r="AE232" s="78">
        <v>1988.65</v>
      </c>
      <c r="AF232" s="78">
        <v>118</v>
      </c>
      <c r="AG232" s="78">
        <v>0</v>
      </c>
      <c r="AH232" s="78">
        <v>116</v>
      </c>
      <c r="AI232" s="78">
        <v>6</v>
      </c>
      <c r="AJ232" s="78">
        <v>165.88</v>
      </c>
      <c r="AK232" s="78">
        <v>10.08</v>
      </c>
      <c r="AL232" s="78">
        <v>121</v>
      </c>
      <c r="AM232" s="78">
        <v>11803</v>
      </c>
      <c r="AN232" s="78">
        <v>16878.29</v>
      </c>
      <c r="AO232" s="78">
        <v>0</v>
      </c>
      <c r="AP232" s="78">
        <v>0</v>
      </c>
      <c r="AQ232" s="78">
        <v>0</v>
      </c>
      <c r="AR232" s="78">
        <v>0</v>
      </c>
      <c r="AS232" s="78">
        <v>3255</v>
      </c>
      <c r="AT232" s="78">
        <v>0</v>
      </c>
      <c r="AU232" s="400">
        <v>6.9931099999999999E-4</v>
      </c>
      <c r="AV232" s="400">
        <v>1.142985E-3</v>
      </c>
      <c r="AW232" s="78">
        <v>19321.510999999999</v>
      </c>
      <c r="AX232" s="78">
        <v>0</v>
      </c>
      <c r="AY232" s="78">
        <v>1148.55</v>
      </c>
      <c r="AZ232" s="78">
        <v>55726.610099928599</v>
      </c>
      <c r="BA232" s="78">
        <v>1</v>
      </c>
      <c r="BB232" s="78">
        <v>1.68</v>
      </c>
      <c r="BC232" s="78">
        <v>2705</v>
      </c>
      <c r="BD232" s="78">
        <v>1</v>
      </c>
      <c r="BE232" s="78">
        <v>0</v>
      </c>
      <c r="BF232" s="78">
        <v>0</v>
      </c>
      <c r="BG232" s="78">
        <v>0</v>
      </c>
      <c r="BH232" s="78">
        <v>0</v>
      </c>
      <c r="BI232" s="78">
        <v>0</v>
      </c>
      <c r="BJ232" s="78">
        <v>0</v>
      </c>
      <c r="BK232" s="78">
        <v>0</v>
      </c>
      <c r="BL232" s="78">
        <v>0</v>
      </c>
      <c r="BM232" s="78">
        <v>558.02499999999998</v>
      </c>
      <c r="BN232" s="78">
        <v>117</v>
      </c>
      <c r="BO232" s="78">
        <v>92</v>
      </c>
      <c r="BP232" s="78">
        <v>6678.02</v>
      </c>
      <c r="BQ232" s="78">
        <v>1721.42</v>
      </c>
      <c r="BR232" s="78">
        <v>318.60458248472497</v>
      </c>
      <c r="BS232" s="78">
        <v>336</v>
      </c>
      <c r="BT232" s="78">
        <v>146.666666666667</v>
      </c>
      <c r="BU232" s="78">
        <v>138.666666666667</v>
      </c>
      <c r="BV232" s="78">
        <v>1700.9999999999968</v>
      </c>
      <c r="BW232" s="78">
        <v>774</v>
      </c>
      <c r="BX232" s="78">
        <v>4545.0110137906804</v>
      </c>
      <c r="BY232" s="402">
        <v>1.17</v>
      </c>
      <c r="BZ232" s="78">
        <v>20662</v>
      </c>
      <c r="CA232" s="78">
        <v>2714</v>
      </c>
      <c r="CB232" s="78">
        <v>736</v>
      </c>
      <c r="CC232" s="78">
        <v>547</v>
      </c>
      <c r="CD232" s="78">
        <v>610</v>
      </c>
      <c r="CE232" s="78">
        <v>384</v>
      </c>
      <c r="CF232" s="78">
        <v>312.91079386596601</v>
      </c>
      <c r="CG232" s="78">
        <v>238.80544776751699</v>
      </c>
      <c r="CH232" s="78">
        <v>101.84635262221499</v>
      </c>
      <c r="CI232" s="78">
        <v>776.82079999999996</v>
      </c>
      <c r="CJ232" s="78">
        <v>592.84960000000001</v>
      </c>
      <c r="CK232" s="78">
        <v>252.84</v>
      </c>
      <c r="CL232" s="78">
        <v>220816</v>
      </c>
    </row>
    <row r="233" spans="1:90" x14ac:dyDescent="0.35">
      <c r="A233" s="72">
        <v>1525</v>
      </c>
      <c r="B233" s="72" t="s">
        <v>293</v>
      </c>
      <c r="C233" s="72">
        <v>8</v>
      </c>
      <c r="D233" s="78">
        <v>5402000000</v>
      </c>
      <c r="E233" s="78">
        <v>551600000</v>
      </c>
      <c r="F233" s="78">
        <v>569800000</v>
      </c>
      <c r="G233" s="78">
        <v>37942</v>
      </c>
      <c r="H233" s="78">
        <v>2</v>
      </c>
      <c r="I233" s="78">
        <v>569.79999999999995</v>
      </c>
      <c r="J233" s="78">
        <v>7412</v>
      </c>
      <c r="K233" s="78">
        <v>7709</v>
      </c>
      <c r="L233" s="78">
        <v>2573</v>
      </c>
      <c r="M233" s="78">
        <v>3999</v>
      </c>
      <c r="N233" s="78">
        <v>2335.3999999999996</v>
      </c>
      <c r="O233" s="78">
        <v>290</v>
      </c>
      <c r="P233" s="78">
        <v>49</v>
      </c>
      <c r="Q233" s="78">
        <v>1502</v>
      </c>
      <c r="R233" s="78">
        <v>5102</v>
      </c>
      <c r="S233" s="78">
        <v>1140</v>
      </c>
      <c r="T233" s="78">
        <v>0</v>
      </c>
      <c r="U233" s="78">
        <v>1069</v>
      </c>
      <c r="V233" s="78">
        <v>16803</v>
      </c>
      <c r="W233" s="78">
        <v>35380</v>
      </c>
      <c r="X233" s="78">
        <v>13440</v>
      </c>
      <c r="Y233" s="78">
        <v>560.52</v>
      </c>
      <c r="Z233" s="78">
        <v>1620.8</v>
      </c>
      <c r="AA233" s="78">
        <v>0</v>
      </c>
      <c r="AB233" s="399">
        <v>0</v>
      </c>
      <c r="AC233" s="399">
        <v>0</v>
      </c>
      <c r="AD233" s="78">
        <v>2833</v>
      </c>
      <c r="AE233" s="78">
        <v>3031.31</v>
      </c>
      <c r="AF233" s="78">
        <v>516</v>
      </c>
      <c r="AG233" s="78">
        <v>0</v>
      </c>
      <c r="AH233" s="78">
        <v>195</v>
      </c>
      <c r="AI233" s="78">
        <v>24</v>
      </c>
      <c r="AJ233" s="78">
        <v>202.8</v>
      </c>
      <c r="AK233" s="78">
        <v>26.4</v>
      </c>
      <c r="AL233" s="78">
        <v>218</v>
      </c>
      <c r="AM233" s="78">
        <v>16636</v>
      </c>
      <c r="AN233" s="78">
        <v>17301.439999999999</v>
      </c>
      <c r="AO233" s="78">
        <v>0</v>
      </c>
      <c r="AP233" s="78">
        <v>0</v>
      </c>
      <c r="AQ233" s="78">
        <v>0</v>
      </c>
      <c r="AR233" s="78">
        <v>0</v>
      </c>
      <c r="AS233" s="78">
        <v>1524</v>
      </c>
      <c r="AT233" s="78">
        <v>0</v>
      </c>
      <c r="AU233" s="400">
        <v>3.3695699999999998E-4</v>
      </c>
      <c r="AV233" s="400">
        <v>3.8505499999999998E-4</v>
      </c>
      <c r="AW233" s="78">
        <v>23456.76</v>
      </c>
      <c r="AX233" s="78">
        <v>0</v>
      </c>
      <c r="AY233" s="78">
        <v>3051.64</v>
      </c>
      <c r="AZ233" s="78">
        <v>52053.614320692701</v>
      </c>
      <c r="BA233" s="78">
        <v>6</v>
      </c>
      <c r="BB233" s="78">
        <v>6.6</v>
      </c>
      <c r="BC233" s="78">
        <v>4655</v>
      </c>
      <c r="BD233" s="78">
        <v>1</v>
      </c>
      <c r="BE233" s="78">
        <v>0</v>
      </c>
      <c r="BF233" s="78">
        <v>0</v>
      </c>
      <c r="BG233" s="78">
        <v>0</v>
      </c>
      <c r="BH233" s="78">
        <v>0</v>
      </c>
      <c r="BI233" s="78">
        <v>0</v>
      </c>
      <c r="BJ233" s="78">
        <v>0</v>
      </c>
      <c r="BK233" s="78">
        <v>0</v>
      </c>
      <c r="BL233" s="78">
        <v>0</v>
      </c>
      <c r="BM233" s="78">
        <v>422.48399999999998</v>
      </c>
      <c r="BN233" s="78">
        <v>48</v>
      </c>
      <c r="BO233" s="78">
        <v>51</v>
      </c>
      <c r="BP233" s="78">
        <v>13644.12</v>
      </c>
      <c r="BQ233" s="78">
        <v>3436.62</v>
      </c>
      <c r="BR233" s="78">
        <v>270.66392905685399</v>
      </c>
      <c r="BS233" s="78">
        <v>446</v>
      </c>
      <c r="BT233" s="78">
        <v>86.6666666666667</v>
      </c>
      <c r="BU233" s="78">
        <v>56.3333333333333</v>
      </c>
      <c r="BV233" s="78">
        <v>1212</v>
      </c>
      <c r="BW233" s="78">
        <v>312</v>
      </c>
      <c r="BX233" s="78">
        <v>4924.6790336323502</v>
      </c>
      <c r="BY233" s="402">
        <v>0.192</v>
      </c>
      <c r="BZ233" s="78">
        <v>30233</v>
      </c>
      <c r="CA233" s="78">
        <v>4131</v>
      </c>
      <c r="CB233" s="78">
        <v>1005</v>
      </c>
      <c r="CC233" s="78">
        <v>832</v>
      </c>
      <c r="CD233" s="78">
        <v>811</v>
      </c>
      <c r="CE233" s="78">
        <v>468</v>
      </c>
      <c r="CF233" s="78">
        <v>359.94022601586897</v>
      </c>
      <c r="CG233" s="78">
        <v>240.053738879538</v>
      </c>
      <c r="CH233" s="78">
        <v>97.4253185861986</v>
      </c>
      <c r="CI233" s="78">
        <v>773.30240000000003</v>
      </c>
      <c r="CJ233" s="78">
        <v>515.73599999999999</v>
      </c>
      <c r="CK233" s="78">
        <v>209.31039999999999</v>
      </c>
      <c r="CL233" s="78">
        <v>46485</v>
      </c>
    </row>
    <row r="234" spans="1:90" x14ac:dyDescent="0.35">
      <c r="A234" s="72">
        <v>622</v>
      </c>
      <c r="B234" s="72" t="s">
        <v>318</v>
      </c>
      <c r="C234" s="72">
        <v>8</v>
      </c>
      <c r="D234" s="78">
        <v>6939600000</v>
      </c>
      <c r="E234" s="78">
        <v>923300000</v>
      </c>
      <c r="F234" s="78">
        <v>939750000</v>
      </c>
      <c r="G234" s="78">
        <v>74143</v>
      </c>
      <c r="H234" s="78">
        <v>1</v>
      </c>
      <c r="I234" s="78">
        <v>939.75</v>
      </c>
      <c r="J234" s="78">
        <v>14247</v>
      </c>
      <c r="K234" s="78">
        <v>15735</v>
      </c>
      <c r="L234" s="78">
        <v>5306</v>
      </c>
      <c r="M234" s="78">
        <v>12656</v>
      </c>
      <c r="N234" s="78">
        <v>9051.6</v>
      </c>
      <c r="O234" s="78">
        <v>2312</v>
      </c>
      <c r="P234" s="78">
        <v>61</v>
      </c>
      <c r="Q234" s="78">
        <v>5749</v>
      </c>
      <c r="R234" s="78">
        <v>14231</v>
      </c>
      <c r="S234" s="78">
        <v>11905</v>
      </c>
      <c r="T234" s="78">
        <v>0</v>
      </c>
      <c r="U234" s="78">
        <v>3543</v>
      </c>
      <c r="V234" s="78">
        <v>36226</v>
      </c>
      <c r="W234" s="78">
        <v>74600</v>
      </c>
      <c r="X234" s="78">
        <v>53220</v>
      </c>
      <c r="Y234" s="78">
        <v>1153.06</v>
      </c>
      <c r="Z234" s="78">
        <v>3126.4</v>
      </c>
      <c r="AA234" s="78">
        <v>105</v>
      </c>
      <c r="AB234" s="399">
        <v>0</v>
      </c>
      <c r="AC234" s="399">
        <v>0</v>
      </c>
      <c r="AD234" s="78">
        <v>2336</v>
      </c>
      <c r="AE234" s="78">
        <v>3153.6</v>
      </c>
      <c r="AF234" s="78">
        <v>334</v>
      </c>
      <c r="AG234" s="78">
        <v>0</v>
      </c>
      <c r="AH234" s="78">
        <v>236</v>
      </c>
      <c r="AI234" s="78">
        <v>12</v>
      </c>
      <c r="AJ234" s="78">
        <v>328.04</v>
      </c>
      <c r="AK234" s="78">
        <v>15.72</v>
      </c>
      <c r="AL234" s="78">
        <v>248</v>
      </c>
      <c r="AM234" s="78">
        <v>36044</v>
      </c>
      <c r="AN234" s="78">
        <v>50101.16</v>
      </c>
      <c r="AO234" s="78">
        <v>10</v>
      </c>
      <c r="AP234" s="78">
        <v>0</v>
      </c>
      <c r="AQ234" s="78">
        <v>0</v>
      </c>
      <c r="AR234" s="78">
        <v>0</v>
      </c>
      <c r="AS234" s="78">
        <v>6938</v>
      </c>
      <c r="AT234" s="78">
        <v>6540</v>
      </c>
      <c r="AU234" s="400">
        <v>3.1864559999999998E-3</v>
      </c>
      <c r="AV234" s="400">
        <v>1.1512477E-2</v>
      </c>
      <c r="AW234" s="78">
        <v>101680.124</v>
      </c>
      <c r="AX234" s="78">
        <v>0</v>
      </c>
      <c r="AY234" s="78">
        <v>2155.9499999999998</v>
      </c>
      <c r="AZ234" s="78">
        <v>151639.09634831501</v>
      </c>
      <c r="BA234" s="78">
        <v>1</v>
      </c>
      <c r="BB234" s="78">
        <v>1.31</v>
      </c>
      <c r="BC234" s="78">
        <v>7305</v>
      </c>
      <c r="BD234" s="78">
        <v>1</v>
      </c>
      <c r="BE234" s="78">
        <v>0</v>
      </c>
      <c r="BF234" s="78">
        <v>0</v>
      </c>
      <c r="BG234" s="78">
        <v>0</v>
      </c>
      <c r="BH234" s="78">
        <v>0</v>
      </c>
      <c r="BI234" s="78">
        <v>0</v>
      </c>
      <c r="BJ234" s="78">
        <v>0</v>
      </c>
      <c r="BK234" s="78">
        <v>0</v>
      </c>
      <c r="BL234" s="78">
        <v>0</v>
      </c>
      <c r="BM234" s="78">
        <v>2906.3879999999999</v>
      </c>
      <c r="BN234" s="78">
        <v>377</v>
      </c>
      <c r="BO234" s="78">
        <v>415</v>
      </c>
      <c r="BP234" s="78">
        <v>21081</v>
      </c>
      <c r="BQ234" s="78">
        <v>4688.25</v>
      </c>
      <c r="BR234" s="78">
        <v>484.67662451108203</v>
      </c>
      <c r="BS234" s="78">
        <v>1442</v>
      </c>
      <c r="BT234" s="78">
        <v>742.66666666666697</v>
      </c>
      <c r="BU234" s="78">
        <v>697</v>
      </c>
      <c r="BV234" s="78">
        <v>3437</v>
      </c>
      <c r="BW234" s="78">
        <v>1017</v>
      </c>
      <c r="BX234" s="78">
        <v>12440.867230669301</v>
      </c>
      <c r="BY234" s="402">
        <v>6.7</v>
      </c>
      <c r="BZ234" s="78">
        <v>58408</v>
      </c>
      <c r="CA234" s="78">
        <v>8345</v>
      </c>
      <c r="CB234" s="78">
        <v>2084</v>
      </c>
      <c r="CC234" s="78">
        <v>2291</v>
      </c>
      <c r="CD234" s="78">
        <v>2043</v>
      </c>
      <c r="CE234" s="78">
        <v>1166</v>
      </c>
      <c r="CF234" s="78">
        <v>1368.8900122073001</v>
      </c>
      <c r="CG234" s="78">
        <v>958.298346465431</v>
      </c>
      <c r="CH234" s="78">
        <v>396.77971368327599</v>
      </c>
      <c r="CI234" s="78">
        <v>2863.4103</v>
      </c>
      <c r="CJ234" s="78">
        <v>2004.5447999999999</v>
      </c>
      <c r="CK234" s="78">
        <v>829.97400000000005</v>
      </c>
      <c r="CL234" s="78">
        <v>45549</v>
      </c>
    </row>
    <row r="235" spans="1:90" x14ac:dyDescent="0.35">
      <c r="A235" s="72">
        <v>626</v>
      </c>
      <c r="B235" s="72" t="s">
        <v>322</v>
      </c>
      <c r="C235" s="72">
        <v>8</v>
      </c>
      <c r="D235" s="78">
        <v>3910800000</v>
      </c>
      <c r="E235" s="78">
        <v>192150000</v>
      </c>
      <c r="F235" s="78">
        <v>201250000</v>
      </c>
      <c r="G235" s="78">
        <v>25627</v>
      </c>
      <c r="H235" s="78">
        <v>1</v>
      </c>
      <c r="I235" s="78">
        <v>201.25</v>
      </c>
      <c r="J235" s="78">
        <v>5404</v>
      </c>
      <c r="K235" s="78">
        <v>6082</v>
      </c>
      <c r="L235" s="78">
        <v>2138</v>
      </c>
      <c r="M235" s="78">
        <v>2723</v>
      </c>
      <c r="N235" s="78">
        <v>1561.7</v>
      </c>
      <c r="O235" s="78">
        <v>297.66666666666703</v>
      </c>
      <c r="P235" s="78">
        <v>8</v>
      </c>
      <c r="Q235" s="78">
        <v>1067.6666666666699</v>
      </c>
      <c r="R235" s="78">
        <v>3928</v>
      </c>
      <c r="S235" s="78">
        <v>1170</v>
      </c>
      <c r="T235" s="78">
        <v>0</v>
      </c>
      <c r="U235" s="78">
        <v>808</v>
      </c>
      <c r="V235" s="78">
        <v>11643</v>
      </c>
      <c r="W235" s="78">
        <v>20230</v>
      </c>
      <c r="X235" s="78">
        <v>4860</v>
      </c>
      <c r="Y235" s="78">
        <v>0</v>
      </c>
      <c r="Z235" s="78">
        <v>0</v>
      </c>
      <c r="AA235" s="78">
        <v>0</v>
      </c>
      <c r="AB235" s="399">
        <v>0</v>
      </c>
      <c r="AC235" s="399">
        <v>0</v>
      </c>
      <c r="AD235" s="78">
        <v>1110</v>
      </c>
      <c r="AE235" s="78">
        <v>1143.3</v>
      </c>
      <c r="AF235" s="78">
        <v>46</v>
      </c>
      <c r="AG235" s="78">
        <v>0</v>
      </c>
      <c r="AH235" s="78">
        <v>101</v>
      </c>
      <c r="AI235" s="78">
        <v>3</v>
      </c>
      <c r="AJ235" s="78">
        <v>106.05</v>
      </c>
      <c r="AK235" s="78">
        <v>3.03</v>
      </c>
      <c r="AL235" s="78">
        <v>104</v>
      </c>
      <c r="AM235" s="78">
        <v>11613</v>
      </c>
      <c r="AN235" s="78">
        <v>12193.65</v>
      </c>
      <c r="AO235" s="78">
        <v>0</v>
      </c>
      <c r="AP235" s="78">
        <v>0</v>
      </c>
      <c r="AQ235" s="78">
        <v>0</v>
      </c>
      <c r="AR235" s="78">
        <v>0</v>
      </c>
      <c r="AS235" s="78">
        <v>891</v>
      </c>
      <c r="AT235" s="78">
        <v>0</v>
      </c>
      <c r="AU235" s="400">
        <v>2.69614E-4</v>
      </c>
      <c r="AV235" s="400">
        <v>5.9376000000000003E-4</v>
      </c>
      <c r="AW235" s="78">
        <v>21588.566999999999</v>
      </c>
      <c r="AX235" s="78">
        <v>0</v>
      </c>
      <c r="AY235" s="78">
        <v>1115.49</v>
      </c>
      <c r="AZ235" s="78">
        <v>32903.427517301003</v>
      </c>
      <c r="BA235" s="78">
        <v>1</v>
      </c>
      <c r="BB235" s="78">
        <v>1.01</v>
      </c>
      <c r="BC235" s="78">
        <v>3120</v>
      </c>
      <c r="BD235" s="78">
        <v>1</v>
      </c>
      <c r="BE235" s="78">
        <v>0</v>
      </c>
      <c r="BF235" s="78">
        <v>0</v>
      </c>
      <c r="BG235" s="78">
        <v>0</v>
      </c>
      <c r="BH235" s="78">
        <v>0</v>
      </c>
      <c r="BI235" s="78">
        <v>0</v>
      </c>
      <c r="BJ235" s="78">
        <v>0</v>
      </c>
      <c r="BK235" s="78">
        <v>0</v>
      </c>
      <c r="BL235" s="78">
        <v>0</v>
      </c>
      <c r="BM235" s="78">
        <v>475.55200000000002</v>
      </c>
      <c r="BN235" s="78">
        <v>43</v>
      </c>
      <c r="BO235" s="78">
        <v>34</v>
      </c>
      <c r="BP235" s="78">
        <v>10118.41</v>
      </c>
      <c r="BQ235" s="78">
        <v>2508.2399999999998</v>
      </c>
      <c r="BR235" s="78">
        <v>285.18266666666699</v>
      </c>
      <c r="BS235" s="78">
        <v>296</v>
      </c>
      <c r="BT235" s="78">
        <v>101</v>
      </c>
      <c r="BU235" s="78">
        <v>79.3333333333333</v>
      </c>
      <c r="BV235" s="78">
        <v>770.00000000000296</v>
      </c>
      <c r="BW235" s="78">
        <v>212</v>
      </c>
      <c r="BX235" s="78">
        <v>3870.5262378167599</v>
      </c>
      <c r="BY235" s="402">
        <v>0.41499999999999998</v>
      </c>
      <c r="BZ235" s="78">
        <v>19545</v>
      </c>
      <c r="CA235" s="78">
        <v>3087</v>
      </c>
      <c r="CB235" s="78">
        <v>857</v>
      </c>
      <c r="CC235" s="78">
        <v>733</v>
      </c>
      <c r="CD235" s="78">
        <v>725</v>
      </c>
      <c r="CE235" s="78">
        <v>414</v>
      </c>
      <c r="CF235" s="78">
        <v>263.04014466546101</v>
      </c>
      <c r="CG235" s="78">
        <v>199.162808921037</v>
      </c>
      <c r="CH235" s="78">
        <v>82.973297166967996</v>
      </c>
      <c r="CI235" s="78">
        <v>530.66279999999995</v>
      </c>
      <c r="CJ235" s="78">
        <v>401.7953</v>
      </c>
      <c r="CK235" s="78">
        <v>167.3921</v>
      </c>
      <c r="CL235" s="78">
        <v>0</v>
      </c>
    </row>
    <row r="236" spans="1:90" x14ac:dyDescent="0.35">
      <c r="A236" s="72">
        <v>627</v>
      </c>
      <c r="B236" s="72" t="s">
        <v>328</v>
      </c>
      <c r="C236" s="72">
        <v>8</v>
      </c>
      <c r="D236" s="78">
        <v>3370400000</v>
      </c>
      <c r="E236" s="78">
        <v>560350000</v>
      </c>
      <c r="F236" s="78">
        <v>565250000</v>
      </c>
      <c r="G236" s="78">
        <v>31342</v>
      </c>
      <c r="H236" s="78">
        <v>1</v>
      </c>
      <c r="I236" s="78">
        <v>565.25</v>
      </c>
      <c r="J236" s="78">
        <v>6899</v>
      </c>
      <c r="K236" s="78">
        <v>5976</v>
      </c>
      <c r="L236" s="78">
        <v>1948</v>
      </c>
      <c r="M236" s="78">
        <v>3383</v>
      </c>
      <c r="N236" s="78">
        <v>2072.8000000000002</v>
      </c>
      <c r="O236" s="78">
        <v>314.33333333333297</v>
      </c>
      <c r="P236" s="78">
        <v>17</v>
      </c>
      <c r="Q236" s="78">
        <v>1504.3333333333301</v>
      </c>
      <c r="R236" s="78">
        <v>3698</v>
      </c>
      <c r="S236" s="78">
        <v>2135</v>
      </c>
      <c r="T236" s="78">
        <v>0</v>
      </c>
      <c r="U236" s="78">
        <v>808</v>
      </c>
      <c r="V236" s="78">
        <v>13229</v>
      </c>
      <c r="W236" s="78">
        <v>29850</v>
      </c>
      <c r="X236" s="78">
        <v>10170</v>
      </c>
      <c r="Y236" s="78">
        <v>0</v>
      </c>
      <c r="Z236" s="78">
        <v>692.8</v>
      </c>
      <c r="AA236" s="78">
        <v>0</v>
      </c>
      <c r="AB236" s="399">
        <v>831.39999999999964</v>
      </c>
      <c r="AC236" s="399">
        <v>0</v>
      </c>
      <c r="AD236" s="78">
        <v>2776</v>
      </c>
      <c r="AE236" s="78">
        <v>3858.64</v>
      </c>
      <c r="AF236" s="78">
        <v>163</v>
      </c>
      <c r="AG236" s="78">
        <v>0</v>
      </c>
      <c r="AH236" s="78">
        <v>145</v>
      </c>
      <c r="AI236" s="78">
        <v>53</v>
      </c>
      <c r="AJ236" s="78">
        <v>203</v>
      </c>
      <c r="AK236" s="78">
        <v>73.67</v>
      </c>
      <c r="AL236" s="78">
        <v>198</v>
      </c>
      <c r="AM236" s="78">
        <v>13102</v>
      </c>
      <c r="AN236" s="78">
        <v>18342.8</v>
      </c>
      <c r="AO236" s="78">
        <v>0</v>
      </c>
      <c r="AP236" s="78">
        <v>0</v>
      </c>
      <c r="AQ236" s="78">
        <v>0</v>
      </c>
      <c r="AR236" s="78">
        <v>0</v>
      </c>
      <c r="AS236" s="78">
        <v>1491</v>
      </c>
      <c r="AT236" s="78">
        <v>0</v>
      </c>
      <c r="AU236" s="400">
        <v>1.8527100000000001E-4</v>
      </c>
      <c r="AV236" s="400">
        <v>7.0727699999999997E-4</v>
      </c>
      <c r="AW236" s="78">
        <v>20648.752</v>
      </c>
      <c r="AX236" s="78">
        <v>0</v>
      </c>
      <c r="AY236" s="78">
        <v>5009.5600000000004</v>
      </c>
      <c r="AZ236" s="78">
        <v>149417.839537258</v>
      </c>
      <c r="BA236" s="78">
        <v>3</v>
      </c>
      <c r="BB236" s="78">
        <v>4.17</v>
      </c>
      <c r="BC236" s="78">
        <v>3615</v>
      </c>
      <c r="BD236" s="78">
        <v>1</v>
      </c>
      <c r="BE236" s="78">
        <v>0</v>
      </c>
      <c r="BF236" s="78">
        <v>0</v>
      </c>
      <c r="BG236" s="78">
        <v>0</v>
      </c>
      <c r="BH236" s="78">
        <v>0</v>
      </c>
      <c r="BI236" s="78">
        <v>0</v>
      </c>
      <c r="BJ236" s="78">
        <v>0</v>
      </c>
      <c r="BK236" s="78">
        <v>0</v>
      </c>
      <c r="BL236" s="78">
        <v>0</v>
      </c>
      <c r="BM236" s="78">
        <v>545.02099999999996</v>
      </c>
      <c r="BN236" s="78">
        <v>86</v>
      </c>
      <c r="BO236" s="78">
        <v>56</v>
      </c>
      <c r="BP236" s="78">
        <v>9462.26</v>
      </c>
      <c r="BQ236" s="78">
        <v>2530.2800000000002</v>
      </c>
      <c r="BR236" s="78">
        <v>281.18750831353901</v>
      </c>
      <c r="BS236" s="78">
        <v>318</v>
      </c>
      <c r="BT236" s="78">
        <v>100.333333333333</v>
      </c>
      <c r="BU236" s="78">
        <v>83.3333333333333</v>
      </c>
      <c r="BV236" s="78">
        <v>1189.999999999997</v>
      </c>
      <c r="BW236" s="78">
        <v>406</v>
      </c>
      <c r="BX236" s="78">
        <v>4429.4856077955301</v>
      </c>
      <c r="BY236" s="402">
        <v>0.35399999999999998</v>
      </c>
      <c r="BZ236" s="78">
        <v>25366</v>
      </c>
      <c r="CA236" s="78">
        <v>3351</v>
      </c>
      <c r="CB236" s="78">
        <v>677</v>
      </c>
      <c r="CC236" s="78">
        <v>626</v>
      </c>
      <c r="CD236" s="78">
        <v>613</v>
      </c>
      <c r="CE236" s="78">
        <v>376</v>
      </c>
      <c r="CF236" s="78">
        <v>327.00943367424799</v>
      </c>
      <c r="CG236" s="78">
        <v>212.310914364219</v>
      </c>
      <c r="CH236" s="78">
        <v>87.170874675622102</v>
      </c>
      <c r="CI236" s="78">
        <v>827.83349999999996</v>
      </c>
      <c r="CJ236" s="78">
        <v>537.471</v>
      </c>
      <c r="CK236" s="78">
        <v>220.6755</v>
      </c>
      <c r="CL236" s="78">
        <v>21170</v>
      </c>
    </row>
    <row r="237" spans="1:90" x14ac:dyDescent="0.35">
      <c r="A237" s="72">
        <v>629</v>
      </c>
      <c r="B237" s="72" t="s">
        <v>330</v>
      </c>
      <c r="C237" s="72">
        <v>8</v>
      </c>
      <c r="D237" s="78">
        <v>6468800000</v>
      </c>
      <c r="E237" s="78">
        <v>357000000</v>
      </c>
      <c r="F237" s="78">
        <v>371700000</v>
      </c>
      <c r="G237" s="78">
        <v>27115</v>
      </c>
      <c r="H237" s="78">
        <v>1</v>
      </c>
      <c r="I237" s="78">
        <v>371.7</v>
      </c>
      <c r="J237" s="78">
        <v>5644</v>
      </c>
      <c r="K237" s="78">
        <v>6834</v>
      </c>
      <c r="L237" s="78">
        <v>2541</v>
      </c>
      <c r="M237" s="78">
        <v>2866</v>
      </c>
      <c r="N237" s="78">
        <v>1630.6999999999998</v>
      </c>
      <c r="O237" s="78">
        <v>341.66666666666703</v>
      </c>
      <c r="P237" s="78">
        <v>16</v>
      </c>
      <c r="Q237" s="78">
        <v>1021.66666666667</v>
      </c>
      <c r="R237" s="78">
        <v>4390</v>
      </c>
      <c r="S237" s="78">
        <v>1215</v>
      </c>
      <c r="T237" s="78">
        <v>0</v>
      </c>
      <c r="U237" s="78">
        <v>900</v>
      </c>
      <c r="V237" s="78">
        <v>12438</v>
      </c>
      <c r="W237" s="78">
        <v>21220</v>
      </c>
      <c r="X237" s="78">
        <v>5090</v>
      </c>
      <c r="Y237" s="78">
        <v>0</v>
      </c>
      <c r="Z237" s="78">
        <v>1524.8</v>
      </c>
      <c r="AA237" s="78">
        <v>0</v>
      </c>
      <c r="AB237" s="399">
        <v>0</v>
      </c>
      <c r="AC237" s="399">
        <v>0</v>
      </c>
      <c r="AD237" s="78">
        <v>5127</v>
      </c>
      <c r="AE237" s="78">
        <v>5127</v>
      </c>
      <c r="AF237" s="78">
        <v>175</v>
      </c>
      <c r="AG237" s="78">
        <v>939</v>
      </c>
      <c r="AH237" s="78">
        <v>134</v>
      </c>
      <c r="AI237" s="78">
        <v>15</v>
      </c>
      <c r="AJ237" s="78">
        <v>134</v>
      </c>
      <c r="AK237" s="78">
        <v>15</v>
      </c>
      <c r="AL237" s="78">
        <v>149</v>
      </c>
      <c r="AM237" s="78">
        <v>12353</v>
      </c>
      <c r="AN237" s="78">
        <v>12353</v>
      </c>
      <c r="AO237" s="78">
        <v>0</v>
      </c>
      <c r="AP237" s="78">
        <v>0</v>
      </c>
      <c r="AQ237" s="78">
        <v>0</v>
      </c>
      <c r="AR237" s="78">
        <v>0</v>
      </c>
      <c r="AS237" s="78">
        <v>1617</v>
      </c>
      <c r="AT237" s="78">
        <v>0</v>
      </c>
      <c r="AU237" s="400">
        <v>7.3021800000000003E-4</v>
      </c>
      <c r="AV237" s="400">
        <v>4.3625000000000001E-4</v>
      </c>
      <c r="AW237" s="78">
        <v>17825.379000000001</v>
      </c>
      <c r="AX237" s="78">
        <v>0</v>
      </c>
      <c r="AY237" s="78">
        <v>2895</v>
      </c>
      <c r="AZ237" s="78">
        <v>14805.342323651499</v>
      </c>
      <c r="BA237" s="78">
        <v>2</v>
      </c>
      <c r="BB237" s="78">
        <v>2</v>
      </c>
      <c r="BC237" s="78">
        <v>3825</v>
      </c>
      <c r="BD237" s="78">
        <v>1</v>
      </c>
      <c r="BE237" s="78">
        <v>0</v>
      </c>
      <c r="BF237" s="78">
        <v>0</v>
      </c>
      <c r="BG237" s="78">
        <v>0</v>
      </c>
      <c r="BH237" s="78">
        <v>0</v>
      </c>
      <c r="BI237" s="78">
        <v>0</v>
      </c>
      <c r="BJ237" s="78">
        <v>0</v>
      </c>
      <c r="BK237" s="78">
        <v>0</v>
      </c>
      <c r="BL237" s="78">
        <v>0</v>
      </c>
      <c r="BM237" s="78">
        <v>564.4</v>
      </c>
      <c r="BN237" s="78">
        <v>24</v>
      </c>
      <c r="BO237" s="78">
        <v>20</v>
      </c>
      <c r="BP237" s="78">
        <v>11709.84</v>
      </c>
      <c r="BQ237" s="78">
        <v>2915.82</v>
      </c>
      <c r="BR237" s="78">
        <v>147.740474624732</v>
      </c>
      <c r="BS237" s="78">
        <v>393</v>
      </c>
      <c r="BT237" s="78">
        <v>106.666666666667</v>
      </c>
      <c r="BU237" s="78">
        <v>107.333333333333</v>
      </c>
      <c r="BV237" s="78">
        <v>680.00000000000296</v>
      </c>
      <c r="BW237" s="78">
        <v>168</v>
      </c>
      <c r="BX237" s="78">
        <v>3773.21992652789</v>
      </c>
      <c r="BY237" s="402">
        <v>0.56000000000000005</v>
      </c>
      <c r="BZ237" s="78">
        <v>20281</v>
      </c>
      <c r="CA237" s="78">
        <v>3164</v>
      </c>
      <c r="CB237" s="78">
        <v>1129</v>
      </c>
      <c r="CC237" s="78">
        <v>809</v>
      </c>
      <c r="CD237" s="78">
        <v>852</v>
      </c>
      <c r="CE237" s="78">
        <v>529</v>
      </c>
      <c r="CF237" s="78">
        <v>271.673326317494</v>
      </c>
      <c r="CG237" s="78">
        <v>229.69464907310001</v>
      </c>
      <c r="CH237" s="78">
        <v>104.15464259693999</v>
      </c>
      <c r="CI237" s="78">
        <v>196.95060000000001</v>
      </c>
      <c r="CJ237" s="78">
        <v>166.518</v>
      </c>
      <c r="CK237" s="78">
        <v>75.507300000000001</v>
      </c>
      <c r="CL237" s="78">
        <v>18034</v>
      </c>
    </row>
    <row r="238" spans="1:90" x14ac:dyDescent="0.35">
      <c r="A238" s="72">
        <v>1783</v>
      </c>
      <c r="B238" s="72" t="s">
        <v>340</v>
      </c>
      <c r="C238" s="72">
        <v>8</v>
      </c>
      <c r="D238" s="78">
        <v>13626000000</v>
      </c>
      <c r="E238" s="78">
        <v>3254300000</v>
      </c>
      <c r="F238" s="78">
        <v>3292800000</v>
      </c>
      <c r="G238" s="78">
        <v>112448</v>
      </c>
      <c r="H238" s="78">
        <v>1</v>
      </c>
      <c r="I238" s="78">
        <v>3292.8</v>
      </c>
      <c r="J238" s="78">
        <v>22624</v>
      </c>
      <c r="K238" s="78">
        <v>22343</v>
      </c>
      <c r="L238" s="78">
        <v>7693</v>
      </c>
      <c r="M238" s="78">
        <v>12508</v>
      </c>
      <c r="N238" s="78">
        <v>7818.4</v>
      </c>
      <c r="O238" s="78">
        <v>1139.6666666666699</v>
      </c>
      <c r="P238" s="78">
        <v>134</v>
      </c>
      <c r="Q238" s="78">
        <v>5148.6666666666697</v>
      </c>
      <c r="R238" s="78">
        <v>14950</v>
      </c>
      <c r="S238" s="78">
        <v>5330</v>
      </c>
      <c r="T238" s="78">
        <v>0</v>
      </c>
      <c r="U238" s="78">
        <v>3017</v>
      </c>
      <c r="V238" s="78">
        <v>49032</v>
      </c>
      <c r="W238" s="78">
        <v>113570</v>
      </c>
      <c r="X238" s="78">
        <v>100620</v>
      </c>
      <c r="Y238" s="78">
        <v>1738.5</v>
      </c>
      <c r="Z238" s="78">
        <v>3424</v>
      </c>
      <c r="AA238" s="78">
        <v>0</v>
      </c>
      <c r="AB238" s="399">
        <v>0</v>
      </c>
      <c r="AC238" s="399">
        <v>0</v>
      </c>
      <c r="AD238" s="78">
        <v>8088</v>
      </c>
      <c r="AE238" s="78">
        <v>8896.7999999999993</v>
      </c>
      <c r="AF238" s="78">
        <v>233</v>
      </c>
      <c r="AG238" s="78">
        <v>753</v>
      </c>
      <c r="AH238" s="78">
        <v>676</v>
      </c>
      <c r="AI238" s="78">
        <v>121</v>
      </c>
      <c r="AJ238" s="78">
        <v>730.08</v>
      </c>
      <c r="AK238" s="78">
        <v>135.52000000000001</v>
      </c>
      <c r="AL238" s="78">
        <v>796</v>
      </c>
      <c r="AM238" s="78">
        <v>46896</v>
      </c>
      <c r="AN238" s="78">
        <v>50647.68</v>
      </c>
      <c r="AO238" s="78">
        <v>5</v>
      </c>
      <c r="AP238" s="78">
        <v>0</v>
      </c>
      <c r="AQ238" s="78">
        <v>0</v>
      </c>
      <c r="AR238" s="78">
        <v>0</v>
      </c>
      <c r="AS238" s="78">
        <v>4323</v>
      </c>
      <c r="AT238" s="78">
        <v>1048</v>
      </c>
      <c r="AU238" s="400">
        <v>1.1044729999999999E-3</v>
      </c>
      <c r="AV238" s="400">
        <v>1.0410599999999999E-3</v>
      </c>
      <c r="AW238" s="78">
        <v>68233.679999999993</v>
      </c>
      <c r="AX238" s="78">
        <v>0</v>
      </c>
      <c r="AY238" s="78">
        <v>6403.1</v>
      </c>
      <c r="AZ238" s="78">
        <v>114476.41543083799</v>
      </c>
      <c r="BA238" s="78">
        <v>5</v>
      </c>
      <c r="BB238" s="78">
        <v>5.6</v>
      </c>
      <c r="BC238" s="78">
        <v>16770</v>
      </c>
      <c r="BD238" s="78">
        <v>1</v>
      </c>
      <c r="BE238" s="78">
        <v>0</v>
      </c>
      <c r="BF238" s="78">
        <v>0</v>
      </c>
      <c r="BG238" s="78">
        <v>0</v>
      </c>
      <c r="BH238" s="78">
        <v>0</v>
      </c>
      <c r="BI238" s="78">
        <v>0</v>
      </c>
      <c r="BJ238" s="78">
        <v>0</v>
      </c>
      <c r="BK238" s="78">
        <v>0</v>
      </c>
      <c r="BL238" s="78">
        <v>0</v>
      </c>
      <c r="BM238" s="78">
        <v>2081.4079999999999</v>
      </c>
      <c r="BN238" s="78">
        <v>486</v>
      </c>
      <c r="BO238" s="78">
        <v>259</v>
      </c>
      <c r="BP238" s="78">
        <v>33849.25</v>
      </c>
      <c r="BQ238" s="78">
        <v>9269.98</v>
      </c>
      <c r="BR238" s="78">
        <v>849.98923764835797</v>
      </c>
      <c r="BS238" s="78">
        <v>1249</v>
      </c>
      <c r="BT238" s="78">
        <v>405.33333333333297</v>
      </c>
      <c r="BU238" s="78">
        <v>314.66666666666703</v>
      </c>
      <c r="BV238" s="78">
        <v>4009</v>
      </c>
      <c r="BW238" s="78">
        <v>1181</v>
      </c>
      <c r="BX238" s="78">
        <v>15607.114468046901</v>
      </c>
      <c r="BY238" s="402">
        <v>1.3149999999999999</v>
      </c>
      <c r="BZ238" s="78">
        <v>90105</v>
      </c>
      <c r="CA238" s="78">
        <v>12117</v>
      </c>
      <c r="CB238" s="78">
        <v>2533</v>
      </c>
      <c r="CC238" s="78">
        <v>2263</v>
      </c>
      <c r="CD238" s="78">
        <v>2297</v>
      </c>
      <c r="CE238" s="78">
        <v>1238</v>
      </c>
      <c r="CF238" s="78">
        <v>1235.3792221085</v>
      </c>
      <c r="CG238" s="78">
        <v>876.93585806891804</v>
      </c>
      <c r="CH238" s="78">
        <v>306.59411463664298</v>
      </c>
      <c r="CI238" s="78">
        <v>3074.4090000000001</v>
      </c>
      <c r="CJ238" s="78">
        <v>2182.3739999999998</v>
      </c>
      <c r="CK238" s="78">
        <v>763.00109999999995</v>
      </c>
      <c r="CL238" s="78">
        <v>256723</v>
      </c>
    </row>
    <row r="239" spans="1:90" x14ac:dyDescent="0.35">
      <c r="A239" s="72">
        <v>614</v>
      </c>
      <c r="B239" s="72" t="s">
        <v>342</v>
      </c>
      <c r="C239" s="72">
        <v>8</v>
      </c>
      <c r="D239" s="78">
        <v>2319600000</v>
      </c>
      <c r="E239" s="78">
        <v>144550000</v>
      </c>
      <c r="F239" s="78">
        <v>155750000</v>
      </c>
      <c r="G239" s="78">
        <v>14960</v>
      </c>
      <c r="H239" s="78">
        <v>2</v>
      </c>
      <c r="I239" s="78">
        <v>155.75</v>
      </c>
      <c r="J239" s="78">
        <v>2405</v>
      </c>
      <c r="K239" s="78">
        <v>4133</v>
      </c>
      <c r="L239" s="78">
        <v>1436</v>
      </c>
      <c r="M239" s="78">
        <v>1601</v>
      </c>
      <c r="N239" s="78">
        <v>874.9</v>
      </c>
      <c r="O239" s="78">
        <v>109.666666666667</v>
      </c>
      <c r="P239" s="78">
        <v>15</v>
      </c>
      <c r="Q239" s="78">
        <v>554.66666666666697</v>
      </c>
      <c r="R239" s="78">
        <v>2102</v>
      </c>
      <c r="S239" s="78">
        <v>325</v>
      </c>
      <c r="T239" s="78">
        <v>0</v>
      </c>
      <c r="U239" s="78">
        <v>394</v>
      </c>
      <c r="V239" s="78">
        <v>6905</v>
      </c>
      <c r="W239" s="78">
        <v>11940</v>
      </c>
      <c r="X239" s="78">
        <v>900</v>
      </c>
      <c r="Y239" s="78">
        <v>411.74</v>
      </c>
      <c r="Z239" s="78">
        <v>0</v>
      </c>
      <c r="AA239" s="78">
        <v>0</v>
      </c>
      <c r="AB239" s="399">
        <v>0</v>
      </c>
      <c r="AC239" s="399">
        <v>0</v>
      </c>
      <c r="AD239" s="78">
        <v>5320</v>
      </c>
      <c r="AE239" s="78">
        <v>5852</v>
      </c>
      <c r="AF239" s="78">
        <v>520</v>
      </c>
      <c r="AG239" s="78">
        <v>3909</v>
      </c>
      <c r="AH239" s="78">
        <v>78</v>
      </c>
      <c r="AI239" s="78">
        <v>34</v>
      </c>
      <c r="AJ239" s="78">
        <v>82.68</v>
      </c>
      <c r="AK239" s="78">
        <v>37.4</v>
      </c>
      <c r="AL239" s="78">
        <v>112</v>
      </c>
      <c r="AM239" s="78">
        <v>7261</v>
      </c>
      <c r="AN239" s="78">
        <v>7696.66</v>
      </c>
      <c r="AO239" s="78">
        <v>0</v>
      </c>
      <c r="AP239" s="78">
        <v>0</v>
      </c>
      <c r="AQ239" s="78">
        <v>0</v>
      </c>
      <c r="AR239" s="78">
        <v>0</v>
      </c>
      <c r="AS239" s="78">
        <v>0</v>
      </c>
      <c r="AT239" s="78">
        <v>0</v>
      </c>
      <c r="AU239" s="400">
        <v>1.92802E-4</v>
      </c>
      <c r="AV239" s="400">
        <v>6.8749000000000002E-5</v>
      </c>
      <c r="AW239" s="78">
        <v>4523.6030000000001</v>
      </c>
      <c r="AX239" s="78">
        <v>0</v>
      </c>
      <c r="AY239" s="78">
        <v>1966.8</v>
      </c>
      <c r="AZ239" s="78">
        <v>6819.0958904109602</v>
      </c>
      <c r="BA239" s="78">
        <v>7</v>
      </c>
      <c r="BB239" s="78">
        <v>7.7</v>
      </c>
      <c r="BC239" s="78">
        <v>2065</v>
      </c>
      <c r="BD239" s="78">
        <v>1</v>
      </c>
      <c r="BE239" s="78">
        <v>0</v>
      </c>
      <c r="BF239" s="78">
        <v>0</v>
      </c>
      <c r="BG239" s="78">
        <v>0</v>
      </c>
      <c r="BH239" s="78">
        <v>0</v>
      </c>
      <c r="BI239" s="78">
        <v>0</v>
      </c>
      <c r="BJ239" s="78">
        <v>0</v>
      </c>
      <c r="BK239" s="78">
        <v>0</v>
      </c>
      <c r="BL239" s="78">
        <v>0</v>
      </c>
      <c r="BM239" s="78">
        <v>209.23500000000001</v>
      </c>
      <c r="BN239" s="78">
        <v>30</v>
      </c>
      <c r="BO239" s="78">
        <v>23</v>
      </c>
      <c r="BP239" s="78">
        <v>6361.92</v>
      </c>
      <c r="BQ239" s="78">
        <v>1269.45</v>
      </c>
      <c r="BR239" s="78">
        <v>79.765833333333305</v>
      </c>
      <c r="BS239" s="78">
        <v>135</v>
      </c>
      <c r="BT239" s="78">
        <v>32.3333333333333</v>
      </c>
      <c r="BU239" s="78">
        <v>18.6666666666667</v>
      </c>
      <c r="BV239" s="78">
        <v>445</v>
      </c>
      <c r="BW239" s="78">
        <v>120</v>
      </c>
      <c r="BX239" s="78">
        <v>2733.9651006711401</v>
      </c>
      <c r="BY239" s="402">
        <v>7.0000000000000007E-2</v>
      </c>
      <c r="BZ239" s="78">
        <v>10827</v>
      </c>
      <c r="CA239" s="78">
        <v>2143</v>
      </c>
      <c r="CB239" s="78">
        <v>554</v>
      </c>
      <c r="CC239" s="78">
        <v>389</v>
      </c>
      <c r="CD239" s="78">
        <v>456</v>
      </c>
      <c r="CE239" s="78">
        <v>317</v>
      </c>
      <c r="CF239" s="78">
        <v>156.52046550061999</v>
      </c>
      <c r="CG239" s="78">
        <v>120.97501721526</v>
      </c>
      <c r="CH239" s="78">
        <v>52.775953725382202</v>
      </c>
      <c r="CI239" s="78">
        <v>322.15199999999999</v>
      </c>
      <c r="CJ239" s="78">
        <v>248.99199999999999</v>
      </c>
      <c r="CK239" s="78">
        <v>108.624</v>
      </c>
      <c r="CL239" s="78">
        <v>10426</v>
      </c>
    </row>
    <row r="240" spans="1:90" x14ac:dyDescent="0.35">
      <c r="A240" s="72">
        <v>637</v>
      </c>
      <c r="B240" s="72" t="s">
        <v>358</v>
      </c>
      <c r="C240" s="72">
        <v>8</v>
      </c>
      <c r="D240" s="78">
        <v>13196000000</v>
      </c>
      <c r="E240" s="78">
        <v>1366750000</v>
      </c>
      <c r="F240" s="78">
        <v>1381800000</v>
      </c>
      <c r="G240" s="78">
        <v>125767</v>
      </c>
      <c r="H240" s="78">
        <v>1</v>
      </c>
      <c r="I240" s="78">
        <v>1381.8</v>
      </c>
      <c r="J240" s="78">
        <v>25572</v>
      </c>
      <c r="K240" s="78">
        <v>25474</v>
      </c>
      <c r="L240" s="78">
        <v>7718</v>
      </c>
      <c r="M240" s="78">
        <v>15746</v>
      </c>
      <c r="N240" s="78">
        <v>10050.4</v>
      </c>
      <c r="O240" s="78">
        <v>2779</v>
      </c>
      <c r="P240" s="78">
        <v>128</v>
      </c>
      <c r="Q240" s="78">
        <v>8692</v>
      </c>
      <c r="R240" s="78">
        <v>19707</v>
      </c>
      <c r="S240" s="78">
        <v>17150</v>
      </c>
      <c r="T240" s="78">
        <v>0</v>
      </c>
      <c r="U240" s="78">
        <v>5809</v>
      </c>
      <c r="V240" s="78">
        <v>57171</v>
      </c>
      <c r="W240" s="78">
        <v>135540</v>
      </c>
      <c r="X240" s="78">
        <v>134480</v>
      </c>
      <c r="Y240" s="78">
        <v>3557.2235999999998</v>
      </c>
      <c r="Z240" s="78">
        <v>5975.2</v>
      </c>
      <c r="AA240" s="78">
        <v>0</v>
      </c>
      <c r="AB240" s="399">
        <v>0</v>
      </c>
      <c r="AC240" s="399">
        <v>0</v>
      </c>
      <c r="AD240" s="78">
        <v>3404</v>
      </c>
      <c r="AE240" s="78">
        <v>4050.76</v>
      </c>
      <c r="AF240" s="78">
        <v>301</v>
      </c>
      <c r="AG240" s="78">
        <v>0</v>
      </c>
      <c r="AH240" s="78">
        <v>434</v>
      </c>
      <c r="AI240" s="78">
        <v>17</v>
      </c>
      <c r="AJ240" s="78">
        <v>516.46</v>
      </c>
      <c r="AK240" s="78">
        <v>20.23</v>
      </c>
      <c r="AL240" s="78">
        <v>451</v>
      </c>
      <c r="AM240" s="78">
        <v>56956</v>
      </c>
      <c r="AN240" s="78">
        <v>67777.64</v>
      </c>
      <c r="AO240" s="78">
        <v>0</v>
      </c>
      <c r="AP240" s="78">
        <v>0</v>
      </c>
      <c r="AQ240" s="78">
        <v>0</v>
      </c>
      <c r="AR240" s="78">
        <v>0</v>
      </c>
      <c r="AS240" s="78">
        <v>0</v>
      </c>
      <c r="AT240" s="78">
        <v>0</v>
      </c>
      <c r="AU240" s="400">
        <v>2.10132E-4</v>
      </c>
      <c r="AV240" s="400">
        <v>2.9735289999999999E-3</v>
      </c>
      <c r="AW240" s="78">
        <v>143699.98800000001</v>
      </c>
      <c r="AX240" s="78">
        <v>0</v>
      </c>
      <c r="AY240" s="78">
        <v>3359.37</v>
      </c>
      <c r="AZ240" s="78">
        <v>117023.732472335</v>
      </c>
      <c r="BA240" s="78">
        <v>1</v>
      </c>
      <c r="BB240" s="78">
        <v>1.19</v>
      </c>
      <c r="BC240" s="78">
        <v>13135</v>
      </c>
      <c r="BD240" s="78">
        <v>1</v>
      </c>
      <c r="BE240" s="78">
        <v>0</v>
      </c>
      <c r="BF240" s="78">
        <v>0</v>
      </c>
      <c r="BG240" s="78">
        <v>0</v>
      </c>
      <c r="BH240" s="78">
        <v>0</v>
      </c>
      <c r="BI240" s="78">
        <v>0</v>
      </c>
      <c r="BJ240" s="78">
        <v>0</v>
      </c>
      <c r="BK240" s="78">
        <v>0</v>
      </c>
      <c r="BL240" s="78">
        <v>0</v>
      </c>
      <c r="BM240" s="78">
        <v>4296.0959999999995</v>
      </c>
      <c r="BN240" s="78">
        <v>362</v>
      </c>
      <c r="BO240" s="78">
        <v>380</v>
      </c>
      <c r="BP240" s="78">
        <v>39536.699999999997</v>
      </c>
      <c r="BQ240" s="78">
        <v>9095.31</v>
      </c>
      <c r="BR240" s="78">
        <v>1142.35059597277</v>
      </c>
      <c r="BS240" s="78">
        <v>2424</v>
      </c>
      <c r="BT240" s="78">
        <v>1004</v>
      </c>
      <c r="BU240" s="78">
        <v>989.66666666666697</v>
      </c>
      <c r="BV240" s="78">
        <v>5913</v>
      </c>
      <c r="BW240" s="78">
        <v>1508</v>
      </c>
      <c r="BX240" s="78">
        <v>23275.494186976601</v>
      </c>
      <c r="BY240" s="402">
        <v>6.9</v>
      </c>
      <c r="BZ240" s="78">
        <v>100293</v>
      </c>
      <c r="CA240" s="78">
        <v>15495</v>
      </c>
      <c r="CB240" s="78">
        <v>2261</v>
      </c>
      <c r="CC240" s="78">
        <v>3701</v>
      </c>
      <c r="CD240" s="78">
        <v>2748</v>
      </c>
      <c r="CE240" s="78">
        <v>1234</v>
      </c>
      <c r="CF240" s="78">
        <v>1781.70673502353</v>
      </c>
      <c r="CG240" s="78">
        <v>982.17091087857295</v>
      </c>
      <c r="CH240" s="78">
        <v>304.92118828569397</v>
      </c>
      <c r="CI240" s="78">
        <v>4302.3316999999997</v>
      </c>
      <c r="CJ240" s="78">
        <v>2371.6725999999999</v>
      </c>
      <c r="CK240" s="78">
        <v>736.30079999999998</v>
      </c>
      <c r="CL240" s="78">
        <v>48382</v>
      </c>
    </row>
    <row r="241" spans="1:90" x14ac:dyDescent="0.35">
      <c r="A241" s="72">
        <v>638</v>
      </c>
      <c r="B241" s="72" t="s">
        <v>359</v>
      </c>
      <c r="C241" s="72">
        <v>8</v>
      </c>
      <c r="D241" s="78">
        <v>1278400000</v>
      </c>
      <c r="E241" s="78">
        <v>296100000</v>
      </c>
      <c r="F241" s="78">
        <v>304850000</v>
      </c>
      <c r="G241" s="78">
        <v>9302</v>
      </c>
      <c r="H241" s="78">
        <v>2</v>
      </c>
      <c r="I241" s="78">
        <v>304.85000000000002</v>
      </c>
      <c r="J241" s="78">
        <v>1766</v>
      </c>
      <c r="K241" s="78">
        <v>1972</v>
      </c>
      <c r="L241" s="78">
        <v>686</v>
      </c>
      <c r="M241" s="78">
        <v>948</v>
      </c>
      <c r="N241" s="78">
        <v>523.4</v>
      </c>
      <c r="O241" s="78">
        <v>49.6666666666667</v>
      </c>
      <c r="P241" s="78">
        <v>6</v>
      </c>
      <c r="Q241" s="78">
        <v>527.66666666666697</v>
      </c>
      <c r="R241" s="78">
        <v>1104</v>
      </c>
      <c r="S241" s="78">
        <v>355</v>
      </c>
      <c r="T241" s="78">
        <v>0</v>
      </c>
      <c r="U241" s="78">
        <v>235</v>
      </c>
      <c r="V241" s="78">
        <v>4253</v>
      </c>
      <c r="W241" s="78">
        <v>4520</v>
      </c>
      <c r="X241" s="78">
        <v>190</v>
      </c>
      <c r="Y241" s="78">
        <v>0</v>
      </c>
      <c r="Z241" s="78">
        <v>0</v>
      </c>
      <c r="AA241" s="78">
        <v>0</v>
      </c>
      <c r="AB241" s="399">
        <v>0</v>
      </c>
      <c r="AC241" s="399">
        <v>0</v>
      </c>
      <c r="AD241" s="78">
        <v>2119</v>
      </c>
      <c r="AE241" s="78">
        <v>2818.27</v>
      </c>
      <c r="AF241" s="78">
        <v>76</v>
      </c>
      <c r="AG241" s="78">
        <v>0</v>
      </c>
      <c r="AH241" s="78">
        <v>76</v>
      </c>
      <c r="AI241" s="78">
        <v>13</v>
      </c>
      <c r="AJ241" s="78">
        <v>98.8</v>
      </c>
      <c r="AK241" s="78">
        <v>17.29</v>
      </c>
      <c r="AL241" s="78">
        <v>90</v>
      </c>
      <c r="AM241" s="78">
        <v>4246</v>
      </c>
      <c r="AN241" s="78">
        <v>5519.8</v>
      </c>
      <c r="AO241" s="78">
        <v>0</v>
      </c>
      <c r="AP241" s="78">
        <v>0</v>
      </c>
      <c r="AQ241" s="78">
        <v>0</v>
      </c>
      <c r="AR241" s="78">
        <v>0</v>
      </c>
      <c r="AS241" s="78">
        <v>0</v>
      </c>
      <c r="AT241" s="78">
        <v>0</v>
      </c>
      <c r="AU241" s="400">
        <v>9.7362999999999996E-5</v>
      </c>
      <c r="AV241" s="400">
        <v>4.3390999999999998E-5</v>
      </c>
      <c r="AW241" s="78">
        <v>3553.902</v>
      </c>
      <c r="AX241" s="78">
        <v>0</v>
      </c>
      <c r="AY241" s="78">
        <v>1856.68</v>
      </c>
      <c r="AZ241" s="78">
        <v>16187.429394077501</v>
      </c>
      <c r="BA241" s="78">
        <v>4</v>
      </c>
      <c r="BB241" s="78">
        <v>5.32</v>
      </c>
      <c r="BC241" s="78">
        <v>1220</v>
      </c>
      <c r="BD241" s="78">
        <v>1</v>
      </c>
      <c r="BE241" s="78">
        <v>0</v>
      </c>
      <c r="BF241" s="78">
        <v>0</v>
      </c>
      <c r="BG241" s="78">
        <v>0</v>
      </c>
      <c r="BH241" s="78">
        <v>0</v>
      </c>
      <c r="BI241" s="78">
        <v>0</v>
      </c>
      <c r="BJ241" s="78">
        <v>0</v>
      </c>
      <c r="BK241" s="78">
        <v>0</v>
      </c>
      <c r="BL241" s="78">
        <v>0</v>
      </c>
      <c r="BM241" s="78">
        <v>102.428</v>
      </c>
      <c r="BN241" s="78">
        <v>10</v>
      </c>
      <c r="BO241" s="78">
        <v>9</v>
      </c>
      <c r="BP241" s="78">
        <v>2926</v>
      </c>
      <c r="BQ241" s="78">
        <v>611.83000000000004</v>
      </c>
      <c r="BR241" s="78">
        <v>89.767521126760599</v>
      </c>
      <c r="BS241" s="78">
        <v>88</v>
      </c>
      <c r="BT241" s="78">
        <v>21.6666666666667</v>
      </c>
      <c r="BU241" s="78">
        <v>16.3333333333333</v>
      </c>
      <c r="BV241" s="78">
        <v>478.00000000000028</v>
      </c>
      <c r="BW241" s="78">
        <v>294</v>
      </c>
      <c r="BX241" s="78">
        <v>1448.30551622752</v>
      </c>
      <c r="BY241" s="402">
        <v>4.7E-2</v>
      </c>
      <c r="BZ241" s="78">
        <v>7330</v>
      </c>
      <c r="CA241" s="78">
        <v>1066</v>
      </c>
      <c r="CB241" s="78">
        <v>220</v>
      </c>
      <c r="CC241" s="78">
        <v>195</v>
      </c>
      <c r="CD241" s="78">
        <v>186</v>
      </c>
      <c r="CE241" s="78">
        <v>111</v>
      </c>
      <c r="CF241" s="78">
        <v>76.180216674517197</v>
      </c>
      <c r="CG241" s="78">
        <v>56.457183231276503</v>
      </c>
      <c r="CH241" s="78">
        <v>19.8463024022609</v>
      </c>
      <c r="CI241" s="78">
        <v>204.6816</v>
      </c>
      <c r="CJ241" s="78">
        <v>151.68960000000001</v>
      </c>
      <c r="CK241" s="78">
        <v>53.3232</v>
      </c>
      <c r="CL241" s="78">
        <v>115705</v>
      </c>
    </row>
    <row r="242" spans="1:90" x14ac:dyDescent="0.35">
      <c r="A242" s="72">
        <v>1892</v>
      </c>
      <c r="B242" s="72" t="s">
        <v>360</v>
      </c>
      <c r="C242" s="72">
        <v>8</v>
      </c>
      <c r="D242" s="78">
        <v>4994800000</v>
      </c>
      <c r="E242" s="78">
        <v>710500000</v>
      </c>
      <c r="F242" s="78">
        <v>722400000</v>
      </c>
      <c r="G242" s="78">
        <v>45794</v>
      </c>
      <c r="H242" s="78">
        <v>5</v>
      </c>
      <c r="I242" s="78">
        <v>722.4</v>
      </c>
      <c r="J242" s="78">
        <v>10106</v>
      </c>
      <c r="K242" s="78">
        <v>8603</v>
      </c>
      <c r="L242" s="78">
        <v>2719</v>
      </c>
      <c r="M242" s="78">
        <v>4504</v>
      </c>
      <c r="N242" s="78">
        <v>2567</v>
      </c>
      <c r="O242" s="78">
        <v>487</v>
      </c>
      <c r="P242" s="78">
        <v>43</v>
      </c>
      <c r="Q242" s="78">
        <v>1972</v>
      </c>
      <c r="R242" s="78">
        <v>5014</v>
      </c>
      <c r="S242" s="78">
        <v>2855</v>
      </c>
      <c r="T242" s="78">
        <v>0</v>
      </c>
      <c r="U242" s="78">
        <v>1378</v>
      </c>
      <c r="V242" s="78">
        <v>19119</v>
      </c>
      <c r="W242" s="78">
        <v>31740</v>
      </c>
      <c r="X242" s="78">
        <v>4360</v>
      </c>
      <c r="Y242" s="78">
        <v>0</v>
      </c>
      <c r="Z242" s="78">
        <v>646.4</v>
      </c>
      <c r="AA242" s="78">
        <v>0</v>
      </c>
      <c r="AB242" s="399">
        <v>0</v>
      </c>
      <c r="AC242" s="399">
        <v>104</v>
      </c>
      <c r="AD242" s="78">
        <v>5809</v>
      </c>
      <c r="AE242" s="78">
        <v>8016.42</v>
      </c>
      <c r="AF242" s="78">
        <v>596</v>
      </c>
      <c r="AG242" s="78">
        <v>0</v>
      </c>
      <c r="AH242" s="78">
        <v>233</v>
      </c>
      <c r="AI242" s="78">
        <v>40</v>
      </c>
      <c r="AJ242" s="78">
        <v>335.52</v>
      </c>
      <c r="AK242" s="78">
        <v>53.6</v>
      </c>
      <c r="AL242" s="78">
        <v>274</v>
      </c>
      <c r="AM242" s="78">
        <v>19370</v>
      </c>
      <c r="AN242" s="78">
        <v>27892.799999999999</v>
      </c>
      <c r="AO242" s="78">
        <v>0</v>
      </c>
      <c r="AP242" s="78">
        <v>0</v>
      </c>
      <c r="AQ242" s="78">
        <v>0</v>
      </c>
      <c r="AR242" s="78">
        <v>0</v>
      </c>
      <c r="AS242" s="78">
        <v>0</v>
      </c>
      <c r="AT242" s="78">
        <v>0</v>
      </c>
      <c r="AU242" s="400">
        <v>2.5454699999999999E-4</v>
      </c>
      <c r="AV242" s="400">
        <v>4.1769300000000001E-4</v>
      </c>
      <c r="AW242" s="78">
        <v>23224.63</v>
      </c>
      <c r="AX242" s="78">
        <v>0</v>
      </c>
      <c r="AY242" s="78">
        <v>6474.96</v>
      </c>
      <c r="AZ242" s="78">
        <v>110960.041704918</v>
      </c>
      <c r="BA242" s="78">
        <v>12</v>
      </c>
      <c r="BB242" s="78">
        <v>16.079999999999998</v>
      </c>
      <c r="BC242" s="78">
        <v>6150</v>
      </c>
      <c r="BD242" s="78">
        <v>1</v>
      </c>
      <c r="BE242" s="78">
        <v>0</v>
      </c>
      <c r="BF242" s="78">
        <v>0</v>
      </c>
      <c r="BG242" s="78">
        <v>0</v>
      </c>
      <c r="BH242" s="78">
        <v>0</v>
      </c>
      <c r="BI242" s="78">
        <v>0</v>
      </c>
      <c r="BJ242" s="78">
        <v>0</v>
      </c>
      <c r="BK242" s="78">
        <v>0</v>
      </c>
      <c r="BL242" s="78">
        <v>0</v>
      </c>
      <c r="BM242" s="78">
        <v>747.84400000000005</v>
      </c>
      <c r="BN242" s="78">
        <v>94</v>
      </c>
      <c r="BO242" s="78">
        <v>96</v>
      </c>
      <c r="BP242" s="78">
        <v>14888.8</v>
      </c>
      <c r="BQ242" s="78">
        <v>4275.04</v>
      </c>
      <c r="BR242" s="78">
        <v>345.16678350515502</v>
      </c>
      <c r="BS242" s="78">
        <v>585</v>
      </c>
      <c r="BT242" s="78">
        <v>180</v>
      </c>
      <c r="BU242" s="78">
        <v>138</v>
      </c>
      <c r="BV242" s="78">
        <v>1485</v>
      </c>
      <c r="BW242" s="78">
        <v>487</v>
      </c>
      <c r="BX242" s="78">
        <v>5682.9110172199498</v>
      </c>
      <c r="BY242" s="402">
        <v>0.61</v>
      </c>
      <c r="BZ242" s="78">
        <v>37191</v>
      </c>
      <c r="CA242" s="78">
        <v>5005</v>
      </c>
      <c r="CB242" s="78">
        <v>879</v>
      </c>
      <c r="CC242" s="78">
        <v>931</v>
      </c>
      <c r="CD242" s="78">
        <v>871</v>
      </c>
      <c r="CE242" s="78">
        <v>433</v>
      </c>
      <c r="CF242" s="78">
        <v>409.63329891584902</v>
      </c>
      <c r="CG242" s="78">
        <v>250.20629839958701</v>
      </c>
      <c r="CH242" s="78">
        <v>83.490449148167301</v>
      </c>
      <c r="CI242" s="78">
        <v>1052.4855</v>
      </c>
      <c r="CJ242" s="78">
        <v>642.86400000000003</v>
      </c>
      <c r="CK242" s="78">
        <v>214.51499999999999</v>
      </c>
      <c r="CL242" s="78">
        <v>31390</v>
      </c>
    </row>
    <row r="243" spans="1:90" x14ac:dyDescent="0.35">
      <c r="A243" s="72">
        <v>642</v>
      </c>
      <c r="B243" s="72" t="s">
        <v>364</v>
      </c>
      <c r="C243" s="72">
        <v>8</v>
      </c>
      <c r="D243" s="78">
        <v>4218400000</v>
      </c>
      <c r="E243" s="78">
        <v>648200000</v>
      </c>
      <c r="F243" s="78">
        <v>653800000</v>
      </c>
      <c r="G243" s="78">
        <v>44789</v>
      </c>
      <c r="H243" s="78">
        <v>2</v>
      </c>
      <c r="I243" s="78">
        <v>653.79999999999995</v>
      </c>
      <c r="J243" s="78">
        <v>8698</v>
      </c>
      <c r="K243" s="78">
        <v>10262</v>
      </c>
      <c r="L243" s="78">
        <v>3650</v>
      </c>
      <c r="M243" s="78">
        <v>6535</v>
      </c>
      <c r="N243" s="78">
        <v>4452.6000000000004</v>
      </c>
      <c r="O243" s="78">
        <v>1076</v>
      </c>
      <c r="P243" s="78">
        <v>90</v>
      </c>
      <c r="Q243" s="78">
        <v>3230</v>
      </c>
      <c r="R243" s="78">
        <v>7162</v>
      </c>
      <c r="S243" s="78">
        <v>4610</v>
      </c>
      <c r="T243" s="78">
        <v>0</v>
      </c>
      <c r="U243" s="78">
        <v>1918</v>
      </c>
      <c r="V243" s="78">
        <v>20837</v>
      </c>
      <c r="W243" s="78">
        <v>42600</v>
      </c>
      <c r="X243" s="78">
        <v>21460</v>
      </c>
      <c r="Y243" s="78">
        <v>580.14</v>
      </c>
      <c r="Z243" s="78">
        <v>2584.8000000000002</v>
      </c>
      <c r="AA243" s="78">
        <v>0</v>
      </c>
      <c r="AB243" s="399">
        <v>0</v>
      </c>
      <c r="AC243" s="399">
        <v>0</v>
      </c>
      <c r="AD243" s="78">
        <v>2028</v>
      </c>
      <c r="AE243" s="78">
        <v>2717.52</v>
      </c>
      <c r="AF243" s="78">
        <v>249</v>
      </c>
      <c r="AG243" s="78">
        <v>0</v>
      </c>
      <c r="AH243" s="78">
        <v>192</v>
      </c>
      <c r="AI243" s="78">
        <v>40</v>
      </c>
      <c r="AJ243" s="78">
        <v>259.2</v>
      </c>
      <c r="AK243" s="78">
        <v>53.2</v>
      </c>
      <c r="AL243" s="78">
        <v>232</v>
      </c>
      <c r="AM243" s="78">
        <v>20824</v>
      </c>
      <c r="AN243" s="78">
        <v>28112.400000000001</v>
      </c>
      <c r="AO243" s="78">
        <v>0</v>
      </c>
      <c r="AP243" s="78">
        <v>0</v>
      </c>
      <c r="AQ243" s="78">
        <v>0</v>
      </c>
      <c r="AR243" s="78">
        <v>0</v>
      </c>
      <c r="AS243" s="78">
        <v>2450</v>
      </c>
      <c r="AT243" s="78">
        <v>0</v>
      </c>
      <c r="AU243" s="400">
        <v>3.7453299999999997E-4</v>
      </c>
      <c r="AV243" s="400">
        <v>2.1429280000000001E-3</v>
      </c>
      <c r="AW243" s="78">
        <v>43501.336000000003</v>
      </c>
      <c r="AX243" s="78">
        <v>0</v>
      </c>
      <c r="AY243" s="78">
        <v>1725.92</v>
      </c>
      <c r="AZ243" s="78">
        <v>75331.281985068097</v>
      </c>
      <c r="BA243" s="78">
        <v>2</v>
      </c>
      <c r="BB243" s="78">
        <v>2.66</v>
      </c>
      <c r="BC243" s="78">
        <v>4815</v>
      </c>
      <c r="BD243" s="78">
        <v>1</v>
      </c>
      <c r="BE243" s="78">
        <v>0</v>
      </c>
      <c r="BF243" s="78">
        <v>0</v>
      </c>
      <c r="BG243" s="78">
        <v>0</v>
      </c>
      <c r="BH243" s="78">
        <v>0</v>
      </c>
      <c r="BI243" s="78">
        <v>0</v>
      </c>
      <c r="BJ243" s="78">
        <v>0</v>
      </c>
      <c r="BK243" s="78">
        <v>0</v>
      </c>
      <c r="BL243" s="78">
        <v>0</v>
      </c>
      <c r="BM243" s="78">
        <v>1435.17</v>
      </c>
      <c r="BN243" s="78">
        <v>219</v>
      </c>
      <c r="BO243" s="78">
        <v>159</v>
      </c>
      <c r="BP243" s="78">
        <v>13630.48</v>
      </c>
      <c r="BQ243" s="78">
        <v>2962.16</v>
      </c>
      <c r="BR243" s="78">
        <v>426.351450171821</v>
      </c>
      <c r="BS243" s="78">
        <v>779</v>
      </c>
      <c r="BT243" s="78">
        <v>399.33333333333297</v>
      </c>
      <c r="BU243" s="78">
        <v>383.66666666666703</v>
      </c>
      <c r="BV243" s="78">
        <v>2154</v>
      </c>
      <c r="BW243" s="78">
        <v>473</v>
      </c>
      <c r="BX243" s="78">
        <v>8992.8109436069208</v>
      </c>
      <c r="BY243" s="402">
        <v>3.1720000000000002</v>
      </c>
      <c r="BZ243" s="78">
        <v>34527</v>
      </c>
      <c r="CA243" s="78">
        <v>5268</v>
      </c>
      <c r="CB243" s="78">
        <v>1344</v>
      </c>
      <c r="CC243" s="78">
        <v>1172</v>
      </c>
      <c r="CD243" s="78">
        <v>1293</v>
      </c>
      <c r="CE243" s="78">
        <v>725</v>
      </c>
      <c r="CF243" s="78">
        <v>704.32502881290804</v>
      </c>
      <c r="CG243" s="78">
        <v>552.29858816749902</v>
      </c>
      <c r="CH243" s="78">
        <v>219.37992700729899</v>
      </c>
      <c r="CI243" s="78">
        <v>1505.6874</v>
      </c>
      <c r="CJ243" s="78">
        <v>1180.6893</v>
      </c>
      <c r="CK243" s="78">
        <v>468.9846</v>
      </c>
      <c r="CL243" s="78">
        <v>23814</v>
      </c>
    </row>
    <row r="244" spans="1:90" x14ac:dyDescent="0.35">
      <c r="A244" s="72">
        <v>654</v>
      </c>
      <c r="B244" s="72" t="s">
        <v>57</v>
      </c>
      <c r="C244" s="72">
        <v>9</v>
      </c>
      <c r="D244" s="78">
        <v>2052400000</v>
      </c>
      <c r="E244" s="78">
        <v>749700000</v>
      </c>
      <c r="F244" s="78">
        <v>779450000</v>
      </c>
      <c r="G244" s="78">
        <v>22847</v>
      </c>
      <c r="H244" s="78">
        <v>6</v>
      </c>
      <c r="I244" s="78">
        <v>779.45</v>
      </c>
      <c r="J244" s="78">
        <v>4566</v>
      </c>
      <c r="K244" s="78">
        <v>4924</v>
      </c>
      <c r="L244" s="78">
        <v>1556</v>
      </c>
      <c r="M244" s="78">
        <v>2698</v>
      </c>
      <c r="N244" s="78">
        <v>1668.3</v>
      </c>
      <c r="O244" s="78">
        <v>195</v>
      </c>
      <c r="P244" s="78">
        <v>26</v>
      </c>
      <c r="Q244" s="78">
        <v>1156</v>
      </c>
      <c r="R244" s="78">
        <v>2935</v>
      </c>
      <c r="S244" s="78">
        <v>325</v>
      </c>
      <c r="T244" s="78">
        <v>0</v>
      </c>
      <c r="U244" s="78">
        <v>526</v>
      </c>
      <c r="V244" s="78">
        <v>9893</v>
      </c>
      <c r="W244" s="78">
        <v>18070</v>
      </c>
      <c r="X244" s="78">
        <v>5190</v>
      </c>
      <c r="Y244" s="78">
        <v>0</v>
      </c>
      <c r="Z244" s="78">
        <v>0</v>
      </c>
      <c r="AA244" s="78">
        <v>0</v>
      </c>
      <c r="AB244" s="399">
        <v>0</v>
      </c>
      <c r="AC244" s="399">
        <v>0</v>
      </c>
      <c r="AD244" s="78">
        <v>14140</v>
      </c>
      <c r="AE244" s="78">
        <v>15836.8</v>
      </c>
      <c r="AF244" s="78">
        <v>279</v>
      </c>
      <c r="AG244" s="78">
        <v>5032</v>
      </c>
      <c r="AH244" s="78">
        <v>121</v>
      </c>
      <c r="AI244" s="78">
        <v>169</v>
      </c>
      <c r="AJ244" s="78">
        <v>135.52000000000001</v>
      </c>
      <c r="AK244" s="78">
        <v>189.28</v>
      </c>
      <c r="AL244" s="78">
        <v>291</v>
      </c>
      <c r="AM244" s="78">
        <v>10297</v>
      </c>
      <c r="AN244" s="78">
        <v>11532.64</v>
      </c>
      <c r="AO244" s="78">
        <v>0</v>
      </c>
      <c r="AP244" s="78">
        <v>0</v>
      </c>
      <c r="AQ244" s="78">
        <v>0</v>
      </c>
      <c r="AR244" s="78">
        <v>0</v>
      </c>
      <c r="AS244" s="78">
        <v>0</v>
      </c>
      <c r="AT244" s="78">
        <v>0</v>
      </c>
      <c r="AU244" s="400">
        <v>6.57707E-4</v>
      </c>
      <c r="AV244" s="400">
        <v>2.03131E-4</v>
      </c>
      <c r="AW244" s="78">
        <v>3325.931</v>
      </c>
      <c r="AX244" s="78">
        <v>0</v>
      </c>
      <c r="AY244" s="78">
        <v>2554.7199999999998</v>
      </c>
      <c r="AZ244" s="78">
        <v>5797.77286080866</v>
      </c>
      <c r="BA244" s="78">
        <v>19</v>
      </c>
      <c r="BB244" s="78">
        <v>21.28</v>
      </c>
      <c r="BC244" s="78">
        <v>2845</v>
      </c>
      <c r="BD244" s="78">
        <v>1</v>
      </c>
      <c r="BE244" s="78">
        <v>0</v>
      </c>
      <c r="BF244" s="78">
        <v>0</v>
      </c>
      <c r="BG244" s="78">
        <v>0</v>
      </c>
      <c r="BH244" s="78">
        <v>0</v>
      </c>
      <c r="BI244" s="78">
        <v>0</v>
      </c>
      <c r="BJ244" s="78">
        <v>0</v>
      </c>
      <c r="BK244" s="78">
        <v>0</v>
      </c>
      <c r="BL244" s="78">
        <v>0</v>
      </c>
      <c r="BM244" s="78">
        <v>347.01600000000002</v>
      </c>
      <c r="BN244" s="78">
        <v>120</v>
      </c>
      <c r="BO244" s="78">
        <v>45</v>
      </c>
      <c r="BP244" s="78">
        <v>6657.12</v>
      </c>
      <c r="BQ244" s="78">
        <v>1511.25</v>
      </c>
      <c r="BR244" s="78">
        <v>195.64695891220799</v>
      </c>
      <c r="BS244" s="78">
        <v>217</v>
      </c>
      <c r="BT244" s="78">
        <v>54.6666666666667</v>
      </c>
      <c r="BU244" s="78">
        <v>48</v>
      </c>
      <c r="BV244" s="78">
        <v>961</v>
      </c>
      <c r="BW244" s="78">
        <v>276</v>
      </c>
      <c r="BX244" s="78">
        <v>3800.6642334998701</v>
      </c>
      <c r="BY244" s="402">
        <v>0.22500000000000001</v>
      </c>
      <c r="BZ244" s="78">
        <v>17923</v>
      </c>
      <c r="CA244" s="78">
        <v>2764</v>
      </c>
      <c r="CB244" s="78">
        <v>604</v>
      </c>
      <c r="CC244" s="78">
        <v>518</v>
      </c>
      <c r="CD244" s="78">
        <v>470</v>
      </c>
      <c r="CE244" s="78">
        <v>307</v>
      </c>
      <c r="CF244" s="78">
        <v>273.97254540157297</v>
      </c>
      <c r="CG244" s="78">
        <v>175.95161697581801</v>
      </c>
      <c r="CH244" s="78">
        <v>71.774002136544595</v>
      </c>
      <c r="CI244" s="78">
        <v>739.8125</v>
      </c>
      <c r="CJ244" s="78">
        <v>475.125</v>
      </c>
      <c r="CK244" s="78">
        <v>193.8125</v>
      </c>
      <c r="CL244" s="78">
        <v>0</v>
      </c>
    </row>
    <row r="245" spans="1:90" x14ac:dyDescent="0.35">
      <c r="A245" s="72">
        <v>664</v>
      </c>
      <c r="B245" s="72" t="s">
        <v>116</v>
      </c>
      <c r="C245" s="72">
        <v>9</v>
      </c>
      <c r="D245" s="78">
        <v>3877600000</v>
      </c>
      <c r="E245" s="78">
        <v>767550000</v>
      </c>
      <c r="F245" s="78">
        <v>796950000</v>
      </c>
      <c r="G245" s="78">
        <v>38950</v>
      </c>
      <c r="H245" s="78">
        <v>3</v>
      </c>
      <c r="I245" s="78">
        <v>796.95</v>
      </c>
      <c r="J245" s="78">
        <v>6902</v>
      </c>
      <c r="K245" s="78">
        <v>9383</v>
      </c>
      <c r="L245" s="78">
        <v>3200</v>
      </c>
      <c r="M245" s="78">
        <v>6124</v>
      </c>
      <c r="N245" s="78">
        <v>4174.5</v>
      </c>
      <c r="O245" s="78">
        <v>734</v>
      </c>
      <c r="P245" s="78">
        <v>50</v>
      </c>
      <c r="Q245" s="78">
        <v>2918</v>
      </c>
      <c r="R245" s="78">
        <v>7161</v>
      </c>
      <c r="S245" s="78">
        <v>1495</v>
      </c>
      <c r="T245" s="78">
        <v>0</v>
      </c>
      <c r="U245" s="78">
        <v>1225</v>
      </c>
      <c r="V245" s="78">
        <v>19107</v>
      </c>
      <c r="W245" s="78">
        <v>44060</v>
      </c>
      <c r="X245" s="78">
        <v>52060</v>
      </c>
      <c r="Y245" s="78">
        <v>3418.48</v>
      </c>
      <c r="Z245" s="78">
        <v>4176</v>
      </c>
      <c r="AA245" s="78">
        <v>0</v>
      </c>
      <c r="AB245" s="399">
        <v>0</v>
      </c>
      <c r="AC245" s="399">
        <v>0</v>
      </c>
      <c r="AD245" s="78">
        <v>9265</v>
      </c>
      <c r="AE245" s="78">
        <v>10747.4</v>
      </c>
      <c r="AF245" s="78">
        <v>620</v>
      </c>
      <c r="AG245" s="78">
        <v>306</v>
      </c>
      <c r="AH245" s="78">
        <v>236</v>
      </c>
      <c r="AI245" s="78">
        <v>46</v>
      </c>
      <c r="AJ245" s="78">
        <v>287.92</v>
      </c>
      <c r="AK245" s="78">
        <v>52.9</v>
      </c>
      <c r="AL245" s="78">
        <v>282</v>
      </c>
      <c r="AM245" s="78">
        <v>19495</v>
      </c>
      <c r="AN245" s="78">
        <v>23783.9</v>
      </c>
      <c r="AO245" s="78">
        <v>21</v>
      </c>
      <c r="AP245" s="78">
        <v>0</v>
      </c>
      <c r="AQ245" s="78">
        <v>0</v>
      </c>
      <c r="AR245" s="78">
        <v>2350</v>
      </c>
      <c r="AS245" s="78">
        <v>2371</v>
      </c>
      <c r="AT245" s="78">
        <v>2371</v>
      </c>
      <c r="AU245" s="400">
        <v>1.723544E-3</v>
      </c>
      <c r="AV245" s="400">
        <v>1.8454540000000001E-3</v>
      </c>
      <c r="AW245" s="78">
        <v>26630.17</v>
      </c>
      <c r="AX245" s="78">
        <v>0</v>
      </c>
      <c r="AY245" s="78">
        <v>2987</v>
      </c>
      <c r="AZ245" s="78">
        <v>17126.651896813401</v>
      </c>
      <c r="BA245" s="78">
        <v>7</v>
      </c>
      <c r="BB245" s="78">
        <v>8.0500000000000007</v>
      </c>
      <c r="BC245" s="78">
        <v>5125</v>
      </c>
      <c r="BD245" s="78">
        <v>1</v>
      </c>
      <c r="BE245" s="78">
        <v>0</v>
      </c>
      <c r="BF245" s="78">
        <v>0</v>
      </c>
      <c r="BG245" s="78">
        <v>0</v>
      </c>
      <c r="BH245" s="78">
        <v>0</v>
      </c>
      <c r="BI245" s="78">
        <v>0</v>
      </c>
      <c r="BJ245" s="78">
        <v>0</v>
      </c>
      <c r="BK245" s="78">
        <v>0</v>
      </c>
      <c r="BL245" s="78">
        <v>0</v>
      </c>
      <c r="BM245" s="78">
        <v>697.10199999999998</v>
      </c>
      <c r="BN245" s="78">
        <v>121</v>
      </c>
      <c r="BO245" s="78">
        <v>85</v>
      </c>
      <c r="BP245" s="78">
        <v>12056.22</v>
      </c>
      <c r="BQ245" s="78">
        <v>2511.96</v>
      </c>
      <c r="BR245" s="78">
        <v>323.657448022079</v>
      </c>
      <c r="BS245" s="78">
        <v>442</v>
      </c>
      <c r="BT245" s="78">
        <v>163</v>
      </c>
      <c r="BU245" s="78">
        <v>148.333333333333</v>
      </c>
      <c r="BV245" s="78">
        <v>2184</v>
      </c>
      <c r="BW245" s="78">
        <v>702</v>
      </c>
      <c r="BX245" s="78">
        <v>8036.1699746074501</v>
      </c>
      <c r="BY245" s="402">
        <v>1.8859999999999999</v>
      </c>
      <c r="BZ245" s="78">
        <v>29567</v>
      </c>
      <c r="CA245" s="78">
        <v>4902</v>
      </c>
      <c r="CB245" s="78">
        <v>1281</v>
      </c>
      <c r="CC245" s="78">
        <v>1144</v>
      </c>
      <c r="CD245" s="78">
        <v>1044</v>
      </c>
      <c r="CE245" s="78">
        <v>644</v>
      </c>
      <c r="CF245" s="78">
        <v>649.46183636830006</v>
      </c>
      <c r="CG245" s="78">
        <v>471.73241856886398</v>
      </c>
      <c r="CH245" s="78">
        <v>188.22187740446299</v>
      </c>
      <c r="CI245" s="78">
        <v>1362.1203</v>
      </c>
      <c r="CJ245" s="78">
        <v>989.3673</v>
      </c>
      <c r="CK245" s="78">
        <v>394.75889999999998</v>
      </c>
      <c r="CL245" s="78">
        <v>95475</v>
      </c>
    </row>
    <row r="246" spans="1:90" x14ac:dyDescent="0.35">
      <c r="A246" s="72">
        <v>677</v>
      </c>
      <c r="B246" s="72" t="s">
        <v>161</v>
      </c>
      <c r="C246" s="72">
        <v>9</v>
      </c>
      <c r="D246" s="78">
        <v>2560800000</v>
      </c>
      <c r="E246" s="78">
        <v>280700000</v>
      </c>
      <c r="F246" s="78">
        <v>329700000</v>
      </c>
      <c r="G246" s="78">
        <v>27533</v>
      </c>
      <c r="H246" s="78">
        <v>4</v>
      </c>
      <c r="I246" s="78">
        <v>329.7</v>
      </c>
      <c r="J246" s="78">
        <v>4435</v>
      </c>
      <c r="K246" s="78">
        <v>7193</v>
      </c>
      <c r="L246" s="78">
        <v>2469</v>
      </c>
      <c r="M246" s="78">
        <v>3909</v>
      </c>
      <c r="N246" s="78">
        <v>2525.1</v>
      </c>
      <c r="O246" s="78">
        <v>271.33333333333297</v>
      </c>
      <c r="P246" s="78">
        <v>34</v>
      </c>
      <c r="Q246" s="78">
        <v>1784.3333333333301</v>
      </c>
      <c r="R246" s="78">
        <v>4346</v>
      </c>
      <c r="S246" s="78">
        <v>415</v>
      </c>
      <c r="T246" s="78">
        <v>0</v>
      </c>
      <c r="U246" s="78">
        <v>756</v>
      </c>
      <c r="V246" s="78">
        <v>13343</v>
      </c>
      <c r="W246" s="78">
        <v>26940</v>
      </c>
      <c r="X246" s="78">
        <v>21020</v>
      </c>
      <c r="Y246" s="78">
        <v>357.32</v>
      </c>
      <c r="Z246" s="78">
        <v>888.8</v>
      </c>
      <c r="AA246" s="78">
        <v>0</v>
      </c>
      <c r="AB246" s="399">
        <v>0</v>
      </c>
      <c r="AC246" s="399">
        <v>0</v>
      </c>
      <c r="AD246" s="78">
        <v>20119</v>
      </c>
      <c r="AE246" s="78">
        <v>20923.759999999998</v>
      </c>
      <c r="AF246" s="78">
        <v>341</v>
      </c>
      <c r="AG246" s="78">
        <v>4722</v>
      </c>
      <c r="AH246" s="78">
        <v>208</v>
      </c>
      <c r="AI246" s="78">
        <v>90</v>
      </c>
      <c r="AJ246" s="78">
        <v>212.16</v>
      </c>
      <c r="AK246" s="78">
        <v>93.6</v>
      </c>
      <c r="AL246" s="78">
        <v>297</v>
      </c>
      <c r="AM246" s="78">
        <v>13839</v>
      </c>
      <c r="AN246" s="78">
        <v>14115.78</v>
      </c>
      <c r="AO246" s="78">
        <v>15</v>
      </c>
      <c r="AP246" s="78">
        <v>0</v>
      </c>
      <c r="AQ246" s="78">
        <v>0</v>
      </c>
      <c r="AR246" s="78">
        <v>4550</v>
      </c>
      <c r="AS246" s="78">
        <v>874</v>
      </c>
      <c r="AT246" s="78">
        <v>874</v>
      </c>
      <c r="AU246" s="400">
        <v>1.272037E-3</v>
      </c>
      <c r="AV246" s="400">
        <v>3.3927099999999998E-4</v>
      </c>
      <c r="AW246" s="78">
        <v>7099.4070000000002</v>
      </c>
      <c r="AX246" s="78">
        <v>0</v>
      </c>
      <c r="AY246" s="78">
        <v>3121.04</v>
      </c>
      <c r="AZ246" s="78">
        <v>4754.1928172042999</v>
      </c>
      <c r="BA246" s="78">
        <v>16</v>
      </c>
      <c r="BB246" s="78">
        <v>16.64</v>
      </c>
      <c r="BC246" s="78">
        <v>2870</v>
      </c>
      <c r="BD246" s="78">
        <v>1</v>
      </c>
      <c r="BE246" s="78">
        <v>0</v>
      </c>
      <c r="BF246" s="78">
        <v>0</v>
      </c>
      <c r="BG246" s="78">
        <v>0</v>
      </c>
      <c r="BH246" s="78">
        <v>0</v>
      </c>
      <c r="BI246" s="78">
        <v>0</v>
      </c>
      <c r="BJ246" s="78">
        <v>0</v>
      </c>
      <c r="BK246" s="78">
        <v>0</v>
      </c>
      <c r="BL246" s="78">
        <v>0</v>
      </c>
      <c r="BM246" s="78">
        <v>385.84500000000003</v>
      </c>
      <c r="BN246" s="78">
        <v>55</v>
      </c>
      <c r="BO246" s="78">
        <v>55</v>
      </c>
      <c r="BP246" s="78">
        <v>8565.9500000000007</v>
      </c>
      <c r="BQ246" s="78">
        <v>1774.68</v>
      </c>
      <c r="BR246" s="78">
        <v>107.39601997897</v>
      </c>
      <c r="BS246" s="78">
        <v>264</v>
      </c>
      <c r="BT246" s="78">
        <v>79</v>
      </c>
      <c r="BU246" s="78">
        <v>54.3333333333333</v>
      </c>
      <c r="BV246" s="78">
        <v>1512.999999999997</v>
      </c>
      <c r="BW246" s="78">
        <v>484</v>
      </c>
      <c r="BX246" s="78">
        <v>4338.38204895739</v>
      </c>
      <c r="BY246" s="402">
        <v>0.437</v>
      </c>
      <c r="BZ246" s="78">
        <v>20340</v>
      </c>
      <c r="CA246" s="78">
        <v>3846</v>
      </c>
      <c r="CB246" s="78">
        <v>878</v>
      </c>
      <c r="CC246" s="78">
        <v>780</v>
      </c>
      <c r="CD246" s="78">
        <v>760</v>
      </c>
      <c r="CE246" s="78">
        <v>442</v>
      </c>
      <c r="CF246" s="78">
        <v>429.152048558422</v>
      </c>
      <c r="CG246" s="78">
        <v>308.90919141556498</v>
      </c>
      <c r="CH246" s="78">
        <v>117.870843269022</v>
      </c>
      <c r="CI246" s="78">
        <v>1065.6912</v>
      </c>
      <c r="CJ246" s="78">
        <v>767.09829999999999</v>
      </c>
      <c r="CK246" s="78">
        <v>292.70260000000002</v>
      </c>
      <c r="CL246" s="78">
        <v>109681</v>
      </c>
    </row>
    <row r="247" spans="1:90" x14ac:dyDescent="0.35">
      <c r="A247" s="72">
        <v>678</v>
      </c>
      <c r="B247" s="72" t="s">
        <v>165</v>
      </c>
      <c r="C247" s="72">
        <v>9</v>
      </c>
      <c r="D247" s="78">
        <v>1289200000</v>
      </c>
      <c r="E247" s="78">
        <v>180250000</v>
      </c>
      <c r="F247" s="78">
        <v>187600000</v>
      </c>
      <c r="G247" s="78">
        <v>13020</v>
      </c>
      <c r="H247" s="78">
        <v>2</v>
      </c>
      <c r="I247" s="78">
        <v>187.6</v>
      </c>
      <c r="J247" s="78">
        <v>2781</v>
      </c>
      <c r="K247" s="78">
        <v>2831</v>
      </c>
      <c r="L247" s="78">
        <v>933</v>
      </c>
      <c r="M247" s="78">
        <v>1275</v>
      </c>
      <c r="N247" s="78">
        <v>693.69999999999993</v>
      </c>
      <c r="O247" s="78">
        <v>80.6666666666667</v>
      </c>
      <c r="P247" s="78">
        <v>13</v>
      </c>
      <c r="Q247" s="78">
        <v>522.66666666666697</v>
      </c>
      <c r="R247" s="78">
        <v>1506</v>
      </c>
      <c r="S247" s="78">
        <v>215</v>
      </c>
      <c r="T247" s="78">
        <v>0</v>
      </c>
      <c r="U247" s="78">
        <v>322</v>
      </c>
      <c r="V247" s="78">
        <v>5523</v>
      </c>
      <c r="W247" s="78">
        <v>12700</v>
      </c>
      <c r="X247" s="78">
        <v>6180</v>
      </c>
      <c r="Y247" s="78">
        <v>503.02</v>
      </c>
      <c r="Z247" s="78">
        <v>287.2</v>
      </c>
      <c r="AA247" s="78">
        <v>0</v>
      </c>
      <c r="AB247" s="399">
        <v>0</v>
      </c>
      <c r="AC247" s="399">
        <v>185.2</v>
      </c>
      <c r="AD247" s="78">
        <v>3706</v>
      </c>
      <c r="AE247" s="78">
        <v>4373.08</v>
      </c>
      <c r="AF247" s="78">
        <v>113</v>
      </c>
      <c r="AG247" s="78">
        <v>1144</v>
      </c>
      <c r="AH247" s="78">
        <v>93</v>
      </c>
      <c r="AI247" s="78">
        <v>30</v>
      </c>
      <c r="AJ247" s="78">
        <v>107.88</v>
      </c>
      <c r="AK247" s="78">
        <v>35.4</v>
      </c>
      <c r="AL247" s="78">
        <v>123</v>
      </c>
      <c r="AM247" s="78">
        <v>5813</v>
      </c>
      <c r="AN247" s="78">
        <v>6743.08</v>
      </c>
      <c r="AO247" s="78">
        <v>0</v>
      </c>
      <c r="AP247" s="78">
        <v>0</v>
      </c>
      <c r="AQ247" s="78">
        <v>0</v>
      </c>
      <c r="AR247" s="78">
        <v>0</v>
      </c>
      <c r="AS247" s="78">
        <v>0</v>
      </c>
      <c r="AT247" s="78">
        <v>0</v>
      </c>
      <c r="AU247" s="400">
        <v>2.8052699999999998E-4</v>
      </c>
      <c r="AV247" s="400">
        <v>8.8933999999999999E-5</v>
      </c>
      <c r="AW247" s="78">
        <v>3813.328</v>
      </c>
      <c r="AX247" s="78">
        <v>0</v>
      </c>
      <c r="AY247" s="78">
        <v>836.62</v>
      </c>
      <c r="AZ247" s="78">
        <v>5064.8788688138202</v>
      </c>
      <c r="BA247" s="78">
        <v>4</v>
      </c>
      <c r="BB247" s="78">
        <v>4.72</v>
      </c>
      <c r="BC247" s="78">
        <v>1595</v>
      </c>
      <c r="BD247" s="78">
        <v>1</v>
      </c>
      <c r="BE247" s="78">
        <v>0</v>
      </c>
      <c r="BF247" s="78">
        <v>0</v>
      </c>
      <c r="BG247" s="78">
        <v>0</v>
      </c>
      <c r="BH247" s="78">
        <v>0</v>
      </c>
      <c r="BI247" s="78">
        <v>0</v>
      </c>
      <c r="BJ247" s="78">
        <v>0</v>
      </c>
      <c r="BK247" s="78">
        <v>0</v>
      </c>
      <c r="BL247" s="78">
        <v>0</v>
      </c>
      <c r="BM247" s="78">
        <v>189.108</v>
      </c>
      <c r="BN247" s="78">
        <v>35</v>
      </c>
      <c r="BO247" s="78">
        <v>30</v>
      </c>
      <c r="BP247" s="78">
        <v>3894.48</v>
      </c>
      <c r="BQ247" s="78">
        <v>998.24</v>
      </c>
      <c r="BR247" s="78">
        <v>123.32771287128701</v>
      </c>
      <c r="BS247" s="78">
        <v>148</v>
      </c>
      <c r="BT247" s="78">
        <v>37</v>
      </c>
      <c r="BU247" s="78">
        <v>28</v>
      </c>
      <c r="BV247" s="78">
        <v>442.00000000000028</v>
      </c>
      <c r="BW247" s="78">
        <v>102</v>
      </c>
      <c r="BX247" s="78">
        <v>2002.3834187238001</v>
      </c>
      <c r="BY247" s="402">
        <v>6.3E-2</v>
      </c>
      <c r="BZ247" s="78">
        <v>10189</v>
      </c>
      <c r="CA247" s="78">
        <v>1551</v>
      </c>
      <c r="CB247" s="78">
        <v>347</v>
      </c>
      <c r="CC247" s="78">
        <v>249</v>
      </c>
      <c r="CD247" s="78">
        <v>278</v>
      </c>
      <c r="CE247" s="78">
        <v>157</v>
      </c>
      <c r="CF247" s="78">
        <v>110.863117151213</v>
      </c>
      <c r="CG247" s="78">
        <v>76.375021503526597</v>
      </c>
      <c r="CH247" s="78">
        <v>28.043953208326201</v>
      </c>
      <c r="CI247" s="78">
        <v>382.09769999999997</v>
      </c>
      <c r="CJ247" s="78">
        <v>263.23200000000003</v>
      </c>
      <c r="CK247" s="78">
        <v>96.655500000000004</v>
      </c>
      <c r="CL247" s="78">
        <v>0</v>
      </c>
    </row>
    <row r="248" spans="1:90" x14ac:dyDescent="0.35">
      <c r="A248" s="72">
        <v>687</v>
      </c>
      <c r="B248" s="72" t="s">
        <v>200</v>
      </c>
      <c r="C248" s="72">
        <v>9</v>
      </c>
      <c r="D248" s="78">
        <v>4541600000</v>
      </c>
      <c r="E248" s="78">
        <v>725550000</v>
      </c>
      <c r="F248" s="78">
        <v>763000000</v>
      </c>
      <c r="G248" s="78">
        <v>49199</v>
      </c>
      <c r="H248" s="78">
        <v>2</v>
      </c>
      <c r="I248" s="78">
        <v>763</v>
      </c>
      <c r="J248" s="78">
        <v>9394</v>
      </c>
      <c r="K248" s="78">
        <v>11273</v>
      </c>
      <c r="L248" s="78">
        <v>3879</v>
      </c>
      <c r="M248" s="78">
        <v>7528</v>
      </c>
      <c r="N248" s="78">
        <v>5077.1000000000004</v>
      </c>
      <c r="O248" s="78">
        <v>1213</v>
      </c>
      <c r="P248" s="78">
        <v>52</v>
      </c>
      <c r="Q248" s="78">
        <v>3473</v>
      </c>
      <c r="R248" s="78">
        <v>9729</v>
      </c>
      <c r="S248" s="78">
        <v>2465</v>
      </c>
      <c r="T248" s="78">
        <v>0</v>
      </c>
      <c r="U248" s="78">
        <v>1716</v>
      </c>
      <c r="V248" s="78">
        <v>24332</v>
      </c>
      <c r="W248" s="78">
        <v>55080</v>
      </c>
      <c r="X248" s="78">
        <v>69650</v>
      </c>
      <c r="Y248" s="78">
        <v>1696.84</v>
      </c>
      <c r="Z248" s="78">
        <v>3246.4</v>
      </c>
      <c r="AA248" s="78">
        <v>0</v>
      </c>
      <c r="AB248" s="399">
        <v>0</v>
      </c>
      <c r="AC248" s="399">
        <v>0</v>
      </c>
      <c r="AD248" s="78">
        <v>4834</v>
      </c>
      <c r="AE248" s="78">
        <v>5220.72</v>
      </c>
      <c r="AF248" s="78">
        <v>470</v>
      </c>
      <c r="AG248" s="78">
        <v>0</v>
      </c>
      <c r="AH248" s="78">
        <v>259</v>
      </c>
      <c r="AI248" s="78">
        <v>27</v>
      </c>
      <c r="AJ248" s="78">
        <v>290.08</v>
      </c>
      <c r="AK248" s="78">
        <v>28.62</v>
      </c>
      <c r="AL248" s="78">
        <v>285</v>
      </c>
      <c r="AM248" s="78">
        <v>24509</v>
      </c>
      <c r="AN248" s="78">
        <v>27450.080000000002</v>
      </c>
      <c r="AO248" s="78">
        <v>0</v>
      </c>
      <c r="AP248" s="78">
        <v>0</v>
      </c>
      <c r="AQ248" s="78">
        <v>77</v>
      </c>
      <c r="AR248" s="78">
        <v>8700</v>
      </c>
      <c r="AS248" s="78">
        <v>4287</v>
      </c>
      <c r="AT248" s="78">
        <v>4287</v>
      </c>
      <c r="AU248" s="400">
        <v>3.8971890000000001E-3</v>
      </c>
      <c r="AV248" s="400">
        <v>2.3647749999999999E-3</v>
      </c>
      <c r="AW248" s="78">
        <v>43013.294999999998</v>
      </c>
      <c r="AX248" s="78">
        <v>0</v>
      </c>
      <c r="AY248" s="78">
        <v>1895.4</v>
      </c>
      <c r="AZ248" s="78">
        <v>24213.254457013601</v>
      </c>
      <c r="BA248" s="78">
        <v>5</v>
      </c>
      <c r="BB248" s="78">
        <v>5.3</v>
      </c>
      <c r="BC248" s="78">
        <v>5310</v>
      </c>
      <c r="BD248" s="78">
        <v>1</v>
      </c>
      <c r="BE248" s="78">
        <v>0</v>
      </c>
      <c r="BF248" s="78">
        <v>0</v>
      </c>
      <c r="BG248" s="78">
        <v>0</v>
      </c>
      <c r="BH248" s="78">
        <v>0</v>
      </c>
      <c r="BI248" s="78">
        <v>0</v>
      </c>
      <c r="BJ248" s="78">
        <v>0</v>
      </c>
      <c r="BK248" s="78">
        <v>0</v>
      </c>
      <c r="BL248" s="78">
        <v>0</v>
      </c>
      <c r="BM248" s="78">
        <v>1268.19</v>
      </c>
      <c r="BN248" s="78">
        <v>196</v>
      </c>
      <c r="BO248" s="78">
        <v>186</v>
      </c>
      <c r="BP248" s="78">
        <v>14759.64</v>
      </c>
      <c r="BQ248" s="78">
        <v>3022.2</v>
      </c>
      <c r="BR248" s="78">
        <v>433.07701449275402</v>
      </c>
      <c r="BS248" s="78">
        <v>682</v>
      </c>
      <c r="BT248" s="78">
        <v>364.66666666666703</v>
      </c>
      <c r="BU248" s="78">
        <v>330</v>
      </c>
      <c r="BV248" s="78">
        <v>2260</v>
      </c>
      <c r="BW248" s="78">
        <v>693</v>
      </c>
      <c r="BX248" s="78">
        <v>7620.7205228331004</v>
      </c>
      <c r="BY248" s="402">
        <v>3.5409999999999999</v>
      </c>
      <c r="BZ248" s="78">
        <v>37926</v>
      </c>
      <c r="CA248" s="78">
        <v>6060</v>
      </c>
      <c r="CB248" s="78">
        <v>1334</v>
      </c>
      <c r="CC248" s="78">
        <v>1555</v>
      </c>
      <c r="CD248" s="78">
        <v>1313</v>
      </c>
      <c r="CE248" s="78">
        <v>692</v>
      </c>
      <c r="CF248" s="78">
        <v>801.68007670651605</v>
      </c>
      <c r="CG248" s="78">
        <v>564.69764576278101</v>
      </c>
      <c r="CH248" s="78">
        <v>200.109290464727</v>
      </c>
      <c r="CI248" s="78">
        <v>1815.8040000000001</v>
      </c>
      <c r="CJ248" s="78">
        <v>1279.0391999999999</v>
      </c>
      <c r="CK248" s="78">
        <v>453.24720000000002</v>
      </c>
      <c r="CL248" s="78">
        <v>168902</v>
      </c>
    </row>
    <row r="249" spans="1:90" x14ac:dyDescent="0.35">
      <c r="A249" s="72">
        <v>1695</v>
      </c>
      <c r="B249" s="72" t="s">
        <v>218</v>
      </c>
      <c r="C249" s="72">
        <v>9</v>
      </c>
      <c r="D249" s="78">
        <v>1331600000</v>
      </c>
      <c r="E249" s="78">
        <v>168700000</v>
      </c>
      <c r="F249" s="78">
        <v>191800000</v>
      </c>
      <c r="G249" s="78">
        <v>7668</v>
      </c>
      <c r="H249" s="78">
        <v>5</v>
      </c>
      <c r="I249" s="78">
        <v>191.8</v>
      </c>
      <c r="J249" s="78">
        <v>1084</v>
      </c>
      <c r="K249" s="78">
        <v>2210</v>
      </c>
      <c r="L249" s="78">
        <v>755</v>
      </c>
      <c r="M249" s="78">
        <v>1188</v>
      </c>
      <c r="N249" s="78">
        <v>542.09999999999991</v>
      </c>
      <c r="O249" s="78">
        <v>104.666666666667</v>
      </c>
      <c r="P249" s="78">
        <v>6</v>
      </c>
      <c r="Q249" s="78">
        <v>446.66666666666703</v>
      </c>
      <c r="R249" s="78">
        <v>1408</v>
      </c>
      <c r="S249" s="78">
        <v>105</v>
      </c>
      <c r="T249" s="78">
        <v>0</v>
      </c>
      <c r="U249" s="78">
        <v>185</v>
      </c>
      <c r="V249" s="78">
        <v>3853</v>
      </c>
      <c r="W249" s="78">
        <v>5470</v>
      </c>
      <c r="X249" s="78">
        <v>480</v>
      </c>
      <c r="Y249" s="78">
        <v>0</v>
      </c>
      <c r="Z249" s="78">
        <v>0</v>
      </c>
      <c r="AA249" s="78">
        <v>0</v>
      </c>
      <c r="AB249" s="399">
        <v>0</v>
      </c>
      <c r="AC249" s="399">
        <v>0</v>
      </c>
      <c r="AD249" s="78">
        <v>8601</v>
      </c>
      <c r="AE249" s="78">
        <v>9461.1</v>
      </c>
      <c r="AF249" s="78">
        <v>722</v>
      </c>
      <c r="AG249" s="78">
        <v>2835</v>
      </c>
      <c r="AH249" s="78">
        <v>73</v>
      </c>
      <c r="AI249" s="78">
        <v>33</v>
      </c>
      <c r="AJ249" s="78">
        <v>78.84</v>
      </c>
      <c r="AK249" s="78">
        <v>36.630000000000003</v>
      </c>
      <c r="AL249" s="78">
        <v>107</v>
      </c>
      <c r="AM249" s="78">
        <v>6459</v>
      </c>
      <c r="AN249" s="78">
        <v>6975.72</v>
      </c>
      <c r="AO249" s="78">
        <v>0</v>
      </c>
      <c r="AP249" s="78">
        <v>0</v>
      </c>
      <c r="AQ249" s="78">
        <v>0</v>
      </c>
      <c r="AR249" s="78">
        <v>0</v>
      </c>
      <c r="AS249" s="78">
        <v>0</v>
      </c>
      <c r="AT249" s="78">
        <v>0</v>
      </c>
      <c r="AU249" s="400">
        <v>5.3019199999999997E-4</v>
      </c>
      <c r="AV249" s="400">
        <v>1.0336900000000001E-4</v>
      </c>
      <c r="AW249" s="78">
        <v>1556.6189999999999</v>
      </c>
      <c r="AX249" s="78">
        <v>0</v>
      </c>
      <c r="AY249" s="78">
        <v>1850.2</v>
      </c>
      <c r="AZ249" s="78">
        <v>1706.32122707283</v>
      </c>
      <c r="BA249" s="78">
        <v>11</v>
      </c>
      <c r="BB249" s="78">
        <v>12.21</v>
      </c>
      <c r="BC249" s="78">
        <v>1220</v>
      </c>
      <c r="BD249" s="78">
        <v>1</v>
      </c>
      <c r="BE249" s="78">
        <v>0</v>
      </c>
      <c r="BF249" s="78">
        <v>0</v>
      </c>
      <c r="BG249" s="78">
        <v>0</v>
      </c>
      <c r="BH249" s="78">
        <v>0</v>
      </c>
      <c r="BI249" s="78">
        <v>0</v>
      </c>
      <c r="BJ249" s="78">
        <v>0</v>
      </c>
      <c r="BK249" s="78">
        <v>0</v>
      </c>
      <c r="BL249" s="78">
        <v>0</v>
      </c>
      <c r="BM249" s="78">
        <v>109.48399999999999</v>
      </c>
      <c r="BN249" s="78">
        <v>32</v>
      </c>
      <c r="BO249" s="78">
        <v>16</v>
      </c>
      <c r="BP249" s="78">
        <v>2401.2800000000002</v>
      </c>
      <c r="BQ249" s="78">
        <v>337.08</v>
      </c>
      <c r="BR249" s="78">
        <v>50.119671291355402</v>
      </c>
      <c r="BS249" s="78">
        <v>51</v>
      </c>
      <c r="BT249" s="78">
        <v>22.6666666666667</v>
      </c>
      <c r="BU249" s="78">
        <v>19.3333333333333</v>
      </c>
      <c r="BV249" s="78">
        <v>342</v>
      </c>
      <c r="BW249" s="78">
        <v>52</v>
      </c>
      <c r="BX249" s="78">
        <v>1452.76283339929</v>
      </c>
      <c r="BY249" s="402">
        <v>0.22900000000000001</v>
      </c>
      <c r="BZ249" s="78">
        <v>5458</v>
      </c>
      <c r="CA249" s="78">
        <v>1225</v>
      </c>
      <c r="CB249" s="78">
        <v>230</v>
      </c>
      <c r="CC249" s="78">
        <v>262</v>
      </c>
      <c r="CD249" s="78">
        <v>248</v>
      </c>
      <c r="CE249" s="78">
        <v>94</v>
      </c>
      <c r="CF249" s="78">
        <v>64.709568044588906</v>
      </c>
      <c r="CG249" s="78">
        <v>44.650441244774697</v>
      </c>
      <c r="CH249" s="78">
        <v>11.5822573153739</v>
      </c>
      <c r="CI249" s="78">
        <v>371.31360000000001</v>
      </c>
      <c r="CJ249" s="78">
        <v>256.21120000000002</v>
      </c>
      <c r="CK249" s="78">
        <v>66.460800000000006</v>
      </c>
      <c r="CL249" s="78">
        <v>0</v>
      </c>
    </row>
    <row r="250" spans="1:90" x14ac:dyDescent="0.35">
      <c r="A250" s="72">
        <v>703</v>
      </c>
      <c r="B250" s="72" t="s">
        <v>250</v>
      </c>
      <c r="C250" s="72">
        <v>9</v>
      </c>
      <c r="D250" s="78">
        <v>1699200000</v>
      </c>
      <c r="E250" s="78">
        <v>329700000</v>
      </c>
      <c r="F250" s="78">
        <v>347200000</v>
      </c>
      <c r="G250" s="78">
        <v>22920</v>
      </c>
      <c r="H250" s="78">
        <v>5</v>
      </c>
      <c r="I250" s="78">
        <v>347.2</v>
      </c>
      <c r="J250" s="78">
        <v>5550</v>
      </c>
      <c r="K250" s="78">
        <v>4056</v>
      </c>
      <c r="L250" s="78">
        <v>1344</v>
      </c>
      <c r="M250" s="78">
        <v>2671</v>
      </c>
      <c r="N250" s="78">
        <v>1727</v>
      </c>
      <c r="O250" s="78">
        <v>213.333333333333</v>
      </c>
      <c r="P250" s="78">
        <v>24</v>
      </c>
      <c r="Q250" s="78">
        <v>1007.33333333333</v>
      </c>
      <c r="R250" s="78">
        <v>2979</v>
      </c>
      <c r="S250" s="78">
        <v>485</v>
      </c>
      <c r="T250" s="78">
        <v>0</v>
      </c>
      <c r="U250" s="78">
        <v>478</v>
      </c>
      <c r="V250" s="78">
        <v>9435</v>
      </c>
      <c r="W250" s="78">
        <v>21270</v>
      </c>
      <c r="X250" s="78">
        <v>5460</v>
      </c>
      <c r="Y250" s="78">
        <v>150.47999999999999</v>
      </c>
      <c r="Z250" s="78">
        <v>724.8</v>
      </c>
      <c r="AA250" s="78">
        <v>0</v>
      </c>
      <c r="AB250" s="399">
        <v>0</v>
      </c>
      <c r="AC250" s="399">
        <v>0</v>
      </c>
      <c r="AD250" s="78">
        <v>10166</v>
      </c>
      <c r="AE250" s="78">
        <v>12199.2</v>
      </c>
      <c r="AF250" s="78">
        <v>1186</v>
      </c>
      <c r="AG250" s="78">
        <v>10000</v>
      </c>
      <c r="AH250" s="78">
        <v>133</v>
      </c>
      <c r="AI250" s="78">
        <v>68</v>
      </c>
      <c r="AJ250" s="78">
        <v>166.25</v>
      </c>
      <c r="AK250" s="78">
        <v>80.92</v>
      </c>
      <c r="AL250" s="78">
        <v>201</v>
      </c>
      <c r="AM250" s="78">
        <v>9440</v>
      </c>
      <c r="AN250" s="78">
        <v>11800</v>
      </c>
      <c r="AO250" s="78">
        <v>0</v>
      </c>
      <c r="AP250" s="78">
        <v>0</v>
      </c>
      <c r="AQ250" s="78">
        <v>0</v>
      </c>
      <c r="AR250" s="78">
        <v>0</v>
      </c>
      <c r="AS250" s="78">
        <v>822</v>
      </c>
      <c r="AT250" s="78">
        <v>0</v>
      </c>
      <c r="AU250" s="400">
        <v>6.4446999999999996E-4</v>
      </c>
      <c r="AV250" s="400">
        <v>2.5352799999999999E-4</v>
      </c>
      <c r="AW250" s="78">
        <v>4918.24</v>
      </c>
      <c r="AX250" s="78">
        <v>0</v>
      </c>
      <c r="AY250" s="78">
        <v>3082.8</v>
      </c>
      <c r="AZ250" s="78">
        <v>9974.8033826638493</v>
      </c>
      <c r="BA250" s="78">
        <v>12</v>
      </c>
      <c r="BB250" s="78">
        <v>14.28</v>
      </c>
      <c r="BC250" s="78">
        <v>2745</v>
      </c>
      <c r="BD250" s="78">
        <v>1</v>
      </c>
      <c r="BE250" s="78">
        <v>0</v>
      </c>
      <c r="BF250" s="78">
        <v>0</v>
      </c>
      <c r="BG250" s="78">
        <v>0</v>
      </c>
      <c r="BH250" s="78">
        <v>0</v>
      </c>
      <c r="BI250" s="78">
        <v>0</v>
      </c>
      <c r="BJ250" s="78">
        <v>0</v>
      </c>
      <c r="BK250" s="78">
        <v>0</v>
      </c>
      <c r="BL250" s="78">
        <v>0</v>
      </c>
      <c r="BM250" s="78">
        <v>405.15</v>
      </c>
      <c r="BN250" s="78">
        <v>218</v>
      </c>
      <c r="BO250" s="78">
        <v>101</v>
      </c>
      <c r="BP250" s="78">
        <v>5920.64</v>
      </c>
      <c r="BQ250" s="78">
        <v>1629.98</v>
      </c>
      <c r="BR250" s="78">
        <v>315.958532423208</v>
      </c>
      <c r="BS250" s="78">
        <v>194</v>
      </c>
      <c r="BT250" s="78">
        <v>72</v>
      </c>
      <c r="BU250" s="78">
        <v>54.6666666666667</v>
      </c>
      <c r="BV250" s="78">
        <v>793.99999999999693</v>
      </c>
      <c r="BW250" s="78">
        <v>182</v>
      </c>
      <c r="BX250" s="78">
        <v>3531.1775681341701</v>
      </c>
      <c r="BY250" s="402">
        <v>0.27300000000000002</v>
      </c>
      <c r="BZ250" s="78">
        <v>18864</v>
      </c>
      <c r="CA250" s="78">
        <v>2187</v>
      </c>
      <c r="CB250" s="78">
        <v>525</v>
      </c>
      <c r="CC250" s="78">
        <v>478</v>
      </c>
      <c r="CD250" s="78">
        <v>419</v>
      </c>
      <c r="CE250" s="78">
        <v>266</v>
      </c>
      <c r="CF250" s="78">
        <v>253.561652542373</v>
      </c>
      <c r="CG250" s="78">
        <v>169.041101694915</v>
      </c>
      <c r="CH250" s="78">
        <v>69.884957627118595</v>
      </c>
      <c r="CI250" s="78">
        <v>673.31880000000001</v>
      </c>
      <c r="CJ250" s="78">
        <v>448.87920000000003</v>
      </c>
      <c r="CK250" s="78">
        <v>185.57560000000001</v>
      </c>
      <c r="CL250" s="78">
        <v>7938</v>
      </c>
    </row>
    <row r="251" spans="1:90" x14ac:dyDescent="0.35">
      <c r="A251" s="72">
        <v>1676</v>
      </c>
      <c r="B251" s="72" t="s">
        <v>269</v>
      </c>
      <c r="C251" s="72">
        <v>9</v>
      </c>
      <c r="D251" s="78">
        <v>4745200000</v>
      </c>
      <c r="E251" s="78">
        <v>625100000</v>
      </c>
      <c r="F251" s="78">
        <v>749700000</v>
      </c>
      <c r="G251" s="78">
        <v>34152</v>
      </c>
      <c r="H251" s="78">
        <v>9</v>
      </c>
      <c r="I251" s="78">
        <v>749.7</v>
      </c>
      <c r="J251" s="78">
        <v>5735</v>
      </c>
      <c r="K251" s="78">
        <v>9605</v>
      </c>
      <c r="L251" s="78">
        <v>3271</v>
      </c>
      <c r="M251" s="78">
        <v>4861</v>
      </c>
      <c r="N251" s="78">
        <v>2639.2</v>
      </c>
      <c r="O251" s="78">
        <v>421</v>
      </c>
      <c r="P251" s="78">
        <v>63</v>
      </c>
      <c r="Q251" s="78">
        <v>1857</v>
      </c>
      <c r="R251" s="78">
        <v>5508</v>
      </c>
      <c r="S251" s="78">
        <v>455</v>
      </c>
      <c r="T251" s="78">
        <v>0</v>
      </c>
      <c r="U251" s="78">
        <v>859</v>
      </c>
      <c r="V251" s="78">
        <v>16186</v>
      </c>
      <c r="W251" s="78">
        <v>33400</v>
      </c>
      <c r="X251" s="78">
        <v>5940</v>
      </c>
      <c r="Y251" s="78">
        <v>148.5</v>
      </c>
      <c r="Z251" s="78">
        <v>625.6</v>
      </c>
      <c r="AA251" s="78">
        <v>0</v>
      </c>
      <c r="AB251" s="399">
        <v>0</v>
      </c>
      <c r="AC251" s="399">
        <v>0</v>
      </c>
      <c r="AD251" s="78">
        <v>22915</v>
      </c>
      <c r="AE251" s="78">
        <v>24060.75</v>
      </c>
      <c r="AF251" s="78">
        <v>7271</v>
      </c>
      <c r="AG251" s="78">
        <v>10000</v>
      </c>
      <c r="AH251" s="78">
        <v>248</v>
      </c>
      <c r="AI251" s="78">
        <v>112</v>
      </c>
      <c r="AJ251" s="78">
        <v>262.88</v>
      </c>
      <c r="AK251" s="78">
        <v>117.6</v>
      </c>
      <c r="AL251" s="78">
        <v>359</v>
      </c>
      <c r="AM251" s="78">
        <v>22218</v>
      </c>
      <c r="AN251" s="78">
        <v>23551.08</v>
      </c>
      <c r="AO251" s="78">
        <v>10</v>
      </c>
      <c r="AP251" s="78">
        <v>46</v>
      </c>
      <c r="AQ251" s="78">
        <v>0</v>
      </c>
      <c r="AR251" s="78">
        <v>6500</v>
      </c>
      <c r="AS251" s="78">
        <v>2425</v>
      </c>
      <c r="AT251" s="78">
        <v>1819</v>
      </c>
      <c r="AU251" s="400">
        <v>2.0994310000000001E-3</v>
      </c>
      <c r="AV251" s="400">
        <v>5.4060000000000002E-4</v>
      </c>
      <c r="AW251" s="78">
        <v>10909.038</v>
      </c>
      <c r="AX251" s="78">
        <v>0</v>
      </c>
      <c r="AY251" s="78">
        <v>7629.3</v>
      </c>
      <c r="AZ251" s="78">
        <v>9349.2033392963604</v>
      </c>
      <c r="BA251" s="78">
        <v>24</v>
      </c>
      <c r="BB251" s="78">
        <v>25.2</v>
      </c>
      <c r="BC251" s="78">
        <v>5205</v>
      </c>
      <c r="BD251" s="78">
        <v>1</v>
      </c>
      <c r="BE251" s="78">
        <v>0</v>
      </c>
      <c r="BF251" s="78">
        <v>0</v>
      </c>
      <c r="BG251" s="78">
        <v>0</v>
      </c>
      <c r="BH251" s="78">
        <v>0</v>
      </c>
      <c r="BI251" s="78">
        <v>0</v>
      </c>
      <c r="BJ251" s="78">
        <v>0</v>
      </c>
      <c r="BK251" s="78">
        <v>0</v>
      </c>
      <c r="BL251" s="78">
        <v>0</v>
      </c>
      <c r="BM251" s="78">
        <v>562.03</v>
      </c>
      <c r="BN251" s="78">
        <v>160</v>
      </c>
      <c r="BO251" s="78">
        <v>105</v>
      </c>
      <c r="BP251" s="78">
        <v>11240.72</v>
      </c>
      <c r="BQ251" s="78">
        <v>2060.52</v>
      </c>
      <c r="BR251" s="78">
        <v>231.868641948223</v>
      </c>
      <c r="BS251" s="78">
        <v>302</v>
      </c>
      <c r="BT251" s="78">
        <v>121.666666666667</v>
      </c>
      <c r="BU251" s="78">
        <v>98</v>
      </c>
      <c r="BV251" s="78">
        <v>1436</v>
      </c>
      <c r="BW251" s="78">
        <v>311</v>
      </c>
      <c r="BX251" s="78">
        <v>7073.2185645090303</v>
      </c>
      <c r="BY251" s="402">
        <v>0.82399999999999995</v>
      </c>
      <c r="BZ251" s="78">
        <v>24547</v>
      </c>
      <c r="CA251" s="78">
        <v>5115</v>
      </c>
      <c r="CB251" s="78">
        <v>1219</v>
      </c>
      <c r="CC251" s="78">
        <v>1044</v>
      </c>
      <c r="CD251" s="78">
        <v>1049</v>
      </c>
      <c r="CE251" s="78">
        <v>601</v>
      </c>
      <c r="CF251" s="78">
        <v>376.078278872986</v>
      </c>
      <c r="CG251" s="78">
        <v>271.07095148078099</v>
      </c>
      <c r="CH251" s="78">
        <v>104.888540822756</v>
      </c>
      <c r="CI251" s="78">
        <v>1325.2876000000001</v>
      </c>
      <c r="CJ251" s="78">
        <v>955.24519999999995</v>
      </c>
      <c r="CK251" s="78">
        <v>369.62380000000002</v>
      </c>
      <c r="CL251" s="78">
        <v>19845</v>
      </c>
    </row>
    <row r="252" spans="1:90" x14ac:dyDescent="0.35">
      <c r="A252" s="72">
        <v>1714</v>
      </c>
      <c r="B252" s="72" t="s">
        <v>277</v>
      </c>
      <c r="C252" s="72">
        <v>9</v>
      </c>
      <c r="D252" s="78">
        <v>3912800000</v>
      </c>
      <c r="E252" s="78">
        <v>417900000</v>
      </c>
      <c r="F252" s="78">
        <v>469000000</v>
      </c>
      <c r="G252" s="78">
        <v>23141</v>
      </c>
      <c r="H252" s="78">
        <v>10</v>
      </c>
      <c r="I252" s="78">
        <v>469</v>
      </c>
      <c r="J252" s="78">
        <v>3518</v>
      </c>
      <c r="K252" s="78">
        <v>6803</v>
      </c>
      <c r="L252" s="78">
        <v>2335</v>
      </c>
      <c r="M252" s="78">
        <v>3791</v>
      </c>
      <c r="N252" s="78">
        <v>1958.3</v>
      </c>
      <c r="O252" s="78">
        <v>257</v>
      </c>
      <c r="P252" s="78">
        <v>20</v>
      </c>
      <c r="Q252" s="78">
        <v>1249</v>
      </c>
      <c r="R252" s="78">
        <v>4268</v>
      </c>
      <c r="S252" s="78">
        <v>385</v>
      </c>
      <c r="T252" s="78">
        <v>0</v>
      </c>
      <c r="U252" s="78">
        <v>614</v>
      </c>
      <c r="V252" s="78">
        <v>11549</v>
      </c>
      <c r="W252" s="78">
        <v>20690</v>
      </c>
      <c r="X252" s="78">
        <v>8150</v>
      </c>
      <c r="Y252" s="78">
        <v>0</v>
      </c>
      <c r="Z252" s="78">
        <v>577.6</v>
      </c>
      <c r="AA252" s="78">
        <v>0</v>
      </c>
      <c r="AB252" s="399">
        <v>0</v>
      </c>
      <c r="AC252" s="399">
        <v>0</v>
      </c>
      <c r="AD252" s="78">
        <v>27895</v>
      </c>
      <c r="AE252" s="78">
        <v>28452.9</v>
      </c>
      <c r="AF252" s="78">
        <v>483</v>
      </c>
      <c r="AG252" s="78">
        <v>2339</v>
      </c>
      <c r="AH252" s="78">
        <v>208</v>
      </c>
      <c r="AI252" s="78">
        <v>121</v>
      </c>
      <c r="AJ252" s="78">
        <v>212.16</v>
      </c>
      <c r="AK252" s="78">
        <v>123.42</v>
      </c>
      <c r="AL252" s="78">
        <v>329</v>
      </c>
      <c r="AM252" s="78">
        <v>18327</v>
      </c>
      <c r="AN252" s="78">
        <v>18693.54</v>
      </c>
      <c r="AO252" s="78">
        <v>24</v>
      </c>
      <c r="AP252" s="78">
        <v>0</v>
      </c>
      <c r="AQ252" s="78">
        <v>0</v>
      </c>
      <c r="AR252" s="78">
        <v>7800</v>
      </c>
      <c r="AS252" s="78">
        <v>1274</v>
      </c>
      <c r="AT252" s="78">
        <v>0</v>
      </c>
      <c r="AU252" s="400">
        <v>1.3058499999999999E-3</v>
      </c>
      <c r="AV252" s="400">
        <v>5.7956200000000005E-4</v>
      </c>
      <c r="AW252" s="78">
        <v>7935.5910000000003</v>
      </c>
      <c r="AX252" s="78">
        <v>0</v>
      </c>
      <c r="AY252" s="78">
        <v>5494.74</v>
      </c>
      <c r="AZ252" s="78">
        <v>4480.7166939178196</v>
      </c>
      <c r="BA252" s="78">
        <v>23</v>
      </c>
      <c r="BB252" s="78">
        <v>23.46</v>
      </c>
      <c r="BC252" s="78">
        <v>3320</v>
      </c>
      <c r="BD252" s="78">
        <v>1</v>
      </c>
      <c r="BE252" s="78">
        <v>0</v>
      </c>
      <c r="BF252" s="78">
        <v>0</v>
      </c>
      <c r="BG252" s="78">
        <v>0</v>
      </c>
      <c r="BH252" s="78">
        <v>0</v>
      </c>
      <c r="BI252" s="78">
        <v>0</v>
      </c>
      <c r="BJ252" s="78">
        <v>0</v>
      </c>
      <c r="BK252" s="78">
        <v>0</v>
      </c>
      <c r="BL252" s="78">
        <v>0</v>
      </c>
      <c r="BM252" s="78">
        <v>397.53399999999999</v>
      </c>
      <c r="BN252" s="78">
        <v>93</v>
      </c>
      <c r="BO252" s="78">
        <v>39</v>
      </c>
      <c r="BP252" s="78">
        <v>7336.55</v>
      </c>
      <c r="BQ252" s="78">
        <v>1341.12</v>
      </c>
      <c r="BR252" s="78">
        <v>71.230651911468797</v>
      </c>
      <c r="BS252" s="78">
        <v>197</v>
      </c>
      <c r="BT252" s="78">
        <v>59.6666666666667</v>
      </c>
      <c r="BU252" s="78">
        <v>48.6666666666667</v>
      </c>
      <c r="BV252" s="78">
        <v>992</v>
      </c>
      <c r="BW252" s="78">
        <v>221</v>
      </c>
      <c r="BX252" s="78">
        <v>4684.0196961063602</v>
      </c>
      <c r="BY252" s="402">
        <v>0.65500000000000003</v>
      </c>
      <c r="BZ252" s="78">
        <v>16338</v>
      </c>
      <c r="CA252" s="78">
        <v>3609</v>
      </c>
      <c r="CB252" s="78">
        <v>859</v>
      </c>
      <c r="CC252" s="78">
        <v>813</v>
      </c>
      <c r="CD252" s="78">
        <v>803</v>
      </c>
      <c r="CE252" s="78">
        <v>444</v>
      </c>
      <c r="CF252" s="78">
        <v>240.09931248976901</v>
      </c>
      <c r="CG252" s="78">
        <v>175.55993343154901</v>
      </c>
      <c r="CH252" s="78">
        <v>69.561483057783605</v>
      </c>
      <c r="CI252" s="78">
        <v>1054.2924</v>
      </c>
      <c r="CJ252" s="78">
        <v>770.89559999999994</v>
      </c>
      <c r="CK252" s="78">
        <v>305.44920000000002</v>
      </c>
      <c r="CL252" s="78">
        <v>17596</v>
      </c>
    </row>
    <row r="253" spans="1:90" x14ac:dyDescent="0.35">
      <c r="A253" s="72">
        <v>715</v>
      </c>
      <c r="B253" s="72" t="s">
        <v>290</v>
      </c>
      <c r="C253" s="72">
        <v>9</v>
      </c>
      <c r="D253" s="78">
        <v>4458400000</v>
      </c>
      <c r="E253" s="78">
        <v>1385650000</v>
      </c>
      <c r="F253" s="78">
        <v>1430450000</v>
      </c>
      <c r="G253" s="78">
        <v>54501</v>
      </c>
      <c r="H253" s="78">
        <v>9</v>
      </c>
      <c r="I253" s="78">
        <v>1430.45</v>
      </c>
      <c r="J253" s="78">
        <v>9164</v>
      </c>
      <c r="K253" s="78">
        <v>13864</v>
      </c>
      <c r="L253" s="78">
        <v>4907</v>
      </c>
      <c r="M253" s="78">
        <v>8532</v>
      </c>
      <c r="N253" s="78">
        <v>5793.6</v>
      </c>
      <c r="O253" s="78">
        <v>1032</v>
      </c>
      <c r="P253" s="78">
        <v>95</v>
      </c>
      <c r="Q253" s="78">
        <v>4037</v>
      </c>
      <c r="R253" s="78">
        <v>9809</v>
      </c>
      <c r="S253" s="78">
        <v>2800</v>
      </c>
      <c r="T253" s="78">
        <v>0</v>
      </c>
      <c r="U253" s="78">
        <v>1809</v>
      </c>
      <c r="V253" s="78">
        <v>26684</v>
      </c>
      <c r="W253" s="78">
        <v>55450</v>
      </c>
      <c r="X253" s="78">
        <v>50650</v>
      </c>
      <c r="Y253" s="78">
        <v>1308.04</v>
      </c>
      <c r="Z253" s="78">
        <v>1809.6</v>
      </c>
      <c r="AA253" s="78">
        <v>0</v>
      </c>
      <c r="AB253" s="399">
        <v>0</v>
      </c>
      <c r="AC253" s="399">
        <v>0</v>
      </c>
      <c r="AD253" s="78">
        <v>24992</v>
      </c>
      <c r="AE253" s="78">
        <v>24992</v>
      </c>
      <c r="AF253" s="78">
        <v>1291</v>
      </c>
      <c r="AG253" s="78">
        <v>5492</v>
      </c>
      <c r="AH253" s="78">
        <v>318</v>
      </c>
      <c r="AI253" s="78">
        <v>205</v>
      </c>
      <c r="AJ253" s="78">
        <v>321.18</v>
      </c>
      <c r="AK253" s="78">
        <v>205</v>
      </c>
      <c r="AL253" s="78">
        <v>523</v>
      </c>
      <c r="AM253" s="78">
        <v>27384</v>
      </c>
      <c r="AN253" s="78">
        <v>27657.84</v>
      </c>
      <c r="AO253" s="78">
        <v>13</v>
      </c>
      <c r="AP253" s="78">
        <v>0</v>
      </c>
      <c r="AQ253" s="78">
        <v>0</v>
      </c>
      <c r="AR253" s="78">
        <v>3000</v>
      </c>
      <c r="AS253" s="78">
        <v>3331</v>
      </c>
      <c r="AT253" s="78">
        <v>1539</v>
      </c>
      <c r="AU253" s="400">
        <v>2.6003659999999998E-3</v>
      </c>
      <c r="AV253" s="400">
        <v>1.7233699999999999E-3</v>
      </c>
      <c r="AW253" s="78">
        <v>23988.383999999998</v>
      </c>
      <c r="AX253" s="78">
        <v>0</v>
      </c>
      <c r="AY253" s="78">
        <v>5213</v>
      </c>
      <c r="AZ253" s="78">
        <v>11025.446752653799</v>
      </c>
      <c r="BA253" s="78">
        <v>26</v>
      </c>
      <c r="BB253" s="78">
        <v>26</v>
      </c>
      <c r="BC253" s="78">
        <v>5195</v>
      </c>
      <c r="BD253" s="78">
        <v>1</v>
      </c>
      <c r="BE253" s="78">
        <v>0</v>
      </c>
      <c r="BF253" s="78">
        <v>0</v>
      </c>
      <c r="BG253" s="78">
        <v>0</v>
      </c>
      <c r="BH253" s="78">
        <v>0</v>
      </c>
      <c r="BI253" s="78">
        <v>0</v>
      </c>
      <c r="BJ253" s="78">
        <v>0</v>
      </c>
      <c r="BK253" s="78">
        <v>0</v>
      </c>
      <c r="BL253" s="78">
        <v>0</v>
      </c>
      <c r="BM253" s="78">
        <v>1255.4680000000001</v>
      </c>
      <c r="BN253" s="78">
        <v>254</v>
      </c>
      <c r="BO253" s="78">
        <v>195</v>
      </c>
      <c r="BP253" s="78">
        <v>16636.8</v>
      </c>
      <c r="BQ253" s="78">
        <v>3228.96</v>
      </c>
      <c r="BR253" s="78">
        <v>381.66860904044398</v>
      </c>
      <c r="BS253" s="78">
        <v>667</v>
      </c>
      <c r="BT253" s="78">
        <v>279.66666666666703</v>
      </c>
      <c r="BU253" s="78">
        <v>270.66666666666703</v>
      </c>
      <c r="BV253" s="78">
        <v>3005</v>
      </c>
      <c r="BW253" s="78">
        <v>657</v>
      </c>
      <c r="BX253" s="78">
        <v>10996.106869617901</v>
      </c>
      <c r="BY253" s="402">
        <v>2.2370000000000001</v>
      </c>
      <c r="BZ253" s="78">
        <v>40637</v>
      </c>
      <c r="CA253" s="78">
        <v>7217</v>
      </c>
      <c r="CB253" s="78">
        <v>1740</v>
      </c>
      <c r="CC253" s="78">
        <v>1621</v>
      </c>
      <c r="CD253" s="78">
        <v>1653</v>
      </c>
      <c r="CE253" s="78">
        <v>844</v>
      </c>
      <c r="CF253" s="78">
        <v>944.65468886941301</v>
      </c>
      <c r="CG253" s="78">
        <v>722.50744960560905</v>
      </c>
      <c r="CH253" s="78">
        <v>261.92217353198902</v>
      </c>
      <c r="CI253" s="78">
        <v>2169.0970000000002</v>
      </c>
      <c r="CJ253" s="78">
        <v>1659.0070000000001</v>
      </c>
      <c r="CK253" s="78">
        <v>601.42039999999997</v>
      </c>
      <c r="CL253" s="78">
        <v>34772</v>
      </c>
    </row>
    <row r="254" spans="1:90" x14ac:dyDescent="0.35">
      <c r="A254" s="72">
        <v>716</v>
      </c>
      <c r="B254" s="72" t="s">
        <v>294</v>
      </c>
      <c r="C254" s="72">
        <v>9</v>
      </c>
      <c r="D254" s="78">
        <v>2048800000</v>
      </c>
      <c r="E254" s="78">
        <v>305550000</v>
      </c>
      <c r="F254" s="78">
        <v>343000000</v>
      </c>
      <c r="G254" s="78">
        <v>26401</v>
      </c>
      <c r="H254" s="78">
        <v>7</v>
      </c>
      <c r="I254" s="78">
        <v>343</v>
      </c>
      <c r="J254" s="78">
        <v>5740</v>
      </c>
      <c r="K254" s="78">
        <v>5179</v>
      </c>
      <c r="L254" s="78">
        <v>1804</v>
      </c>
      <c r="M254" s="78">
        <v>3291</v>
      </c>
      <c r="N254" s="78">
        <v>2117</v>
      </c>
      <c r="O254" s="78">
        <v>297.66666666666703</v>
      </c>
      <c r="P254" s="78">
        <v>47</v>
      </c>
      <c r="Q254" s="78">
        <v>1435.6666666666699</v>
      </c>
      <c r="R254" s="78">
        <v>3258</v>
      </c>
      <c r="S254" s="78">
        <v>550</v>
      </c>
      <c r="T254" s="78">
        <v>0</v>
      </c>
      <c r="U254" s="78">
        <v>627</v>
      </c>
      <c r="V254" s="78">
        <v>11122</v>
      </c>
      <c r="W254" s="78">
        <v>23560</v>
      </c>
      <c r="X254" s="78">
        <v>2790</v>
      </c>
      <c r="Y254" s="78">
        <v>141.02000000000001</v>
      </c>
      <c r="Z254" s="78">
        <v>222.4</v>
      </c>
      <c r="AA254" s="78">
        <v>0</v>
      </c>
      <c r="AB254" s="399">
        <v>0</v>
      </c>
      <c r="AC254" s="399">
        <v>0</v>
      </c>
      <c r="AD254" s="78">
        <v>14674</v>
      </c>
      <c r="AE254" s="78">
        <v>17902.28</v>
      </c>
      <c r="AF254" s="78">
        <v>1553</v>
      </c>
      <c r="AG254" s="78">
        <v>9173</v>
      </c>
      <c r="AH254" s="78">
        <v>167</v>
      </c>
      <c r="AI254" s="78">
        <v>77</v>
      </c>
      <c r="AJ254" s="78">
        <v>218.77</v>
      </c>
      <c r="AK254" s="78">
        <v>93.94</v>
      </c>
      <c r="AL254" s="78">
        <v>244</v>
      </c>
      <c r="AM254" s="78">
        <v>11740</v>
      </c>
      <c r="AN254" s="78">
        <v>15379.4</v>
      </c>
      <c r="AO254" s="78">
        <v>16</v>
      </c>
      <c r="AP254" s="78">
        <v>0</v>
      </c>
      <c r="AQ254" s="78">
        <v>0</v>
      </c>
      <c r="AR254" s="78">
        <v>1300</v>
      </c>
      <c r="AS254" s="78">
        <v>1288</v>
      </c>
      <c r="AT254" s="78">
        <v>669</v>
      </c>
      <c r="AU254" s="400">
        <v>9.7933099999999995E-4</v>
      </c>
      <c r="AV254" s="400">
        <v>2.2477799999999999E-4</v>
      </c>
      <c r="AW254" s="78">
        <v>5799.56</v>
      </c>
      <c r="AX254" s="78">
        <v>0</v>
      </c>
      <c r="AY254" s="78">
        <v>4490.82</v>
      </c>
      <c r="AZ254" s="78">
        <v>14654.6293991496</v>
      </c>
      <c r="BA254" s="78">
        <v>11</v>
      </c>
      <c r="BB254" s="78">
        <v>13.42</v>
      </c>
      <c r="BC254" s="78">
        <v>3090</v>
      </c>
      <c r="BD254" s="78">
        <v>1</v>
      </c>
      <c r="BE254" s="78">
        <v>0</v>
      </c>
      <c r="BF254" s="78">
        <v>0</v>
      </c>
      <c r="BG254" s="78">
        <v>0</v>
      </c>
      <c r="BH254" s="78">
        <v>0</v>
      </c>
      <c r="BI254" s="78">
        <v>0</v>
      </c>
      <c r="BJ254" s="78">
        <v>0</v>
      </c>
      <c r="BK254" s="78">
        <v>0</v>
      </c>
      <c r="BL254" s="78">
        <v>0</v>
      </c>
      <c r="BM254" s="78">
        <v>522.34</v>
      </c>
      <c r="BN254" s="78">
        <v>172</v>
      </c>
      <c r="BO254" s="78">
        <v>40</v>
      </c>
      <c r="BP254" s="78">
        <v>6710.26</v>
      </c>
      <c r="BQ254" s="78">
        <v>1743.38</v>
      </c>
      <c r="BR254" s="78">
        <v>320.99846153846198</v>
      </c>
      <c r="BS254" s="78">
        <v>254</v>
      </c>
      <c r="BT254" s="78">
        <v>81</v>
      </c>
      <c r="BU254" s="78">
        <v>73.6666666666667</v>
      </c>
      <c r="BV254" s="78">
        <v>1138.000000000003</v>
      </c>
      <c r="BW254" s="78">
        <v>277</v>
      </c>
      <c r="BX254" s="78">
        <v>4672.7290320107304</v>
      </c>
      <c r="BY254" s="402">
        <v>0.46100000000000002</v>
      </c>
      <c r="BZ254" s="78">
        <v>21222</v>
      </c>
      <c r="CA254" s="78">
        <v>2824</v>
      </c>
      <c r="CB254" s="78">
        <v>551</v>
      </c>
      <c r="CC254" s="78">
        <v>576</v>
      </c>
      <c r="CD254" s="78">
        <v>561</v>
      </c>
      <c r="CE254" s="78">
        <v>279</v>
      </c>
      <c r="CF254" s="78">
        <v>318.631942078365</v>
      </c>
      <c r="CG254" s="78">
        <v>222.69974446337301</v>
      </c>
      <c r="CH254" s="78">
        <v>70.686882453151597</v>
      </c>
      <c r="CI254" s="78">
        <v>896.57579999999996</v>
      </c>
      <c r="CJ254" s="78">
        <v>626.63900000000001</v>
      </c>
      <c r="CK254" s="78">
        <v>198.9008</v>
      </c>
      <c r="CL254" s="78">
        <v>7938</v>
      </c>
    </row>
    <row r="255" spans="1:90" x14ac:dyDescent="0.35">
      <c r="A255" s="72">
        <v>717</v>
      </c>
      <c r="B255" s="72" t="s">
        <v>312</v>
      </c>
      <c r="C255" s="72">
        <v>9</v>
      </c>
      <c r="D255" s="78">
        <v>3852400000</v>
      </c>
      <c r="E255" s="78">
        <v>454650000</v>
      </c>
      <c r="F255" s="78">
        <v>548450000</v>
      </c>
      <c r="G255" s="78">
        <v>21850</v>
      </c>
      <c r="H255" s="78">
        <v>10</v>
      </c>
      <c r="I255" s="78">
        <v>548.45000000000005</v>
      </c>
      <c r="J255" s="78">
        <v>3981</v>
      </c>
      <c r="K255" s="78">
        <v>6147</v>
      </c>
      <c r="L255" s="78">
        <v>2071</v>
      </c>
      <c r="M255" s="78">
        <v>2449</v>
      </c>
      <c r="N255" s="78">
        <v>929.59999999999991</v>
      </c>
      <c r="O255" s="78">
        <v>155</v>
      </c>
      <c r="P255" s="78">
        <v>21</v>
      </c>
      <c r="Q255" s="78">
        <v>796</v>
      </c>
      <c r="R255" s="78">
        <v>3003</v>
      </c>
      <c r="S255" s="78">
        <v>210</v>
      </c>
      <c r="T255" s="78">
        <v>0</v>
      </c>
      <c r="U255" s="78">
        <v>391</v>
      </c>
      <c r="V255" s="78">
        <v>9832</v>
      </c>
      <c r="W255" s="78">
        <v>15630</v>
      </c>
      <c r="X255" s="78">
        <v>3210</v>
      </c>
      <c r="Y255" s="78">
        <v>0</v>
      </c>
      <c r="Z255" s="78">
        <v>0</v>
      </c>
      <c r="AA255" s="78">
        <v>0</v>
      </c>
      <c r="AB255" s="399">
        <v>0</v>
      </c>
      <c r="AC255" s="399">
        <v>0</v>
      </c>
      <c r="AD255" s="78">
        <v>13294</v>
      </c>
      <c r="AE255" s="78">
        <v>14357.52</v>
      </c>
      <c r="AF255" s="78">
        <v>1199</v>
      </c>
      <c r="AG255" s="78">
        <v>6162</v>
      </c>
      <c r="AH255" s="78">
        <v>165</v>
      </c>
      <c r="AI255" s="78">
        <v>73</v>
      </c>
      <c r="AJ255" s="78">
        <v>181.5</v>
      </c>
      <c r="AK255" s="78">
        <v>78.84</v>
      </c>
      <c r="AL255" s="78">
        <v>237</v>
      </c>
      <c r="AM255" s="78">
        <v>15194</v>
      </c>
      <c r="AN255" s="78">
        <v>16713.400000000001</v>
      </c>
      <c r="AO255" s="78">
        <v>14</v>
      </c>
      <c r="AP255" s="78">
        <v>0</v>
      </c>
      <c r="AQ255" s="78">
        <v>0</v>
      </c>
      <c r="AR255" s="78">
        <v>3200</v>
      </c>
      <c r="AS255" s="78">
        <v>591</v>
      </c>
      <c r="AT255" s="78">
        <v>0</v>
      </c>
      <c r="AU255" s="400">
        <v>7.0332599999999999E-4</v>
      </c>
      <c r="AV255" s="400">
        <v>2.5701400000000002E-4</v>
      </c>
      <c r="AW255" s="78">
        <v>5272.3180000000002</v>
      </c>
      <c r="AX255" s="78">
        <v>0</v>
      </c>
      <c r="AY255" s="78">
        <v>3001.32</v>
      </c>
      <c r="AZ255" s="78">
        <v>5889.3235354998997</v>
      </c>
      <c r="BA255" s="78">
        <v>14</v>
      </c>
      <c r="BB255" s="78">
        <v>15.12</v>
      </c>
      <c r="BC255" s="78">
        <v>3245</v>
      </c>
      <c r="BD255" s="78">
        <v>1</v>
      </c>
      <c r="BE255" s="78">
        <v>0</v>
      </c>
      <c r="BF255" s="78">
        <v>0</v>
      </c>
      <c r="BG255" s="78">
        <v>0</v>
      </c>
      <c r="BH255" s="78">
        <v>0</v>
      </c>
      <c r="BI255" s="78">
        <v>0</v>
      </c>
      <c r="BJ255" s="78">
        <v>0</v>
      </c>
      <c r="BK255" s="78">
        <v>0</v>
      </c>
      <c r="BL255" s="78">
        <v>0</v>
      </c>
      <c r="BM255" s="78">
        <v>286.63200000000001</v>
      </c>
      <c r="BN255" s="78">
        <v>59</v>
      </c>
      <c r="BO255" s="78">
        <v>26</v>
      </c>
      <c r="BP255" s="78">
        <v>6866.64</v>
      </c>
      <c r="BQ255" s="78">
        <v>1333.3</v>
      </c>
      <c r="BR255" s="78">
        <v>126.27936498817201</v>
      </c>
      <c r="BS255" s="78">
        <v>139</v>
      </c>
      <c r="BT255" s="78">
        <v>37.6666666666667</v>
      </c>
      <c r="BU255" s="78">
        <v>28</v>
      </c>
      <c r="BV255" s="78">
        <v>641</v>
      </c>
      <c r="BW255" s="78">
        <v>165</v>
      </c>
      <c r="BX255" s="78">
        <v>3274.2055299959002</v>
      </c>
      <c r="BY255" s="402">
        <v>0.19700000000000001</v>
      </c>
      <c r="BZ255" s="78">
        <v>15703</v>
      </c>
      <c r="CA255" s="78">
        <v>3392</v>
      </c>
      <c r="CB255" s="78">
        <v>684</v>
      </c>
      <c r="CC255" s="78">
        <v>691</v>
      </c>
      <c r="CD255" s="78">
        <v>618</v>
      </c>
      <c r="CE255" s="78">
        <v>324</v>
      </c>
      <c r="CF255" s="78">
        <v>126.340924048967</v>
      </c>
      <c r="CG255" s="78">
        <v>87.8574174016059</v>
      </c>
      <c r="CH255" s="78">
        <v>29.489745952349601</v>
      </c>
      <c r="CI255" s="78">
        <v>827.03250000000003</v>
      </c>
      <c r="CJ255" s="78">
        <v>575.11800000000005</v>
      </c>
      <c r="CK255" s="78">
        <v>193.041</v>
      </c>
      <c r="CL255" s="78">
        <v>44982</v>
      </c>
    </row>
    <row r="256" spans="1:90" x14ac:dyDescent="0.35">
      <c r="A256" s="72">
        <v>718</v>
      </c>
      <c r="B256" s="72" t="s">
        <v>320</v>
      </c>
      <c r="C256" s="72">
        <v>9</v>
      </c>
      <c r="D256" s="78">
        <v>3730400000</v>
      </c>
      <c r="E256" s="78">
        <v>809900000</v>
      </c>
      <c r="F256" s="78">
        <v>850850000</v>
      </c>
      <c r="G256" s="78">
        <v>44585</v>
      </c>
      <c r="H256" s="78">
        <v>1</v>
      </c>
      <c r="I256" s="78">
        <v>850.85</v>
      </c>
      <c r="J256" s="78">
        <v>7574</v>
      </c>
      <c r="K256" s="78">
        <v>10948</v>
      </c>
      <c r="L256" s="78">
        <v>3673</v>
      </c>
      <c r="M256" s="78">
        <v>7781</v>
      </c>
      <c r="N256" s="78">
        <v>5425.9</v>
      </c>
      <c r="O256" s="78">
        <v>1660.6666666666699</v>
      </c>
      <c r="P256" s="78">
        <v>48</v>
      </c>
      <c r="Q256" s="78">
        <v>3973.6666666666702</v>
      </c>
      <c r="R256" s="78">
        <v>10112</v>
      </c>
      <c r="S256" s="78">
        <v>3575</v>
      </c>
      <c r="T256" s="78">
        <v>0</v>
      </c>
      <c r="U256" s="78">
        <v>1795</v>
      </c>
      <c r="V256" s="78">
        <v>23208</v>
      </c>
      <c r="W256" s="78">
        <v>50200</v>
      </c>
      <c r="X256" s="78">
        <v>67040</v>
      </c>
      <c r="Y256" s="78">
        <v>0</v>
      </c>
      <c r="Z256" s="78">
        <v>1139.2</v>
      </c>
      <c r="AA256" s="78">
        <v>0</v>
      </c>
      <c r="AB256" s="399">
        <v>0</v>
      </c>
      <c r="AC256" s="399">
        <v>0</v>
      </c>
      <c r="AD256" s="78">
        <v>3428</v>
      </c>
      <c r="AE256" s="78">
        <v>3770.8</v>
      </c>
      <c r="AF256" s="78">
        <v>521</v>
      </c>
      <c r="AG256" s="78">
        <v>10000</v>
      </c>
      <c r="AH256" s="78">
        <v>197</v>
      </c>
      <c r="AI256" s="78">
        <v>99</v>
      </c>
      <c r="AJ256" s="78">
        <v>226.55</v>
      </c>
      <c r="AK256" s="78">
        <v>105.93</v>
      </c>
      <c r="AL256" s="78">
        <v>296</v>
      </c>
      <c r="AM256" s="78">
        <v>23551</v>
      </c>
      <c r="AN256" s="78">
        <v>27083.65</v>
      </c>
      <c r="AO256" s="78">
        <v>16</v>
      </c>
      <c r="AP256" s="78">
        <v>0</v>
      </c>
      <c r="AQ256" s="78">
        <v>0</v>
      </c>
      <c r="AR256" s="78">
        <v>3200</v>
      </c>
      <c r="AS256" s="78">
        <v>6521</v>
      </c>
      <c r="AT256" s="78">
        <v>5750</v>
      </c>
      <c r="AU256" s="400">
        <v>3.673599E-3</v>
      </c>
      <c r="AV256" s="400">
        <v>5.5830760000000002E-3</v>
      </c>
      <c r="AW256" s="78">
        <v>46112.858</v>
      </c>
      <c r="AX256" s="78">
        <v>0</v>
      </c>
      <c r="AY256" s="78">
        <v>1288.0999999999999</v>
      </c>
      <c r="AZ256" s="78">
        <v>20230.9094707521</v>
      </c>
      <c r="BA256" s="78">
        <v>3</v>
      </c>
      <c r="BB256" s="78">
        <v>3.21</v>
      </c>
      <c r="BC256" s="78">
        <v>4035</v>
      </c>
      <c r="BD256" s="78">
        <v>1</v>
      </c>
      <c r="BE256" s="78">
        <v>0</v>
      </c>
      <c r="BF256" s="78">
        <v>0</v>
      </c>
      <c r="BG256" s="78">
        <v>0</v>
      </c>
      <c r="BH256" s="78">
        <v>0</v>
      </c>
      <c r="BI256" s="78">
        <v>0</v>
      </c>
      <c r="BJ256" s="78">
        <v>0</v>
      </c>
      <c r="BK256" s="78">
        <v>0</v>
      </c>
      <c r="BL256" s="78">
        <v>0</v>
      </c>
      <c r="BM256" s="78">
        <v>1204.2660000000001</v>
      </c>
      <c r="BN256" s="78">
        <v>213</v>
      </c>
      <c r="BO256" s="78">
        <v>148</v>
      </c>
      <c r="BP256" s="78">
        <v>12901.38</v>
      </c>
      <c r="BQ256" s="78">
        <v>2399.1</v>
      </c>
      <c r="BR256" s="78">
        <v>324.498601345807</v>
      </c>
      <c r="BS256" s="78">
        <v>673</v>
      </c>
      <c r="BT256" s="78">
        <v>394.66666666666703</v>
      </c>
      <c r="BU256" s="78">
        <v>367.66666666666703</v>
      </c>
      <c r="BV256" s="78">
        <v>2313</v>
      </c>
      <c r="BW256" s="78">
        <v>511</v>
      </c>
      <c r="BX256" s="78">
        <v>8259.0903196717609</v>
      </c>
      <c r="BY256" s="402">
        <v>4.9930000000000003</v>
      </c>
      <c r="BZ256" s="78">
        <v>33637</v>
      </c>
      <c r="CA256" s="78">
        <v>5973</v>
      </c>
      <c r="CB256" s="78">
        <v>1302</v>
      </c>
      <c r="CC256" s="78">
        <v>1686</v>
      </c>
      <c r="CD256" s="78">
        <v>1361</v>
      </c>
      <c r="CE256" s="78">
        <v>744</v>
      </c>
      <c r="CF256" s="78">
        <v>903.58710033544196</v>
      </c>
      <c r="CG256" s="78">
        <v>609.379877712199</v>
      </c>
      <c r="CH256" s="78">
        <v>224.168854825697</v>
      </c>
      <c r="CI256" s="78">
        <v>2151.6091999999999</v>
      </c>
      <c r="CJ256" s="78">
        <v>1451.047</v>
      </c>
      <c r="CK256" s="78">
        <v>533.78779999999995</v>
      </c>
      <c r="CL256" s="78">
        <v>3544</v>
      </c>
    </row>
    <row r="257" spans="1:90" x14ac:dyDescent="0.35">
      <c r="A257" s="72">
        <v>1723</v>
      </c>
      <c r="B257" s="72" t="s">
        <v>21</v>
      </c>
      <c r="C257" s="72">
        <v>10</v>
      </c>
      <c r="D257" s="78">
        <v>1278000000</v>
      </c>
      <c r="E257" s="78">
        <v>177450000</v>
      </c>
      <c r="F257" s="78">
        <v>210000000</v>
      </c>
      <c r="G257" s="78">
        <v>10425</v>
      </c>
      <c r="H257" s="78">
        <v>2</v>
      </c>
      <c r="I257" s="78">
        <v>210</v>
      </c>
      <c r="J257" s="78">
        <v>1872</v>
      </c>
      <c r="K257" s="78">
        <v>2497</v>
      </c>
      <c r="L257" s="78">
        <v>849</v>
      </c>
      <c r="M257" s="78">
        <v>982</v>
      </c>
      <c r="N257" s="78">
        <v>507.9</v>
      </c>
      <c r="O257" s="78">
        <v>76.6666666666667</v>
      </c>
      <c r="P257" s="78">
        <v>6</v>
      </c>
      <c r="Q257" s="78">
        <v>384.66666666666703</v>
      </c>
      <c r="R257" s="78">
        <v>1127</v>
      </c>
      <c r="S257" s="78">
        <v>105</v>
      </c>
      <c r="T257" s="78">
        <v>0</v>
      </c>
      <c r="U257" s="78">
        <v>198</v>
      </c>
      <c r="V257" s="78">
        <v>4437</v>
      </c>
      <c r="W257" s="78">
        <v>6310</v>
      </c>
      <c r="X257" s="78">
        <v>350</v>
      </c>
      <c r="Y257" s="78">
        <v>0</v>
      </c>
      <c r="Z257" s="78">
        <v>0</v>
      </c>
      <c r="AA257" s="78">
        <v>0</v>
      </c>
      <c r="AB257" s="399">
        <v>0</v>
      </c>
      <c r="AC257" s="399">
        <v>0</v>
      </c>
      <c r="AD257" s="78">
        <v>9298</v>
      </c>
      <c r="AE257" s="78">
        <v>9298</v>
      </c>
      <c r="AF257" s="78">
        <v>54</v>
      </c>
      <c r="AG257" s="78">
        <v>0</v>
      </c>
      <c r="AH257" s="78">
        <v>60</v>
      </c>
      <c r="AI257" s="78">
        <v>96</v>
      </c>
      <c r="AJ257" s="78">
        <v>60</v>
      </c>
      <c r="AK257" s="78">
        <v>96</v>
      </c>
      <c r="AL257" s="78">
        <v>157</v>
      </c>
      <c r="AM257" s="78">
        <v>4741</v>
      </c>
      <c r="AN257" s="78">
        <v>4741</v>
      </c>
      <c r="AO257" s="78">
        <v>0</v>
      </c>
      <c r="AP257" s="78">
        <v>0</v>
      </c>
      <c r="AQ257" s="78">
        <v>0</v>
      </c>
      <c r="AR257" s="78">
        <v>0</v>
      </c>
      <c r="AS257" s="78">
        <v>0</v>
      </c>
      <c r="AT257" s="78">
        <v>0</v>
      </c>
      <c r="AU257" s="400">
        <v>7.2244999999999997E-5</v>
      </c>
      <c r="AV257" s="400">
        <v>2.7603999999999999E-5</v>
      </c>
      <c r="AW257" s="78">
        <v>1536.0840000000001</v>
      </c>
      <c r="AX257" s="78">
        <v>0</v>
      </c>
      <c r="AY257" s="78">
        <v>756</v>
      </c>
      <c r="AZ257" s="78">
        <v>842.73952095808397</v>
      </c>
      <c r="BA257" s="78">
        <v>10</v>
      </c>
      <c r="BB257" s="78">
        <v>10</v>
      </c>
      <c r="BC257" s="78">
        <v>1700</v>
      </c>
      <c r="BD257" s="78">
        <v>1</v>
      </c>
      <c r="BE257" s="78">
        <v>0</v>
      </c>
      <c r="BF257" s="78">
        <v>0</v>
      </c>
      <c r="BG257" s="78">
        <v>0</v>
      </c>
      <c r="BH257" s="78">
        <v>0</v>
      </c>
      <c r="BI257" s="78">
        <v>0</v>
      </c>
      <c r="BJ257" s="78">
        <v>0</v>
      </c>
      <c r="BK257" s="78">
        <v>0</v>
      </c>
      <c r="BL257" s="78">
        <v>0</v>
      </c>
      <c r="BM257" s="78">
        <v>159.12</v>
      </c>
      <c r="BN257" s="78">
        <v>20</v>
      </c>
      <c r="BO257" s="78">
        <v>10</v>
      </c>
      <c r="BP257" s="78">
        <v>3376.62</v>
      </c>
      <c r="BQ257" s="78">
        <v>734.4</v>
      </c>
      <c r="BR257" s="78">
        <v>30.021333333333299</v>
      </c>
      <c r="BS257" s="78">
        <v>90</v>
      </c>
      <c r="BT257" s="78">
        <v>23</v>
      </c>
      <c r="BU257" s="78">
        <v>15.3333333333333</v>
      </c>
      <c r="BV257" s="78">
        <v>308.00000000000034</v>
      </c>
      <c r="BW257" s="78">
        <v>70</v>
      </c>
      <c r="BX257" s="78">
        <v>1762.0290176419601</v>
      </c>
      <c r="BY257" s="402">
        <v>0.05</v>
      </c>
      <c r="BZ257" s="78">
        <v>7928</v>
      </c>
      <c r="CA257" s="78">
        <v>1380</v>
      </c>
      <c r="CB257" s="78">
        <v>268</v>
      </c>
      <c r="CC257" s="78">
        <v>211</v>
      </c>
      <c r="CD257" s="78">
        <v>193</v>
      </c>
      <c r="CE257" s="78">
        <v>115</v>
      </c>
      <c r="CF257" s="78">
        <v>88.274541236026096</v>
      </c>
      <c r="CG257" s="78">
        <v>57.207044927230498</v>
      </c>
      <c r="CH257" s="78">
        <v>19.7117907614427</v>
      </c>
      <c r="CI257" s="78">
        <v>299.02960000000002</v>
      </c>
      <c r="CJ257" s="78">
        <v>193.7886</v>
      </c>
      <c r="CK257" s="78">
        <v>66.773600000000002</v>
      </c>
      <c r="CL257" s="78">
        <v>0</v>
      </c>
    </row>
    <row r="258" spans="1:90" x14ac:dyDescent="0.35">
      <c r="A258" s="72">
        <v>1959</v>
      </c>
      <c r="B258" s="72" t="s">
        <v>22</v>
      </c>
      <c r="C258" s="72">
        <v>10</v>
      </c>
      <c r="D258" s="78">
        <v>5755600000</v>
      </c>
      <c r="E258" s="78">
        <v>735350000</v>
      </c>
      <c r="F258" s="78">
        <v>781200000</v>
      </c>
      <c r="G258" s="78">
        <v>57009</v>
      </c>
      <c r="H258" s="78">
        <v>11</v>
      </c>
      <c r="I258" s="78">
        <v>781.2</v>
      </c>
      <c r="J258" s="78">
        <v>11913</v>
      </c>
      <c r="K258" s="78">
        <v>11541</v>
      </c>
      <c r="L258" s="78">
        <v>3824</v>
      </c>
      <c r="M258" s="78">
        <v>5963</v>
      </c>
      <c r="N258" s="78">
        <v>3652.6</v>
      </c>
      <c r="O258" s="78">
        <v>507.33333333333297</v>
      </c>
      <c r="P258" s="78">
        <v>80</v>
      </c>
      <c r="Q258" s="78">
        <v>2549.3333333333298</v>
      </c>
      <c r="R258" s="78">
        <v>6453</v>
      </c>
      <c r="S258" s="78">
        <v>675</v>
      </c>
      <c r="T258" s="78">
        <v>0</v>
      </c>
      <c r="U258" s="78">
        <v>1296</v>
      </c>
      <c r="V258" s="78">
        <v>23787</v>
      </c>
      <c r="W258" s="78">
        <v>45940</v>
      </c>
      <c r="X258" s="78">
        <v>5020</v>
      </c>
      <c r="Y258" s="78">
        <v>118.8</v>
      </c>
      <c r="Z258" s="78">
        <v>1566.4</v>
      </c>
      <c r="AA258" s="78">
        <v>0</v>
      </c>
      <c r="AB258" s="399">
        <v>0</v>
      </c>
      <c r="AC258" s="399">
        <v>0</v>
      </c>
      <c r="AD258" s="78">
        <v>19949</v>
      </c>
      <c r="AE258" s="78">
        <v>22143.39</v>
      </c>
      <c r="AF258" s="78">
        <v>2716</v>
      </c>
      <c r="AG258" s="78">
        <v>0</v>
      </c>
      <c r="AH258" s="78">
        <v>340</v>
      </c>
      <c r="AI258" s="78">
        <v>113</v>
      </c>
      <c r="AJ258" s="78">
        <v>394.4</v>
      </c>
      <c r="AK258" s="78">
        <v>124.3</v>
      </c>
      <c r="AL258" s="78">
        <v>453</v>
      </c>
      <c r="AM258" s="78">
        <v>23104</v>
      </c>
      <c r="AN258" s="78">
        <v>26800.639999999999</v>
      </c>
      <c r="AO258" s="78">
        <v>6</v>
      </c>
      <c r="AP258" s="78">
        <v>0</v>
      </c>
      <c r="AQ258" s="78">
        <v>0</v>
      </c>
      <c r="AR258" s="78">
        <v>1700</v>
      </c>
      <c r="AS258" s="78">
        <v>669</v>
      </c>
      <c r="AT258" s="78">
        <v>0</v>
      </c>
      <c r="AU258" s="400">
        <v>5.2329999999999998E-4</v>
      </c>
      <c r="AV258" s="400">
        <v>1.9591199999999999E-4</v>
      </c>
      <c r="AW258" s="78">
        <v>11736.832</v>
      </c>
      <c r="AX258" s="78">
        <v>0</v>
      </c>
      <c r="AY258" s="78">
        <v>9469.41</v>
      </c>
      <c r="AZ258" s="78">
        <v>30630.6980052945</v>
      </c>
      <c r="BA258" s="78">
        <v>24</v>
      </c>
      <c r="BB258" s="78">
        <v>26.4</v>
      </c>
      <c r="BC258" s="78">
        <v>7825</v>
      </c>
      <c r="BD258" s="78">
        <v>1</v>
      </c>
      <c r="BE258" s="78">
        <v>0</v>
      </c>
      <c r="BF258" s="78">
        <v>0</v>
      </c>
      <c r="BG258" s="78">
        <v>0</v>
      </c>
      <c r="BH258" s="78">
        <v>0</v>
      </c>
      <c r="BI258" s="78">
        <v>0</v>
      </c>
      <c r="BJ258" s="78">
        <v>0</v>
      </c>
      <c r="BK258" s="78">
        <v>0</v>
      </c>
      <c r="BL258" s="78">
        <v>0</v>
      </c>
      <c r="BM258" s="78">
        <v>726.69299999999998</v>
      </c>
      <c r="BN258" s="78">
        <v>324</v>
      </c>
      <c r="BO258" s="78">
        <v>117</v>
      </c>
      <c r="BP258" s="78">
        <v>16565.04</v>
      </c>
      <c r="BQ258" s="78">
        <v>4254.54</v>
      </c>
      <c r="BR258" s="78">
        <v>592.802967957276</v>
      </c>
      <c r="BS258" s="78">
        <v>494</v>
      </c>
      <c r="BT258" s="78">
        <v>161.333333333333</v>
      </c>
      <c r="BU258" s="78">
        <v>128.333333333333</v>
      </c>
      <c r="BV258" s="78">
        <v>2041.9999999999968</v>
      </c>
      <c r="BW258" s="78">
        <v>540</v>
      </c>
      <c r="BX258" s="78">
        <v>9514.4087670357803</v>
      </c>
      <c r="BY258" s="402">
        <v>0.28299999999999997</v>
      </c>
      <c r="BZ258" s="78">
        <v>45468</v>
      </c>
      <c r="CA258" s="78">
        <v>6544</v>
      </c>
      <c r="CB258" s="78">
        <v>1173</v>
      </c>
      <c r="CC258" s="78">
        <v>1091</v>
      </c>
      <c r="CD258" s="78">
        <v>1171</v>
      </c>
      <c r="CE258" s="78">
        <v>555</v>
      </c>
      <c r="CF258" s="78">
        <v>615.14311807479203</v>
      </c>
      <c r="CG258" s="78">
        <v>412.30872576177302</v>
      </c>
      <c r="CH258" s="78">
        <v>130.26932132964001</v>
      </c>
      <c r="CI258" s="78">
        <v>1600.3683000000001</v>
      </c>
      <c r="CJ258" s="78">
        <v>1072.6704</v>
      </c>
      <c r="CK258" s="78">
        <v>338.91120000000001</v>
      </c>
      <c r="CL258" s="78">
        <v>39268</v>
      </c>
    </row>
    <row r="259" spans="1:90" x14ac:dyDescent="0.35">
      <c r="A259" s="72">
        <v>743</v>
      </c>
      <c r="B259" s="72" t="s">
        <v>31</v>
      </c>
      <c r="C259" s="72">
        <v>10</v>
      </c>
      <c r="D259" s="78">
        <v>2010400000</v>
      </c>
      <c r="E259" s="78">
        <v>267750000</v>
      </c>
      <c r="F259" s="78">
        <v>297500000</v>
      </c>
      <c r="G259" s="78">
        <v>17068</v>
      </c>
      <c r="H259" s="78">
        <v>2</v>
      </c>
      <c r="I259" s="78">
        <v>297.5</v>
      </c>
      <c r="J259" s="78">
        <v>3097</v>
      </c>
      <c r="K259" s="78">
        <v>3942</v>
      </c>
      <c r="L259" s="78">
        <v>1297</v>
      </c>
      <c r="M259" s="78">
        <v>2220</v>
      </c>
      <c r="N259" s="78">
        <v>1501.4</v>
      </c>
      <c r="O259" s="78">
        <v>182.333333333333</v>
      </c>
      <c r="P259" s="78">
        <v>15</v>
      </c>
      <c r="Q259" s="78">
        <v>884.33333333333303</v>
      </c>
      <c r="R259" s="78">
        <v>2341</v>
      </c>
      <c r="S259" s="78">
        <v>280</v>
      </c>
      <c r="T259" s="78">
        <v>0</v>
      </c>
      <c r="U259" s="78">
        <v>377</v>
      </c>
      <c r="V259" s="78">
        <v>7541</v>
      </c>
      <c r="W259" s="78">
        <v>16480</v>
      </c>
      <c r="X259" s="78">
        <v>7990</v>
      </c>
      <c r="Y259" s="78">
        <v>0</v>
      </c>
      <c r="Z259" s="78">
        <v>648</v>
      </c>
      <c r="AA259" s="78">
        <v>0</v>
      </c>
      <c r="AB259" s="399">
        <v>0</v>
      </c>
      <c r="AC259" s="399">
        <v>0</v>
      </c>
      <c r="AD259" s="78">
        <v>7024</v>
      </c>
      <c r="AE259" s="78">
        <v>7024</v>
      </c>
      <c r="AF259" s="78">
        <v>110</v>
      </c>
      <c r="AG259" s="78">
        <v>0</v>
      </c>
      <c r="AH259" s="78">
        <v>114</v>
      </c>
      <c r="AI259" s="78">
        <v>96</v>
      </c>
      <c r="AJ259" s="78">
        <v>114</v>
      </c>
      <c r="AK259" s="78">
        <v>96</v>
      </c>
      <c r="AL259" s="78">
        <v>211</v>
      </c>
      <c r="AM259" s="78">
        <v>7186</v>
      </c>
      <c r="AN259" s="78">
        <v>7186</v>
      </c>
      <c r="AO259" s="78">
        <v>0</v>
      </c>
      <c r="AP259" s="78">
        <v>0</v>
      </c>
      <c r="AQ259" s="78">
        <v>0</v>
      </c>
      <c r="AR259" s="78">
        <v>0</v>
      </c>
      <c r="AS259" s="78">
        <v>538</v>
      </c>
      <c r="AT259" s="78">
        <v>0</v>
      </c>
      <c r="AU259" s="400">
        <v>1.2217599999999999E-4</v>
      </c>
      <c r="AV259" s="400">
        <v>7.5828000000000007E-5</v>
      </c>
      <c r="AW259" s="78">
        <v>7186</v>
      </c>
      <c r="AX259" s="78">
        <v>0</v>
      </c>
      <c r="AY259" s="78">
        <v>1043</v>
      </c>
      <c r="AZ259" s="78">
        <v>2495.3636108774899</v>
      </c>
      <c r="BA259" s="78">
        <v>2</v>
      </c>
      <c r="BB259" s="78">
        <v>2</v>
      </c>
      <c r="BC259" s="78">
        <v>2415</v>
      </c>
      <c r="BD259" s="78">
        <v>1</v>
      </c>
      <c r="BE259" s="78">
        <v>0</v>
      </c>
      <c r="BF259" s="78">
        <v>0</v>
      </c>
      <c r="BG259" s="78">
        <v>0</v>
      </c>
      <c r="BH259" s="78">
        <v>0</v>
      </c>
      <c r="BI259" s="78">
        <v>0</v>
      </c>
      <c r="BJ259" s="78">
        <v>0</v>
      </c>
      <c r="BK259" s="78">
        <v>0</v>
      </c>
      <c r="BL259" s="78">
        <v>0</v>
      </c>
      <c r="BM259" s="78">
        <v>266.34199999999998</v>
      </c>
      <c r="BN259" s="78">
        <v>30</v>
      </c>
      <c r="BO259" s="78">
        <v>39</v>
      </c>
      <c r="BP259" s="78">
        <v>4985.76</v>
      </c>
      <c r="BQ259" s="78">
        <v>1177.8900000000001</v>
      </c>
      <c r="BR259" s="78">
        <v>56.461626912514703</v>
      </c>
      <c r="BS259" s="78">
        <v>139</v>
      </c>
      <c r="BT259" s="78">
        <v>53.3333333333333</v>
      </c>
      <c r="BU259" s="78">
        <v>29.6666666666667</v>
      </c>
      <c r="BV259" s="78">
        <v>702</v>
      </c>
      <c r="BW259" s="78">
        <v>157</v>
      </c>
      <c r="BX259" s="78">
        <v>2468.25791044776</v>
      </c>
      <c r="BY259" s="402">
        <v>0.222</v>
      </c>
      <c r="BZ259" s="78">
        <v>13126</v>
      </c>
      <c r="CA259" s="78">
        <v>2260</v>
      </c>
      <c r="CB259" s="78">
        <v>385</v>
      </c>
      <c r="CC259" s="78">
        <v>382</v>
      </c>
      <c r="CD259" s="78">
        <v>405</v>
      </c>
      <c r="CE259" s="78">
        <v>184</v>
      </c>
      <c r="CF259" s="78">
        <v>281.64308377400499</v>
      </c>
      <c r="CG259" s="78">
        <v>187.20489841358199</v>
      </c>
      <c r="CH259" s="78">
        <v>52.860311717228001</v>
      </c>
      <c r="CI259" s="78">
        <v>594.87239999999997</v>
      </c>
      <c r="CJ259" s="78">
        <v>395.40480000000002</v>
      </c>
      <c r="CK259" s="78">
        <v>111.6489</v>
      </c>
      <c r="CL259" s="78">
        <v>3650</v>
      </c>
    </row>
    <row r="260" spans="1:90" x14ac:dyDescent="0.35">
      <c r="A260" s="72">
        <v>744</v>
      </c>
      <c r="B260" s="72" t="s">
        <v>32</v>
      </c>
      <c r="C260" s="72">
        <v>10</v>
      </c>
      <c r="D260" s="78">
        <v>831200000</v>
      </c>
      <c r="E260" s="78">
        <v>170450000</v>
      </c>
      <c r="F260" s="78">
        <v>194250000</v>
      </c>
      <c r="G260" s="78">
        <v>6931</v>
      </c>
      <c r="H260" s="78">
        <v>1</v>
      </c>
      <c r="I260" s="78">
        <v>194.25</v>
      </c>
      <c r="J260" s="78">
        <v>1130</v>
      </c>
      <c r="K260" s="78">
        <v>1900</v>
      </c>
      <c r="L260" s="78">
        <v>677</v>
      </c>
      <c r="M260" s="78">
        <v>955</v>
      </c>
      <c r="N260" s="78">
        <v>556.09999999999991</v>
      </c>
      <c r="O260" s="78">
        <v>59</v>
      </c>
      <c r="P260" s="78">
        <v>7</v>
      </c>
      <c r="Q260" s="78">
        <v>346</v>
      </c>
      <c r="R260" s="78">
        <v>982</v>
      </c>
      <c r="S260" s="78">
        <v>105</v>
      </c>
      <c r="T260" s="78">
        <v>0</v>
      </c>
      <c r="U260" s="78">
        <v>188</v>
      </c>
      <c r="V260" s="78">
        <v>3225</v>
      </c>
      <c r="W260" s="78">
        <v>4950</v>
      </c>
      <c r="X260" s="78">
        <v>440</v>
      </c>
      <c r="Y260" s="78">
        <v>0</v>
      </c>
      <c r="Z260" s="78">
        <v>153.6</v>
      </c>
      <c r="AA260" s="78">
        <v>0</v>
      </c>
      <c r="AB260" s="399">
        <v>0</v>
      </c>
      <c r="AC260" s="399">
        <v>0</v>
      </c>
      <c r="AD260" s="78">
        <v>7610</v>
      </c>
      <c r="AE260" s="78">
        <v>7610</v>
      </c>
      <c r="AF260" s="78">
        <v>18</v>
      </c>
      <c r="AG260" s="78">
        <v>0</v>
      </c>
      <c r="AH260" s="78">
        <v>52</v>
      </c>
      <c r="AI260" s="78">
        <v>87</v>
      </c>
      <c r="AJ260" s="78">
        <v>52</v>
      </c>
      <c r="AK260" s="78">
        <v>87</v>
      </c>
      <c r="AL260" s="78">
        <v>139</v>
      </c>
      <c r="AM260" s="78">
        <v>3989</v>
      </c>
      <c r="AN260" s="78">
        <v>3989</v>
      </c>
      <c r="AO260" s="78">
        <v>0</v>
      </c>
      <c r="AP260" s="78">
        <v>0</v>
      </c>
      <c r="AQ260" s="78">
        <v>0</v>
      </c>
      <c r="AR260" s="78">
        <v>0</v>
      </c>
      <c r="AS260" s="78">
        <v>0</v>
      </c>
      <c r="AT260" s="78">
        <v>0</v>
      </c>
      <c r="AU260" s="400">
        <v>9.7893000000000006E-5</v>
      </c>
      <c r="AV260" s="400">
        <v>3.1458000000000003E-5</v>
      </c>
      <c r="AW260" s="78">
        <v>1408.117</v>
      </c>
      <c r="AX260" s="78">
        <v>0</v>
      </c>
      <c r="AY260" s="78">
        <v>404</v>
      </c>
      <c r="AZ260" s="78">
        <v>367.08495018353398</v>
      </c>
      <c r="BA260" s="78">
        <v>5</v>
      </c>
      <c r="BB260" s="78">
        <v>5</v>
      </c>
      <c r="BC260" s="78">
        <v>1195</v>
      </c>
      <c r="BD260" s="78">
        <v>2</v>
      </c>
      <c r="BE260" s="78">
        <v>0</v>
      </c>
      <c r="BF260" s="78">
        <v>0</v>
      </c>
      <c r="BG260" s="78">
        <v>0</v>
      </c>
      <c r="BH260" s="78">
        <v>0</v>
      </c>
      <c r="BI260" s="78">
        <v>0</v>
      </c>
      <c r="BJ260" s="78">
        <v>0</v>
      </c>
      <c r="BK260" s="78">
        <v>0</v>
      </c>
      <c r="BL260" s="78">
        <v>0</v>
      </c>
      <c r="BM260" s="78">
        <v>127.69</v>
      </c>
      <c r="BN260" s="78">
        <v>3</v>
      </c>
      <c r="BO260" s="78">
        <v>13</v>
      </c>
      <c r="BP260" s="78">
        <v>1995.5</v>
      </c>
      <c r="BQ260" s="78">
        <v>329.97</v>
      </c>
      <c r="BR260" s="78">
        <v>39.559205702647702</v>
      </c>
      <c r="BS260" s="78">
        <v>65</v>
      </c>
      <c r="BT260" s="78">
        <v>17.6666666666667</v>
      </c>
      <c r="BU260" s="78">
        <v>11</v>
      </c>
      <c r="BV260" s="78">
        <v>287</v>
      </c>
      <c r="BW260" s="78">
        <v>64</v>
      </c>
      <c r="BX260" s="78">
        <v>1655.76456298014</v>
      </c>
      <c r="BY260" s="402">
        <v>0.158</v>
      </c>
      <c r="BZ260" s="78">
        <v>5031</v>
      </c>
      <c r="CA260" s="78">
        <v>1019</v>
      </c>
      <c r="CB260" s="78">
        <v>204</v>
      </c>
      <c r="CC260" s="78">
        <v>208</v>
      </c>
      <c r="CD260" s="78">
        <v>182</v>
      </c>
      <c r="CE260" s="78">
        <v>93</v>
      </c>
      <c r="CF260" s="78">
        <v>86.014966156931493</v>
      </c>
      <c r="CG260" s="78">
        <v>62.036725996490297</v>
      </c>
      <c r="CH260" s="78">
        <v>19.656580596640801</v>
      </c>
      <c r="CI260" s="78">
        <v>284.49869999999999</v>
      </c>
      <c r="CJ260" s="78">
        <v>205.18950000000001</v>
      </c>
      <c r="CK260" s="78">
        <v>65.015100000000004</v>
      </c>
      <c r="CL260" s="78">
        <v>0</v>
      </c>
    </row>
    <row r="261" spans="1:90" x14ac:dyDescent="0.35">
      <c r="A261" s="72">
        <v>1724</v>
      </c>
      <c r="B261" s="72" t="s">
        <v>41</v>
      </c>
      <c r="C261" s="72">
        <v>10</v>
      </c>
      <c r="D261" s="78">
        <v>2435200000</v>
      </c>
      <c r="E261" s="78">
        <v>302750000</v>
      </c>
      <c r="F261" s="78">
        <v>348250000</v>
      </c>
      <c r="G261" s="78">
        <v>18879</v>
      </c>
      <c r="H261" s="78">
        <v>5</v>
      </c>
      <c r="I261" s="78">
        <v>348.25</v>
      </c>
      <c r="J261" s="78">
        <v>3312</v>
      </c>
      <c r="K261" s="78">
        <v>4389</v>
      </c>
      <c r="L261" s="78">
        <v>1525</v>
      </c>
      <c r="M261" s="78">
        <v>1936</v>
      </c>
      <c r="N261" s="78">
        <v>1035.1999999999998</v>
      </c>
      <c r="O261" s="78">
        <v>134.666666666667</v>
      </c>
      <c r="P261" s="78">
        <v>37</v>
      </c>
      <c r="Q261" s="78">
        <v>837.66666666666697</v>
      </c>
      <c r="R261" s="78">
        <v>2298</v>
      </c>
      <c r="S261" s="78">
        <v>210</v>
      </c>
      <c r="T261" s="78">
        <v>0</v>
      </c>
      <c r="U261" s="78">
        <v>447</v>
      </c>
      <c r="V261" s="78">
        <v>8211</v>
      </c>
      <c r="W261" s="78">
        <v>14850</v>
      </c>
      <c r="X261" s="78">
        <v>3400</v>
      </c>
      <c r="Y261" s="78">
        <v>0</v>
      </c>
      <c r="Z261" s="78">
        <v>0</v>
      </c>
      <c r="AA261" s="78">
        <v>0</v>
      </c>
      <c r="AB261" s="399">
        <v>0</v>
      </c>
      <c r="AC261" s="399">
        <v>0</v>
      </c>
      <c r="AD261" s="78">
        <v>10105</v>
      </c>
      <c r="AE261" s="78">
        <v>10105</v>
      </c>
      <c r="AF261" s="78">
        <v>71</v>
      </c>
      <c r="AG261" s="78">
        <v>0</v>
      </c>
      <c r="AH261" s="78">
        <v>161</v>
      </c>
      <c r="AI261" s="78">
        <v>77</v>
      </c>
      <c r="AJ261" s="78">
        <v>161</v>
      </c>
      <c r="AK261" s="78">
        <v>77</v>
      </c>
      <c r="AL261" s="78">
        <v>238</v>
      </c>
      <c r="AM261" s="78">
        <v>9008</v>
      </c>
      <c r="AN261" s="78">
        <v>9008</v>
      </c>
      <c r="AO261" s="78">
        <v>0</v>
      </c>
      <c r="AP261" s="78">
        <v>0</v>
      </c>
      <c r="AQ261" s="78">
        <v>0</v>
      </c>
      <c r="AR261" s="78">
        <v>0</v>
      </c>
      <c r="AS261" s="78">
        <v>0</v>
      </c>
      <c r="AT261" s="78">
        <v>0</v>
      </c>
      <c r="AU261" s="400">
        <v>1.2627999999999999E-4</v>
      </c>
      <c r="AV261" s="400">
        <v>6.2057999999999994E-5</v>
      </c>
      <c r="AW261" s="78">
        <v>4603.0879999999997</v>
      </c>
      <c r="AX261" s="78">
        <v>0</v>
      </c>
      <c r="AY261" s="78">
        <v>694</v>
      </c>
      <c r="AZ261" s="78">
        <v>1287.54186320755</v>
      </c>
      <c r="BA261" s="78">
        <v>9</v>
      </c>
      <c r="BB261" s="78">
        <v>9</v>
      </c>
      <c r="BC261" s="78">
        <v>2840</v>
      </c>
      <c r="BD261" s="78">
        <v>1</v>
      </c>
      <c r="BE261" s="78">
        <v>0</v>
      </c>
      <c r="BF261" s="78">
        <v>0</v>
      </c>
      <c r="BG261" s="78">
        <v>0</v>
      </c>
      <c r="BH261" s="78">
        <v>0</v>
      </c>
      <c r="BI261" s="78">
        <v>0</v>
      </c>
      <c r="BJ261" s="78">
        <v>0</v>
      </c>
      <c r="BK261" s="78">
        <v>0</v>
      </c>
      <c r="BL261" s="78">
        <v>0</v>
      </c>
      <c r="BM261" s="78">
        <v>241.77600000000001</v>
      </c>
      <c r="BN261" s="78">
        <v>42</v>
      </c>
      <c r="BO261" s="78">
        <v>27</v>
      </c>
      <c r="BP261" s="78">
        <v>5878.69</v>
      </c>
      <c r="BQ261" s="78">
        <v>1279.42</v>
      </c>
      <c r="BR261" s="78">
        <v>94.350439024390198</v>
      </c>
      <c r="BS261" s="78">
        <v>165</v>
      </c>
      <c r="BT261" s="78">
        <v>38.3333333333333</v>
      </c>
      <c r="BU261" s="78">
        <v>27</v>
      </c>
      <c r="BV261" s="78">
        <v>703</v>
      </c>
      <c r="BW261" s="78">
        <v>164</v>
      </c>
      <c r="BX261" s="78">
        <v>3270.17218086808</v>
      </c>
      <c r="BY261" s="402">
        <v>9.4E-2</v>
      </c>
      <c r="BZ261" s="78">
        <v>14490</v>
      </c>
      <c r="CA261" s="78">
        <v>2414</v>
      </c>
      <c r="CB261" s="78">
        <v>450</v>
      </c>
      <c r="CC261" s="78">
        <v>353</v>
      </c>
      <c r="CD261" s="78">
        <v>438</v>
      </c>
      <c r="CE261" s="78">
        <v>253</v>
      </c>
      <c r="CF261" s="78">
        <v>163.99094138543501</v>
      </c>
      <c r="CG261" s="78">
        <v>117.56323268206</v>
      </c>
      <c r="CH261" s="78">
        <v>39.877264653641198</v>
      </c>
      <c r="CI261" s="78">
        <v>576.65070000000003</v>
      </c>
      <c r="CJ261" s="78">
        <v>413.39429999999999</v>
      </c>
      <c r="CK261" s="78">
        <v>140.2227</v>
      </c>
      <c r="CL261" s="78">
        <v>0</v>
      </c>
    </row>
    <row r="262" spans="1:90" x14ac:dyDescent="0.35">
      <c r="A262" s="72">
        <v>748</v>
      </c>
      <c r="B262" s="72" t="s">
        <v>44</v>
      </c>
      <c r="C262" s="72">
        <v>10</v>
      </c>
      <c r="D262" s="78">
        <v>6612800000</v>
      </c>
      <c r="E262" s="78">
        <v>1136800000</v>
      </c>
      <c r="F262" s="78">
        <v>1220100000</v>
      </c>
      <c r="G262" s="78">
        <v>67894</v>
      </c>
      <c r="H262" s="78">
        <v>2</v>
      </c>
      <c r="I262" s="78">
        <v>1220.0999999999999</v>
      </c>
      <c r="J262" s="78">
        <v>12306</v>
      </c>
      <c r="K262" s="78">
        <v>15232</v>
      </c>
      <c r="L262" s="78">
        <v>5128</v>
      </c>
      <c r="M262" s="78">
        <v>9868</v>
      </c>
      <c r="N262" s="78">
        <v>6686.2</v>
      </c>
      <c r="O262" s="78">
        <v>1775.3333333333301</v>
      </c>
      <c r="P262" s="78">
        <v>77</v>
      </c>
      <c r="Q262" s="78">
        <v>5779.3333333333303</v>
      </c>
      <c r="R262" s="78">
        <v>10887</v>
      </c>
      <c r="S262" s="78">
        <v>8155</v>
      </c>
      <c r="T262" s="78">
        <v>0</v>
      </c>
      <c r="U262" s="78">
        <v>2334</v>
      </c>
      <c r="V262" s="78">
        <v>32158</v>
      </c>
      <c r="W262" s="78">
        <v>74560</v>
      </c>
      <c r="X262" s="78">
        <v>84940</v>
      </c>
      <c r="Y262" s="78">
        <v>2259.56</v>
      </c>
      <c r="Z262" s="78">
        <v>4151.2</v>
      </c>
      <c r="AA262" s="78">
        <v>0</v>
      </c>
      <c r="AB262" s="399">
        <v>0</v>
      </c>
      <c r="AC262" s="399">
        <v>0</v>
      </c>
      <c r="AD262" s="78">
        <v>7982</v>
      </c>
      <c r="AE262" s="78">
        <v>8301.2800000000007</v>
      </c>
      <c r="AF262" s="78">
        <v>1331</v>
      </c>
      <c r="AG262" s="78">
        <v>0</v>
      </c>
      <c r="AH262" s="78">
        <v>357</v>
      </c>
      <c r="AI262" s="78">
        <v>98</v>
      </c>
      <c r="AJ262" s="78">
        <v>360.57</v>
      </c>
      <c r="AK262" s="78">
        <v>102.9</v>
      </c>
      <c r="AL262" s="78">
        <v>455</v>
      </c>
      <c r="AM262" s="78">
        <v>31818</v>
      </c>
      <c r="AN262" s="78">
        <v>32136.18</v>
      </c>
      <c r="AO262" s="78">
        <v>39</v>
      </c>
      <c r="AP262" s="78">
        <v>0</v>
      </c>
      <c r="AQ262" s="78">
        <v>0</v>
      </c>
      <c r="AR262" s="78">
        <v>1100</v>
      </c>
      <c r="AS262" s="78">
        <v>4083</v>
      </c>
      <c r="AT262" s="78">
        <v>4083</v>
      </c>
      <c r="AU262" s="400">
        <v>1.541239E-3</v>
      </c>
      <c r="AV262" s="400">
        <v>1.7147130000000001E-3</v>
      </c>
      <c r="AW262" s="78">
        <v>59181.48</v>
      </c>
      <c r="AX262" s="78">
        <v>0</v>
      </c>
      <c r="AY262" s="78">
        <v>2035.28</v>
      </c>
      <c r="AZ262" s="78">
        <v>18674.094156555399</v>
      </c>
      <c r="BA262" s="78">
        <v>8</v>
      </c>
      <c r="BB262" s="78">
        <v>8.4</v>
      </c>
      <c r="BC262" s="78">
        <v>7305</v>
      </c>
      <c r="BD262" s="78">
        <v>1</v>
      </c>
      <c r="BE262" s="78">
        <v>0</v>
      </c>
      <c r="BF262" s="78">
        <v>0</v>
      </c>
      <c r="BG262" s="78">
        <v>0</v>
      </c>
      <c r="BH262" s="78">
        <v>0</v>
      </c>
      <c r="BI262" s="78">
        <v>0</v>
      </c>
      <c r="BJ262" s="78">
        <v>0</v>
      </c>
      <c r="BK262" s="78">
        <v>0</v>
      </c>
      <c r="BL262" s="78">
        <v>0</v>
      </c>
      <c r="BM262" s="78">
        <v>1932.0419999999999</v>
      </c>
      <c r="BN262" s="78">
        <v>221</v>
      </c>
      <c r="BO262" s="78">
        <v>350</v>
      </c>
      <c r="BP262" s="78">
        <v>19984.900000000001</v>
      </c>
      <c r="BQ262" s="78">
        <v>4358.97</v>
      </c>
      <c r="BR262" s="78">
        <v>575.043191463781</v>
      </c>
      <c r="BS262" s="78">
        <v>941</v>
      </c>
      <c r="BT262" s="78">
        <v>517</v>
      </c>
      <c r="BU262" s="78">
        <v>421.66666666666703</v>
      </c>
      <c r="BV262" s="78">
        <v>4004</v>
      </c>
      <c r="BW262" s="78">
        <v>1022</v>
      </c>
      <c r="BX262" s="78">
        <v>14158.564921053399</v>
      </c>
      <c r="BY262" s="402">
        <v>5.2519999999999998</v>
      </c>
      <c r="BZ262" s="78">
        <v>52662</v>
      </c>
      <c r="CA262" s="78">
        <v>8496</v>
      </c>
      <c r="CB262" s="78">
        <v>1608</v>
      </c>
      <c r="CC262" s="78">
        <v>1925</v>
      </c>
      <c r="CD262" s="78">
        <v>1720</v>
      </c>
      <c r="CE262" s="78">
        <v>763</v>
      </c>
      <c r="CF262" s="78">
        <v>1111.63486077063</v>
      </c>
      <c r="CG262" s="78">
        <v>745.78300961719799</v>
      </c>
      <c r="CH262" s="78">
        <v>231.78322333270501</v>
      </c>
      <c r="CI262" s="78">
        <v>2460.3789999999999</v>
      </c>
      <c r="CJ262" s="78">
        <v>1650.6398999999999</v>
      </c>
      <c r="CK262" s="78">
        <v>513.00530000000003</v>
      </c>
      <c r="CL262" s="78">
        <v>100313</v>
      </c>
    </row>
    <row r="263" spans="1:90" x14ac:dyDescent="0.35">
      <c r="A263" s="72">
        <v>1721</v>
      </c>
      <c r="B263" s="72" t="s">
        <v>46</v>
      </c>
      <c r="C263" s="72">
        <v>10</v>
      </c>
      <c r="D263" s="78">
        <v>3744800000</v>
      </c>
      <c r="E263" s="78">
        <v>362950000</v>
      </c>
      <c r="F263" s="78">
        <v>413350000</v>
      </c>
      <c r="G263" s="78">
        <v>31715</v>
      </c>
      <c r="H263" s="78">
        <v>4</v>
      </c>
      <c r="I263" s="78">
        <v>413.35</v>
      </c>
      <c r="J263" s="78">
        <v>6037</v>
      </c>
      <c r="K263" s="78">
        <v>6909</v>
      </c>
      <c r="L263" s="78">
        <v>2239</v>
      </c>
      <c r="M263" s="78">
        <v>3352</v>
      </c>
      <c r="N263" s="78">
        <v>2034.1999999999998</v>
      </c>
      <c r="O263" s="78">
        <v>259.66666666666703</v>
      </c>
      <c r="P263" s="78">
        <v>60</v>
      </c>
      <c r="Q263" s="78">
        <v>1703.6666666666699</v>
      </c>
      <c r="R263" s="78">
        <v>3594</v>
      </c>
      <c r="S263" s="78">
        <v>495</v>
      </c>
      <c r="T263" s="78">
        <v>0</v>
      </c>
      <c r="U263" s="78">
        <v>782</v>
      </c>
      <c r="V263" s="78">
        <v>13511</v>
      </c>
      <c r="W263" s="78">
        <v>25570</v>
      </c>
      <c r="X263" s="78">
        <v>6450</v>
      </c>
      <c r="Y263" s="78">
        <v>0</v>
      </c>
      <c r="Z263" s="78">
        <v>776</v>
      </c>
      <c r="AA263" s="78">
        <v>0</v>
      </c>
      <c r="AB263" s="399">
        <v>0</v>
      </c>
      <c r="AC263" s="399">
        <v>0</v>
      </c>
      <c r="AD263" s="78">
        <v>8971</v>
      </c>
      <c r="AE263" s="78">
        <v>8971</v>
      </c>
      <c r="AF263" s="78">
        <v>69</v>
      </c>
      <c r="AG263" s="78">
        <v>0</v>
      </c>
      <c r="AH263" s="78">
        <v>188</v>
      </c>
      <c r="AI263" s="78">
        <v>151</v>
      </c>
      <c r="AJ263" s="78">
        <v>188</v>
      </c>
      <c r="AK263" s="78">
        <v>151</v>
      </c>
      <c r="AL263" s="78">
        <v>340</v>
      </c>
      <c r="AM263" s="78">
        <v>13178</v>
      </c>
      <c r="AN263" s="78">
        <v>13178</v>
      </c>
      <c r="AO263" s="78">
        <v>0</v>
      </c>
      <c r="AP263" s="78">
        <v>0</v>
      </c>
      <c r="AQ263" s="78">
        <v>0</v>
      </c>
      <c r="AR263" s="78">
        <v>0</v>
      </c>
      <c r="AS263" s="78">
        <v>0</v>
      </c>
      <c r="AT263" s="78">
        <v>0</v>
      </c>
      <c r="AU263" s="400">
        <v>1.39025E-4</v>
      </c>
      <c r="AV263" s="400">
        <v>9.2204E-5</v>
      </c>
      <c r="AW263" s="78">
        <v>9119.1759999999995</v>
      </c>
      <c r="AX263" s="78">
        <v>0</v>
      </c>
      <c r="AY263" s="78">
        <v>1126</v>
      </c>
      <c r="AZ263" s="78">
        <v>3950.3418141592902</v>
      </c>
      <c r="BA263" s="78">
        <v>8</v>
      </c>
      <c r="BB263" s="78">
        <v>8</v>
      </c>
      <c r="BC263" s="78">
        <v>4280</v>
      </c>
      <c r="BD263" s="78">
        <v>1</v>
      </c>
      <c r="BE263" s="78">
        <v>0</v>
      </c>
      <c r="BF263" s="78">
        <v>0</v>
      </c>
      <c r="BG263" s="78">
        <v>0</v>
      </c>
      <c r="BH263" s="78">
        <v>0</v>
      </c>
      <c r="BI263" s="78">
        <v>0</v>
      </c>
      <c r="BJ263" s="78">
        <v>0</v>
      </c>
      <c r="BK263" s="78">
        <v>0</v>
      </c>
      <c r="BL263" s="78">
        <v>0</v>
      </c>
      <c r="BM263" s="78">
        <v>440.70100000000002</v>
      </c>
      <c r="BN263" s="78">
        <v>72</v>
      </c>
      <c r="BO263" s="78">
        <v>43</v>
      </c>
      <c r="BP263" s="78">
        <v>9481.9699999999993</v>
      </c>
      <c r="BQ263" s="78">
        <v>2383.1999999999998</v>
      </c>
      <c r="BR263" s="78">
        <v>172.33719939577</v>
      </c>
      <c r="BS263" s="78">
        <v>317</v>
      </c>
      <c r="BT263" s="78">
        <v>82</v>
      </c>
      <c r="BU263" s="78">
        <v>62.6666666666667</v>
      </c>
      <c r="BV263" s="78">
        <v>1444.000000000003</v>
      </c>
      <c r="BW263" s="78">
        <v>321</v>
      </c>
      <c r="BX263" s="78">
        <v>5106.2611985375897</v>
      </c>
      <c r="BY263" s="402">
        <v>0.21</v>
      </c>
      <c r="BZ263" s="78">
        <v>24806</v>
      </c>
      <c r="CA263" s="78">
        <v>3834</v>
      </c>
      <c r="CB263" s="78">
        <v>836</v>
      </c>
      <c r="CC263" s="78">
        <v>587</v>
      </c>
      <c r="CD263" s="78">
        <v>630</v>
      </c>
      <c r="CE263" s="78">
        <v>345</v>
      </c>
      <c r="CF263" s="78">
        <v>347.16313552891199</v>
      </c>
      <c r="CG263" s="78">
        <v>222.59192593716801</v>
      </c>
      <c r="CH263" s="78">
        <v>78.416573076339404</v>
      </c>
      <c r="CI263" s="78">
        <v>900.72450000000003</v>
      </c>
      <c r="CJ263" s="78">
        <v>577.52099999999996</v>
      </c>
      <c r="CK263" s="78">
        <v>203.45400000000001</v>
      </c>
      <c r="CL263" s="78">
        <v>9790</v>
      </c>
    </row>
    <row r="264" spans="1:90" x14ac:dyDescent="0.35">
      <c r="A264" s="72">
        <v>753</v>
      </c>
      <c r="B264" s="72" t="s">
        <v>47</v>
      </c>
      <c r="C264" s="72">
        <v>10</v>
      </c>
      <c r="D264" s="78">
        <v>3723200000</v>
      </c>
      <c r="E264" s="78">
        <v>488250000</v>
      </c>
      <c r="F264" s="78">
        <v>498400000</v>
      </c>
      <c r="G264" s="78">
        <v>30608</v>
      </c>
      <c r="H264" s="78">
        <v>1</v>
      </c>
      <c r="I264" s="78">
        <v>498.4</v>
      </c>
      <c r="J264" s="78">
        <v>5703</v>
      </c>
      <c r="K264" s="78">
        <v>6062</v>
      </c>
      <c r="L264" s="78">
        <v>2056</v>
      </c>
      <c r="M264" s="78">
        <v>3230</v>
      </c>
      <c r="N264" s="78">
        <v>1904.6</v>
      </c>
      <c r="O264" s="78">
        <v>405.33333333333297</v>
      </c>
      <c r="P264" s="78">
        <v>55</v>
      </c>
      <c r="Q264" s="78">
        <v>1627.3333333333301</v>
      </c>
      <c r="R264" s="78">
        <v>4062</v>
      </c>
      <c r="S264" s="78">
        <v>1320</v>
      </c>
      <c r="T264" s="78">
        <v>0</v>
      </c>
      <c r="U264" s="78">
        <v>951</v>
      </c>
      <c r="V264" s="78">
        <v>13430</v>
      </c>
      <c r="W264" s="78">
        <v>30350</v>
      </c>
      <c r="X264" s="78">
        <v>18700</v>
      </c>
      <c r="Y264" s="78">
        <v>0</v>
      </c>
      <c r="Z264" s="78">
        <v>1393.6</v>
      </c>
      <c r="AA264" s="78">
        <v>0</v>
      </c>
      <c r="AB264" s="399">
        <v>0</v>
      </c>
      <c r="AC264" s="399">
        <v>0</v>
      </c>
      <c r="AD264" s="78">
        <v>3430</v>
      </c>
      <c r="AE264" s="78">
        <v>3430</v>
      </c>
      <c r="AF264" s="78">
        <v>80</v>
      </c>
      <c r="AG264" s="78">
        <v>0</v>
      </c>
      <c r="AH264" s="78">
        <v>181</v>
      </c>
      <c r="AI264" s="78">
        <v>52</v>
      </c>
      <c r="AJ264" s="78">
        <v>181</v>
      </c>
      <c r="AK264" s="78">
        <v>52</v>
      </c>
      <c r="AL264" s="78">
        <v>233</v>
      </c>
      <c r="AM264" s="78">
        <v>13254</v>
      </c>
      <c r="AN264" s="78">
        <v>13254</v>
      </c>
      <c r="AO264" s="78">
        <v>0</v>
      </c>
      <c r="AP264" s="78">
        <v>0</v>
      </c>
      <c r="AQ264" s="78">
        <v>0</v>
      </c>
      <c r="AR264" s="78">
        <v>0</v>
      </c>
      <c r="AS264" s="78">
        <v>0</v>
      </c>
      <c r="AT264" s="78">
        <v>0</v>
      </c>
      <c r="AU264" s="400">
        <v>7.6761999999999995E-5</v>
      </c>
      <c r="AV264" s="400">
        <v>2.15054E-4</v>
      </c>
      <c r="AW264" s="78">
        <v>19244.808000000001</v>
      </c>
      <c r="AX264" s="78">
        <v>0</v>
      </c>
      <c r="AY264" s="78">
        <v>493</v>
      </c>
      <c r="AZ264" s="78">
        <v>4299.07236467236</v>
      </c>
      <c r="BA264" s="78">
        <v>2</v>
      </c>
      <c r="BB264" s="78">
        <v>2</v>
      </c>
      <c r="BC264" s="78">
        <v>3590</v>
      </c>
      <c r="BD264" s="78">
        <v>1</v>
      </c>
      <c r="BE264" s="78">
        <v>0</v>
      </c>
      <c r="BF264" s="78">
        <v>0</v>
      </c>
      <c r="BG264" s="78">
        <v>0</v>
      </c>
      <c r="BH264" s="78">
        <v>0</v>
      </c>
      <c r="BI264" s="78">
        <v>0</v>
      </c>
      <c r="BJ264" s="78">
        <v>0</v>
      </c>
      <c r="BK264" s="78">
        <v>0</v>
      </c>
      <c r="BL264" s="78">
        <v>0</v>
      </c>
      <c r="BM264" s="78">
        <v>393.50700000000001</v>
      </c>
      <c r="BN264" s="78">
        <v>40</v>
      </c>
      <c r="BO264" s="78">
        <v>47</v>
      </c>
      <c r="BP264" s="78">
        <v>10270.26</v>
      </c>
      <c r="BQ264" s="78">
        <v>2421.2800000000002</v>
      </c>
      <c r="BR264" s="78">
        <v>226.36612423625201</v>
      </c>
      <c r="BS264" s="78">
        <v>366</v>
      </c>
      <c r="BT264" s="78">
        <v>114.666666666667</v>
      </c>
      <c r="BU264" s="78">
        <v>101</v>
      </c>
      <c r="BV264" s="78">
        <v>1221.999999999997</v>
      </c>
      <c r="BW264" s="78">
        <v>247</v>
      </c>
      <c r="BX264" s="78">
        <v>5518.7593539846403</v>
      </c>
      <c r="BY264" s="402">
        <v>0.438</v>
      </c>
      <c r="BZ264" s="78">
        <v>24546</v>
      </c>
      <c r="CA264" s="78">
        <v>3339</v>
      </c>
      <c r="CB264" s="78">
        <v>667</v>
      </c>
      <c r="CC264" s="78">
        <v>646</v>
      </c>
      <c r="CD264" s="78">
        <v>635</v>
      </c>
      <c r="CE264" s="78">
        <v>356</v>
      </c>
      <c r="CF264" s="78">
        <v>301.33893164327799</v>
      </c>
      <c r="CG264" s="78">
        <v>203.766621397314</v>
      </c>
      <c r="CH264" s="78">
        <v>75.155107891957101</v>
      </c>
      <c r="CI264" s="78">
        <v>774.8415</v>
      </c>
      <c r="CJ264" s="78">
        <v>523.95100000000002</v>
      </c>
      <c r="CK264" s="78">
        <v>193.24850000000001</v>
      </c>
      <c r="CL264" s="78">
        <v>8760</v>
      </c>
    </row>
    <row r="265" spans="1:90" x14ac:dyDescent="0.35">
      <c r="A265" s="72">
        <v>1728</v>
      </c>
      <c r="B265" s="72" t="s">
        <v>50</v>
      </c>
      <c r="C265" s="72">
        <v>10</v>
      </c>
      <c r="D265" s="78">
        <v>2620400000</v>
      </c>
      <c r="E265" s="78">
        <v>476000000</v>
      </c>
      <c r="F265" s="78">
        <v>507850000</v>
      </c>
      <c r="G265" s="78">
        <v>20718</v>
      </c>
      <c r="H265" s="78">
        <v>4</v>
      </c>
      <c r="I265" s="78">
        <v>507.85</v>
      </c>
      <c r="J265" s="78">
        <v>3751</v>
      </c>
      <c r="K265" s="78">
        <v>4645</v>
      </c>
      <c r="L265" s="78">
        <v>1693</v>
      </c>
      <c r="M265" s="78">
        <v>2361</v>
      </c>
      <c r="N265" s="78">
        <v>1383.4</v>
      </c>
      <c r="O265" s="78">
        <v>132</v>
      </c>
      <c r="P265" s="78">
        <v>47</v>
      </c>
      <c r="Q265" s="78">
        <v>1029</v>
      </c>
      <c r="R265" s="78">
        <v>2665</v>
      </c>
      <c r="S265" s="78">
        <v>230</v>
      </c>
      <c r="T265" s="78">
        <v>0</v>
      </c>
      <c r="U265" s="78">
        <v>484</v>
      </c>
      <c r="V265" s="78">
        <v>9119</v>
      </c>
      <c r="W265" s="78">
        <v>18500</v>
      </c>
      <c r="X265" s="78">
        <v>4600</v>
      </c>
      <c r="Y265" s="78">
        <v>667.26</v>
      </c>
      <c r="Z265" s="78">
        <v>1561.6</v>
      </c>
      <c r="AA265" s="78">
        <v>0</v>
      </c>
      <c r="AB265" s="399">
        <v>0</v>
      </c>
      <c r="AC265" s="399">
        <v>0</v>
      </c>
      <c r="AD265" s="78">
        <v>7531</v>
      </c>
      <c r="AE265" s="78">
        <v>7531</v>
      </c>
      <c r="AF265" s="78">
        <v>32</v>
      </c>
      <c r="AG265" s="78">
        <v>0</v>
      </c>
      <c r="AH265" s="78">
        <v>177</v>
      </c>
      <c r="AI265" s="78">
        <v>94</v>
      </c>
      <c r="AJ265" s="78">
        <v>177</v>
      </c>
      <c r="AK265" s="78">
        <v>94</v>
      </c>
      <c r="AL265" s="78">
        <v>271</v>
      </c>
      <c r="AM265" s="78">
        <v>9776</v>
      </c>
      <c r="AN265" s="78">
        <v>9776</v>
      </c>
      <c r="AO265" s="78">
        <v>0</v>
      </c>
      <c r="AP265" s="78">
        <v>0</v>
      </c>
      <c r="AQ265" s="78">
        <v>0</v>
      </c>
      <c r="AR265" s="78">
        <v>0</v>
      </c>
      <c r="AS265" s="78">
        <v>0</v>
      </c>
      <c r="AT265" s="78">
        <v>0</v>
      </c>
      <c r="AU265" s="400">
        <v>1.09221E-4</v>
      </c>
      <c r="AV265" s="400">
        <v>7.9597000000000004E-5</v>
      </c>
      <c r="AW265" s="78">
        <v>6823.6480000000001</v>
      </c>
      <c r="AX265" s="78">
        <v>0</v>
      </c>
      <c r="AY265" s="78">
        <v>617</v>
      </c>
      <c r="AZ265" s="78">
        <v>1690.20309401031</v>
      </c>
      <c r="BA265" s="78">
        <v>9</v>
      </c>
      <c r="BB265" s="78">
        <v>9</v>
      </c>
      <c r="BC265" s="78">
        <v>2845</v>
      </c>
      <c r="BD265" s="78">
        <v>1</v>
      </c>
      <c r="BE265" s="78">
        <v>0</v>
      </c>
      <c r="BF265" s="78">
        <v>0</v>
      </c>
      <c r="BG265" s="78">
        <v>0</v>
      </c>
      <c r="BH265" s="78">
        <v>0</v>
      </c>
      <c r="BI265" s="78">
        <v>0</v>
      </c>
      <c r="BJ265" s="78">
        <v>0</v>
      </c>
      <c r="BK265" s="78">
        <v>0</v>
      </c>
      <c r="BL265" s="78">
        <v>0</v>
      </c>
      <c r="BM265" s="78">
        <v>258.81900000000002</v>
      </c>
      <c r="BN265" s="78">
        <v>63</v>
      </c>
      <c r="BO265" s="78">
        <v>58</v>
      </c>
      <c r="BP265" s="78">
        <v>6218.1</v>
      </c>
      <c r="BQ265" s="78">
        <v>1409.67</v>
      </c>
      <c r="BR265" s="78">
        <v>135.50228789354099</v>
      </c>
      <c r="BS265" s="78">
        <v>188</v>
      </c>
      <c r="BT265" s="78">
        <v>39</v>
      </c>
      <c r="BU265" s="78">
        <v>27.3333333333333</v>
      </c>
      <c r="BV265" s="78">
        <v>897</v>
      </c>
      <c r="BW265" s="78">
        <v>208</v>
      </c>
      <c r="BX265" s="78">
        <v>3584.2170276194702</v>
      </c>
      <c r="BY265" s="402">
        <v>0.10299999999999999</v>
      </c>
      <c r="BZ265" s="78">
        <v>16073</v>
      </c>
      <c r="CA265" s="78">
        <v>2435</v>
      </c>
      <c r="CB265" s="78">
        <v>517</v>
      </c>
      <c r="CC265" s="78">
        <v>433</v>
      </c>
      <c r="CD265" s="78">
        <v>495</v>
      </c>
      <c r="CE265" s="78">
        <v>232</v>
      </c>
      <c r="CF265" s="78">
        <v>207.877925531915</v>
      </c>
      <c r="CG265" s="78">
        <v>161.03817512275</v>
      </c>
      <c r="CH265" s="78">
        <v>50.235986088379697</v>
      </c>
      <c r="CI265" s="78">
        <v>625.94090000000006</v>
      </c>
      <c r="CJ265" s="78">
        <v>484.90179999999998</v>
      </c>
      <c r="CK265" s="78">
        <v>151.2655</v>
      </c>
      <c r="CL265" s="78">
        <v>33099</v>
      </c>
    </row>
    <row r="266" spans="1:90" x14ac:dyDescent="0.35">
      <c r="A266" s="72">
        <v>755</v>
      </c>
      <c r="B266" s="72" t="s">
        <v>54</v>
      </c>
      <c r="C266" s="72">
        <v>10</v>
      </c>
      <c r="D266" s="78">
        <v>1174400000</v>
      </c>
      <c r="E266" s="78">
        <v>151900000</v>
      </c>
      <c r="F266" s="78">
        <v>174300000</v>
      </c>
      <c r="G266" s="78">
        <v>11030</v>
      </c>
      <c r="H266" s="78">
        <v>1</v>
      </c>
      <c r="I266" s="78">
        <v>174.3</v>
      </c>
      <c r="J266" s="78">
        <v>2160</v>
      </c>
      <c r="K266" s="78">
        <v>2153</v>
      </c>
      <c r="L266" s="78">
        <v>694</v>
      </c>
      <c r="M266" s="78">
        <v>1128</v>
      </c>
      <c r="N266" s="78">
        <v>661.5</v>
      </c>
      <c r="O266" s="78">
        <v>67.6666666666667</v>
      </c>
      <c r="P266" s="78">
        <v>28</v>
      </c>
      <c r="Q266" s="78">
        <v>642.66666666666697</v>
      </c>
      <c r="R266" s="78">
        <v>1145</v>
      </c>
      <c r="S266" s="78">
        <v>125</v>
      </c>
      <c r="T266" s="78">
        <v>0</v>
      </c>
      <c r="U266" s="78">
        <v>250</v>
      </c>
      <c r="V266" s="78">
        <v>4638</v>
      </c>
      <c r="W266" s="78">
        <v>9400</v>
      </c>
      <c r="X266" s="78">
        <v>2190</v>
      </c>
      <c r="Y266" s="78">
        <v>0</v>
      </c>
      <c r="Z266" s="78">
        <v>0</v>
      </c>
      <c r="AA266" s="78">
        <v>0</v>
      </c>
      <c r="AB266" s="399">
        <v>0</v>
      </c>
      <c r="AC266" s="399">
        <v>0</v>
      </c>
      <c r="AD266" s="78">
        <v>3451</v>
      </c>
      <c r="AE266" s="78">
        <v>3451</v>
      </c>
      <c r="AF266" s="78">
        <v>1</v>
      </c>
      <c r="AG266" s="78">
        <v>0</v>
      </c>
      <c r="AH266" s="78">
        <v>71</v>
      </c>
      <c r="AI266" s="78">
        <v>79</v>
      </c>
      <c r="AJ266" s="78">
        <v>71</v>
      </c>
      <c r="AK266" s="78">
        <v>79</v>
      </c>
      <c r="AL266" s="78">
        <v>150</v>
      </c>
      <c r="AM266" s="78">
        <v>4665</v>
      </c>
      <c r="AN266" s="78">
        <v>4665</v>
      </c>
      <c r="AO266" s="78">
        <v>0</v>
      </c>
      <c r="AP266" s="78">
        <v>0</v>
      </c>
      <c r="AQ266" s="78">
        <v>0</v>
      </c>
      <c r="AR266" s="78">
        <v>0</v>
      </c>
      <c r="AS266" s="78">
        <v>0</v>
      </c>
      <c r="AT266" s="78">
        <v>0</v>
      </c>
      <c r="AU266" s="400">
        <v>5.3584000000000001E-5</v>
      </c>
      <c r="AV266" s="400">
        <v>2.7067E-5</v>
      </c>
      <c r="AW266" s="78">
        <v>2612.4</v>
      </c>
      <c r="AX266" s="78">
        <v>0</v>
      </c>
      <c r="AY266" s="78">
        <v>166</v>
      </c>
      <c r="AZ266" s="78">
        <v>530.41135573580505</v>
      </c>
      <c r="BA266" s="78">
        <v>6</v>
      </c>
      <c r="BB266" s="78">
        <v>6</v>
      </c>
      <c r="BC266" s="78">
        <v>1510</v>
      </c>
      <c r="BD266" s="78">
        <v>1</v>
      </c>
      <c r="BE266" s="78">
        <v>0</v>
      </c>
      <c r="BF266" s="78">
        <v>0</v>
      </c>
      <c r="BG266" s="78">
        <v>0</v>
      </c>
      <c r="BH266" s="78">
        <v>0</v>
      </c>
      <c r="BI266" s="78">
        <v>0</v>
      </c>
      <c r="BJ266" s="78">
        <v>0</v>
      </c>
      <c r="BK266" s="78">
        <v>0</v>
      </c>
      <c r="BL266" s="78">
        <v>0</v>
      </c>
      <c r="BM266" s="78">
        <v>174.96</v>
      </c>
      <c r="BN266" s="78">
        <v>55</v>
      </c>
      <c r="BO266" s="78">
        <v>5</v>
      </c>
      <c r="BP266" s="78">
        <v>2817.75</v>
      </c>
      <c r="BQ266" s="78">
        <v>706.8</v>
      </c>
      <c r="BR266" s="78">
        <v>41.486639862148202</v>
      </c>
      <c r="BS266" s="78">
        <v>109</v>
      </c>
      <c r="BT266" s="78">
        <v>22.3333333333333</v>
      </c>
      <c r="BU266" s="78">
        <v>17.3333333333333</v>
      </c>
      <c r="BV266" s="78">
        <v>575.00000000000023</v>
      </c>
      <c r="BW266" s="78">
        <v>149</v>
      </c>
      <c r="BX266" s="78">
        <v>1506.6180855917501</v>
      </c>
      <c r="BY266" s="402">
        <v>5.6000000000000001E-2</v>
      </c>
      <c r="BZ266" s="78">
        <v>8877</v>
      </c>
      <c r="CA266" s="78">
        <v>1230</v>
      </c>
      <c r="CB266" s="78">
        <v>229</v>
      </c>
      <c r="CC266" s="78">
        <v>158</v>
      </c>
      <c r="CD266" s="78">
        <v>207</v>
      </c>
      <c r="CE266" s="78">
        <v>105</v>
      </c>
      <c r="CF266" s="78">
        <v>99.118649517684901</v>
      </c>
      <c r="CG266" s="78">
        <v>66.929903536977505</v>
      </c>
      <c r="CH266" s="78">
        <v>20.135691318328</v>
      </c>
      <c r="CI266" s="78">
        <v>313.92090000000002</v>
      </c>
      <c r="CJ266" s="78">
        <v>211.9752</v>
      </c>
      <c r="CK266" s="78">
        <v>63.772199999999998</v>
      </c>
      <c r="CL266" s="78">
        <v>7670</v>
      </c>
    </row>
    <row r="267" spans="1:90" x14ac:dyDescent="0.35">
      <c r="A267" s="72">
        <v>757</v>
      </c>
      <c r="B267" s="72" t="s">
        <v>59</v>
      </c>
      <c r="C267" s="72">
        <v>10</v>
      </c>
      <c r="D267" s="78">
        <v>3658800000</v>
      </c>
      <c r="E267" s="78">
        <v>421750000</v>
      </c>
      <c r="F267" s="78">
        <v>445550000</v>
      </c>
      <c r="G267" s="78">
        <v>33129</v>
      </c>
      <c r="H267" s="78">
        <v>3</v>
      </c>
      <c r="I267" s="78">
        <v>445.55</v>
      </c>
      <c r="J267" s="78">
        <v>6112</v>
      </c>
      <c r="K267" s="78">
        <v>7634</v>
      </c>
      <c r="L267" s="78">
        <v>2572</v>
      </c>
      <c r="M267" s="78">
        <v>4264</v>
      </c>
      <c r="N267" s="78">
        <v>2780.3</v>
      </c>
      <c r="O267" s="78">
        <v>432.33333333333297</v>
      </c>
      <c r="P267" s="78">
        <v>120</v>
      </c>
      <c r="Q267" s="78">
        <v>2154.3333333333298</v>
      </c>
      <c r="R267" s="78">
        <v>5188</v>
      </c>
      <c r="S267" s="78">
        <v>1555</v>
      </c>
      <c r="T267" s="78">
        <v>0</v>
      </c>
      <c r="U267" s="78">
        <v>1010</v>
      </c>
      <c r="V267" s="78">
        <v>15405</v>
      </c>
      <c r="W267" s="78">
        <v>31170</v>
      </c>
      <c r="X267" s="78">
        <v>17760</v>
      </c>
      <c r="Y267" s="78">
        <v>862.46</v>
      </c>
      <c r="Z267" s="78">
        <v>1710.4</v>
      </c>
      <c r="AA267" s="78">
        <v>0</v>
      </c>
      <c r="AB267" s="399">
        <v>0</v>
      </c>
      <c r="AC267" s="399">
        <v>13.899999999999636</v>
      </c>
      <c r="AD267" s="78">
        <v>6898</v>
      </c>
      <c r="AE267" s="78">
        <v>6898</v>
      </c>
      <c r="AF267" s="78">
        <v>134</v>
      </c>
      <c r="AG267" s="78">
        <v>0</v>
      </c>
      <c r="AH267" s="78">
        <v>191</v>
      </c>
      <c r="AI267" s="78">
        <v>58</v>
      </c>
      <c r="AJ267" s="78">
        <v>191</v>
      </c>
      <c r="AK267" s="78">
        <v>58</v>
      </c>
      <c r="AL267" s="78">
        <v>249</v>
      </c>
      <c r="AM267" s="78">
        <v>14837</v>
      </c>
      <c r="AN267" s="78">
        <v>14837</v>
      </c>
      <c r="AO267" s="78">
        <v>0</v>
      </c>
      <c r="AP267" s="78">
        <v>0</v>
      </c>
      <c r="AQ267" s="78">
        <v>0</v>
      </c>
      <c r="AR267" s="78">
        <v>0</v>
      </c>
      <c r="AS267" s="78">
        <v>1588</v>
      </c>
      <c r="AT267" s="78">
        <v>0</v>
      </c>
      <c r="AU267" s="400">
        <v>3.7831099999999999E-4</v>
      </c>
      <c r="AV267" s="400">
        <v>3.9722299999999999E-4</v>
      </c>
      <c r="AW267" s="78">
        <v>17329.616000000002</v>
      </c>
      <c r="AX267" s="78">
        <v>0</v>
      </c>
      <c r="AY267" s="78">
        <v>1790</v>
      </c>
      <c r="AZ267" s="78">
        <v>8433.0076791808897</v>
      </c>
      <c r="BA267" s="78">
        <v>5</v>
      </c>
      <c r="BB267" s="78">
        <v>5</v>
      </c>
      <c r="BC267" s="78">
        <v>4065</v>
      </c>
      <c r="BD267" s="78">
        <v>1</v>
      </c>
      <c r="BE267" s="78">
        <v>0</v>
      </c>
      <c r="BF267" s="78">
        <v>0</v>
      </c>
      <c r="BG267" s="78">
        <v>0</v>
      </c>
      <c r="BH267" s="78">
        <v>0</v>
      </c>
      <c r="BI267" s="78">
        <v>0</v>
      </c>
      <c r="BJ267" s="78">
        <v>0</v>
      </c>
      <c r="BK267" s="78">
        <v>0</v>
      </c>
      <c r="BL267" s="78">
        <v>0</v>
      </c>
      <c r="BM267" s="78">
        <v>660.096</v>
      </c>
      <c r="BN267" s="78">
        <v>85</v>
      </c>
      <c r="BO267" s="78">
        <v>84</v>
      </c>
      <c r="BP267" s="78">
        <v>10046.32</v>
      </c>
      <c r="BQ267" s="78">
        <v>2231.46</v>
      </c>
      <c r="BR267" s="78">
        <v>276.87035822113398</v>
      </c>
      <c r="BS267" s="78">
        <v>380</v>
      </c>
      <c r="BT267" s="78">
        <v>126.666666666667</v>
      </c>
      <c r="BU267" s="78">
        <v>112.333333333333</v>
      </c>
      <c r="BV267" s="78">
        <v>1721.9999999999968</v>
      </c>
      <c r="BW267" s="78">
        <v>376</v>
      </c>
      <c r="BX267" s="78">
        <v>5413.73253753071</v>
      </c>
      <c r="BY267" s="402">
        <v>0.56000000000000005</v>
      </c>
      <c r="BZ267" s="78">
        <v>25495</v>
      </c>
      <c r="CA267" s="78">
        <v>4257</v>
      </c>
      <c r="CB267" s="78">
        <v>805</v>
      </c>
      <c r="CC267" s="78">
        <v>884</v>
      </c>
      <c r="CD267" s="78">
        <v>791</v>
      </c>
      <c r="CE267" s="78">
        <v>400</v>
      </c>
      <c r="CF267" s="78">
        <v>488.14999663004699</v>
      </c>
      <c r="CG267" s="78">
        <v>322.68494978769297</v>
      </c>
      <c r="CH267" s="78">
        <v>101.003012738424</v>
      </c>
      <c r="CI267" s="78">
        <v>1129.528</v>
      </c>
      <c r="CJ267" s="78">
        <v>746.65920000000006</v>
      </c>
      <c r="CK267" s="78">
        <v>233.71039999999999</v>
      </c>
      <c r="CL267" s="78">
        <v>113090</v>
      </c>
    </row>
    <row r="268" spans="1:90" x14ac:dyDescent="0.35">
      <c r="A268" s="72">
        <v>758</v>
      </c>
      <c r="B268" s="72" t="s">
        <v>60</v>
      </c>
      <c r="C268" s="72">
        <v>10</v>
      </c>
      <c r="D268" s="78">
        <v>23083600000</v>
      </c>
      <c r="E268" s="78">
        <v>3231200000</v>
      </c>
      <c r="F268" s="78">
        <v>3292450000</v>
      </c>
      <c r="G268" s="78">
        <v>184702</v>
      </c>
      <c r="H268" s="78">
        <v>1</v>
      </c>
      <c r="I268" s="78">
        <v>3292.45</v>
      </c>
      <c r="J268" s="78">
        <v>34070</v>
      </c>
      <c r="K268" s="78">
        <v>35162</v>
      </c>
      <c r="L268" s="78">
        <v>11835</v>
      </c>
      <c r="M268" s="78">
        <v>26115</v>
      </c>
      <c r="N268" s="78">
        <v>17344.8</v>
      </c>
      <c r="O268" s="78">
        <v>4264.6666666666697</v>
      </c>
      <c r="P268" s="78">
        <v>14</v>
      </c>
      <c r="Q268" s="78">
        <v>11789.666666666701</v>
      </c>
      <c r="R268" s="78">
        <v>38250</v>
      </c>
      <c r="S268" s="78">
        <v>14755</v>
      </c>
      <c r="T268" s="78">
        <v>0</v>
      </c>
      <c r="U268" s="78">
        <v>6324</v>
      </c>
      <c r="V268" s="78">
        <v>91767</v>
      </c>
      <c r="W268" s="78">
        <v>206180</v>
      </c>
      <c r="X268" s="78">
        <v>289550</v>
      </c>
      <c r="Y268" s="78">
        <v>7287.7968000000001</v>
      </c>
      <c r="Z268" s="78">
        <v>8972.7999999999993</v>
      </c>
      <c r="AA268" s="78">
        <v>0</v>
      </c>
      <c r="AB268" s="399">
        <v>0</v>
      </c>
      <c r="AC268" s="399">
        <v>0</v>
      </c>
      <c r="AD268" s="78">
        <v>12558</v>
      </c>
      <c r="AE268" s="78">
        <v>12558</v>
      </c>
      <c r="AF268" s="78">
        <v>310</v>
      </c>
      <c r="AG268" s="78">
        <v>0</v>
      </c>
      <c r="AH268" s="78">
        <v>938</v>
      </c>
      <c r="AI268" s="78">
        <v>119</v>
      </c>
      <c r="AJ268" s="78">
        <v>938</v>
      </c>
      <c r="AK268" s="78">
        <v>119</v>
      </c>
      <c r="AL268" s="78">
        <v>1057</v>
      </c>
      <c r="AM268" s="78">
        <v>87702</v>
      </c>
      <c r="AN268" s="78">
        <v>87702</v>
      </c>
      <c r="AO268" s="78">
        <v>0</v>
      </c>
      <c r="AP268" s="78">
        <v>42</v>
      </c>
      <c r="AQ268" s="78">
        <v>0</v>
      </c>
      <c r="AR268" s="78">
        <v>0</v>
      </c>
      <c r="AS268" s="78">
        <v>12005</v>
      </c>
      <c r="AT268" s="78">
        <v>9613</v>
      </c>
      <c r="AU268" s="400">
        <v>5.6601309999999997E-3</v>
      </c>
      <c r="AV268" s="400">
        <v>7.3612529999999999E-3</v>
      </c>
      <c r="AW268" s="78">
        <v>194610.73800000001</v>
      </c>
      <c r="AX268" s="78">
        <v>0</v>
      </c>
      <c r="AY268" s="78">
        <v>3503</v>
      </c>
      <c r="AZ268" s="78">
        <v>50280.626826235602</v>
      </c>
      <c r="BA268" s="78">
        <v>7</v>
      </c>
      <c r="BB268" s="78">
        <v>7</v>
      </c>
      <c r="BC268" s="78">
        <v>26435</v>
      </c>
      <c r="BD268" s="78">
        <v>1</v>
      </c>
      <c r="BE268" s="78">
        <v>0</v>
      </c>
      <c r="BF268" s="78">
        <v>0</v>
      </c>
      <c r="BG268" s="78">
        <v>0</v>
      </c>
      <c r="BH268" s="78">
        <v>0</v>
      </c>
      <c r="BI268" s="78">
        <v>0</v>
      </c>
      <c r="BJ268" s="78">
        <v>0</v>
      </c>
      <c r="BK268" s="78">
        <v>0</v>
      </c>
      <c r="BL268" s="78">
        <v>0</v>
      </c>
      <c r="BM268" s="78">
        <v>4360.96</v>
      </c>
      <c r="BN268" s="78">
        <v>498</v>
      </c>
      <c r="BO268" s="78">
        <v>648</v>
      </c>
      <c r="BP268" s="78">
        <v>58860.78</v>
      </c>
      <c r="BQ268" s="78">
        <v>13590.82</v>
      </c>
      <c r="BR268" s="78">
        <v>1364.1190462700699</v>
      </c>
      <c r="BS268" s="78">
        <v>2474</v>
      </c>
      <c r="BT268" s="78">
        <v>1120</v>
      </c>
      <c r="BU268" s="78">
        <v>994.66666666666697</v>
      </c>
      <c r="BV268" s="78">
        <v>7525.0000000000309</v>
      </c>
      <c r="BW268" s="78">
        <v>2085</v>
      </c>
      <c r="BX268" s="78">
        <v>28045.3404286195</v>
      </c>
      <c r="BY268" s="402">
        <v>10.537000000000001</v>
      </c>
      <c r="BZ268" s="78">
        <v>149540</v>
      </c>
      <c r="CA268" s="78">
        <v>18947</v>
      </c>
      <c r="CB268" s="78">
        <v>4380</v>
      </c>
      <c r="CC268" s="78">
        <v>5013</v>
      </c>
      <c r="CD268" s="78">
        <v>4222</v>
      </c>
      <c r="CE268" s="78">
        <v>2218</v>
      </c>
      <c r="CF268" s="78">
        <v>2436.52295272628</v>
      </c>
      <c r="CG268" s="78">
        <v>1634.17119792023</v>
      </c>
      <c r="CH268" s="78">
        <v>607.74635014024796</v>
      </c>
      <c r="CI268" s="78">
        <v>5067.2160000000003</v>
      </c>
      <c r="CJ268" s="78">
        <v>3398.5718999999999</v>
      </c>
      <c r="CK268" s="78">
        <v>1263.9249</v>
      </c>
      <c r="CL268" s="78">
        <v>178728</v>
      </c>
    </row>
    <row r="269" spans="1:90" x14ac:dyDescent="0.35">
      <c r="A269" s="72">
        <v>1706</v>
      </c>
      <c r="B269" s="72" t="s">
        <v>71</v>
      </c>
      <c r="C269" s="72">
        <v>10</v>
      </c>
      <c r="D269" s="78">
        <v>2300400000</v>
      </c>
      <c r="E269" s="78">
        <v>340550000</v>
      </c>
      <c r="F269" s="78">
        <v>370300000</v>
      </c>
      <c r="G269" s="78">
        <v>20669</v>
      </c>
      <c r="H269" s="78">
        <v>4</v>
      </c>
      <c r="I269" s="78">
        <v>370.3</v>
      </c>
      <c r="J269" s="78">
        <v>3492</v>
      </c>
      <c r="K269" s="78">
        <v>5121</v>
      </c>
      <c r="L269" s="78">
        <v>1744</v>
      </c>
      <c r="M269" s="78">
        <v>2539</v>
      </c>
      <c r="N269" s="78">
        <v>1621.8</v>
      </c>
      <c r="O269" s="78">
        <v>229.333333333333</v>
      </c>
      <c r="P269" s="78">
        <v>16</v>
      </c>
      <c r="Q269" s="78">
        <v>1173.3333333333301</v>
      </c>
      <c r="R269" s="78">
        <v>2668</v>
      </c>
      <c r="S269" s="78">
        <v>570</v>
      </c>
      <c r="T269" s="78">
        <v>0</v>
      </c>
      <c r="U269" s="78">
        <v>538</v>
      </c>
      <c r="V269" s="78">
        <v>9536</v>
      </c>
      <c r="W269" s="78">
        <v>17770</v>
      </c>
      <c r="X269" s="78">
        <v>5180</v>
      </c>
      <c r="Y269" s="78">
        <v>0</v>
      </c>
      <c r="Z269" s="78">
        <v>360</v>
      </c>
      <c r="AA269" s="78">
        <v>0</v>
      </c>
      <c r="AB269" s="399">
        <v>0</v>
      </c>
      <c r="AC269" s="399">
        <v>192.59999999999997</v>
      </c>
      <c r="AD269" s="78">
        <v>7651</v>
      </c>
      <c r="AE269" s="78">
        <v>7651</v>
      </c>
      <c r="AF269" s="78">
        <v>154</v>
      </c>
      <c r="AG269" s="78">
        <v>0</v>
      </c>
      <c r="AH269" s="78">
        <v>166</v>
      </c>
      <c r="AI269" s="78">
        <v>68</v>
      </c>
      <c r="AJ269" s="78">
        <v>166</v>
      </c>
      <c r="AK269" s="78">
        <v>68</v>
      </c>
      <c r="AL269" s="78">
        <v>234</v>
      </c>
      <c r="AM269" s="78">
        <v>9172</v>
      </c>
      <c r="AN269" s="78">
        <v>9172</v>
      </c>
      <c r="AO269" s="78">
        <v>0</v>
      </c>
      <c r="AP269" s="78">
        <v>0</v>
      </c>
      <c r="AQ269" s="78">
        <v>0</v>
      </c>
      <c r="AR269" s="78">
        <v>0</v>
      </c>
      <c r="AS269" s="78">
        <v>0</v>
      </c>
      <c r="AT269" s="78">
        <v>0</v>
      </c>
      <c r="AU269" s="400">
        <v>1.6137500000000001E-4</v>
      </c>
      <c r="AV269" s="400">
        <v>1.0402400000000001E-4</v>
      </c>
      <c r="AW269" s="78">
        <v>5475.6840000000002</v>
      </c>
      <c r="AX269" s="78">
        <v>0</v>
      </c>
      <c r="AY269" s="78">
        <v>707</v>
      </c>
      <c r="AZ269" s="78">
        <v>1872.2591928251099</v>
      </c>
      <c r="BA269" s="78">
        <v>10</v>
      </c>
      <c r="BB269" s="78">
        <v>10</v>
      </c>
      <c r="BC269" s="78">
        <v>2710</v>
      </c>
      <c r="BD269" s="78">
        <v>1</v>
      </c>
      <c r="BE269" s="78">
        <v>0</v>
      </c>
      <c r="BF269" s="78">
        <v>0</v>
      </c>
      <c r="BG269" s="78">
        <v>0</v>
      </c>
      <c r="BH269" s="78">
        <v>0</v>
      </c>
      <c r="BI269" s="78">
        <v>0</v>
      </c>
      <c r="BJ269" s="78">
        <v>0</v>
      </c>
      <c r="BK269" s="78">
        <v>0</v>
      </c>
      <c r="BL269" s="78">
        <v>0</v>
      </c>
      <c r="BM269" s="78">
        <v>328.24799999999999</v>
      </c>
      <c r="BN269" s="78">
        <v>42</v>
      </c>
      <c r="BO269" s="78">
        <v>31</v>
      </c>
      <c r="BP269" s="78">
        <v>6194.13</v>
      </c>
      <c r="BQ269" s="78">
        <v>1301.52</v>
      </c>
      <c r="BR269" s="78">
        <v>122.304854539318</v>
      </c>
      <c r="BS269" s="78">
        <v>191</v>
      </c>
      <c r="BT269" s="78">
        <v>66.3333333333333</v>
      </c>
      <c r="BU269" s="78">
        <v>45.6666666666667</v>
      </c>
      <c r="BV269" s="78">
        <v>943.99999999999704</v>
      </c>
      <c r="BW269" s="78">
        <v>176</v>
      </c>
      <c r="BX269" s="78">
        <v>3610.8795162135102</v>
      </c>
      <c r="BY269" s="402">
        <v>0.32400000000000001</v>
      </c>
      <c r="BZ269" s="78">
        <v>15548</v>
      </c>
      <c r="CA269" s="78">
        <v>2874</v>
      </c>
      <c r="CB269" s="78">
        <v>503</v>
      </c>
      <c r="CC269" s="78">
        <v>493</v>
      </c>
      <c r="CD269" s="78">
        <v>510</v>
      </c>
      <c r="CE269" s="78">
        <v>238</v>
      </c>
      <c r="CF269" s="78">
        <v>305.01580898386402</v>
      </c>
      <c r="CG269" s="78">
        <v>211.654448320977</v>
      </c>
      <c r="CH269" s="78">
        <v>59.765416484954201</v>
      </c>
      <c r="CI269" s="78">
        <v>747.96</v>
      </c>
      <c r="CJ269" s="78">
        <v>519.01919999999996</v>
      </c>
      <c r="CK269" s="78">
        <v>146.55680000000001</v>
      </c>
      <c r="CL269" s="78">
        <v>0</v>
      </c>
    </row>
    <row r="270" spans="1:90" x14ac:dyDescent="0.35">
      <c r="A270" s="72">
        <v>762</v>
      </c>
      <c r="B270" s="72" t="s">
        <v>83</v>
      </c>
      <c r="C270" s="72">
        <v>10</v>
      </c>
      <c r="D270" s="78">
        <v>3720000000</v>
      </c>
      <c r="E270" s="78">
        <v>499450000</v>
      </c>
      <c r="F270" s="78">
        <v>565950000</v>
      </c>
      <c r="G270" s="78">
        <v>32606</v>
      </c>
      <c r="H270" s="78">
        <v>3</v>
      </c>
      <c r="I270" s="78">
        <v>565.95000000000005</v>
      </c>
      <c r="J270" s="78">
        <v>6067</v>
      </c>
      <c r="K270" s="78">
        <v>7375</v>
      </c>
      <c r="L270" s="78">
        <v>2396</v>
      </c>
      <c r="M270" s="78">
        <v>4047</v>
      </c>
      <c r="N270" s="78">
        <v>2596.1999999999998</v>
      </c>
      <c r="O270" s="78">
        <v>337.66666666666703</v>
      </c>
      <c r="P270" s="78">
        <v>80</v>
      </c>
      <c r="Q270" s="78">
        <v>2090.6666666666702</v>
      </c>
      <c r="R270" s="78">
        <v>4411</v>
      </c>
      <c r="S270" s="78">
        <v>665</v>
      </c>
      <c r="T270" s="78">
        <v>0</v>
      </c>
      <c r="U270" s="78">
        <v>868</v>
      </c>
      <c r="V270" s="78">
        <v>14661</v>
      </c>
      <c r="W270" s="78">
        <v>31830</v>
      </c>
      <c r="X270" s="78">
        <v>22570</v>
      </c>
      <c r="Y270" s="78">
        <v>752.86</v>
      </c>
      <c r="Z270" s="78">
        <v>2212.8000000000002</v>
      </c>
      <c r="AA270" s="78">
        <v>0</v>
      </c>
      <c r="AB270" s="399">
        <v>0</v>
      </c>
      <c r="AC270" s="399">
        <v>0</v>
      </c>
      <c r="AD270" s="78">
        <v>11689</v>
      </c>
      <c r="AE270" s="78">
        <v>11689</v>
      </c>
      <c r="AF270" s="78">
        <v>147</v>
      </c>
      <c r="AG270" s="78">
        <v>0</v>
      </c>
      <c r="AH270" s="78">
        <v>226</v>
      </c>
      <c r="AI270" s="78">
        <v>190</v>
      </c>
      <c r="AJ270" s="78">
        <v>226</v>
      </c>
      <c r="AK270" s="78">
        <v>190</v>
      </c>
      <c r="AL270" s="78">
        <v>416</v>
      </c>
      <c r="AM270" s="78">
        <v>14508</v>
      </c>
      <c r="AN270" s="78">
        <v>14508</v>
      </c>
      <c r="AO270" s="78">
        <v>0</v>
      </c>
      <c r="AP270" s="78">
        <v>0</v>
      </c>
      <c r="AQ270" s="78">
        <v>0</v>
      </c>
      <c r="AR270" s="78">
        <v>0</v>
      </c>
      <c r="AS270" s="78">
        <v>720</v>
      </c>
      <c r="AT270" s="78">
        <v>0</v>
      </c>
      <c r="AU270" s="400">
        <v>2.331E-4</v>
      </c>
      <c r="AV270" s="400">
        <v>1.51934E-4</v>
      </c>
      <c r="AW270" s="78">
        <v>13028.183999999999</v>
      </c>
      <c r="AX270" s="78">
        <v>0</v>
      </c>
      <c r="AY270" s="78">
        <v>2228</v>
      </c>
      <c r="AZ270" s="78">
        <v>6137.7296383913499</v>
      </c>
      <c r="BA270" s="78">
        <v>6</v>
      </c>
      <c r="BB270" s="78">
        <v>6</v>
      </c>
      <c r="BC270" s="78">
        <v>4220</v>
      </c>
      <c r="BD270" s="78">
        <v>1</v>
      </c>
      <c r="BE270" s="78">
        <v>0</v>
      </c>
      <c r="BF270" s="78">
        <v>0</v>
      </c>
      <c r="BG270" s="78">
        <v>0</v>
      </c>
      <c r="BH270" s="78">
        <v>0</v>
      </c>
      <c r="BI270" s="78">
        <v>0</v>
      </c>
      <c r="BJ270" s="78">
        <v>0</v>
      </c>
      <c r="BK270" s="78">
        <v>0</v>
      </c>
      <c r="BL270" s="78">
        <v>0</v>
      </c>
      <c r="BM270" s="78">
        <v>600.63300000000004</v>
      </c>
      <c r="BN270" s="78">
        <v>91</v>
      </c>
      <c r="BO270" s="78">
        <v>55</v>
      </c>
      <c r="BP270" s="78">
        <v>8972.16</v>
      </c>
      <c r="BQ270" s="78">
        <v>1990.17</v>
      </c>
      <c r="BR270" s="78">
        <v>142.793412371134</v>
      </c>
      <c r="BS270" s="78">
        <v>351</v>
      </c>
      <c r="BT270" s="78">
        <v>94</v>
      </c>
      <c r="BU270" s="78">
        <v>72.6666666666667</v>
      </c>
      <c r="BV270" s="78">
        <v>1753.0000000000032</v>
      </c>
      <c r="BW270" s="78">
        <v>549</v>
      </c>
      <c r="BX270" s="78">
        <v>5977.5421697444299</v>
      </c>
      <c r="BY270" s="402">
        <v>0.438</v>
      </c>
      <c r="BZ270" s="78">
        <v>25231</v>
      </c>
      <c r="CA270" s="78">
        <v>4156</v>
      </c>
      <c r="CB270" s="78">
        <v>823</v>
      </c>
      <c r="CC270" s="78">
        <v>791</v>
      </c>
      <c r="CD270" s="78">
        <v>770</v>
      </c>
      <c r="CE270" s="78">
        <v>418</v>
      </c>
      <c r="CF270" s="78">
        <v>459.18453267162897</v>
      </c>
      <c r="CG270" s="78">
        <v>292.76145574855201</v>
      </c>
      <c r="CH270" s="78">
        <v>110.053970223325</v>
      </c>
      <c r="CI270" s="78">
        <v>1203.9672</v>
      </c>
      <c r="CJ270" s="78">
        <v>767.61120000000005</v>
      </c>
      <c r="CK270" s="78">
        <v>288.55799999999999</v>
      </c>
      <c r="CL270" s="78">
        <v>109673</v>
      </c>
    </row>
    <row r="271" spans="1:90" x14ac:dyDescent="0.35">
      <c r="A271" s="72">
        <v>766</v>
      </c>
      <c r="B271" s="72" t="s">
        <v>89</v>
      </c>
      <c r="C271" s="72">
        <v>10</v>
      </c>
      <c r="D271" s="78">
        <v>2758400000</v>
      </c>
      <c r="E271" s="78">
        <v>332850000</v>
      </c>
      <c r="F271" s="78">
        <v>358050000</v>
      </c>
      <c r="G271" s="78">
        <v>26483</v>
      </c>
      <c r="H271" s="78">
        <v>2</v>
      </c>
      <c r="I271" s="78">
        <v>358.05</v>
      </c>
      <c r="J271" s="78">
        <v>4812</v>
      </c>
      <c r="K271" s="78">
        <v>5872</v>
      </c>
      <c r="L271" s="78">
        <v>1958</v>
      </c>
      <c r="M271" s="78">
        <v>3186</v>
      </c>
      <c r="N271" s="78">
        <v>2018.6</v>
      </c>
      <c r="O271" s="78">
        <v>304.33333333333297</v>
      </c>
      <c r="P271" s="78">
        <v>40</v>
      </c>
      <c r="Q271" s="78">
        <v>1458.3333333333301</v>
      </c>
      <c r="R271" s="78">
        <v>3420</v>
      </c>
      <c r="S271" s="78">
        <v>1275</v>
      </c>
      <c r="T271" s="78">
        <v>0</v>
      </c>
      <c r="U271" s="78">
        <v>748</v>
      </c>
      <c r="V271" s="78">
        <v>11873</v>
      </c>
      <c r="W271" s="78">
        <v>24200</v>
      </c>
      <c r="X271" s="78">
        <v>10260</v>
      </c>
      <c r="Y271" s="78">
        <v>0</v>
      </c>
      <c r="Z271" s="78">
        <v>1049.5999999999999</v>
      </c>
      <c r="AA271" s="78">
        <v>0</v>
      </c>
      <c r="AB271" s="399">
        <v>0</v>
      </c>
      <c r="AC271" s="399">
        <v>0</v>
      </c>
      <c r="AD271" s="78">
        <v>2924</v>
      </c>
      <c r="AE271" s="78">
        <v>2924</v>
      </c>
      <c r="AF271" s="78">
        <v>50</v>
      </c>
      <c r="AG271" s="78">
        <v>0</v>
      </c>
      <c r="AH271" s="78">
        <v>151</v>
      </c>
      <c r="AI271" s="78">
        <v>51</v>
      </c>
      <c r="AJ271" s="78">
        <v>151</v>
      </c>
      <c r="AK271" s="78">
        <v>51</v>
      </c>
      <c r="AL271" s="78">
        <v>202</v>
      </c>
      <c r="AM271" s="78">
        <v>11674</v>
      </c>
      <c r="AN271" s="78">
        <v>11674</v>
      </c>
      <c r="AO271" s="78">
        <v>0</v>
      </c>
      <c r="AP271" s="78">
        <v>0</v>
      </c>
      <c r="AQ271" s="78">
        <v>0</v>
      </c>
      <c r="AR271" s="78">
        <v>0</v>
      </c>
      <c r="AS271" s="78">
        <v>1346</v>
      </c>
      <c r="AT271" s="78">
        <v>0</v>
      </c>
      <c r="AU271" s="400">
        <v>2.5246600000000002E-4</v>
      </c>
      <c r="AV271" s="400">
        <v>2.0193899999999999E-4</v>
      </c>
      <c r="AW271" s="78">
        <v>14417.39</v>
      </c>
      <c r="AX271" s="78">
        <v>0</v>
      </c>
      <c r="AY271" s="78">
        <v>647</v>
      </c>
      <c r="AZ271" s="78">
        <v>5761.4327505043702</v>
      </c>
      <c r="BA271" s="78">
        <v>3</v>
      </c>
      <c r="BB271" s="78">
        <v>3</v>
      </c>
      <c r="BC271" s="78">
        <v>3010</v>
      </c>
      <c r="BD271" s="78">
        <v>1</v>
      </c>
      <c r="BE271" s="78">
        <v>0</v>
      </c>
      <c r="BF271" s="78">
        <v>0</v>
      </c>
      <c r="BG271" s="78">
        <v>0</v>
      </c>
      <c r="BH271" s="78">
        <v>0</v>
      </c>
      <c r="BI271" s="78">
        <v>0</v>
      </c>
      <c r="BJ271" s="78">
        <v>0</v>
      </c>
      <c r="BK271" s="78">
        <v>0</v>
      </c>
      <c r="BL271" s="78">
        <v>0</v>
      </c>
      <c r="BM271" s="78">
        <v>365.71199999999999</v>
      </c>
      <c r="BN271" s="78">
        <v>112</v>
      </c>
      <c r="BO271" s="78">
        <v>68</v>
      </c>
      <c r="BP271" s="78">
        <v>7760.84</v>
      </c>
      <c r="BQ271" s="78">
        <v>1858.58</v>
      </c>
      <c r="BR271" s="78">
        <v>175.12309727626501</v>
      </c>
      <c r="BS271" s="78">
        <v>276</v>
      </c>
      <c r="BT271" s="78">
        <v>81.6666666666667</v>
      </c>
      <c r="BU271" s="78">
        <v>62.6666666666667</v>
      </c>
      <c r="BV271" s="78">
        <v>1153.999999999997</v>
      </c>
      <c r="BW271" s="78">
        <v>262</v>
      </c>
      <c r="BX271" s="78">
        <v>5061.82049150485</v>
      </c>
      <c r="BY271" s="402">
        <v>0.42699999999999999</v>
      </c>
      <c r="BZ271" s="78">
        <v>20611</v>
      </c>
      <c r="CA271" s="78">
        <v>3278</v>
      </c>
      <c r="CB271" s="78">
        <v>636</v>
      </c>
      <c r="CC271" s="78">
        <v>634</v>
      </c>
      <c r="CD271" s="78">
        <v>581</v>
      </c>
      <c r="CE271" s="78">
        <v>310</v>
      </c>
      <c r="CF271" s="78">
        <v>344.27210896008199</v>
      </c>
      <c r="CG271" s="78">
        <v>225.13424704471501</v>
      </c>
      <c r="CH271" s="78">
        <v>75.390577351379093</v>
      </c>
      <c r="CI271" s="78">
        <v>878.62829999999997</v>
      </c>
      <c r="CJ271" s="78">
        <v>574.57259999999997</v>
      </c>
      <c r="CK271" s="78">
        <v>192.4068</v>
      </c>
      <c r="CL271" s="78">
        <v>20433</v>
      </c>
    </row>
    <row r="272" spans="1:90" x14ac:dyDescent="0.35">
      <c r="A272" s="72">
        <v>1719</v>
      </c>
      <c r="B272" s="72" t="s">
        <v>92</v>
      </c>
      <c r="C272" s="72">
        <v>10</v>
      </c>
      <c r="D272" s="78">
        <v>3148800000</v>
      </c>
      <c r="E272" s="78">
        <v>332850000</v>
      </c>
      <c r="F272" s="78">
        <v>366100000</v>
      </c>
      <c r="G272" s="78">
        <v>27476</v>
      </c>
      <c r="H272" s="78">
        <v>5</v>
      </c>
      <c r="I272" s="78">
        <v>366.1</v>
      </c>
      <c r="J272" s="78">
        <v>4635</v>
      </c>
      <c r="K272" s="78">
        <v>6547</v>
      </c>
      <c r="L272" s="78">
        <v>2162</v>
      </c>
      <c r="M272" s="78">
        <v>3069</v>
      </c>
      <c r="N272" s="78">
        <v>1851.1</v>
      </c>
      <c r="O272" s="78">
        <v>172</v>
      </c>
      <c r="P272" s="78">
        <v>38</v>
      </c>
      <c r="Q272" s="78">
        <v>1306</v>
      </c>
      <c r="R272" s="78">
        <v>3388</v>
      </c>
      <c r="S272" s="78">
        <v>400</v>
      </c>
      <c r="T272" s="78">
        <v>0</v>
      </c>
      <c r="U272" s="78">
        <v>683</v>
      </c>
      <c r="V272" s="78">
        <v>12339</v>
      </c>
      <c r="W272" s="78">
        <v>19430</v>
      </c>
      <c r="X272" s="78">
        <v>2660</v>
      </c>
      <c r="Y272" s="78">
        <v>0</v>
      </c>
      <c r="Z272" s="78">
        <v>420</v>
      </c>
      <c r="AA272" s="78">
        <v>0</v>
      </c>
      <c r="AB272" s="399">
        <v>0</v>
      </c>
      <c r="AC272" s="399">
        <v>0</v>
      </c>
      <c r="AD272" s="78">
        <v>9468</v>
      </c>
      <c r="AE272" s="78">
        <v>9468</v>
      </c>
      <c r="AF272" s="78">
        <v>2475</v>
      </c>
      <c r="AG272" s="78">
        <v>0</v>
      </c>
      <c r="AH272" s="78">
        <v>156</v>
      </c>
      <c r="AI272" s="78">
        <v>61</v>
      </c>
      <c r="AJ272" s="78">
        <v>156</v>
      </c>
      <c r="AK272" s="78">
        <v>61</v>
      </c>
      <c r="AL272" s="78">
        <v>217</v>
      </c>
      <c r="AM272" s="78">
        <v>12179</v>
      </c>
      <c r="AN272" s="78">
        <v>12179</v>
      </c>
      <c r="AO272" s="78">
        <v>0</v>
      </c>
      <c r="AP272" s="78">
        <v>0</v>
      </c>
      <c r="AQ272" s="78">
        <v>0</v>
      </c>
      <c r="AR272" s="78">
        <v>0</v>
      </c>
      <c r="AS272" s="78">
        <v>1237</v>
      </c>
      <c r="AT272" s="78">
        <v>0</v>
      </c>
      <c r="AU272" s="400">
        <v>2.5231400000000001E-4</v>
      </c>
      <c r="AV272" s="400">
        <v>1.0967999999999999E-4</v>
      </c>
      <c r="AW272" s="78">
        <v>9682.3050000000003</v>
      </c>
      <c r="AX272" s="78">
        <v>0</v>
      </c>
      <c r="AY272" s="78">
        <v>4776</v>
      </c>
      <c r="AZ272" s="78">
        <v>11222.2999246421</v>
      </c>
      <c r="BA272" s="78">
        <v>7</v>
      </c>
      <c r="BB272" s="78">
        <v>7</v>
      </c>
      <c r="BC272" s="78">
        <v>3510</v>
      </c>
      <c r="BD272" s="78">
        <v>1</v>
      </c>
      <c r="BE272" s="78">
        <v>0</v>
      </c>
      <c r="BF272" s="78">
        <v>0</v>
      </c>
      <c r="BG272" s="78">
        <v>0</v>
      </c>
      <c r="BH272" s="78">
        <v>0</v>
      </c>
      <c r="BI272" s="78">
        <v>0</v>
      </c>
      <c r="BJ272" s="78">
        <v>0</v>
      </c>
      <c r="BK272" s="78">
        <v>0</v>
      </c>
      <c r="BL272" s="78">
        <v>0</v>
      </c>
      <c r="BM272" s="78">
        <v>315.18</v>
      </c>
      <c r="BN272" s="78">
        <v>100</v>
      </c>
      <c r="BO272" s="78">
        <v>42</v>
      </c>
      <c r="BP272" s="78">
        <v>8517.6</v>
      </c>
      <c r="BQ272" s="78">
        <v>1890.73</v>
      </c>
      <c r="BR272" s="78">
        <v>140.386195916383</v>
      </c>
      <c r="BS272" s="78">
        <v>277</v>
      </c>
      <c r="BT272" s="78">
        <v>51.6666666666667</v>
      </c>
      <c r="BU272" s="78">
        <v>43.6666666666667</v>
      </c>
      <c r="BV272" s="78">
        <v>1134</v>
      </c>
      <c r="BW272" s="78">
        <v>373</v>
      </c>
      <c r="BX272" s="78">
        <v>5294.09478499543</v>
      </c>
      <c r="BY272" s="402">
        <v>0.13600000000000001</v>
      </c>
      <c r="BZ272" s="78">
        <v>20929</v>
      </c>
      <c r="CA272" s="78">
        <v>3754</v>
      </c>
      <c r="CB272" s="78">
        <v>631</v>
      </c>
      <c r="CC272" s="78">
        <v>604</v>
      </c>
      <c r="CD272" s="78">
        <v>647</v>
      </c>
      <c r="CE272" s="78">
        <v>308</v>
      </c>
      <c r="CF272" s="78">
        <v>339.09221610969701</v>
      </c>
      <c r="CG272" s="78">
        <v>224.490902372937</v>
      </c>
      <c r="CH272" s="78">
        <v>65.508178011330997</v>
      </c>
      <c r="CI272" s="78">
        <v>885.48389999999995</v>
      </c>
      <c r="CJ272" s="78">
        <v>586.22130000000004</v>
      </c>
      <c r="CK272" s="78">
        <v>171.06389999999999</v>
      </c>
      <c r="CL272" s="78">
        <v>97820</v>
      </c>
    </row>
    <row r="273" spans="1:90" x14ac:dyDescent="0.35">
      <c r="A273" s="72">
        <v>770</v>
      </c>
      <c r="B273" s="72" t="s">
        <v>100</v>
      </c>
      <c r="C273" s="72">
        <v>10</v>
      </c>
      <c r="D273" s="78">
        <v>2703200000</v>
      </c>
      <c r="E273" s="78">
        <v>310450000</v>
      </c>
      <c r="F273" s="78">
        <v>344050000</v>
      </c>
      <c r="G273" s="78">
        <v>19823</v>
      </c>
      <c r="H273" s="78">
        <v>4</v>
      </c>
      <c r="I273" s="78">
        <v>344.05</v>
      </c>
      <c r="J273" s="78">
        <v>3621</v>
      </c>
      <c r="K273" s="78">
        <v>4552</v>
      </c>
      <c r="L273" s="78">
        <v>1535</v>
      </c>
      <c r="M273" s="78">
        <v>1975</v>
      </c>
      <c r="N273" s="78">
        <v>1073.3</v>
      </c>
      <c r="O273" s="78">
        <v>123.666666666667</v>
      </c>
      <c r="P273" s="78">
        <v>42</v>
      </c>
      <c r="Q273" s="78">
        <v>1134.6666666666699</v>
      </c>
      <c r="R273" s="78">
        <v>2506</v>
      </c>
      <c r="S273" s="78">
        <v>255</v>
      </c>
      <c r="T273" s="78">
        <v>0</v>
      </c>
      <c r="U273" s="78">
        <v>417</v>
      </c>
      <c r="V273" s="78">
        <v>8781</v>
      </c>
      <c r="W273" s="78">
        <v>15990</v>
      </c>
      <c r="X273" s="78">
        <v>4960</v>
      </c>
      <c r="Y273" s="78">
        <v>404.82</v>
      </c>
      <c r="Z273" s="78">
        <v>856.8</v>
      </c>
      <c r="AA273" s="78">
        <v>0</v>
      </c>
      <c r="AB273" s="399">
        <v>0</v>
      </c>
      <c r="AC273" s="399">
        <v>0</v>
      </c>
      <c r="AD273" s="78">
        <v>8244</v>
      </c>
      <c r="AE273" s="78">
        <v>8244</v>
      </c>
      <c r="AF273" s="78">
        <v>89</v>
      </c>
      <c r="AG273" s="78">
        <v>0</v>
      </c>
      <c r="AH273" s="78">
        <v>132</v>
      </c>
      <c r="AI273" s="78">
        <v>89</v>
      </c>
      <c r="AJ273" s="78">
        <v>132</v>
      </c>
      <c r="AK273" s="78">
        <v>89</v>
      </c>
      <c r="AL273" s="78">
        <v>221</v>
      </c>
      <c r="AM273" s="78">
        <v>9017</v>
      </c>
      <c r="AN273" s="78">
        <v>9017</v>
      </c>
      <c r="AO273" s="78">
        <v>0</v>
      </c>
      <c r="AP273" s="78">
        <v>0</v>
      </c>
      <c r="AQ273" s="78">
        <v>0</v>
      </c>
      <c r="AR273" s="78">
        <v>0</v>
      </c>
      <c r="AS273" s="78">
        <v>0</v>
      </c>
      <c r="AT273" s="78">
        <v>0</v>
      </c>
      <c r="AU273" s="400">
        <v>9.4083E-5</v>
      </c>
      <c r="AV273" s="400">
        <v>5.6078000000000001E-5</v>
      </c>
      <c r="AW273" s="78">
        <v>5283.9620000000004</v>
      </c>
      <c r="AX273" s="78">
        <v>0</v>
      </c>
      <c r="AY273" s="78">
        <v>545</v>
      </c>
      <c r="AZ273" s="78">
        <v>1296.47605904236</v>
      </c>
      <c r="BA273" s="78">
        <v>11</v>
      </c>
      <c r="BB273" s="78">
        <v>11</v>
      </c>
      <c r="BC273" s="78">
        <v>2820</v>
      </c>
      <c r="BD273" s="78">
        <v>1</v>
      </c>
      <c r="BE273" s="78">
        <v>0</v>
      </c>
      <c r="BF273" s="78">
        <v>0</v>
      </c>
      <c r="BG273" s="78">
        <v>0</v>
      </c>
      <c r="BH273" s="78">
        <v>0</v>
      </c>
      <c r="BI273" s="78">
        <v>0</v>
      </c>
      <c r="BJ273" s="78">
        <v>0</v>
      </c>
      <c r="BK273" s="78">
        <v>0</v>
      </c>
      <c r="BL273" s="78">
        <v>0</v>
      </c>
      <c r="BM273" s="78">
        <v>278.81700000000001</v>
      </c>
      <c r="BN273" s="78">
        <v>30</v>
      </c>
      <c r="BO273" s="78">
        <v>23</v>
      </c>
      <c r="BP273" s="78">
        <v>6431.04</v>
      </c>
      <c r="BQ273" s="78">
        <v>1486.1</v>
      </c>
      <c r="BR273" s="78">
        <v>116.421010221465</v>
      </c>
      <c r="BS273" s="78">
        <v>156</v>
      </c>
      <c r="BT273" s="78">
        <v>43.6666666666667</v>
      </c>
      <c r="BU273" s="78">
        <v>21.3333333333333</v>
      </c>
      <c r="BV273" s="78">
        <v>1011.000000000003</v>
      </c>
      <c r="BW273" s="78">
        <v>408</v>
      </c>
      <c r="BX273" s="78">
        <v>3162.7064584186801</v>
      </c>
      <c r="BY273" s="402">
        <v>9.8000000000000004E-2</v>
      </c>
      <c r="BZ273" s="78">
        <v>15271</v>
      </c>
      <c r="CA273" s="78">
        <v>2446</v>
      </c>
      <c r="CB273" s="78">
        <v>571</v>
      </c>
      <c r="CC273" s="78">
        <v>426</v>
      </c>
      <c r="CD273" s="78">
        <v>432</v>
      </c>
      <c r="CE273" s="78">
        <v>278</v>
      </c>
      <c r="CF273" s="78">
        <v>174.38000443606501</v>
      </c>
      <c r="CG273" s="78">
        <v>120.459088388599</v>
      </c>
      <c r="CH273" s="78">
        <v>49.635810136408999</v>
      </c>
      <c r="CI273" s="78">
        <v>512.60350000000005</v>
      </c>
      <c r="CJ273" s="78">
        <v>354.09879999999998</v>
      </c>
      <c r="CK273" s="78">
        <v>145.9083</v>
      </c>
      <c r="CL273" s="78">
        <v>121910</v>
      </c>
    </row>
    <row r="274" spans="1:90" x14ac:dyDescent="0.35">
      <c r="A274" s="72">
        <v>772</v>
      </c>
      <c r="B274" s="72" t="s">
        <v>102</v>
      </c>
      <c r="C274" s="72">
        <v>10</v>
      </c>
      <c r="D274" s="78">
        <v>29628800000</v>
      </c>
      <c r="E274" s="78">
        <v>5997950000</v>
      </c>
      <c r="F274" s="78">
        <v>6063050000</v>
      </c>
      <c r="G274" s="78">
        <v>238326</v>
      </c>
      <c r="H274" s="78">
        <v>1</v>
      </c>
      <c r="I274" s="78">
        <v>6063.05</v>
      </c>
      <c r="J274" s="78">
        <v>39702</v>
      </c>
      <c r="K274" s="78">
        <v>39727</v>
      </c>
      <c r="L274" s="78">
        <v>13387</v>
      </c>
      <c r="M274" s="78">
        <v>38873</v>
      </c>
      <c r="N274" s="78">
        <v>26932.699999999997</v>
      </c>
      <c r="O274" s="78">
        <v>6424.6666666666697</v>
      </c>
      <c r="P274" s="78">
        <v>586</v>
      </c>
      <c r="Q274" s="78">
        <v>18110.666666666701</v>
      </c>
      <c r="R274" s="78">
        <v>60586</v>
      </c>
      <c r="S274" s="78">
        <v>27670</v>
      </c>
      <c r="T274" s="78">
        <v>0</v>
      </c>
      <c r="U274" s="78">
        <v>8399</v>
      </c>
      <c r="V274" s="78">
        <v>126570</v>
      </c>
      <c r="W274" s="78">
        <v>278800</v>
      </c>
      <c r="X274" s="78">
        <v>544010</v>
      </c>
      <c r="Y274" s="78">
        <v>7151.0277999999998</v>
      </c>
      <c r="Z274" s="78">
        <v>11335.2</v>
      </c>
      <c r="AA274" s="78">
        <v>0</v>
      </c>
      <c r="AB274" s="399">
        <v>0</v>
      </c>
      <c r="AC274" s="399">
        <v>0</v>
      </c>
      <c r="AD274" s="78">
        <v>8749</v>
      </c>
      <c r="AE274" s="78">
        <v>8749</v>
      </c>
      <c r="AF274" s="78">
        <v>142</v>
      </c>
      <c r="AG274" s="78">
        <v>0</v>
      </c>
      <c r="AH274" s="78">
        <v>1151</v>
      </c>
      <c r="AI274" s="78">
        <v>130</v>
      </c>
      <c r="AJ274" s="78">
        <v>1151</v>
      </c>
      <c r="AK274" s="78">
        <v>130</v>
      </c>
      <c r="AL274" s="78">
        <v>1281</v>
      </c>
      <c r="AM274" s="78">
        <v>119403</v>
      </c>
      <c r="AN274" s="78">
        <v>119403</v>
      </c>
      <c r="AO274" s="78">
        <v>9</v>
      </c>
      <c r="AP274" s="78">
        <v>0</v>
      </c>
      <c r="AQ274" s="78">
        <v>0</v>
      </c>
      <c r="AR274" s="78">
        <v>0</v>
      </c>
      <c r="AS274" s="78">
        <v>19215</v>
      </c>
      <c r="AT274" s="78">
        <v>18701</v>
      </c>
      <c r="AU274" s="400">
        <v>9.5433710000000001E-3</v>
      </c>
      <c r="AV274" s="400">
        <v>1.5647069999999999E-2</v>
      </c>
      <c r="AW274" s="78">
        <v>330268.69799999997</v>
      </c>
      <c r="AX274" s="78">
        <v>0</v>
      </c>
      <c r="AY274" s="78">
        <v>1753</v>
      </c>
      <c r="AZ274" s="78">
        <v>46989.706219772801</v>
      </c>
      <c r="BA274" s="78">
        <v>2</v>
      </c>
      <c r="BB274" s="78">
        <v>2</v>
      </c>
      <c r="BC274" s="78">
        <v>30195</v>
      </c>
      <c r="BD274" s="78">
        <v>1</v>
      </c>
      <c r="BE274" s="78">
        <v>0</v>
      </c>
      <c r="BF274" s="78">
        <v>0</v>
      </c>
      <c r="BG274" s="78">
        <v>0</v>
      </c>
      <c r="BH274" s="78">
        <v>0</v>
      </c>
      <c r="BI274" s="78">
        <v>0</v>
      </c>
      <c r="BJ274" s="78">
        <v>0</v>
      </c>
      <c r="BK274" s="78">
        <v>0</v>
      </c>
      <c r="BL274" s="78">
        <v>0</v>
      </c>
      <c r="BM274" s="78">
        <v>6590.5320000000002</v>
      </c>
      <c r="BN274" s="78">
        <v>689</v>
      </c>
      <c r="BO274" s="78">
        <v>897</v>
      </c>
      <c r="BP274" s="78">
        <v>73020.17</v>
      </c>
      <c r="BQ274" s="78">
        <v>14125.77</v>
      </c>
      <c r="BR274" s="78">
        <v>1503.34807967505</v>
      </c>
      <c r="BS274" s="78">
        <v>3146</v>
      </c>
      <c r="BT274" s="78">
        <v>1659.3333333333301</v>
      </c>
      <c r="BU274" s="78">
        <v>1648.3333333333301</v>
      </c>
      <c r="BV274" s="78">
        <v>11686.000000000031</v>
      </c>
      <c r="BW274" s="78">
        <v>2836</v>
      </c>
      <c r="BX274" s="78">
        <v>32448.843638832201</v>
      </c>
      <c r="BY274" s="402">
        <v>16.038</v>
      </c>
      <c r="BZ274" s="78">
        <v>198599</v>
      </c>
      <c r="CA274" s="78">
        <v>20944</v>
      </c>
      <c r="CB274" s="78">
        <v>5396</v>
      </c>
      <c r="CC274" s="78">
        <v>6161</v>
      </c>
      <c r="CD274" s="78">
        <v>5000</v>
      </c>
      <c r="CE274" s="78">
        <v>2986</v>
      </c>
      <c r="CF274" s="78">
        <v>3119.06213076723</v>
      </c>
      <c r="CG274" s="78">
        <v>2157.49416262573</v>
      </c>
      <c r="CH274" s="78">
        <v>933.14724001909497</v>
      </c>
      <c r="CI274" s="78">
        <v>6659.5648000000001</v>
      </c>
      <c r="CJ274" s="78">
        <v>4606.5039999999999</v>
      </c>
      <c r="CK274" s="78">
        <v>1992.3792000000001</v>
      </c>
      <c r="CL274" s="78">
        <v>340061</v>
      </c>
    </row>
    <row r="275" spans="1:90" x14ac:dyDescent="0.35">
      <c r="A275" s="72">
        <v>777</v>
      </c>
      <c r="B275" s="72" t="s">
        <v>109</v>
      </c>
      <c r="C275" s="72">
        <v>10</v>
      </c>
      <c r="D275" s="78">
        <v>4742800000</v>
      </c>
      <c r="E275" s="78">
        <v>774550000</v>
      </c>
      <c r="F275" s="78">
        <v>807800000</v>
      </c>
      <c r="G275" s="78">
        <v>44152</v>
      </c>
      <c r="H275" s="78">
        <v>1</v>
      </c>
      <c r="I275" s="78">
        <v>807.8</v>
      </c>
      <c r="J275" s="78">
        <v>8730</v>
      </c>
      <c r="K275" s="78">
        <v>9503</v>
      </c>
      <c r="L275" s="78">
        <v>3144</v>
      </c>
      <c r="M275" s="78">
        <v>5209</v>
      </c>
      <c r="N275" s="78">
        <v>3275.2</v>
      </c>
      <c r="O275" s="78">
        <v>682</v>
      </c>
      <c r="P275" s="78">
        <v>42</v>
      </c>
      <c r="Q275" s="78">
        <v>2783</v>
      </c>
      <c r="R275" s="78">
        <v>5896</v>
      </c>
      <c r="S275" s="78">
        <v>2715</v>
      </c>
      <c r="T275" s="78">
        <v>0</v>
      </c>
      <c r="U275" s="78">
        <v>1452</v>
      </c>
      <c r="V275" s="78">
        <v>19635</v>
      </c>
      <c r="W275" s="78">
        <v>47110</v>
      </c>
      <c r="X275" s="78">
        <v>38130</v>
      </c>
      <c r="Y275" s="78">
        <v>336.6</v>
      </c>
      <c r="Z275" s="78">
        <v>2605.6</v>
      </c>
      <c r="AA275" s="78">
        <v>0</v>
      </c>
      <c r="AB275" s="399">
        <v>0</v>
      </c>
      <c r="AC275" s="399">
        <v>0</v>
      </c>
      <c r="AD275" s="78">
        <v>5528</v>
      </c>
      <c r="AE275" s="78">
        <v>5583.28</v>
      </c>
      <c r="AF275" s="78">
        <v>64</v>
      </c>
      <c r="AG275" s="78">
        <v>0</v>
      </c>
      <c r="AH275" s="78">
        <v>253</v>
      </c>
      <c r="AI275" s="78">
        <v>98</v>
      </c>
      <c r="AJ275" s="78">
        <v>253</v>
      </c>
      <c r="AK275" s="78">
        <v>98.98</v>
      </c>
      <c r="AL275" s="78">
        <v>350</v>
      </c>
      <c r="AM275" s="78">
        <v>19338</v>
      </c>
      <c r="AN275" s="78">
        <v>19338</v>
      </c>
      <c r="AO275" s="78">
        <v>0</v>
      </c>
      <c r="AP275" s="78">
        <v>0</v>
      </c>
      <c r="AQ275" s="78">
        <v>0</v>
      </c>
      <c r="AR275" s="78">
        <v>0</v>
      </c>
      <c r="AS275" s="78">
        <v>542</v>
      </c>
      <c r="AT275" s="78">
        <v>0</v>
      </c>
      <c r="AU275" s="400">
        <v>1.68302E-4</v>
      </c>
      <c r="AV275" s="400">
        <v>2.28271E-4</v>
      </c>
      <c r="AW275" s="78">
        <v>32391.15</v>
      </c>
      <c r="AX275" s="78">
        <v>0</v>
      </c>
      <c r="AY275" s="78">
        <v>1011.01</v>
      </c>
      <c r="AZ275" s="78">
        <v>8540.7117167382003</v>
      </c>
      <c r="BA275" s="78">
        <v>4</v>
      </c>
      <c r="BB275" s="78">
        <v>4.04</v>
      </c>
      <c r="BC275" s="78">
        <v>4900</v>
      </c>
      <c r="BD275" s="78">
        <v>1</v>
      </c>
      <c r="BE275" s="78">
        <v>0</v>
      </c>
      <c r="BF275" s="78">
        <v>0</v>
      </c>
      <c r="BG275" s="78">
        <v>0</v>
      </c>
      <c r="BH275" s="78">
        <v>0</v>
      </c>
      <c r="BI275" s="78">
        <v>0</v>
      </c>
      <c r="BJ275" s="78">
        <v>0</v>
      </c>
      <c r="BK275" s="78">
        <v>0</v>
      </c>
      <c r="BL275" s="78">
        <v>0</v>
      </c>
      <c r="BM275" s="78">
        <v>934.11</v>
      </c>
      <c r="BN275" s="78">
        <v>154</v>
      </c>
      <c r="BO275" s="78">
        <v>91</v>
      </c>
      <c r="BP275" s="78">
        <v>13173.48</v>
      </c>
      <c r="BQ275" s="78">
        <v>3308.46</v>
      </c>
      <c r="BR275" s="78">
        <v>369.69040233984902</v>
      </c>
      <c r="BS275" s="78">
        <v>578</v>
      </c>
      <c r="BT275" s="78">
        <v>220.333333333333</v>
      </c>
      <c r="BU275" s="78">
        <v>179.333333333333</v>
      </c>
      <c r="BV275" s="78">
        <v>2101</v>
      </c>
      <c r="BW275" s="78">
        <v>479</v>
      </c>
      <c r="BX275" s="78">
        <v>8094.6037849050599</v>
      </c>
      <c r="BY275" s="402">
        <v>1.532</v>
      </c>
      <c r="BZ275" s="78">
        <v>34649</v>
      </c>
      <c r="CA275" s="78">
        <v>5383</v>
      </c>
      <c r="CB275" s="78">
        <v>976</v>
      </c>
      <c r="CC275" s="78">
        <v>1109</v>
      </c>
      <c r="CD275" s="78">
        <v>977</v>
      </c>
      <c r="CE275" s="78">
        <v>480</v>
      </c>
      <c r="CF275" s="78">
        <v>555.68989554245502</v>
      </c>
      <c r="CG275" s="78">
        <v>363.79820043437797</v>
      </c>
      <c r="CH275" s="78">
        <v>118.048112524563</v>
      </c>
      <c r="CI275" s="78">
        <v>1422.6415999999999</v>
      </c>
      <c r="CJ275" s="78">
        <v>931.37279999999998</v>
      </c>
      <c r="CK275" s="78">
        <v>302.2192</v>
      </c>
      <c r="CL275" s="78">
        <v>39403</v>
      </c>
    </row>
    <row r="276" spans="1:90" x14ac:dyDescent="0.35">
      <c r="A276" s="72">
        <v>779</v>
      </c>
      <c r="B276" s="72" t="s">
        <v>110</v>
      </c>
      <c r="C276" s="72">
        <v>10</v>
      </c>
      <c r="D276" s="78">
        <v>2272800000</v>
      </c>
      <c r="E276" s="78">
        <v>423150000</v>
      </c>
      <c r="F276" s="78">
        <v>432600000</v>
      </c>
      <c r="G276" s="78">
        <v>21944</v>
      </c>
      <c r="H276" s="78">
        <v>2</v>
      </c>
      <c r="I276" s="78">
        <v>432.6</v>
      </c>
      <c r="J276" s="78">
        <v>4073</v>
      </c>
      <c r="K276" s="78">
        <v>4796</v>
      </c>
      <c r="L276" s="78">
        <v>1636</v>
      </c>
      <c r="M276" s="78">
        <v>2831</v>
      </c>
      <c r="N276" s="78">
        <v>1835.9</v>
      </c>
      <c r="O276" s="78">
        <v>286.66666666666703</v>
      </c>
      <c r="P276" s="78">
        <v>46</v>
      </c>
      <c r="Q276" s="78">
        <v>1259.6666666666699</v>
      </c>
      <c r="R276" s="78">
        <v>3035</v>
      </c>
      <c r="S276" s="78">
        <v>515</v>
      </c>
      <c r="T276" s="78">
        <v>0</v>
      </c>
      <c r="U276" s="78">
        <v>750</v>
      </c>
      <c r="V276" s="78">
        <v>10036</v>
      </c>
      <c r="W276" s="78">
        <v>20530</v>
      </c>
      <c r="X276" s="78">
        <v>7090</v>
      </c>
      <c r="Y276" s="78">
        <v>0</v>
      </c>
      <c r="Z276" s="78">
        <v>1196</v>
      </c>
      <c r="AA276" s="78">
        <v>0</v>
      </c>
      <c r="AB276" s="399">
        <v>0</v>
      </c>
      <c r="AC276" s="399">
        <v>0</v>
      </c>
      <c r="AD276" s="78">
        <v>2658</v>
      </c>
      <c r="AE276" s="78">
        <v>2658</v>
      </c>
      <c r="AF276" s="78">
        <v>306</v>
      </c>
      <c r="AG276" s="78">
        <v>0</v>
      </c>
      <c r="AH276" s="78">
        <v>147</v>
      </c>
      <c r="AI276" s="78">
        <v>44</v>
      </c>
      <c r="AJ276" s="78">
        <v>147</v>
      </c>
      <c r="AK276" s="78">
        <v>44</v>
      </c>
      <c r="AL276" s="78">
        <v>191</v>
      </c>
      <c r="AM276" s="78">
        <v>9951</v>
      </c>
      <c r="AN276" s="78">
        <v>9951</v>
      </c>
      <c r="AO276" s="78">
        <v>13</v>
      </c>
      <c r="AP276" s="78">
        <v>0</v>
      </c>
      <c r="AQ276" s="78">
        <v>0</v>
      </c>
      <c r="AR276" s="78">
        <v>3600</v>
      </c>
      <c r="AS276" s="78">
        <v>1532</v>
      </c>
      <c r="AT276" s="78">
        <v>537</v>
      </c>
      <c r="AU276" s="400">
        <v>3.0082299999999998E-4</v>
      </c>
      <c r="AV276" s="400">
        <v>1.6282199999999999E-4</v>
      </c>
      <c r="AW276" s="78">
        <v>11095.365</v>
      </c>
      <c r="AX276" s="78">
        <v>0</v>
      </c>
      <c r="AY276" s="78">
        <v>1094</v>
      </c>
      <c r="AZ276" s="78">
        <v>8099.4385964912299</v>
      </c>
      <c r="BA276" s="78">
        <v>2</v>
      </c>
      <c r="BB276" s="78">
        <v>2</v>
      </c>
      <c r="BC276" s="78">
        <v>2620</v>
      </c>
      <c r="BD276" s="78">
        <v>1</v>
      </c>
      <c r="BE276" s="78">
        <v>0</v>
      </c>
      <c r="BF276" s="78">
        <v>0</v>
      </c>
      <c r="BG276" s="78">
        <v>0</v>
      </c>
      <c r="BH276" s="78">
        <v>0</v>
      </c>
      <c r="BI276" s="78">
        <v>0</v>
      </c>
      <c r="BJ276" s="78">
        <v>0</v>
      </c>
      <c r="BK276" s="78">
        <v>0</v>
      </c>
      <c r="BL276" s="78">
        <v>0</v>
      </c>
      <c r="BM276" s="78">
        <v>382.86200000000002</v>
      </c>
      <c r="BN276" s="78">
        <v>197</v>
      </c>
      <c r="BO276" s="78">
        <v>53</v>
      </c>
      <c r="BP276" s="78">
        <v>6491.63</v>
      </c>
      <c r="BQ276" s="78">
        <v>1553.5</v>
      </c>
      <c r="BR276" s="78">
        <v>213.005373095717</v>
      </c>
      <c r="BS276" s="78">
        <v>265</v>
      </c>
      <c r="BT276" s="78">
        <v>79</v>
      </c>
      <c r="BU276" s="78">
        <v>68</v>
      </c>
      <c r="BV276" s="78">
        <v>973.00000000000296</v>
      </c>
      <c r="BW276" s="78">
        <v>203</v>
      </c>
      <c r="BX276" s="78">
        <v>4268.4456775379003</v>
      </c>
      <c r="BY276" s="402">
        <v>0.439</v>
      </c>
      <c r="BZ276" s="78">
        <v>17148</v>
      </c>
      <c r="CA276" s="78">
        <v>2687</v>
      </c>
      <c r="CB276" s="78">
        <v>473</v>
      </c>
      <c r="CC276" s="78">
        <v>519</v>
      </c>
      <c r="CD276" s="78">
        <v>544</v>
      </c>
      <c r="CE276" s="78">
        <v>220</v>
      </c>
      <c r="CF276" s="78">
        <v>302.93918199175999</v>
      </c>
      <c r="CG276" s="78">
        <v>205.52633906140099</v>
      </c>
      <c r="CH276" s="78">
        <v>57.931122500251199</v>
      </c>
      <c r="CI276" s="78">
        <v>737.42219999999998</v>
      </c>
      <c r="CJ276" s="78">
        <v>500.29739999999998</v>
      </c>
      <c r="CK276" s="78">
        <v>141.01740000000001</v>
      </c>
      <c r="CL276" s="78">
        <v>56933</v>
      </c>
    </row>
    <row r="277" spans="1:90" x14ac:dyDescent="0.35">
      <c r="A277" s="72">
        <v>1771</v>
      </c>
      <c r="B277" s="72" t="s">
        <v>111</v>
      </c>
      <c r="C277" s="72">
        <v>10</v>
      </c>
      <c r="D277" s="78">
        <v>4727200000</v>
      </c>
      <c r="E277" s="78">
        <v>412650000</v>
      </c>
      <c r="F277" s="78">
        <v>435050000</v>
      </c>
      <c r="G277" s="78">
        <v>40131</v>
      </c>
      <c r="H277" s="78">
        <v>2</v>
      </c>
      <c r="I277" s="78">
        <v>435.05</v>
      </c>
      <c r="J277" s="78">
        <v>7424</v>
      </c>
      <c r="K277" s="78">
        <v>9106</v>
      </c>
      <c r="L277" s="78">
        <v>3140</v>
      </c>
      <c r="M277" s="78">
        <v>5176</v>
      </c>
      <c r="N277" s="78">
        <v>3344.6</v>
      </c>
      <c r="O277" s="78">
        <v>653.66666666666697</v>
      </c>
      <c r="P277" s="78">
        <v>70</v>
      </c>
      <c r="Q277" s="78">
        <v>2471.6666666666702</v>
      </c>
      <c r="R277" s="78">
        <v>6089</v>
      </c>
      <c r="S277" s="78">
        <v>1750</v>
      </c>
      <c r="T277" s="78">
        <v>0</v>
      </c>
      <c r="U277" s="78">
        <v>1351</v>
      </c>
      <c r="V277" s="78">
        <v>18365</v>
      </c>
      <c r="W277" s="78">
        <v>36390</v>
      </c>
      <c r="X277" s="78">
        <v>18050</v>
      </c>
      <c r="Y277" s="78">
        <v>340.56</v>
      </c>
      <c r="Z277" s="78">
        <v>856</v>
      </c>
      <c r="AA277" s="78">
        <v>0</v>
      </c>
      <c r="AB277" s="399">
        <v>0</v>
      </c>
      <c r="AC277" s="399">
        <v>0</v>
      </c>
      <c r="AD277" s="78">
        <v>3101</v>
      </c>
      <c r="AE277" s="78">
        <v>3101</v>
      </c>
      <c r="AF277" s="78">
        <v>37</v>
      </c>
      <c r="AG277" s="78">
        <v>0</v>
      </c>
      <c r="AH277" s="78">
        <v>231</v>
      </c>
      <c r="AI277" s="78">
        <v>24</v>
      </c>
      <c r="AJ277" s="78">
        <v>231</v>
      </c>
      <c r="AK277" s="78">
        <v>24</v>
      </c>
      <c r="AL277" s="78">
        <v>255</v>
      </c>
      <c r="AM277" s="78">
        <v>18314</v>
      </c>
      <c r="AN277" s="78">
        <v>18314</v>
      </c>
      <c r="AO277" s="78">
        <v>0</v>
      </c>
      <c r="AP277" s="78">
        <v>0</v>
      </c>
      <c r="AQ277" s="78">
        <v>0</v>
      </c>
      <c r="AR277" s="78">
        <v>0</v>
      </c>
      <c r="AS277" s="78">
        <v>1074</v>
      </c>
      <c r="AT277" s="78">
        <v>0</v>
      </c>
      <c r="AU277" s="400">
        <v>2.8959599999999998E-4</v>
      </c>
      <c r="AV277" s="400">
        <v>5.5208099999999995E-4</v>
      </c>
      <c r="AW277" s="78">
        <v>25126.808000000001</v>
      </c>
      <c r="AX277" s="78">
        <v>0</v>
      </c>
      <c r="AY277" s="78">
        <v>484</v>
      </c>
      <c r="AZ277" s="78">
        <v>6189.73996175908</v>
      </c>
      <c r="BA277" s="78">
        <v>2</v>
      </c>
      <c r="BB277" s="78">
        <v>2</v>
      </c>
      <c r="BC277" s="78">
        <v>4370</v>
      </c>
      <c r="BD277" s="78">
        <v>1</v>
      </c>
      <c r="BE277" s="78">
        <v>0</v>
      </c>
      <c r="BF277" s="78">
        <v>0</v>
      </c>
      <c r="BG277" s="78">
        <v>0</v>
      </c>
      <c r="BH277" s="78">
        <v>0</v>
      </c>
      <c r="BI277" s="78">
        <v>0</v>
      </c>
      <c r="BJ277" s="78">
        <v>0</v>
      </c>
      <c r="BK277" s="78">
        <v>0</v>
      </c>
      <c r="BL277" s="78">
        <v>0</v>
      </c>
      <c r="BM277" s="78">
        <v>913.15200000000004</v>
      </c>
      <c r="BN277" s="78">
        <v>103</v>
      </c>
      <c r="BO277" s="78">
        <v>130</v>
      </c>
      <c r="BP277" s="78">
        <v>12672.8</v>
      </c>
      <c r="BQ277" s="78">
        <v>2803.02</v>
      </c>
      <c r="BR277" s="78">
        <v>365.81490145395799</v>
      </c>
      <c r="BS277" s="78">
        <v>508</v>
      </c>
      <c r="BT277" s="78">
        <v>198.333333333333</v>
      </c>
      <c r="BU277" s="78">
        <v>193.333333333333</v>
      </c>
      <c r="BV277" s="78">
        <v>1818.0000000000032</v>
      </c>
      <c r="BW277" s="78">
        <v>395</v>
      </c>
      <c r="BX277" s="78">
        <v>7525.2686437378297</v>
      </c>
      <c r="BY277" s="402">
        <v>1.1859999999999999</v>
      </c>
      <c r="BZ277" s="78">
        <v>31025</v>
      </c>
      <c r="CA277" s="78">
        <v>4930</v>
      </c>
      <c r="CB277" s="78">
        <v>1036</v>
      </c>
      <c r="CC277" s="78">
        <v>1055</v>
      </c>
      <c r="CD277" s="78">
        <v>1034</v>
      </c>
      <c r="CE277" s="78">
        <v>554</v>
      </c>
      <c r="CF277" s="78">
        <v>567.05159986895296</v>
      </c>
      <c r="CG277" s="78">
        <v>398.12318444905497</v>
      </c>
      <c r="CH277" s="78">
        <v>141.717243638746</v>
      </c>
      <c r="CI277" s="78">
        <v>1334.529</v>
      </c>
      <c r="CJ277" s="78">
        <v>936.96400000000006</v>
      </c>
      <c r="CK277" s="78">
        <v>333.52480000000003</v>
      </c>
      <c r="CL277" s="78">
        <v>12427</v>
      </c>
    </row>
    <row r="278" spans="1:90" x14ac:dyDescent="0.35">
      <c r="A278" s="72">
        <v>1652</v>
      </c>
      <c r="B278" s="72" t="s">
        <v>112</v>
      </c>
      <c r="C278" s="72">
        <v>10</v>
      </c>
      <c r="D278" s="78">
        <v>3398000000</v>
      </c>
      <c r="E278" s="78">
        <v>411950000</v>
      </c>
      <c r="F278" s="78">
        <v>466200000</v>
      </c>
      <c r="G278" s="78">
        <v>31040</v>
      </c>
      <c r="H278" s="78">
        <v>4</v>
      </c>
      <c r="I278" s="78">
        <v>466.2</v>
      </c>
      <c r="J278" s="78">
        <v>6001</v>
      </c>
      <c r="K278" s="78">
        <v>6445</v>
      </c>
      <c r="L278" s="78">
        <v>2000</v>
      </c>
      <c r="M278" s="78">
        <v>3886</v>
      </c>
      <c r="N278" s="78">
        <v>2535.8000000000002</v>
      </c>
      <c r="O278" s="78">
        <v>360.33333333333297</v>
      </c>
      <c r="P278" s="78">
        <v>60</v>
      </c>
      <c r="Q278" s="78">
        <v>1901.3333333333301</v>
      </c>
      <c r="R278" s="78">
        <v>3997</v>
      </c>
      <c r="S278" s="78">
        <v>440</v>
      </c>
      <c r="T278" s="78">
        <v>0</v>
      </c>
      <c r="U278" s="78">
        <v>835</v>
      </c>
      <c r="V278" s="78">
        <v>13491</v>
      </c>
      <c r="W278" s="78">
        <v>26470</v>
      </c>
      <c r="X278" s="78">
        <v>11350</v>
      </c>
      <c r="Y278" s="78">
        <v>415.8</v>
      </c>
      <c r="Z278" s="78">
        <v>1442.4</v>
      </c>
      <c r="AA278" s="78">
        <v>0</v>
      </c>
      <c r="AB278" s="399">
        <v>0</v>
      </c>
      <c r="AC278" s="399">
        <v>0</v>
      </c>
      <c r="AD278" s="78">
        <v>12197</v>
      </c>
      <c r="AE278" s="78">
        <v>12197</v>
      </c>
      <c r="AF278" s="78">
        <v>137</v>
      </c>
      <c r="AG278" s="78">
        <v>0</v>
      </c>
      <c r="AH278" s="78">
        <v>200</v>
      </c>
      <c r="AI278" s="78">
        <v>174</v>
      </c>
      <c r="AJ278" s="78">
        <v>200</v>
      </c>
      <c r="AK278" s="78">
        <v>174</v>
      </c>
      <c r="AL278" s="78">
        <v>374</v>
      </c>
      <c r="AM278" s="78">
        <v>13502</v>
      </c>
      <c r="AN278" s="78">
        <v>13502</v>
      </c>
      <c r="AO278" s="78">
        <v>8</v>
      </c>
      <c r="AP278" s="78">
        <v>0</v>
      </c>
      <c r="AQ278" s="78">
        <v>0</v>
      </c>
      <c r="AR278" s="78">
        <v>0</v>
      </c>
      <c r="AS278" s="78">
        <v>663</v>
      </c>
      <c r="AT278" s="78">
        <v>663</v>
      </c>
      <c r="AU278" s="400">
        <v>2.2607899999999999E-4</v>
      </c>
      <c r="AV278" s="400">
        <v>1.18987E-4</v>
      </c>
      <c r="AW278" s="78">
        <v>10693.584000000001</v>
      </c>
      <c r="AX278" s="78">
        <v>0</v>
      </c>
      <c r="AY278" s="78">
        <v>1067</v>
      </c>
      <c r="AZ278" s="78">
        <v>2685.2343116588299</v>
      </c>
      <c r="BA278" s="78">
        <v>11</v>
      </c>
      <c r="BB278" s="78">
        <v>11</v>
      </c>
      <c r="BC278" s="78">
        <v>3890</v>
      </c>
      <c r="BD278" s="78">
        <v>1</v>
      </c>
      <c r="BE278" s="78">
        <v>0</v>
      </c>
      <c r="BF278" s="78">
        <v>0</v>
      </c>
      <c r="BG278" s="78">
        <v>0</v>
      </c>
      <c r="BH278" s="78">
        <v>0</v>
      </c>
      <c r="BI278" s="78">
        <v>0</v>
      </c>
      <c r="BJ278" s="78">
        <v>0</v>
      </c>
      <c r="BK278" s="78">
        <v>0</v>
      </c>
      <c r="BL278" s="78">
        <v>0</v>
      </c>
      <c r="BM278" s="78">
        <v>546.09100000000001</v>
      </c>
      <c r="BN278" s="78">
        <v>120</v>
      </c>
      <c r="BO278" s="78">
        <v>70</v>
      </c>
      <c r="BP278" s="78">
        <v>8770.08</v>
      </c>
      <c r="BQ278" s="78">
        <v>2121.6</v>
      </c>
      <c r="BR278" s="78">
        <v>173.905063610078</v>
      </c>
      <c r="BS278" s="78">
        <v>334</v>
      </c>
      <c r="BT278" s="78">
        <v>109.666666666667</v>
      </c>
      <c r="BU278" s="78">
        <v>85</v>
      </c>
      <c r="BV278" s="78">
        <v>1540.999999999997</v>
      </c>
      <c r="BW278" s="78">
        <v>378</v>
      </c>
      <c r="BX278" s="78">
        <v>4904.0374512353701</v>
      </c>
      <c r="BY278" s="402">
        <v>0.57499999999999996</v>
      </c>
      <c r="BZ278" s="78">
        <v>24595</v>
      </c>
      <c r="CA278" s="78">
        <v>3795</v>
      </c>
      <c r="CB278" s="78">
        <v>650</v>
      </c>
      <c r="CC278" s="78">
        <v>719</v>
      </c>
      <c r="CD278" s="78">
        <v>630</v>
      </c>
      <c r="CE278" s="78">
        <v>386</v>
      </c>
      <c r="CF278" s="78">
        <v>443.04193452821801</v>
      </c>
      <c r="CG278" s="78">
        <v>259.92795141460499</v>
      </c>
      <c r="CH278" s="78">
        <v>99.914501555325202</v>
      </c>
      <c r="CI278" s="78">
        <v>1106.8427999999999</v>
      </c>
      <c r="CJ278" s="78">
        <v>649.37279999999998</v>
      </c>
      <c r="CK278" s="78">
        <v>249.61439999999999</v>
      </c>
      <c r="CL278" s="78">
        <v>46248</v>
      </c>
    </row>
    <row r="279" spans="1:90" x14ac:dyDescent="0.35">
      <c r="A279" s="72">
        <v>784</v>
      </c>
      <c r="B279" s="72" t="s">
        <v>114</v>
      </c>
      <c r="C279" s="72">
        <v>10</v>
      </c>
      <c r="D279" s="78">
        <v>2742000000</v>
      </c>
      <c r="E279" s="78">
        <v>600950000</v>
      </c>
      <c r="F279" s="78">
        <v>624050000</v>
      </c>
      <c r="G279" s="78">
        <v>26557</v>
      </c>
      <c r="H279" s="78">
        <v>3</v>
      </c>
      <c r="I279" s="78">
        <v>624.04999999999995</v>
      </c>
      <c r="J279" s="78">
        <v>5024</v>
      </c>
      <c r="K279" s="78">
        <v>5788</v>
      </c>
      <c r="L279" s="78">
        <v>1972</v>
      </c>
      <c r="M279" s="78">
        <v>3267</v>
      </c>
      <c r="N279" s="78">
        <v>2100.5</v>
      </c>
      <c r="O279" s="78">
        <v>402.33333333333297</v>
      </c>
      <c r="P279" s="78">
        <v>28</v>
      </c>
      <c r="Q279" s="78">
        <v>1515.3333333333301</v>
      </c>
      <c r="R279" s="78">
        <v>3397</v>
      </c>
      <c r="S279" s="78">
        <v>1715</v>
      </c>
      <c r="T279" s="78">
        <v>0</v>
      </c>
      <c r="U279" s="78">
        <v>787</v>
      </c>
      <c r="V279" s="78">
        <v>12107</v>
      </c>
      <c r="W279" s="78">
        <v>21020</v>
      </c>
      <c r="X279" s="78">
        <v>5290</v>
      </c>
      <c r="Y279" s="78">
        <v>0</v>
      </c>
      <c r="Z279" s="78">
        <v>0</v>
      </c>
      <c r="AA279" s="78">
        <v>0</v>
      </c>
      <c r="AB279" s="399">
        <v>0</v>
      </c>
      <c r="AC279" s="399">
        <v>0</v>
      </c>
      <c r="AD279" s="78">
        <v>6539</v>
      </c>
      <c r="AE279" s="78">
        <v>6539</v>
      </c>
      <c r="AF279" s="78">
        <v>28</v>
      </c>
      <c r="AG279" s="78">
        <v>0</v>
      </c>
      <c r="AH279" s="78">
        <v>186</v>
      </c>
      <c r="AI279" s="78">
        <v>69</v>
      </c>
      <c r="AJ279" s="78">
        <v>186</v>
      </c>
      <c r="AK279" s="78">
        <v>69</v>
      </c>
      <c r="AL279" s="78">
        <v>254</v>
      </c>
      <c r="AM279" s="78">
        <v>11665</v>
      </c>
      <c r="AN279" s="78">
        <v>11665</v>
      </c>
      <c r="AO279" s="78">
        <v>0</v>
      </c>
      <c r="AP279" s="78">
        <v>0</v>
      </c>
      <c r="AQ279" s="78">
        <v>0</v>
      </c>
      <c r="AR279" s="78">
        <v>0</v>
      </c>
      <c r="AS279" s="78">
        <v>0</v>
      </c>
      <c r="AT279" s="78">
        <v>0</v>
      </c>
      <c r="AU279" s="400">
        <v>1.98715E-4</v>
      </c>
      <c r="AV279" s="400">
        <v>1.15251E-4</v>
      </c>
      <c r="AW279" s="78">
        <v>12726.514999999999</v>
      </c>
      <c r="AX279" s="78">
        <v>0</v>
      </c>
      <c r="AY279" s="78">
        <v>542</v>
      </c>
      <c r="AZ279" s="78">
        <v>2191.8522917618402</v>
      </c>
      <c r="BA279" s="78">
        <v>8</v>
      </c>
      <c r="BB279" s="78">
        <v>8</v>
      </c>
      <c r="BC279" s="78">
        <v>3125</v>
      </c>
      <c r="BD279" s="78">
        <v>1</v>
      </c>
      <c r="BE279" s="78">
        <v>0</v>
      </c>
      <c r="BF279" s="78">
        <v>0</v>
      </c>
      <c r="BG279" s="78">
        <v>0</v>
      </c>
      <c r="BH279" s="78">
        <v>0</v>
      </c>
      <c r="BI279" s="78">
        <v>0</v>
      </c>
      <c r="BJ279" s="78">
        <v>0</v>
      </c>
      <c r="BK279" s="78">
        <v>0</v>
      </c>
      <c r="BL279" s="78">
        <v>0</v>
      </c>
      <c r="BM279" s="78">
        <v>557.66399999999999</v>
      </c>
      <c r="BN279" s="78">
        <v>74</v>
      </c>
      <c r="BO279" s="78">
        <v>107</v>
      </c>
      <c r="BP279" s="78">
        <v>7545.54</v>
      </c>
      <c r="BQ279" s="78">
        <v>1765.4</v>
      </c>
      <c r="BR279" s="78">
        <v>190.68425860787701</v>
      </c>
      <c r="BS279" s="78">
        <v>301</v>
      </c>
      <c r="BT279" s="78">
        <v>128</v>
      </c>
      <c r="BU279" s="78">
        <v>113.333333333333</v>
      </c>
      <c r="BV279" s="78">
        <v>1112.999999999997</v>
      </c>
      <c r="BW279" s="78">
        <v>226</v>
      </c>
      <c r="BX279" s="78">
        <v>5135.1417385772602</v>
      </c>
      <c r="BY279" s="402">
        <v>0.67600000000000005</v>
      </c>
      <c r="BZ279" s="78">
        <v>20769</v>
      </c>
      <c r="CA279" s="78">
        <v>3255</v>
      </c>
      <c r="CB279" s="78">
        <v>561</v>
      </c>
      <c r="CC279" s="78">
        <v>613</v>
      </c>
      <c r="CD279" s="78">
        <v>613</v>
      </c>
      <c r="CE279" s="78">
        <v>268</v>
      </c>
      <c r="CF279" s="78">
        <v>356.535790827261</v>
      </c>
      <c r="CG279" s="78">
        <v>241.47196742391799</v>
      </c>
      <c r="CH279" s="78">
        <v>72.3875696528075</v>
      </c>
      <c r="CI279" s="78">
        <v>889.21799999999996</v>
      </c>
      <c r="CJ279" s="78">
        <v>602.24310000000003</v>
      </c>
      <c r="CK279" s="78">
        <v>180.53819999999999</v>
      </c>
      <c r="CL279" s="78">
        <v>9125</v>
      </c>
    </row>
    <row r="280" spans="1:90" x14ac:dyDescent="0.35">
      <c r="A280" s="72">
        <v>785</v>
      </c>
      <c r="B280" s="72" t="s">
        <v>117</v>
      </c>
      <c r="C280" s="72">
        <v>10</v>
      </c>
      <c r="D280" s="78">
        <v>2645600000</v>
      </c>
      <c r="E280" s="78">
        <v>242200000</v>
      </c>
      <c r="F280" s="78">
        <v>242200000</v>
      </c>
      <c r="G280" s="78">
        <v>23979</v>
      </c>
      <c r="H280" s="78">
        <v>2</v>
      </c>
      <c r="I280" s="78">
        <v>242.2</v>
      </c>
      <c r="J280" s="78">
        <v>4843</v>
      </c>
      <c r="K280" s="78">
        <v>5708</v>
      </c>
      <c r="L280" s="78">
        <v>1821</v>
      </c>
      <c r="M280" s="78">
        <v>2614</v>
      </c>
      <c r="N280" s="78">
        <v>1558</v>
      </c>
      <c r="O280" s="78">
        <v>260</v>
      </c>
      <c r="P280" s="78">
        <v>57</v>
      </c>
      <c r="Q280" s="78">
        <v>1266</v>
      </c>
      <c r="R280" s="78">
        <v>3015</v>
      </c>
      <c r="S280" s="78">
        <v>700</v>
      </c>
      <c r="T280" s="78">
        <v>0</v>
      </c>
      <c r="U280" s="78">
        <v>699</v>
      </c>
      <c r="V280" s="78">
        <v>10655</v>
      </c>
      <c r="W280" s="78">
        <v>19190</v>
      </c>
      <c r="X280" s="78">
        <v>5300</v>
      </c>
      <c r="Y280" s="78">
        <v>1698.86</v>
      </c>
      <c r="Z280" s="78">
        <v>1228</v>
      </c>
      <c r="AA280" s="78">
        <v>0</v>
      </c>
      <c r="AB280" s="399">
        <v>0</v>
      </c>
      <c r="AC280" s="399">
        <v>0</v>
      </c>
      <c r="AD280" s="78">
        <v>4298</v>
      </c>
      <c r="AE280" s="78">
        <v>4298</v>
      </c>
      <c r="AF280" s="78">
        <v>40</v>
      </c>
      <c r="AG280" s="78">
        <v>0</v>
      </c>
      <c r="AH280" s="78">
        <v>136</v>
      </c>
      <c r="AI280" s="78">
        <v>33</v>
      </c>
      <c r="AJ280" s="78">
        <v>136</v>
      </c>
      <c r="AK280" s="78">
        <v>33</v>
      </c>
      <c r="AL280" s="78">
        <v>169</v>
      </c>
      <c r="AM280" s="78">
        <v>10560</v>
      </c>
      <c r="AN280" s="78">
        <v>10560</v>
      </c>
      <c r="AO280" s="78">
        <v>0</v>
      </c>
      <c r="AP280" s="78">
        <v>0</v>
      </c>
      <c r="AQ280" s="78">
        <v>0</v>
      </c>
      <c r="AR280" s="78">
        <v>0</v>
      </c>
      <c r="AS280" s="78">
        <v>891</v>
      </c>
      <c r="AT280" s="78">
        <v>0</v>
      </c>
      <c r="AU280" s="400">
        <v>1.16285E-4</v>
      </c>
      <c r="AV280" s="400">
        <v>1.0025400000000001E-4</v>
      </c>
      <c r="AW280" s="78">
        <v>12545.28</v>
      </c>
      <c r="AX280" s="78">
        <v>0</v>
      </c>
      <c r="AY280" s="78">
        <v>405</v>
      </c>
      <c r="AZ280" s="78">
        <v>2238.7033195020699</v>
      </c>
      <c r="BA280" s="78">
        <v>3</v>
      </c>
      <c r="BB280" s="78">
        <v>3</v>
      </c>
      <c r="BC280" s="78">
        <v>2890</v>
      </c>
      <c r="BD280" s="78">
        <v>1</v>
      </c>
      <c r="BE280" s="78">
        <v>0</v>
      </c>
      <c r="BF280" s="78">
        <v>0</v>
      </c>
      <c r="BG280" s="78">
        <v>0</v>
      </c>
      <c r="BH280" s="78">
        <v>0</v>
      </c>
      <c r="BI280" s="78">
        <v>0</v>
      </c>
      <c r="BJ280" s="78">
        <v>0</v>
      </c>
      <c r="BK280" s="78">
        <v>0</v>
      </c>
      <c r="BL280" s="78">
        <v>0</v>
      </c>
      <c r="BM280" s="78">
        <v>431.02699999999999</v>
      </c>
      <c r="BN280" s="78">
        <v>37</v>
      </c>
      <c r="BO280" s="78">
        <v>47</v>
      </c>
      <c r="BP280" s="78">
        <v>7618.3</v>
      </c>
      <c r="BQ280" s="78">
        <v>1872.5</v>
      </c>
      <c r="BR280" s="78">
        <v>179.06937510018699</v>
      </c>
      <c r="BS280" s="78">
        <v>245</v>
      </c>
      <c r="BT280" s="78">
        <v>65</v>
      </c>
      <c r="BU280" s="78">
        <v>63.6666666666667</v>
      </c>
      <c r="BV280" s="78">
        <v>1006</v>
      </c>
      <c r="BW280" s="78">
        <v>252</v>
      </c>
      <c r="BX280" s="78">
        <v>4577.9146643286604</v>
      </c>
      <c r="BY280" s="402">
        <v>0.36599999999999999</v>
      </c>
      <c r="BZ280" s="78">
        <v>18271</v>
      </c>
      <c r="CA280" s="78">
        <v>3377</v>
      </c>
      <c r="CB280" s="78">
        <v>510</v>
      </c>
      <c r="CC280" s="78">
        <v>634</v>
      </c>
      <c r="CD280" s="78">
        <v>589</v>
      </c>
      <c r="CE280" s="78">
        <v>288</v>
      </c>
      <c r="CF280" s="78">
        <v>301.71496212121201</v>
      </c>
      <c r="CG280" s="78">
        <v>185.01249999999999</v>
      </c>
      <c r="CH280" s="78">
        <v>58.424999999999997</v>
      </c>
      <c r="CI280" s="78">
        <v>804.50300000000004</v>
      </c>
      <c r="CJ280" s="78">
        <v>493.3236</v>
      </c>
      <c r="CK280" s="78">
        <v>155.78639999999999</v>
      </c>
      <c r="CL280" s="78">
        <v>27828</v>
      </c>
    </row>
    <row r="281" spans="1:90" x14ac:dyDescent="0.35">
      <c r="A281" s="72">
        <v>1655</v>
      </c>
      <c r="B281" s="72" t="s">
        <v>128</v>
      </c>
      <c r="C281" s="72">
        <v>10</v>
      </c>
      <c r="D281" s="78">
        <v>3215600000</v>
      </c>
      <c r="E281" s="78">
        <v>594300000</v>
      </c>
      <c r="F281" s="78">
        <v>627200000</v>
      </c>
      <c r="G281" s="78">
        <v>30770</v>
      </c>
      <c r="H281" s="78">
        <v>5</v>
      </c>
      <c r="I281" s="78">
        <v>627.20000000000005</v>
      </c>
      <c r="J281" s="78">
        <v>5391</v>
      </c>
      <c r="K281" s="78">
        <v>7370</v>
      </c>
      <c r="L281" s="78">
        <v>2585</v>
      </c>
      <c r="M281" s="78">
        <v>3798</v>
      </c>
      <c r="N281" s="78">
        <v>2409.8999999999996</v>
      </c>
      <c r="O281" s="78">
        <v>436.66666666666703</v>
      </c>
      <c r="P281" s="78">
        <v>27</v>
      </c>
      <c r="Q281" s="78">
        <v>1934.6666666666699</v>
      </c>
      <c r="R281" s="78">
        <v>3870</v>
      </c>
      <c r="S281" s="78">
        <v>1705</v>
      </c>
      <c r="T281" s="78">
        <v>0</v>
      </c>
      <c r="U281" s="78">
        <v>918</v>
      </c>
      <c r="V281" s="78">
        <v>13809</v>
      </c>
      <c r="W281" s="78">
        <v>26530</v>
      </c>
      <c r="X281" s="78">
        <v>5020</v>
      </c>
      <c r="Y281" s="78">
        <v>0</v>
      </c>
      <c r="Z281" s="78">
        <v>1090.4000000000001</v>
      </c>
      <c r="AA281" s="78">
        <v>0</v>
      </c>
      <c r="AB281" s="399">
        <v>0</v>
      </c>
      <c r="AC281" s="399">
        <v>0</v>
      </c>
      <c r="AD281" s="78">
        <v>7448</v>
      </c>
      <c r="AE281" s="78">
        <v>7448</v>
      </c>
      <c r="AF281" s="78">
        <v>74</v>
      </c>
      <c r="AG281" s="78">
        <v>0</v>
      </c>
      <c r="AH281" s="78">
        <v>195</v>
      </c>
      <c r="AI281" s="78">
        <v>118</v>
      </c>
      <c r="AJ281" s="78">
        <v>195</v>
      </c>
      <c r="AK281" s="78">
        <v>118</v>
      </c>
      <c r="AL281" s="78">
        <v>313</v>
      </c>
      <c r="AM281" s="78">
        <v>13881</v>
      </c>
      <c r="AN281" s="78">
        <v>13881</v>
      </c>
      <c r="AO281" s="78">
        <v>10</v>
      </c>
      <c r="AP281" s="78">
        <v>0</v>
      </c>
      <c r="AQ281" s="78">
        <v>0</v>
      </c>
      <c r="AR281" s="78">
        <v>0</v>
      </c>
      <c r="AS281" s="78">
        <v>1296</v>
      </c>
      <c r="AT281" s="78">
        <v>616</v>
      </c>
      <c r="AU281" s="400">
        <v>2.9650100000000001E-4</v>
      </c>
      <c r="AV281" s="400">
        <v>1.6897E-4</v>
      </c>
      <c r="AW281" s="78">
        <v>10549.56</v>
      </c>
      <c r="AX281" s="78">
        <v>0</v>
      </c>
      <c r="AY281" s="78">
        <v>983</v>
      </c>
      <c r="AZ281" s="78">
        <v>4233.8407338473799</v>
      </c>
      <c r="BA281" s="78">
        <v>9</v>
      </c>
      <c r="BB281" s="78">
        <v>9</v>
      </c>
      <c r="BC281" s="78">
        <v>3695</v>
      </c>
      <c r="BD281" s="78">
        <v>1</v>
      </c>
      <c r="BE281" s="78">
        <v>0</v>
      </c>
      <c r="BF281" s="78">
        <v>0</v>
      </c>
      <c r="BG281" s="78">
        <v>0</v>
      </c>
      <c r="BH281" s="78">
        <v>0</v>
      </c>
      <c r="BI281" s="78">
        <v>0</v>
      </c>
      <c r="BJ281" s="78">
        <v>0</v>
      </c>
      <c r="BK281" s="78">
        <v>0</v>
      </c>
      <c r="BL281" s="78">
        <v>0</v>
      </c>
      <c r="BM281" s="78">
        <v>609.18299999999999</v>
      </c>
      <c r="BN281" s="78">
        <v>125</v>
      </c>
      <c r="BO281" s="78">
        <v>127</v>
      </c>
      <c r="BP281" s="78">
        <v>9183.9</v>
      </c>
      <c r="BQ281" s="78">
        <v>2026.08</v>
      </c>
      <c r="BR281" s="78">
        <v>142.33640259740301</v>
      </c>
      <c r="BS281" s="78">
        <v>345</v>
      </c>
      <c r="BT281" s="78">
        <v>142</v>
      </c>
      <c r="BU281" s="78">
        <v>123</v>
      </c>
      <c r="BV281" s="78">
        <v>1498.000000000003</v>
      </c>
      <c r="BW281" s="78">
        <v>321</v>
      </c>
      <c r="BX281" s="78">
        <v>7163.5553072625698</v>
      </c>
      <c r="BY281" s="402">
        <v>0.97699999999999998</v>
      </c>
      <c r="BZ281" s="78">
        <v>23400</v>
      </c>
      <c r="CA281" s="78">
        <v>3970</v>
      </c>
      <c r="CB281" s="78">
        <v>815</v>
      </c>
      <c r="CC281" s="78">
        <v>687</v>
      </c>
      <c r="CD281" s="78">
        <v>750</v>
      </c>
      <c r="CE281" s="78">
        <v>315</v>
      </c>
      <c r="CF281" s="78">
        <v>415.10488437432502</v>
      </c>
      <c r="CG281" s="78">
        <v>296.35467905770503</v>
      </c>
      <c r="CH281" s="78">
        <v>82.465420358763794</v>
      </c>
      <c r="CI281" s="78">
        <v>1046.0625</v>
      </c>
      <c r="CJ281" s="78">
        <v>746.8125</v>
      </c>
      <c r="CK281" s="78">
        <v>207.8125</v>
      </c>
      <c r="CL281" s="78">
        <v>8354</v>
      </c>
    </row>
    <row r="282" spans="1:90" x14ac:dyDescent="0.35">
      <c r="A282" s="72">
        <v>1658</v>
      </c>
      <c r="B282" s="72" t="s">
        <v>140</v>
      </c>
      <c r="C282" s="72">
        <v>10</v>
      </c>
      <c r="D282" s="78">
        <v>2238400000</v>
      </c>
      <c r="E282" s="78">
        <v>227500000</v>
      </c>
      <c r="F282" s="78">
        <v>274750000</v>
      </c>
      <c r="G282" s="78">
        <v>16470</v>
      </c>
      <c r="H282" s="78">
        <v>2</v>
      </c>
      <c r="I282" s="78">
        <v>274.75</v>
      </c>
      <c r="J282" s="78">
        <v>2821</v>
      </c>
      <c r="K282" s="78">
        <v>4185</v>
      </c>
      <c r="L282" s="78">
        <v>1419</v>
      </c>
      <c r="M282" s="78">
        <v>1637</v>
      </c>
      <c r="N282" s="78">
        <v>897.9</v>
      </c>
      <c r="O282" s="78">
        <v>100.333333333333</v>
      </c>
      <c r="P282" s="78">
        <v>16</v>
      </c>
      <c r="Q282" s="78">
        <v>796.33333333333303</v>
      </c>
      <c r="R282" s="78">
        <v>2026</v>
      </c>
      <c r="S282" s="78">
        <v>220</v>
      </c>
      <c r="T282" s="78">
        <v>0</v>
      </c>
      <c r="U282" s="78">
        <v>365</v>
      </c>
      <c r="V282" s="78">
        <v>7363</v>
      </c>
      <c r="W282" s="78">
        <v>11950</v>
      </c>
      <c r="X282" s="78">
        <v>2240</v>
      </c>
      <c r="Y282" s="78">
        <v>2287.06</v>
      </c>
      <c r="Z282" s="78">
        <v>0</v>
      </c>
      <c r="AA282" s="78">
        <v>0</v>
      </c>
      <c r="AB282" s="399">
        <v>0</v>
      </c>
      <c r="AC282" s="399">
        <v>0</v>
      </c>
      <c r="AD282" s="78">
        <v>10384</v>
      </c>
      <c r="AE282" s="78">
        <v>10384</v>
      </c>
      <c r="AF282" s="78">
        <v>121</v>
      </c>
      <c r="AG282" s="78">
        <v>0</v>
      </c>
      <c r="AH282" s="78">
        <v>109</v>
      </c>
      <c r="AI282" s="78">
        <v>64</v>
      </c>
      <c r="AJ282" s="78">
        <v>109</v>
      </c>
      <c r="AK282" s="78">
        <v>64</v>
      </c>
      <c r="AL282" s="78">
        <v>173</v>
      </c>
      <c r="AM282" s="78">
        <v>7391</v>
      </c>
      <c r="AN282" s="78">
        <v>7391</v>
      </c>
      <c r="AO282" s="78">
        <v>0</v>
      </c>
      <c r="AP282" s="78">
        <v>0</v>
      </c>
      <c r="AQ282" s="78">
        <v>0</v>
      </c>
      <c r="AR282" s="78">
        <v>0</v>
      </c>
      <c r="AS282" s="78">
        <v>0</v>
      </c>
      <c r="AT282" s="78">
        <v>0</v>
      </c>
      <c r="AU282" s="400">
        <v>9.9848999999999999E-5</v>
      </c>
      <c r="AV282" s="400">
        <v>5.0760999999999997E-5</v>
      </c>
      <c r="AW282" s="78">
        <v>4323.7349999999997</v>
      </c>
      <c r="AX282" s="78">
        <v>0</v>
      </c>
      <c r="AY282" s="78">
        <v>1449</v>
      </c>
      <c r="AZ282" s="78">
        <v>2271.7782008567301</v>
      </c>
      <c r="BA282" s="78">
        <v>7</v>
      </c>
      <c r="BB282" s="78">
        <v>7</v>
      </c>
      <c r="BC282" s="78">
        <v>2450</v>
      </c>
      <c r="BD282" s="78">
        <v>1</v>
      </c>
      <c r="BE282" s="78">
        <v>0</v>
      </c>
      <c r="BF282" s="78">
        <v>0</v>
      </c>
      <c r="BG282" s="78">
        <v>0</v>
      </c>
      <c r="BH282" s="78">
        <v>0</v>
      </c>
      <c r="BI282" s="78">
        <v>0</v>
      </c>
      <c r="BJ282" s="78">
        <v>0</v>
      </c>
      <c r="BK282" s="78">
        <v>0</v>
      </c>
      <c r="BL282" s="78">
        <v>0</v>
      </c>
      <c r="BM282" s="78">
        <v>183.36500000000001</v>
      </c>
      <c r="BN282" s="78">
        <v>46</v>
      </c>
      <c r="BO282" s="78">
        <v>21</v>
      </c>
      <c r="BP282" s="78">
        <v>5673.24</v>
      </c>
      <c r="BQ282" s="78">
        <v>1230.3900000000001</v>
      </c>
      <c r="BR282" s="78">
        <v>66.423862614487902</v>
      </c>
      <c r="BS282" s="78">
        <v>144</v>
      </c>
      <c r="BT282" s="78">
        <v>22.3333333333333</v>
      </c>
      <c r="BU282" s="78">
        <v>17.3333333333333</v>
      </c>
      <c r="BV282" s="78">
        <v>696</v>
      </c>
      <c r="BW282" s="78">
        <v>251</v>
      </c>
      <c r="BX282" s="78">
        <v>2734.5290155759399</v>
      </c>
      <c r="BY282" s="402">
        <v>7.9000000000000001E-2</v>
      </c>
      <c r="BZ282" s="78">
        <v>12285</v>
      </c>
      <c r="CA282" s="78">
        <v>2246</v>
      </c>
      <c r="CB282" s="78">
        <v>520</v>
      </c>
      <c r="CC282" s="78">
        <v>370</v>
      </c>
      <c r="CD282" s="78">
        <v>386</v>
      </c>
      <c r="CE282" s="78">
        <v>235</v>
      </c>
      <c r="CF282" s="78">
        <v>162.54772020024399</v>
      </c>
      <c r="CG282" s="78">
        <v>114.19645514815301</v>
      </c>
      <c r="CH282" s="78">
        <v>43.127384657015298</v>
      </c>
      <c r="CI282" s="78">
        <v>426.95580000000001</v>
      </c>
      <c r="CJ282" s="78">
        <v>299.95400000000001</v>
      </c>
      <c r="CK282" s="78">
        <v>113.2805</v>
      </c>
      <c r="CL282" s="78">
        <v>191625</v>
      </c>
    </row>
    <row r="283" spans="1:90" x14ac:dyDescent="0.35">
      <c r="A283" s="72">
        <v>794</v>
      </c>
      <c r="B283" s="72" t="s">
        <v>144</v>
      </c>
      <c r="C283" s="72">
        <v>10</v>
      </c>
      <c r="D283" s="78">
        <v>9291200000</v>
      </c>
      <c r="E283" s="78">
        <v>1473500000</v>
      </c>
      <c r="F283" s="78">
        <v>1485400000</v>
      </c>
      <c r="G283" s="78">
        <v>93476</v>
      </c>
      <c r="H283" s="78">
        <v>1</v>
      </c>
      <c r="I283" s="78">
        <v>1485.4</v>
      </c>
      <c r="J283" s="78">
        <v>18155</v>
      </c>
      <c r="K283" s="78">
        <v>16630</v>
      </c>
      <c r="L283" s="78">
        <v>5636</v>
      </c>
      <c r="M283" s="78">
        <v>14173</v>
      </c>
      <c r="N283" s="78">
        <v>9968.5999999999985</v>
      </c>
      <c r="O283" s="78">
        <v>2328</v>
      </c>
      <c r="P283" s="78">
        <v>276</v>
      </c>
      <c r="Q283" s="78">
        <v>8058</v>
      </c>
      <c r="R283" s="78">
        <v>14970</v>
      </c>
      <c r="S283" s="78">
        <v>8785</v>
      </c>
      <c r="T283" s="78">
        <v>0</v>
      </c>
      <c r="U283" s="78">
        <v>3618</v>
      </c>
      <c r="V283" s="78">
        <v>42724</v>
      </c>
      <c r="W283" s="78">
        <v>107750</v>
      </c>
      <c r="X283" s="78">
        <v>146980</v>
      </c>
      <c r="Y283" s="78">
        <v>3150.28</v>
      </c>
      <c r="Z283" s="78">
        <v>3990.4</v>
      </c>
      <c r="AA283" s="78">
        <v>0</v>
      </c>
      <c r="AB283" s="399">
        <v>0</v>
      </c>
      <c r="AC283" s="399">
        <v>0</v>
      </c>
      <c r="AD283" s="78">
        <v>5311</v>
      </c>
      <c r="AE283" s="78">
        <v>5311</v>
      </c>
      <c r="AF283" s="78">
        <v>164</v>
      </c>
      <c r="AG283" s="78">
        <v>0</v>
      </c>
      <c r="AH283" s="78">
        <v>505</v>
      </c>
      <c r="AI283" s="78">
        <v>88</v>
      </c>
      <c r="AJ283" s="78">
        <v>505</v>
      </c>
      <c r="AK283" s="78">
        <v>88</v>
      </c>
      <c r="AL283" s="78">
        <v>593</v>
      </c>
      <c r="AM283" s="78">
        <v>42044</v>
      </c>
      <c r="AN283" s="78">
        <v>42044</v>
      </c>
      <c r="AO283" s="78">
        <v>10</v>
      </c>
      <c r="AP283" s="78">
        <v>0</v>
      </c>
      <c r="AQ283" s="78">
        <v>0</v>
      </c>
      <c r="AR283" s="78">
        <v>0</v>
      </c>
      <c r="AS283" s="78">
        <v>4770</v>
      </c>
      <c r="AT283" s="78">
        <v>4770</v>
      </c>
      <c r="AU283" s="400">
        <v>1.2117849999999999E-3</v>
      </c>
      <c r="AV283" s="400">
        <v>1.999514E-3</v>
      </c>
      <c r="AW283" s="78">
        <v>76141.683999999994</v>
      </c>
      <c r="AX283" s="78">
        <v>0</v>
      </c>
      <c r="AY283" s="78">
        <v>1493</v>
      </c>
      <c r="AZ283" s="78">
        <v>25490.350319634701</v>
      </c>
      <c r="BA283" s="78">
        <v>1</v>
      </c>
      <c r="BB283" s="78">
        <v>1</v>
      </c>
      <c r="BC283" s="78">
        <v>9865</v>
      </c>
      <c r="BD283" s="78">
        <v>1</v>
      </c>
      <c r="BE283" s="78">
        <v>0</v>
      </c>
      <c r="BF283" s="78">
        <v>0</v>
      </c>
      <c r="BG283" s="78">
        <v>0</v>
      </c>
      <c r="BH283" s="78">
        <v>0</v>
      </c>
      <c r="BI283" s="78">
        <v>0</v>
      </c>
      <c r="BJ283" s="78">
        <v>0</v>
      </c>
      <c r="BK283" s="78">
        <v>0</v>
      </c>
      <c r="BL283" s="78">
        <v>0</v>
      </c>
      <c r="BM283" s="78">
        <v>2832.18</v>
      </c>
      <c r="BN283" s="78">
        <v>511</v>
      </c>
      <c r="BO283" s="78">
        <v>459</v>
      </c>
      <c r="BP283" s="78">
        <v>25716.38</v>
      </c>
      <c r="BQ283" s="78">
        <v>5937.69</v>
      </c>
      <c r="BR283" s="78">
        <v>795.19092268996599</v>
      </c>
      <c r="BS283" s="78">
        <v>1366</v>
      </c>
      <c r="BT283" s="78">
        <v>657.33333333333303</v>
      </c>
      <c r="BU283" s="78">
        <v>591.33333333333303</v>
      </c>
      <c r="BV283" s="78">
        <v>5730</v>
      </c>
      <c r="BW283" s="78">
        <v>1185</v>
      </c>
      <c r="BX283" s="78">
        <v>16257.418741403701</v>
      </c>
      <c r="BY283" s="402">
        <v>6.2619999999999996</v>
      </c>
      <c r="BZ283" s="78">
        <v>76846</v>
      </c>
      <c r="CA283" s="78">
        <v>9448</v>
      </c>
      <c r="CB283" s="78">
        <v>1546</v>
      </c>
      <c r="CC283" s="78">
        <v>2382</v>
      </c>
      <c r="CD283" s="78">
        <v>1996</v>
      </c>
      <c r="CE283" s="78">
        <v>865</v>
      </c>
      <c r="CF283" s="78">
        <v>1454.36667300923</v>
      </c>
      <c r="CG283" s="78">
        <v>953.850199790695</v>
      </c>
      <c r="CH283" s="78">
        <v>282.62228141946503</v>
      </c>
      <c r="CI283" s="78">
        <v>3194.5871999999999</v>
      </c>
      <c r="CJ283" s="78">
        <v>2095.1783999999998</v>
      </c>
      <c r="CK283" s="78">
        <v>620.79359999999997</v>
      </c>
      <c r="CL283" s="78">
        <v>17521</v>
      </c>
    </row>
    <row r="284" spans="1:90" x14ac:dyDescent="0.35">
      <c r="A284" s="72">
        <v>797</v>
      </c>
      <c r="B284" s="72" t="s">
        <v>149</v>
      </c>
      <c r="C284" s="72">
        <v>10</v>
      </c>
      <c r="D284" s="78">
        <v>5305600000</v>
      </c>
      <c r="E284" s="78">
        <v>548800000</v>
      </c>
      <c r="F284" s="78">
        <v>578200000</v>
      </c>
      <c r="G284" s="78">
        <v>45557</v>
      </c>
      <c r="H284" s="78">
        <v>2</v>
      </c>
      <c r="I284" s="78">
        <v>578.20000000000005</v>
      </c>
      <c r="J284" s="78">
        <v>8427</v>
      </c>
      <c r="K284" s="78">
        <v>9705</v>
      </c>
      <c r="L284" s="78">
        <v>3230</v>
      </c>
      <c r="M284" s="78">
        <v>5250</v>
      </c>
      <c r="N284" s="78">
        <v>3283.8</v>
      </c>
      <c r="O284" s="78">
        <v>485</v>
      </c>
      <c r="P284" s="78">
        <v>69</v>
      </c>
      <c r="Q284" s="78">
        <v>2494</v>
      </c>
      <c r="R284" s="78">
        <v>5913</v>
      </c>
      <c r="S284" s="78">
        <v>1975</v>
      </c>
      <c r="T284" s="78">
        <v>0</v>
      </c>
      <c r="U284" s="78">
        <v>1229</v>
      </c>
      <c r="V284" s="78">
        <v>20135</v>
      </c>
      <c r="W284" s="78">
        <v>46530</v>
      </c>
      <c r="X284" s="78">
        <v>33650</v>
      </c>
      <c r="Y284" s="78">
        <v>166.32</v>
      </c>
      <c r="Z284" s="78">
        <v>997.6</v>
      </c>
      <c r="AA284" s="78">
        <v>0</v>
      </c>
      <c r="AB284" s="399">
        <v>0</v>
      </c>
      <c r="AC284" s="399">
        <v>0</v>
      </c>
      <c r="AD284" s="78">
        <v>7878</v>
      </c>
      <c r="AE284" s="78">
        <v>7878</v>
      </c>
      <c r="AF284" s="78">
        <v>244</v>
      </c>
      <c r="AG284" s="78">
        <v>0</v>
      </c>
      <c r="AH284" s="78">
        <v>297</v>
      </c>
      <c r="AI284" s="78">
        <v>57</v>
      </c>
      <c r="AJ284" s="78">
        <v>297</v>
      </c>
      <c r="AK284" s="78">
        <v>57</v>
      </c>
      <c r="AL284" s="78">
        <v>354</v>
      </c>
      <c r="AM284" s="78">
        <v>19662</v>
      </c>
      <c r="AN284" s="78">
        <v>19662</v>
      </c>
      <c r="AO284" s="78">
        <v>16</v>
      </c>
      <c r="AP284" s="78">
        <v>0</v>
      </c>
      <c r="AQ284" s="78">
        <v>0</v>
      </c>
      <c r="AR284" s="78">
        <v>6900</v>
      </c>
      <c r="AS284" s="78">
        <v>1162</v>
      </c>
      <c r="AT284" s="78">
        <v>0</v>
      </c>
      <c r="AU284" s="400">
        <v>3.7964100000000001E-4</v>
      </c>
      <c r="AV284" s="400">
        <v>2.0282000000000001E-4</v>
      </c>
      <c r="AW284" s="78">
        <v>21785.495999999999</v>
      </c>
      <c r="AX284" s="78">
        <v>0</v>
      </c>
      <c r="AY284" s="78">
        <v>1727</v>
      </c>
      <c r="AZ284" s="78">
        <v>9686.8922679143107</v>
      </c>
      <c r="BA284" s="78">
        <v>3</v>
      </c>
      <c r="BB284" s="78">
        <v>3</v>
      </c>
      <c r="BC284" s="78">
        <v>6165</v>
      </c>
      <c r="BD284" s="78">
        <v>1</v>
      </c>
      <c r="BE284" s="78">
        <v>0</v>
      </c>
      <c r="BF284" s="78">
        <v>0</v>
      </c>
      <c r="BG284" s="78">
        <v>0</v>
      </c>
      <c r="BH284" s="78">
        <v>0</v>
      </c>
      <c r="BI284" s="78">
        <v>0</v>
      </c>
      <c r="BJ284" s="78">
        <v>0</v>
      </c>
      <c r="BK284" s="78">
        <v>0</v>
      </c>
      <c r="BL284" s="78">
        <v>0</v>
      </c>
      <c r="BM284" s="78">
        <v>792.13800000000003</v>
      </c>
      <c r="BN284" s="78">
        <v>168</v>
      </c>
      <c r="BO284" s="78">
        <v>70</v>
      </c>
      <c r="BP284" s="78">
        <v>13975.64</v>
      </c>
      <c r="BQ284" s="78">
        <v>3336.2</v>
      </c>
      <c r="BR284" s="78">
        <v>300.70558883248702</v>
      </c>
      <c r="BS284" s="78">
        <v>478</v>
      </c>
      <c r="BT284" s="78">
        <v>122</v>
      </c>
      <c r="BU284" s="78">
        <v>115</v>
      </c>
      <c r="BV284" s="78">
        <v>2009</v>
      </c>
      <c r="BW284" s="78">
        <v>449</v>
      </c>
      <c r="BX284" s="78">
        <v>7879.8780313298503</v>
      </c>
      <c r="BY284" s="402">
        <v>0.55200000000000005</v>
      </c>
      <c r="BZ284" s="78">
        <v>35852</v>
      </c>
      <c r="CA284" s="78">
        <v>5500</v>
      </c>
      <c r="CB284" s="78">
        <v>975</v>
      </c>
      <c r="CC284" s="78">
        <v>1000</v>
      </c>
      <c r="CD284" s="78">
        <v>1028</v>
      </c>
      <c r="CE284" s="78">
        <v>478</v>
      </c>
      <c r="CF284" s="78">
        <v>561.16203844980203</v>
      </c>
      <c r="CG284" s="78">
        <v>370.266737870003</v>
      </c>
      <c r="CH284" s="78">
        <v>116.574732987489</v>
      </c>
      <c r="CI284" s="78">
        <v>1394.0640000000001</v>
      </c>
      <c r="CJ284" s="78">
        <v>919.83330000000001</v>
      </c>
      <c r="CK284" s="78">
        <v>289.60019999999997</v>
      </c>
      <c r="CL284" s="78">
        <v>1144</v>
      </c>
    </row>
    <row r="285" spans="1:90" x14ac:dyDescent="0.35">
      <c r="A285" s="72">
        <v>798</v>
      </c>
      <c r="B285" s="72" t="s">
        <v>151</v>
      </c>
      <c r="C285" s="72">
        <v>10</v>
      </c>
      <c r="D285" s="78">
        <v>1831200000</v>
      </c>
      <c r="E285" s="78">
        <v>291550000</v>
      </c>
      <c r="F285" s="78">
        <v>291550000</v>
      </c>
      <c r="G285" s="78">
        <v>15810</v>
      </c>
      <c r="H285" s="78">
        <v>2</v>
      </c>
      <c r="I285" s="78">
        <v>291.55</v>
      </c>
      <c r="J285" s="78">
        <v>2866</v>
      </c>
      <c r="K285" s="78">
        <v>3694</v>
      </c>
      <c r="L285" s="78">
        <v>1353</v>
      </c>
      <c r="M285" s="78">
        <v>1648</v>
      </c>
      <c r="N285" s="78">
        <v>893.9</v>
      </c>
      <c r="O285" s="78">
        <v>118.666666666667</v>
      </c>
      <c r="P285" s="78">
        <v>23</v>
      </c>
      <c r="Q285" s="78">
        <v>690.66666666666697</v>
      </c>
      <c r="R285" s="78">
        <v>1946</v>
      </c>
      <c r="S285" s="78">
        <v>165</v>
      </c>
      <c r="T285" s="78">
        <v>0</v>
      </c>
      <c r="U285" s="78">
        <v>333</v>
      </c>
      <c r="V285" s="78">
        <v>6912</v>
      </c>
      <c r="W285" s="78">
        <v>12110</v>
      </c>
      <c r="X285" s="78">
        <v>1630</v>
      </c>
      <c r="Y285" s="78">
        <v>0</v>
      </c>
      <c r="Z285" s="78">
        <v>0</v>
      </c>
      <c r="AA285" s="78">
        <v>0</v>
      </c>
      <c r="AB285" s="399">
        <v>0</v>
      </c>
      <c r="AC285" s="399">
        <v>0</v>
      </c>
      <c r="AD285" s="78">
        <v>9484</v>
      </c>
      <c r="AE285" s="78">
        <v>9484</v>
      </c>
      <c r="AF285" s="78">
        <v>167</v>
      </c>
      <c r="AG285" s="78">
        <v>0</v>
      </c>
      <c r="AH285" s="78">
        <v>107</v>
      </c>
      <c r="AI285" s="78">
        <v>95</v>
      </c>
      <c r="AJ285" s="78">
        <v>107</v>
      </c>
      <c r="AK285" s="78">
        <v>95</v>
      </c>
      <c r="AL285" s="78">
        <v>202</v>
      </c>
      <c r="AM285" s="78">
        <v>7541</v>
      </c>
      <c r="AN285" s="78">
        <v>7541</v>
      </c>
      <c r="AO285" s="78">
        <v>0</v>
      </c>
      <c r="AP285" s="78">
        <v>0</v>
      </c>
      <c r="AQ285" s="78">
        <v>0</v>
      </c>
      <c r="AR285" s="78">
        <v>0</v>
      </c>
      <c r="AS285" s="78">
        <v>0</v>
      </c>
      <c r="AT285" s="78">
        <v>0</v>
      </c>
      <c r="AU285" s="400">
        <v>1.2509899999999999E-4</v>
      </c>
      <c r="AV285" s="400">
        <v>4.1677000000000001E-5</v>
      </c>
      <c r="AW285" s="78">
        <v>4471.8130000000001</v>
      </c>
      <c r="AX285" s="78">
        <v>0</v>
      </c>
      <c r="AY285" s="78">
        <v>1205</v>
      </c>
      <c r="AZ285" s="78">
        <v>1973.9975132110701</v>
      </c>
      <c r="BA285" s="78">
        <v>9</v>
      </c>
      <c r="BB285" s="78">
        <v>9</v>
      </c>
      <c r="BC285" s="78">
        <v>2360</v>
      </c>
      <c r="BD285" s="78">
        <v>1</v>
      </c>
      <c r="BE285" s="78">
        <v>0</v>
      </c>
      <c r="BF285" s="78">
        <v>0</v>
      </c>
      <c r="BG285" s="78">
        <v>0</v>
      </c>
      <c r="BH285" s="78">
        <v>0</v>
      </c>
      <c r="BI285" s="78">
        <v>0</v>
      </c>
      <c r="BJ285" s="78">
        <v>0</v>
      </c>
      <c r="BK285" s="78">
        <v>0</v>
      </c>
      <c r="BL285" s="78">
        <v>0</v>
      </c>
      <c r="BM285" s="78">
        <v>186.29</v>
      </c>
      <c r="BN285" s="78">
        <v>19</v>
      </c>
      <c r="BO285" s="78">
        <v>39</v>
      </c>
      <c r="BP285" s="78">
        <v>5119.3599999999997</v>
      </c>
      <c r="BQ285" s="78">
        <v>1160.32</v>
      </c>
      <c r="BR285" s="78">
        <v>70.416531645569606</v>
      </c>
      <c r="BS285" s="78">
        <v>120</v>
      </c>
      <c r="BT285" s="78">
        <v>35</v>
      </c>
      <c r="BU285" s="78">
        <v>22.3333333333333</v>
      </c>
      <c r="BV285" s="78">
        <v>572</v>
      </c>
      <c r="BW285" s="78">
        <v>165</v>
      </c>
      <c r="BX285" s="78">
        <v>2740.6551407822599</v>
      </c>
      <c r="BY285" s="402">
        <v>7.8E-2</v>
      </c>
      <c r="BZ285" s="78">
        <v>12116</v>
      </c>
      <c r="CA285" s="78">
        <v>1980</v>
      </c>
      <c r="CB285" s="78">
        <v>361</v>
      </c>
      <c r="CC285" s="78">
        <v>369</v>
      </c>
      <c r="CD285" s="78">
        <v>431</v>
      </c>
      <c r="CE285" s="78">
        <v>170</v>
      </c>
      <c r="CF285" s="78">
        <v>143.66885028510799</v>
      </c>
      <c r="CG285" s="78">
        <v>109.17410157803999</v>
      </c>
      <c r="CH285" s="78">
        <v>29.2790478716351</v>
      </c>
      <c r="CI285" s="78">
        <v>451.83359999999999</v>
      </c>
      <c r="CJ285" s="78">
        <v>343.34879999999998</v>
      </c>
      <c r="CK285" s="78">
        <v>92.081599999999995</v>
      </c>
      <c r="CL285" s="78">
        <v>8760</v>
      </c>
    </row>
    <row r="286" spans="1:90" x14ac:dyDescent="0.35">
      <c r="A286" s="72">
        <v>1659</v>
      </c>
      <c r="B286" s="72" t="s">
        <v>171</v>
      </c>
      <c r="C286" s="72">
        <v>10</v>
      </c>
      <c r="D286" s="78">
        <v>2621200000</v>
      </c>
      <c r="E286" s="78">
        <v>308000000</v>
      </c>
      <c r="F286" s="78">
        <v>336350000</v>
      </c>
      <c r="G286" s="78">
        <v>22943</v>
      </c>
      <c r="H286" s="78">
        <v>4</v>
      </c>
      <c r="I286" s="78">
        <v>336.35</v>
      </c>
      <c r="J286" s="78">
        <v>4216</v>
      </c>
      <c r="K286" s="78">
        <v>5307</v>
      </c>
      <c r="L286" s="78">
        <v>1767</v>
      </c>
      <c r="M286" s="78">
        <v>2684</v>
      </c>
      <c r="N286" s="78">
        <v>1695.1</v>
      </c>
      <c r="O286" s="78">
        <v>199</v>
      </c>
      <c r="P286" s="78">
        <v>43</v>
      </c>
      <c r="Q286" s="78">
        <v>1253</v>
      </c>
      <c r="R286" s="78">
        <v>2779</v>
      </c>
      <c r="S286" s="78">
        <v>305</v>
      </c>
      <c r="T286" s="78">
        <v>0</v>
      </c>
      <c r="U286" s="78">
        <v>574</v>
      </c>
      <c r="V286" s="78">
        <v>9995</v>
      </c>
      <c r="W286" s="78">
        <v>16910</v>
      </c>
      <c r="X286" s="78">
        <v>3500</v>
      </c>
      <c r="Y286" s="78">
        <v>0</v>
      </c>
      <c r="Z286" s="78">
        <v>394.4</v>
      </c>
      <c r="AA286" s="78">
        <v>0</v>
      </c>
      <c r="AB286" s="399">
        <v>0</v>
      </c>
      <c r="AC286" s="399">
        <v>114.59999999999997</v>
      </c>
      <c r="AD286" s="78">
        <v>5530</v>
      </c>
      <c r="AE286" s="78">
        <v>5530</v>
      </c>
      <c r="AF286" s="78">
        <v>86</v>
      </c>
      <c r="AG286" s="78">
        <v>0</v>
      </c>
      <c r="AH286" s="78">
        <v>146</v>
      </c>
      <c r="AI286" s="78">
        <v>89</v>
      </c>
      <c r="AJ286" s="78">
        <v>146</v>
      </c>
      <c r="AK286" s="78">
        <v>89</v>
      </c>
      <c r="AL286" s="78">
        <v>234</v>
      </c>
      <c r="AM286" s="78">
        <v>9889</v>
      </c>
      <c r="AN286" s="78">
        <v>9889</v>
      </c>
      <c r="AO286" s="78">
        <v>0</v>
      </c>
      <c r="AP286" s="78">
        <v>0</v>
      </c>
      <c r="AQ286" s="78">
        <v>0</v>
      </c>
      <c r="AR286" s="78">
        <v>0</v>
      </c>
      <c r="AS286" s="78">
        <v>0</v>
      </c>
      <c r="AT286" s="78">
        <v>0</v>
      </c>
      <c r="AU286" s="400">
        <v>1.6757E-4</v>
      </c>
      <c r="AV286" s="400">
        <v>8.5952999999999995E-5</v>
      </c>
      <c r="AW286" s="78">
        <v>6447.6279999999997</v>
      </c>
      <c r="AX286" s="78">
        <v>0</v>
      </c>
      <c r="AY286" s="78">
        <v>1303</v>
      </c>
      <c r="AZ286" s="78">
        <v>5323.1355056980101</v>
      </c>
      <c r="BA286" s="78">
        <v>7</v>
      </c>
      <c r="BB286" s="78">
        <v>7</v>
      </c>
      <c r="BC286" s="78">
        <v>2865</v>
      </c>
      <c r="BD286" s="78">
        <v>1</v>
      </c>
      <c r="BE286" s="78">
        <v>0</v>
      </c>
      <c r="BF286" s="78">
        <v>0</v>
      </c>
      <c r="BG286" s="78">
        <v>0</v>
      </c>
      <c r="BH286" s="78">
        <v>0</v>
      </c>
      <c r="BI286" s="78">
        <v>0</v>
      </c>
      <c r="BJ286" s="78">
        <v>0</v>
      </c>
      <c r="BK286" s="78">
        <v>0</v>
      </c>
      <c r="BL286" s="78">
        <v>0</v>
      </c>
      <c r="BM286" s="78">
        <v>366.79199999999997</v>
      </c>
      <c r="BN286" s="78">
        <v>60</v>
      </c>
      <c r="BO286" s="78">
        <v>37</v>
      </c>
      <c r="BP286" s="78">
        <v>6706.8</v>
      </c>
      <c r="BQ286" s="78">
        <v>1541.76</v>
      </c>
      <c r="BR286" s="78">
        <v>121.96667983074801</v>
      </c>
      <c r="BS286" s="78">
        <v>218</v>
      </c>
      <c r="BT286" s="78">
        <v>63.6666666666667</v>
      </c>
      <c r="BU286" s="78">
        <v>46.3333333333333</v>
      </c>
      <c r="BV286" s="78">
        <v>1054</v>
      </c>
      <c r="BW286" s="78">
        <v>251</v>
      </c>
      <c r="BX286" s="78">
        <v>4086.9828195571099</v>
      </c>
      <c r="BY286" s="402">
        <v>0.155</v>
      </c>
      <c r="BZ286" s="78">
        <v>17636</v>
      </c>
      <c r="CA286" s="78">
        <v>2993</v>
      </c>
      <c r="CB286" s="78">
        <v>547</v>
      </c>
      <c r="CC286" s="78">
        <v>500</v>
      </c>
      <c r="CD286" s="78">
        <v>554</v>
      </c>
      <c r="CE286" s="78">
        <v>259</v>
      </c>
      <c r="CF286" s="78">
        <v>307.85717463848698</v>
      </c>
      <c r="CG286" s="78">
        <v>206.038042269188</v>
      </c>
      <c r="CH286" s="78">
        <v>63.079866518353697</v>
      </c>
      <c r="CI286" s="78">
        <v>792.57479999999998</v>
      </c>
      <c r="CJ286" s="78">
        <v>530.44259999999997</v>
      </c>
      <c r="CK286" s="78">
        <v>162.39840000000001</v>
      </c>
      <c r="CL286" s="78">
        <v>0</v>
      </c>
    </row>
    <row r="287" spans="1:90" x14ac:dyDescent="0.35">
      <c r="A287" s="72">
        <v>1982</v>
      </c>
      <c r="B287" s="72" t="s">
        <v>1302</v>
      </c>
      <c r="C287" s="72">
        <v>10</v>
      </c>
      <c r="D287" s="78">
        <v>9467200000</v>
      </c>
      <c r="E287" s="78">
        <v>1469650000</v>
      </c>
      <c r="F287" s="78">
        <v>1469650000</v>
      </c>
      <c r="G287" s="78">
        <v>90707</v>
      </c>
      <c r="H287" s="78">
        <v>14</v>
      </c>
      <c r="I287" s="78">
        <v>1469.65</v>
      </c>
      <c r="J287" s="78">
        <v>15822</v>
      </c>
      <c r="K287" s="78">
        <v>20889</v>
      </c>
      <c r="L287" s="78">
        <v>6711</v>
      </c>
      <c r="M287" s="78">
        <v>11035</v>
      </c>
      <c r="N287" s="78">
        <v>7016.1</v>
      </c>
      <c r="O287" s="78">
        <v>956.66666666666697</v>
      </c>
      <c r="P287" s="78">
        <v>212</v>
      </c>
      <c r="Q287" s="78">
        <v>5908.6666666666697</v>
      </c>
      <c r="R287" s="78">
        <v>12120</v>
      </c>
      <c r="S287" s="78">
        <v>3290</v>
      </c>
      <c r="T287" s="78">
        <v>0</v>
      </c>
      <c r="U287" s="78">
        <v>2316</v>
      </c>
      <c r="V287" s="78">
        <v>41361</v>
      </c>
      <c r="W287" s="78">
        <v>84060</v>
      </c>
      <c r="X287" s="78">
        <v>35680</v>
      </c>
      <c r="Y287" s="78">
        <v>1436.9359999999999</v>
      </c>
      <c r="Z287" s="78">
        <v>4364.8</v>
      </c>
      <c r="AA287" s="78">
        <v>0</v>
      </c>
      <c r="AB287" s="399">
        <v>0</v>
      </c>
      <c r="AC287" s="399">
        <v>0</v>
      </c>
      <c r="AD287" s="78">
        <v>34112</v>
      </c>
      <c r="AE287" s="78">
        <v>34112</v>
      </c>
      <c r="AF287" s="78">
        <v>1075</v>
      </c>
      <c r="AG287" s="78">
        <v>0</v>
      </c>
      <c r="AH287" s="78">
        <v>551</v>
      </c>
      <c r="AI287" s="78">
        <v>473</v>
      </c>
      <c r="AJ287" s="78">
        <v>551</v>
      </c>
      <c r="AK287" s="78">
        <v>473</v>
      </c>
      <c r="AL287" s="78">
        <v>1024</v>
      </c>
      <c r="AM287" s="78">
        <v>40189</v>
      </c>
      <c r="AN287" s="78">
        <v>40189</v>
      </c>
      <c r="AO287" s="78">
        <v>8</v>
      </c>
      <c r="AP287" s="78">
        <v>0</v>
      </c>
      <c r="AQ287" s="78">
        <v>0</v>
      </c>
      <c r="AR287" s="78">
        <v>2950</v>
      </c>
      <c r="AS287" s="78">
        <v>736</v>
      </c>
      <c r="AT287" s="78">
        <v>0</v>
      </c>
      <c r="AU287" s="400">
        <v>7.8436100000000002E-4</v>
      </c>
      <c r="AV287" s="400">
        <v>5.0003199999999997E-4</v>
      </c>
      <c r="AW287" s="78">
        <v>25640.581999999999</v>
      </c>
      <c r="AX287" s="78">
        <v>0</v>
      </c>
      <c r="AY287" s="78">
        <v>4311</v>
      </c>
      <c r="AZ287" s="78">
        <v>11113.1348793589</v>
      </c>
      <c r="BA287" s="78">
        <v>33</v>
      </c>
      <c r="BB287" s="78">
        <v>33</v>
      </c>
      <c r="BC287" s="78">
        <v>10480</v>
      </c>
      <c r="BD287" s="78">
        <v>1</v>
      </c>
      <c r="BE287" s="78">
        <v>0</v>
      </c>
      <c r="BF287" s="78">
        <v>0</v>
      </c>
      <c r="BG287" s="78">
        <v>0</v>
      </c>
      <c r="BH287" s="78">
        <v>0</v>
      </c>
      <c r="BI287" s="78">
        <v>0</v>
      </c>
      <c r="BJ287" s="78">
        <v>0</v>
      </c>
      <c r="BK287" s="78">
        <v>0</v>
      </c>
      <c r="BL287" s="78">
        <v>0</v>
      </c>
      <c r="BM287" s="78">
        <v>1313.2260000000001</v>
      </c>
      <c r="BN287" s="78">
        <v>235</v>
      </c>
      <c r="BO287" s="78">
        <v>194</v>
      </c>
      <c r="BP287" s="78">
        <v>26178.91</v>
      </c>
      <c r="BQ287" s="78">
        <v>5677.98</v>
      </c>
      <c r="BR287" s="78">
        <v>504.10659914279302</v>
      </c>
      <c r="BS287" s="78">
        <v>909</v>
      </c>
      <c r="BT287" s="78">
        <v>266.66666666666703</v>
      </c>
      <c r="BU287" s="78">
        <v>231.666666666667</v>
      </c>
      <c r="BV287" s="78">
        <v>4952.0000000000027</v>
      </c>
      <c r="BW287" s="78">
        <v>1293</v>
      </c>
      <c r="BX287" s="78">
        <v>17398.116305297499</v>
      </c>
      <c r="BY287" s="402">
        <v>1.165</v>
      </c>
      <c r="BZ287" s="78">
        <v>69818</v>
      </c>
      <c r="CA287" s="78">
        <v>11824</v>
      </c>
      <c r="CB287" s="78">
        <v>2354</v>
      </c>
      <c r="CC287" s="78">
        <v>2096</v>
      </c>
      <c r="CD287" s="78">
        <v>2089</v>
      </c>
      <c r="CE287" s="78">
        <v>1087</v>
      </c>
      <c r="CF287" s="78">
        <v>1243.8655477867101</v>
      </c>
      <c r="CG287" s="78">
        <v>789.09084575381303</v>
      </c>
      <c r="CH287" s="78">
        <v>281.59370225683602</v>
      </c>
      <c r="CI287" s="78">
        <v>3172.05</v>
      </c>
      <c r="CJ287" s="78">
        <v>2012.3040000000001</v>
      </c>
      <c r="CK287" s="78">
        <v>718.10760000000005</v>
      </c>
      <c r="CL287" s="78">
        <v>257559</v>
      </c>
    </row>
    <row r="288" spans="1:90" x14ac:dyDescent="0.35">
      <c r="A288" s="72">
        <v>809</v>
      </c>
      <c r="B288" s="72" t="s">
        <v>188</v>
      </c>
      <c r="C288" s="72">
        <v>10</v>
      </c>
      <c r="D288" s="78">
        <v>2614000000</v>
      </c>
      <c r="E288" s="78">
        <v>365750000</v>
      </c>
      <c r="F288" s="78">
        <v>385000000</v>
      </c>
      <c r="G288" s="78">
        <v>23768</v>
      </c>
      <c r="H288" s="78">
        <v>2</v>
      </c>
      <c r="I288" s="78">
        <v>385</v>
      </c>
      <c r="J288" s="78">
        <v>4252</v>
      </c>
      <c r="K288" s="78">
        <v>5536</v>
      </c>
      <c r="L288" s="78">
        <v>1846</v>
      </c>
      <c r="M288" s="78">
        <v>2976</v>
      </c>
      <c r="N288" s="78">
        <v>1885.7</v>
      </c>
      <c r="O288" s="78">
        <v>221.666666666667</v>
      </c>
      <c r="P288" s="78">
        <v>30</v>
      </c>
      <c r="Q288" s="78">
        <v>1371.6666666666699</v>
      </c>
      <c r="R288" s="78">
        <v>3111</v>
      </c>
      <c r="S288" s="78">
        <v>610</v>
      </c>
      <c r="T288" s="78">
        <v>0</v>
      </c>
      <c r="U288" s="78">
        <v>659</v>
      </c>
      <c r="V288" s="78">
        <v>10666</v>
      </c>
      <c r="W288" s="78">
        <v>18790</v>
      </c>
      <c r="X288" s="78">
        <v>5220</v>
      </c>
      <c r="Y288" s="78">
        <v>0</v>
      </c>
      <c r="Z288" s="78">
        <v>283.2</v>
      </c>
      <c r="AA288" s="78">
        <v>0</v>
      </c>
      <c r="AB288" s="399">
        <v>0</v>
      </c>
      <c r="AC288" s="399">
        <v>9.6999999999999886</v>
      </c>
      <c r="AD288" s="78">
        <v>4991</v>
      </c>
      <c r="AE288" s="78">
        <v>4991</v>
      </c>
      <c r="AF288" s="78">
        <v>80</v>
      </c>
      <c r="AG288" s="78">
        <v>0</v>
      </c>
      <c r="AH288" s="78">
        <v>140</v>
      </c>
      <c r="AI288" s="78">
        <v>36</v>
      </c>
      <c r="AJ288" s="78">
        <v>140</v>
      </c>
      <c r="AK288" s="78">
        <v>36</v>
      </c>
      <c r="AL288" s="78">
        <v>175</v>
      </c>
      <c r="AM288" s="78">
        <v>10903</v>
      </c>
      <c r="AN288" s="78">
        <v>10903</v>
      </c>
      <c r="AO288" s="78">
        <v>0</v>
      </c>
      <c r="AP288" s="78">
        <v>0</v>
      </c>
      <c r="AQ288" s="78">
        <v>0</v>
      </c>
      <c r="AR288" s="78">
        <v>0</v>
      </c>
      <c r="AS288" s="78">
        <v>1032</v>
      </c>
      <c r="AT288" s="78">
        <v>0</v>
      </c>
      <c r="AU288" s="400">
        <v>1.93668E-4</v>
      </c>
      <c r="AV288" s="400">
        <v>1.16977E-4</v>
      </c>
      <c r="AW288" s="78">
        <v>11611.695</v>
      </c>
      <c r="AX288" s="78">
        <v>0</v>
      </c>
      <c r="AY288" s="78">
        <v>529</v>
      </c>
      <c r="AZ288" s="78">
        <v>2479.4462630644798</v>
      </c>
      <c r="BA288" s="78">
        <v>6</v>
      </c>
      <c r="BB288" s="78">
        <v>6</v>
      </c>
      <c r="BC288" s="78">
        <v>2930</v>
      </c>
      <c r="BD288" s="78">
        <v>1</v>
      </c>
      <c r="BE288" s="78">
        <v>0</v>
      </c>
      <c r="BF288" s="78">
        <v>0</v>
      </c>
      <c r="BG288" s="78">
        <v>0</v>
      </c>
      <c r="BH288" s="78">
        <v>0</v>
      </c>
      <c r="BI288" s="78">
        <v>0</v>
      </c>
      <c r="BJ288" s="78">
        <v>0</v>
      </c>
      <c r="BK288" s="78">
        <v>0</v>
      </c>
      <c r="BL288" s="78">
        <v>0</v>
      </c>
      <c r="BM288" s="78">
        <v>352.916</v>
      </c>
      <c r="BN288" s="78">
        <v>86</v>
      </c>
      <c r="BO288" s="78">
        <v>48</v>
      </c>
      <c r="BP288" s="78">
        <v>7145.64</v>
      </c>
      <c r="BQ288" s="78">
        <v>1602.9</v>
      </c>
      <c r="BR288" s="78">
        <v>205.792153005464</v>
      </c>
      <c r="BS288" s="78">
        <v>239</v>
      </c>
      <c r="BT288" s="78">
        <v>67.3333333333333</v>
      </c>
      <c r="BU288" s="78">
        <v>72</v>
      </c>
      <c r="BV288" s="78">
        <v>1150.000000000003</v>
      </c>
      <c r="BW288" s="78">
        <v>238</v>
      </c>
      <c r="BX288" s="78">
        <v>5154.7760108917601</v>
      </c>
      <c r="BY288" s="402">
        <v>0.13100000000000001</v>
      </c>
      <c r="BZ288" s="78">
        <v>18232</v>
      </c>
      <c r="CA288" s="78">
        <v>3065</v>
      </c>
      <c r="CB288" s="78">
        <v>625</v>
      </c>
      <c r="CC288" s="78">
        <v>572</v>
      </c>
      <c r="CD288" s="78">
        <v>570</v>
      </c>
      <c r="CE288" s="78">
        <v>343</v>
      </c>
      <c r="CF288" s="78">
        <v>325.49641383105597</v>
      </c>
      <c r="CG288" s="78">
        <v>215.671640832798</v>
      </c>
      <c r="CH288" s="78">
        <v>79.385150875905694</v>
      </c>
      <c r="CI288" s="78">
        <v>816.03520000000003</v>
      </c>
      <c r="CJ288" s="78">
        <v>540.69920000000002</v>
      </c>
      <c r="CK288" s="78">
        <v>199.0224</v>
      </c>
      <c r="CL288" s="78">
        <v>14600</v>
      </c>
    </row>
    <row r="289" spans="1:90" x14ac:dyDescent="0.35">
      <c r="A289" s="72">
        <v>1991</v>
      </c>
      <c r="B289" s="72" t="s">
        <v>1301</v>
      </c>
      <c r="C289" s="72">
        <v>10</v>
      </c>
      <c r="D289" s="78">
        <v>6817600000</v>
      </c>
      <c r="E289" s="78">
        <v>1040200000</v>
      </c>
      <c r="F289" s="78">
        <v>1103550000</v>
      </c>
      <c r="G289" s="78">
        <v>58362</v>
      </c>
      <c r="H289" s="78">
        <v>5</v>
      </c>
      <c r="I289" s="78">
        <v>1103.55</v>
      </c>
      <c r="J289" s="78">
        <v>10888</v>
      </c>
      <c r="K289" s="78">
        <v>13011</v>
      </c>
      <c r="L289" s="78">
        <v>4353</v>
      </c>
      <c r="M289" s="78">
        <v>7326</v>
      </c>
      <c r="N289" s="78">
        <v>4697.7999999999993</v>
      </c>
      <c r="O289" s="78">
        <v>741</v>
      </c>
      <c r="P289" s="78">
        <v>115</v>
      </c>
      <c r="Q289" s="78">
        <v>3928</v>
      </c>
      <c r="R289" s="78">
        <v>8521</v>
      </c>
      <c r="S289" s="78">
        <v>2435</v>
      </c>
      <c r="T289" s="78">
        <v>0</v>
      </c>
      <c r="U289" s="78">
        <v>1726</v>
      </c>
      <c r="V289" s="78">
        <v>26335</v>
      </c>
      <c r="W289" s="78">
        <v>59490</v>
      </c>
      <c r="X289" s="78">
        <v>47680</v>
      </c>
      <c r="Y289" s="78">
        <v>943.84</v>
      </c>
      <c r="Z289" s="78">
        <v>2207.1999999999998</v>
      </c>
      <c r="AA289" s="78">
        <v>0</v>
      </c>
      <c r="AB289" s="399">
        <v>0</v>
      </c>
      <c r="AC289" s="399">
        <v>0</v>
      </c>
      <c r="AD289" s="78">
        <v>13732</v>
      </c>
      <c r="AE289" s="78">
        <v>13732</v>
      </c>
      <c r="AF289" s="78">
        <v>92</v>
      </c>
      <c r="AG289" s="78">
        <v>0</v>
      </c>
      <c r="AH289" s="78">
        <v>403</v>
      </c>
      <c r="AI289" s="78">
        <v>193</v>
      </c>
      <c r="AJ289" s="78">
        <v>403</v>
      </c>
      <c r="AK289" s="78">
        <v>193</v>
      </c>
      <c r="AL289" s="78">
        <v>596</v>
      </c>
      <c r="AM289" s="78">
        <v>26282</v>
      </c>
      <c r="AN289" s="78">
        <v>26282</v>
      </c>
      <c r="AO289" s="78">
        <v>0</v>
      </c>
      <c r="AP289" s="78">
        <v>0</v>
      </c>
      <c r="AQ289" s="78">
        <v>0</v>
      </c>
      <c r="AR289" s="78">
        <v>0</v>
      </c>
      <c r="AS289" s="78">
        <v>550</v>
      </c>
      <c r="AT289" s="78">
        <v>0</v>
      </c>
      <c r="AU289" s="400">
        <v>2.97812E-4</v>
      </c>
      <c r="AV289" s="400">
        <v>3.9823000000000001E-4</v>
      </c>
      <c r="AW289" s="78">
        <v>30907.632000000001</v>
      </c>
      <c r="AX289" s="78">
        <v>0</v>
      </c>
      <c r="AY289" s="78">
        <v>1147</v>
      </c>
      <c r="AZ289" s="78">
        <v>4842.3910590277801</v>
      </c>
      <c r="BA289" s="78">
        <v>14</v>
      </c>
      <c r="BB289" s="78">
        <v>14</v>
      </c>
      <c r="BC289" s="78">
        <v>7775</v>
      </c>
      <c r="BD289" s="78">
        <v>1</v>
      </c>
      <c r="BE289" s="78">
        <v>0</v>
      </c>
      <c r="BF289" s="78">
        <v>0</v>
      </c>
      <c r="BG289" s="78">
        <v>0</v>
      </c>
      <c r="BH289" s="78">
        <v>0</v>
      </c>
      <c r="BI289" s="78">
        <v>0</v>
      </c>
      <c r="BJ289" s="78">
        <v>0</v>
      </c>
      <c r="BK289" s="78">
        <v>0</v>
      </c>
      <c r="BL289" s="78">
        <v>0</v>
      </c>
      <c r="BM289" s="78">
        <v>1088.8</v>
      </c>
      <c r="BN289" s="78">
        <v>173</v>
      </c>
      <c r="BO289" s="78">
        <v>154</v>
      </c>
      <c r="BP289" s="78">
        <v>17348.16</v>
      </c>
      <c r="BQ289" s="78">
        <v>4026.03</v>
      </c>
      <c r="BR289" s="78">
        <v>424.24366295140402</v>
      </c>
      <c r="BS289" s="78">
        <v>692</v>
      </c>
      <c r="BT289" s="78">
        <v>221.666666666667</v>
      </c>
      <c r="BU289" s="78">
        <v>189.666666666667</v>
      </c>
      <c r="BV289" s="78">
        <v>3187</v>
      </c>
      <c r="BW289" s="78">
        <v>808</v>
      </c>
      <c r="BX289" s="78">
        <v>10034.712543539599</v>
      </c>
      <c r="BY289" s="402">
        <v>1.085</v>
      </c>
      <c r="BZ289" s="78">
        <v>45351</v>
      </c>
      <c r="CA289" s="78">
        <v>7276</v>
      </c>
      <c r="CB289" s="78">
        <v>1382</v>
      </c>
      <c r="CC289" s="78">
        <v>1501</v>
      </c>
      <c r="CD289" s="78">
        <v>1419</v>
      </c>
      <c r="CE289" s="78">
        <v>674</v>
      </c>
      <c r="CF289" s="78">
        <v>799.88794612282197</v>
      </c>
      <c r="CG289" s="78">
        <v>523.54676965223302</v>
      </c>
      <c r="CH289" s="78">
        <v>172.847294726429</v>
      </c>
      <c r="CI289" s="78">
        <v>1974.8175000000001</v>
      </c>
      <c r="CJ289" s="78">
        <v>1292.5677000000001</v>
      </c>
      <c r="CK289" s="78">
        <v>426.7371</v>
      </c>
      <c r="CL289" s="78">
        <v>47302</v>
      </c>
    </row>
    <row r="290" spans="1:90" x14ac:dyDescent="0.35">
      <c r="A290" s="72">
        <v>1948</v>
      </c>
      <c r="B290" s="72" t="s">
        <v>198</v>
      </c>
      <c r="C290" s="72">
        <v>10</v>
      </c>
      <c r="D290" s="78">
        <v>9542400000</v>
      </c>
      <c r="E290" s="78">
        <v>1708000000</v>
      </c>
      <c r="F290" s="78">
        <v>1859550000</v>
      </c>
      <c r="G290" s="78">
        <v>82613</v>
      </c>
      <c r="H290" s="78">
        <v>7</v>
      </c>
      <c r="I290" s="78">
        <v>1859.55</v>
      </c>
      <c r="J290" s="78">
        <v>15342</v>
      </c>
      <c r="K290" s="78">
        <v>17731</v>
      </c>
      <c r="L290" s="78">
        <v>5736</v>
      </c>
      <c r="M290" s="78">
        <v>9510</v>
      </c>
      <c r="N290" s="78">
        <v>5922.1</v>
      </c>
      <c r="O290" s="78">
        <v>788.66666666666697</v>
      </c>
      <c r="P290" s="78">
        <v>220</v>
      </c>
      <c r="Q290" s="78">
        <v>5073.6666666666697</v>
      </c>
      <c r="R290" s="78">
        <v>10947</v>
      </c>
      <c r="S290" s="78">
        <v>3415</v>
      </c>
      <c r="T290" s="78">
        <v>0</v>
      </c>
      <c r="U290" s="78">
        <v>2328</v>
      </c>
      <c r="V290" s="78">
        <v>36547</v>
      </c>
      <c r="W290" s="78">
        <v>78320</v>
      </c>
      <c r="X290" s="78">
        <v>47880</v>
      </c>
      <c r="Y290" s="78">
        <v>1588.06</v>
      </c>
      <c r="Z290" s="78">
        <v>3281.6</v>
      </c>
      <c r="AA290" s="78">
        <v>0</v>
      </c>
      <c r="AB290" s="399">
        <v>0</v>
      </c>
      <c r="AC290" s="399">
        <v>0</v>
      </c>
      <c r="AD290" s="78">
        <v>18397</v>
      </c>
      <c r="AE290" s="78">
        <v>18397</v>
      </c>
      <c r="AF290" s="78">
        <v>154</v>
      </c>
      <c r="AG290" s="78">
        <v>0</v>
      </c>
      <c r="AH290" s="78">
        <v>538</v>
      </c>
      <c r="AI290" s="78">
        <v>348</v>
      </c>
      <c r="AJ290" s="78">
        <v>538</v>
      </c>
      <c r="AK290" s="78">
        <v>348</v>
      </c>
      <c r="AL290" s="78">
        <v>886</v>
      </c>
      <c r="AM290" s="78">
        <v>35879</v>
      </c>
      <c r="AN290" s="78">
        <v>35879</v>
      </c>
      <c r="AO290" s="78">
        <v>0</v>
      </c>
      <c r="AP290" s="78">
        <v>0</v>
      </c>
      <c r="AQ290" s="78">
        <v>0</v>
      </c>
      <c r="AR290" s="78">
        <v>0</v>
      </c>
      <c r="AS290" s="78">
        <v>1732</v>
      </c>
      <c r="AT290" s="78">
        <v>0</v>
      </c>
      <c r="AU290" s="400">
        <v>4.7864099999999997E-4</v>
      </c>
      <c r="AV290" s="400">
        <v>3.5838999999999999E-4</v>
      </c>
      <c r="AW290" s="78">
        <v>36094.273999999998</v>
      </c>
      <c r="AX290" s="78">
        <v>0</v>
      </c>
      <c r="AY290" s="78">
        <v>2968</v>
      </c>
      <c r="AZ290" s="78">
        <v>13217.367473451601</v>
      </c>
      <c r="BA290" s="78">
        <v>19</v>
      </c>
      <c r="BB290" s="78">
        <v>19</v>
      </c>
      <c r="BC290" s="78">
        <v>10930</v>
      </c>
      <c r="BD290" s="78">
        <v>1</v>
      </c>
      <c r="BE290" s="78">
        <v>0</v>
      </c>
      <c r="BF290" s="78">
        <v>0</v>
      </c>
      <c r="BG290" s="78">
        <v>0</v>
      </c>
      <c r="BH290" s="78">
        <v>0</v>
      </c>
      <c r="BI290" s="78">
        <v>0</v>
      </c>
      <c r="BJ290" s="78">
        <v>0</v>
      </c>
      <c r="BK290" s="78">
        <v>0</v>
      </c>
      <c r="BL290" s="78">
        <v>0</v>
      </c>
      <c r="BM290" s="78">
        <v>1411.4639999999999</v>
      </c>
      <c r="BN290" s="78">
        <v>177</v>
      </c>
      <c r="BO290" s="78">
        <v>165</v>
      </c>
      <c r="BP290" s="78">
        <v>24583.32</v>
      </c>
      <c r="BQ290" s="78">
        <v>5814</v>
      </c>
      <c r="BR290" s="78">
        <v>574.20991729323305</v>
      </c>
      <c r="BS290" s="78">
        <v>873</v>
      </c>
      <c r="BT290" s="78">
        <v>252</v>
      </c>
      <c r="BU290" s="78">
        <v>204.666666666667</v>
      </c>
      <c r="BV290" s="78">
        <v>4285.0000000000027</v>
      </c>
      <c r="BW290" s="78">
        <v>888</v>
      </c>
      <c r="BX290" s="78">
        <v>13987.921818070499</v>
      </c>
      <c r="BY290" s="402">
        <v>0.62</v>
      </c>
      <c r="BZ290" s="78">
        <v>64882</v>
      </c>
      <c r="CA290" s="78">
        <v>10089</v>
      </c>
      <c r="CB290" s="78">
        <v>1906</v>
      </c>
      <c r="CC290" s="78">
        <v>1835</v>
      </c>
      <c r="CD290" s="78">
        <v>1777</v>
      </c>
      <c r="CE290" s="78">
        <v>983</v>
      </c>
      <c r="CF290" s="78">
        <v>1015.43407564313</v>
      </c>
      <c r="CG290" s="78">
        <v>644.549750550461</v>
      </c>
      <c r="CH290" s="78">
        <v>225.468619526743</v>
      </c>
      <c r="CI290" s="78">
        <v>2644.1296000000002</v>
      </c>
      <c r="CJ290" s="78">
        <v>1678.3689999999999</v>
      </c>
      <c r="CK290" s="78">
        <v>587.10680000000002</v>
      </c>
      <c r="CL290" s="78">
        <v>33953</v>
      </c>
    </row>
    <row r="291" spans="1:90" x14ac:dyDescent="0.35">
      <c r="A291" s="72">
        <v>1709</v>
      </c>
      <c r="B291" s="72" t="s">
        <v>205</v>
      </c>
      <c r="C291" s="72">
        <v>10</v>
      </c>
      <c r="D291" s="78">
        <v>3658000000</v>
      </c>
      <c r="E291" s="78">
        <v>1947400000</v>
      </c>
      <c r="F291" s="78">
        <v>1992900000</v>
      </c>
      <c r="G291" s="78">
        <v>37313</v>
      </c>
      <c r="H291" s="78">
        <v>7</v>
      </c>
      <c r="I291" s="78">
        <v>1992.9</v>
      </c>
      <c r="J291" s="78">
        <v>6576</v>
      </c>
      <c r="K291" s="78">
        <v>8382</v>
      </c>
      <c r="L291" s="78">
        <v>2790</v>
      </c>
      <c r="M291" s="78">
        <v>4615</v>
      </c>
      <c r="N291" s="78">
        <v>2934.2</v>
      </c>
      <c r="O291" s="78">
        <v>486</v>
      </c>
      <c r="P291" s="78">
        <v>26</v>
      </c>
      <c r="Q291" s="78">
        <v>2078</v>
      </c>
      <c r="R291" s="78">
        <v>5164</v>
      </c>
      <c r="S291" s="78">
        <v>1170</v>
      </c>
      <c r="T291" s="78">
        <v>0</v>
      </c>
      <c r="U291" s="78">
        <v>1079</v>
      </c>
      <c r="V291" s="78">
        <v>16873</v>
      </c>
      <c r="W291" s="78">
        <v>30210</v>
      </c>
      <c r="X291" s="78">
        <v>4840</v>
      </c>
      <c r="Y291" s="78">
        <v>219.78</v>
      </c>
      <c r="Z291" s="78">
        <v>842.4</v>
      </c>
      <c r="AA291" s="78">
        <v>0</v>
      </c>
      <c r="AB291" s="399">
        <v>0</v>
      </c>
      <c r="AC291" s="399">
        <v>263.19999999999993</v>
      </c>
      <c r="AD291" s="78">
        <v>15917</v>
      </c>
      <c r="AE291" s="78">
        <v>16872.02</v>
      </c>
      <c r="AF291" s="78">
        <v>2485</v>
      </c>
      <c r="AG291" s="78">
        <v>0</v>
      </c>
      <c r="AH291" s="78">
        <v>203</v>
      </c>
      <c r="AI291" s="78">
        <v>318</v>
      </c>
      <c r="AJ291" s="78">
        <v>221.27</v>
      </c>
      <c r="AK291" s="78">
        <v>333.9</v>
      </c>
      <c r="AL291" s="78">
        <v>521</v>
      </c>
      <c r="AM291" s="78">
        <v>16808</v>
      </c>
      <c r="AN291" s="78">
        <v>18320.72</v>
      </c>
      <c r="AO291" s="78">
        <v>27</v>
      </c>
      <c r="AP291" s="78">
        <v>0</v>
      </c>
      <c r="AQ291" s="78">
        <v>0</v>
      </c>
      <c r="AR291" s="78">
        <v>12350</v>
      </c>
      <c r="AS291" s="78">
        <v>1513</v>
      </c>
      <c r="AT291" s="78">
        <v>1513</v>
      </c>
      <c r="AU291" s="400">
        <v>4.8159199999999998E-4</v>
      </c>
      <c r="AV291" s="400">
        <v>1.94336E-4</v>
      </c>
      <c r="AW291" s="78">
        <v>12555.575999999999</v>
      </c>
      <c r="AX291" s="78">
        <v>0</v>
      </c>
      <c r="AY291" s="78">
        <v>3806.46</v>
      </c>
      <c r="AZ291" s="78">
        <v>10168.431212911601</v>
      </c>
      <c r="BA291" s="78">
        <v>20</v>
      </c>
      <c r="BB291" s="78">
        <v>21</v>
      </c>
      <c r="BC291" s="78">
        <v>4930</v>
      </c>
      <c r="BD291" s="78">
        <v>1</v>
      </c>
      <c r="BE291" s="78">
        <v>0</v>
      </c>
      <c r="BF291" s="78">
        <v>0</v>
      </c>
      <c r="BG291" s="78">
        <v>0</v>
      </c>
      <c r="BH291" s="78">
        <v>0</v>
      </c>
      <c r="BI291" s="78">
        <v>0</v>
      </c>
      <c r="BJ291" s="78">
        <v>0</v>
      </c>
      <c r="BK291" s="78">
        <v>0</v>
      </c>
      <c r="BL291" s="78">
        <v>0</v>
      </c>
      <c r="BM291" s="78">
        <v>578.68799999999999</v>
      </c>
      <c r="BN291" s="78">
        <v>142</v>
      </c>
      <c r="BO291" s="78">
        <v>68</v>
      </c>
      <c r="BP291" s="78">
        <v>11732.75</v>
      </c>
      <c r="BQ291" s="78">
        <v>2564.96</v>
      </c>
      <c r="BR291" s="78">
        <v>287.78050816181701</v>
      </c>
      <c r="BS291" s="78">
        <v>411</v>
      </c>
      <c r="BT291" s="78">
        <v>128.666666666667</v>
      </c>
      <c r="BU291" s="78">
        <v>116.666666666667</v>
      </c>
      <c r="BV291" s="78">
        <v>1592</v>
      </c>
      <c r="BW291" s="78">
        <v>323</v>
      </c>
      <c r="BX291" s="78">
        <v>7850.7314616108597</v>
      </c>
      <c r="BY291" s="402">
        <v>0.85399999999999998</v>
      </c>
      <c r="BZ291" s="78">
        <v>28931</v>
      </c>
      <c r="CA291" s="78">
        <v>4710</v>
      </c>
      <c r="CB291" s="78">
        <v>882</v>
      </c>
      <c r="CC291" s="78">
        <v>933</v>
      </c>
      <c r="CD291" s="78">
        <v>911</v>
      </c>
      <c r="CE291" s="78">
        <v>433</v>
      </c>
      <c r="CF291" s="78">
        <v>507.65430747263201</v>
      </c>
      <c r="CG291" s="78">
        <v>340.41468348405499</v>
      </c>
      <c r="CH291" s="78">
        <v>106.314124226559</v>
      </c>
      <c r="CI291" s="78">
        <v>1228.0483999999999</v>
      </c>
      <c r="CJ291" s="78">
        <v>823.48500000000001</v>
      </c>
      <c r="CK291" s="78">
        <v>257.1807</v>
      </c>
      <c r="CL291" s="78">
        <v>26592</v>
      </c>
    </row>
    <row r="292" spans="1:90" x14ac:dyDescent="0.35">
      <c r="A292" s="72">
        <v>820</v>
      </c>
      <c r="B292" s="72" t="s">
        <v>614</v>
      </c>
      <c r="C292" s="72">
        <v>10</v>
      </c>
      <c r="D292" s="78">
        <v>3388400000</v>
      </c>
      <c r="E292" s="78">
        <v>230300000</v>
      </c>
      <c r="F292" s="78">
        <v>245350000</v>
      </c>
      <c r="G292" s="78">
        <v>23826</v>
      </c>
      <c r="H292" s="78">
        <v>2</v>
      </c>
      <c r="I292" s="78">
        <v>245.35</v>
      </c>
      <c r="J292" s="78">
        <v>4446</v>
      </c>
      <c r="K292" s="78">
        <v>6233</v>
      </c>
      <c r="L292" s="78">
        <v>2297</v>
      </c>
      <c r="M292" s="78">
        <v>2111</v>
      </c>
      <c r="N292" s="78">
        <v>1053.2</v>
      </c>
      <c r="O292" s="78">
        <v>300.66666666666703</v>
      </c>
      <c r="P292" s="78">
        <v>37</v>
      </c>
      <c r="Q292" s="78">
        <v>980.66666666666697</v>
      </c>
      <c r="R292" s="78">
        <v>2974</v>
      </c>
      <c r="S292" s="78">
        <v>490</v>
      </c>
      <c r="T292" s="78">
        <v>0</v>
      </c>
      <c r="U292" s="78">
        <v>669</v>
      </c>
      <c r="V292" s="78">
        <v>10499</v>
      </c>
      <c r="W292" s="78">
        <v>19860</v>
      </c>
      <c r="X292" s="78">
        <v>7490</v>
      </c>
      <c r="Y292" s="78">
        <v>0</v>
      </c>
      <c r="Z292" s="78">
        <v>564.79999999999995</v>
      </c>
      <c r="AA292" s="78">
        <v>0</v>
      </c>
      <c r="AB292" s="399">
        <v>0</v>
      </c>
      <c r="AC292" s="399">
        <v>59.199999999999932</v>
      </c>
      <c r="AD292" s="78">
        <v>3362</v>
      </c>
      <c r="AE292" s="78">
        <v>3362</v>
      </c>
      <c r="AF292" s="78">
        <v>32</v>
      </c>
      <c r="AG292" s="78">
        <v>0</v>
      </c>
      <c r="AH292" s="78">
        <v>152</v>
      </c>
      <c r="AI292" s="78">
        <v>29</v>
      </c>
      <c r="AJ292" s="78">
        <v>152</v>
      </c>
      <c r="AK292" s="78">
        <v>29</v>
      </c>
      <c r="AL292" s="78">
        <v>180</v>
      </c>
      <c r="AM292" s="78">
        <v>10578</v>
      </c>
      <c r="AN292" s="78">
        <v>10578</v>
      </c>
      <c r="AO292" s="78">
        <v>0</v>
      </c>
      <c r="AP292" s="78">
        <v>0</v>
      </c>
      <c r="AQ292" s="78">
        <v>0</v>
      </c>
      <c r="AR292" s="78">
        <v>0</v>
      </c>
      <c r="AS292" s="78">
        <v>0</v>
      </c>
      <c r="AT292" s="78">
        <v>0</v>
      </c>
      <c r="AU292" s="400">
        <v>8.1248999999999994E-5</v>
      </c>
      <c r="AV292" s="400">
        <v>6.7951E-5</v>
      </c>
      <c r="AW292" s="78">
        <v>11847.36</v>
      </c>
      <c r="AX292" s="78">
        <v>0</v>
      </c>
      <c r="AY292" s="78">
        <v>530</v>
      </c>
      <c r="AZ292" s="78">
        <v>3720.6187389510901</v>
      </c>
      <c r="BA292" s="78">
        <v>3</v>
      </c>
      <c r="BB292" s="78">
        <v>3</v>
      </c>
      <c r="BC292" s="78">
        <v>3270</v>
      </c>
      <c r="BD292" s="78">
        <v>1</v>
      </c>
      <c r="BE292" s="78">
        <v>0</v>
      </c>
      <c r="BF292" s="78">
        <v>0</v>
      </c>
      <c r="BG292" s="78">
        <v>0</v>
      </c>
      <c r="BH292" s="78">
        <v>0</v>
      </c>
      <c r="BI292" s="78">
        <v>0</v>
      </c>
      <c r="BJ292" s="78">
        <v>0</v>
      </c>
      <c r="BK292" s="78">
        <v>0</v>
      </c>
      <c r="BL292" s="78">
        <v>0</v>
      </c>
      <c r="BM292" s="78">
        <v>355.68</v>
      </c>
      <c r="BN292" s="78">
        <v>20</v>
      </c>
      <c r="BO292" s="78">
        <v>38</v>
      </c>
      <c r="BP292" s="78">
        <v>9008.85</v>
      </c>
      <c r="BQ292" s="78">
        <v>2041.8</v>
      </c>
      <c r="BR292" s="78">
        <v>162.922772989295</v>
      </c>
      <c r="BS292" s="78">
        <v>263</v>
      </c>
      <c r="BT292" s="78">
        <v>95.3333333333333</v>
      </c>
      <c r="BU292" s="78">
        <v>70.6666666666667</v>
      </c>
      <c r="BV292" s="78">
        <v>680</v>
      </c>
      <c r="BW292" s="78">
        <v>161</v>
      </c>
      <c r="BX292" s="78">
        <v>4010.6329322420102</v>
      </c>
      <c r="BY292" s="402">
        <v>0.378</v>
      </c>
      <c r="BZ292" s="78">
        <v>17593</v>
      </c>
      <c r="CA292" s="78">
        <v>3240</v>
      </c>
      <c r="CB292" s="78">
        <v>696</v>
      </c>
      <c r="CC292" s="78">
        <v>602</v>
      </c>
      <c r="CD292" s="78">
        <v>612</v>
      </c>
      <c r="CE292" s="78">
        <v>316</v>
      </c>
      <c r="CF292" s="78">
        <v>195.04809982983599</v>
      </c>
      <c r="CG292" s="78">
        <v>152.33465683494001</v>
      </c>
      <c r="CH292" s="78">
        <v>50.579088674607704</v>
      </c>
      <c r="CI292" s="78">
        <v>579.66809999999998</v>
      </c>
      <c r="CJ292" s="78">
        <v>452.72699999999998</v>
      </c>
      <c r="CK292" s="78">
        <v>150.31720000000001</v>
      </c>
      <c r="CL292" s="78">
        <v>10585</v>
      </c>
    </row>
    <row r="293" spans="1:90" x14ac:dyDescent="0.35">
      <c r="A293" s="72">
        <v>823</v>
      </c>
      <c r="B293" s="72" t="s">
        <v>225</v>
      </c>
      <c r="C293" s="72">
        <v>10</v>
      </c>
      <c r="D293" s="78">
        <v>2645200000</v>
      </c>
      <c r="E293" s="78">
        <v>535850000</v>
      </c>
      <c r="F293" s="78">
        <v>572600000</v>
      </c>
      <c r="G293" s="78">
        <v>19061</v>
      </c>
      <c r="H293" s="78">
        <v>2</v>
      </c>
      <c r="I293" s="78">
        <v>572.6</v>
      </c>
      <c r="J293" s="78">
        <v>3313</v>
      </c>
      <c r="K293" s="78">
        <v>4344</v>
      </c>
      <c r="L293" s="78">
        <v>1356</v>
      </c>
      <c r="M293" s="78">
        <v>1981</v>
      </c>
      <c r="N293" s="78">
        <v>1131.8</v>
      </c>
      <c r="O293" s="78">
        <v>124.666666666667</v>
      </c>
      <c r="P293" s="78">
        <v>29</v>
      </c>
      <c r="Q293" s="78">
        <v>830.66666666666697</v>
      </c>
      <c r="R293" s="78">
        <v>2264</v>
      </c>
      <c r="S293" s="78">
        <v>245</v>
      </c>
      <c r="T293" s="78">
        <v>0</v>
      </c>
      <c r="U293" s="78">
        <v>435</v>
      </c>
      <c r="V293" s="78">
        <v>8277</v>
      </c>
      <c r="W293" s="78">
        <v>14810</v>
      </c>
      <c r="X293" s="78">
        <v>3100</v>
      </c>
      <c r="Y293" s="78">
        <v>0</v>
      </c>
      <c r="Z293" s="78">
        <v>729.6</v>
      </c>
      <c r="AA293" s="78">
        <v>0</v>
      </c>
      <c r="AB293" s="399">
        <v>0</v>
      </c>
      <c r="AC293" s="399">
        <v>0</v>
      </c>
      <c r="AD293" s="78">
        <v>10176</v>
      </c>
      <c r="AE293" s="78">
        <v>10176</v>
      </c>
      <c r="AF293" s="78">
        <v>108</v>
      </c>
      <c r="AG293" s="78">
        <v>0</v>
      </c>
      <c r="AH293" s="78">
        <v>132</v>
      </c>
      <c r="AI293" s="78">
        <v>104</v>
      </c>
      <c r="AJ293" s="78">
        <v>132</v>
      </c>
      <c r="AK293" s="78">
        <v>104</v>
      </c>
      <c r="AL293" s="78">
        <v>237</v>
      </c>
      <c r="AM293" s="78">
        <v>8492</v>
      </c>
      <c r="AN293" s="78">
        <v>8492</v>
      </c>
      <c r="AO293" s="78">
        <v>10</v>
      </c>
      <c r="AP293" s="78">
        <v>0</v>
      </c>
      <c r="AQ293" s="78">
        <v>0</v>
      </c>
      <c r="AR293" s="78">
        <v>0</v>
      </c>
      <c r="AS293" s="78">
        <v>0</v>
      </c>
      <c r="AT293" s="78">
        <v>0</v>
      </c>
      <c r="AU293" s="400">
        <v>1.8325500000000001E-4</v>
      </c>
      <c r="AV293" s="400">
        <v>5.5822000000000002E-5</v>
      </c>
      <c r="AW293" s="78">
        <v>5315.9920000000002</v>
      </c>
      <c r="AX293" s="78">
        <v>0</v>
      </c>
      <c r="AY293" s="78">
        <v>1329</v>
      </c>
      <c r="AZ293" s="78">
        <v>2463.2505834305698</v>
      </c>
      <c r="BA293" s="78">
        <v>9</v>
      </c>
      <c r="BB293" s="78">
        <v>9</v>
      </c>
      <c r="BC293" s="78">
        <v>2945</v>
      </c>
      <c r="BD293" s="78">
        <v>1</v>
      </c>
      <c r="BE293" s="78">
        <v>0</v>
      </c>
      <c r="BF293" s="78">
        <v>0</v>
      </c>
      <c r="BG293" s="78">
        <v>0</v>
      </c>
      <c r="BH293" s="78">
        <v>0</v>
      </c>
      <c r="BI293" s="78">
        <v>0</v>
      </c>
      <c r="BJ293" s="78">
        <v>0</v>
      </c>
      <c r="BK293" s="78">
        <v>0</v>
      </c>
      <c r="BL293" s="78">
        <v>0</v>
      </c>
      <c r="BM293" s="78">
        <v>195.46700000000001</v>
      </c>
      <c r="BN293" s="78">
        <v>24</v>
      </c>
      <c r="BO293" s="78">
        <v>36</v>
      </c>
      <c r="BP293" s="78">
        <v>6064.04</v>
      </c>
      <c r="BQ293" s="78">
        <v>1360.5</v>
      </c>
      <c r="BR293" s="78">
        <v>89.378336531871099</v>
      </c>
      <c r="BS293" s="78">
        <v>167</v>
      </c>
      <c r="BT293" s="78">
        <v>40</v>
      </c>
      <c r="BU293" s="78">
        <v>25</v>
      </c>
      <c r="BV293" s="78">
        <v>706</v>
      </c>
      <c r="BW293" s="78">
        <v>124</v>
      </c>
      <c r="BX293" s="78">
        <v>3025.72383823373</v>
      </c>
      <c r="BY293" s="402">
        <v>9.5000000000000001E-2</v>
      </c>
      <c r="BZ293" s="78">
        <v>14717</v>
      </c>
      <c r="CA293" s="78">
        <v>2458</v>
      </c>
      <c r="CB293" s="78">
        <v>530</v>
      </c>
      <c r="CC293" s="78">
        <v>396</v>
      </c>
      <c r="CD293" s="78">
        <v>433</v>
      </c>
      <c r="CE293" s="78">
        <v>217</v>
      </c>
      <c r="CF293" s="78">
        <v>197.38528026377799</v>
      </c>
      <c r="CG293" s="78">
        <v>120.48365520489899</v>
      </c>
      <c r="CH293" s="78">
        <v>42.249246349505398</v>
      </c>
      <c r="CI293" s="78">
        <v>547.22950000000003</v>
      </c>
      <c r="CJ293" s="78">
        <v>334.02800000000002</v>
      </c>
      <c r="CK293" s="78">
        <v>117.1315</v>
      </c>
      <c r="CL293" s="78">
        <v>4593</v>
      </c>
    </row>
    <row r="294" spans="1:90" x14ac:dyDescent="0.35">
      <c r="A294" s="72">
        <v>824</v>
      </c>
      <c r="B294" s="72" t="s">
        <v>226</v>
      </c>
      <c r="C294" s="72">
        <v>10</v>
      </c>
      <c r="D294" s="78">
        <v>4165600000</v>
      </c>
      <c r="E294" s="78">
        <v>474250000</v>
      </c>
      <c r="F294" s="78">
        <v>474250000</v>
      </c>
      <c r="G294" s="78">
        <v>32503</v>
      </c>
      <c r="H294" s="78">
        <v>4</v>
      </c>
      <c r="I294" s="78">
        <v>474.25</v>
      </c>
      <c r="J294" s="78">
        <v>5731</v>
      </c>
      <c r="K294" s="78">
        <v>8086</v>
      </c>
      <c r="L294" s="78">
        <v>2873</v>
      </c>
      <c r="M294" s="78">
        <v>3895</v>
      </c>
      <c r="N294" s="78">
        <v>2390.8999999999996</v>
      </c>
      <c r="O294" s="78">
        <v>293</v>
      </c>
      <c r="P294" s="78">
        <v>42</v>
      </c>
      <c r="Q294" s="78">
        <v>1634</v>
      </c>
      <c r="R294" s="78">
        <v>4477</v>
      </c>
      <c r="S294" s="78">
        <v>820</v>
      </c>
      <c r="T294" s="78">
        <v>0</v>
      </c>
      <c r="U294" s="78">
        <v>854</v>
      </c>
      <c r="V294" s="78">
        <v>15090</v>
      </c>
      <c r="W294" s="78">
        <v>27770</v>
      </c>
      <c r="X294" s="78">
        <v>9330</v>
      </c>
      <c r="Y294" s="78">
        <v>609.76</v>
      </c>
      <c r="Z294" s="78">
        <v>1290.4000000000001</v>
      </c>
      <c r="AA294" s="78">
        <v>0</v>
      </c>
      <c r="AB294" s="399">
        <v>0</v>
      </c>
      <c r="AC294" s="399">
        <v>0</v>
      </c>
      <c r="AD294" s="78">
        <v>8011</v>
      </c>
      <c r="AE294" s="78">
        <v>8011</v>
      </c>
      <c r="AF294" s="78">
        <v>135</v>
      </c>
      <c r="AG294" s="78">
        <v>0</v>
      </c>
      <c r="AH294" s="78">
        <v>206</v>
      </c>
      <c r="AI294" s="78">
        <v>84</v>
      </c>
      <c r="AJ294" s="78">
        <v>206</v>
      </c>
      <c r="AK294" s="78">
        <v>84</v>
      </c>
      <c r="AL294" s="78">
        <v>290</v>
      </c>
      <c r="AM294" s="78">
        <v>15041</v>
      </c>
      <c r="AN294" s="78">
        <v>15041</v>
      </c>
      <c r="AO294" s="78">
        <v>10</v>
      </c>
      <c r="AP294" s="78">
        <v>0</v>
      </c>
      <c r="AQ294" s="78">
        <v>0</v>
      </c>
      <c r="AR294" s="78">
        <v>0</v>
      </c>
      <c r="AS294" s="78">
        <v>1176</v>
      </c>
      <c r="AT294" s="78">
        <v>1176</v>
      </c>
      <c r="AU294" s="400">
        <v>2.8360800000000003E-4</v>
      </c>
      <c r="AV294" s="400">
        <v>1.5185200000000001E-4</v>
      </c>
      <c r="AW294" s="78">
        <v>14063.334999999999</v>
      </c>
      <c r="AX294" s="78">
        <v>0</v>
      </c>
      <c r="AY294" s="78">
        <v>1374</v>
      </c>
      <c r="AZ294" s="78">
        <v>5482.3375890007401</v>
      </c>
      <c r="BA294" s="78">
        <v>5</v>
      </c>
      <c r="BB294" s="78">
        <v>5</v>
      </c>
      <c r="BC294" s="78">
        <v>5255</v>
      </c>
      <c r="BD294" s="78">
        <v>1</v>
      </c>
      <c r="BE294" s="78">
        <v>0</v>
      </c>
      <c r="BF294" s="78">
        <v>0</v>
      </c>
      <c r="BG294" s="78">
        <v>0</v>
      </c>
      <c r="BH294" s="78">
        <v>0</v>
      </c>
      <c r="BI294" s="78">
        <v>0</v>
      </c>
      <c r="BJ294" s="78">
        <v>0</v>
      </c>
      <c r="BK294" s="78">
        <v>0</v>
      </c>
      <c r="BL294" s="78">
        <v>0</v>
      </c>
      <c r="BM294" s="78">
        <v>521.52099999999996</v>
      </c>
      <c r="BN294" s="78">
        <v>73</v>
      </c>
      <c r="BO294" s="78">
        <v>91</v>
      </c>
      <c r="BP294" s="78">
        <v>11024.52</v>
      </c>
      <c r="BQ294" s="78">
        <v>2439.84</v>
      </c>
      <c r="BR294" s="78">
        <v>178.024873015873</v>
      </c>
      <c r="BS294" s="78">
        <v>322</v>
      </c>
      <c r="BT294" s="78">
        <v>86.6666666666667</v>
      </c>
      <c r="BU294" s="78">
        <v>70.3333333333333</v>
      </c>
      <c r="BV294" s="78">
        <v>1341</v>
      </c>
      <c r="BW294" s="78">
        <v>407</v>
      </c>
      <c r="BX294" s="78">
        <v>6140.8009365829603</v>
      </c>
      <c r="BY294" s="402">
        <v>0.22800000000000001</v>
      </c>
      <c r="BZ294" s="78">
        <v>24417</v>
      </c>
      <c r="CA294" s="78">
        <v>4251</v>
      </c>
      <c r="CB294" s="78">
        <v>962</v>
      </c>
      <c r="CC294" s="78">
        <v>840</v>
      </c>
      <c r="CD294" s="78">
        <v>856</v>
      </c>
      <c r="CE294" s="78">
        <v>448</v>
      </c>
      <c r="CF294" s="78">
        <v>406.93464530283899</v>
      </c>
      <c r="CG294" s="78">
        <v>304.56514859384299</v>
      </c>
      <c r="CH294" s="78">
        <v>104.594920550495</v>
      </c>
      <c r="CI294" s="78">
        <v>887.55200000000002</v>
      </c>
      <c r="CJ294" s="78">
        <v>664.27719999999999</v>
      </c>
      <c r="CK294" s="78">
        <v>228.12860000000001</v>
      </c>
      <c r="CL294" s="78">
        <v>143399</v>
      </c>
    </row>
    <row r="295" spans="1:90" x14ac:dyDescent="0.35">
      <c r="A295" s="72">
        <v>826</v>
      </c>
      <c r="B295" s="72" t="s">
        <v>233</v>
      </c>
      <c r="C295" s="72">
        <v>10</v>
      </c>
      <c r="D295" s="78">
        <v>6179200000</v>
      </c>
      <c r="E295" s="78">
        <v>1091300000</v>
      </c>
      <c r="F295" s="78">
        <v>1116150000</v>
      </c>
      <c r="G295" s="78">
        <v>56535</v>
      </c>
      <c r="H295" s="78">
        <v>2</v>
      </c>
      <c r="I295" s="78">
        <v>1116.1500000000001</v>
      </c>
      <c r="J295" s="78">
        <v>10390</v>
      </c>
      <c r="K295" s="78">
        <v>13061</v>
      </c>
      <c r="L295" s="78">
        <v>4458</v>
      </c>
      <c r="M295" s="78">
        <v>7479</v>
      </c>
      <c r="N295" s="78">
        <v>4838.2</v>
      </c>
      <c r="O295" s="78">
        <v>853</v>
      </c>
      <c r="P295" s="78">
        <v>83</v>
      </c>
      <c r="Q295" s="78">
        <v>3592</v>
      </c>
      <c r="R295" s="78">
        <v>8422</v>
      </c>
      <c r="S295" s="78">
        <v>4515</v>
      </c>
      <c r="T295" s="78">
        <v>0</v>
      </c>
      <c r="U295" s="78">
        <v>1884</v>
      </c>
      <c r="V295" s="78">
        <v>25988</v>
      </c>
      <c r="W295" s="78">
        <v>57390</v>
      </c>
      <c r="X295" s="78">
        <v>46390</v>
      </c>
      <c r="Y295" s="78">
        <v>1606.1</v>
      </c>
      <c r="Z295" s="78">
        <v>1856.8</v>
      </c>
      <c r="AA295" s="78">
        <v>0</v>
      </c>
      <c r="AB295" s="399">
        <v>0</v>
      </c>
      <c r="AC295" s="399">
        <v>0</v>
      </c>
      <c r="AD295" s="78">
        <v>7142</v>
      </c>
      <c r="AE295" s="78">
        <v>7142</v>
      </c>
      <c r="AF295" s="78">
        <v>167</v>
      </c>
      <c r="AG295" s="78">
        <v>0</v>
      </c>
      <c r="AH295" s="78">
        <v>324</v>
      </c>
      <c r="AI295" s="78">
        <v>134</v>
      </c>
      <c r="AJ295" s="78">
        <v>324</v>
      </c>
      <c r="AK295" s="78">
        <v>134</v>
      </c>
      <c r="AL295" s="78">
        <v>458</v>
      </c>
      <c r="AM295" s="78">
        <v>26408</v>
      </c>
      <c r="AN295" s="78">
        <v>26408</v>
      </c>
      <c r="AO295" s="78">
        <v>10</v>
      </c>
      <c r="AP295" s="78">
        <v>0</v>
      </c>
      <c r="AQ295" s="78">
        <v>0</v>
      </c>
      <c r="AR295" s="78">
        <v>0</v>
      </c>
      <c r="AS295" s="78">
        <v>1991</v>
      </c>
      <c r="AT295" s="78">
        <v>1991</v>
      </c>
      <c r="AU295" s="400">
        <v>4.02929E-4</v>
      </c>
      <c r="AV295" s="400">
        <v>8.4261600000000002E-4</v>
      </c>
      <c r="AW295" s="78">
        <v>41011.624000000003</v>
      </c>
      <c r="AX295" s="78">
        <v>0</v>
      </c>
      <c r="AY295" s="78">
        <v>1382</v>
      </c>
      <c r="AZ295" s="78">
        <v>10689.748255575299</v>
      </c>
      <c r="BA295" s="78">
        <v>7</v>
      </c>
      <c r="BB295" s="78">
        <v>7</v>
      </c>
      <c r="BC295" s="78">
        <v>6970</v>
      </c>
      <c r="BD295" s="78">
        <v>1</v>
      </c>
      <c r="BE295" s="78">
        <v>0</v>
      </c>
      <c r="BF295" s="78">
        <v>0</v>
      </c>
      <c r="BG295" s="78">
        <v>0</v>
      </c>
      <c r="BH295" s="78">
        <v>0</v>
      </c>
      <c r="BI295" s="78">
        <v>0</v>
      </c>
      <c r="BJ295" s="78">
        <v>0</v>
      </c>
      <c r="BK295" s="78">
        <v>0</v>
      </c>
      <c r="BL295" s="78">
        <v>0</v>
      </c>
      <c r="BM295" s="78">
        <v>1277.97</v>
      </c>
      <c r="BN295" s="78">
        <v>198</v>
      </c>
      <c r="BO295" s="78">
        <v>153</v>
      </c>
      <c r="BP295" s="78">
        <v>17817.099999999999</v>
      </c>
      <c r="BQ295" s="78">
        <v>3916.44</v>
      </c>
      <c r="BR295" s="78">
        <v>526.45688772542201</v>
      </c>
      <c r="BS295" s="78">
        <v>701</v>
      </c>
      <c r="BT295" s="78">
        <v>256.33333333333297</v>
      </c>
      <c r="BU295" s="78">
        <v>228</v>
      </c>
      <c r="BV295" s="78">
        <v>2739</v>
      </c>
      <c r="BW295" s="78">
        <v>609</v>
      </c>
      <c r="BX295" s="78">
        <v>11536.415058890499</v>
      </c>
      <c r="BY295" s="402">
        <v>1.601</v>
      </c>
      <c r="BZ295" s="78">
        <v>43474</v>
      </c>
      <c r="CA295" s="78">
        <v>7278</v>
      </c>
      <c r="CB295" s="78">
        <v>1325</v>
      </c>
      <c r="CC295" s="78">
        <v>1553</v>
      </c>
      <c r="CD295" s="78">
        <v>1453</v>
      </c>
      <c r="CE295" s="78">
        <v>729</v>
      </c>
      <c r="CF295" s="78">
        <v>831.22210693729198</v>
      </c>
      <c r="CG295" s="78">
        <v>570.69800817934004</v>
      </c>
      <c r="CH295" s="78">
        <v>184.85852014541001</v>
      </c>
      <c r="CI295" s="78">
        <v>1950.0026</v>
      </c>
      <c r="CJ295" s="78">
        <v>1338.827</v>
      </c>
      <c r="CK295" s="78">
        <v>433.66820000000001</v>
      </c>
      <c r="CL295" s="78">
        <v>9030</v>
      </c>
    </row>
    <row r="296" spans="1:90" x14ac:dyDescent="0.35">
      <c r="A296" s="72">
        <v>828</v>
      </c>
      <c r="B296" s="72" t="s">
        <v>238</v>
      </c>
      <c r="C296" s="72">
        <v>10</v>
      </c>
      <c r="D296" s="78">
        <v>9694400000</v>
      </c>
      <c r="E296" s="78">
        <v>1298850000</v>
      </c>
      <c r="F296" s="78">
        <v>1386350000</v>
      </c>
      <c r="G296" s="78">
        <v>93307</v>
      </c>
      <c r="H296" s="78">
        <v>6</v>
      </c>
      <c r="I296" s="78">
        <v>1386.35</v>
      </c>
      <c r="J296" s="78">
        <v>16829</v>
      </c>
      <c r="K296" s="78">
        <v>19002</v>
      </c>
      <c r="L296" s="78">
        <v>6257</v>
      </c>
      <c r="M296" s="78">
        <v>12753</v>
      </c>
      <c r="N296" s="78">
        <v>8580.5</v>
      </c>
      <c r="O296" s="78">
        <v>1583</v>
      </c>
      <c r="P296" s="78">
        <v>385</v>
      </c>
      <c r="Q296" s="78">
        <v>7722</v>
      </c>
      <c r="R296" s="78">
        <v>14606</v>
      </c>
      <c r="S296" s="78">
        <v>6435</v>
      </c>
      <c r="T296" s="78">
        <v>0</v>
      </c>
      <c r="U296" s="78">
        <v>2979</v>
      </c>
      <c r="V296" s="78">
        <v>42714</v>
      </c>
      <c r="W296" s="78">
        <v>97330</v>
      </c>
      <c r="X296" s="78">
        <v>99570</v>
      </c>
      <c r="Y296" s="78">
        <v>3322.64</v>
      </c>
      <c r="Z296" s="78">
        <v>4157.6000000000004</v>
      </c>
      <c r="AA296" s="78">
        <v>0</v>
      </c>
      <c r="AB296" s="399">
        <v>0</v>
      </c>
      <c r="AC296" s="399">
        <v>0</v>
      </c>
      <c r="AD296" s="78">
        <v>16182</v>
      </c>
      <c r="AE296" s="78">
        <v>16182</v>
      </c>
      <c r="AF296" s="78">
        <v>911</v>
      </c>
      <c r="AG296" s="78">
        <v>0</v>
      </c>
      <c r="AH296" s="78">
        <v>593</v>
      </c>
      <c r="AI296" s="78">
        <v>194</v>
      </c>
      <c r="AJ296" s="78">
        <v>593</v>
      </c>
      <c r="AK296" s="78">
        <v>194</v>
      </c>
      <c r="AL296" s="78">
        <v>788</v>
      </c>
      <c r="AM296" s="78">
        <v>41725</v>
      </c>
      <c r="AN296" s="78">
        <v>41725</v>
      </c>
      <c r="AO296" s="78">
        <v>10</v>
      </c>
      <c r="AP296" s="78">
        <v>0</v>
      </c>
      <c r="AQ296" s="78">
        <v>0</v>
      </c>
      <c r="AR296" s="78">
        <v>1400</v>
      </c>
      <c r="AS296" s="78">
        <v>2590</v>
      </c>
      <c r="AT296" s="78">
        <v>0</v>
      </c>
      <c r="AU296" s="400">
        <v>7.3687700000000004E-4</v>
      </c>
      <c r="AV296" s="400">
        <v>1.0370729999999999E-3</v>
      </c>
      <c r="AW296" s="78">
        <v>59416.4</v>
      </c>
      <c r="AX296" s="78">
        <v>0</v>
      </c>
      <c r="AY296" s="78">
        <v>3552</v>
      </c>
      <c r="AZ296" s="78">
        <v>19422.354531094599</v>
      </c>
      <c r="BA296" s="78">
        <v>23</v>
      </c>
      <c r="BB296" s="78">
        <v>23</v>
      </c>
      <c r="BC296" s="78">
        <v>11230</v>
      </c>
      <c r="BD296" s="78">
        <v>1</v>
      </c>
      <c r="BE296" s="78">
        <v>0</v>
      </c>
      <c r="BF296" s="78">
        <v>0</v>
      </c>
      <c r="BG296" s="78">
        <v>0</v>
      </c>
      <c r="BH296" s="78">
        <v>0</v>
      </c>
      <c r="BI296" s="78">
        <v>0</v>
      </c>
      <c r="BJ296" s="78">
        <v>0</v>
      </c>
      <c r="BK296" s="78">
        <v>0</v>
      </c>
      <c r="BL296" s="78">
        <v>0</v>
      </c>
      <c r="BM296" s="78">
        <v>2069.9670000000001</v>
      </c>
      <c r="BN296" s="78">
        <v>368</v>
      </c>
      <c r="BO296" s="78">
        <v>278</v>
      </c>
      <c r="BP296" s="78">
        <v>28021.41</v>
      </c>
      <c r="BQ296" s="78">
        <v>6102.4</v>
      </c>
      <c r="BR296" s="78">
        <v>762.66873138483004</v>
      </c>
      <c r="BS296" s="78">
        <v>1126</v>
      </c>
      <c r="BT296" s="78">
        <v>435.66666666666703</v>
      </c>
      <c r="BU296" s="78">
        <v>392.33333333333297</v>
      </c>
      <c r="BV296" s="78">
        <v>6139</v>
      </c>
      <c r="BW296" s="78">
        <v>1371</v>
      </c>
      <c r="BX296" s="78">
        <v>17510.4462654821</v>
      </c>
      <c r="BY296" s="402">
        <v>3.3540000000000001</v>
      </c>
      <c r="BZ296" s="78">
        <v>74305</v>
      </c>
      <c r="CA296" s="78">
        <v>10724</v>
      </c>
      <c r="CB296" s="78">
        <v>2021</v>
      </c>
      <c r="CC296" s="78">
        <v>2245</v>
      </c>
      <c r="CD296" s="78">
        <v>2099</v>
      </c>
      <c r="CE296" s="78">
        <v>1074</v>
      </c>
      <c r="CF296" s="78">
        <v>1376.58159376872</v>
      </c>
      <c r="CG296" s="78">
        <v>893.52360695027005</v>
      </c>
      <c r="CH296" s="78">
        <v>305.38148591971202</v>
      </c>
      <c r="CI296" s="78">
        <v>3113.3793999999998</v>
      </c>
      <c r="CJ296" s="78">
        <v>2020.8595</v>
      </c>
      <c r="CK296" s="78">
        <v>690.67349999999999</v>
      </c>
      <c r="CL296" s="78">
        <v>21223</v>
      </c>
    </row>
    <row r="297" spans="1:90" x14ac:dyDescent="0.35">
      <c r="A297" s="72">
        <v>1667</v>
      </c>
      <c r="B297" s="72" t="s">
        <v>253</v>
      </c>
      <c r="C297" s="72">
        <v>10</v>
      </c>
      <c r="D297" s="78">
        <v>1622400000</v>
      </c>
      <c r="E297" s="78">
        <v>171500000</v>
      </c>
      <c r="F297" s="78">
        <v>206500000</v>
      </c>
      <c r="G297" s="78">
        <v>13271</v>
      </c>
      <c r="H297" s="78">
        <v>3</v>
      </c>
      <c r="I297" s="78">
        <v>206.5</v>
      </c>
      <c r="J297" s="78">
        <v>2660</v>
      </c>
      <c r="K297" s="78">
        <v>2868</v>
      </c>
      <c r="L297" s="78">
        <v>801</v>
      </c>
      <c r="M297" s="78">
        <v>1394</v>
      </c>
      <c r="N297" s="78">
        <v>809.3</v>
      </c>
      <c r="O297" s="78">
        <v>81</v>
      </c>
      <c r="P297" s="78">
        <v>33</v>
      </c>
      <c r="Q297" s="78">
        <v>642</v>
      </c>
      <c r="R297" s="78">
        <v>1575</v>
      </c>
      <c r="S297" s="78">
        <v>135</v>
      </c>
      <c r="T297" s="78">
        <v>0</v>
      </c>
      <c r="U297" s="78">
        <v>279</v>
      </c>
      <c r="V297" s="78">
        <v>5654</v>
      </c>
      <c r="W297" s="78">
        <v>11870</v>
      </c>
      <c r="X297" s="78">
        <v>2560</v>
      </c>
      <c r="Y297" s="78">
        <v>0</v>
      </c>
      <c r="Z297" s="78">
        <v>0</v>
      </c>
      <c r="AA297" s="78">
        <v>0</v>
      </c>
      <c r="AB297" s="399">
        <v>0</v>
      </c>
      <c r="AC297" s="399">
        <v>0</v>
      </c>
      <c r="AD297" s="78">
        <v>7779</v>
      </c>
      <c r="AE297" s="78">
        <v>7779</v>
      </c>
      <c r="AF297" s="78">
        <v>87</v>
      </c>
      <c r="AG297" s="78">
        <v>0</v>
      </c>
      <c r="AH297" s="78">
        <v>86</v>
      </c>
      <c r="AI297" s="78">
        <v>98</v>
      </c>
      <c r="AJ297" s="78">
        <v>86</v>
      </c>
      <c r="AK297" s="78">
        <v>98</v>
      </c>
      <c r="AL297" s="78">
        <v>184</v>
      </c>
      <c r="AM297" s="78">
        <v>5847</v>
      </c>
      <c r="AN297" s="78">
        <v>5847</v>
      </c>
      <c r="AO297" s="78">
        <v>0</v>
      </c>
      <c r="AP297" s="78">
        <v>0</v>
      </c>
      <c r="AQ297" s="78">
        <v>0</v>
      </c>
      <c r="AR297" s="78">
        <v>0</v>
      </c>
      <c r="AS297" s="78">
        <v>0</v>
      </c>
      <c r="AT297" s="78">
        <v>0</v>
      </c>
      <c r="AU297" s="400">
        <v>8.0006999999999995E-5</v>
      </c>
      <c r="AV297" s="400">
        <v>4.1189999999999997E-5</v>
      </c>
      <c r="AW297" s="78">
        <v>3356.1779999999999</v>
      </c>
      <c r="AX297" s="78">
        <v>0</v>
      </c>
      <c r="AY297" s="78">
        <v>400</v>
      </c>
      <c r="AZ297" s="78">
        <v>674.85380116959095</v>
      </c>
      <c r="BA297" s="78">
        <v>8</v>
      </c>
      <c r="BB297" s="78">
        <v>8</v>
      </c>
      <c r="BC297" s="78">
        <v>1810</v>
      </c>
      <c r="BD297" s="78">
        <v>1</v>
      </c>
      <c r="BE297" s="78">
        <v>0</v>
      </c>
      <c r="BF297" s="78">
        <v>0</v>
      </c>
      <c r="BG297" s="78">
        <v>0</v>
      </c>
      <c r="BH297" s="78">
        <v>0</v>
      </c>
      <c r="BI297" s="78">
        <v>0</v>
      </c>
      <c r="BJ297" s="78">
        <v>0</v>
      </c>
      <c r="BK297" s="78">
        <v>0</v>
      </c>
      <c r="BL297" s="78">
        <v>0</v>
      </c>
      <c r="BM297" s="78">
        <v>234.08</v>
      </c>
      <c r="BN297" s="78">
        <v>33</v>
      </c>
      <c r="BO297" s="78">
        <v>29</v>
      </c>
      <c r="BP297" s="78">
        <v>3908.1</v>
      </c>
      <c r="BQ297" s="78">
        <v>988.32</v>
      </c>
      <c r="BR297" s="78">
        <v>117.299739609414</v>
      </c>
      <c r="BS297" s="78">
        <v>111</v>
      </c>
      <c r="BT297" s="78">
        <v>21.3333333333333</v>
      </c>
      <c r="BU297" s="78">
        <v>15.3333333333333</v>
      </c>
      <c r="BV297" s="78">
        <v>561</v>
      </c>
      <c r="BW297" s="78">
        <v>115</v>
      </c>
      <c r="BX297" s="78">
        <v>2521.1159411899098</v>
      </c>
      <c r="BY297" s="402">
        <v>6.5000000000000002E-2</v>
      </c>
      <c r="BZ297" s="78">
        <v>10403</v>
      </c>
      <c r="CA297" s="78">
        <v>1821</v>
      </c>
      <c r="CB297" s="78">
        <v>246</v>
      </c>
      <c r="CC297" s="78">
        <v>285</v>
      </c>
      <c r="CD297" s="78">
        <v>255</v>
      </c>
      <c r="CE297" s="78">
        <v>138</v>
      </c>
      <c r="CF297" s="78">
        <v>154.05351462288399</v>
      </c>
      <c r="CG297" s="78">
        <v>76.957550880793605</v>
      </c>
      <c r="CH297" s="78">
        <v>26.852095091499901</v>
      </c>
      <c r="CI297" s="78">
        <v>478.36739999999998</v>
      </c>
      <c r="CJ297" s="78">
        <v>238.96879999999999</v>
      </c>
      <c r="CK297" s="78">
        <v>83.381200000000007</v>
      </c>
      <c r="CL297" s="78">
        <v>0</v>
      </c>
    </row>
    <row r="298" spans="1:90" x14ac:dyDescent="0.35">
      <c r="A298" s="72">
        <v>1674</v>
      </c>
      <c r="B298" s="72" t="s">
        <v>261</v>
      </c>
      <c r="C298" s="72">
        <v>10</v>
      </c>
      <c r="D298" s="78">
        <v>7208800000</v>
      </c>
      <c r="E298" s="78">
        <v>1317750000</v>
      </c>
      <c r="F298" s="78">
        <v>1380400000</v>
      </c>
      <c r="G298" s="78">
        <v>77244</v>
      </c>
      <c r="H298" s="78">
        <v>4</v>
      </c>
      <c r="I298" s="78">
        <v>1380.4</v>
      </c>
      <c r="J298" s="78">
        <v>13676</v>
      </c>
      <c r="K298" s="78">
        <v>17166</v>
      </c>
      <c r="L298" s="78">
        <v>5874</v>
      </c>
      <c r="M298" s="78">
        <v>11452</v>
      </c>
      <c r="N298" s="78">
        <v>7841.5</v>
      </c>
      <c r="O298" s="78">
        <v>1798.6666666666699</v>
      </c>
      <c r="P298" s="78">
        <v>94</v>
      </c>
      <c r="Q298" s="78">
        <v>5903.6666666666697</v>
      </c>
      <c r="R298" s="78">
        <v>13267</v>
      </c>
      <c r="S298" s="78">
        <v>7665</v>
      </c>
      <c r="T298" s="78">
        <v>0</v>
      </c>
      <c r="U298" s="78">
        <v>2645</v>
      </c>
      <c r="V298" s="78">
        <v>36823</v>
      </c>
      <c r="W298" s="78">
        <v>83340</v>
      </c>
      <c r="X298" s="78">
        <v>85190</v>
      </c>
      <c r="Y298" s="78">
        <v>2453.3000000000002</v>
      </c>
      <c r="Z298" s="78">
        <v>3121.6</v>
      </c>
      <c r="AA298" s="78">
        <v>0</v>
      </c>
      <c r="AB298" s="399">
        <v>0</v>
      </c>
      <c r="AC298" s="399">
        <v>0</v>
      </c>
      <c r="AD298" s="78">
        <v>10650</v>
      </c>
      <c r="AE298" s="78">
        <v>10650</v>
      </c>
      <c r="AF298" s="78">
        <v>66</v>
      </c>
      <c r="AG298" s="78">
        <v>0</v>
      </c>
      <c r="AH298" s="78">
        <v>470</v>
      </c>
      <c r="AI298" s="78">
        <v>124</v>
      </c>
      <c r="AJ298" s="78">
        <v>470</v>
      </c>
      <c r="AK298" s="78">
        <v>124</v>
      </c>
      <c r="AL298" s="78">
        <v>594</v>
      </c>
      <c r="AM298" s="78">
        <v>36105</v>
      </c>
      <c r="AN298" s="78">
        <v>36105</v>
      </c>
      <c r="AO298" s="78">
        <v>10</v>
      </c>
      <c r="AP298" s="78">
        <v>0</v>
      </c>
      <c r="AQ298" s="78">
        <v>0</v>
      </c>
      <c r="AR298" s="78">
        <v>0</v>
      </c>
      <c r="AS298" s="78">
        <v>3464</v>
      </c>
      <c r="AT298" s="78">
        <v>3464</v>
      </c>
      <c r="AU298" s="400">
        <v>1.117552E-3</v>
      </c>
      <c r="AV298" s="400">
        <v>1.6063830000000001E-3</v>
      </c>
      <c r="AW298" s="78">
        <v>63400.38</v>
      </c>
      <c r="AX298" s="78">
        <v>0</v>
      </c>
      <c r="AY298" s="78">
        <v>1313</v>
      </c>
      <c r="AZ298" s="78">
        <v>9464.4804031354997</v>
      </c>
      <c r="BA298" s="78">
        <v>9</v>
      </c>
      <c r="BB298" s="78">
        <v>9</v>
      </c>
      <c r="BC298" s="78">
        <v>8665</v>
      </c>
      <c r="BD298" s="78">
        <v>1</v>
      </c>
      <c r="BE298" s="78">
        <v>0</v>
      </c>
      <c r="BF298" s="78">
        <v>0</v>
      </c>
      <c r="BG298" s="78">
        <v>0</v>
      </c>
      <c r="BH298" s="78">
        <v>0</v>
      </c>
      <c r="BI298" s="78">
        <v>0</v>
      </c>
      <c r="BJ298" s="78">
        <v>0</v>
      </c>
      <c r="BK298" s="78">
        <v>0</v>
      </c>
      <c r="BL298" s="78">
        <v>0</v>
      </c>
      <c r="BM298" s="78">
        <v>2065.076</v>
      </c>
      <c r="BN298" s="78">
        <v>224</v>
      </c>
      <c r="BO298" s="78">
        <v>313</v>
      </c>
      <c r="BP298" s="78">
        <v>22808.32</v>
      </c>
      <c r="BQ298" s="78">
        <v>4788.26</v>
      </c>
      <c r="BR298" s="78">
        <v>527.03775252836203</v>
      </c>
      <c r="BS298" s="78">
        <v>1047</v>
      </c>
      <c r="BT298" s="78">
        <v>517.66666666666697</v>
      </c>
      <c r="BU298" s="78">
        <v>446.66666666666703</v>
      </c>
      <c r="BV298" s="78">
        <v>4105</v>
      </c>
      <c r="BW298" s="78">
        <v>1029</v>
      </c>
      <c r="BX298" s="78">
        <v>15327.731036269401</v>
      </c>
      <c r="BY298" s="402">
        <v>4.8520000000000003</v>
      </c>
      <c r="BZ298" s="78">
        <v>60078</v>
      </c>
      <c r="CA298" s="78">
        <v>9438</v>
      </c>
      <c r="CB298" s="78">
        <v>1854</v>
      </c>
      <c r="CC298" s="78">
        <v>2138</v>
      </c>
      <c r="CD298" s="78">
        <v>1978</v>
      </c>
      <c r="CE298" s="78">
        <v>897</v>
      </c>
      <c r="CF298" s="78">
        <v>1274.88173383188</v>
      </c>
      <c r="CG298" s="78">
        <v>881.34072843096499</v>
      </c>
      <c r="CH298" s="78">
        <v>273.21996953330603</v>
      </c>
      <c r="CI298" s="78">
        <v>2802.3380000000002</v>
      </c>
      <c r="CJ298" s="78">
        <v>1937.2891999999999</v>
      </c>
      <c r="CK298" s="78">
        <v>600.56920000000002</v>
      </c>
      <c r="CL298" s="78">
        <v>87296</v>
      </c>
    </row>
    <row r="299" spans="1:90" x14ac:dyDescent="0.35">
      <c r="A299" s="72">
        <v>840</v>
      </c>
      <c r="B299" s="72" t="s">
        <v>264</v>
      </c>
      <c r="C299" s="72">
        <v>10</v>
      </c>
      <c r="D299" s="78">
        <v>2414800000</v>
      </c>
      <c r="E299" s="78">
        <v>265300000</v>
      </c>
      <c r="F299" s="78">
        <v>299600000</v>
      </c>
      <c r="G299" s="78">
        <v>23326</v>
      </c>
      <c r="H299" s="78">
        <v>2</v>
      </c>
      <c r="I299" s="78">
        <v>299.60000000000002</v>
      </c>
      <c r="J299" s="78">
        <v>3717</v>
      </c>
      <c r="K299" s="78">
        <v>5341</v>
      </c>
      <c r="L299" s="78">
        <v>1770</v>
      </c>
      <c r="M299" s="78">
        <v>2993</v>
      </c>
      <c r="N299" s="78">
        <v>1978.3</v>
      </c>
      <c r="O299" s="78">
        <v>322</v>
      </c>
      <c r="P299" s="78">
        <v>26</v>
      </c>
      <c r="Q299" s="78">
        <v>1980</v>
      </c>
      <c r="R299" s="78">
        <v>2889</v>
      </c>
      <c r="S299" s="78">
        <v>445</v>
      </c>
      <c r="T299" s="78">
        <v>0</v>
      </c>
      <c r="U299" s="78">
        <v>597</v>
      </c>
      <c r="V299" s="78">
        <v>10351</v>
      </c>
      <c r="W299" s="78">
        <v>21580</v>
      </c>
      <c r="X299" s="78">
        <v>9450</v>
      </c>
      <c r="Y299" s="78">
        <v>0</v>
      </c>
      <c r="Z299" s="78">
        <v>288.8</v>
      </c>
      <c r="AA299" s="78">
        <v>0</v>
      </c>
      <c r="AB299" s="399">
        <v>0</v>
      </c>
      <c r="AC299" s="399">
        <v>0</v>
      </c>
      <c r="AD299" s="78">
        <v>6438</v>
      </c>
      <c r="AE299" s="78">
        <v>6438</v>
      </c>
      <c r="AF299" s="78">
        <v>9</v>
      </c>
      <c r="AG299" s="78">
        <v>0</v>
      </c>
      <c r="AH299" s="78">
        <v>146</v>
      </c>
      <c r="AI299" s="78">
        <v>64</v>
      </c>
      <c r="AJ299" s="78">
        <v>146</v>
      </c>
      <c r="AK299" s="78">
        <v>64</v>
      </c>
      <c r="AL299" s="78">
        <v>210</v>
      </c>
      <c r="AM299" s="78">
        <v>10147</v>
      </c>
      <c r="AN299" s="78">
        <v>10147</v>
      </c>
      <c r="AO299" s="78">
        <v>0</v>
      </c>
      <c r="AP299" s="78">
        <v>0</v>
      </c>
      <c r="AQ299" s="78">
        <v>0</v>
      </c>
      <c r="AR299" s="78">
        <v>0</v>
      </c>
      <c r="AS299" s="78">
        <v>637</v>
      </c>
      <c r="AT299" s="78">
        <v>0</v>
      </c>
      <c r="AU299" s="400">
        <v>1.4663499999999999E-4</v>
      </c>
      <c r="AV299" s="400">
        <v>1.07153E-4</v>
      </c>
      <c r="AW299" s="78">
        <v>6869.5190000000002</v>
      </c>
      <c r="AX299" s="78">
        <v>0</v>
      </c>
      <c r="AY299" s="78">
        <v>247</v>
      </c>
      <c r="AZ299" s="78">
        <v>893.67488754459498</v>
      </c>
      <c r="BA299" s="78">
        <v>6</v>
      </c>
      <c r="BB299" s="78">
        <v>6</v>
      </c>
      <c r="BC299" s="78">
        <v>2965</v>
      </c>
      <c r="BD299" s="78">
        <v>1</v>
      </c>
      <c r="BE299" s="78">
        <v>0</v>
      </c>
      <c r="BF299" s="78">
        <v>0</v>
      </c>
      <c r="BG299" s="78">
        <v>0</v>
      </c>
      <c r="BH299" s="78">
        <v>0</v>
      </c>
      <c r="BI299" s="78">
        <v>0</v>
      </c>
      <c r="BJ299" s="78">
        <v>0</v>
      </c>
      <c r="BK299" s="78">
        <v>0</v>
      </c>
      <c r="BL299" s="78">
        <v>0</v>
      </c>
      <c r="BM299" s="78">
        <v>356.83199999999999</v>
      </c>
      <c r="BN299" s="78">
        <v>116</v>
      </c>
      <c r="BO299" s="78">
        <v>59</v>
      </c>
      <c r="BP299" s="78">
        <v>6591.65</v>
      </c>
      <c r="BQ299" s="78">
        <v>1444.3</v>
      </c>
      <c r="BR299" s="78">
        <v>129.302700249792</v>
      </c>
      <c r="BS299" s="78">
        <v>184</v>
      </c>
      <c r="BT299" s="78">
        <v>72</v>
      </c>
      <c r="BU299" s="78">
        <v>66.3333333333333</v>
      </c>
      <c r="BV299" s="78">
        <v>1658</v>
      </c>
      <c r="BW299" s="78">
        <v>232</v>
      </c>
      <c r="BX299" s="78">
        <v>6054.2491507799004</v>
      </c>
      <c r="BY299" s="402">
        <v>0.65100000000000002</v>
      </c>
      <c r="BZ299" s="78">
        <v>17985</v>
      </c>
      <c r="CA299" s="78">
        <v>3123</v>
      </c>
      <c r="CB299" s="78">
        <v>448</v>
      </c>
      <c r="CC299" s="78">
        <v>603</v>
      </c>
      <c r="CD299" s="78">
        <v>549</v>
      </c>
      <c r="CE299" s="78">
        <v>220</v>
      </c>
      <c r="CF299" s="78">
        <v>365.557553956834</v>
      </c>
      <c r="CG299" s="78">
        <v>230.64244604316499</v>
      </c>
      <c r="CH299" s="78">
        <v>59.0741007194245</v>
      </c>
      <c r="CI299" s="78">
        <v>895.125</v>
      </c>
      <c r="CJ299" s="78">
        <v>564.76419999999996</v>
      </c>
      <c r="CK299" s="78">
        <v>144.65219999999999</v>
      </c>
      <c r="CL299" s="78">
        <v>7938</v>
      </c>
    </row>
    <row r="300" spans="1:90" x14ac:dyDescent="0.35">
      <c r="A300" s="72">
        <v>796</v>
      </c>
      <c r="B300" s="72" t="s">
        <v>271</v>
      </c>
      <c r="C300" s="72">
        <v>10</v>
      </c>
      <c r="D300" s="78">
        <v>19819200000</v>
      </c>
      <c r="E300" s="78">
        <v>3267600000</v>
      </c>
      <c r="F300" s="78">
        <v>3362800000</v>
      </c>
      <c r="G300" s="78">
        <v>156538</v>
      </c>
      <c r="H300" s="78">
        <v>5</v>
      </c>
      <c r="I300" s="78">
        <v>3362.8</v>
      </c>
      <c r="J300" s="78">
        <v>28312</v>
      </c>
      <c r="K300" s="78">
        <v>29458</v>
      </c>
      <c r="L300" s="78">
        <v>9358</v>
      </c>
      <c r="M300" s="78">
        <v>22225</v>
      </c>
      <c r="N300" s="78">
        <v>14680.099999999999</v>
      </c>
      <c r="O300" s="78">
        <v>3320</v>
      </c>
      <c r="P300" s="78">
        <v>569</v>
      </c>
      <c r="Q300" s="78">
        <v>12101</v>
      </c>
      <c r="R300" s="78">
        <v>30523</v>
      </c>
      <c r="S300" s="78">
        <v>11910</v>
      </c>
      <c r="T300" s="78">
        <v>0</v>
      </c>
      <c r="U300" s="78">
        <v>5300</v>
      </c>
      <c r="V300" s="78">
        <v>77081</v>
      </c>
      <c r="W300" s="78">
        <v>179450</v>
      </c>
      <c r="X300" s="78">
        <v>262500</v>
      </c>
      <c r="Y300" s="78">
        <v>4920.42</v>
      </c>
      <c r="Z300" s="78">
        <v>6464</v>
      </c>
      <c r="AA300" s="78">
        <v>0</v>
      </c>
      <c r="AB300" s="399">
        <v>0</v>
      </c>
      <c r="AC300" s="399">
        <v>0</v>
      </c>
      <c r="AD300" s="78">
        <v>10938</v>
      </c>
      <c r="AE300" s="78">
        <v>10938</v>
      </c>
      <c r="AF300" s="78">
        <v>843</v>
      </c>
      <c r="AG300" s="78">
        <v>0</v>
      </c>
      <c r="AH300" s="78">
        <v>817</v>
      </c>
      <c r="AI300" s="78">
        <v>81</v>
      </c>
      <c r="AJ300" s="78">
        <v>817</v>
      </c>
      <c r="AK300" s="78">
        <v>81</v>
      </c>
      <c r="AL300" s="78">
        <v>898</v>
      </c>
      <c r="AM300" s="78">
        <v>75449</v>
      </c>
      <c r="AN300" s="78">
        <v>75449</v>
      </c>
      <c r="AO300" s="78">
        <v>0</v>
      </c>
      <c r="AP300" s="78">
        <v>54</v>
      </c>
      <c r="AQ300" s="78">
        <v>0</v>
      </c>
      <c r="AR300" s="78">
        <v>7350</v>
      </c>
      <c r="AS300" s="78">
        <v>8390</v>
      </c>
      <c r="AT300" s="78">
        <v>8390</v>
      </c>
      <c r="AU300" s="400">
        <v>3.4843320000000001E-3</v>
      </c>
      <c r="AV300" s="400">
        <v>5.3910310000000001E-3</v>
      </c>
      <c r="AW300" s="78">
        <v>150747.10200000001</v>
      </c>
      <c r="AX300" s="78">
        <v>0</v>
      </c>
      <c r="AY300" s="78">
        <v>5185</v>
      </c>
      <c r="AZ300" s="78">
        <v>68894.7907647908</v>
      </c>
      <c r="BA300" s="78">
        <v>8</v>
      </c>
      <c r="BB300" s="78">
        <v>8</v>
      </c>
      <c r="BC300" s="78">
        <v>23700</v>
      </c>
      <c r="BD300" s="78">
        <v>1</v>
      </c>
      <c r="BE300" s="78">
        <v>0</v>
      </c>
      <c r="BF300" s="78">
        <v>0</v>
      </c>
      <c r="BG300" s="78">
        <v>0</v>
      </c>
      <c r="BH300" s="78">
        <v>0</v>
      </c>
      <c r="BI300" s="78">
        <v>0</v>
      </c>
      <c r="BJ300" s="78">
        <v>0</v>
      </c>
      <c r="BK300" s="78">
        <v>0</v>
      </c>
      <c r="BL300" s="78">
        <v>0</v>
      </c>
      <c r="BM300" s="78">
        <v>3595.6239999999998</v>
      </c>
      <c r="BN300" s="78">
        <v>515</v>
      </c>
      <c r="BO300" s="78">
        <v>691</v>
      </c>
      <c r="BP300" s="78">
        <v>51606.48</v>
      </c>
      <c r="BQ300" s="78">
        <v>11093.13</v>
      </c>
      <c r="BR300" s="78">
        <v>1400.8749523640899</v>
      </c>
      <c r="BS300" s="78">
        <v>1952</v>
      </c>
      <c r="BT300" s="78">
        <v>746.33333333333303</v>
      </c>
      <c r="BU300" s="78">
        <v>747.66666666666697</v>
      </c>
      <c r="BV300" s="78">
        <v>8781</v>
      </c>
      <c r="BW300" s="78">
        <v>2302</v>
      </c>
      <c r="BX300" s="78">
        <v>24885.806994662002</v>
      </c>
      <c r="BY300" s="402">
        <v>7.13</v>
      </c>
      <c r="BZ300" s="78">
        <v>127080</v>
      </c>
      <c r="CA300" s="78">
        <v>17058</v>
      </c>
      <c r="CB300" s="78">
        <v>3042</v>
      </c>
      <c r="CC300" s="78">
        <v>4693</v>
      </c>
      <c r="CD300" s="78">
        <v>3411</v>
      </c>
      <c r="CE300" s="78">
        <v>1557</v>
      </c>
      <c r="CF300" s="78">
        <v>2191.6346989356998</v>
      </c>
      <c r="CG300" s="78">
        <v>1283.9663865657601</v>
      </c>
      <c r="CH300" s="78">
        <v>407.23467905472597</v>
      </c>
      <c r="CI300" s="78">
        <v>4715.1103999999996</v>
      </c>
      <c r="CJ300" s="78">
        <v>2762.3413999999998</v>
      </c>
      <c r="CK300" s="78">
        <v>876.12980000000005</v>
      </c>
      <c r="CL300" s="78">
        <v>218253</v>
      </c>
    </row>
    <row r="301" spans="1:90" x14ac:dyDescent="0.35">
      <c r="A301" s="72">
        <v>845</v>
      </c>
      <c r="B301" s="72" t="s">
        <v>274</v>
      </c>
      <c r="C301" s="72">
        <v>10</v>
      </c>
      <c r="D301" s="78">
        <v>3827200000</v>
      </c>
      <c r="E301" s="78">
        <v>227150000</v>
      </c>
      <c r="F301" s="78">
        <v>252350000</v>
      </c>
      <c r="G301" s="78">
        <v>29731</v>
      </c>
      <c r="H301" s="78">
        <v>4</v>
      </c>
      <c r="I301" s="78">
        <v>252.35</v>
      </c>
      <c r="J301" s="78">
        <v>5881</v>
      </c>
      <c r="K301" s="78">
        <v>6628</v>
      </c>
      <c r="L301" s="78">
        <v>2267</v>
      </c>
      <c r="M301" s="78">
        <v>2984</v>
      </c>
      <c r="N301" s="78">
        <v>1728.3999999999999</v>
      </c>
      <c r="O301" s="78">
        <v>215.333333333333</v>
      </c>
      <c r="P301" s="78">
        <v>66</v>
      </c>
      <c r="Q301" s="78">
        <v>1551.3333333333301</v>
      </c>
      <c r="R301" s="78">
        <v>3506</v>
      </c>
      <c r="S301" s="78">
        <v>470</v>
      </c>
      <c r="T301" s="78">
        <v>0</v>
      </c>
      <c r="U301" s="78">
        <v>694</v>
      </c>
      <c r="V301" s="78">
        <v>12724</v>
      </c>
      <c r="W301" s="78">
        <v>23710</v>
      </c>
      <c r="X301" s="78">
        <v>4610</v>
      </c>
      <c r="Y301" s="78">
        <v>1163.0098</v>
      </c>
      <c r="Z301" s="78">
        <v>752.8</v>
      </c>
      <c r="AA301" s="78">
        <v>0</v>
      </c>
      <c r="AB301" s="399">
        <v>0</v>
      </c>
      <c r="AC301" s="399">
        <v>0</v>
      </c>
      <c r="AD301" s="78">
        <v>5835</v>
      </c>
      <c r="AE301" s="78">
        <v>5835</v>
      </c>
      <c r="AF301" s="78">
        <v>99</v>
      </c>
      <c r="AG301" s="78">
        <v>0</v>
      </c>
      <c r="AH301" s="78">
        <v>169</v>
      </c>
      <c r="AI301" s="78">
        <v>58</v>
      </c>
      <c r="AJ301" s="78">
        <v>169</v>
      </c>
      <c r="AK301" s="78">
        <v>58</v>
      </c>
      <c r="AL301" s="78">
        <v>227</v>
      </c>
      <c r="AM301" s="78">
        <v>12556</v>
      </c>
      <c r="AN301" s="78">
        <v>12556</v>
      </c>
      <c r="AO301" s="78">
        <v>0</v>
      </c>
      <c r="AP301" s="78">
        <v>0</v>
      </c>
      <c r="AQ301" s="78">
        <v>0</v>
      </c>
      <c r="AR301" s="78">
        <v>0</v>
      </c>
      <c r="AS301" s="78">
        <v>0</v>
      </c>
      <c r="AT301" s="78">
        <v>0</v>
      </c>
      <c r="AU301" s="400">
        <v>1.9521E-4</v>
      </c>
      <c r="AV301" s="400">
        <v>1.06859E-4</v>
      </c>
      <c r="AW301" s="78">
        <v>8123.732</v>
      </c>
      <c r="AX301" s="78">
        <v>0</v>
      </c>
      <c r="AY301" s="78">
        <v>1302</v>
      </c>
      <c r="AZ301" s="78">
        <v>6523.3842264914101</v>
      </c>
      <c r="BA301" s="78">
        <v>7</v>
      </c>
      <c r="BB301" s="78">
        <v>7</v>
      </c>
      <c r="BC301" s="78">
        <v>4270</v>
      </c>
      <c r="BD301" s="78">
        <v>1</v>
      </c>
      <c r="BE301" s="78">
        <v>0</v>
      </c>
      <c r="BF301" s="78">
        <v>0</v>
      </c>
      <c r="BG301" s="78">
        <v>0</v>
      </c>
      <c r="BH301" s="78">
        <v>0</v>
      </c>
      <c r="BI301" s="78">
        <v>0</v>
      </c>
      <c r="BJ301" s="78">
        <v>0</v>
      </c>
      <c r="BK301" s="78">
        <v>0</v>
      </c>
      <c r="BL301" s="78">
        <v>0</v>
      </c>
      <c r="BM301" s="78">
        <v>405.78899999999999</v>
      </c>
      <c r="BN301" s="78">
        <v>77</v>
      </c>
      <c r="BO301" s="78">
        <v>65</v>
      </c>
      <c r="BP301" s="78">
        <v>9611.94</v>
      </c>
      <c r="BQ301" s="78">
        <v>2465.54</v>
      </c>
      <c r="BR301" s="78">
        <v>225.24430716723501</v>
      </c>
      <c r="BS301" s="78">
        <v>271</v>
      </c>
      <c r="BT301" s="78">
        <v>59.6666666666667</v>
      </c>
      <c r="BU301" s="78">
        <v>40.3333333333333</v>
      </c>
      <c r="BV301" s="78">
        <v>1335.999999999997</v>
      </c>
      <c r="BW301" s="78">
        <v>376</v>
      </c>
      <c r="BX301" s="78">
        <v>4799.8561746559099</v>
      </c>
      <c r="BY301" s="402">
        <v>0.14499999999999999</v>
      </c>
      <c r="BZ301" s="78">
        <v>23103</v>
      </c>
      <c r="CA301" s="78">
        <v>3613</v>
      </c>
      <c r="CB301" s="78">
        <v>748</v>
      </c>
      <c r="CC301" s="78">
        <v>649</v>
      </c>
      <c r="CD301" s="78">
        <v>668</v>
      </c>
      <c r="CE301" s="78">
        <v>366</v>
      </c>
      <c r="CF301" s="78">
        <v>300.639184453648</v>
      </c>
      <c r="CG301" s="78">
        <v>205.65702453010499</v>
      </c>
      <c r="CH301" s="78">
        <v>73.645587766804695</v>
      </c>
      <c r="CI301" s="78">
        <v>771.17039999999997</v>
      </c>
      <c r="CJ301" s="78">
        <v>527.53139999999996</v>
      </c>
      <c r="CK301" s="78">
        <v>188.9085</v>
      </c>
      <c r="CL301" s="78">
        <v>124569</v>
      </c>
    </row>
    <row r="302" spans="1:90" x14ac:dyDescent="0.35">
      <c r="A302" s="72">
        <v>847</v>
      </c>
      <c r="B302" s="72" t="s">
        <v>280</v>
      </c>
      <c r="C302" s="72">
        <v>10</v>
      </c>
      <c r="D302" s="78">
        <v>2273600000</v>
      </c>
      <c r="E302" s="78">
        <v>329350000</v>
      </c>
      <c r="F302" s="78">
        <v>364000000</v>
      </c>
      <c r="G302" s="78">
        <v>19701</v>
      </c>
      <c r="H302" s="78">
        <v>3</v>
      </c>
      <c r="I302" s="78">
        <v>364</v>
      </c>
      <c r="J302" s="78">
        <v>3521</v>
      </c>
      <c r="K302" s="78">
        <v>4090</v>
      </c>
      <c r="L302" s="78">
        <v>1384</v>
      </c>
      <c r="M302" s="78">
        <v>2395</v>
      </c>
      <c r="N302" s="78">
        <v>1548.8</v>
      </c>
      <c r="O302" s="78">
        <v>182</v>
      </c>
      <c r="P302" s="78">
        <v>21</v>
      </c>
      <c r="Q302" s="78">
        <v>1030</v>
      </c>
      <c r="R302" s="78">
        <v>2459</v>
      </c>
      <c r="S302" s="78">
        <v>270</v>
      </c>
      <c r="T302" s="78">
        <v>0</v>
      </c>
      <c r="U302" s="78">
        <v>422</v>
      </c>
      <c r="V302" s="78">
        <v>8623</v>
      </c>
      <c r="W302" s="78">
        <v>16990</v>
      </c>
      <c r="X302" s="78">
        <v>6380</v>
      </c>
      <c r="Y302" s="78">
        <v>287.10000000000002</v>
      </c>
      <c r="Z302" s="78">
        <v>376</v>
      </c>
      <c r="AA302" s="78">
        <v>0</v>
      </c>
      <c r="AB302" s="399">
        <v>0</v>
      </c>
      <c r="AC302" s="399">
        <v>0</v>
      </c>
      <c r="AD302" s="78">
        <v>8012</v>
      </c>
      <c r="AE302" s="78">
        <v>8012</v>
      </c>
      <c r="AF302" s="78">
        <v>138</v>
      </c>
      <c r="AG302" s="78">
        <v>0</v>
      </c>
      <c r="AH302" s="78">
        <v>134</v>
      </c>
      <c r="AI302" s="78">
        <v>131</v>
      </c>
      <c r="AJ302" s="78">
        <v>134</v>
      </c>
      <c r="AK302" s="78">
        <v>131</v>
      </c>
      <c r="AL302" s="78">
        <v>265</v>
      </c>
      <c r="AM302" s="78">
        <v>8462</v>
      </c>
      <c r="AN302" s="78">
        <v>8462</v>
      </c>
      <c r="AO302" s="78">
        <v>0</v>
      </c>
      <c r="AP302" s="78">
        <v>0</v>
      </c>
      <c r="AQ302" s="78">
        <v>0</v>
      </c>
      <c r="AR302" s="78">
        <v>0</v>
      </c>
      <c r="AS302" s="78">
        <v>0</v>
      </c>
      <c r="AT302" s="78">
        <v>0</v>
      </c>
      <c r="AU302" s="400">
        <v>1.2492100000000001E-4</v>
      </c>
      <c r="AV302" s="400">
        <v>7.0666000000000004E-5</v>
      </c>
      <c r="AW302" s="78">
        <v>6346.5</v>
      </c>
      <c r="AX302" s="78">
        <v>0</v>
      </c>
      <c r="AY302" s="78">
        <v>930</v>
      </c>
      <c r="AZ302" s="78">
        <v>2248.0895705521498</v>
      </c>
      <c r="BA302" s="78">
        <v>6</v>
      </c>
      <c r="BB302" s="78">
        <v>6</v>
      </c>
      <c r="BC302" s="78">
        <v>2880</v>
      </c>
      <c r="BD302" s="78">
        <v>1</v>
      </c>
      <c r="BE302" s="78">
        <v>0</v>
      </c>
      <c r="BF302" s="78">
        <v>0</v>
      </c>
      <c r="BG302" s="78">
        <v>0</v>
      </c>
      <c r="BH302" s="78">
        <v>0</v>
      </c>
      <c r="BI302" s="78">
        <v>0</v>
      </c>
      <c r="BJ302" s="78">
        <v>0</v>
      </c>
      <c r="BK302" s="78">
        <v>0</v>
      </c>
      <c r="BL302" s="78">
        <v>0</v>
      </c>
      <c r="BM302" s="78">
        <v>359.142</v>
      </c>
      <c r="BN302" s="78">
        <v>31</v>
      </c>
      <c r="BO302" s="78">
        <v>49</v>
      </c>
      <c r="BP302" s="78">
        <v>5593.83</v>
      </c>
      <c r="BQ302" s="78">
        <v>1306.28</v>
      </c>
      <c r="BR302" s="78">
        <v>51.682022551329503</v>
      </c>
      <c r="BS302" s="78">
        <v>169</v>
      </c>
      <c r="BT302" s="78">
        <v>55.6666666666667</v>
      </c>
      <c r="BU302" s="78">
        <v>30.6666666666667</v>
      </c>
      <c r="BV302" s="78">
        <v>848</v>
      </c>
      <c r="BW302" s="78">
        <v>226</v>
      </c>
      <c r="BX302" s="78">
        <v>3097.56344657196</v>
      </c>
      <c r="BY302" s="402">
        <v>0.17699999999999999</v>
      </c>
      <c r="BZ302" s="78">
        <v>15611</v>
      </c>
      <c r="CA302" s="78">
        <v>2250</v>
      </c>
      <c r="CB302" s="78">
        <v>456</v>
      </c>
      <c r="CC302" s="78">
        <v>380</v>
      </c>
      <c r="CD302" s="78">
        <v>432</v>
      </c>
      <c r="CE302" s="78">
        <v>213</v>
      </c>
      <c r="CF302" s="78">
        <v>248.005672417868</v>
      </c>
      <c r="CG302" s="78">
        <v>172.597305601513</v>
      </c>
      <c r="CH302" s="78">
        <v>56.190215079177499</v>
      </c>
      <c r="CI302" s="78">
        <v>619.37049999999999</v>
      </c>
      <c r="CJ302" s="78">
        <v>431.0453</v>
      </c>
      <c r="CK302" s="78">
        <v>140.3297</v>
      </c>
      <c r="CL302" s="78">
        <v>0</v>
      </c>
    </row>
    <row r="303" spans="1:90" x14ac:dyDescent="0.35">
      <c r="A303" s="72">
        <v>848</v>
      </c>
      <c r="B303" s="72" t="s">
        <v>281</v>
      </c>
      <c r="C303" s="72">
        <v>10</v>
      </c>
      <c r="D303" s="78">
        <v>2402000000</v>
      </c>
      <c r="E303" s="78">
        <v>477050000</v>
      </c>
      <c r="F303" s="78">
        <v>483000000</v>
      </c>
      <c r="G303" s="78">
        <v>17775</v>
      </c>
      <c r="H303" s="78">
        <v>1</v>
      </c>
      <c r="I303" s="78">
        <v>483</v>
      </c>
      <c r="J303" s="78">
        <v>3632</v>
      </c>
      <c r="K303" s="78">
        <v>3916</v>
      </c>
      <c r="L303" s="78">
        <v>1521</v>
      </c>
      <c r="M303" s="78">
        <v>1651</v>
      </c>
      <c r="N303" s="78">
        <v>891.5</v>
      </c>
      <c r="O303" s="78">
        <v>190</v>
      </c>
      <c r="P303" s="78">
        <v>25</v>
      </c>
      <c r="Q303" s="78">
        <v>802</v>
      </c>
      <c r="R303" s="78">
        <v>2163</v>
      </c>
      <c r="S303" s="78">
        <v>370</v>
      </c>
      <c r="T303" s="78">
        <v>0</v>
      </c>
      <c r="U303" s="78">
        <v>492</v>
      </c>
      <c r="V303" s="78">
        <v>7746</v>
      </c>
      <c r="W303" s="78">
        <v>15660</v>
      </c>
      <c r="X303" s="78">
        <v>5530</v>
      </c>
      <c r="Y303" s="78">
        <v>453.26</v>
      </c>
      <c r="Z303" s="78">
        <v>0</v>
      </c>
      <c r="AA303" s="78">
        <v>0</v>
      </c>
      <c r="AB303" s="399">
        <v>0</v>
      </c>
      <c r="AC303" s="399">
        <v>0</v>
      </c>
      <c r="AD303" s="78">
        <v>2594</v>
      </c>
      <c r="AE303" s="78">
        <v>2594</v>
      </c>
      <c r="AF303" s="78">
        <v>57</v>
      </c>
      <c r="AG303" s="78">
        <v>0</v>
      </c>
      <c r="AH303" s="78">
        <v>146</v>
      </c>
      <c r="AI303" s="78">
        <v>35</v>
      </c>
      <c r="AJ303" s="78">
        <v>146</v>
      </c>
      <c r="AK303" s="78">
        <v>35</v>
      </c>
      <c r="AL303" s="78">
        <v>181</v>
      </c>
      <c r="AM303" s="78">
        <v>7595</v>
      </c>
      <c r="AN303" s="78">
        <v>7595</v>
      </c>
      <c r="AO303" s="78">
        <v>0</v>
      </c>
      <c r="AP303" s="78">
        <v>0</v>
      </c>
      <c r="AQ303" s="78">
        <v>0</v>
      </c>
      <c r="AR303" s="78">
        <v>0</v>
      </c>
      <c r="AS303" s="78">
        <v>0</v>
      </c>
      <c r="AT303" s="78">
        <v>0</v>
      </c>
      <c r="AU303" s="400">
        <v>3.9898000000000003E-5</v>
      </c>
      <c r="AV303" s="400">
        <v>5.3606999999999997E-5</v>
      </c>
      <c r="AW303" s="78">
        <v>5430.4250000000002</v>
      </c>
      <c r="AX303" s="78">
        <v>0</v>
      </c>
      <c r="AY303" s="78">
        <v>563</v>
      </c>
      <c r="AZ303" s="78">
        <v>3774.92455677103</v>
      </c>
      <c r="BA303" s="78">
        <v>2</v>
      </c>
      <c r="BB303" s="78">
        <v>2</v>
      </c>
      <c r="BC303" s="78">
        <v>2410</v>
      </c>
      <c r="BD303" s="78">
        <v>1</v>
      </c>
      <c r="BE303" s="78">
        <v>0</v>
      </c>
      <c r="BF303" s="78">
        <v>0</v>
      </c>
      <c r="BG303" s="78">
        <v>0</v>
      </c>
      <c r="BH303" s="78">
        <v>0</v>
      </c>
      <c r="BI303" s="78">
        <v>0</v>
      </c>
      <c r="BJ303" s="78">
        <v>0</v>
      </c>
      <c r="BK303" s="78">
        <v>0</v>
      </c>
      <c r="BL303" s="78">
        <v>0</v>
      </c>
      <c r="BM303" s="78">
        <v>283.29599999999999</v>
      </c>
      <c r="BN303" s="78">
        <v>31</v>
      </c>
      <c r="BO303" s="78">
        <v>35</v>
      </c>
      <c r="BP303" s="78">
        <v>6375.85</v>
      </c>
      <c r="BQ303" s="78">
        <v>1613.97</v>
      </c>
      <c r="BR303" s="78">
        <v>117.911608863876</v>
      </c>
      <c r="BS303" s="78">
        <v>186</v>
      </c>
      <c r="BT303" s="78">
        <v>69.3333333333333</v>
      </c>
      <c r="BU303" s="78">
        <v>47.3333333333333</v>
      </c>
      <c r="BV303" s="78">
        <v>612</v>
      </c>
      <c r="BW303" s="78">
        <v>199</v>
      </c>
      <c r="BX303" s="78">
        <v>2731.0226185050101</v>
      </c>
      <c r="BY303" s="402">
        <v>0.12</v>
      </c>
      <c r="BZ303" s="78">
        <v>13859</v>
      </c>
      <c r="CA303" s="78">
        <v>1743</v>
      </c>
      <c r="CB303" s="78">
        <v>652</v>
      </c>
      <c r="CC303" s="78">
        <v>340</v>
      </c>
      <c r="CD303" s="78">
        <v>481</v>
      </c>
      <c r="CE303" s="78">
        <v>314</v>
      </c>
      <c r="CF303" s="78">
        <v>125.36168531928899</v>
      </c>
      <c r="CG303" s="78">
        <v>120.07959183673501</v>
      </c>
      <c r="CH303" s="78">
        <v>56.107570770243598</v>
      </c>
      <c r="CI303" s="78">
        <v>325.20600000000002</v>
      </c>
      <c r="CJ303" s="78">
        <v>311.50349999999997</v>
      </c>
      <c r="CK303" s="78">
        <v>145.55099999999999</v>
      </c>
      <c r="CL303" s="78">
        <v>64240</v>
      </c>
    </row>
    <row r="304" spans="1:90" x14ac:dyDescent="0.35">
      <c r="A304" s="72">
        <v>851</v>
      </c>
      <c r="B304" s="72" t="s">
        <v>285</v>
      </c>
      <c r="C304" s="72">
        <v>10</v>
      </c>
      <c r="D304" s="78">
        <v>2339200000</v>
      </c>
      <c r="E304" s="78">
        <v>412300000</v>
      </c>
      <c r="F304" s="78">
        <v>448350000</v>
      </c>
      <c r="G304" s="78">
        <v>24333</v>
      </c>
      <c r="H304" s="78">
        <v>4</v>
      </c>
      <c r="I304" s="78">
        <v>448.35</v>
      </c>
      <c r="J304" s="78">
        <v>4146</v>
      </c>
      <c r="K304" s="78">
        <v>5584</v>
      </c>
      <c r="L304" s="78">
        <v>1853</v>
      </c>
      <c r="M304" s="78">
        <v>3420</v>
      </c>
      <c r="N304" s="78">
        <v>2347.6999999999998</v>
      </c>
      <c r="O304" s="78">
        <v>320.66666666666703</v>
      </c>
      <c r="P304" s="78">
        <v>15</v>
      </c>
      <c r="Q304" s="78">
        <v>1351.6666666666699</v>
      </c>
      <c r="R304" s="78">
        <v>3700</v>
      </c>
      <c r="S304" s="78">
        <v>525</v>
      </c>
      <c r="T304" s="78">
        <v>0</v>
      </c>
      <c r="U304" s="78">
        <v>631</v>
      </c>
      <c r="V304" s="78">
        <v>11348</v>
      </c>
      <c r="W304" s="78">
        <v>22340</v>
      </c>
      <c r="X304" s="78">
        <v>4780</v>
      </c>
      <c r="Y304" s="78">
        <v>0</v>
      </c>
      <c r="Z304" s="78">
        <v>403.2</v>
      </c>
      <c r="AA304" s="78">
        <v>0</v>
      </c>
      <c r="AB304" s="399">
        <v>0</v>
      </c>
      <c r="AC304" s="399">
        <v>93.699999999999989</v>
      </c>
      <c r="AD304" s="78">
        <v>14650</v>
      </c>
      <c r="AE304" s="78">
        <v>15382.5</v>
      </c>
      <c r="AF304" s="78">
        <v>1264</v>
      </c>
      <c r="AG304" s="78">
        <v>0</v>
      </c>
      <c r="AH304" s="78">
        <v>135</v>
      </c>
      <c r="AI304" s="78">
        <v>97</v>
      </c>
      <c r="AJ304" s="78">
        <v>147.15</v>
      </c>
      <c r="AK304" s="78">
        <v>101.85</v>
      </c>
      <c r="AL304" s="78">
        <v>232</v>
      </c>
      <c r="AM304" s="78">
        <v>10723</v>
      </c>
      <c r="AN304" s="78">
        <v>11688.07</v>
      </c>
      <c r="AO304" s="78">
        <v>8</v>
      </c>
      <c r="AP304" s="78">
        <v>0</v>
      </c>
      <c r="AQ304" s="78">
        <v>0</v>
      </c>
      <c r="AR304" s="78">
        <v>6200</v>
      </c>
      <c r="AS304" s="78">
        <v>1329</v>
      </c>
      <c r="AT304" s="78">
        <v>747</v>
      </c>
      <c r="AU304" s="400">
        <v>3.2956100000000002E-4</v>
      </c>
      <c r="AV304" s="400">
        <v>1.27284E-4</v>
      </c>
      <c r="AW304" s="78">
        <v>7924.2969999999996</v>
      </c>
      <c r="AX304" s="78">
        <v>0</v>
      </c>
      <c r="AY304" s="78">
        <v>3624.6</v>
      </c>
      <c r="AZ304" s="78">
        <v>6672.3856604247803</v>
      </c>
      <c r="BA304" s="78">
        <v>8</v>
      </c>
      <c r="BB304" s="78">
        <v>8.4</v>
      </c>
      <c r="BC304" s="78">
        <v>2775</v>
      </c>
      <c r="BD304" s="78">
        <v>1</v>
      </c>
      <c r="BE304" s="78">
        <v>0</v>
      </c>
      <c r="BF304" s="78">
        <v>0</v>
      </c>
      <c r="BG304" s="78">
        <v>0</v>
      </c>
      <c r="BH304" s="78">
        <v>0</v>
      </c>
      <c r="BI304" s="78">
        <v>0</v>
      </c>
      <c r="BJ304" s="78">
        <v>0</v>
      </c>
      <c r="BK304" s="78">
        <v>0</v>
      </c>
      <c r="BL304" s="78">
        <v>0</v>
      </c>
      <c r="BM304" s="78">
        <v>439.476</v>
      </c>
      <c r="BN304" s="78">
        <v>65</v>
      </c>
      <c r="BO304" s="78">
        <v>67</v>
      </c>
      <c r="BP304" s="78">
        <v>7187.7</v>
      </c>
      <c r="BQ304" s="78">
        <v>1576.08</v>
      </c>
      <c r="BR304" s="78">
        <v>135.67248777714599</v>
      </c>
      <c r="BS304" s="78">
        <v>214</v>
      </c>
      <c r="BT304" s="78">
        <v>94.6666666666667</v>
      </c>
      <c r="BU304" s="78">
        <v>71.3333333333333</v>
      </c>
      <c r="BV304" s="78">
        <v>1031.000000000003</v>
      </c>
      <c r="BW304" s="78">
        <v>195</v>
      </c>
      <c r="BX304" s="78">
        <v>5304.8142081448004</v>
      </c>
      <c r="BY304" s="402">
        <v>0.69399999999999995</v>
      </c>
      <c r="BZ304" s="78">
        <v>18749</v>
      </c>
      <c r="CA304" s="78">
        <v>3121</v>
      </c>
      <c r="CB304" s="78">
        <v>610</v>
      </c>
      <c r="CC304" s="78">
        <v>615</v>
      </c>
      <c r="CD304" s="78">
        <v>593</v>
      </c>
      <c r="CE304" s="78">
        <v>281</v>
      </c>
      <c r="CF304" s="78">
        <v>420.80382355683997</v>
      </c>
      <c r="CG304" s="78">
        <v>276.74091205819298</v>
      </c>
      <c r="CH304" s="78">
        <v>89.765643942926403</v>
      </c>
      <c r="CI304" s="78">
        <v>909.68259999999998</v>
      </c>
      <c r="CJ304" s="78">
        <v>598.25120000000004</v>
      </c>
      <c r="CK304" s="78">
        <v>194.053</v>
      </c>
      <c r="CL304" s="78">
        <v>11907</v>
      </c>
    </row>
    <row r="305" spans="1:90" x14ac:dyDescent="0.35">
      <c r="A305" s="72">
        <v>855</v>
      </c>
      <c r="B305" s="72" t="s">
        <v>296</v>
      </c>
      <c r="C305" s="72">
        <v>10</v>
      </c>
      <c r="D305" s="78">
        <v>22269600000</v>
      </c>
      <c r="E305" s="78">
        <v>4786950000</v>
      </c>
      <c r="F305" s="78">
        <v>4971400000</v>
      </c>
      <c r="G305" s="78">
        <v>224459</v>
      </c>
      <c r="H305" s="78">
        <v>2</v>
      </c>
      <c r="I305" s="78">
        <v>4971.3999999999996</v>
      </c>
      <c r="J305" s="78">
        <v>39041</v>
      </c>
      <c r="K305" s="78">
        <v>38579</v>
      </c>
      <c r="L305" s="78">
        <v>12763</v>
      </c>
      <c r="M305" s="78">
        <v>36148</v>
      </c>
      <c r="N305" s="78">
        <v>25316.3</v>
      </c>
      <c r="O305" s="78">
        <v>6709.3333333333303</v>
      </c>
      <c r="P305" s="78">
        <v>432</v>
      </c>
      <c r="Q305" s="78">
        <v>18378.333333333299</v>
      </c>
      <c r="R305" s="78">
        <v>51428</v>
      </c>
      <c r="S305" s="78">
        <v>25235</v>
      </c>
      <c r="T305" s="78">
        <v>0</v>
      </c>
      <c r="U305" s="78">
        <v>8450</v>
      </c>
      <c r="V305" s="78">
        <v>115830</v>
      </c>
      <c r="W305" s="78">
        <v>251770</v>
      </c>
      <c r="X305" s="78">
        <v>388390</v>
      </c>
      <c r="Y305" s="78">
        <v>6243.12</v>
      </c>
      <c r="Z305" s="78">
        <v>8803.2000000000007</v>
      </c>
      <c r="AA305" s="78">
        <v>0</v>
      </c>
      <c r="AB305" s="399">
        <v>0</v>
      </c>
      <c r="AC305" s="399">
        <v>0</v>
      </c>
      <c r="AD305" s="78">
        <v>12578</v>
      </c>
      <c r="AE305" s="78">
        <v>12578</v>
      </c>
      <c r="AF305" s="78">
        <v>268</v>
      </c>
      <c r="AG305" s="78">
        <v>0</v>
      </c>
      <c r="AH305" s="78">
        <v>1097</v>
      </c>
      <c r="AI305" s="78">
        <v>237</v>
      </c>
      <c r="AJ305" s="78">
        <v>1097</v>
      </c>
      <c r="AK305" s="78">
        <v>237</v>
      </c>
      <c r="AL305" s="78">
        <v>1333</v>
      </c>
      <c r="AM305" s="78">
        <v>108317</v>
      </c>
      <c r="AN305" s="78">
        <v>108317</v>
      </c>
      <c r="AO305" s="78">
        <v>10</v>
      </c>
      <c r="AP305" s="78">
        <v>0</v>
      </c>
      <c r="AQ305" s="78">
        <v>0</v>
      </c>
      <c r="AR305" s="78">
        <v>0</v>
      </c>
      <c r="AS305" s="78">
        <v>16436</v>
      </c>
      <c r="AT305" s="78">
        <v>16436</v>
      </c>
      <c r="AU305" s="400">
        <v>8.612115E-3</v>
      </c>
      <c r="AV305" s="400">
        <v>1.1803869E-2</v>
      </c>
      <c r="AW305" s="78">
        <v>307078.69500000001</v>
      </c>
      <c r="AX305" s="78">
        <v>0</v>
      </c>
      <c r="AY305" s="78">
        <v>2985</v>
      </c>
      <c r="AZ305" s="78">
        <v>52157.100653900001</v>
      </c>
      <c r="BA305" s="78">
        <v>4</v>
      </c>
      <c r="BB305" s="78">
        <v>4</v>
      </c>
      <c r="BC305" s="78">
        <v>24940</v>
      </c>
      <c r="BD305" s="78">
        <v>1</v>
      </c>
      <c r="BE305" s="78">
        <v>0</v>
      </c>
      <c r="BF305" s="78">
        <v>0</v>
      </c>
      <c r="BG305" s="78">
        <v>0</v>
      </c>
      <c r="BH305" s="78">
        <v>0</v>
      </c>
      <c r="BI305" s="78">
        <v>0</v>
      </c>
      <c r="BJ305" s="78">
        <v>0</v>
      </c>
      <c r="BK305" s="78">
        <v>0</v>
      </c>
      <c r="BL305" s="78">
        <v>0</v>
      </c>
      <c r="BM305" s="78">
        <v>6558.8879999999999</v>
      </c>
      <c r="BN305" s="78">
        <v>806</v>
      </c>
      <c r="BO305" s="78">
        <v>866</v>
      </c>
      <c r="BP305" s="78">
        <v>59281.03</v>
      </c>
      <c r="BQ305" s="78">
        <v>13036.66</v>
      </c>
      <c r="BR305" s="78">
        <v>1703.6310473665801</v>
      </c>
      <c r="BS305" s="78">
        <v>3397</v>
      </c>
      <c r="BT305" s="78">
        <v>1892.6666666666699</v>
      </c>
      <c r="BU305" s="78">
        <v>1786.6666666666699</v>
      </c>
      <c r="BV305" s="78">
        <v>11668.999999999969</v>
      </c>
      <c r="BW305" s="78">
        <v>3196</v>
      </c>
      <c r="BX305" s="78">
        <v>36097.338068277597</v>
      </c>
      <c r="BY305" s="402">
        <v>17.672999999999998</v>
      </c>
      <c r="BZ305" s="78">
        <v>185880</v>
      </c>
      <c r="CA305" s="78">
        <v>21676</v>
      </c>
      <c r="CB305" s="78">
        <v>4140</v>
      </c>
      <c r="CC305" s="78">
        <v>5785</v>
      </c>
      <c r="CD305" s="78">
        <v>4703</v>
      </c>
      <c r="CE305" s="78">
        <v>2097</v>
      </c>
      <c r="CF305" s="78">
        <v>3266.2951568082599</v>
      </c>
      <c r="CG305" s="78">
        <v>2102.8162809162</v>
      </c>
      <c r="CH305" s="78">
        <v>660.50448036780904</v>
      </c>
      <c r="CI305" s="78">
        <v>7405.3525</v>
      </c>
      <c r="CJ305" s="78">
        <v>4767.5102999999999</v>
      </c>
      <c r="CK305" s="78">
        <v>1497.4974</v>
      </c>
      <c r="CL305" s="78">
        <v>614190</v>
      </c>
    </row>
    <row r="306" spans="1:90" x14ac:dyDescent="0.35">
      <c r="A306" s="72">
        <v>858</v>
      </c>
      <c r="B306" s="72" t="s">
        <v>309</v>
      </c>
      <c r="C306" s="72">
        <v>10</v>
      </c>
      <c r="D306" s="78">
        <v>3850400000</v>
      </c>
      <c r="E306" s="78">
        <v>451500000</v>
      </c>
      <c r="F306" s="78">
        <v>464800000</v>
      </c>
      <c r="G306" s="78">
        <v>31236</v>
      </c>
      <c r="H306" s="78">
        <v>1</v>
      </c>
      <c r="I306" s="78">
        <v>464.8</v>
      </c>
      <c r="J306" s="78">
        <v>5122</v>
      </c>
      <c r="K306" s="78">
        <v>8144</v>
      </c>
      <c r="L306" s="78">
        <v>2938</v>
      </c>
      <c r="M306" s="78">
        <v>4661</v>
      </c>
      <c r="N306" s="78">
        <v>3158.8999999999996</v>
      </c>
      <c r="O306" s="78">
        <v>491.66666666666703</v>
      </c>
      <c r="P306" s="78">
        <v>54</v>
      </c>
      <c r="Q306" s="78">
        <v>1853.6666666666699</v>
      </c>
      <c r="R306" s="78">
        <v>5246</v>
      </c>
      <c r="S306" s="78">
        <v>610</v>
      </c>
      <c r="T306" s="78">
        <v>0</v>
      </c>
      <c r="U306" s="78">
        <v>1036</v>
      </c>
      <c r="V306" s="78">
        <v>15039</v>
      </c>
      <c r="W306" s="78">
        <v>31830</v>
      </c>
      <c r="X306" s="78">
        <v>22440</v>
      </c>
      <c r="Y306" s="78">
        <v>207.9</v>
      </c>
      <c r="Z306" s="78">
        <v>1947.2</v>
      </c>
      <c r="AA306" s="78">
        <v>0</v>
      </c>
      <c r="AB306" s="399">
        <v>0</v>
      </c>
      <c r="AC306" s="399">
        <v>0</v>
      </c>
      <c r="AD306" s="78">
        <v>5498</v>
      </c>
      <c r="AE306" s="78">
        <v>5498</v>
      </c>
      <c r="AF306" s="78">
        <v>153</v>
      </c>
      <c r="AG306" s="78">
        <v>0</v>
      </c>
      <c r="AH306" s="78">
        <v>184</v>
      </c>
      <c r="AI306" s="78">
        <v>52</v>
      </c>
      <c r="AJ306" s="78">
        <v>184</v>
      </c>
      <c r="AK306" s="78">
        <v>52</v>
      </c>
      <c r="AL306" s="78">
        <v>237</v>
      </c>
      <c r="AM306" s="78">
        <v>15021</v>
      </c>
      <c r="AN306" s="78">
        <v>15021</v>
      </c>
      <c r="AO306" s="78">
        <v>0</v>
      </c>
      <c r="AP306" s="78">
        <v>0</v>
      </c>
      <c r="AQ306" s="78">
        <v>0</v>
      </c>
      <c r="AR306" s="78">
        <v>0</v>
      </c>
      <c r="AS306" s="78">
        <v>1372</v>
      </c>
      <c r="AT306" s="78">
        <v>0</v>
      </c>
      <c r="AU306" s="400">
        <v>3.6847799999999999E-4</v>
      </c>
      <c r="AV306" s="400">
        <v>5.0010799999999998E-4</v>
      </c>
      <c r="AW306" s="78">
        <v>22366.269</v>
      </c>
      <c r="AX306" s="78">
        <v>0</v>
      </c>
      <c r="AY306" s="78">
        <v>1308</v>
      </c>
      <c r="AZ306" s="78">
        <v>7229.9925676871399</v>
      </c>
      <c r="BA306" s="78">
        <v>3</v>
      </c>
      <c r="BB306" s="78">
        <v>3</v>
      </c>
      <c r="BC306" s="78">
        <v>3855</v>
      </c>
      <c r="BD306" s="78">
        <v>1</v>
      </c>
      <c r="BE306" s="78">
        <v>0</v>
      </c>
      <c r="BF306" s="78">
        <v>0</v>
      </c>
      <c r="BG306" s="78">
        <v>0</v>
      </c>
      <c r="BH306" s="78">
        <v>0</v>
      </c>
      <c r="BI306" s="78">
        <v>0</v>
      </c>
      <c r="BJ306" s="78">
        <v>0</v>
      </c>
      <c r="BK306" s="78">
        <v>0</v>
      </c>
      <c r="BL306" s="78">
        <v>0</v>
      </c>
      <c r="BM306" s="78">
        <v>578.78599999999994</v>
      </c>
      <c r="BN306" s="78">
        <v>86</v>
      </c>
      <c r="BO306" s="78">
        <v>43</v>
      </c>
      <c r="BP306" s="78">
        <v>9824.8799999999992</v>
      </c>
      <c r="BQ306" s="78">
        <v>1989.23</v>
      </c>
      <c r="BR306" s="78">
        <v>180.57931413141301</v>
      </c>
      <c r="BS306" s="78">
        <v>381</v>
      </c>
      <c r="BT306" s="78">
        <v>121</v>
      </c>
      <c r="BU306" s="78">
        <v>123.333333333333</v>
      </c>
      <c r="BV306" s="78">
        <v>1362.000000000003</v>
      </c>
      <c r="BW306" s="78">
        <v>303</v>
      </c>
      <c r="BX306" s="78">
        <v>6363.5358662438703</v>
      </c>
      <c r="BY306" s="402">
        <v>0.89400000000000002</v>
      </c>
      <c r="BZ306" s="78">
        <v>23092</v>
      </c>
      <c r="CA306" s="78">
        <v>4177</v>
      </c>
      <c r="CB306" s="78">
        <v>1029</v>
      </c>
      <c r="CC306" s="78">
        <v>888</v>
      </c>
      <c r="CD306" s="78">
        <v>913</v>
      </c>
      <c r="CE306" s="78">
        <v>501</v>
      </c>
      <c r="CF306" s="78">
        <v>546.56687970175096</v>
      </c>
      <c r="CG306" s="78">
        <v>415.76095466347101</v>
      </c>
      <c r="CH306" s="78">
        <v>155.410898076027</v>
      </c>
      <c r="CI306" s="78">
        <v>1177.6069</v>
      </c>
      <c r="CJ306" s="78">
        <v>895.77869999999996</v>
      </c>
      <c r="CK306" s="78">
        <v>334.84089999999998</v>
      </c>
      <c r="CL306" s="78">
        <v>15347</v>
      </c>
    </row>
    <row r="307" spans="1:90" x14ac:dyDescent="0.35">
      <c r="A307" s="72">
        <v>861</v>
      </c>
      <c r="B307" s="72" t="s">
        <v>313</v>
      </c>
      <c r="C307" s="72">
        <v>10</v>
      </c>
      <c r="D307" s="78">
        <v>6182400000</v>
      </c>
      <c r="E307" s="78">
        <v>1188600000</v>
      </c>
      <c r="F307" s="78">
        <v>1204350000</v>
      </c>
      <c r="G307" s="78">
        <v>45822</v>
      </c>
      <c r="H307" s="78">
        <v>1</v>
      </c>
      <c r="I307" s="78">
        <v>1204.3499999999999</v>
      </c>
      <c r="J307" s="78">
        <v>8435</v>
      </c>
      <c r="K307" s="78">
        <v>10170</v>
      </c>
      <c r="L307" s="78">
        <v>3489</v>
      </c>
      <c r="M307" s="78">
        <v>5320</v>
      </c>
      <c r="N307" s="78">
        <v>3264.2</v>
      </c>
      <c r="O307" s="78">
        <v>500.33333333333297</v>
      </c>
      <c r="P307" s="78">
        <v>86</v>
      </c>
      <c r="Q307" s="78">
        <v>2749.3333333333298</v>
      </c>
      <c r="R307" s="78">
        <v>6721</v>
      </c>
      <c r="S307" s="78">
        <v>1460</v>
      </c>
      <c r="T307" s="78">
        <v>0</v>
      </c>
      <c r="U307" s="78">
        <v>1364</v>
      </c>
      <c r="V307" s="78">
        <v>21139</v>
      </c>
      <c r="W307" s="78">
        <v>46320</v>
      </c>
      <c r="X307" s="78">
        <v>34510</v>
      </c>
      <c r="Y307" s="78">
        <v>1285.96</v>
      </c>
      <c r="Z307" s="78">
        <v>1056</v>
      </c>
      <c r="AA307" s="78">
        <v>0</v>
      </c>
      <c r="AB307" s="399">
        <v>0</v>
      </c>
      <c r="AC307" s="399">
        <v>0</v>
      </c>
      <c r="AD307" s="78">
        <v>3168</v>
      </c>
      <c r="AE307" s="78">
        <v>3168</v>
      </c>
      <c r="AF307" s="78">
        <v>21</v>
      </c>
      <c r="AG307" s="78">
        <v>0</v>
      </c>
      <c r="AH307" s="78">
        <v>263</v>
      </c>
      <c r="AI307" s="78">
        <v>45</v>
      </c>
      <c r="AJ307" s="78">
        <v>263</v>
      </c>
      <c r="AK307" s="78">
        <v>45</v>
      </c>
      <c r="AL307" s="78">
        <v>309</v>
      </c>
      <c r="AM307" s="78">
        <v>20558</v>
      </c>
      <c r="AN307" s="78">
        <v>20558</v>
      </c>
      <c r="AO307" s="78">
        <v>0</v>
      </c>
      <c r="AP307" s="78">
        <v>0</v>
      </c>
      <c r="AQ307" s="78">
        <v>0</v>
      </c>
      <c r="AR307" s="78">
        <v>0</v>
      </c>
      <c r="AS307" s="78">
        <v>0</v>
      </c>
      <c r="AT307" s="78">
        <v>0</v>
      </c>
      <c r="AU307" s="400">
        <v>1.8201799999999999E-4</v>
      </c>
      <c r="AV307" s="400">
        <v>3.8190400000000002E-4</v>
      </c>
      <c r="AW307" s="78">
        <v>34516.881999999998</v>
      </c>
      <c r="AX307" s="78">
        <v>0</v>
      </c>
      <c r="AY307" s="78">
        <v>275</v>
      </c>
      <c r="AZ307" s="78">
        <v>3951.4111006585099</v>
      </c>
      <c r="BA307" s="78">
        <v>2</v>
      </c>
      <c r="BB307" s="78">
        <v>2</v>
      </c>
      <c r="BC307" s="78">
        <v>4970</v>
      </c>
      <c r="BD307" s="78">
        <v>1</v>
      </c>
      <c r="BE307" s="78">
        <v>0</v>
      </c>
      <c r="BF307" s="78">
        <v>0</v>
      </c>
      <c r="BG307" s="78">
        <v>0</v>
      </c>
      <c r="BH307" s="78">
        <v>0</v>
      </c>
      <c r="BI307" s="78">
        <v>0</v>
      </c>
      <c r="BJ307" s="78">
        <v>0</v>
      </c>
      <c r="BK307" s="78">
        <v>0</v>
      </c>
      <c r="BL307" s="78">
        <v>0</v>
      </c>
      <c r="BM307" s="78">
        <v>792.89</v>
      </c>
      <c r="BN307" s="78">
        <v>77</v>
      </c>
      <c r="BO307" s="78">
        <v>89</v>
      </c>
      <c r="BP307" s="78">
        <v>14914.63</v>
      </c>
      <c r="BQ307" s="78">
        <v>3592.33</v>
      </c>
      <c r="BR307" s="78">
        <v>281.06842339793502</v>
      </c>
      <c r="BS307" s="78">
        <v>491</v>
      </c>
      <c r="BT307" s="78">
        <v>138</v>
      </c>
      <c r="BU307" s="78">
        <v>111.333333333333</v>
      </c>
      <c r="BV307" s="78">
        <v>2248.9999999999968</v>
      </c>
      <c r="BW307" s="78">
        <v>767</v>
      </c>
      <c r="BX307" s="78">
        <v>8259.0378461538494</v>
      </c>
      <c r="BY307" s="402">
        <v>0.42599999999999999</v>
      </c>
      <c r="BZ307" s="78">
        <v>35652</v>
      </c>
      <c r="CA307" s="78">
        <v>5469</v>
      </c>
      <c r="CB307" s="78">
        <v>1212</v>
      </c>
      <c r="CC307" s="78">
        <v>1093</v>
      </c>
      <c r="CD307" s="78">
        <v>1089</v>
      </c>
      <c r="CE307" s="78">
        <v>666</v>
      </c>
      <c r="CF307" s="78">
        <v>531.91312384473201</v>
      </c>
      <c r="CG307" s="78">
        <v>380.913308687616</v>
      </c>
      <c r="CH307" s="78">
        <v>153.38151571164499</v>
      </c>
      <c r="CI307" s="78">
        <v>1306.165</v>
      </c>
      <c r="CJ307" s="78">
        <v>935.37009999999998</v>
      </c>
      <c r="CK307" s="78">
        <v>376.64339999999999</v>
      </c>
      <c r="CL307" s="78">
        <v>152737</v>
      </c>
    </row>
    <row r="308" spans="1:90" x14ac:dyDescent="0.35">
      <c r="A308" s="72">
        <v>865</v>
      </c>
      <c r="B308" s="72" t="s">
        <v>324</v>
      </c>
      <c r="C308" s="72">
        <v>10</v>
      </c>
      <c r="D308" s="78">
        <v>4733600000</v>
      </c>
      <c r="E308" s="78">
        <v>482650000</v>
      </c>
      <c r="F308" s="78">
        <v>541800000</v>
      </c>
      <c r="G308" s="78">
        <v>31783</v>
      </c>
      <c r="H308" s="78">
        <v>2</v>
      </c>
      <c r="I308" s="78">
        <v>541.79999999999995</v>
      </c>
      <c r="J308" s="78">
        <v>6516</v>
      </c>
      <c r="K308" s="78">
        <v>7095</v>
      </c>
      <c r="L308" s="78">
        <v>2275</v>
      </c>
      <c r="M308" s="78">
        <v>3739</v>
      </c>
      <c r="N308" s="78">
        <v>2298.6</v>
      </c>
      <c r="O308" s="78">
        <v>239</v>
      </c>
      <c r="P308" s="78">
        <v>86</v>
      </c>
      <c r="Q308" s="78">
        <v>1752</v>
      </c>
      <c r="R308" s="78">
        <v>4402</v>
      </c>
      <c r="S308" s="78">
        <v>690</v>
      </c>
      <c r="T308" s="78">
        <v>0</v>
      </c>
      <c r="U308" s="78">
        <v>925</v>
      </c>
      <c r="V308" s="78">
        <v>14679</v>
      </c>
      <c r="W308" s="78">
        <v>29030</v>
      </c>
      <c r="X308" s="78">
        <v>14190</v>
      </c>
      <c r="Y308" s="78">
        <v>1836.9831999999999</v>
      </c>
      <c r="Z308" s="78">
        <v>1784</v>
      </c>
      <c r="AA308" s="78">
        <v>0</v>
      </c>
      <c r="AB308" s="399">
        <v>0</v>
      </c>
      <c r="AC308" s="399">
        <v>116.89999999999964</v>
      </c>
      <c r="AD308" s="78">
        <v>5993</v>
      </c>
      <c r="AE308" s="78">
        <v>5993</v>
      </c>
      <c r="AF308" s="78">
        <v>118</v>
      </c>
      <c r="AG308" s="78">
        <v>0</v>
      </c>
      <c r="AH308" s="78">
        <v>171</v>
      </c>
      <c r="AI308" s="78">
        <v>37</v>
      </c>
      <c r="AJ308" s="78">
        <v>171</v>
      </c>
      <c r="AK308" s="78">
        <v>37</v>
      </c>
      <c r="AL308" s="78">
        <v>208</v>
      </c>
      <c r="AM308" s="78">
        <v>14404</v>
      </c>
      <c r="AN308" s="78">
        <v>14404</v>
      </c>
      <c r="AO308" s="78">
        <v>0</v>
      </c>
      <c r="AP308" s="78">
        <v>0</v>
      </c>
      <c r="AQ308" s="78">
        <v>0</v>
      </c>
      <c r="AR308" s="78">
        <v>0</v>
      </c>
      <c r="AS308" s="78">
        <v>1311</v>
      </c>
      <c r="AT308" s="78">
        <v>0</v>
      </c>
      <c r="AU308" s="400">
        <v>3.8613100000000001E-4</v>
      </c>
      <c r="AV308" s="400">
        <v>2.15088E-4</v>
      </c>
      <c r="AW308" s="78">
        <v>16939.103999999999</v>
      </c>
      <c r="AX308" s="78">
        <v>0</v>
      </c>
      <c r="AY308" s="78">
        <v>1322</v>
      </c>
      <c r="AZ308" s="78">
        <v>6875.6547209949304</v>
      </c>
      <c r="BA308" s="78">
        <v>5</v>
      </c>
      <c r="BB308" s="78">
        <v>5</v>
      </c>
      <c r="BC308" s="78">
        <v>4845</v>
      </c>
      <c r="BD308" s="78">
        <v>1</v>
      </c>
      <c r="BE308" s="78">
        <v>0</v>
      </c>
      <c r="BF308" s="78">
        <v>0</v>
      </c>
      <c r="BG308" s="78">
        <v>0</v>
      </c>
      <c r="BH308" s="78">
        <v>0</v>
      </c>
      <c r="BI308" s="78">
        <v>0</v>
      </c>
      <c r="BJ308" s="78">
        <v>0</v>
      </c>
      <c r="BK308" s="78">
        <v>0</v>
      </c>
      <c r="BL308" s="78">
        <v>0</v>
      </c>
      <c r="BM308" s="78">
        <v>482.18400000000003</v>
      </c>
      <c r="BN308" s="78">
        <v>55</v>
      </c>
      <c r="BO308" s="78">
        <v>51</v>
      </c>
      <c r="BP308" s="78">
        <v>11115.92</v>
      </c>
      <c r="BQ308" s="78">
        <v>3049.56</v>
      </c>
      <c r="BR308" s="78">
        <v>258.52287347276899</v>
      </c>
      <c r="BS308" s="78">
        <v>344</v>
      </c>
      <c r="BT308" s="78">
        <v>67</v>
      </c>
      <c r="BU308" s="78">
        <v>53.6666666666667</v>
      </c>
      <c r="BV308" s="78">
        <v>1513</v>
      </c>
      <c r="BW308" s="78">
        <v>519</v>
      </c>
      <c r="BX308" s="78">
        <v>4680.5081549780498</v>
      </c>
      <c r="BY308" s="402">
        <v>0.152</v>
      </c>
      <c r="BZ308" s="78">
        <v>24688</v>
      </c>
      <c r="CA308" s="78">
        <v>3893</v>
      </c>
      <c r="CB308" s="78">
        <v>927</v>
      </c>
      <c r="CC308" s="78">
        <v>878</v>
      </c>
      <c r="CD308" s="78">
        <v>764</v>
      </c>
      <c r="CE308" s="78">
        <v>429</v>
      </c>
      <c r="CF308" s="78">
        <v>386.504387670092</v>
      </c>
      <c r="CG308" s="78">
        <v>248.94584837545099</v>
      </c>
      <c r="CH308" s="78">
        <v>94.471757845043101</v>
      </c>
      <c r="CI308" s="78">
        <v>716.66980000000001</v>
      </c>
      <c r="CJ308" s="78">
        <v>461.60399999999998</v>
      </c>
      <c r="CK308" s="78">
        <v>175.1728</v>
      </c>
      <c r="CL308" s="78">
        <v>243402</v>
      </c>
    </row>
    <row r="309" spans="1:90" x14ac:dyDescent="0.35">
      <c r="A309" s="72">
        <v>866</v>
      </c>
      <c r="B309" s="72" t="s">
        <v>326</v>
      </c>
      <c r="C309" s="72">
        <v>10</v>
      </c>
      <c r="D309" s="78">
        <v>2666800000</v>
      </c>
      <c r="E309" s="78">
        <v>147000000</v>
      </c>
      <c r="F309" s="78">
        <v>154000000</v>
      </c>
      <c r="G309" s="78">
        <v>17626</v>
      </c>
      <c r="H309" s="78">
        <v>1</v>
      </c>
      <c r="I309" s="78">
        <v>154</v>
      </c>
      <c r="J309" s="78">
        <v>3561</v>
      </c>
      <c r="K309" s="78">
        <v>4287</v>
      </c>
      <c r="L309" s="78">
        <v>1554</v>
      </c>
      <c r="M309" s="78">
        <v>1796</v>
      </c>
      <c r="N309" s="78">
        <v>995.19999999999993</v>
      </c>
      <c r="O309" s="78">
        <v>200</v>
      </c>
      <c r="P309" s="78">
        <v>19</v>
      </c>
      <c r="Q309" s="78">
        <v>740</v>
      </c>
      <c r="R309" s="78">
        <v>2411</v>
      </c>
      <c r="S309" s="78">
        <v>510</v>
      </c>
      <c r="T309" s="78">
        <v>0</v>
      </c>
      <c r="U309" s="78">
        <v>506</v>
      </c>
      <c r="V309" s="78">
        <v>7814</v>
      </c>
      <c r="W309" s="78">
        <v>14360</v>
      </c>
      <c r="X309" s="78">
        <v>4310</v>
      </c>
      <c r="Y309" s="78">
        <v>0</v>
      </c>
      <c r="Z309" s="78">
        <v>0</v>
      </c>
      <c r="AA309" s="78">
        <v>0</v>
      </c>
      <c r="AB309" s="399">
        <v>0</v>
      </c>
      <c r="AC309" s="399">
        <v>0</v>
      </c>
      <c r="AD309" s="78">
        <v>2242</v>
      </c>
      <c r="AE309" s="78">
        <v>2242</v>
      </c>
      <c r="AF309" s="78">
        <v>25</v>
      </c>
      <c r="AG309" s="78">
        <v>0</v>
      </c>
      <c r="AH309" s="78">
        <v>96</v>
      </c>
      <c r="AI309" s="78">
        <v>10</v>
      </c>
      <c r="AJ309" s="78">
        <v>96</v>
      </c>
      <c r="AK309" s="78">
        <v>10</v>
      </c>
      <c r="AL309" s="78">
        <v>106</v>
      </c>
      <c r="AM309" s="78">
        <v>8008</v>
      </c>
      <c r="AN309" s="78">
        <v>8008</v>
      </c>
      <c r="AO309" s="78">
        <v>0</v>
      </c>
      <c r="AP309" s="78">
        <v>0</v>
      </c>
      <c r="AQ309" s="78">
        <v>0</v>
      </c>
      <c r="AR309" s="78">
        <v>0</v>
      </c>
      <c r="AS309" s="78">
        <v>559</v>
      </c>
      <c r="AT309" s="78">
        <v>0</v>
      </c>
      <c r="AU309" s="400">
        <v>1.1101E-4</v>
      </c>
      <c r="AV309" s="400">
        <v>9.2660999999999999E-5</v>
      </c>
      <c r="AW309" s="78">
        <v>7055.0479999999998</v>
      </c>
      <c r="AX309" s="78">
        <v>0</v>
      </c>
      <c r="AY309" s="78">
        <v>358</v>
      </c>
      <c r="AZ309" s="78">
        <v>2783.46184384649</v>
      </c>
      <c r="BA309" s="78">
        <v>1</v>
      </c>
      <c r="BB309" s="78">
        <v>1</v>
      </c>
      <c r="BC309" s="78">
        <v>2405</v>
      </c>
      <c r="BD309" s="78">
        <v>1</v>
      </c>
      <c r="BE309" s="78">
        <v>0</v>
      </c>
      <c r="BF309" s="78">
        <v>0</v>
      </c>
      <c r="BG309" s="78">
        <v>0</v>
      </c>
      <c r="BH309" s="78">
        <v>0</v>
      </c>
      <c r="BI309" s="78">
        <v>0</v>
      </c>
      <c r="BJ309" s="78">
        <v>0</v>
      </c>
      <c r="BK309" s="78">
        <v>0</v>
      </c>
      <c r="BL309" s="78">
        <v>0</v>
      </c>
      <c r="BM309" s="78">
        <v>281.31900000000002</v>
      </c>
      <c r="BN309" s="78">
        <v>18</v>
      </c>
      <c r="BO309" s="78">
        <v>14</v>
      </c>
      <c r="BP309" s="78">
        <v>7094.12</v>
      </c>
      <c r="BQ309" s="78">
        <v>1714.77</v>
      </c>
      <c r="BR309" s="78">
        <v>138.72372383720901</v>
      </c>
      <c r="BS309" s="78">
        <v>189</v>
      </c>
      <c r="BT309" s="78">
        <v>59</v>
      </c>
      <c r="BU309" s="78">
        <v>45.6666666666667</v>
      </c>
      <c r="BV309" s="78">
        <v>540</v>
      </c>
      <c r="BW309" s="78">
        <v>98</v>
      </c>
      <c r="BX309" s="78">
        <v>2824.86187414501</v>
      </c>
      <c r="BY309" s="402">
        <v>0.21199999999999999</v>
      </c>
      <c r="BZ309" s="78">
        <v>13339</v>
      </c>
      <c r="CA309" s="78">
        <v>2080</v>
      </c>
      <c r="CB309" s="78">
        <v>653</v>
      </c>
      <c r="CC309" s="78">
        <v>431</v>
      </c>
      <c r="CD309" s="78">
        <v>503</v>
      </c>
      <c r="CE309" s="78">
        <v>326</v>
      </c>
      <c r="CF309" s="78">
        <v>159.57002997002999</v>
      </c>
      <c r="CG309" s="78">
        <v>133.347852147852</v>
      </c>
      <c r="CH309" s="78">
        <v>61.392207792207799</v>
      </c>
      <c r="CI309" s="78">
        <v>334.86720000000003</v>
      </c>
      <c r="CJ309" s="78">
        <v>279.83839999999998</v>
      </c>
      <c r="CK309" s="78">
        <v>128.83519999999999</v>
      </c>
      <c r="CL309" s="78">
        <v>0</v>
      </c>
    </row>
    <row r="310" spans="1:90" x14ac:dyDescent="0.35">
      <c r="A310" s="72">
        <v>867</v>
      </c>
      <c r="B310" s="72" t="s">
        <v>327</v>
      </c>
      <c r="C310" s="72">
        <v>10</v>
      </c>
      <c r="D310" s="78">
        <v>5206400000</v>
      </c>
      <c r="E310" s="78">
        <v>1241800000</v>
      </c>
      <c r="F310" s="78">
        <v>1264900000</v>
      </c>
      <c r="G310" s="78">
        <v>49342</v>
      </c>
      <c r="H310" s="78">
        <v>2</v>
      </c>
      <c r="I310" s="78">
        <v>1264.9000000000001</v>
      </c>
      <c r="J310" s="78">
        <v>8899</v>
      </c>
      <c r="K310" s="78">
        <v>10691</v>
      </c>
      <c r="L310" s="78">
        <v>3689</v>
      </c>
      <c r="M310" s="78">
        <v>7216</v>
      </c>
      <c r="N310" s="78">
        <v>4972.8999999999996</v>
      </c>
      <c r="O310" s="78">
        <v>684</v>
      </c>
      <c r="P310" s="78">
        <v>102</v>
      </c>
      <c r="Q310" s="78">
        <v>3041</v>
      </c>
      <c r="R310" s="78">
        <v>7949</v>
      </c>
      <c r="S310" s="78">
        <v>2860</v>
      </c>
      <c r="T310" s="78">
        <v>0</v>
      </c>
      <c r="U310" s="78">
        <v>1548</v>
      </c>
      <c r="V310" s="78">
        <v>22999</v>
      </c>
      <c r="W310" s="78">
        <v>52200</v>
      </c>
      <c r="X310" s="78">
        <v>40420</v>
      </c>
      <c r="Y310" s="78">
        <v>675.18</v>
      </c>
      <c r="Z310" s="78">
        <v>3033.6</v>
      </c>
      <c r="AA310" s="78">
        <v>0</v>
      </c>
      <c r="AB310" s="399">
        <v>0</v>
      </c>
      <c r="AC310" s="399">
        <v>0</v>
      </c>
      <c r="AD310" s="78">
        <v>6449</v>
      </c>
      <c r="AE310" s="78">
        <v>6449</v>
      </c>
      <c r="AF310" s="78">
        <v>316</v>
      </c>
      <c r="AG310" s="78">
        <v>0</v>
      </c>
      <c r="AH310" s="78">
        <v>344</v>
      </c>
      <c r="AI310" s="78">
        <v>113</v>
      </c>
      <c r="AJ310" s="78">
        <v>344</v>
      </c>
      <c r="AK310" s="78">
        <v>113</v>
      </c>
      <c r="AL310" s="78">
        <v>457</v>
      </c>
      <c r="AM310" s="78">
        <v>22431</v>
      </c>
      <c r="AN310" s="78">
        <v>22431</v>
      </c>
      <c r="AO310" s="78">
        <v>0</v>
      </c>
      <c r="AP310" s="78">
        <v>0</v>
      </c>
      <c r="AQ310" s="78">
        <v>0</v>
      </c>
      <c r="AR310" s="78">
        <v>0</v>
      </c>
      <c r="AS310" s="78">
        <v>1316</v>
      </c>
      <c r="AT310" s="78">
        <v>0</v>
      </c>
      <c r="AU310" s="400">
        <v>6.2302500000000003E-4</v>
      </c>
      <c r="AV310" s="400">
        <v>6.6022499999999996E-4</v>
      </c>
      <c r="AW310" s="78">
        <v>29922.954000000002</v>
      </c>
      <c r="AX310" s="78">
        <v>0</v>
      </c>
      <c r="AY310" s="78">
        <v>2208</v>
      </c>
      <c r="AZ310" s="78">
        <v>16104.5286031042</v>
      </c>
      <c r="BA310" s="78">
        <v>3</v>
      </c>
      <c r="BB310" s="78">
        <v>3</v>
      </c>
      <c r="BC310" s="78">
        <v>6410</v>
      </c>
      <c r="BD310" s="78">
        <v>1</v>
      </c>
      <c r="BE310" s="78">
        <v>0</v>
      </c>
      <c r="BF310" s="78">
        <v>0</v>
      </c>
      <c r="BG310" s="78">
        <v>0</v>
      </c>
      <c r="BH310" s="78">
        <v>0</v>
      </c>
      <c r="BI310" s="78">
        <v>0</v>
      </c>
      <c r="BJ310" s="78">
        <v>0</v>
      </c>
      <c r="BK310" s="78">
        <v>0</v>
      </c>
      <c r="BL310" s="78">
        <v>0</v>
      </c>
      <c r="BM310" s="78">
        <v>943.29399999999998</v>
      </c>
      <c r="BN310" s="78">
        <v>193</v>
      </c>
      <c r="BO310" s="78">
        <v>134</v>
      </c>
      <c r="BP310" s="78">
        <v>14844.06</v>
      </c>
      <c r="BQ310" s="78">
        <v>3275.52</v>
      </c>
      <c r="BR310" s="78">
        <v>367.36326526768897</v>
      </c>
      <c r="BS310" s="78">
        <v>586</v>
      </c>
      <c r="BT310" s="78">
        <v>196.666666666667</v>
      </c>
      <c r="BU310" s="78">
        <v>179.333333333333</v>
      </c>
      <c r="BV310" s="78">
        <v>2357</v>
      </c>
      <c r="BW310" s="78">
        <v>513</v>
      </c>
      <c r="BX310" s="78">
        <v>9865.5697715866008</v>
      </c>
      <c r="BY310" s="402">
        <v>1.173</v>
      </c>
      <c r="BZ310" s="78">
        <v>38651</v>
      </c>
      <c r="CA310" s="78">
        <v>5869</v>
      </c>
      <c r="CB310" s="78">
        <v>1133</v>
      </c>
      <c r="CC310" s="78">
        <v>1236</v>
      </c>
      <c r="CD310" s="78">
        <v>1186</v>
      </c>
      <c r="CE310" s="78">
        <v>565</v>
      </c>
      <c r="CF310" s="78">
        <v>804.54077392893805</v>
      </c>
      <c r="CG310" s="78">
        <v>557.34789354018994</v>
      </c>
      <c r="CH310" s="78">
        <v>177.136422807721</v>
      </c>
      <c r="CI310" s="78">
        <v>1702.7267999999999</v>
      </c>
      <c r="CJ310" s="78">
        <v>1179.5688</v>
      </c>
      <c r="CK310" s="78">
        <v>374.89080000000001</v>
      </c>
      <c r="CL310" s="78">
        <v>24872</v>
      </c>
    </row>
    <row r="311" spans="1:90" x14ac:dyDescent="0.35">
      <c r="A311" s="72">
        <v>873</v>
      </c>
      <c r="B311" s="72" t="s">
        <v>348</v>
      </c>
      <c r="C311" s="72">
        <v>10</v>
      </c>
      <c r="D311" s="78">
        <v>2289600000</v>
      </c>
      <c r="E311" s="78">
        <v>416500000</v>
      </c>
      <c r="F311" s="78">
        <v>440300000</v>
      </c>
      <c r="G311" s="78">
        <v>22112</v>
      </c>
      <c r="H311" s="78">
        <v>4</v>
      </c>
      <c r="I311" s="78">
        <v>440.3</v>
      </c>
      <c r="J311" s="78">
        <v>3685</v>
      </c>
      <c r="K311" s="78">
        <v>5438</v>
      </c>
      <c r="L311" s="78">
        <v>2012</v>
      </c>
      <c r="M311" s="78">
        <v>2732</v>
      </c>
      <c r="N311" s="78">
        <v>1674.3999999999999</v>
      </c>
      <c r="O311" s="78">
        <v>255.666666666667</v>
      </c>
      <c r="P311" s="78">
        <v>19</v>
      </c>
      <c r="Q311" s="78">
        <v>1115.6666666666699</v>
      </c>
      <c r="R311" s="78">
        <v>2919</v>
      </c>
      <c r="S311" s="78">
        <v>440</v>
      </c>
      <c r="T311" s="78">
        <v>0</v>
      </c>
      <c r="U311" s="78">
        <v>601</v>
      </c>
      <c r="V311" s="78">
        <v>10116</v>
      </c>
      <c r="W311" s="78">
        <v>20270</v>
      </c>
      <c r="X311" s="78">
        <v>5820</v>
      </c>
      <c r="Y311" s="78">
        <v>207.6</v>
      </c>
      <c r="Z311" s="78">
        <v>432.8</v>
      </c>
      <c r="AA311" s="78">
        <v>0</v>
      </c>
      <c r="AB311" s="399">
        <v>0</v>
      </c>
      <c r="AC311" s="399">
        <v>89.999999999999943</v>
      </c>
      <c r="AD311" s="78">
        <v>9142</v>
      </c>
      <c r="AE311" s="78">
        <v>9690.52</v>
      </c>
      <c r="AF311" s="78">
        <v>55</v>
      </c>
      <c r="AG311" s="78">
        <v>0</v>
      </c>
      <c r="AH311" s="78">
        <v>159</v>
      </c>
      <c r="AI311" s="78">
        <v>61</v>
      </c>
      <c r="AJ311" s="78">
        <v>159</v>
      </c>
      <c r="AK311" s="78">
        <v>65.27</v>
      </c>
      <c r="AL311" s="78">
        <v>220</v>
      </c>
      <c r="AM311" s="78">
        <v>10576</v>
      </c>
      <c r="AN311" s="78">
        <v>10576</v>
      </c>
      <c r="AO311" s="78">
        <v>0</v>
      </c>
      <c r="AP311" s="78">
        <v>0</v>
      </c>
      <c r="AQ311" s="78">
        <v>0</v>
      </c>
      <c r="AR311" s="78">
        <v>0</v>
      </c>
      <c r="AS311" s="78">
        <v>0</v>
      </c>
      <c r="AT311" s="78">
        <v>0</v>
      </c>
      <c r="AU311" s="400">
        <v>1.8531600000000001E-4</v>
      </c>
      <c r="AV311" s="400">
        <v>1.19698E-4</v>
      </c>
      <c r="AW311" s="78">
        <v>7043.616</v>
      </c>
      <c r="AX311" s="78">
        <v>0</v>
      </c>
      <c r="AY311" s="78">
        <v>616.91999999999996</v>
      </c>
      <c r="AZ311" s="78">
        <v>1885.9033162987901</v>
      </c>
      <c r="BA311" s="78">
        <v>6</v>
      </c>
      <c r="BB311" s="78">
        <v>6.42</v>
      </c>
      <c r="BC311" s="78">
        <v>2290</v>
      </c>
      <c r="BD311" s="78">
        <v>1</v>
      </c>
      <c r="BE311" s="78">
        <v>0</v>
      </c>
      <c r="BF311" s="78">
        <v>0</v>
      </c>
      <c r="BG311" s="78">
        <v>0</v>
      </c>
      <c r="BH311" s="78">
        <v>0</v>
      </c>
      <c r="BI311" s="78">
        <v>0</v>
      </c>
      <c r="BJ311" s="78">
        <v>0</v>
      </c>
      <c r="BK311" s="78">
        <v>0</v>
      </c>
      <c r="BL311" s="78">
        <v>0</v>
      </c>
      <c r="BM311" s="78">
        <v>383.24</v>
      </c>
      <c r="BN311" s="78">
        <v>89</v>
      </c>
      <c r="BO311" s="78">
        <v>54</v>
      </c>
      <c r="BP311" s="78">
        <v>6775.11</v>
      </c>
      <c r="BQ311" s="78">
        <v>1368.96</v>
      </c>
      <c r="BR311" s="78">
        <v>87.917105584376003</v>
      </c>
      <c r="BS311" s="78">
        <v>226</v>
      </c>
      <c r="BT311" s="78">
        <v>78.3333333333333</v>
      </c>
      <c r="BU311" s="78">
        <v>61.3333333333333</v>
      </c>
      <c r="BV311" s="78">
        <v>860.00000000000296</v>
      </c>
      <c r="BW311" s="78">
        <v>205</v>
      </c>
      <c r="BX311" s="78">
        <v>4274.8795932449602</v>
      </c>
      <c r="BY311" s="402">
        <v>0.45100000000000001</v>
      </c>
      <c r="BZ311" s="78">
        <v>16674</v>
      </c>
      <c r="CA311" s="78">
        <v>2869</v>
      </c>
      <c r="CB311" s="78">
        <v>557</v>
      </c>
      <c r="CC311" s="78">
        <v>494</v>
      </c>
      <c r="CD311" s="78">
        <v>595</v>
      </c>
      <c r="CE311" s="78">
        <v>267</v>
      </c>
      <c r="CF311" s="78">
        <v>271.203403933434</v>
      </c>
      <c r="CG311" s="78">
        <v>215.47450832072599</v>
      </c>
      <c r="CH311" s="78">
        <v>63.011649016641499</v>
      </c>
      <c r="CI311" s="78">
        <v>762.62760000000003</v>
      </c>
      <c r="CJ311" s="78">
        <v>605.91719999999998</v>
      </c>
      <c r="CK311" s="78">
        <v>177.18960000000001</v>
      </c>
      <c r="CL311" s="78">
        <v>7938</v>
      </c>
    </row>
    <row r="312" spans="1:90" x14ac:dyDescent="0.35">
      <c r="A312" s="72">
        <v>879</v>
      </c>
      <c r="B312" s="72" t="s">
        <v>361</v>
      </c>
      <c r="C312" s="72">
        <v>10</v>
      </c>
      <c r="D312" s="78">
        <v>2662000000</v>
      </c>
      <c r="E312" s="78">
        <v>302400000</v>
      </c>
      <c r="F312" s="78">
        <v>350350000</v>
      </c>
      <c r="G312" s="78">
        <v>22260</v>
      </c>
      <c r="H312" s="78">
        <v>2</v>
      </c>
      <c r="I312" s="78">
        <v>350.35</v>
      </c>
      <c r="J312" s="78">
        <v>3585</v>
      </c>
      <c r="K312" s="78">
        <v>5143</v>
      </c>
      <c r="L312" s="78">
        <v>1670</v>
      </c>
      <c r="M312" s="78">
        <v>2753</v>
      </c>
      <c r="N312" s="78">
        <v>1755.6999999999998</v>
      </c>
      <c r="O312" s="78">
        <v>203</v>
      </c>
      <c r="P312" s="78">
        <v>26</v>
      </c>
      <c r="Q312" s="78">
        <v>1112</v>
      </c>
      <c r="R312" s="78">
        <v>3083</v>
      </c>
      <c r="S312" s="78">
        <v>440</v>
      </c>
      <c r="T312" s="78">
        <v>0</v>
      </c>
      <c r="U312" s="78">
        <v>506</v>
      </c>
      <c r="V312" s="78">
        <v>10212</v>
      </c>
      <c r="W312" s="78">
        <v>18740</v>
      </c>
      <c r="X312" s="78">
        <v>5030</v>
      </c>
      <c r="Y312" s="78">
        <v>463.64</v>
      </c>
      <c r="Z312" s="78">
        <v>268</v>
      </c>
      <c r="AA312" s="78">
        <v>0</v>
      </c>
      <c r="AB312" s="399">
        <v>0</v>
      </c>
      <c r="AC312" s="399">
        <v>0</v>
      </c>
      <c r="AD312" s="78">
        <v>12058</v>
      </c>
      <c r="AE312" s="78">
        <v>12058</v>
      </c>
      <c r="AF312" s="78">
        <v>63</v>
      </c>
      <c r="AG312" s="78">
        <v>0</v>
      </c>
      <c r="AH312" s="78">
        <v>113</v>
      </c>
      <c r="AI312" s="78">
        <v>136</v>
      </c>
      <c r="AJ312" s="78">
        <v>113</v>
      </c>
      <c r="AK312" s="78">
        <v>136</v>
      </c>
      <c r="AL312" s="78">
        <v>248</v>
      </c>
      <c r="AM312" s="78">
        <v>9973</v>
      </c>
      <c r="AN312" s="78">
        <v>9973</v>
      </c>
      <c r="AO312" s="78">
        <v>0</v>
      </c>
      <c r="AP312" s="78">
        <v>0</v>
      </c>
      <c r="AQ312" s="78">
        <v>0</v>
      </c>
      <c r="AR312" s="78">
        <v>0</v>
      </c>
      <c r="AS312" s="78">
        <v>0</v>
      </c>
      <c r="AT312" s="78">
        <v>0</v>
      </c>
      <c r="AU312" s="400">
        <v>2.1311799999999999E-4</v>
      </c>
      <c r="AV312" s="400">
        <v>9.6386999999999997E-5</v>
      </c>
      <c r="AW312" s="78">
        <v>5754.4210000000003</v>
      </c>
      <c r="AX312" s="78">
        <v>0</v>
      </c>
      <c r="AY312" s="78">
        <v>1533</v>
      </c>
      <c r="AZ312" s="78">
        <v>2815.3271182245699</v>
      </c>
      <c r="BA312" s="78">
        <v>6</v>
      </c>
      <c r="BB312" s="78">
        <v>6</v>
      </c>
      <c r="BC312" s="78">
        <v>3020</v>
      </c>
      <c r="BD312" s="78">
        <v>1</v>
      </c>
      <c r="BE312" s="78">
        <v>0</v>
      </c>
      <c r="BF312" s="78">
        <v>0</v>
      </c>
      <c r="BG312" s="78">
        <v>0</v>
      </c>
      <c r="BH312" s="78">
        <v>0</v>
      </c>
      <c r="BI312" s="78">
        <v>0</v>
      </c>
      <c r="BJ312" s="78">
        <v>0</v>
      </c>
      <c r="BK312" s="78">
        <v>0</v>
      </c>
      <c r="BL312" s="78">
        <v>0</v>
      </c>
      <c r="BM312" s="78">
        <v>336.99</v>
      </c>
      <c r="BN312" s="78">
        <v>39</v>
      </c>
      <c r="BO312" s="78">
        <v>41</v>
      </c>
      <c r="BP312" s="78">
        <v>6635.44</v>
      </c>
      <c r="BQ312" s="78">
        <v>1476.79</v>
      </c>
      <c r="BR312" s="78">
        <v>90.841042632066703</v>
      </c>
      <c r="BS312" s="78">
        <v>175</v>
      </c>
      <c r="BT312" s="78">
        <v>74.3333333333333</v>
      </c>
      <c r="BU312" s="78">
        <v>51.6666666666667</v>
      </c>
      <c r="BV312" s="78">
        <v>909</v>
      </c>
      <c r="BW312" s="78">
        <v>282</v>
      </c>
      <c r="BX312" s="78">
        <v>4474.11016918319</v>
      </c>
      <c r="BY312" s="402">
        <v>0.22500000000000001</v>
      </c>
      <c r="BZ312" s="78">
        <v>17117</v>
      </c>
      <c r="CA312" s="78">
        <v>2846</v>
      </c>
      <c r="CB312" s="78">
        <v>627</v>
      </c>
      <c r="CC312" s="78">
        <v>490</v>
      </c>
      <c r="CD312" s="78">
        <v>534</v>
      </c>
      <c r="CE312" s="78">
        <v>287</v>
      </c>
      <c r="CF312" s="78">
        <v>307.90326882583003</v>
      </c>
      <c r="CG312" s="78">
        <v>199.45935024566299</v>
      </c>
      <c r="CH312" s="78">
        <v>72.354627494234407</v>
      </c>
      <c r="CI312" s="78">
        <v>771.83370000000002</v>
      </c>
      <c r="CJ312" s="78">
        <v>499.99290000000002</v>
      </c>
      <c r="CK312" s="78">
        <v>181.37430000000001</v>
      </c>
      <c r="CL312" s="78">
        <v>60225</v>
      </c>
    </row>
    <row r="313" spans="1:90" x14ac:dyDescent="0.35">
      <c r="A313" s="72">
        <v>888</v>
      </c>
      <c r="B313" s="72" t="s">
        <v>36</v>
      </c>
      <c r="C313" s="72">
        <v>11</v>
      </c>
      <c r="D313" s="78">
        <v>1508800000</v>
      </c>
      <c r="E313" s="78">
        <v>302050000</v>
      </c>
      <c r="F313" s="78">
        <v>308700000</v>
      </c>
      <c r="G313" s="78">
        <v>15817</v>
      </c>
      <c r="H313" s="78">
        <v>2</v>
      </c>
      <c r="I313" s="78">
        <v>308.7</v>
      </c>
      <c r="J313" s="78">
        <v>2395</v>
      </c>
      <c r="K313" s="78">
        <v>4266</v>
      </c>
      <c r="L313" s="78">
        <v>1484</v>
      </c>
      <c r="M313" s="78">
        <v>2211</v>
      </c>
      <c r="N313" s="78">
        <v>1457.1999999999998</v>
      </c>
      <c r="O313" s="78">
        <v>240.333333333333</v>
      </c>
      <c r="P313" s="78">
        <v>12</v>
      </c>
      <c r="Q313" s="78">
        <v>1175.3333333333301</v>
      </c>
      <c r="R313" s="78">
        <v>2404</v>
      </c>
      <c r="S313" s="78">
        <v>395</v>
      </c>
      <c r="T313" s="78">
        <v>0</v>
      </c>
      <c r="U313" s="78">
        <v>487</v>
      </c>
      <c r="V313" s="78">
        <v>7528</v>
      </c>
      <c r="W313" s="78">
        <v>13420</v>
      </c>
      <c r="X313" s="78">
        <v>4740</v>
      </c>
      <c r="Y313" s="78">
        <v>0</v>
      </c>
      <c r="Z313" s="78">
        <v>0</v>
      </c>
      <c r="AA313" s="78">
        <v>0</v>
      </c>
      <c r="AB313" s="399">
        <v>0</v>
      </c>
      <c r="AC313" s="399">
        <v>0</v>
      </c>
      <c r="AD313" s="78">
        <v>2103</v>
      </c>
      <c r="AE313" s="78">
        <v>2103</v>
      </c>
      <c r="AF313" s="78">
        <v>0</v>
      </c>
      <c r="AG313" s="78">
        <v>0</v>
      </c>
      <c r="AH313" s="78">
        <v>99</v>
      </c>
      <c r="AI313" s="78">
        <v>30</v>
      </c>
      <c r="AJ313" s="78">
        <v>99</v>
      </c>
      <c r="AK313" s="78">
        <v>30</v>
      </c>
      <c r="AL313" s="78">
        <v>129</v>
      </c>
      <c r="AM313" s="78">
        <v>7538</v>
      </c>
      <c r="AN313" s="78">
        <v>7538</v>
      </c>
      <c r="AO313" s="78">
        <v>0</v>
      </c>
      <c r="AP313" s="78">
        <v>0</v>
      </c>
      <c r="AQ313" s="78">
        <v>0</v>
      </c>
      <c r="AR313" s="78">
        <v>0</v>
      </c>
      <c r="AS313" s="78">
        <v>644</v>
      </c>
      <c r="AT313" s="78">
        <v>0</v>
      </c>
      <c r="AU313" s="400">
        <v>3.9243999999999998E-4</v>
      </c>
      <c r="AV313" s="400">
        <v>5.1533299999999998E-4</v>
      </c>
      <c r="AW313" s="78">
        <v>6723.8959999999997</v>
      </c>
      <c r="AX313" s="78">
        <v>0</v>
      </c>
      <c r="AY313" s="78">
        <v>77</v>
      </c>
      <c r="AZ313" s="78">
        <v>579.12933903946703</v>
      </c>
      <c r="BA313" s="78">
        <v>3</v>
      </c>
      <c r="BB313" s="78">
        <v>3</v>
      </c>
      <c r="BC313" s="78">
        <v>1925</v>
      </c>
      <c r="BD313" s="78">
        <v>1</v>
      </c>
      <c r="BE313" s="78">
        <v>0</v>
      </c>
      <c r="BF313" s="78">
        <v>0</v>
      </c>
      <c r="BG313" s="78">
        <v>0</v>
      </c>
      <c r="BH313" s="78">
        <v>0</v>
      </c>
      <c r="BI313" s="78">
        <v>0</v>
      </c>
      <c r="BJ313" s="78">
        <v>0</v>
      </c>
      <c r="BK313" s="78">
        <v>0</v>
      </c>
      <c r="BL313" s="78">
        <v>0</v>
      </c>
      <c r="BM313" s="78">
        <v>273.02999999999997</v>
      </c>
      <c r="BN313" s="78">
        <v>32</v>
      </c>
      <c r="BO313" s="78">
        <v>30</v>
      </c>
      <c r="BP313" s="78">
        <v>5088.0600000000004</v>
      </c>
      <c r="BQ313" s="78">
        <v>986</v>
      </c>
      <c r="BR313" s="78">
        <v>60.535762450418702</v>
      </c>
      <c r="BS313" s="78">
        <v>176</v>
      </c>
      <c r="BT313" s="78">
        <v>58.3333333333333</v>
      </c>
      <c r="BU313" s="78">
        <v>52</v>
      </c>
      <c r="BV313" s="78">
        <v>934.99999999999704</v>
      </c>
      <c r="BW313" s="78">
        <v>192</v>
      </c>
      <c r="BX313" s="78">
        <v>3517.1029921259801</v>
      </c>
      <c r="BY313" s="402">
        <v>0.59399999999999997</v>
      </c>
      <c r="BZ313" s="78">
        <v>11551</v>
      </c>
      <c r="CA313" s="78">
        <v>2280</v>
      </c>
      <c r="CB313" s="78">
        <v>502</v>
      </c>
      <c r="CC313" s="78">
        <v>471</v>
      </c>
      <c r="CD313" s="78">
        <v>447</v>
      </c>
      <c r="CE313" s="78">
        <v>243</v>
      </c>
      <c r="CF313" s="78">
        <v>272.37925179092599</v>
      </c>
      <c r="CG313" s="78">
        <v>194.66707349429601</v>
      </c>
      <c r="CH313" s="78">
        <v>69.399681613159999</v>
      </c>
      <c r="CI313" s="78">
        <v>627.28679999999997</v>
      </c>
      <c r="CJ313" s="78">
        <v>448.31639999999999</v>
      </c>
      <c r="CK313" s="78">
        <v>159.82679999999999</v>
      </c>
      <c r="CL313" s="78">
        <v>0</v>
      </c>
    </row>
    <row r="314" spans="1:90" x14ac:dyDescent="0.35">
      <c r="A314" s="72">
        <v>1954</v>
      </c>
      <c r="B314" s="72" t="s">
        <v>37</v>
      </c>
      <c r="C314" s="72">
        <v>11</v>
      </c>
      <c r="D314" s="78">
        <v>3466400000</v>
      </c>
      <c r="E314" s="78">
        <v>235200000</v>
      </c>
      <c r="F314" s="78">
        <v>266350000</v>
      </c>
      <c r="G314" s="78">
        <v>35922</v>
      </c>
      <c r="H314" s="78">
        <v>7</v>
      </c>
      <c r="I314" s="78">
        <v>266.35000000000002</v>
      </c>
      <c r="J314" s="78">
        <v>5699</v>
      </c>
      <c r="K314" s="78">
        <v>9568</v>
      </c>
      <c r="L314" s="78">
        <v>3344</v>
      </c>
      <c r="M314" s="78">
        <v>4899</v>
      </c>
      <c r="N314" s="78">
        <v>3213.2</v>
      </c>
      <c r="O314" s="78">
        <v>431.66666666666703</v>
      </c>
      <c r="P314" s="78">
        <v>36</v>
      </c>
      <c r="Q314" s="78">
        <v>2715.6666666666702</v>
      </c>
      <c r="R314" s="78">
        <v>4943</v>
      </c>
      <c r="S314" s="78">
        <v>650</v>
      </c>
      <c r="T314" s="78">
        <v>0</v>
      </c>
      <c r="U314" s="78">
        <v>1131</v>
      </c>
      <c r="V314" s="78">
        <v>16826</v>
      </c>
      <c r="W314" s="78">
        <v>25720</v>
      </c>
      <c r="X314" s="78">
        <v>4930</v>
      </c>
      <c r="Y314" s="78">
        <v>0</v>
      </c>
      <c r="Z314" s="78">
        <v>0</v>
      </c>
      <c r="AA314" s="78">
        <v>0</v>
      </c>
      <c r="AB314" s="399">
        <v>0</v>
      </c>
      <c r="AC314" s="399">
        <v>0</v>
      </c>
      <c r="AD314" s="78">
        <v>7831</v>
      </c>
      <c r="AE314" s="78">
        <v>7831</v>
      </c>
      <c r="AF314" s="78">
        <v>18</v>
      </c>
      <c r="AG314" s="78">
        <v>0</v>
      </c>
      <c r="AH314" s="78">
        <v>244</v>
      </c>
      <c r="AI314" s="78">
        <v>37</v>
      </c>
      <c r="AJ314" s="78">
        <v>244</v>
      </c>
      <c r="AK314" s="78">
        <v>37</v>
      </c>
      <c r="AL314" s="78">
        <v>281</v>
      </c>
      <c r="AM314" s="78">
        <v>16858</v>
      </c>
      <c r="AN314" s="78">
        <v>16858</v>
      </c>
      <c r="AO314" s="78">
        <v>0</v>
      </c>
      <c r="AP314" s="78">
        <v>0</v>
      </c>
      <c r="AQ314" s="78">
        <v>0</v>
      </c>
      <c r="AR314" s="78">
        <v>0</v>
      </c>
      <c r="AS314" s="78">
        <v>519</v>
      </c>
      <c r="AT314" s="78">
        <v>0</v>
      </c>
      <c r="AU314" s="400">
        <v>9.7348599999999997E-4</v>
      </c>
      <c r="AV314" s="400">
        <v>5.1974499999999995E-4</v>
      </c>
      <c r="AW314" s="78">
        <v>8429</v>
      </c>
      <c r="AX314" s="78">
        <v>0</v>
      </c>
      <c r="AY314" s="78">
        <v>481</v>
      </c>
      <c r="AZ314" s="78">
        <v>2201.3609376990698</v>
      </c>
      <c r="BA314" s="78">
        <v>12</v>
      </c>
      <c r="BB314" s="78">
        <v>12</v>
      </c>
      <c r="BC314" s="78">
        <v>3860</v>
      </c>
      <c r="BD314" s="78">
        <v>1</v>
      </c>
      <c r="BE314" s="78">
        <v>0</v>
      </c>
      <c r="BF314" s="78">
        <v>0</v>
      </c>
      <c r="BG314" s="78">
        <v>0</v>
      </c>
      <c r="BH314" s="78">
        <v>0</v>
      </c>
      <c r="BI314" s="78">
        <v>0</v>
      </c>
      <c r="BJ314" s="78">
        <v>0</v>
      </c>
      <c r="BK314" s="78">
        <v>0</v>
      </c>
      <c r="BL314" s="78">
        <v>0</v>
      </c>
      <c r="BM314" s="78">
        <v>592.69600000000003</v>
      </c>
      <c r="BN314" s="78">
        <v>55</v>
      </c>
      <c r="BO314" s="78">
        <v>53</v>
      </c>
      <c r="BP314" s="78">
        <v>11077.2</v>
      </c>
      <c r="BQ314" s="78">
        <v>2273.98</v>
      </c>
      <c r="BR314" s="78">
        <v>163.66111299434999</v>
      </c>
      <c r="BS314" s="78">
        <v>351</v>
      </c>
      <c r="BT314" s="78">
        <v>117.666666666667</v>
      </c>
      <c r="BU314" s="78">
        <v>94.3333333333333</v>
      </c>
      <c r="BV314" s="78">
        <v>2284.0000000000032</v>
      </c>
      <c r="BW314" s="78">
        <v>447</v>
      </c>
      <c r="BX314" s="78">
        <v>7461.4969194509904</v>
      </c>
      <c r="BY314" s="402">
        <v>1.0129999999999999</v>
      </c>
      <c r="BZ314" s="78">
        <v>26354</v>
      </c>
      <c r="CA314" s="78">
        <v>5187</v>
      </c>
      <c r="CB314" s="78">
        <v>1037</v>
      </c>
      <c r="CC314" s="78">
        <v>915</v>
      </c>
      <c r="CD314" s="78">
        <v>1009</v>
      </c>
      <c r="CE314" s="78">
        <v>467</v>
      </c>
      <c r="CF314" s="78">
        <v>596.20889785265194</v>
      </c>
      <c r="CG314" s="78">
        <v>435.529837465892</v>
      </c>
      <c r="CH314" s="78">
        <v>133.61331118756701</v>
      </c>
      <c r="CI314" s="78">
        <v>1392.5856000000001</v>
      </c>
      <c r="CJ314" s="78">
        <v>1017.282</v>
      </c>
      <c r="CK314" s="78">
        <v>312.08519999999999</v>
      </c>
      <c r="CL314" s="78">
        <v>13627</v>
      </c>
    </row>
    <row r="315" spans="1:90" x14ac:dyDescent="0.35">
      <c r="A315" s="72">
        <v>889</v>
      </c>
      <c r="B315" s="72" t="s">
        <v>39</v>
      </c>
      <c r="C315" s="72">
        <v>11</v>
      </c>
      <c r="D315" s="78">
        <v>1230800000</v>
      </c>
      <c r="E315" s="78">
        <v>106750000</v>
      </c>
      <c r="F315" s="78">
        <v>114100000</v>
      </c>
      <c r="G315" s="78">
        <v>13408</v>
      </c>
      <c r="H315" s="78">
        <v>1</v>
      </c>
      <c r="I315" s="78">
        <v>114.1</v>
      </c>
      <c r="J315" s="78">
        <v>2257</v>
      </c>
      <c r="K315" s="78">
        <v>3326</v>
      </c>
      <c r="L315" s="78">
        <v>1086</v>
      </c>
      <c r="M315" s="78">
        <v>1860</v>
      </c>
      <c r="N315" s="78">
        <v>1201.3</v>
      </c>
      <c r="O315" s="78">
        <v>184.333333333333</v>
      </c>
      <c r="P315" s="78">
        <v>19</v>
      </c>
      <c r="Q315" s="78">
        <v>890.33333333333303</v>
      </c>
      <c r="R315" s="78">
        <v>1817</v>
      </c>
      <c r="S315" s="78">
        <v>570</v>
      </c>
      <c r="T315" s="78">
        <v>0</v>
      </c>
      <c r="U315" s="78">
        <v>400</v>
      </c>
      <c r="V315" s="78">
        <v>6081</v>
      </c>
      <c r="W315" s="78">
        <v>13950</v>
      </c>
      <c r="X315" s="78">
        <v>8780</v>
      </c>
      <c r="Y315" s="78">
        <v>0</v>
      </c>
      <c r="Z315" s="78">
        <v>285.60000000000002</v>
      </c>
      <c r="AA315" s="78">
        <v>0</v>
      </c>
      <c r="AB315" s="399">
        <v>0</v>
      </c>
      <c r="AC315" s="399">
        <v>14.899999999999977</v>
      </c>
      <c r="AD315" s="78">
        <v>2773</v>
      </c>
      <c r="AE315" s="78">
        <v>2773</v>
      </c>
      <c r="AF315" s="78">
        <v>142</v>
      </c>
      <c r="AG315" s="78">
        <v>0</v>
      </c>
      <c r="AH315" s="78">
        <v>96</v>
      </c>
      <c r="AI315" s="78">
        <v>14</v>
      </c>
      <c r="AJ315" s="78">
        <v>96</v>
      </c>
      <c r="AK315" s="78">
        <v>14</v>
      </c>
      <c r="AL315" s="78">
        <v>110</v>
      </c>
      <c r="AM315" s="78">
        <v>6587</v>
      </c>
      <c r="AN315" s="78">
        <v>6587</v>
      </c>
      <c r="AO315" s="78">
        <v>0</v>
      </c>
      <c r="AP315" s="78">
        <v>0</v>
      </c>
      <c r="AQ315" s="78">
        <v>0</v>
      </c>
      <c r="AR315" s="78">
        <v>0</v>
      </c>
      <c r="AS315" s="78">
        <v>0</v>
      </c>
      <c r="AT315" s="78">
        <v>0</v>
      </c>
      <c r="AU315" s="400">
        <v>2.4515099999999998E-4</v>
      </c>
      <c r="AV315" s="400">
        <v>1.3544699999999999E-4</v>
      </c>
      <c r="AW315" s="78">
        <v>4992.9459999999999</v>
      </c>
      <c r="AX315" s="78">
        <v>0</v>
      </c>
      <c r="AY315" s="78">
        <v>352</v>
      </c>
      <c r="AZ315" s="78">
        <v>1619.0792452830201</v>
      </c>
      <c r="BA315" s="78">
        <v>3</v>
      </c>
      <c r="BB315" s="78">
        <v>3</v>
      </c>
      <c r="BC315" s="78">
        <v>1170</v>
      </c>
      <c r="BD315" s="78">
        <v>1</v>
      </c>
      <c r="BE315" s="78">
        <v>0</v>
      </c>
      <c r="BF315" s="78">
        <v>0</v>
      </c>
      <c r="BG315" s="78">
        <v>0</v>
      </c>
      <c r="BH315" s="78">
        <v>0</v>
      </c>
      <c r="BI315" s="78">
        <v>0</v>
      </c>
      <c r="BJ315" s="78">
        <v>0</v>
      </c>
      <c r="BK315" s="78">
        <v>0</v>
      </c>
      <c r="BL315" s="78">
        <v>0</v>
      </c>
      <c r="BM315" s="78">
        <v>209.90100000000001</v>
      </c>
      <c r="BN315" s="78">
        <v>47</v>
      </c>
      <c r="BO315" s="78">
        <v>17</v>
      </c>
      <c r="BP315" s="78">
        <v>3706.98</v>
      </c>
      <c r="BQ315" s="78">
        <v>789</v>
      </c>
      <c r="BR315" s="78">
        <v>70.340204724409503</v>
      </c>
      <c r="BS315" s="78">
        <v>150</v>
      </c>
      <c r="BT315" s="78">
        <v>53.6666666666667</v>
      </c>
      <c r="BU315" s="78">
        <v>50</v>
      </c>
      <c r="BV315" s="78">
        <v>706</v>
      </c>
      <c r="BW315" s="78">
        <v>217</v>
      </c>
      <c r="BX315" s="78">
        <v>2776.3033457249098</v>
      </c>
      <c r="BY315" s="402">
        <v>0.46100000000000002</v>
      </c>
      <c r="BZ315" s="78">
        <v>10082</v>
      </c>
      <c r="CA315" s="78">
        <v>1870</v>
      </c>
      <c r="CB315" s="78">
        <v>370</v>
      </c>
      <c r="CC315" s="78">
        <v>365</v>
      </c>
      <c r="CD315" s="78">
        <v>347</v>
      </c>
      <c r="CE315" s="78">
        <v>218</v>
      </c>
      <c r="CF315" s="78">
        <v>209.36578108395301</v>
      </c>
      <c r="CG315" s="78">
        <v>139.334021557613</v>
      </c>
      <c r="CH315" s="78">
        <v>53.4356915135874</v>
      </c>
      <c r="CI315" s="78">
        <v>582.49519999999995</v>
      </c>
      <c r="CJ315" s="78">
        <v>387.65359999999998</v>
      </c>
      <c r="CK315" s="78">
        <v>148.66820000000001</v>
      </c>
      <c r="CL315" s="78">
        <v>0</v>
      </c>
    </row>
    <row r="316" spans="1:90" x14ac:dyDescent="0.35">
      <c r="A316" s="72">
        <v>893</v>
      </c>
      <c r="B316" s="72" t="s">
        <v>639</v>
      </c>
      <c r="C316" s="72">
        <v>11</v>
      </c>
      <c r="D316" s="78">
        <v>1260000000</v>
      </c>
      <c r="E316" s="78">
        <v>131950000</v>
      </c>
      <c r="F316" s="78">
        <v>145950000</v>
      </c>
      <c r="G316" s="78">
        <v>13106</v>
      </c>
      <c r="H316" s="78">
        <v>4</v>
      </c>
      <c r="I316" s="78">
        <v>145.94999999999999</v>
      </c>
      <c r="J316" s="78">
        <v>2073</v>
      </c>
      <c r="K316" s="78">
        <v>3259</v>
      </c>
      <c r="L316" s="78">
        <v>997</v>
      </c>
      <c r="M316" s="78">
        <v>1762</v>
      </c>
      <c r="N316" s="78">
        <v>1177.3</v>
      </c>
      <c r="O316" s="78">
        <v>150.333333333333</v>
      </c>
      <c r="P316" s="78">
        <v>16</v>
      </c>
      <c r="Q316" s="78">
        <v>877.33333333333303</v>
      </c>
      <c r="R316" s="78">
        <v>1662</v>
      </c>
      <c r="S316" s="78">
        <v>160</v>
      </c>
      <c r="T316" s="78">
        <v>0</v>
      </c>
      <c r="U316" s="78">
        <v>338</v>
      </c>
      <c r="V316" s="78">
        <v>5869</v>
      </c>
      <c r="W316" s="78">
        <v>11040</v>
      </c>
      <c r="X316" s="78">
        <v>1300</v>
      </c>
      <c r="Y316" s="78">
        <v>0</v>
      </c>
      <c r="Z316" s="78">
        <v>0</v>
      </c>
      <c r="AA316" s="78">
        <v>0</v>
      </c>
      <c r="AB316" s="399">
        <v>0</v>
      </c>
      <c r="AC316" s="399">
        <v>0</v>
      </c>
      <c r="AD316" s="78">
        <v>10264</v>
      </c>
      <c r="AE316" s="78">
        <v>10264</v>
      </c>
      <c r="AF316" s="78">
        <v>585</v>
      </c>
      <c r="AG316" s="78">
        <v>0</v>
      </c>
      <c r="AH316" s="78">
        <v>76</v>
      </c>
      <c r="AI316" s="78">
        <v>63</v>
      </c>
      <c r="AJ316" s="78">
        <v>76</v>
      </c>
      <c r="AK316" s="78">
        <v>63</v>
      </c>
      <c r="AL316" s="78">
        <v>139</v>
      </c>
      <c r="AM316" s="78">
        <v>5847</v>
      </c>
      <c r="AN316" s="78">
        <v>5847</v>
      </c>
      <c r="AO316" s="78">
        <v>0</v>
      </c>
      <c r="AP316" s="78">
        <v>0</v>
      </c>
      <c r="AQ316" s="78">
        <v>0</v>
      </c>
      <c r="AR316" s="78">
        <v>0</v>
      </c>
      <c r="AS316" s="78">
        <v>0</v>
      </c>
      <c r="AT316" s="78">
        <v>0</v>
      </c>
      <c r="AU316" s="400">
        <v>1.9296600000000001E-4</v>
      </c>
      <c r="AV316" s="400">
        <v>1.29309E-4</v>
      </c>
      <c r="AW316" s="78">
        <v>1859.346</v>
      </c>
      <c r="AX316" s="78">
        <v>0</v>
      </c>
      <c r="AY316" s="78">
        <v>1442</v>
      </c>
      <c r="AZ316" s="78">
        <v>1741.9902295142399</v>
      </c>
      <c r="BA316" s="78">
        <v>11</v>
      </c>
      <c r="BB316" s="78">
        <v>11</v>
      </c>
      <c r="BC316" s="78">
        <v>1360</v>
      </c>
      <c r="BD316" s="78">
        <v>1</v>
      </c>
      <c r="BE316" s="78">
        <v>0</v>
      </c>
      <c r="BF316" s="78">
        <v>0</v>
      </c>
      <c r="BG316" s="78">
        <v>0</v>
      </c>
      <c r="BH316" s="78">
        <v>0</v>
      </c>
      <c r="BI316" s="78">
        <v>0</v>
      </c>
      <c r="BJ316" s="78">
        <v>0</v>
      </c>
      <c r="BK316" s="78">
        <v>0</v>
      </c>
      <c r="BL316" s="78">
        <v>0</v>
      </c>
      <c r="BM316" s="78">
        <v>174.13200000000001</v>
      </c>
      <c r="BN316" s="78">
        <v>42</v>
      </c>
      <c r="BO316" s="78">
        <v>23</v>
      </c>
      <c r="BP316" s="78">
        <v>3547.64</v>
      </c>
      <c r="BQ316" s="78">
        <v>700.89</v>
      </c>
      <c r="BR316" s="78">
        <v>57.459307692307704</v>
      </c>
      <c r="BS316" s="78">
        <v>120</v>
      </c>
      <c r="BT316" s="78">
        <v>43.3333333333333</v>
      </c>
      <c r="BU316" s="78">
        <v>33</v>
      </c>
      <c r="BV316" s="78">
        <v>727</v>
      </c>
      <c r="BW316" s="78">
        <v>169</v>
      </c>
      <c r="BX316" s="78">
        <v>2905.5966005492801</v>
      </c>
      <c r="BY316" s="402">
        <v>0.23699999999999999</v>
      </c>
      <c r="BZ316" s="78">
        <v>9847</v>
      </c>
      <c r="CA316" s="78">
        <v>1942</v>
      </c>
      <c r="CB316" s="78">
        <v>320</v>
      </c>
      <c r="CC316" s="78">
        <v>353</v>
      </c>
      <c r="CD316" s="78">
        <v>308</v>
      </c>
      <c r="CE316" s="78">
        <v>177</v>
      </c>
      <c r="CF316" s="78">
        <v>238.60107747562799</v>
      </c>
      <c r="CG316" s="78">
        <v>136.31470839746899</v>
      </c>
      <c r="CH316" s="78">
        <v>50.941833418847303</v>
      </c>
      <c r="CI316" s="78">
        <v>596.05499999999995</v>
      </c>
      <c r="CJ316" s="78">
        <v>340.53100000000001</v>
      </c>
      <c r="CK316" s="78">
        <v>127.259</v>
      </c>
      <c r="CL316" s="78">
        <v>8760</v>
      </c>
    </row>
    <row r="317" spans="1:90" x14ac:dyDescent="0.35">
      <c r="A317" s="72">
        <v>899</v>
      </c>
      <c r="B317" s="72" t="s">
        <v>64</v>
      </c>
      <c r="C317" s="72">
        <v>11</v>
      </c>
      <c r="D317" s="78">
        <v>2187200000</v>
      </c>
      <c r="E317" s="78">
        <v>251300000</v>
      </c>
      <c r="F317" s="78">
        <v>256550000</v>
      </c>
      <c r="G317" s="78">
        <v>27674</v>
      </c>
      <c r="H317" s="78">
        <v>1</v>
      </c>
      <c r="I317" s="78">
        <v>256.55</v>
      </c>
      <c r="J317" s="78">
        <v>4202</v>
      </c>
      <c r="K317" s="78">
        <v>7215</v>
      </c>
      <c r="L317" s="78">
        <v>2476</v>
      </c>
      <c r="M317" s="78">
        <v>5445</v>
      </c>
      <c r="N317" s="78">
        <v>3963.8</v>
      </c>
      <c r="O317" s="78">
        <v>746.66666666666697</v>
      </c>
      <c r="P317" s="78">
        <v>64</v>
      </c>
      <c r="Q317" s="78">
        <v>3592.6666666666702</v>
      </c>
      <c r="R317" s="78">
        <v>5433</v>
      </c>
      <c r="S317" s="78">
        <v>895</v>
      </c>
      <c r="T317" s="78">
        <v>0</v>
      </c>
      <c r="U317" s="78">
        <v>1144</v>
      </c>
      <c r="V317" s="78">
        <v>14130</v>
      </c>
      <c r="W317" s="78">
        <v>28760</v>
      </c>
      <c r="X317" s="78">
        <v>23880</v>
      </c>
      <c r="Y317" s="78">
        <v>158.4</v>
      </c>
      <c r="Z317" s="78">
        <v>571.20000000000005</v>
      </c>
      <c r="AA317" s="78">
        <v>0</v>
      </c>
      <c r="AB317" s="399">
        <v>0</v>
      </c>
      <c r="AC317" s="399">
        <v>0</v>
      </c>
      <c r="AD317" s="78">
        <v>1725</v>
      </c>
      <c r="AE317" s="78">
        <v>1725</v>
      </c>
      <c r="AF317" s="78">
        <v>9</v>
      </c>
      <c r="AG317" s="78">
        <v>0</v>
      </c>
      <c r="AH317" s="78">
        <v>156</v>
      </c>
      <c r="AI317" s="78">
        <v>17</v>
      </c>
      <c r="AJ317" s="78">
        <v>156</v>
      </c>
      <c r="AK317" s="78">
        <v>17</v>
      </c>
      <c r="AL317" s="78">
        <v>174</v>
      </c>
      <c r="AM317" s="78">
        <v>14812</v>
      </c>
      <c r="AN317" s="78">
        <v>14812</v>
      </c>
      <c r="AO317" s="78">
        <v>0</v>
      </c>
      <c r="AP317" s="78">
        <v>0</v>
      </c>
      <c r="AQ317" s="78">
        <v>0</v>
      </c>
      <c r="AR317" s="78">
        <v>0</v>
      </c>
      <c r="AS317" s="78">
        <v>3867</v>
      </c>
      <c r="AT317" s="78">
        <v>0</v>
      </c>
      <c r="AU317" s="400">
        <v>1.477587E-3</v>
      </c>
      <c r="AV317" s="400">
        <v>2.2267609999999998E-3</v>
      </c>
      <c r="AW317" s="78">
        <v>24721.227999999999</v>
      </c>
      <c r="AX317" s="78">
        <v>0</v>
      </c>
      <c r="AY317" s="78">
        <v>163</v>
      </c>
      <c r="AZ317" s="78">
        <v>2601.41983852364</v>
      </c>
      <c r="BA317" s="78">
        <v>1</v>
      </c>
      <c r="BB317" s="78">
        <v>1</v>
      </c>
      <c r="BC317" s="78">
        <v>2040</v>
      </c>
      <c r="BD317" s="78">
        <v>1</v>
      </c>
      <c r="BE317" s="78">
        <v>0</v>
      </c>
      <c r="BF317" s="78">
        <v>0</v>
      </c>
      <c r="BG317" s="78">
        <v>0</v>
      </c>
      <c r="BH317" s="78">
        <v>0</v>
      </c>
      <c r="BI317" s="78">
        <v>0</v>
      </c>
      <c r="BJ317" s="78">
        <v>0</v>
      </c>
      <c r="BK317" s="78">
        <v>0</v>
      </c>
      <c r="BL317" s="78">
        <v>0</v>
      </c>
      <c r="BM317" s="78">
        <v>844.60199999999998</v>
      </c>
      <c r="BN317" s="78">
        <v>123</v>
      </c>
      <c r="BO317" s="78">
        <v>92</v>
      </c>
      <c r="BP317" s="78">
        <v>7388.82</v>
      </c>
      <c r="BQ317" s="78">
        <v>1318.2</v>
      </c>
      <c r="BR317" s="78">
        <v>185.615433808554</v>
      </c>
      <c r="BS317" s="78">
        <v>361</v>
      </c>
      <c r="BT317" s="78">
        <v>182.333333333333</v>
      </c>
      <c r="BU317" s="78">
        <v>190.666666666667</v>
      </c>
      <c r="BV317" s="78">
        <v>2846.0000000000032</v>
      </c>
      <c r="BW317" s="78">
        <v>624</v>
      </c>
      <c r="BX317" s="78">
        <v>7449.6767762920099</v>
      </c>
      <c r="BY317" s="402">
        <v>2.0779999999999998</v>
      </c>
      <c r="BZ317" s="78">
        <v>20459</v>
      </c>
      <c r="CA317" s="78">
        <v>3924</v>
      </c>
      <c r="CB317" s="78">
        <v>815</v>
      </c>
      <c r="CC317" s="78">
        <v>1017</v>
      </c>
      <c r="CD317" s="78">
        <v>906</v>
      </c>
      <c r="CE317" s="78">
        <v>457</v>
      </c>
      <c r="CF317" s="78">
        <v>674.37051039697599</v>
      </c>
      <c r="CG317" s="78">
        <v>471.524142587092</v>
      </c>
      <c r="CH317" s="78">
        <v>158.691155819606</v>
      </c>
      <c r="CI317" s="78">
        <v>1507.7159999999999</v>
      </c>
      <c r="CJ317" s="78">
        <v>1054.2046</v>
      </c>
      <c r="CK317" s="78">
        <v>354.7919</v>
      </c>
      <c r="CL317" s="78">
        <v>26592</v>
      </c>
    </row>
    <row r="318" spans="1:90" x14ac:dyDescent="0.35">
      <c r="A318" s="72">
        <v>1711</v>
      </c>
      <c r="B318" s="72" t="s">
        <v>96</v>
      </c>
      <c r="C318" s="72">
        <v>11</v>
      </c>
      <c r="D318" s="78">
        <v>3048400000</v>
      </c>
      <c r="E318" s="78">
        <v>378350000</v>
      </c>
      <c r="F318" s="78">
        <v>411600000</v>
      </c>
      <c r="G318" s="78">
        <v>31731</v>
      </c>
      <c r="H318" s="78">
        <v>5</v>
      </c>
      <c r="I318" s="78">
        <v>411.6</v>
      </c>
      <c r="J318" s="78">
        <v>4762</v>
      </c>
      <c r="K318" s="78">
        <v>8490</v>
      </c>
      <c r="L318" s="78">
        <v>2781</v>
      </c>
      <c r="M318" s="78">
        <v>4598</v>
      </c>
      <c r="N318" s="78">
        <v>3016.5</v>
      </c>
      <c r="O318" s="78">
        <v>430.33333333333297</v>
      </c>
      <c r="P318" s="78">
        <v>41</v>
      </c>
      <c r="Q318" s="78">
        <v>2735.3333333333298</v>
      </c>
      <c r="R318" s="78">
        <v>4683</v>
      </c>
      <c r="S318" s="78">
        <v>620</v>
      </c>
      <c r="T318" s="78">
        <v>0</v>
      </c>
      <c r="U318" s="78">
        <v>932</v>
      </c>
      <c r="V318" s="78">
        <v>15289</v>
      </c>
      <c r="W318" s="78">
        <v>29550</v>
      </c>
      <c r="X318" s="78">
        <v>16730</v>
      </c>
      <c r="Y318" s="78">
        <v>251.46</v>
      </c>
      <c r="Z318" s="78">
        <v>1071.2</v>
      </c>
      <c r="AA318" s="78">
        <v>0</v>
      </c>
      <c r="AB318" s="399">
        <v>0</v>
      </c>
      <c r="AC318" s="399">
        <v>0</v>
      </c>
      <c r="AD318" s="78">
        <v>10267</v>
      </c>
      <c r="AE318" s="78">
        <v>10267</v>
      </c>
      <c r="AF318" s="78">
        <v>195</v>
      </c>
      <c r="AG318" s="78">
        <v>0</v>
      </c>
      <c r="AH318" s="78">
        <v>232</v>
      </c>
      <c r="AI318" s="78">
        <v>76</v>
      </c>
      <c r="AJ318" s="78">
        <v>232</v>
      </c>
      <c r="AK318" s="78">
        <v>76</v>
      </c>
      <c r="AL318" s="78">
        <v>308</v>
      </c>
      <c r="AM318" s="78">
        <v>15815</v>
      </c>
      <c r="AN318" s="78">
        <v>15815</v>
      </c>
      <c r="AO318" s="78">
        <v>29</v>
      </c>
      <c r="AP318" s="78">
        <v>0</v>
      </c>
      <c r="AQ318" s="78">
        <v>0</v>
      </c>
      <c r="AR318" s="78">
        <v>0</v>
      </c>
      <c r="AS318" s="78">
        <v>572</v>
      </c>
      <c r="AT318" s="78">
        <v>572</v>
      </c>
      <c r="AU318" s="400">
        <v>7.6928999999999995E-4</v>
      </c>
      <c r="AV318" s="400">
        <v>4.4813299999999997E-4</v>
      </c>
      <c r="AW318" s="78">
        <v>11323.54</v>
      </c>
      <c r="AX318" s="78">
        <v>0</v>
      </c>
      <c r="AY318" s="78">
        <v>999</v>
      </c>
      <c r="AZ318" s="78">
        <v>3029.9435098451499</v>
      </c>
      <c r="BA318" s="78">
        <v>11</v>
      </c>
      <c r="BB318" s="78">
        <v>11</v>
      </c>
      <c r="BC318" s="78">
        <v>3670</v>
      </c>
      <c r="BD318" s="78">
        <v>1</v>
      </c>
      <c r="BE318" s="78">
        <v>0</v>
      </c>
      <c r="BF318" s="78">
        <v>0</v>
      </c>
      <c r="BG318" s="78">
        <v>0</v>
      </c>
      <c r="BH318" s="78">
        <v>0</v>
      </c>
      <c r="BI318" s="78">
        <v>0</v>
      </c>
      <c r="BJ318" s="78">
        <v>0</v>
      </c>
      <c r="BK318" s="78">
        <v>0</v>
      </c>
      <c r="BL318" s="78">
        <v>0</v>
      </c>
      <c r="BM318" s="78">
        <v>528.58199999999999</v>
      </c>
      <c r="BN318" s="78">
        <v>53</v>
      </c>
      <c r="BO318" s="78">
        <v>94</v>
      </c>
      <c r="BP318" s="78">
        <v>9203.2000000000007</v>
      </c>
      <c r="BQ318" s="78">
        <v>1800.96</v>
      </c>
      <c r="BR318" s="78">
        <v>138.676295429455</v>
      </c>
      <c r="BS318" s="78">
        <v>310</v>
      </c>
      <c r="BT318" s="78">
        <v>117.333333333333</v>
      </c>
      <c r="BU318" s="78">
        <v>84.3333333333333</v>
      </c>
      <c r="BV318" s="78">
        <v>2304.9999999999968</v>
      </c>
      <c r="BW318" s="78">
        <v>589</v>
      </c>
      <c r="BX318" s="78">
        <v>7297.2805354162101</v>
      </c>
      <c r="BY318" s="402">
        <v>0.81699999999999995</v>
      </c>
      <c r="BZ318" s="78">
        <v>23241</v>
      </c>
      <c r="CA318" s="78">
        <v>4806</v>
      </c>
      <c r="CB318" s="78">
        <v>903</v>
      </c>
      <c r="CC318" s="78">
        <v>972</v>
      </c>
      <c r="CD318" s="78">
        <v>869</v>
      </c>
      <c r="CE318" s="78">
        <v>405</v>
      </c>
      <c r="CF318" s="78">
        <v>564.77119822952898</v>
      </c>
      <c r="CG318" s="78">
        <v>357.82194119506801</v>
      </c>
      <c r="CH318" s="78">
        <v>115.586405311413</v>
      </c>
      <c r="CI318" s="78">
        <v>1389.3012000000001</v>
      </c>
      <c r="CJ318" s="78">
        <v>880.2192</v>
      </c>
      <c r="CK318" s="78">
        <v>284.33519999999999</v>
      </c>
      <c r="CL318" s="78">
        <v>145313</v>
      </c>
    </row>
    <row r="319" spans="1:90" x14ac:dyDescent="0.35">
      <c r="A319" s="72">
        <v>1903</v>
      </c>
      <c r="B319" s="72" t="s">
        <v>101</v>
      </c>
      <c r="C319" s="72">
        <v>11</v>
      </c>
      <c r="D319" s="78">
        <v>2878000000</v>
      </c>
      <c r="E319" s="78">
        <v>254100000</v>
      </c>
      <c r="F319" s="78">
        <v>274400000</v>
      </c>
      <c r="G319" s="78">
        <v>25857</v>
      </c>
      <c r="H319" s="78">
        <v>5</v>
      </c>
      <c r="I319" s="78">
        <v>274.39999999999998</v>
      </c>
      <c r="J319" s="78">
        <v>4494</v>
      </c>
      <c r="K319" s="78">
        <v>6754</v>
      </c>
      <c r="L319" s="78">
        <v>2316</v>
      </c>
      <c r="M319" s="78">
        <v>2680</v>
      </c>
      <c r="N319" s="78">
        <v>1488.3999999999999</v>
      </c>
      <c r="O319" s="78">
        <v>214.666666666667</v>
      </c>
      <c r="P319" s="78">
        <v>8</v>
      </c>
      <c r="Q319" s="78">
        <v>1302.6666666666699</v>
      </c>
      <c r="R319" s="78">
        <v>3129</v>
      </c>
      <c r="S319" s="78">
        <v>320</v>
      </c>
      <c r="T319" s="78">
        <v>0</v>
      </c>
      <c r="U319" s="78">
        <v>599</v>
      </c>
      <c r="V319" s="78">
        <v>11611</v>
      </c>
      <c r="W319" s="78">
        <v>18040</v>
      </c>
      <c r="X319" s="78">
        <v>3210</v>
      </c>
      <c r="Y319" s="78">
        <v>245.66</v>
      </c>
      <c r="Z319" s="78">
        <v>0</v>
      </c>
      <c r="AA319" s="78">
        <v>0</v>
      </c>
      <c r="AB319" s="399">
        <v>0</v>
      </c>
      <c r="AC319" s="399">
        <v>0</v>
      </c>
      <c r="AD319" s="78">
        <v>7755</v>
      </c>
      <c r="AE319" s="78">
        <v>7755</v>
      </c>
      <c r="AF319" s="78">
        <v>122</v>
      </c>
      <c r="AG319" s="78">
        <v>0</v>
      </c>
      <c r="AH319" s="78">
        <v>187</v>
      </c>
      <c r="AI319" s="78">
        <v>39</v>
      </c>
      <c r="AJ319" s="78">
        <v>187</v>
      </c>
      <c r="AK319" s="78">
        <v>39</v>
      </c>
      <c r="AL319" s="78">
        <v>226</v>
      </c>
      <c r="AM319" s="78">
        <v>11916</v>
      </c>
      <c r="AN319" s="78">
        <v>11916</v>
      </c>
      <c r="AO319" s="78">
        <v>0</v>
      </c>
      <c r="AP319" s="78">
        <v>0</v>
      </c>
      <c r="AQ319" s="78">
        <v>0</v>
      </c>
      <c r="AR319" s="78">
        <v>0</v>
      </c>
      <c r="AS319" s="78">
        <v>0</v>
      </c>
      <c r="AT319" s="78">
        <v>0</v>
      </c>
      <c r="AU319" s="400">
        <v>6.6093399999999996E-4</v>
      </c>
      <c r="AV319" s="400">
        <v>2.08381E-4</v>
      </c>
      <c r="AW319" s="78">
        <v>5564.7719999999999</v>
      </c>
      <c r="AX319" s="78">
        <v>0</v>
      </c>
      <c r="AY319" s="78">
        <v>297</v>
      </c>
      <c r="AZ319" s="78">
        <v>974.930684270661</v>
      </c>
      <c r="BA319" s="78">
        <v>21</v>
      </c>
      <c r="BB319" s="78">
        <v>21</v>
      </c>
      <c r="BC319" s="78">
        <v>3080</v>
      </c>
      <c r="BD319" s="78">
        <v>1</v>
      </c>
      <c r="BE319" s="78">
        <v>0</v>
      </c>
      <c r="BF319" s="78">
        <v>0</v>
      </c>
      <c r="BG319" s="78">
        <v>0</v>
      </c>
      <c r="BH319" s="78">
        <v>0</v>
      </c>
      <c r="BI319" s="78">
        <v>0</v>
      </c>
      <c r="BJ319" s="78">
        <v>0</v>
      </c>
      <c r="BK319" s="78">
        <v>0</v>
      </c>
      <c r="BL319" s="78">
        <v>0</v>
      </c>
      <c r="BM319" s="78">
        <v>341.54399999999998</v>
      </c>
      <c r="BN319" s="78">
        <v>29</v>
      </c>
      <c r="BO319" s="78">
        <v>34</v>
      </c>
      <c r="BP319" s="78">
        <v>8446.5</v>
      </c>
      <c r="BQ319" s="78">
        <v>1900.5</v>
      </c>
      <c r="BR319" s="78">
        <v>111.422758425521</v>
      </c>
      <c r="BS319" s="78">
        <v>183</v>
      </c>
      <c r="BT319" s="78">
        <v>61.3333333333333</v>
      </c>
      <c r="BU319" s="78">
        <v>37</v>
      </c>
      <c r="BV319" s="78">
        <v>1088.000000000003</v>
      </c>
      <c r="BW319" s="78">
        <v>201</v>
      </c>
      <c r="BX319" s="78">
        <v>4512.4957528957502</v>
      </c>
      <c r="BY319" s="402">
        <v>0.32400000000000001</v>
      </c>
      <c r="BZ319" s="78">
        <v>19103</v>
      </c>
      <c r="CA319" s="78">
        <v>3697</v>
      </c>
      <c r="CB319" s="78">
        <v>741</v>
      </c>
      <c r="CC319" s="78">
        <v>612</v>
      </c>
      <c r="CD319" s="78">
        <v>640</v>
      </c>
      <c r="CE319" s="78">
        <v>317</v>
      </c>
      <c r="CF319" s="78">
        <v>281.41701913393803</v>
      </c>
      <c r="CG319" s="78">
        <v>191.858207452165</v>
      </c>
      <c r="CH319" s="78">
        <v>63.203289694528401</v>
      </c>
      <c r="CI319" s="78">
        <v>855.23879999999997</v>
      </c>
      <c r="CJ319" s="78">
        <v>583.06560000000002</v>
      </c>
      <c r="CK319" s="78">
        <v>192.07759999999999</v>
      </c>
      <c r="CL319" s="78">
        <v>0</v>
      </c>
    </row>
    <row r="320" spans="1:90" x14ac:dyDescent="0.35">
      <c r="A320" s="72">
        <v>907</v>
      </c>
      <c r="B320" s="72" t="s">
        <v>113</v>
      </c>
      <c r="C320" s="72">
        <v>11</v>
      </c>
      <c r="D320" s="78">
        <v>1782000000</v>
      </c>
      <c r="E320" s="78">
        <v>254800000</v>
      </c>
      <c r="F320" s="78">
        <v>271250000</v>
      </c>
      <c r="G320" s="78">
        <v>17237</v>
      </c>
      <c r="H320" s="78">
        <v>3</v>
      </c>
      <c r="I320" s="78">
        <v>271.25</v>
      </c>
      <c r="J320" s="78">
        <v>2934</v>
      </c>
      <c r="K320" s="78">
        <v>4354</v>
      </c>
      <c r="L320" s="78">
        <v>1405</v>
      </c>
      <c r="M320" s="78">
        <v>2279</v>
      </c>
      <c r="N320" s="78">
        <v>1392.5</v>
      </c>
      <c r="O320" s="78">
        <v>239.333333333333</v>
      </c>
      <c r="P320" s="78">
        <v>21</v>
      </c>
      <c r="Q320" s="78">
        <v>1500.3333333333301</v>
      </c>
      <c r="R320" s="78">
        <v>2437</v>
      </c>
      <c r="S320" s="78">
        <v>450</v>
      </c>
      <c r="T320" s="78">
        <v>0</v>
      </c>
      <c r="U320" s="78">
        <v>475</v>
      </c>
      <c r="V320" s="78">
        <v>8176</v>
      </c>
      <c r="W320" s="78">
        <v>15760</v>
      </c>
      <c r="X320" s="78">
        <v>5510</v>
      </c>
      <c r="Y320" s="78">
        <v>710.62</v>
      </c>
      <c r="Z320" s="78">
        <v>514.4</v>
      </c>
      <c r="AA320" s="78">
        <v>0</v>
      </c>
      <c r="AB320" s="399">
        <v>0</v>
      </c>
      <c r="AC320" s="399">
        <v>27</v>
      </c>
      <c r="AD320" s="78">
        <v>4744</v>
      </c>
      <c r="AE320" s="78">
        <v>4744</v>
      </c>
      <c r="AF320" s="78">
        <v>299</v>
      </c>
      <c r="AG320" s="78">
        <v>0</v>
      </c>
      <c r="AH320" s="78">
        <v>115</v>
      </c>
      <c r="AI320" s="78">
        <v>77</v>
      </c>
      <c r="AJ320" s="78">
        <v>115</v>
      </c>
      <c r="AK320" s="78">
        <v>77</v>
      </c>
      <c r="AL320" s="78">
        <v>191</v>
      </c>
      <c r="AM320" s="78">
        <v>8865</v>
      </c>
      <c r="AN320" s="78">
        <v>8865</v>
      </c>
      <c r="AO320" s="78">
        <v>5</v>
      </c>
      <c r="AP320" s="78">
        <v>0</v>
      </c>
      <c r="AQ320" s="78">
        <v>0</v>
      </c>
      <c r="AR320" s="78">
        <v>0</v>
      </c>
      <c r="AS320" s="78">
        <v>569</v>
      </c>
      <c r="AT320" s="78">
        <v>569</v>
      </c>
      <c r="AU320" s="400">
        <v>3.0259999999999998E-4</v>
      </c>
      <c r="AV320" s="400">
        <v>2.4564900000000002E-4</v>
      </c>
      <c r="AW320" s="78">
        <v>5771.1149999999998</v>
      </c>
      <c r="AX320" s="78">
        <v>0</v>
      </c>
      <c r="AY320" s="78">
        <v>911</v>
      </c>
      <c r="AZ320" s="78">
        <v>3113.8026968074601</v>
      </c>
      <c r="BA320" s="78">
        <v>5</v>
      </c>
      <c r="BB320" s="78">
        <v>5</v>
      </c>
      <c r="BC320" s="78">
        <v>1885</v>
      </c>
      <c r="BD320" s="78">
        <v>1</v>
      </c>
      <c r="BE320" s="78">
        <v>0</v>
      </c>
      <c r="BF320" s="78">
        <v>0</v>
      </c>
      <c r="BG320" s="78">
        <v>0</v>
      </c>
      <c r="BH320" s="78">
        <v>0</v>
      </c>
      <c r="BI320" s="78">
        <v>0</v>
      </c>
      <c r="BJ320" s="78">
        <v>0</v>
      </c>
      <c r="BK320" s="78">
        <v>0</v>
      </c>
      <c r="BL320" s="78">
        <v>0</v>
      </c>
      <c r="BM320" s="78">
        <v>284.59800000000001</v>
      </c>
      <c r="BN320" s="78">
        <v>31</v>
      </c>
      <c r="BO320" s="78">
        <v>28</v>
      </c>
      <c r="BP320" s="78">
        <v>4548.7700000000004</v>
      </c>
      <c r="BQ320" s="78">
        <v>968.4</v>
      </c>
      <c r="BR320" s="78">
        <v>100.524967899228</v>
      </c>
      <c r="BS320" s="78">
        <v>199</v>
      </c>
      <c r="BT320" s="78">
        <v>53.3333333333333</v>
      </c>
      <c r="BU320" s="78">
        <v>45</v>
      </c>
      <c r="BV320" s="78">
        <v>1260.999999999997</v>
      </c>
      <c r="BW320" s="78">
        <v>564</v>
      </c>
      <c r="BX320" s="78">
        <v>3402.6758790724998</v>
      </c>
      <c r="BY320" s="402">
        <v>0.45800000000000002</v>
      </c>
      <c r="BZ320" s="78">
        <v>12883</v>
      </c>
      <c r="CA320" s="78">
        <v>2473</v>
      </c>
      <c r="CB320" s="78">
        <v>476</v>
      </c>
      <c r="CC320" s="78">
        <v>465</v>
      </c>
      <c r="CD320" s="78">
        <v>420</v>
      </c>
      <c r="CE320" s="78">
        <v>191</v>
      </c>
      <c r="CF320" s="78">
        <v>229.80569655950401</v>
      </c>
      <c r="CG320" s="78">
        <v>145.925831923294</v>
      </c>
      <c r="CH320" s="78">
        <v>46.338127467569102</v>
      </c>
      <c r="CI320" s="78">
        <v>704.58079999999995</v>
      </c>
      <c r="CJ320" s="78">
        <v>447.40640000000002</v>
      </c>
      <c r="CK320" s="78">
        <v>142.072</v>
      </c>
      <c r="CL320" s="78">
        <v>387903</v>
      </c>
    </row>
    <row r="321" spans="1:90" x14ac:dyDescent="0.35">
      <c r="A321" s="72">
        <v>1729</v>
      </c>
      <c r="B321" s="72" t="s">
        <v>123</v>
      </c>
      <c r="C321" s="72">
        <v>11</v>
      </c>
      <c r="D321" s="78">
        <v>1590800000</v>
      </c>
      <c r="E321" s="78">
        <v>124950000</v>
      </c>
      <c r="F321" s="78">
        <v>145250000</v>
      </c>
      <c r="G321" s="78">
        <v>14178</v>
      </c>
      <c r="H321" s="78">
        <v>4</v>
      </c>
      <c r="I321" s="78">
        <v>145.25</v>
      </c>
      <c r="J321" s="78">
        <v>1956</v>
      </c>
      <c r="K321" s="78">
        <v>4258</v>
      </c>
      <c r="L321" s="78">
        <v>1469</v>
      </c>
      <c r="M321" s="78">
        <v>2021</v>
      </c>
      <c r="N321" s="78">
        <v>1275.4000000000001</v>
      </c>
      <c r="O321" s="78">
        <v>148.333333333333</v>
      </c>
      <c r="P321" s="78">
        <v>20</v>
      </c>
      <c r="Q321" s="78">
        <v>995.33333333333303</v>
      </c>
      <c r="R321" s="78">
        <v>2165</v>
      </c>
      <c r="S321" s="78">
        <v>190</v>
      </c>
      <c r="T321" s="78">
        <v>0</v>
      </c>
      <c r="U321" s="78">
        <v>338</v>
      </c>
      <c r="V321" s="78">
        <v>6868</v>
      </c>
      <c r="W321" s="78">
        <v>9200</v>
      </c>
      <c r="X321" s="78">
        <v>810</v>
      </c>
      <c r="Y321" s="78">
        <v>302.94</v>
      </c>
      <c r="Z321" s="78">
        <v>1046.4000000000001</v>
      </c>
      <c r="AA321" s="78">
        <v>0</v>
      </c>
      <c r="AB321" s="399">
        <v>0</v>
      </c>
      <c r="AC321" s="399">
        <v>0</v>
      </c>
      <c r="AD321" s="78">
        <v>7317</v>
      </c>
      <c r="AE321" s="78">
        <v>7317</v>
      </c>
      <c r="AF321" s="78">
        <v>19</v>
      </c>
      <c r="AG321" s="78">
        <v>0</v>
      </c>
      <c r="AH321" s="78">
        <v>89</v>
      </c>
      <c r="AI321" s="78">
        <v>31</v>
      </c>
      <c r="AJ321" s="78">
        <v>89</v>
      </c>
      <c r="AK321" s="78">
        <v>31</v>
      </c>
      <c r="AL321" s="78">
        <v>120</v>
      </c>
      <c r="AM321" s="78">
        <v>7456</v>
      </c>
      <c r="AN321" s="78">
        <v>7456</v>
      </c>
      <c r="AO321" s="78">
        <v>0</v>
      </c>
      <c r="AP321" s="78">
        <v>0</v>
      </c>
      <c r="AQ321" s="78">
        <v>0</v>
      </c>
      <c r="AR321" s="78">
        <v>0</v>
      </c>
      <c r="AS321" s="78">
        <v>0</v>
      </c>
      <c r="AT321" s="78">
        <v>0</v>
      </c>
      <c r="AU321" s="400">
        <v>5.7190500000000005E-4</v>
      </c>
      <c r="AV321" s="400">
        <v>1.8492500000000001E-4</v>
      </c>
      <c r="AW321" s="78">
        <v>2124.96</v>
      </c>
      <c r="AX321" s="78">
        <v>0</v>
      </c>
      <c r="AY321" s="78">
        <v>558</v>
      </c>
      <c r="AZ321" s="78">
        <v>1078.4247546346801</v>
      </c>
      <c r="BA321" s="78">
        <v>20</v>
      </c>
      <c r="BB321" s="78">
        <v>20</v>
      </c>
      <c r="BC321" s="78">
        <v>1770</v>
      </c>
      <c r="BD321" s="78">
        <v>1</v>
      </c>
      <c r="BE321" s="78">
        <v>0</v>
      </c>
      <c r="BF321" s="78">
        <v>0</v>
      </c>
      <c r="BG321" s="78">
        <v>0</v>
      </c>
      <c r="BH321" s="78">
        <v>0</v>
      </c>
      <c r="BI321" s="78">
        <v>0</v>
      </c>
      <c r="BJ321" s="78">
        <v>0</v>
      </c>
      <c r="BK321" s="78">
        <v>0</v>
      </c>
      <c r="BL321" s="78">
        <v>0</v>
      </c>
      <c r="BM321" s="78">
        <v>172.12799999999999</v>
      </c>
      <c r="BN321" s="78">
        <v>17</v>
      </c>
      <c r="BO321" s="78">
        <v>11</v>
      </c>
      <c r="BP321" s="78">
        <v>4478.4799999999996</v>
      </c>
      <c r="BQ321" s="78">
        <v>785.91</v>
      </c>
      <c r="BR321" s="78">
        <v>35.997482428114999</v>
      </c>
      <c r="BS321" s="78">
        <v>88</v>
      </c>
      <c r="BT321" s="78">
        <v>37.6666666666667</v>
      </c>
      <c r="BU321" s="78">
        <v>29.6666666666667</v>
      </c>
      <c r="BV321" s="78">
        <v>847</v>
      </c>
      <c r="BW321" s="78">
        <v>163</v>
      </c>
      <c r="BX321" s="78">
        <v>3106.14570181613</v>
      </c>
      <c r="BY321" s="402">
        <v>0.36299999999999999</v>
      </c>
      <c r="BZ321" s="78">
        <v>9920</v>
      </c>
      <c r="CA321" s="78">
        <v>2286</v>
      </c>
      <c r="CB321" s="78">
        <v>503</v>
      </c>
      <c r="CC321" s="78">
        <v>425</v>
      </c>
      <c r="CD321" s="78">
        <v>448</v>
      </c>
      <c r="CE321" s="78">
        <v>221</v>
      </c>
      <c r="CF321" s="78">
        <v>239.13749999999999</v>
      </c>
      <c r="CG321" s="78">
        <v>172.767435622318</v>
      </c>
      <c r="CH321" s="78">
        <v>55.080311158798303</v>
      </c>
      <c r="CI321" s="78">
        <v>616.93740000000003</v>
      </c>
      <c r="CJ321" s="78">
        <v>445.71300000000002</v>
      </c>
      <c r="CK321" s="78">
        <v>142.0986</v>
      </c>
      <c r="CL321" s="78">
        <v>0</v>
      </c>
    </row>
    <row r="322" spans="1:90" x14ac:dyDescent="0.35">
      <c r="A322" s="72">
        <v>917</v>
      </c>
      <c r="B322" s="72" t="s">
        <v>139</v>
      </c>
      <c r="C322" s="72">
        <v>11</v>
      </c>
      <c r="D322" s="78">
        <v>6318400000</v>
      </c>
      <c r="E322" s="78">
        <v>1380400000</v>
      </c>
      <c r="F322" s="78">
        <v>1418900000</v>
      </c>
      <c r="G322" s="78">
        <v>86845</v>
      </c>
      <c r="H322" s="78">
        <v>1</v>
      </c>
      <c r="I322" s="78">
        <v>1418.9</v>
      </c>
      <c r="J322" s="78">
        <v>13476</v>
      </c>
      <c r="K322" s="78">
        <v>20686</v>
      </c>
      <c r="L322" s="78">
        <v>6730</v>
      </c>
      <c r="M322" s="78">
        <v>19444</v>
      </c>
      <c r="N322" s="78">
        <v>14778.4</v>
      </c>
      <c r="O322" s="78">
        <v>3891</v>
      </c>
      <c r="P322" s="78">
        <v>143</v>
      </c>
      <c r="Q322" s="78">
        <v>12771</v>
      </c>
      <c r="R322" s="78">
        <v>21411</v>
      </c>
      <c r="S322" s="78">
        <v>5755</v>
      </c>
      <c r="T322" s="78">
        <v>0</v>
      </c>
      <c r="U322" s="78">
        <v>4245</v>
      </c>
      <c r="V322" s="78">
        <v>47173</v>
      </c>
      <c r="W322" s="78">
        <v>104020</v>
      </c>
      <c r="X322" s="78">
        <v>150070</v>
      </c>
      <c r="Y322" s="78">
        <v>5777.6790000000001</v>
      </c>
      <c r="Z322" s="78">
        <v>4688.8</v>
      </c>
      <c r="AA322" s="78">
        <v>0</v>
      </c>
      <c r="AB322" s="399">
        <v>0</v>
      </c>
      <c r="AC322" s="399">
        <v>0</v>
      </c>
      <c r="AD322" s="78">
        <v>4487</v>
      </c>
      <c r="AE322" s="78">
        <v>4487</v>
      </c>
      <c r="AF322" s="78">
        <v>66</v>
      </c>
      <c r="AG322" s="78">
        <v>0</v>
      </c>
      <c r="AH322" s="78">
        <v>478</v>
      </c>
      <c r="AI322" s="78">
        <v>52</v>
      </c>
      <c r="AJ322" s="78">
        <v>478</v>
      </c>
      <c r="AK322" s="78">
        <v>52</v>
      </c>
      <c r="AL322" s="78">
        <v>530</v>
      </c>
      <c r="AM322" s="78">
        <v>46656</v>
      </c>
      <c r="AN322" s="78">
        <v>46656</v>
      </c>
      <c r="AO322" s="78">
        <v>0</v>
      </c>
      <c r="AP322" s="78">
        <v>0</v>
      </c>
      <c r="AQ322" s="78">
        <v>0</v>
      </c>
      <c r="AR322" s="78">
        <v>0</v>
      </c>
      <c r="AS322" s="78">
        <v>7754</v>
      </c>
      <c r="AT322" s="78">
        <v>0</v>
      </c>
      <c r="AU322" s="400">
        <v>9.2766640000000004E-3</v>
      </c>
      <c r="AV322" s="400">
        <v>1.8246696999999999E-2</v>
      </c>
      <c r="AW322" s="78">
        <v>85380.479999999996</v>
      </c>
      <c r="AX322" s="78">
        <v>0</v>
      </c>
      <c r="AY322" s="78">
        <v>522</v>
      </c>
      <c r="AZ322" s="78">
        <v>9956.7515923566898</v>
      </c>
      <c r="BA322" s="78">
        <v>4</v>
      </c>
      <c r="BB322" s="78">
        <v>4</v>
      </c>
      <c r="BC322" s="78">
        <v>7955</v>
      </c>
      <c r="BD322" s="78">
        <v>1</v>
      </c>
      <c r="BE322" s="78">
        <v>0</v>
      </c>
      <c r="BF322" s="78">
        <v>0</v>
      </c>
      <c r="BG322" s="78">
        <v>0</v>
      </c>
      <c r="BH322" s="78">
        <v>0</v>
      </c>
      <c r="BI322" s="78">
        <v>0</v>
      </c>
      <c r="BJ322" s="78">
        <v>0</v>
      </c>
      <c r="BK322" s="78">
        <v>0</v>
      </c>
      <c r="BL322" s="78">
        <v>0</v>
      </c>
      <c r="BM322" s="78">
        <v>3598.0920000000001</v>
      </c>
      <c r="BN322" s="78">
        <v>426</v>
      </c>
      <c r="BO322" s="78">
        <v>393</v>
      </c>
      <c r="BP322" s="78">
        <v>23719.279999999999</v>
      </c>
      <c r="BQ322" s="78">
        <v>3947.93</v>
      </c>
      <c r="BR322" s="78">
        <v>726.31478010603405</v>
      </c>
      <c r="BS322" s="78">
        <v>1491</v>
      </c>
      <c r="BT322" s="78">
        <v>977.33333333333303</v>
      </c>
      <c r="BU322" s="78">
        <v>946</v>
      </c>
      <c r="BV322" s="78">
        <v>8880</v>
      </c>
      <c r="BW322" s="78">
        <v>2131</v>
      </c>
      <c r="BX322" s="78">
        <v>22913.670051532201</v>
      </c>
      <c r="BY322" s="402">
        <v>12.909000000000001</v>
      </c>
      <c r="BZ322" s="78">
        <v>66159</v>
      </c>
      <c r="CA322" s="78">
        <v>11319</v>
      </c>
      <c r="CB322" s="78">
        <v>2637</v>
      </c>
      <c r="CC322" s="78">
        <v>3463</v>
      </c>
      <c r="CD322" s="78">
        <v>2734</v>
      </c>
      <c r="CE322" s="78">
        <v>1450</v>
      </c>
      <c r="CF322" s="78">
        <v>2424.1061213991802</v>
      </c>
      <c r="CG322" s="78">
        <v>1549.2359910836799</v>
      </c>
      <c r="CH322" s="78">
        <v>613.23264746227699</v>
      </c>
      <c r="CI322" s="78">
        <v>4699.7073</v>
      </c>
      <c r="CJ322" s="78">
        <v>3003.5630999999998</v>
      </c>
      <c r="CK322" s="78">
        <v>1188.8976</v>
      </c>
      <c r="CL322" s="78">
        <v>92688</v>
      </c>
    </row>
    <row r="323" spans="1:90" x14ac:dyDescent="0.35">
      <c r="A323" s="72">
        <v>1507</v>
      </c>
      <c r="B323" s="72" t="s">
        <v>158</v>
      </c>
      <c r="C323" s="72">
        <v>11</v>
      </c>
      <c r="D323" s="78">
        <v>4298000000</v>
      </c>
      <c r="E323" s="78">
        <v>700000000</v>
      </c>
      <c r="F323" s="78">
        <v>758450000</v>
      </c>
      <c r="G323" s="78">
        <v>43039</v>
      </c>
      <c r="H323" s="78">
        <v>10</v>
      </c>
      <c r="I323" s="78">
        <v>758.45</v>
      </c>
      <c r="J323" s="78">
        <v>7365</v>
      </c>
      <c r="K323" s="78">
        <v>9789</v>
      </c>
      <c r="L323" s="78">
        <v>3241</v>
      </c>
      <c r="M323" s="78">
        <v>5011</v>
      </c>
      <c r="N323" s="78">
        <v>3024.2</v>
      </c>
      <c r="O323" s="78">
        <v>325</v>
      </c>
      <c r="P323" s="78">
        <v>69</v>
      </c>
      <c r="Q323" s="78">
        <v>2088</v>
      </c>
      <c r="R323" s="78">
        <v>5670</v>
      </c>
      <c r="S323" s="78">
        <v>480</v>
      </c>
      <c r="T323" s="78">
        <v>0</v>
      </c>
      <c r="U323" s="78">
        <v>952</v>
      </c>
      <c r="V323" s="78">
        <v>19232</v>
      </c>
      <c r="W323" s="78">
        <v>39350</v>
      </c>
      <c r="X323" s="78">
        <v>17450</v>
      </c>
      <c r="Y323" s="78">
        <v>170.28</v>
      </c>
      <c r="Z323" s="78">
        <v>1444.8</v>
      </c>
      <c r="AA323" s="78">
        <v>0</v>
      </c>
      <c r="AB323" s="399">
        <v>0</v>
      </c>
      <c r="AC323" s="399">
        <v>0</v>
      </c>
      <c r="AD323" s="78">
        <v>18843</v>
      </c>
      <c r="AE323" s="78">
        <v>18843</v>
      </c>
      <c r="AF323" s="78">
        <v>349</v>
      </c>
      <c r="AG323" s="78">
        <v>0</v>
      </c>
      <c r="AH323" s="78">
        <v>290</v>
      </c>
      <c r="AI323" s="78">
        <v>255</v>
      </c>
      <c r="AJ323" s="78">
        <v>290</v>
      </c>
      <c r="AK323" s="78">
        <v>255</v>
      </c>
      <c r="AL323" s="78">
        <v>544</v>
      </c>
      <c r="AM323" s="78">
        <v>19868</v>
      </c>
      <c r="AN323" s="78">
        <v>19868</v>
      </c>
      <c r="AO323" s="78">
        <v>0</v>
      </c>
      <c r="AP323" s="78">
        <v>0</v>
      </c>
      <c r="AQ323" s="78">
        <v>0</v>
      </c>
      <c r="AR323" s="78">
        <v>0</v>
      </c>
      <c r="AS323" s="78">
        <v>0</v>
      </c>
      <c r="AT323" s="78">
        <v>0</v>
      </c>
      <c r="AU323" s="400">
        <v>5.0099699999999999E-4</v>
      </c>
      <c r="AV323" s="400">
        <v>2.9053999999999999E-4</v>
      </c>
      <c r="AW323" s="78">
        <v>11443.968000000001</v>
      </c>
      <c r="AX323" s="78">
        <v>0</v>
      </c>
      <c r="AY323" s="78">
        <v>3268</v>
      </c>
      <c r="AZ323" s="78">
        <v>7328.6500625260496</v>
      </c>
      <c r="BA323" s="78">
        <v>19</v>
      </c>
      <c r="BB323" s="78">
        <v>19</v>
      </c>
      <c r="BC323" s="78">
        <v>4960</v>
      </c>
      <c r="BD323" s="78">
        <v>1</v>
      </c>
      <c r="BE323" s="78">
        <v>0</v>
      </c>
      <c r="BF323" s="78">
        <v>0</v>
      </c>
      <c r="BG323" s="78">
        <v>0</v>
      </c>
      <c r="BH323" s="78">
        <v>0</v>
      </c>
      <c r="BI323" s="78">
        <v>0</v>
      </c>
      <c r="BJ323" s="78">
        <v>0</v>
      </c>
      <c r="BK323" s="78">
        <v>0</v>
      </c>
      <c r="BL323" s="78">
        <v>0</v>
      </c>
      <c r="BM323" s="78">
        <v>559.74</v>
      </c>
      <c r="BN323" s="78">
        <v>49</v>
      </c>
      <c r="BO323" s="78">
        <v>51</v>
      </c>
      <c r="BP323" s="78">
        <v>12829.17</v>
      </c>
      <c r="BQ323" s="78">
        <v>2737.68</v>
      </c>
      <c r="BR323" s="78">
        <v>160.927763053484</v>
      </c>
      <c r="BS323" s="78">
        <v>330</v>
      </c>
      <c r="BT323" s="78">
        <v>108.333333333333</v>
      </c>
      <c r="BU323" s="78">
        <v>71.3333333333333</v>
      </c>
      <c r="BV323" s="78">
        <v>1763</v>
      </c>
      <c r="BW323" s="78">
        <v>485</v>
      </c>
      <c r="BX323" s="78">
        <v>8000.1667531244802</v>
      </c>
      <c r="BY323" s="402">
        <v>0.216</v>
      </c>
      <c r="BZ323" s="78">
        <v>33250</v>
      </c>
      <c r="CA323" s="78">
        <v>5426</v>
      </c>
      <c r="CB323" s="78">
        <v>1122</v>
      </c>
      <c r="CC323" s="78">
        <v>878</v>
      </c>
      <c r="CD323" s="78">
        <v>933</v>
      </c>
      <c r="CE323" s="78">
        <v>488</v>
      </c>
      <c r="CF323" s="78">
        <v>498.350654318502</v>
      </c>
      <c r="CG323" s="78">
        <v>325.73927924300398</v>
      </c>
      <c r="CH323" s="78">
        <v>114.008747735051</v>
      </c>
      <c r="CI323" s="78">
        <v>1432.375</v>
      </c>
      <c r="CJ323" s="78">
        <v>936.25</v>
      </c>
      <c r="CK323" s="78">
        <v>327.6875</v>
      </c>
      <c r="CL323" s="78">
        <v>65858</v>
      </c>
    </row>
    <row r="324" spans="1:90" x14ac:dyDescent="0.35">
      <c r="A324" s="72">
        <v>928</v>
      </c>
      <c r="B324" s="72" t="s">
        <v>167</v>
      </c>
      <c r="C324" s="72">
        <v>11</v>
      </c>
      <c r="D324" s="78">
        <v>3241600000</v>
      </c>
      <c r="E324" s="78">
        <v>497000000</v>
      </c>
      <c r="F324" s="78">
        <v>506450000</v>
      </c>
      <c r="G324" s="78">
        <v>45324</v>
      </c>
      <c r="H324" s="78">
        <v>1</v>
      </c>
      <c r="I324" s="78">
        <v>506.45</v>
      </c>
      <c r="J324" s="78">
        <v>6738</v>
      </c>
      <c r="K324" s="78">
        <v>11933</v>
      </c>
      <c r="L324" s="78">
        <v>3888</v>
      </c>
      <c r="M324" s="78">
        <v>9717</v>
      </c>
      <c r="N324" s="78">
        <v>7283.2</v>
      </c>
      <c r="O324" s="78">
        <v>1519</v>
      </c>
      <c r="P324" s="78">
        <v>57</v>
      </c>
      <c r="Q324" s="78">
        <v>6382</v>
      </c>
      <c r="R324" s="78">
        <v>9818</v>
      </c>
      <c r="S324" s="78">
        <v>1780</v>
      </c>
      <c r="T324" s="78">
        <v>0</v>
      </c>
      <c r="U324" s="78">
        <v>1891</v>
      </c>
      <c r="V324" s="78">
        <v>23982</v>
      </c>
      <c r="W324" s="78">
        <v>47860</v>
      </c>
      <c r="X324" s="78">
        <v>51250</v>
      </c>
      <c r="Y324" s="78">
        <v>931.58</v>
      </c>
      <c r="Z324" s="78">
        <v>212.8</v>
      </c>
      <c r="AA324" s="78">
        <v>0</v>
      </c>
      <c r="AB324" s="399">
        <v>0</v>
      </c>
      <c r="AC324" s="399">
        <v>0</v>
      </c>
      <c r="AD324" s="78">
        <v>2191</v>
      </c>
      <c r="AE324" s="78">
        <v>2191</v>
      </c>
      <c r="AF324" s="78">
        <v>24</v>
      </c>
      <c r="AG324" s="78">
        <v>0</v>
      </c>
      <c r="AH324" s="78">
        <v>268</v>
      </c>
      <c r="AI324" s="78">
        <v>37</v>
      </c>
      <c r="AJ324" s="78">
        <v>268</v>
      </c>
      <c r="AK324" s="78">
        <v>37</v>
      </c>
      <c r="AL324" s="78">
        <v>305</v>
      </c>
      <c r="AM324" s="78">
        <v>24338</v>
      </c>
      <c r="AN324" s="78">
        <v>24338</v>
      </c>
      <c r="AO324" s="78">
        <v>0</v>
      </c>
      <c r="AP324" s="78">
        <v>0</v>
      </c>
      <c r="AQ324" s="78">
        <v>0</v>
      </c>
      <c r="AR324" s="78">
        <v>0</v>
      </c>
      <c r="AS324" s="78">
        <v>7506</v>
      </c>
      <c r="AT324" s="78">
        <v>0</v>
      </c>
      <c r="AU324" s="400">
        <v>3.0165669999999999E-3</v>
      </c>
      <c r="AV324" s="400">
        <v>4.7433509999999998E-3</v>
      </c>
      <c r="AW324" s="78">
        <v>42761.866000000002</v>
      </c>
      <c r="AX324" s="78">
        <v>0</v>
      </c>
      <c r="AY324" s="78">
        <v>244</v>
      </c>
      <c r="AZ324" s="78">
        <v>4992.8018058690704</v>
      </c>
      <c r="BA324" s="78">
        <v>1</v>
      </c>
      <c r="BB324" s="78">
        <v>1</v>
      </c>
      <c r="BC324" s="78">
        <v>3605</v>
      </c>
      <c r="BD324" s="78">
        <v>1</v>
      </c>
      <c r="BE324" s="78">
        <v>0</v>
      </c>
      <c r="BF324" s="78">
        <v>0</v>
      </c>
      <c r="BG324" s="78">
        <v>0</v>
      </c>
      <c r="BH324" s="78">
        <v>0</v>
      </c>
      <c r="BI324" s="78">
        <v>0</v>
      </c>
      <c r="BJ324" s="78">
        <v>0</v>
      </c>
      <c r="BK324" s="78">
        <v>0</v>
      </c>
      <c r="BL324" s="78">
        <v>0</v>
      </c>
      <c r="BM324" s="78">
        <v>1664.2860000000001</v>
      </c>
      <c r="BN324" s="78">
        <v>321</v>
      </c>
      <c r="BO324" s="78">
        <v>148</v>
      </c>
      <c r="BP324" s="78">
        <v>11765.7</v>
      </c>
      <c r="BQ324" s="78">
        <v>2005.08</v>
      </c>
      <c r="BR324" s="78">
        <v>288.14290019569501</v>
      </c>
      <c r="BS324" s="78">
        <v>586</v>
      </c>
      <c r="BT324" s="78">
        <v>370.66666666666703</v>
      </c>
      <c r="BU324" s="78">
        <v>363.33333333333297</v>
      </c>
      <c r="BV324" s="78">
        <v>4863</v>
      </c>
      <c r="BW324" s="78">
        <v>1134</v>
      </c>
      <c r="BX324" s="78">
        <v>11511.9887997887</v>
      </c>
      <c r="BY324" s="402">
        <v>4.899</v>
      </c>
      <c r="BZ324" s="78">
        <v>33391</v>
      </c>
      <c r="CA324" s="78">
        <v>6710</v>
      </c>
      <c r="CB324" s="78">
        <v>1335</v>
      </c>
      <c r="CC324" s="78">
        <v>1754</v>
      </c>
      <c r="CD324" s="78">
        <v>1468</v>
      </c>
      <c r="CE324" s="78">
        <v>678</v>
      </c>
      <c r="CF324" s="78">
        <v>1299.35304462158</v>
      </c>
      <c r="CG324" s="78">
        <v>820.549527487879</v>
      </c>
      <c r="CH324" s="78">
        <v>289.37687566768</v>
      </c>
      <c r="CI324" s="78">
        <v>2761.0778</v>
      </c>
      <c r="CJ324" s="78">
        <v>1743.6378</v>
      </c>
      <c r="CK324" s="78">
        <v>614.9153</v>
      </c>
      <c r="CL324" s="78">
        <v>58382</v>
      </c>
    </row>
    <row r="325" spans="1:90" x14ac:dyDescent="0.35">
      <c r="A325" s="72">
        <v>882</v>
      </c>
      <c r="B325" s="72" t="s">
        <v>173</v>
      </c>
      <c r="C325" s="72">
        <v>11</v>
      </c>
      <c r="D325" s="78">
        <v>3056400000</v>
      </c>
      <c r="E325" s="78">
        <v>252700000</v>
      </c>
      <c r="F325" s="78">
        <v>268450000</v>
      </c>
      <c r="G325" s="78">
        <v>37023</v>
      </c>
      <c r="H325" s="78">
        <v>1</v>
      </c>
      <c r="I325" s="78">
        <v>268.45</v>
      </c>
      <c r="J325" s="78">
        <v>5724</v>
      </c>
      <c r="K325" s="78">
        <v>9805</v>
      </c>
      <c r="L325" s="78">
        <v>3201</v>
      </c>
      <c r="M325" s="78">
        <v>6292</v>
      </c>
      <c r="N325" s="78">
        <v>4439.3</v>
      </c>
      <c r="O325" s="78">
        <v>1020</v>
      </c>
      <c r="P325" s="78">
        <v>55</v>
      </c>
      <c r="Q325" s="78">
        <v>4602</v>
      </c>
      <c r="R325" s="78">
        <v>6279</v>
      </c>
      <c r="S325" s="78">
        <v>820</v>
      </c>
      <c r="T325" s="78">
        <v>0</v>
      </c>
      <c r="U325" s="78">
        <v>1409</v>
      </c>
      <c r="V325" s="78">
        <v>18464</v>
      </c>
      <c r="W325" s="78">
        <v>36850</v>
      </c>
      <c r="X325" s="78">
        <v>33680</v>
      </c>
      <c r="Y325" s="78">
        <v>192.06</v>
      </c>
      <c r="Z325" s="78">
        <v>1564.8</v>
      </c>
      <c r="AA325" s="78">
        <v>0</v>
      </c>
      <c r="AB325" s="399">
        <v>0</v>
      </c>
      <c r="AC325" s="399">
        <v>0</v>
      </c>
      <c r="AD325" s="78">
        <v>2460</v>
      </c>
      <c r="AE325" s="78">
        <v>2460</v>
      </c>
      <c r="AF325" s="78">
        <v>6</v>
      </c>
      <c r="AG325" s="78">
        <v>0</v>
      </c>
      <c r="AH325" s="78">
        <v>208</v>
      </c>
      <c r="AI325" s="78">
        <v>12</v>
      </c>
      <c r="AJ325" s="78">
        <v>208</v>
      </c>
      <c r="AK325" s="78">
        <v>12</v>
      </c>
      <c r="AL325" s="78">
        <v>220</v>
      </c>
      <c r="AM325" s="78">
        <v>18527</v>
      </c>
      <c r="AN325" s="78">
        <v>18527</v>
      </c>
      <c r="AO325" s="78">
        <v>0</v>
      </c>
      <c r="AP325" s="78">
        <v>0</v>
      </c>
      <c r="AQ325" s="78">
        <v>0</v>
      </c>
      <c r="AR325" s="78">
        <v>0</v>
      </c>
      <c r="AS325" s="78">
        <v>2575</v>
      </c>
      <c r="AT325" s="78">
        <v>0</v>
      </c>
      <c r="AU325" s="400">
        <v>1.2622429999999999E-3</v>
      </c>
      <c r="AV325" s="400">
        <v>1.655636E-3</v>
      </c>
      <c r="AW325" s="78">
        <v>26975.312000000002</v>
      </c>
      <c r="AX325" s="78">
        <v>0</v>
      </c>
      <c r="AY325" s="78">
        <v>187</v>
      </c>
      <c r="AZ325" s="78">
        <v>2807.5024330900201</v>
      </c>
      <c r="BA325" s="78">
        <v>3</v>
      </c>
      <c r="BB325" s="78">
        <v>3</v>
      </c>
      <c r="BC325" s="78">
        <v>2765</v>
      </c>
      <c r="BD325" s="78">
        <v>1</v>
      </c>
      <c r="BE325" s="78">
        <v>0</v>
      </c>
      <c r="BF325" s="78">
        <v>0</v>
      </c>
      <c r="BG325" s="78">
        <v>0</v>
      </c>
      <c r="BH325" s="78">
        <v>0</v>
      </c>
      <c r="BI325" s="78">
        <v>0</v>
      </c>
      <c r="BJ325" s="78">
        <v>0</v>
      </c>
      <c r="BK325" s="78">
        <v>0</v>
      </c>
      <c r="BL325" s="78">
        <v>0</v>
      </c>
      <c r="BM325" s="78">
        <v>1024.596</v>
      </c>
      <c r="BN325" s="78">
        <v>142</v>
      </c>
      <c r="BO325" s="78">
        <v>90</v>
      </c>
      <c r="BP325" s="78">
        <v>10226.56</v>
      </c>
      <c r="BQ325" s="78">
        <v>1963.65</v>
      </c>
      <c r="BR325" s="78">
        <v>236.86972400756099</v>
      </c>
      <c r="BS325" s="78">
        <v>462</v>
      </c>
      <c r="BT325" s="78">
        <v>263.33333333333297</v>
      </c>
      <c r="BU325" s="78">
        <v>256.66666666666703</v>
      </c>
      <c r="BV325" s="78">
        <v>3582</v>
      </c>
      <c r="BW325" s="78">
        <v>870</v>
      </c>
      <c r="BX325" s="78">
        <v>9392.9244774837607</v>
      </c>
      <c r="BY325" s="402">
        <v>3.1040000000000001</v>
      </c>
      <c r="BZ325" s="78">
        <v>27218</v>
      </c>
      <c r="CA325" s="78">
        <v>5567</v>
      </c>
      <c r="CB325" s="78">
        <v>1037</v>
      </c>
      <c r="CC325" s="78">
        <v>1270</v>
      </c>
      <c r="CD325" s="78">
        <v>1104</v>
      </c>
      <c r="CE325" s="78">
        <v>534</v>
      </c>
      <c r="CF325" s="78">
        <v>839.84166351810904</v>
      </c>
      <c r="CG325" s="78">
        <v>536.01306741512406</v>
      </c>
      <c r="CH325" s="78">
        <v>175.63593134344501</v>
      </c>
      <c r="CI325" s="78">
        <v>1889.896</v>
      </c>
      <c r="CJ325" s="78">
        <v>1206.1904</v>
      </c>
      <c r="CK325" s="78">
        <v>395.23360000000002</v>
      </c>
      <c r="CL325" s="78">
        <v>108664</v>
      </c>
    </row>
    <row r="326" spans="1:90" x14ac:dyDescent="0.35">
      <c r="A326" s="72">
        <v>1640</v>
      </c>
      <c r="B326" s="72" t="s">
        <v>183</v>
      </c>
      <c r="C326" s="72">
        <v>11</v>
      </c>
      <c r="D326" s="78">
        <v>3575200000</v>
      </c>
      <c r="E326" s="78">
        <v>456050000</v>
      </c>
      <c r="F326" s="78">
        <v>511000000</v>
      </c>
      <c r="G326" s="78">
        <v>35928</v>
      </c>
      <c r="H326" s="78">
        <v>9</v>
      </c>
      <c r="I326" s="78">
        <v>511</v>
      </c>
      <c r="J326" s="78">
        <v>5551</v>
      </c>
      <c r="K326" s="78">
        <v>9189</v>
      </c>
      <c r="L326" s="78">
        <v>3014</v>
      </c>
      <c r="M326" s="78">
        <v>4341</v>
      </c>
      <c r="N326" s="78">
        <v>2657.6</v>
      </c>
      <c r="O326" s="78">
        <v>313</v>
      </c>
      <c r="P326" s="78">
        <v>47</v>
      </c>
      <c r="Q326" s="78">
        <v>2108</v>
      </c>
      <c r="R326" s="78">
        <v>4813</v>
      </c>
      <c r="S326" s="78">
        <v>605</v>
      </c>
      <c r="T326" s="78">
        <v>0</v>
      </c>
      <c r="U326" s="78">
        <v>882</v>
      </c>
      <c r="V326" s="78">
        <v>16704</v>
      </c>
      <c r="W326" s="78">
        <v>29810</v>
      </c>
      <c r="X326" s="78">
        <v>6380</v>
      </c>
      <c r="Y326" s="78">
        <v>1249.06</v>
      </c>
      <c r="Z326" s="78">
        <v>1301.5999999999999</v>
      </c>
      <c r="AA326" s="78">
        <v>0</v>
      </c>
      <c r="AB326" s="399">
        <v>0</v>
      </c>
      <c r="AC326" s="399">
        <v>0</v>
      </c>
      <c r="AD326" s="78">
        <v>16239</v>
      </c>
      <c r="AE326" s="78">
        <v>16239</v>
      </c>
      <c r="AF326" s="78">
        <v>251</v>
      </c>
      <c r="AG326" s="78">
        <v>0</v>
      </c>
      <c r="AH326" s="78">
        <v>262</v>
      </c>
      <c r="AI326" s="78">
        <v>186</v>
      </c>
      <c r="AJ326" s="78">
        <v>262</v>
      </c>
      <c r="AK326" s="78">
        <v>186</v>
      </c>
      <c r="AL326" s="78">
        <v>448</v>
      </c>
      <c r="AM326" s="78">
        <v>16834</v>
      </c>
      <c r="AN326" s="78">
        <v>16834</v>
      </c>
      <c r="AO326" s="78">
        <v>0</v>
      </c>
      <c r="AP326" s="78">
        <v>0</v>
      </c>
      <c r="AQ326" s="78">
        <v>0</v>
      </c>
      <c r="AR326" s="78">
        <v>0</v>
      </c>
      <c r="AS326" s="78">
        <v>0</v>
      </c>
      <c r="AT326" s="78">
        <v>0</v>
      </c>
      <c r="AU326" s="400">
        <v>5.8512400000000002E-4</v>
      </c>
      <c r="AV326" s="400">
        <v>2.6229600000000002E-4</v>
      </c>
      <c r="AW326" s="78">
        <v>6632.5959999999995</v>
      </c>
      <c r="AX326" s="78">
        <v>0</v>
      </c>
      <c r="AY326" s="78">
        <v>2013</v>
      </c>
      <c r="AZ326" s="78">
        <v>4385.8741055185001</v>
      </c>
      <c r="BA326" s="78">
        <v>17</v>
      </c>
      <c r="BB326" s="78">
        <v>17</v>
      </c>
      <c r="BC326" s="78">
        <v>4235</v>
      </c>
      <c r="BD326" s="78">
        <v>1</v>
      </c>
      <c r="BE326" s="78">
        <v>0</v>
      </c>
      <c r="BF326" s="78">
        <v>0</v>
      </c>
      <c r="BG326" s="78">
        <v>0</v>
      </c>
      <c r="BH326" s="78">
        <v>0</v>
      </c>
      <c r="BI326" s="78">
        <v>0</v>
      </c>
      <c r="BJ326" s="78">
        <v>0</v>
      </c>
      <c r="BK326" s="78">
        <v>0</v>
      </c>
      <c r="BL326" s="78">
        <v>0</v>
      </c>
      <c r="BM326" s="78">
        <v>444.08</v>
      </c>
      <c r="BN326" s="78">
        <v>78</v>
      </c>
      <c r="BO326" s="78">
        <v>47</v>
      </c>
      <c r="BP326" s="78">
        <v>10926.84</v>
      </c>
      <c r="BQ326" s="78">
        <v>2202.1999999999998</v>
      </c>
      <c r="BR326" s="78">
        <v>106.204375024352</v>
      </c>
      <c r="BS326" s="78">
        <v>331</v>
      </c>
      <c r="BT326" s="78">
        <v>76.3333333333333</v>
      </c>
      <c r="BU326" s="78">
        <v>64</v>
      </c>
      <c r="BV326" s="78">
        <v>1795</v>
      </c>
      <c r="BW326" s="78">
        <v>429</v>
      </c>
      <c r="BX326" s="78">
        <v>6612.0677153558099</v>
      </c>
      <c r="BY326" s="402">
        <v>0.378</v>
      </c>
      <c r="BZ326" s="78">
        <v>26739</v>
      </c>
      <c r="CA326" s="78">
        <v>5089</v>
      </c>
      <c r="CB326" s="78">
        <v>1086</v>
      </c>
      <c r="CC326" s="78">
        <v>851</v>
      </c>
      <c r="CD326" s="78">
        <v>887</v>
      </c>
      <c r="CE326" s="78">
        <v>495</v>
      </c>
      <c r="CF326" s="78">
        <v>482.13795889271699</v>
      </c>
      <c r="CG326" s="78">
        <v>319.21511227278103</v>
      </c>
      <c r="CH326" s="78">
        <v>109.72032790780599</v>
      </c>
      <c r="CI326" s="78">
        <v>1312.6092000000001</v>
      </c>
      <c r="CJ326" s="78">
        <v>869.05560000000003</v>
      </c>
      <c r="CK326" s="78">
        <v>298.71100000000001</v>
      </c>
      <c r="CL326" s="78">
        <v>25051</v>
      </c>
    </row>
    <row r="327" spans="1:90" x14ac:dyDescent="0.35">
      <c r="A327" s="72">
        <v>1641</v>
      </c>
      <c r="B327" s="72" t="s">
        <v>193</v>
      </c>
      <c r="C327" s="72">
        <v>11</v>
      </c>
      <c r="D327" s="78">
        <v>2427200000</v>
      </c>
      <c r="E327" s="78">
        <v>333550000</v>
      </c>
      <c r="F327" s="78">
        <v>349300000</v>
      </c>
      <c r="G327" s="78">
        <v>24028</v>
      </c>
      <c r="H327" s="78">
        <v>6</v>
      </c>
      <c r="I327" s="78">
        <v>349.3</v>
      </c>
      <c r="J327" s="78">
        <v>3415</v>
      </c>
      <c r="K327" s="78">
        <v>6705</v>
      </c>
      <c r="L327" s="78">
        <v>2172</v>
      </c>
      <c r="M327" s="78">
        <v>3227</v>
      </c>
      <c r="N327" s="78">
        <v>1996.6999999999998</v>
      </c>
      <c r="O327" s="78">
        <v>245</v>
      </c>
      <c r="P327" s="78">
        <v>28</v>
      </c>
      <c r="Q327" s="78">
        <v>1938</v>
      </c>
      <c r="R327" s="78">
        <v>3439</v>
      </c>
      <c r="S327" s="78">
        <v>355</v>
      </c>
      <c r="T327" s="78">
        <v>0</v>
      </c>
      <c r="U327" s="78">
        <v>555</v>
      </c>
      <c r="V327" s="78">
        <v>11661</v>
      </c>
      <c r="W327" s="78">
        <v>21030</v>
      </c>
      <c r="X327" s="78">
        <v>5270</v>
      </c>
      <c r="Y327" s="78">
        <v>229.68</v>
      </c>
      <c r="Z327" s="78">
        <v>0</v>
      </c>
      <c r="AA327" s="78">
        <v>0</v>
      </c>
      <c r="AB327" s="399">
        <v>0</v>
      </c>
      <c r="AC327" s="399">
        <v>0</v>
      </c>
      <c r="AD327" s="78">
        <v>4568</v>
      </c>
      <c r="AE327" s="78">
        <v>4568</v>
      </c>
      <c r="AF327" s="78">
        <v>1243</v>
      </c>
      <c r="AG327" s="78">
        <v>0</v>
      </c>
      <c r="AH327" s="78">
        <v>170</v>
      </c>
      <c r="AI327" s="78">
        <v>34</v>
      </c>
      <c r="AJ327" s="78">
        <v>170</v>
      </c>
      <c r="AK327" s="78">
        <v>34</v>
      </c>
      <c r="AL327" s="78">
        <v>204</v>
      </c>
      <c r="AM327" s="78">
        <v>12303</v>
      </c>
      <c r="AN327" s="78">
        <v>12303</v>
      </c>
      <c r="AO327" s="78">
        <v>24</v>
      </c>
      <c r="AP327" s="78">
        <v>0</v>
      </c>
      <c r="AQ327" s="78">
        <v>0</v>
      </c>
      <c r="AR327" s="78">
        <v>0</v>
      </c>
      <c r="AS327" s="78">
        <v>0</v>
      </c>
      <c r="AT327" s="78">
        <v>0</v>
      </c>
      <c r="AU327" s="400">
        <v>5.77624E-4</v>
      </c>
      <c r="AV327" s="400">
        <v>2.26973E-4</v>
      </c>
      <c r="AW327" s="78">
        <v>5462.5320000000002</v>
      </c>
      <c r="AX327" s="78">
        <v>0</v>
      </c>
      <c r="AY327" s="78">
        <v>2026</v>
      </c>
      <c r="AZ327" s="78">
        <v>8377.3409051798299</v>
      </c>
      <c r="BA327" s="78">
        <v>10</v>
      </c>
      <c r="BB327" s="78">
        <v>10</v>
      </c>
      <c r="BC327" s="78">
        <v>2875</v>
      </c>
      <c r="BD327" s="78">
        <v>1</v>
      </c>
      <c r="BE327" s="78">
        <v>0</v>
      </c>
      <c r="BF327" s="78">
        <v>0</v>
      </c>
      <c r="BG327" s="78">
        <v>0</v>
      </c>
      <c r="BH327" s="78">
        <v>0</v>
      </c>
      <c r="BI327" s="78">
        <v>0</v>
      </c>
      <c r="BJ327" s="78">
        <v>0</v>
      </c>
      <c r="BK327" s="78">
        <v>0</v>
      </c>
      <c r="BL327" s="78">
        <v>0</v>
      </c>
      <c r="BM327" s="78">
        <v>300.52</v>
      </c>
      <c r="BN327" s="78">
        <v>30</v>
      </c>
      <c r="BO327" s="78">
        <v>17</v>
      </c>
      <c r="BP327" s="78">
        <v>7229.3</v>
      </c>
      <c r="BQ327" s="78">
        <v>1414.7</v>
      </c>
      <c r="BR327" s="78">
        <v>73.094334960341698</v>
      </c>
      <c r="BS327" s="78">
        <v>151</v>
      </c>
      <c r="BT327" s="78">
        <v>65.3333333333333</v>
      </c>
      <c r="BU327" s="78">
        <v>49.3333333333333</v>
      </c>
      <c r="BV327" s="78">
        <v>1693</v>
      </c>
      <c r="BW327" s="78">
        <v>638</v>
      </c>
      <c r="BX327" s="78">
        <v>5072.4596016202404</v>
      </c>
      <c r="BY327" s="402">
        <v>0.42499999999999999</v>
      </c>
      <c r="BZ327" s="78">
        <v>17323</v>
      </c>
      <c r="CA327" s="78">
        <v>3789</v>
      </c>
      <c r="CB327" s="78">
        <v>744</v>
      </c>
      <c r="CC327" s="78">
        <v>703</v>
      </c>
      <c r="CD327" s="78">
        <v>654</v>
      </c>
      <c r="CE327" s="78">
        <v>357</v>
      </c>
      <c r="CF327" s="78">
        <v>372.139567585142</v>
      </c>
      <c r="CG327" s="78">
        <v>236.299699260343</v>
      </c>
      <c r="CH327" s="78">
        <v>84.230455986344793</v>
      </c>
      <c r="CI327" s="78">
        <v>985.53139999999996</v>
      </c>
      <c r="CJ327" s="78">
        <v>625.78880000000004</v>
      </c>
      <c r="CK327" s="78">
        <v>223.06620000000001</v>
      </c>
      <c r="CL327" s="78">
        <v>227030</v>
      </c>
    </row>
    <row r="328" spans="1:90" x14ac:dyDescent="0.35">
      <c r="A328" s="72">
        <v>935</v>
      </c>
      <c r="B328" s="72" t="s">
        <v>195</v>
      </c>
      <c r="C328" s="72">
        <v>11</v>
      </c>
      <c r="D328" s="78">
        <v>13073200000</v>
      </c>
      <c r="E328" s="78">
        <v>2334500000</v>
      </c>
      <c r="F328" s="78">
        <v>2380700000</v>
      </c>
      <c r="G328" s="78">
        <v>121151</v>
      </c>
      <c r="H328" s="78">
        <v>1</v>
      </c>
      <c r="I328" s="78">
        <v>2380.6999999999998</v>
      </c>
      <c r="J328" s="78">
        <v>15368</v>
      </c>
      <c r="K328" s="78">
        <v>26963</v>
      </c>
      <c r="L328" s="78">
        <v>9338</v>
      </c>
      <c r="M328" s="78">
        <v>21046</v>
      </c>
      <c r="N328" s="78">
        <v>14369</v>
      </c>
      <c r="O328" s="78">
        <v>3554</v>
      </c>
      <c r="P328" s="78">
        <v>197</v>
      </c>
      <c r="Q328" s="78">
        <v>11590</v>
      </c>
      <c r="R328" s="78">
        <v>38364</v>
      </c>
      <c r="S328" s="78">
        <v>5670</v>
      </c>
      <c r="T328" s="78">
        <v>0</v>
      </c>
      <c r="U328" s="78">
        <v>3969</v>
      </c>
      <c r="V328" s="78">
        <v>71553</v>
      </c>
      <c r="W328" s="78">
        <v>135340</v>
      </c>
      <c r="X328" s="78">
        <v>190160</v>
      </c>
      <c r="Y328" s="78">
        <v>2926.34</v>
      </c>
      <c r="Z328" s="78">
        <v>4321.6000000000004</v>
      </c>
      <c r="AA328" s="78">
        <v>0</v>
      </c>
      <c r="AB328" s="399">
        <v>0</v>
      </c>
      <c r="AC328" s="399">
        <v>0</v>
      </c>
      <c r="AD328" s="78">
        <v>5575</v>
      </c>
      <c r="AE328" s="78">
        <v>5575</v>
      </c>
      <c r="AF328" s="78">
        <v>436</v>
      </c>
      <c r="AG328" s="78">
        <v>0</v>
      </c>
      <c r="AH328" s="78">
        <v>588</v>
      </c>
      <c r="AI328" s="78">
        <v>50</v>
      </c>
      <c r="AJ328" s="78">
        <v>588</v>
      </c>
      <c r="AK328" s="78">
        <v>50</v>
      </c>
      <c r="AL328" s="78">
        <v>637</v>
      </c>
      <c r="AM328" s="78">
        <v>66770</v>
      </c>
      <c r="AN328" s="78">
        <v>66770</v>
      </c>
      <c r="AO328" s="78">
        <v>0</v>
      </c>
      <c r="AP328" s="78">
        <v>0</v>
      </c>
      <c r="AQ328" s="78">
        <v>101</v>
      </c>
      <c r="AR328" s="78">
        <v>2600</v>
      </c>
      <c r="AS328" s="78">
        <v>12746</v>
      </c>
      <c r="AT328" s="78">
        <v>10137</v>
      </c>
      <c r="AU328" s="400">
        <v>8.721052E-3</v>
      </c>
      <c r="AV328" s="400">
        <v>1.0494013E-2</v>
      </c>
      <c r="AW328" s="78">
        <v>170196.73</v>
      </c>
      <c r="AX328" s="78">
        <v>0</v>
      </c>
      <c r="AY328" s="78">
        <v>1145</v>
      </c>
      <c r="AZ328" s="78">
        <v>23077.3407087007</v>
      </c>
      <c r="BA328" s="78">
        <v>2</v>
      </c>
      <c r="BB328" s="78">
        <v>2</v>
      </c>
      <c r="BC328" s="78">
        <v>13295</v>
      </c>
      <c r="BD328" s="78">
        <v>1</v>
      </c>
      <c r="BE328" s="78">
        <v>0</v>
      </c>
      <c r="BF328" s="78">
        <v>0</v>
      </c>
      <c r="BG328" s="78">
        <v>0</v>
      </c>
      <c r="BH328" s="78">
        <v>0</v>
      </c>
      <c r="BI328" s="78">
        <v>0</v>
      </c>
      <c r="BJ328" s="78">
        <v>0</v>
      </c>
      <c r="BK328" s="78">
        <v>0</v>
      </c>
      <c r="BL328" s="78">
        <v>0</v>
      </c>
      <c r="BM328" s="78">
        <v>3042.864</v>
      </c>
      <c r="BN328" s="78">
        <v>255</v>
      </c>
      <c r="BO328" s="78">
        <v>414</v>
      </c>
      <c r="BP328" s="78">
        <v>35337.39</v>
      </c>
      <c r="BQ328" s="78">
        <v>5484.51</v>
      </c>
      <c r="BR328" s="78">
        <v>747.47979415064697</v>
      </c>
      <c r="BS328" s="78">
        <v>1355</v>
      </c>
      <c r="BT328" s="78">
        <v>780.33333333333303</v>
      </c>
      <c r="BU328" s="78">
        <v>741</v>
      </c>
      <c r="BV328" s="78">
        <v>8036</v>
      </c>
      <c r="BW328" s="78">
        <v>2187</v>
      </c>
      <c r="BX328" s="78">
        <v>21923.970745007398</v>
      </c>
      <c r="BY328" s="402">
        <v>9.9740000000000002</v>
      </c>
      <c r="BZ328" s="78">
        <v>94188</v>
      </c>
      <c r="CA328" s="78">
        <v>14454</v>
      </c>
      <c r="CB328" s="78">
        <v>3171</v>
      </c>
      <c r="CC328" s="78">
        <v>4142</v>
      </c>
      <c r="CD328" s="78">
        <v>3489</v>
      </c>
      <c r="CE328" s="78">
        <v>1646</v>
      </c>
      <c r="CF328" s="78">
        <v>2051.9457091508202</v>
      </c>
      <c r="CG328" s="78">
        <v>1439.0520143777101</v>
      </c>
      <c r="CH328" s="78">
        <v>495.82411262543098</v>
      </c>
      <c r="CI328" s="78">
        <v>5052.5964999999997</v>
      </c>
      <c r="CJ328" s="78">
        <v>3543.4413</v>
      </c>
      <c r="CK328" s="78">
        <v>1220.8896</v>
      </c>
      <c r="CL328" s="78">
        <v>215033</v>
      </c>
    </row>
    <row r="329" spans="1:90" x14ac:dyDescent="0.35">
      <c r="A329" s="72">
        <v>938</v>
      </c>
      <c r="B329" s="72" t="s">
        <v>197</v>
      </c>
      <c r="C329" s="72">
        <v>11</v>
      </c>
      <c r="D329" s="78">
        <v>2068400000</v>
      </c>
      <c r="E329" s="78">
        <v>126700000</v>
      </c>
      <c r="F329" s="78">
        <v>137900000</v>
      </c>
      <c r="G329" s="78">
        <v>18581</v>
      </c>
      <c r="H329" s="78">
        <v>3</v>
      </c>
      <c r="I329" s="78">
        <v>137.9</v>
      </c>
      <c r="J329" s="78">
        <v>2943</v>
      </c>
      <c r="K329" s="78">
        <v>5135</v>
      </c>
      <c r="L329" s="78">
        <v>1862</v>
      </c>
      <c r="M329" s="78">
        <v>2333</v>
      </c>
      <c r="N329" s="78">
        <v>1453.9</v>
      </c>
      <c r="O329" s="78">
        <v>210.333333333333</v>
      </c>
      <c r="P329" s="78">
        <v>25</v>
      </c>
      <c r="Q329" s="78">
        <v>1248.3333333333301</v>
      </c>
      <c r="R329" s="78">
        <v>2673</v>
      </c>
      <c r="S329" s="78">
        <v>215</v>
      </c>
      <c r="T329" s="78">
        <v>0</v>
      </c>
      <c r="U329" s="78">
        <v>557</v>
      </c>
      <c r="V329" s="78">
        <v>8811</v>
      </c>
      <c r="W329" s="78">
        <v>14880</v>
      </c>
      <c r="X329" s="78">
        <v>4510</v>
      </c>
      <c r="Y329" s="78">
        <v>0</v>
      </c>
      <c r="Z329" s="78">
        <v>1060</v>
      </c>
      <c r="AA329" s="78">
        <v>0</v>
      </c>
      <c r="AB329" s="399">
        <v>0</v>
      </c>
      <c r="AC329" s="399">
        <v>10.5</v>
      </c>
      <c r="AD329" s="78">
        <v>2687</v>
      </c>
      <c r="AE329" s="78">
        <v>2687</v>
      </c>
      <c r="AF329" s="78">
        <v>83</v>
      </c>
      <c r="AG329" s="78">
        <v>0</v>
      </c>
      <c r="AH329" s="78">
        <v>116</v>
      </c>
      <c r="AI329" s="78">
        <v>15</v>
      </c>
      <c r="AJ329" s="78">
        <v>116</v>
      </c>
      <c r="AK329" s="78">
        <v>15</v>
      </c>
      <c r="AL329" s="78">
        <v>131</v>
      </c>
      <c r="AM329" s="78">
        <v>8791</v>
      </c>
      <c r="AN329" s="78">
        <v>8791</v>
      </c>
      <c r="AO329" s="78">
        <v>0</v>
      </c>
      <c r="AP329" s="78">
        <v>0</v>
      </c>
      <c r="AQ329" s="78">
        <v>0</v>
      </c>
      <c r="AR329" s="78">
        <v>0</v>
      </c>
      <c r="AS329" s="78">
        <v>589</v>
      </c>
      <c r="AT329" s="78">
        <v>0</v>
      </c>
      <c r="AU329" s="400">
        <v>4.99462E-4</v>
      </c>
      <c r="AV329" s="400">
        <v>2.9914200000000002E-4</v>
      </c>
      <c r="AW329" s="78">
        <v>5432.8379999999997</v>
      </c>
      <c r="AX329" s="78">
        <v>0</v>
      </c>
      <c r="AY329" s="78">
        <v>405</v>
      </c>
      <c r="AZ329" s="78">
        <v>2716.7166064981998</v>
      </c>
      <c r="BA329" s="78">
        <v>7</v>
      </c>
      <c r="BB329" s="78">
        <v>7</v>
      </c>
      <c r="BC329" s="78">
        <v>2120</v>
      </c>
      <c r="BD329" s="78">
        <v>1</v>
      </c>
      <c r="BE329" s="78">
        <v>0</v>
      </c>
      <c r="BF329" s="78">
        <v>0</v>
      </c>
      <c r="BG329" s="78">
        <v>0</v>
      </c>
      <c r="BH329" s="78">
        <v>0</v>
      </c>
      <c r="BI329" s="78">
        <v>0</v>
      </c>
      <c r="BJ329" s="78">
        <v>0</v>
      </c>
      <c r="BK329" s="78">
        <v>0</v>
      </c>
      <c r="BL329" s="78">
        <v>0</v>
      </c>
      <c r="BM329" s="78">
        <v>276.642</v>
      </c>
      <c r="BN329" s="78">
        <v>12</v>
      </c>
      <c r="BO329" s="78">
        <v>21</v>
      </c>
      <c r="BP329" s="78">
        <v>6292.96</v>
      </c>
      <c r="BQ329" s="78">
        <v>1297.5</v>
      </c>
      <c r="BR329" s="78">
        <v>117.837542577242</v>
      </c>
      <c r="BS329" s="78">
        <v>171</v>
      </c>
      <c r="BT329" s="78">
        <v>47.6666666666667</v>
      </c>
      <c r="BU329" s="78">
        <v>32.3333333333333</v>
      </c>
      <c r="BV329" s="78">
        <v>1037.999999999997</v>
      </c>
      <c r="BW329" s="78">
        <v>215</v>
      </c>
      <c r="BX329" s="78">
        <v>4021.3661154278998</v>
      </c>
      <c r="BY329" s="402">
        <v>0.38900000000000001</v>
      </c>
      <c r="BZ329" s="78">
        <v>13446</v>
      </c>
      <c r="CA329" s="78">
        <v>2643</v>
      </c>
      <c r="CB329" s="78">
        <v>630</v>
      </c>
      <c r="CC329" s="78">
        <v>489</v>
      </c>
      <c r="CD329" s="78">
        <v>573</v>
      </c>
      <c r="CE329" s="78">
        <v>296</v>
      </c>
      <c r="CF329" s="78">
        <v>265.44300989648502</v>
      </c>
      <c r="CG329" s="78">
        <v>209.21209191218301</v>
      </c>
      <c r="CH329" s="78">
        <v>72.604038220907796</v>
      </c>
      <c r="CI329" s="78">
        <v>620.33249999999998</v>
      </c>
      <c r="CJ329" s="78">
        <v>488.92250000000001</v>
      </c>
      <c r="CK329" s="78">
        <v>169.67349999999999</v>
      </c>
      <c r="CL329" s="78">
        <v>0</v>
      </c>
    </row>
    <row r="330" spans="1:90" x14ac:dyDescent="0.35">
      <c r="A330" s="72">
        <v>944</v>
      </c>
      <c r="B330" s="72" t="s">
        <v>209</v>
      </c>
      <c r="C330" s="72">
        <v>11</v>
      </c>
      <c r="D330" s="78">
        <v>1018000000</v>
      </c>
      <c r="E330" s="78">
        <v>57050000</v>
      </c>
      <c r="F330" s="78">
        <v>63000000</v>
      </c>
      <c r="G330" s="78">
        <v>7989</v>
      </c>
      <c r="H330" s="78">
        <v>1</v>
      </c>
      <c r="I330" s="78">
        <v>63</v>
      </c>
      <c r="J330" s="78">
        <v>1263</v>
      </c>
      <c r="K330" s="78">
        <v>2196</v>
      </c>
      <c r="L330" s="78">
        <v>763</v>
      </c>
      <c r="M330" s="78">
        <v>853</v>
      </c>
      <c r="N330" s="78">
        <v>477.9</v>
      </c>
      <c r="O330" s="78">
        <v>85.3333333333333</v>
      </c>
      <c r="P330" s="78">
        <v>5</v>
      </c>
      <c r="Q330" s="78">
        <v>380.33333333333297</v>
      </c>
      <c r="R330" s="78">
        <v>1137</v>
      </c>
      <c r="S330" s="78">
        <v>125</v>
      </c>
      <c r="T330" s="78">
        <v>0</v>
      </c>
      <c r="U330" s="78">
        <v>215</v>
      </c>
      <c r="V330" s="78">
        <v>3717</v>
      </c>
      <c r="W330" s="78">
        <v>5990</v>
      </c>
      <c r="X330" s="78">
        <v>910</v>
      </c>
      <c r="Y330" s="78">
        <v>0</v>
      </c>
      <c r="Z330" s="78">
        <v>169.6</v>
      </c>
      <c r="AA330" s="78">
        <v>0</v>
      </c>
      <c r="AB330" s="399">
        <v>0</v>
      </c>
      <c r="AC330" s="399">
        <v>0</v>
      </c>
      <c r="AD330" s="78">
        <v>1739</v>
      </c>
      <c r="AE330" s="78">
        <v>1739</v>
      </c>
      <c r="AF330" s="78">
        <v>142</v>
      </c>
      <c r="AG330" s="78">
        <v>0</v>
      </c>
      <c r="AH330" s="78">
        <v>46</v>
      </c>
      <c r="AI330" s="78">
        <v>9</v>
      </c>
      <c r="AJ330" s="78">
        <v>46</v>
      </c>
      <c r="AK330" s="78">
        <v>9</v>
      </c>
      <c r="AL330" s="78">
        <v>55</v>
      </c>
      <c r="AM330" s="78">
        <v>3751</v>
      </c>
      <c r="AN330" s="78">
        <v>3751</v>
      </c>
      <c r="AO330" s="78">
        <v>0</v>
      </c>
      <c r="AP330" s="78">
        <v>0</v>
      </c>
      <c r="AQ330" s="78">
        <v>0</v>
      </c>
      <c r="AR330" s="78">
        <v>0</v>
      </c>
      <c r="AS330" s="78">
        <v>0</v>
      </c>
      <c r="AT330" s="78">
        <v>0</v>
      </c>
      <c r="AU330" s="400">
        <v>4.2024999999999998E-5</v>
      </c>
      <c r="AV330" s="400">
        <v>5.9988000000000002E-5</v>
      </c>
      <c r="AW330" s="78">
        <v>1631.6849999999999</v>
      </c>
      <c r="AX330" s="78">
        <v>0</v>
      </c>
      <c r="AY330" s="78">
        <v>261</v>
      </c>
      <c r="AZ330" s="78">
        <v>1108.5215311004799</v>
      </c>
      <c r="BA330" s="78">
        <v>4</v>
      </c>
      <c r="BB330" s="78">
        <v>4</v>
      </c>
      <c r="BC330" s="78">
        <v>1065</v>
      </c>
      <c r="BD330" s="78">
        <v>1</v>
      </c>
      <c r="BE330" s="78">
        <v>0</v>
      </c>
      <c r="BF330" s="78">
        <v>0</v>
      </c>
      <c r="BG330" s="78">
        <v>0</v>
      </c>
      <c r="BH330" s="78">
        <v>0</v>
      </c>
      <c r="BI330" s="78">
        <v>0</v>
      </c>
      <c r="BJ330" s="78">
        <v>0</v>
      </c>
      <c r="BK330" s="78">
        <v>0</v>
      </c>
      <c r="BL330" s="78">
        <v>0</v>
      </c>
      <c r="BM330" s="78">
        <v>95.988</v>
      </c>
      <c r="BN330" s="78">
        <v>1</v>
      </c>
      <c r="BO330" s="78">
        <v>9</v>
      </c>
      <c r="BP330" s="78">
        <v>3096.55</v>
      </c>
      <c r="BQ330" s="78">
        <v>501.84</v>
      </c>
      <c r="BR330" s="78">
        <v>39.950684210526298</v>
      </c>
      <c r="BS330" s="78">
        <v>78</v>
      </c>
      <c r="BT330" s="78">
        <v>19.3333333333333</v>
      </c>
      <c r="BU330" s="78">
        <v>14.3333333333333</v>
      </c>
      <c r="BV330" s="78">
        <v>294.99999999999966</v>
      </c>
      <c r="BW330" s="78">
        <v>78</v>
      </c>
      <c r="BX330" s="78">
        <v>1371.65544063725</v>
      </c>
      <c r="BY330" s="402">
        <v>0.112</v>
      </c>
      <c r="BZ330" s="78">
        <v>5793</v>
      </c>
      <c r="CA330" s="78">
        <v>1197</v>
      </c>
      <c r="CB330" s="78">
        <v>236</v>
      </c>
      <c r="CC330" s="78">
        <v>232</v>
      </c>
      <c r="CD330" s="78">
        <v>218</v>
      </c>
      <c r="CE330" s="78">
        <v>132</v>
      </c>
      <c r="CF330" s="78">
        <v>92.624180218608402</v>
      </c>
      <c r="CG330" s="78">
        <v>65.741508930951696</v>
      </c>
      <c r="CH330" s="78">
        <v>23.570114636096999</v>
      </c>
      <c r="CI330" s="78">
        <v>223.47980000000001</v>
      </c>
      <c r="CJ330" s="78">
        <v>158.61840000000001</v>
      </c>
      <c r="CK330" s="78">
        <v>56.869</v>
      </c>
      <c r="CL330" s="78">
        <v>9855</v>
      </c>
    </row>
    <row r="331" spans="1:90" x14ac:dyDescent="0.35">
      <c r="A331" s="72">
        <v>946</v>
      </c>
      <c r="B331" s="72" t="s">
        <v>211</v>
      </c>
      <c r="C331" s="72">
        <v>11</v>
      </c>
      <c r="D331" s="78">
        <v>1794400000</v>
      </c>
      <c r="E331" s="78">
        <v>268100000</v>
      </c>
      <c r="F331" s="78">
        <v>290150000</v>
      </c>
      <c r="G331" s="78">
        <v>17323</v>
      </c>
      <c r="H331" s="78">
        <v>2</v>
      </c>
      <c r="I331" s="78">
        <v>290.14999999999998</v>
      </c>
      <c r="J331" s="78">
        <v>2897</v>
      </c>
      <c r="K331" s="78">
        <v>4199</v>
      </c>
      <c r="L331" s="78">
        <v>1367</v>
      </c>
      <c r="M331" s="78">
        <v>2140</v>
      </c>
      <c r="N331" s="78">
        <v>1378.6</v>
      </c>
      <c r="O331" s="78">
        <v>128</v>
      </c>
      <c r="P331" s="78">
        <v>18</v>
      </c>
      <c r="Q331" s="78">
        <v>991</v>
      </c>
      <c r="R331" s="78">
        <v>2172</v>
      </c>
      <c r="S331" s="78">
        <v>180</v>
      </c>
      <c r="T331" s="78">
        <v>0</v>
      </c>
      <c r="U331" s="78">
        <v>360</v>
      </c>
      <c r="V331" s="78">
        <v>7689</v>
      </c>
      <c r="W331" s="78">
        <v>15730</v>
      </c>
      <c r="X331" s="78">
        <v>6160</v>
      </c>
      <c r="Y331" s="78">
        <v>0</v>
      </c>
      <c r="Z331" s="78">
        <v>0</v>
      </c>
      <c r="AA331" s="78">
        <v>0</v>
      </c>
      <c r="AB331" s="399">
        <v>0</v>
      </c>
      <c r="AC331" s="399">
        <v>0</v>
      </c>
      <c r="AD331" s="78">
        <v>9990</v>
      </c>
      <c r="AE331" s="78">
        <v>9990</v>
      </c>
      <c r="AF331" s="78">
        <v>189</v>
      </c>
      <c r="AG331" s="78">
        <v>0</v>
      </c>
      <c r="AH331" s="78">
        <v>134</v>
      </c>
      <c r="AI331" s="78">
        <v>134</v>
      </c>
      <c r="AJ331" s="78">
        <v>134</v>
      </c>
      <c r="AK331" s="78">
        <v>134</v>
      </c>
      <c r="AL331" s="78">
        <v>269</v>
      </c>
      <c r="AM331" s="78">
        <v>7614</v>
      </c>
      <c r="AN331" s="78">
        <v>7614</v>
      </c>
      <c r="AO331" s="78">
        <v>0</v>
      </c>
      <c r="AP331" s="78">
        <v>0</v>
      </c>
      <c r="AQ331" s="78">
        <v>0</v>
      </c>
      <c r="AR331" s="78">
        <v>0</v>
      </c>
      <c r="AS331" s="78">
        <v>0</v>
      </c>
      <c r="AT331" s="78">
        <v>0</v>
      </c>
      <c r="AU331" s="400">
        <v>1.95902E-4</v>
      </c>
      <c r="AV331" s="400">
        <v>1.0128600000000001E-4</v>
      </c>
      <c r="AW331" s="78">
        <v>4933.8720000000003</v>
      </c>
      <c r="AX331" s="78">
        <v>0</v>
      </c>
      <c r="AY331" s="78">
        <v>1337</v>
      </c>
      <c r="AZ331" s="78">
        <v>2275.3562235976001</v>
      </c>
      <c r="BA331" s="78">
        <v>9</v>
      </c>
      <c r="BB331" s="78">
        <v>9</v>
      </c>
      <c r="BC331" s="78">
        <v>2410</v>
      </c>
      <c r="BD331" s="78">
        <v>1</v>
      </c>
      <c r="BE331" s="78">
        <v>0</v>
      </c>
      <c r="BF331" s="78">
        <v>0</v>
      </c>
      <c r="BG331" s="78">
        <v>0</v>
      </c>
      <c r="BH331" s="78">
        <v>0</v>
      </c>
      <c r="BI331" s="78">
        <v>0</v>
      </c>
      <c r="BJ331" s="78">
        <v>0</v>
      </c>
      <c r="BK331" s="78">
        <v>0</v>
      </c>
      <c r="BL331" s="78">
        <v>0</v>
      </c>
      <c r="BM331" s="78">
        <v>278.11200000000002</v>
      </c>
      <c r="BN331" s="78">
        <v>25</v>
      </c>
      <c r="BO331" s="78">
        <v>20</v>
      </c>
      <c r="BP331" s="78">
        <v>5016.96</v>
      </c>
      <c r="BQ331" s="78">
        <v>1064.58</v>
      </c>
      <c r="BR331" s="78">
        <v>75.478935152234101</v>
      </c>
      <c r="BS331" s="78">
        <v>129</v>
      </c>
      <c r="BT331" s="78">
        <v>32.6666666666667</v>
      </c>
      <c r="BU331" s="78">
        <v>21.6666666666667</v>
      </c>
      <c r="BV331" s="78">
        <v>863</v>
      </c>
      <c r="BW331" s="78">
        <v>223</v>
      </c>
      <c r="BX331" s="78">
        <v>3123.8904571661501</v>
      </c>
      <c r="BY331" s="402">
        <v>8.5000000000000006E-2</v>
      </c>
      <c r="BZ331" s="78">
        <v>13124</v>
      </c>
      <c r="CA331" s="78">
        <v>2364</v>
      </c>
      <c r="CB331" s="78">
        <v>468</v>
      </c>
      <c r="CC331" s="78">
        <v>381</v>
      </c>
      <c r="CD331" s="78">
        <v>401</v>
      </c>
      <c r="CE331" s="78">
        <v>231</v>
      </c>
      <c r="CF331" s="78">
        <v>256.925847123719</v>
      </c>
      <c r="CG331" s="78">
        <v>165.308878381928</v>
      </c>
      <c r="CH331" s="78">
        <v>62.466115051221401</v>
      </c>
      <c r="CI331" s="78">
        <v>654.30089999999996</v>
      </c>
      <c r="CJ331" s="78">
        <v>420.98430000000002</v>
      </c>
      <c r="CK331" s="78">
        <v>159.0795</v>
      </c>
      <c r="CL331" s="78">
        <v>0</v>
      </c>
    </row>
    <row r="332" spans="1:90" x14ac:dyDescent="0.35">
      <c r="A332" s="72">
        <v>1894</v>
      </c>
      <c r="B332" s="72" t="s">
        <v>244</v>
      </c>
      <c r="C332" s="72">
        <v>11</v>
      </c>
      <c r="D332" s="78">
        <v>4368000000</v>
      </c>
      <c r="E332" s="78">
        <v>650300000</v>
      </c>
      <c r="F332" s="78">
        <v>698600000</v>
      </c>
      <c r="G332" s="78">
        <v>44278</v>
      </c>
      <c r="H332" s="78">
        <v>6</v>
      </c>
      <c r="I332" s="78">
        <v>698.6</v>
      </c>
      <c r="J332" s="78">
        <v>7614</v>
      </c>
      <c r="K332" s="78">
        <v>10310</v>
      </c>
      <c r="L332" s="78">
        <v>3386</v>
      </c>
      <c r="M332" s="78">
        <v>5321</v>
      </c>
      <c r="N332" s="78">
        <v>3374.7</v>
      </c>
      <c r="O332" s="78">
        <v>361</v>
      </c>
      <c r="P332" s="78">
        <v>97</v>
      </c>
      <c r="Q332" s="78">
        <v>2431</v>
      </c>
      <c r="R332" s="78">
        <v>5522</v>
      </c>
      <c r="S332" s="78">
        <v>1020</v>
      </c>
      <c r="T332" s="78">
        <v>0</v>
      </c>
      <c r="U332" s="78">
        <v>954</v>
      </c>
      <c r="V332" s="78">
        <v>19619</v>
      </c>
      <c r="W332" s="78">
        <v>39490</v>
      </c>
      <c r="X332" s="78">
        <v>16570</v>
      </c>
      <c r="Y332" s="78">
        <v>89.1</v>
      </c>
      <c r="Z332" s="78">
        <v>1188.8</v>
      </c>
      <c r="AA332" s="78">
        <v>0</v>
      </c>
      <c r="AB332" s="399">
        <v>0</v>
      </c>
      <c r="AC332" s="399">
        <v>0</v>
      </c>
      <c r="AD332" s="78">
        <v>15928</v>
      </c>
      <c r="AE332" s="78">
        <v>15928</v>
      </c>
      <c r="AF332" s="78">
        <v>207</v>
      </c>
      <c r="AG332" s="78">
        <v>0</v>
      </c>
      <c r="AH332" s="78">
        <v>289</v>
      </c>
      <c r="AI332" s="78">
        <v>234</v>
      </c>
      <c r="AJ332" s="78">
        <v>289</v>
      </c>
      <c r="AK332" s="78">
        <v>234</v>
      </c>
      <c r="AL332" s="78">
        <v>523</v>
      </c>
      <c r="AM332" s="78">
        <v>19463</v>
      </c>
      <c r="AN332" s="78">
        <v>19463</v>
      </c>
      <c r="AO332" s="78">
        <v>5</v>
      </c>
      <c r="AP332" s="78">
        <v>0</v>
      </c>
      <c r="AQ332" s="78">
        <v>0</v>
      </c>
      <c r="AR332" s="78">
        <v>0</v>
      </c>
      <c r="AS332" s="78">
        <v>0</v>
      </c>
      <c r="AT332" s="78">
        <v>0</v>
      </c>
      <c r="AU332" s="400">
        <v>4.1444399999999998E-4</v>
      </c>
      <c r="AV332" s="400">
        <v>2.5300499999999999E-4</v>
      </c>
      <c r="AW332" s="78">
        <v>11463.707</v>
      </c>
      <c r="AX332" s="78">
        <v>0</v>
      </c>
      <c r="AY332" s="78">
        <v>1869</v>
      </c>
      <c r="AZ332" s="78">
        <v>5128.94837310195</v>
      </c>
      <c r="BA332" s="78">
        <v>19</v>
      </c>
      <c r="BB332" s="78">
        <v>19</v>
      </c>
      <c r="BC332" s="78">
        <v>5020</v>
      </c>
      <c r="BD332" s="78">
        <v>1</v>
      </c>
      <c r="BE332" s="78">
        <v>0</v>
      </c>
      <c r="BF332" s="78">
        <v>0</v>
      </c>
      <c r="BG332" s="78">
        <v>0</v>
      </c>
      <c r="BH332" s="78">
        <v>0</v>
      </c>
      <c r="BI332" s="78">
        <v>0</v>
      </c>
      <c r="BJ332" s="78">
        <v>0</v>
      </c>
      <c r="BK332" s="78">
        <v>0</v>
      </c>
      <c r="BL332" s="78">
        <v>0</v>
      </c>
      <c r="BM332" s="78">
        <v>586.27800000000002</v>
      </c>
      <c r="BN332" s="78">
        <v>73</v>
      </c>
      <c r="BO332" s="78">
        <v>64</v>
      </c>
      <c r="BP332" s="78">
        <v>12299.95</v>
      </c>
      <c r="BQ332" s="78">
        <v>2732.6</v>
      </c>
      <c r="BR332" s="78">
        <v>173.21127115297</v>
      </c>
      <c r="BS332" s="78">
        <v>351</v>
      </c>
      <c r="BT332" s="78">
        <v>97.3333333333333</v>
      </c>
      <c r="BU332" s="78">
        <v>73</v>
      </c>
      <c r="BV332" s="78">
        <v>2070</v>
      </c>
      <c r="BW332" s="78">
        <v>617</v>
      </c>
      <c r="BX332" s="78">
        <v>8521.7402290425998</v>
      </c>
      <c r="BY332" s="402">
        <v>0.22</v>
      </c>
      <c r="BZ332" s="78">
        <v>33968</v>
      </c>
      <c r="CA332" s="78">
        <v>5876</v>
      </c>
      <c r="CB332" s="78">
        <v>1048</v>
      </c>
      <c r="CC332" s="78">
        <v>965</v>
      </c>
      <c r="CD332" s="78">
        <v>957</v>
      </c>
      <c r="CE332" s="78">
        <v>512</v>
      </c>
      <c r="CF332" s="78">
        <v>610.33468632790402</v>
      </c>
      <c r="CG332" s="78">
        <v>387.18106663926397</v>
      </c>
      <c r="CH332" s="78">
        <v>125.014576375687</v>
      </c>
      <c r="CI332" s="78">
        <v>1651.5840000000001</v>
      </c>
      <c r="CJ332" s="78">
        <v>1047.7236</v>
      </c>
      <c r="CK332" s="78">
        <v>338.29320000000001</v>
      </c>
      <c r="CL332" s="78">
        <v>76193</v>
      </c>
    </row>
    <row r="333" spans="1:90" x14ac:dyDescent="0.35">
      <c r="A333" s="72">
        <v>1669</v>
      </c>
      <c r="B333" s="72" t="s">
        <v>259</v>
      </c>
      <c r="C333" s="72">
        <v>11</v>
      </c>
      <c r="D333" s="78">
        <v>2003600000</v>
      </c>
      <c r="E333" s="78">
        <v>155400000</v>
      </c>
      <c r="F333" s="78">
        <v>173950000</v>
      </c>
      <c r="G333" s="78">
        <v>20558</v>
      </c>
      <c r="H333" s="78">
        <v>5</v>
      </c>
      <c r="I333" s="78">
        <v>173.95</v>
      </c>
      <c r="J333" s="78">
        <v>3131</v>
      </c>
      <c r="K333" s="78">
        <v>5765</v>
      </c>
      <c r="L333" s="78">
        <v>1914</v>
      </c>
      <c r="M333" s="78">
        <v>2776</v>
      </c>
      <c r="N333" s="78">
        <v>1778.4</v>
      </c>
      <c r="O333" s="78">
        <v>253</v>
      </c>
      <c r="P333" s="78">
        <v>28</v>
      </c>
      <c r="Q333" s="78">
        <v>1552</v>
      </c>
      <c r="R333" s="78">
        <v>2966</v>
      </c>
      <c r="S333" s="78">
        <v>285</v>
      </c>
      <c r="T333" s="78">
        <v>0</v>
      </c>
      <c r="U333" s="78">
        <v>592</v>
      </c>
      <c r="V333" s="78">
        <v>9788</v>
      </c>
      <c r="W333" s="78">
        <v>16590</v>
      </c>
      <c r="X333" s="78">
        <v>3270</v>
      </c>
      <c r="Y333" s="78">
        <v>0</v>
      </c>
      <c r="Z333" s="78">
        <v>0</v>
      </c>
      <c r="AA333" s="78">
        <v>0</v>
      </c>
      <c r="AB333" s="399">
        <v>0</v>
      </c>
      <c r="AC333" s="399">
        <v>0</v>
      </c>
      <c r="AD333" s="78">
        <v>8822</v>
      </c>
      <c r="AE333" s="78">
        <v>8822</v>
      </c>
      <c r="AF333" s="78">
        <v>56</v>
      </c>
      <c r="AG333" s="78">
        <v>0</v>
      </c>
      <c r="AH333" s="78">
        <v>146</v>
      </c>
      <c r="AI333" s="78">
        <v>42</v>
      </c>
      <c r="AJ333" s="78">
        <v>146</v>
      </c>
      <c r="AK333" s="78">
        <v>42</v>
      </c>
      <c r="AL333" s="78">
        <v>187</v>
      </c>
      <c r="AM333" s="78">
        <v>9976</v>
      </c>
      <c r="AN333" s="78">
        <v>9976</v>
      </c>
      <c r="AO333" s="78">
        <v>7</v>
      </c>
      <c r="AP333" s="78">
        <v>0</v>
      </c>
      <c r="AQ333" s="78">
        <v>0</v>
      </c>
      <c r="AR333" s="78">
        <v>0</v>
      </c>
      <c r="AS333" s="78">
        <v>0</v>
      </c>
      <c r="AT333" s="78">
        <v>0</v>
      </c>
      <c r="AU333" s="400">
        <v>2.61706E-4</v>
      </c>
      <c r="AV333" s="400">
        <v>1.9823799999999999E-4</v>
      </c>
      <c r="AW333" s="78">
        <v>3890.64</v>
      </c>
      <c r="AX333" s="78">
        <v>0</v>
      </c>
      <c r="AY333" s="78">
        <v>830</v>
      </c>
      <c r="AZ333" s="78">
        <v>1921.9576481189499</v>
      </c>
      <c r="BA333" s="78">
        <v>11</v>
      </c>
      <c r="BB333" s="78">
        <v>11</v>
      </c>
      <c r="BC333" s="78">
        <v>2015</v>
      </c>
      <c r="BD333" s="78">
        <v>1</v>
      </c>
      <c r="BE333" s="78">
        <v>0</v>
      </c>
      <c r="BF333" s="78">
        <v>0</v>
      </c>
      <c r="BG333" s="78">
        <v>0</v>
      </c>
      <c r="BH333" s="78">
        <v>0</v>
      </c>
      <c r="BI333" s="78">
        <v>0</v>
      </c>
      <c r="BJ333" s="78">
        <v>0</v>
      </c>
      <c r="BK333" s="78">
        <v>0</v>
      </c>
      <c r="BL333" s="78">
        <v>0</v>
      </c>
      <c r="BM333" s="78">
        <v>344.41</v>
      </c>
      <c r="BN333" s="78">
        <v>64</v>
      </c>
      <c r="BO333" s="78">
        <v>25</v>
      </c>
      <c r="BP333" s="78">
        <v>6316.09</v>
      </c>
      <c r="BQ333" s="78">
        <v>1196.58</v>
      </c>
      <c r="BR333" s="78">
        <v>88.357145580589304</v>
      </c>
      <c r="BS333" s="78">
        <v>200</v>
      </c>
      <c r="BT333" s="78">
        <v>71</v>
      </c>
      <c r="BU333" s="78">
        <v>63.6666666666667</v>
      </c>
      <c r="BV333" s="78">
        <v>1299</v>
      </c>
      <c r="BW333" s="78">
        <v>265</v>
      </c>
      <c r="BX333" s="78">
        <v>4478.6072497570503</v>
      </c>
      <c r="BY333" s="402">
        <v>0.44600000000000001</v>
      </c>
      <c r="BZ333" s="78">
        <v>14793</v>
      </c>
      <c r="CA333" s="78">
        <v>3280</v>
      </c>
      <c r="CB333" s="78">
        <v>571</v>
      </c>
      <c r="CC333" s="78">
        <v>622</v>
      </c>
      <c r="CD333" s="78">
        <v>584</v>
      </c>
      <c r="CE333" s="78">
        <v>277</v>
      </c>
      <c r="CF333" s="78">
        <v>357.24875701683999</v>
      </c>
      <c r="CG333" s="78">
        <v>232.996070569366</v>
      </c>
      <c r="CH333" s="78">
        <v>71.485404971932596</v>
      </c>
      <c r="CI333" s="78">
        <v>916.02840000000003</v>
      </c>
      <c r="CJ333" s="78">
        <v>597.42970000000003</v>
      </c>
      <c r="CK333" s="78">
        <v>183.2971</v>
      </c>
      <c r="CL333" s="78">
        <v>0</v>
      </c>
    </row>
    <row r="334" spans="1:90" x14ac:dyDescent="0.35">
      <c r="A334" s="72">
        <v>957</v>
      </c>
      <c r="B334" s="72" t="s">
        <v>260</v>
      </c>
      <c r="C334" s="72">
        <v>11</v>
      </c>
      <c r="D334" s="78">
        <v>5618400000</v>
      </c>
      <c r="E334" s="78">
        <v>1302000000</v>
      </c>
      <c r="F334" s="78">
        <v>1336300000</v>
      </c>
      <c r="G334" s="78">
        <v>59184</v>
      </c>
      <c r="H334" s="78">
        <v>2</v>
      </c>
      <c r="I334" s="78">
        <v>1336.3</v>
      </c>
      <c r="J334" s="78">
        <v>10243</v>
      </c>
      <c r="K334" s="78">
        <v>13024</v>
      </c>
      <c r="L334" s="78">
        <v>4221</v>
      </c>
      <c r="M334" s="78">
        <v>10605</v>
      </c>
      <c r="N334" s="78">
        <v>7676.4</v>
      </c>
      <c r="O334" s="78">
        <v>1639</v>
      </c>
      <c r="P334" s="78">
        <v>148</v>
      </c>
      <c r="Q334" s="78">
        <v>5927</v>
      </c>
      <c r="R334" s="78">
        <v>11869</v>
      </c>
      <c r="S334" s="78">
        <v>5585</v>
      </c>
      <c r="T334" s="78">
        <v>0</v>
      </c>
      <c r="U334" s="78">
        <v>2225</v>
      </c>
      <c r="V334" s="78">
        <v>29487</v>
      </c>
      <c r="W334" s="78">
        <v>68190</v>
      </c>
      <c r="X334" s="78">
        <v>80440</v>
      </c>
      <c r="Y334" s="78">
        <v>2643.34</v>
      </c>
      <c r="Z334" s="78">
        <v>2922.4</v>
      </c>
      <c r="AA334" s="78">
        <v>74.900000000000006</v>
      </c>
      <c r="AB334" s="399">
        <v>0</v>
      </c>
      <c r="AC334" s="399">
        <v>0</v>
      </c>
      <c r="AD334" s="78">
        <v>6057</v>
      </c>
      <c r="AE334" s="78">
        <v>6057</v>
      </c>
      <c r="AF334" s="78">
        <v>1048</v>
      </c>
      <c r="AG334" s="78">
        <v>0</v>
      </c>
      <c r="AH334" s="78">
        <v>363</v>
      </c>
      <c r="AI334" s="78">
        <v>86</v>
      </c>
      <c r="AJ334" s="78">
        <v>363</v>
      </c>
      <c r="AK334" s="78">
        <v>86</v>
      </c>
      <c r="AL334" s="78">
        <v>449</v>
      </c>
      <c r="AM334" s="78">
        <v>29286</v>
      </c>
      <c r="AN334" s="78">
        <v>29286</v>
      </c>
      <c r="AO334" s="78">
        <v>34</v>
      </c>
      <c r="AP334" s="78">
        <v>0</v>
      </c>
      <c r="AQ334" s="78">
        <v>0</v>
      </c>
      <c r="AR334" s="78">
        <v>0</v>
      </c>
      <c r="AS334" s="78">
        <v>3316</v>
      </c>
      <c r="AT334" s="78">
        <v>2811</v>
      </c>
      <c r="AU334" s="400">
        <v>2.9356959999999998E-3</v>
      </c>
      <c r="AV334" s="400">
        <v>3.1542530000000001E-3</v>
      </c>
      <c r="AW334" s="78">
        <v>46359.737999999998</v>
      </c>
      <c r="AX334" s="78">
        <v>0</v>
      </c>
      <c r="AY334" s="78">
        <v>2281</v>
      </c>
      <c r="AZ334" s="78">
        <v>19000.521323011999</v>
      </c>
      <c r="BA334" s="78">
        <v>9</v>
      </c>
      <c r="BB334" s="78">
        <v>9</v>
      </c>
      <c r="BC334" s="78">
        <v>6805</v>
      </c>
      <c r="BD334" s="78">
        <v>1</v>
      </c>
      <c r="BE334" s="78">
        <v>0</v>
      </c>
      <c r="BF334" s="78">
        <v>0</v>
      </c>
      <c r="BG334" s="78">
        <v>0</v>
      </c>
      <c r="BH334" s="78">
        <v>0</v>
      </c>
      <c r="BI334" s="78">
        <v>0</v>
      </c>
      <c r="BJ334" s="78">
        <v>0</v>
      </c>
      <c r="BK334" s="78">
        <v>0</v>
      </c>
      <c r="BL334" s="78">
        <v>0</v>
      </c>
      <c r="BM334" s="78">
        <v>1884.712</v>
      </c>
      <c r="BN334" s="78">
        <v>189</v>
      </c>
      <c r="BO334" s="78">
        <v>336</v>
      </c>
      <c r="BP334" s="78">
        <v>17229.599999999999</v>
      </c>
      <c r="BQ334" s="78">
        <v>3421.42</v>
      </c>
      <c r="BR334" s="78">
        <v>391.31917784564803</v>
      </c>
      <c r="BS334" s="78">
        <v>813</v>
      </c>
      <c r="BT334" s="78">
        <v>435.33333333333297</v>
      </c>
      <c r="BU334" s="78">
        <v>402</v>
      </c>
      <c r="BV334" s="78">
        <v>4288</v>
      </c>
      <c r="BW334" s="78">
        <v>908</v>
      </c>
      <c r="BX334" s="78">
        <v>11252.483517859901</v>
      </c>
      <c r="BY334" s="402">
        <v>4.71</v>
      </c>
      <c r="BZ334" s="78">
        <v>46160</v>
      </c>
      <c r="CA334" s="78">
        <v>7461</v>
      </c>
      <c r="CB334" s="78">
        <v>1342</v>
      </c>
      <c r="CC334" s="78">
        <v>2125</v>
      </c>
      <c r="CD334" s="78">
        <v>1625</v>
      </c>
      <c r="CE334" s="78">
        <v>735</v>
      </c>
      <c r="CF334" s="78">
        <v>1286.4771972956401</v>
      </c>
      <c r="CG334" s="78">
        <v>807.58684695759098</v>
      </c>
      <c r="CH334" s="78">
        <v>256.87604998975598</v>
      </c>
      <c r="CI334" s="78">
        <v>2578.1723999999999</v>
      </c>
      <c r="CJ334" s="78">
        <v>1618.4493</v>
      </c>
      <c r="CK334" s="78">
        <v>514.79399999999998</v>
      </c>
      <c r="CL334" s="78">
        <v>46650</v>
      </c>
    </row>
    <row r="335" spans="1:90" x14ac:dyDescent="0.35">
      <c r="A335" s="72">
        <v>965</v>
      </c>
      <c r="B335" s="72" t="s">
        <v>272</v>
      </c>
      <c r="C335" s="72">
        <v>11</v>
      </c>
      <c r="D335" s="78">
        <v>864800000</v>
      </c>
      <c r="E335" s="78">
        <v>60900000</v>
      </c>
      <c r="F335" s="78">
        <v>69300000</v>
      </c>
      <c r="G335" s="78">
        <v>10425</v>
      </c>
      <c r="H335" s="78">
        <v>2</v>
      </c>
      <c r="I335" s="78">
        <v>69.3</v>
      </c>
      <c r="J335" s="78">
        <v>1608</v>
      </c>
      <c r="K335" s="78">
        <v>2850</v>
      </c>
      <c r="L335" s="78">
        <v>1060</v>
      </c>
      <c r="M335" s="78">
        <v>1585</v>
      </c>
      <c r="N335" s="78">
        <v>1041.3</v>
      </c>
      <c r="O335" s="78">
        <v>125.333333333333</v>
      </c>
      <c r="P335" s="78">
        <v>14</v>
      </c>
      <c r="Q335" s="78">
        <v>828.33333333333303</v>
      </c>
      <c r="R335" s="78">
        <v>1684</v>
      </c>
      <c r="S335" s="78">
        <v>95</v>
      </c>
      <c r="T335" s="78">
        <v>0</v>
      </c>
      <c r="U335" s="78">
        <v>326</v>
      </c>
      <c r="V335" s="78">
        <v>5020</v>
      </c>
      <c r="W335" s="78">
        <v>7900</v>
      </c>
      <c r="X335" s="78">
        <v>1550</v>
      </c>
      <c r="Y335" s="78">
        <v>0</v>
      </c>
      <c r="Z335" s="78">
        <v>0</v>
      </c>
      <c r="AA335" s="78">
        <v>0</v>
      </c>
      <c r="AB335" s="399">
        <v>0</v>
      </c>
      <c r="AC335" s="399">
        <v>0</v>
      </c>
      <c r="AD335" s="78">
        <v>1603</v>
      </c>
      <c r="AE335" s="78">
        <v>1603</v>
      </c>
      <c r="AF335" s="78">
        <v>0</v>
      </c>
      <c r="AG335" s="78">
        <v>0</v>
      </c>
      <c r="AH335" s="78">
        <v>63</v>
      </c>
      <c r="AI335" s="78">
        <v>6</v>
      </c>
      <c r="AJ335" s="78">
        <v>63</v>
      </c>
      <c r="AK335" s="78">
        <v>6</v>
      </c>
      <c r="AL335" s="78">
        <v>70</v>
      </c>
      <c r="AM335" s="78">
        <v>5437</v>
      </c>
      <c r="AN335" s="78">
        <v>5437</v>
      </c>
      <c r="AO335" s="78">
        <v>0</v>
      </c>
      <c r="AP335" s="78">
        <v>0</v>
      </c>
      <c r="AQ335" s="78">
        <v>0</v>
      </c>
      <c r="AR335" s="78">
        <v>0</v>
      </c>
      <c r="AS335" s="78">
        <v>0</v>
      </c>
      <c r="AT335" s="78">
        <v>0</v>
      </c>
      <c r="AU335" s="400">
        <v>3.1818200000000002E-4</v>
      </c>
      <c r="AV335" s="400">
        <v>3.2073399999999998E-4</v>
      </c>
      <c r="AW335" s="78">
        <v>3724.3449999999998</v>
      </c>
      <c r="AX335" s="78">
        <v>0</v>
      </c>
      <c r="AY335" s="78">
        <v>44</v>
      </c>
      <c r="AZ335" s="78">
        <v>286.15096693699297</v>
      </c>
      <c r="BA335" s="78">
        <v>3</v>
      </c>
      <c r="BB335" s="78">
        <v>3</v>
      </c>
      <c r="BC335" s="78">
        <v>915</v>
      </c>
      <c r="BD335" s="78">
        <v>1</v>
      </c>
      <c r="BE335" s="78">
        <v>0</v>
      </c>
      <c r="BF335" s="78">
        <v>0</v>
      </c>
      <c r="BG335" s="78">
        <v>0</v>
      </c>
      <c r="BH335" s="78">
        <v>0</v>
      </c>
      <c r="BI335" s="78">
        <v>0</v>
      </c>
      <c r="BJ335" s="78">
        <v>0</v>
      </c>
      <c r="BK335" s="78">
        <v>0</v>
      </c>
      <c r="BL335" s="78">
        <v>0</v>
      </c>
      <c r="BM335" s="78">
        <v>151.15199999999999</v>
      </c>
      <c r="BN335" s="78">
        <v>27</v>
      </c>
      <c r="BO335" s="78">
        <v>9</v>
      </c>
      <c r="BP335" s="78">
        <v>3105.27</v>
      </c>
      <c r="BQ335" s="78">
        <v>599.76</v>
      </c>
      <c r="BR335" s="78">
        <v>53.327463777928202</v>
      </c>
      <c r="BS335" s="78">
        <v>98</v>
      </c>
      <c r="BT335" s="78">
        <v>36.6666666666667</v>
      </c>
      <c r="BU335" s="78">
        <v>27</v>
      </c>
      <c r="BV335" s="78">
        <v>703</v>
      </c>
      <c r="BW335" s="78">
        <v>127</v>
      </c>
      <c r="BX335" s="78">
        <v>2369.9387229168701</v>
      </c>
      <c r="BY335" s="402">
        <v>0.25600000000000001</v>
      </c>
      <c r="BZ335" s="78">
        <v>7575</v>
      </c>
      <c r="CA335" s="78">
        <v>1482</v>
      </c>
      <c r="CB335" s="78">
        <v>308</v>
      </c>
      <c r="CC335" s="78">
        <v>307</v>
      </c>
      <c r="CD335" s="78">
        <v>353</v>
      </c>
      <c r="CE335" s="78">
        <v>160</v>
      </c>
      <c r="CF335" s="78">
        <v>175.05024829869399</v>
      </c>
      <c r="CG335" s="78">
        <v>144.789920912268</v>
      </c>
      <c r="CH335" s="78">
        <v>45.582012139047301</v>
      </c>
      <c r="CI335" s="78">
        <v>459.74200000000002</v>
      </c>
      <c r="CJ335" s="78">
        <v>380.26799999999997</v>
      </c>
      <c r="CK335" s="78">
        <v>119.714</v>
      </c>
      <c r="CL335" s="78">
        <v>34310</v>
      </c>
    </row>
    <row r="336" spans="1:90" x14ac:dyDescent="0.35">
      <c r="A336" s="72">
        <v>1883</v>
      </c>
      <c r="B336" s="72" t="s">
        <v>275</v>
      </c>
      <c r="C336" s="72">
        <v>11</v>
      </c>
      <c r="D336" s="78">
        <v>8034800000</v>
      </c>
      <c r="E336" s="78">
        <v>2269050000</v>
      </c>
      <c r="F336" s="78">
        <v>2287950000</v>
      </c>
      <c r="G336" s="78">
        <v>91719</v>
      </c>
      <c r="H336" s="78">
        <v>3</v>
      </c>
      <c r="I336" s="78">
        <v>2287.9499999999998</v>
      </c>
      <c r="J336" s="78">
        <v>13953</v>
      </c>
      <c r="K336" s="78">
        <v>22799</v>
      </c>
      <c r="L336" s="78">
        <v>7438</v>
      </c>
      <c r="M336" s="78">
        <v>16268</v>
      </c>
      <c r="N336" s="78">
        <v>11562.7</v>
      </c>
      <c r="O336" s="78">
        <v>2500.3333333333298</v>
      </c>
      <c r="P336" s="78">
        <v>153</v>
      </c>
      <c r="Q336" s="78">
        <v>10230.333333333299</v>
      </c>
      <c r="R336" s="78">
        <v>18436</v>
      </c>
      <c r="S336" s="78">
        <v>3705</v>
      </c>
      <c r="T336" s="78">
        <v>0</v>
      </c>
      <c r="U336" s="78">
        <v>3336</v>
      </c>
      <c r="V336" s="78">
        <v>46832</v>
      </c>
      <c r="W336" s="78">
        <v>103050</v>
      </c>
      <c r="X336" s="78">
        <v>132430</v>
      </c>
      <c r="Y336" s="78">
        <v>2720.98</v>
      </c>
      <c r="Z336" s="78">
        <v>3968</v>
      </c>
      <c r="AA336" s="78">
        <v>0</v>
      </c>
      <c r="AB336" s="399">
        <v>0</v>
      </c>
      <c r="AC336" s="399">
        <v>0</v>
      </c>
      <c r="AD336" s="78">
        <v>7826</v>
      </c>
      <c r="AE336" s="78">
        <v>7826</v>
      </c>
      <c r="AF336" s="78">
        <v>232</v>
      </c>
      <c r="AG336" s="78">
        <v>0</v>
      </c>
      <c r="AH336" s="78">
        <v>611</v>
      </c>
      <c r="AI336" s="78">
        <v>166</v>
      </c>
      <c r="AJ336" s="78">
        <v>611</v>
      </c>
      <c r="AK336" s="78">
        <v>166</v>
      </c>
      <c r="AL336" s="78">
        <v>777</v>
      </c>
      <c r="AM336" s="78">
        <v>47053</v>
      </c>
      <c r="AN336" s="78">
        <v>47053</v>
      </c>
      <c r="AO336" s="78">
        <v>14</v>
      </c>
      <c r="AP336" s="78">
        <v>0</v>
      </c>
      <c r="AQ336" s="78">
        <v>0</v>
      </c>
      <c r="AR336" s="78">
        <v>0</v>
      </c>
      <c r="AS336" s="78">
        <v>4826</v>
      </c>
      <c r="AT336" s="78">
        <v>2297</v>
      </c>
      <c r="AU336" s="400">
        <v>4.4524200000000003E-3</v>
      </c>
      <c r="AV336" s="400">
        <v>7.4121569999999999E-3</v>
      </c>
      <c r="AW336" s="78">
        <v>71097.082999999999</v>
      </c>
      <c r="AX336" s="78">
        <v>0</v>
      </c>
      <c r="AY336" s="78">
        <v>906</v>
      </c>
      <c r="AZ336" s="78">
        <v>10312.411764705899</v>
      </c>
      <c r="BA336" s="78">
        <v>7</v>
      </c>
      <c r="BB336" s="78">
        <v>7</v>
      </c>
      <c r="BC336" s="78">
        <v>9445</v>
      </c>
      <c r="BD336" s="78">
        <v>1</v>
      </c>
      <c r="BE336" s="78">
        <v>0</v>
      </c>
      <c r="BF336" s="78">
        <v>0</v>
      </c>
      <c r="BG336" s="78">
        <v>0</v>
      </c>
      <c r="BH336" s="78">
        <v>0</v>
      </c>
      <c r="BI336" s="78">
        <v>0</v>
      </c>
      <c r="BJ336" s="78">
        <v>0</v>
      </c>
      <c r="BK336" s="78">
        <v>0</v>
      </c>
      <c r="BL336" s="78">
        <v>0</v>
      </c>
      <c r="BM336" s="78">
        <v>2288.2919999999999</v>
      </c>
      <c r="BN336" s="78">
        <v>326</v>
      </c>
      <c r="BO336" s="78">
        <v>264</v>
      </c>
      <c r="BP336" s="78">
        <v>27188.400000000001</v>
      </c>
      <c r="BQ336" s="78">
        <v>4995.6000000000004</v>
      </c>
      <c r="BR336" s="78">
        <v>626.79615670232897</v>
      </c>
      <c r="BS336" s="78">
        <v>1100</v>
      </c>
      <c r="BT336" s="78">
        <v>551.66666666666697</v>
      </c>
      <c r="BU336" s="78">
        <v>512</v>
      </c>
      <c r="BV336" s="78">
        <v>7729.9999999999691</v>
      </c>
      <c r="BW336" s="78">
        <v>1903</v>
      </c>
      <c r="BX336" s="78">
        <v>21546.2020313266</v>
      </c>
      <c r="BY336" s="402">
        <v>7.0970000000000004</v>
      </c>
      <c r="BZ336" s="78">
        <v>68920</v>
      </c>
      <c r="CA336" s="78">
        <v>12615</v>
      </c>
      <c r="CB336" s="78">
        <v>2746</v>
      </c>
      <c r="CC336" s="78">
        <v>3142</v>
      </c>
      <c r="CD336" s="78">
        <v>2711</v>
      </c>
      <c r="CE336" s="78">
        <v>1329</v>
      </c>
      <c r="CF336" s="78">
        <v>1984.3326142860201</v>
      </c>
      <c r="CG336" s="78">
        <v>1293.56370050794</v>
      </c>
      <c r="CH336" s="78">
        <v>469.85064501732103</v>
      </c>
      <c r="CI336" s="78">
        <v>4169.1225000000004</v>
      </c>
      <c r="CJ336" s="78">
        <v>2717.8031999999998</v>
      </c>
      <c r="CK336" s="78">
        <v>987.16560000000004</v>
      </c>
      <c r="CL336" s="78">
        <v>223624</v>
      </c>
    </row>
    <row r="337" spans="1:90" x14ac:dyDescent="0.35">
      <c r="A337" s="72">
        <v>971</v>
      </c>
      <c r="B337" s="72" t="s">
        <v>287</v>
      </c>
      <c r="C337" s="72">
        <v>11</v>
      </c>
      <c r="D337" s="78">
        <v>2294800000</v>
      </c>
      <c r="E337" s="78">
        <v>227500000</v>
      </c>
      <c r="F337" s="78">
        <v>236950000</v>
      </c>
      <c r="G337" s="78">
        <v>24803</v>
      </c>
      <c r="H337" s="78">
        <v>2</v>
      </c>
      <c r="I337" s="78">
        <v>236.95</v>
      </c>
      <c r="J337" s="78">
        <v>3743</v>
      </c>
      <c r="K337" s="78">
        <v>6979</v>
      </c>
      <c r="L337" s="78">
        <v>2423</v>
      </c>
      <c r="M337" s="78">
        <v>3487</v>
      </c>
      <c r="N337" s="78">
        <v>2302.6</v>
      </c>
      <c r="O337" s="78">
        <v>263.33333333333297</v>
      </c>
      <c r="P337" s="78">
        <v>12</v>
      </c>
      <c r="Q337" s="78">
        <v>1884.3333333333301</v>
      </c>
      <c r="R337" s="78">
        <v>3673</v>
      </c>
      <c r="S337" s="78">
        <v>475</v>
      </c>
      <c r="T337" s="78">
        <v>0</v>
      </c>
      <c r="U337" s="78">
        <v>760</v>
      </c>
      <c r="V337" s="78">
        <v>11770</v>
      </c>
      <c r="W337" s="78">
        <v>23150</v>
      </c>
      <c r="X337" s="78">
        <v>14170</v>
      </c>
      <c r="Y337" s="78">
        <v>96.88</v>
      </c>
      <c r="Z337" s="78">
        <v>1162.4000000000001</v>
      </c>
      <c r="AA337" s="78">
        <v>0</v>
      </c>
      <c r="AB337" s="399">
        <v>0</v>
      </c>
      <c r="AC337" s="399">
        <v>70.299999999999955</v>
      </c>
      <c r="AD337" s="78">
        <v>2066</v>
      </c>
      <c r="AE337" s="78">
        <v>2066</v>
      </c>
      <c r="AF337" s="78">
        <v>214</v>
      </c>
      <c r="AG337" s="78">
        <v>0</v>
      </c>
      <c r="AH337" s="78">
        <v>153</v>
      </c>
      <c r="AI337" s="78">
        <v>8</v>
      </c>
      <c r="AJ337" s="78">
        <v>153</v>
      </c>
      <c r="AK337" s="78">
        <v>8</v>
      </c>
      <c r="AL337" s="78">
        <v>162</v>
      </c>
      <c r="AM337" s="78">
        <v>11844</v>
      </c>
      <c r="AN337" s="78">
        <v>11844</v>
      </c>
      <c r="AO337" s="78">
        <v>0</v>
      </c>
      <c r="AP337" s="78">
        <v>0</v>
      </c>
      <c r="AQ337" s="78">
        <v>0</v>
      </c>
      <c r="AR337" s="78">
        <v>0</v>
      </c>
      <c r="AS337" s="78">
        <v>669</v>
      </c>
      <c r="AT337" s="78">
        <v>0</v>
      </c>
      <c r="AU337" s="400">
        <v>5.6672899999999997E-4</v>
      </c>
      <c r="AV337" s="400">
        <v>6.2973E-4</v>
      </c>
      <c r="AW337" s="78">
        <v>10718.82</v>
      </c>
      <c r="AX337" s="78">
        <v>0</v>
      </c>
      <c r="AY337" s="78">
        <v>534</v>
      </c>
      <c r="AZ337" s="78">
        <v>5809.12368421053</v>
      </c>
      <c r="BA337" s="78">
        <v>3</v>
      </c>
      <c r="BB337" s="78">
        <v>3</v>
      </c>
      <c r="BC337" s="78">
        <v>2380</v>
      </c>
      <c r="BD337" s="78">
        <v>1</v>
      </c>
      <c r="BE337" s="78">
        <v>0</v>
      </c>
      <c r="BF337" s="78">
        <v>0</v>
      </c>
      <c r="BG337" s="78">
        <v>0</v>
      </c>
      <c r="BH337" s="78">
        <v>0</v>
      </c>
      <c r="BI337" s="78">
        <v>0</v>
      </c>
      <c r="BJ337" s="78">
        <v>0</v>
      </c>
      <c r="BK337" s="78">
        <v>0</v>
      </c>
      <c r="BL337" s="78">
        <v>0</v>
      </c>
      <c r="BM337" s="78">
        <v>393.01499999999999</v>
      </c>
      <c r="BN337" s="78">
        <v>50</v>
      </c>
      <c r="BO337" s="78">
        <v>45</v>
      </c>
      <c r="BP337" s="78">
        <v>7521.8</v>
      </c>
      <c r="BQ337" s="78">
        <v>1482</v>
      </c>
      <c r="BR337" s="78">
        <v>144.03285590617099</v>
      </c>
      <c r="BS337" s="78">
        <v>221</v>
      </c>
      <c r="BT337" s="78">
        <v>71</v>
      </c>
      <c r="BU337" s="78">
        <v>58</v>
      </c>
      <c r="BV337" s="78">
        <v>1620.999999999997</v>
      </c>
      <c r="BW337" s="78">
        <v>272</v>
      </c>
      <c r="BX337" s="78">
        <v>5933.7749949748704</v>
      </c>
      <c r="BY337" s="402">
        <v>0.51500000000000001</v>
      </c>
      <c r="BZ337" s="78">
        <v>17824</v>
      </c>
      <c r="CA337" s="78">
        <v>3829</v>
      </c>
      <c r="CB337" s="78">
        <v>727</v>
      </c>
      <c r="CC337" s="78">
        <v>692</v>
      </c>
      <c r="CD337" s="78">
        <v>782</v>
      </c>
      <c r="CE337" s="78">
        <v>369</v>
      </c>
      <c r="CF337" s="78">
        <v>453.560097939885</v>
      </c>
      <c r="CG337" s="78">
        <v>329.33167848699799</v>
      </c>
      <c r="CH337" s="78">
        <v>100.899138804458</v>
      </c>
      <c r="CI337" s="78">
        <v>1113.7742000000001</v>
      </c>
      <c r="CJ337" s="78">
        <v>808.71559999999999</v>
      </c>
      <c r="CK337" s="78">
        <v>247.7706</v>
      </c>
      <c r="CL337" s="78">
        <v>17520</v>
      </c>
    </row>
    <row r="338" spans="1:90" x14ac:dyDescent="0.35">
      <c r="A338" s="72">
        <v>981</v>
      </c>
      <c r="B338" s="72" t="s">
        <v>307</v>
      </c>
      <c r="C338" s="72">
        <v>11</v>
      </c>
      <c r="D338" s="78">
        <v>921600000</v>
      </c>
      <c r="E338" s="78">
        <v>70350000</v>
      </c>
      <c r="F338" s="78">
        <v>76650000</v>
      </c>
      <c r="G338" s="78">
        <v>10135</v>
      </c>
      <c r="H338" s="78">
        <v>2</v>
      </c>
      <c r="I338" s="78">
        <v>76.650000000000006</v>
      </c>
      <c r="J338" s="78">
        <v>1302</v>
      </c>
      <c r="K338" s="78">
        <v>2897</v>
      </c>
      <c r="L338" s="78">
        <v>1040</v>
      </c>
      <c r="M338" s="78">
        <v>2139</v>
      </c>
      <c r="N338" s="78">
        <v>1507.3</v>
      </c>
      <c r="O338" s="78">
        <v>278.66666666666703</v>
      </c>
      <c r="P338" s="78">
        <v>23</v>
      </c>
      <c r="Q338" s="78">
        <v>800.66666666666697</v>
      </c>
      <c r="R338" s="78">
        <v>2712</v>
      </c>
      <c r="S338" s="78">
        <v>225</v>
      </c>
      <c r="T338" s="78">
        <v>0</v>
      </c>
      <c r="U338" s="78">
        <v>319</v>
      </c>
      <c r="V338" s="78">
        <v>5696</v>
      </c>
      <c r="W338" s="78">
        <v>8770</v>
      </c>
      <c r="X338" s="78">
        <v>3560</v>
      </c>
      <c r="Y338" s="78">
        <v>0</v>
      </c>
      <c r="Z338" s="78">
        <v>0</v>
      </c>
      <c r="AA338" s="78">
        <v>0</v>
      </c>
      <c r="AB338" s="399">
        <v>0</v>
      </c>
      <c r="AC338" s="399">
        <v>0</v>
      </c>
      <c r="AD338" s="78">
        <v>2389</v>
      </c>
      <c r="AE338" s="78">
        <v>2389</v>
      </c>
      <c r="AF338" s="78">
        <v>1</v>
      </c>
      <c r="AG338" s="78">
        <v>0</v>
      </c>
      <c r="AH338" s="78">
        <v>49</v>
      </c>
      <c r="AI338" s="78">
        <v>13</v>
      </c>
      <c r="AJ338" s="78">
        <v>49</v>
      </c>
      <c r="AK338" s="78">
        <v>13</v>
      </c>
      <c r="AL338" s="78">
        <v>63</v>
      </c>
      <c r="AM338" s="78">
        <v>6317</v>
      </c>
      <c r="AN338" s="78">
        <v>6317</v>
      </c>
      <c r="AO338" s="78">
        <v>0</v>
      </c>
      <c r="AP338" s="78">
        <v>0</v>
      </c>
      <c r="AQ338" s="78">
        <v>0</v>
      </c>
      <c r="AR338" s="78">
        <v>0</v>
      </c>
      <c r="AS338" s="78">
        <v>1410</v>
      </c>
      <c r="AT338" s="78">
        <v>0</v>
      </c>
      <c r="AU338" s="400">
        <v>8.6127100000000004E-4</v>
      </c>
      <c r="AV338" s="400">
        <v>7.6205800000000003E-4</v>
      </c>
      <c r="AW338" s="78">
        <v>6727.6049999999996</v>
      </c>
      <c r="AX338" s="78">
        <v>0</v>
      </c>
      <c r="AY338" s="78">
        <v>93</v>
      </c>
      <c r="AZ338" s="78">
        <v>394.37447698744802</v>
      </c>
      <c r="BA338" s="78">
        <v>6</v>
      </c>
      <c r="BB338" s="78">
        <v>6</v>
      </c>
      <c r="BC338" s="78">
        <v>830</v>
      </c>
      <c r="BD338" s="78">
        <v>1</v>
      </c>
      <c r="BE338" s="78">
        <v>0</v>
      </c>
      <c r="BF338" s="78">
        <v>0</v>
      </c>
      <c r="BG338" s="78">
        <v>0</v>
      </c>
      <c r="BH338" s="78">
        <v>0</v>
      </c>
      <c r="BI338" s="78">
        <v>0</v>
      </c>
      <c r="BJ338" s="78">
        <v>0</v>
      </c>
      <c r="BK338" s="78">
        <v>0</v>
      </c>
      <c r="BL338" s="78">
        <v>0</v>
      </c>
      <c r="BM338" s="78">
        <v>292.95</v>
      </c>
      <c r="BN338" s="78">
        <v>19</v>
      </c>
      <c r="BO338" s="78">
        <v>23</v>
      </c>
      <c r="BP338" s="78">
        <v>3048.1</v>
      </c>
      <c r="BQ338" s="78">
        <v>383</v>
      </c>
      <c r="BR338" s="78">
        <v>28.038208333333301</v>
      </c>
      <c r="BS338" s="78">
        <v>94</v>
      </c>
      <c r="BT338" s="78">
        <v>59.6666666666667</v>
      </c>
      <c r="BU338" s="78">
        <v>56</v>
      </c>
      <c r="BV338" s="78">
        <v>522</v>
      </c>
      <c r="BW338" s="78">
        <v>119</v>
      </c>
      <c r="BX338" s="78">
        <v>1659.26955573185</v>
      </c>
      <c r="BY338" s="402">
        <v>0.93400000000000005</v>
      </c>
      <c r="BZ338" s="78">
        <v>7238</v>
      </c>
      <c r="CA338" s="78">
        <v>1510</v>
      </c>
      <c r="CB338" s="78">
        <v>347</v>
      </c>
      <c r="CC338" s="78">
        <v>419</v>
      </c>
      <c r="CD338" s="78">
        <v>385</v>
      </c>
      <c r="CE338" s="78">
        <v>160</v>
      </c>
      <c r="CF338" s="78">
        <v>232.883457337344</v>
      </c>
      <c r="CG338" s="78">
        <v>176.57147380085499</v>
      </c>
      <c r="CH338" s="78">
        <v>56.311983536488803</v>
      </c>
      <c r="CI338" s="78">
        <v>578.96320000000003</v>
      </c>
      <c r="CJ338" s="78">
        <v>438.96800000000002</v>
      </c>
      <c r="CK338" s="78">
        <v>139.99520000000001</v>
      </c>
      <c r="CL338" s="78">
        <v>7938</v>
      </c>
    </row>
    <row r="339" spans="1:90" x14ac:dyDescent="0.35">
      <c r="A339" s="72">
        <v>994</v>
      </c>
      <c r="B339" s="72" t="s">
        <v>308</v>
      </c>
      <c r="C339" s="72">
        <v>11</v>
      </c>
      <c r="D339" s="78">
        <v>1839600000</v>
      </c>
      <c r="E339" s="78">
        <v>183050000</v>
      </c>
      <c r="F339" s="78">
        <v>191450000</v>
      </c>
      <c r="G339" s="78">
        <v>16167</v>
      </c>
      <c r="H339" s="78">
        <v>4</v>
      </c>
      <c r="I339" s="78">
        <v>191.45</v>
      </c>
      <c r="J339" s="78">
        <v>2209</v>
      </c>
      <c r="K339" s="78">
        <v>4843</v>
      </c>
      <c r="L339" s="78">
        <v>1744</v>
      </c>
      <c r="M339" s="78">
        <v>2701</v>
      </c>
      <c r="N339" s="78">
        <v>1775.1</v>
      </c>
      <c r="O339" s="78">
        <v>291.33333333333297</v>
      </c>
      <c r="P339" s="78">
        <v>24</v>
      </c>
      <c r="Q339" s="78">
        <v>1255.3333333333301</v>
      </c>
      <c r="R339" s="78">
        <v>2981</v>
      </c>
      <c r="S339" s="78">
        <v>240</v>
      </c>
      <c r="T339" s="78">
        <v>0</v>
      </c>
      <c r="U339" s="78">
        <v>442</v>
      </c>
      <c r="V339" s="78">
        <v>8194</v>
      </c>
      <c r="W339" s="78">
        <v>13080</v>
      </c>
      <c r="X339" s="78">
        <v>3290</v>
      </c>
      <c r="Y339" s="78">
        <v>1058.76</v>
      </c>
      <c r="Z339" s="78">
        <v>0</v>
      </c>
      <c r="AA339" s="78">
        <v>0</v>
      </c>
      <c r="AB339" s="399">
        <v>0</v>
      </c>
      <c r="AC339" s="399">
        <v>0</v>
      </c>
      <c r="AD339" s="78">
        <v>3672</v>
      </c>
      <c r="AE339" s="78">
        <v>3672</v>
      </c>
      <c r="AF339" s="78">
        <v>21</v>
      </c>
      <c r="AG339" s="78">
        <v>0</v>
      </c>
      <c r="AH339" s="78">
        <v>105</v>
      </c>
      <c r="AI339" s="78">
        <v>15</v>
      </c>
      <c r="AJ339" s="78">
        <v>105</v>
      </c>
      <c r="AK339" s="78">
        <v>15</v>
      </c>
      <c r="AL339" s="78">
        <v>120</v>
      </c>
      <c r="AM339" s="78">
        <v>9259</v>
      </c>
      <c r="AN339" s="78">
        <v>9259</v>
      </c>
      <c r="AO339" s="78">
        <v>7</v>
      </c>
      <c r="AP339" s="78">
        <v>0</v>
      </c>
      <c r="AQ339" s="78">
        <v>0</v>
      </c>
      <c r="AR339" s="78">
        <v>0</v>
      </c>
      <c r="AS339" s="78">
        <v>588</v>
      </c>
      <c r="AT339" s="78">
        <v>588</v>
      </c>
      <c r="AU339" s="400">
        <v>9.1397799999999997E-4</v>
      </c>
      <c r="AV339" s="400">
        <v>5.7661799999999999E-4</v>
      </c>
      <c r="AW339" s="78">
        <v>6259.0839999999998</v>
      </c>
      <c r="AX339" s="78">
        <v>0</v>
      </c>
      <c r="AY339" s="78">
        <v>405</v>
      </c>
      <c r="AZ339" s="78">
        <v>1772.9853777416699</v>
      </c>
      <c r="BA339" s="78">
        <v>6</v>
      </c>
      <c r="BB339" s="78">
        <v>6</v>
      </c>
      <c r="BC339" s="78">
        <v>2115</v>
      </c>
      <c r="BD339" s="78">
        <v>1</v>
      </c>
      <c r="BE339" s="78">
        <v>0</v>
      </c>
      <c r="BF339" s="78">
        <v>0</v>
      </c>
      <c r="BG339" s="78">
        <v>0</v>
      </c>
      <c r="BH339" s="78">
        <v>0</v>
      </c>
      <c r="BI339" s="78">
        <v>0</v>
      </c>
      <c r="BJ339" s="78">
        <v>0</v>
      </c>
      <c r="BK339" s="78">
        <v>0</v>
      </c>
      <c r="BL339" s="78">
        <v>0</v>
      </c>
      <c r="BM339" s="78">
        <v>273.916</v>
      </c>
      <c r="BN339" s="78">
        <v>11</v>
      </c>
      <c r="BO339" s="78">
        <v>24</v>
      </c>
      <c r="BP339" s="78">
        <v>5188.26</v>
      </c>
      <c r="BQ339" s="78">
        <v>927.26</v>
      </c>
      <c r="BR339" s="78">
        <v>62.284604541154202</v>
      </c>
      <c r="BS339" s="78">
        <v>139</v>
      </c>
      <c r="BT339" s="78">
        <v>56.3333333333333</v>
      </c>
      <c r="BU339" s="78">
        <v>52.6666666666667</v>
      </c>
      <c r="BV339" s="78">
        <v>963.99999999999704</v>
      </c>
      <c r="BW339" s="78">
        <v>201</v>
      </c>
      <c r="BX339" s="78">
        <v>3551.7017048579301</v>
      </c>
      <c r="BY339" s="402">
        <v>0.753</v>
      </c>
      <c r="BZ339" s="78">
        <v>11324</v>
      </c>
      <c r="CA339" s="78">
        <v>2516</v>
      </c>
      <c r="CB339" s="78">
        <v>583</v>
      </c>
      <c r="CC339" s="78">
        <v>564</v>
      </c>
      <c r="CD339" s="78">
        <v>565</v>
      </c>
      <c r="CE339" s="78">
        <v>279</v>
      </c>
      <c r="CF339" s="78">
        <v>299.652370666379</v>
      </c>
      <c r="CG339" s="78">
        <v>225.64992979803401</v>
      </c>
      <c r="CH339" s="78">
        <v>75.919602548871396</v>
      </c>
      <c r="CI339" s="78">
        <v>708.19529999999997</v>
      </c>
      <c r="CJ339" s="78">
        <v>533.29870000000005</v>
      </c>
      <c r="CK339" s="78">
        <v>179.42760000000001</v>
      </c>
      <c r="CL339" s="78">
        <v>15922</v>
      </c>
    </row>
    <row r="340" spans="1:90" x14ac:dyDescent="0.35">
      <c r="A340" s="72">
        <v>983</v>
      </c>
      <c r="B340" s="72" t="s">
        <v>315</v>
      </c>
      <c r="C340" s="72">
        <v>11</v>
      </c>
      <c r="D340" s="78">
        <v>9208000000</v>
      </c>
      <c r="E340" s="78">
        <v>2518600000</v>
      </c>
      <c r="F340" s="78">
        <v>2565850000</v>
      </c>
      <c r="G340" s="78">
        <v>102136</v>
      </c>
      <c r="H340" s="78">
        <v>3</v>
      </c>
      <c r="I340" s="78">
        <v>2565.85</v>
      </c>
      <c r="J340" s="78">
        <v>17527</v>
      </c>
      <c r="K340" s="78">
        <v>23051</v>
      </c>
      <c r="L340" s="78">
        <v>7528</v>
      </c>
      <c r="M340" s="78">
        <v>17102</v>
      </c>
      <c r="N340" s="78">
        <v>12189.9</v>
      </c>
      <c r="O340" s="78">
        <v>2810</v>
      </c>
      <c r="P340" s="78">
        <v>147</v>
      </c>
      <c r="Q340" s="78">
        <v>8298</v>
      </c>
      <c r="R340" s="78">
        <v>18968</v>
      </c>
      <c r="S340" s="78">
        <v>8755</v>
      </c>
      <c r="T340" s="78">
        <v>0</v>
      </c>
      <c r="U340" s="78">
        <v>3512</v>
      </c>
      <c r="V340" s="78">
        <v>49777</v>
      </c>
      <c r="W340" s="78">
        <v>110230</v>
      </c>
      <c r="X340" s="78">
        <v>143710</v>
      </c>
      <c r="Y340" s="78">
        <v>4073.48</v>
      </c>
      <c r="Z340" s="78">
        <v>4276</v>
      </c>
      <c r="AA340" s="78">
        <v>0</v>
      </c>
      <c r="AB340" s="399">
        <v>0</v>
      </c>
      <c r="AC340" s="399">
        <v>0</v>
      </c>
      <c r="AD340" s="78">
        <v>12408</v>
      </c>
      <c r="AE340" s="78">
        <v>12408</v>
      </c>
      <c r="AF340" s="78">
        <v>491</v>
      </c>
      <c r="AG340" s="78">
        <v>0</v>
      </c>
      <c r="AH340" s="78">
        <v>636</v>
      </c>
      <c r="AI340" s="78">
        <v>319</v>
      </c>
      <c r="AJ340" s="78">
        <v>636</v>
      </c>
      <c r="AK340" s="78">
        <v>319</v>
      </c>
      <c r="AL340" s="78">
        <v>956</v>
      </c>
      <c r="AM340" s="78">
        <v>49121</v>
      </c>
      <c r="AN340" s="78">
        <v>49121</v>
      </c>
      <c r="AO340" s="78">
        <v>10</v>
      </c>
      <c r="AP340" s="78">
        <v>0</v>
      </c>
      <c r="AQ340" s="78">
        <v>0</v>
      </c>
      <c r="AR340" s="78">
        <v>0</v>
      </c>
      <c r="AS340" s="78">
        <v>7161</v>
      </c>
      <c r="AT340" s="78">
        <v>4755</v>
      </c>
      <c r="AU340" s="400">
        <v>3.7905550000000001E-3</v>
      </c>
      <c r="AV340" s="400">
        <v>5.9178110000000003E-3</v>
      </c>
      <c r="AW340" s="78">
        <v>81688.222999999998</v>
      </c>
      <c r="AX340" s="78">
        <v>0</v>
      </c>
      <c r="AY340" s="78">
        <v>2235</v>
      </c>
      <c r="AZ340" s="78">
        <v>17697.027676564099</v>
      </c>
      <c r="BA340" s="78">
        <v>12</v>
      </c>
      <c r="BB340" s="78">
        <v>12</v>
      </c>
      <c r="BC340" s="78">
        <v>10720</v>
      </c>
      <c r="BD340" s="78">
        <v>1</v>
      </c>
      <c r="BE340" s="78">
        <v>0</v>
      </c>
      <c r="BF340" s="78">
        <v>0</v>
      </c>
      <c r="BG340" s="78">
        <v>0</v>
      </c>
      <c r="BH340" s="78">
        <v>0</v>
      </c>
      <c r="BI340" s="78">
        <v>0</v>
      </c>
      <c r="BJ340" s="78">
        <v>0</v>
      </c>
      <c r="BK340" s="78">
        <v>0</v>
      </c>
      <c r="BL340" s="78">
        <v>0</v>
      </c>
      <c r="BM340" s="78">
        <v>3049.6979999999999</v>
      </c>
      <c r="BN340" s="78">
        <v>443</v>
      </c>
      <c r="BO340" s="78">
        <v>375</v>
      </c>
      <c r="BP340" s="78">
        <v>28667.51</v>
      </c>
      <c r="BQ340" s="78">
        <v>5540.15</v>
      </c>
      <c r="BR340" s="78">
        <v>656.28454765137099</v>
      </c>
      <c r="BS340" s="78">
        <v>1307</v>
      </c>
      <c r="BT340" s="78">
        <v>717.66666666666697</v>
      </c>
      <c r="BU340" s="78">
        <v>669</v>
      </c>
      <c r="BV340" s="78">
        <v>5488</v>
      </c>
      <c r="BW340" s="78">
        <v>1309</v>
      </c>
      <c r="BX340" s="78">
        <v>21150.087498921399</v>
      </c>
      <c r="BY340" s="402">
        <v>7.6760000000000002</v>
      </c>
      <c r="BZ340" s="78">
        <v>79085</v>
      </c>
      <c r="CA340" s="78">
        <v>12873</v>
      </c>
      <c r="CB340" s="78">
        <v>2650</v>
      </c>
      <c r="CC340" s="78">
        <v>3076</v>
      </c>
      <c r="CD340" s="78">
        <v>2551</v>
      </c>
      <c r="CE340" s="78">
        <v>1395</v>
      </c>
      <c r="CF340" s="78">
        <v>2046.08467865068</v>
      </c>
      <c r="CG340" s="78">
        <v>1292.4207406201001</v>
      </c>
      <c r="CH340" s="78">
        <v>482.92065308116702</v>
      </c>
      <c r="CI340" s="78">
        <v>4445.7039999999997</v>
      </c>
      <c r="CJ340" s="78">
        <v>2808.1536000000001</v>
      </c>
      <c r="CK340" s="78">
        <v>1049.2832000000001</v>
      </c>
      <c r="CL340" s="78">
        <v>104841</v>
      </c>
    </row>
    <row r="341" spans="1:90" x14ac:dyDescent="0.35">
      <c r="A341" s="72">
        <v>984</v>
      </c>
      <c r="B341" s="72" t="s">
        <v>316</v>
      </c>
      <c r="C341" s="72">
        <v>11</v>
      </c>
      <c r="D341" s="78">
        <v>4152000000</v>
      </c>
      <c r="E341" s="78">
        <v>1125250000</v>
      </c>
      <c r="F341" s="78">
        <v>1183000000</v>
      </c>
      <c r="G341" s="78">
        <v>43964</v>
      </c>
      <c r="H341" s="78">
        <v>4</v>
      </c>
      <c r="I341" s="78">
        <v>1183</v>
      </c>
      <c r="J341" s="78">
        <v>7650</v>
      </c>
      <c r="K341" s="78">
        <v>9854</v>
      </c>
      <c r="L341" s="78">
        <v>3370</v>
      </c>
      <c r="M341" s="78">
        <v>5979</v>
      </c>
      <c r="N341" s="78">
        <v>3982.2</v>
      </c>
      <c r="O341" s="78">
        <v>730.66666666666697</v>
      </c>
      <c r="P341" s="78">
        <v>83</v>
      </c>
      <c r="Q341" s="78">
        <v>3315.6666666666702</v>
      </c>
      <c r="R341" s="78">
        <v>6555</v>
      </c>
      <c r="S341" s="78">
        <v>2640</v>
      </c>
      <c r="T341" s="78">
        <v>0</v>
      </c>
      <c r="U341" s="78">
        <v>1280</v>
      </c>
      <c r="V341" s="78">
        <v>20361</v>
      </c>
      <c r="W341" s="78">
        <v>46860</v>
      </c>
      <c r="X341" s="78">
        <v>42020</v>
      </c>
      <c r="Y341" s="78">
        <v>582.82000000000005</v>
      </c>
      <c r="Z341" s="78">
        <v>1060</v>
      </c>
      <c r="AA341" s="78">
        <v>0</v>
      </c>
      <c r="AB341" s="399">
        <v>0</v>
      </c>
      <c r="AC341" s="399">
        <v>0</v>
      </c>
      <c r="AD341" s="78">
        <v>16303</v>
      </c>
      <c r="AE341" s="78">
        <v>16303</v>
      </c>
      <c r="AF341" s="78">
        <v>197</v>
      </c>
      <c r="AG341" s="78">
        <v>0</v>
      </c>
      <c r="AH341" s="78">
        <v>271</v>
      </c>
      <c r="AI341" s="78">
        <v>318</v>
      </c>
      <c r="AJ341" s="78">
        <v>271</v>
      </c>
      <c r="AK341" s="78">
        <v>318</v>
      </c>
      <c r="AL341" s="78">
        <v>589</v>
      </c>
      <c r="AM341" s="78">
        <v>19968</v>
      </c>
      <c r="AN341" s="78">
        <v>19968</v>
      </c>
      <c r="AO341" s="78">
        <v>0</v>
      </c>
      <c r="AP341" s="78">
        <v>0</v>
      </c>
      <c r="AQ341" s="78">
        <v>0</v>
      </c>
      <c r="AR341" s="78">
        <v>0</v>
      </c>
      <c r="AS341" s="78">
        <v>626</v>
      </c>
      <c r="AT341" s="78">
        <v>0</v>
      </c>
      <c r="AU341" s="400">
        <v>4.4822599999999997E-4</v>
      </c>
      <c r="AV341" s="400">
        <v>7.3056800000000002E-4</v>
      </c>
      <c r="AW341" s="78">
        <v>20587.008000000002</v>
      </c>
      <c r="AX341" s="78">
        <v>0</v>
      </c>
      <c r="AY341" s="78">
        <v>1445</v>
      </c>
      <c r="AZ341" s="78">
        <v>3850.18060606061</v>
      </c>
      <c r="BA341" s="78">
        <v>14</v>
      </c>
      <c r="BB341" s="78">
        <v>14</v>
      </c>
      <c r="BC341" s="78">
        <v>4850</v>
      </c>
      <c r="BD341" s="78">
        <v>1</v>
      </c>
      <c r="BE341" s="78">
        <v>0</v>
      </c>
      <c r="BF341" s="78">
        <v>0</v>
      </c>
      <c r="BG341" s="78">
        <v>0</v>
      </c>
      <c r="BH341" s="78">
        <v>0</v>
      </c>
      <c r="BI341" s="78">
        <v>0</v>
      </c>
      <c r="BJ341" s="78">
        <v>0</v>
      </c>
      <c r="BK341" s="78">
        <v>0</v>
      </c>
      <c r="BL341" s="78">
        <v>0</v>
      </c>
      <c r="BM341" s="78">
        <v>1032.75</v>
      </c>
      <c r="BN341" s="78">
        <v>116</v>
      </c>
      <c r="BO341" s="78">
        <v>100</v>
      </c>
      <c r="BP341" s="78">
        <v>12430.72</v>
      </c>
      <c r="BQ341" s="78">
        <v>2623.22</v>
      </c>
      <c r="BR341" s="78">
        <v>191.14175638265201</v>
      </c>
      <c r="BS341" s="78">
        <v>484</v>
      </c>
      <c r="BT341" s="78">
        <v>222</v>
      </c>
      <c r="BU341" s="78">
        <v>175</v>
      </c>
      <c r="BV341" s="78">
        <v>2585.0000000000032</v>
      </c>
      <c r="BW341" s="78">
        <v>662</v>
      </c>
      <c r="BX341" s="78">
        <v>8469.7958996179605</v>
      </c>
      <c r="BY341" s="402">
        <v>2.0249999999999999</v>
      </c>
      <c r="BZ341" s="78">
        <v>34110</v>
      </c>
      <c r="CA341" s="78">
        <v>5484</v>
      </c>
      <c r="CB341" s="78">
        <v>1000</v>
      </c>
      <c r="CC341" s="78">
        <v>1093</v>
      </c>
      <c r="CD341" s="78">
        <v>1040</v>
      </c>
      <c r="CE341" s="78">
        <v>482</v>
      </c>
      <c r="CF341" s="78">
        <v>673.870883413461</v>
      </c>
      <c r="CG341" s="78">
        <v>454.498888221154</v>
      </c>
      <c r="CH341" s="78">
        <v>143.58894230769201</v>
      </c>
      <c r="CI341" s="78">
        <v>1613.1346000000001</v>
      </c>
      <c r="CJ341" s="78">
        <v>1087.9946</v>
      </c>
      <c r="CK341" s="78">
        <v>343.72800000000001</v>
      </c>
      <c r="CL341" s="78">
        <v>100577</v>
      </c>
    </row>
    <row r="342" spans="1:90" x14ac:dyDescent="0.35">
      <c r="A342" s="72">
        <v>986</v>
      </c>
      <c r="B342" s="72" t="s">
        <v>321</v>
      </c>
      <c r="C342" s="72">
        <v>11</v>
      </c>
      <c r="D342" s="78">
        <v>1274800000</v>
      </c>
      <c r="E342" s="78">
        <v>77000000</v>
      </c>
      <c r="F342" s="78">
        <v>87150000</v>
      </c>
      <c r="G342" s="78">
        <v>12426</v>
      </c>
      <c r="H342" s="78">
        <v>3</v>
      </c>
      <c r="I342" s="78">
        <v>87.15</v>
      </c>
      <c r="J342" s="78">
        <v>2097</v>
      </c>
      <c r="K342" s="78">
        <v>3489</v>
      </c>
      <c r="L342" s="78">
        <v>1226</v>
      </c>
      <c r="M342" s="78">
        <v>1436</v>
      </c>
      <c r="N342" s="78">
        <v>844.69999999999993</v>
      </c>
      <c r="O342" s="78">
        <v>111</v>
      </c>
      <c r="P342" s="78">
        <v>14</v>
      </c>
      <c r="Q342" s="78">
        <v>772</v>
      </c>
      <c r="R342" s="78">
        <v>1699</v>
      </c>
      <c r="S342" s="78">
        <v>170</v>
      </c>
      <c r="T342" s="78">
        <v>0</v>
      </c>
      <c r="U342" s="78">
        <v>382</v>
      </c>
      <c r="V342" s="78">
        <v>5730</v>
      </c>
      <c r="W342" s="78">
        <v>8220</v>
      </c>
      <c r="X342" s="78">
        <v>1110</v>
      </c>
      <c r="Y342" s="78">
        <v>0</v>
      </c>
      <c r="Z342" s="78">
        <v>0</v>
      </c>
      <c r="AA342" s="78">
        <v>0</v>
      </c>
      <c r="AB342" s="399">
        <v>0</v>
      </c>
      <c r="AC342" s="399">
        <v>0</v>
      </c>
      <c r="AD342" s="78">
        <v>3150</v>
      </c>
      <c r="AE342" s="78">
        <v>3150</v>
      </c>
      <c r="AF342" s="78">
        <v>2</v>
      </c>
      <c r="AG342" s="78">
        <v>0</v>
      </c>
      <c r="AH342" s="78">
        <v>78</v>
      </c>
      <c r="AI342" s="78">
        <v>12</v>
      </c>
      <c r="AJ342" s="78">
        <v>78</v>
      </c>
      <c r="AK342" s="78">
        <v>12</v>
      </c>
      <c r="AL342" s="78">
        <v>90</v>
      </c>
      <c r="AM342" s="78">
        <v>5913</v>
      </c>
      <c r="AN342" s="78">
        <v>5913</v>
      </c>
      <c r="AO342" s="78">
        <v>0</v>
      </c>
      <c r="AP342" s="78">
        <v>0</v>
      </c>
      <c r="AQ342" s="78">
        <v>0</v>
      </c>
      <c r="AR342" s="78">
        <v>0</v>
      </c>
      <c r="AS342" s="78">
        <v>0</v>
      </c>
      <c r="AT342" s="78">
        <v>0</v>
      </c>
      <c r="AU342" s="400">
        <v>3.0101100000000001E-4</v>
      </c>
      <c r="AV342" s="400">
        <v>1.2288699999999999E-4</v>
      </c>
      <c r="AW342" s="78">
        <v>3240.3240000000001</v>
      </c>
      <c r="AX342" s="78">
        <v>0</v>
      </c>
      <c r="AY342" s="78">
        <v>106</v>
      </c>
      <c r="AZ342" s="78">
        <v>417.87944162436497</v>
      </c>
      <c r="BA342" s="78">
        <v>6</v>
      </c>
      <c r="BB342" s="78">
        <v>6</v>
      </c>
      <c r="BC342" s="78">
        <v>1315</v>
      </c>
      <c r="BD342" s="78">
        <v>1</v>
      </c>
      <c r="BE342" s="78">
        <v>0</v>
      </c>
      <c r="BF342" s="78">
        <v>0</v>
      </c>
      <c r="BG342" s="78">
        <v>0</v>
      </c>
      <c r="BH342" s="78">
        <v>0</v>
      </c>
      <c r="BI342" s="78">
        <v>0</v>
      </c>
      <c r="BJ342" s="78">
        <v>0</v>
      </c>
      <c r="BK342" s="78">
        <v>0</v>
      </c>
      <c r="BL342" s="78">
        <v>0</v>
      </c>
      <c r="BM342" s="78">
        <v>245.34899999999999</v>
      </c>
      <c r="BN342" s="78">
        <v>5</v>
      </c>
      <c r="BO342" s="78">
        <v>8</v>
      </c>
      <c r="BP342" s="78">
        <v>4168.42</v>
      </c>
      <c r="BQ342" s="78">
        <v>816.27</v>
      </c>
      <c r="BR342" s="78">
        <v>56.582411123227899</v>
      </c>
      <c r="BS342" s="78">
        <v>121</v>
      </c>
      <c r="BT342" s="78">
        <v>46</v>
      </c>
      <c r="BU342" s="78">
        <v>27</v>
      </c>
      <c r="BV342" s="78">
        <v>661</v>
      </c>
      <c r="BW342" s="78">
        <v>126</v>
      </c>
      <c r="BX342" s="78">
        <v>2515.9809144874098</v>
      </c>
      <c r="BY342" s="402">
        <v>0.159</v>
      </c>
      <c r="BZ342" s="78">
        <v>8937</v>
      </c>
      <c r="CA342" s="78">
        <v>1869</v>
      </c>
      <c r="CB342" s="78">
        <v>394</v>
      </c>
      <c r="CC342" s="78">
        <v>366</v>
      </c>
      <c r="CD342" s="78">
        <v>358</v>
      </c>
      <c r="CE342" s="78">
        <v>180</v>
      </c>
      <c r="CF342" s="78">
        <v>165.42577371892401</v>
      </c>
      <c r="CG342" s="78">
        <v>120.426534753932</v>
      </c>
      <c r="CH342" s="78">
        <v>38.999340436326698</v>
      </c>
      <c r="CI342" s="78">
        <v>459.61020000000002</v>
      </c>
      <c r="CJ342" s="78">
        <v>334.58670000000001</v>
      </c>
      <c r="CK342" s="78">
        <v>108.3537</v>
      </c>
      <c r="CL342" s="78">
        <v>0</v>
      </c>
    </row>
    <row r="343" spans="1:90" x14ac:dyDescent="0.35">
      <c r="A343" s="72">
        <v>988</v>
      </c>
      <c r="B343" s="72" t="s">
        <v>332</v>
      </c>
      <c r="C343" s="72">
        <v>11</v>
      </c>
      <c r="D343" s="78">
        <v>5084400000</v>
      </c>
      <c r="E343" s="78">
        <v>840700000</v>
      </c>
      <c r="F343" s="78">
        <v>865550000</v>
      </c>
      <c r="G343" s="78">
        <v>50346</v>
      </c>
      <c r="H343" s="78">
        <v>3</v>
      </c>
      <c r="I343" s="78">
        <v>865.55</v>
      </c>
      <c r="J343" s="78">
        <v>8354</v>
      </c>
      <c r="K343" s="78">
        <v>12065</v>
      </c>
      <c r="L343" s="78">
        <v>4298</v>
      </c>
      <c r="M343" s="78">
        <v>7478</v>
      </c>
      <c r="N343" s="78">
        <v>5065.5</v>
      </c>
      <c r="O343" s="78">
        <v>845.33333333333303</v>
      </c>
      <c r="P343" s="78">
        <v>92</v>
      </c>
      <c r="Q343" s="78">
        <v>3743.3333333333298</v>
      </c>
      <c r="R343" s="78">
        <v>8535</v>
      </c>
      <c r="S343" s="78">
        <v>3490</v>
      </c>
      <c r="T343" s="78">
        <v>0</v>
      </c>
      <c r="U343" s="78">
        <v>1516</v>
      </c>
      <c r="V343" s="78">
        <v>24044</v>
      </c>
      <c r="W343" s="78">
        <v>54720</v>
      </c>
      <c r="X343" s="78">
        <v>55100</v>
      </c>
      <c r="Y343" s="78">
        <v>1311.52</v>
      </c>
      <c r="Z343" s="78">
        <v>2368</v>
      </c>
      <c r="AA343" s="78">
        <v>0</v>
      </c>
      <c r="AB343" s="399">
        <v>0</v>
      </c>
      <c r="AC343" s="399">
        <v>0</v>
      </c>
      <c r="AD343" s="78">
        <v>10405</v>
      </c>
      <c r="AE343" s="78">
        <v>10405</v>
      </c>
      <c r="AF343" s="78">
        <v>148</v>
      </c>
      <c r="AG343" s="78">
        <v>0</v>
      </c>
      <c r="AH343" s="78">
        <v>336</v>
      </c>
      <c r="AI343" s="78">
        <v>133</v>
      </c>
      <c r="AJ343" s="78">
        <v>336</v>
      </c>
      <c r="AK343" s="78">
        <v>133</v>
      </c>
      <c r="AL343" s="78">
        <v>469</v>
      </c>
      <c r="AM343" s="78">
        <v>24125</v>
      </c>
      <c r="AN343" s="78">
        <v>24125</v>
      </c>
      <c r="AO343" s="78">
        <v>13</v>
      </c>
      <c r="AP343" s="78">
        <v>0</v>
      </c>
      <c r="AQ343" s="78">
        <v>0</v>
      </c>
      <c r="AR343" s="78">
        <v>0</v>
      </c>
      <c r="AS343" s="78">
        <v>1312</v>
      </c>
      <c r="AT343" s="78">
        <v>1312</v>
      </c>
      <c r="AU343" s="400">
        <v>8.3736300000000004E-4</v>
      </c>
      <c r="AV343" s="400">
        <v>1.3613239999999999E-3</v>
      </c>
      <c r="AW343" s="78">
        <v>32592.875</v>
      </c>
      <c r="AX343" s="78">
        <v>0</v>
      </c>
      <c r="AY343" s="78">
        <v>1542</v>
      </c>
      <c r="AZ343" s="78">
        <v>7356.53671941628</v>
      </c>
      <c r="BA343" s="78">
        <v>8</v>
      </c>
      <c r="BB343" s="78">
        <v>8</v>
      </c>
      <c r="BC343" s="78">
        <v>5835</v>
      </c>
      <c r="BD343" s="78">
        <v>1</v>
      </c>
      <c r="BE343" s="78">
        <v>0</v>
      </c>
      <c r="BF343" s="78">
        <v>0</v>
      </c>
      <c r="BG343" s="78">
        <v>0</v>
      </c>
      <c r="BH343" s="78">
        <v>0</v>
      </c>
      <c r="BI343" s="78">
        <v>0</v>
      </c>
      <c r="BJ343" s="78">
        <v>0</v>
      </c>
      <c r="BK343" s="78">
        <v>0</v>
      </c>
      <c r="BL343" s="78">
        <v>0</v>
      </c>
      <c r="BM343" s="78">
        <v>1019.188</v>
      </c>
      <c r="BN343" s="78">
        <v>96</v>
      </c>
      <c r="BO343" s="78">
        <v>197</v>
      </c>
      <c r="BP343" s="78">
        <v>15134.6</v>
      </c>
      <c r="BQ343" s="78">
        <v>3117.4</v>
      </c>
      <c r="BR343" s="78">
        <v>283.61454104172299</v>
      </c>
      <c r="BS343" s="78">
        <v>543</v>
      </c>
      <c r="BT343" s="78">
        <v>233.333333333333</v>
      </c>
      <c r="BU343" s="78">
        <v>188.666666666667</v>
      </c>
      <c r="BV343" s="78">
        <v>2897.9999999999968</v>
      </c>
      <c r="BW343" s="78">
        <v>626</v>
      </c>
      <c r="BX343" s="78">
        <v>9772.7071500269903</v>
      </c>
      <c r="BY343" s="402">
        <v>1.8169999999999999</v>
      </c>
      <c r="BZ343" s="78">
        <v>38281</v>
      </c>
      <c r="CA343" s="78">
        <v>6338</v>
      </c>
      <c r="CB343" s="78">
        <v>1429</v>
      </c>
      <c r="CC343" s="78">
        <v>1421</v>
      </c>
      <c r="CD343" s="78">
        <v>1405</v>
      </c>
      <c r="CE343" s="78">
        <v>678</v>
      </c>
      <c r="CF343" s="78">
        <v>830.84698445595905</v>
      </c>
      <c r="CG343" s="78">
        <v>620.24816580310903</v>
      </c>
      <c r="CH343" s="78">
        <v>207.86922279792699</v>
      </c>
      <c r="CI343" s="78">
        <v>1872.8480999999999</v>
      </c>
      <c r="CJ343" s="78">
        <v>1398.1282000000001</v>
      </c>
      <c r="CK343" s="78">
        <v>468.56700000000001</v>
      </c>
      <c r="CL343" s="78">
        <v>33835</v>
      </c>
    </row>
    <row r="344" spans="1:90" x14ac:dyDescent="0.35">
      <c r="A344" s="72">
        <v>34</v>
      </c>
      <c r="B344" s="72" t="s">
        <v>19</v>
      </c>
      <c r="C344" s="72">
        <v>12</v>
      </c>
      <c r="D344" s="78">
        <v>22324400000</v>
      </c>
      <c r="E344" s="78">
        <v>2696400000</v>
      </c>
      <c r="F344" s="78">
        <v>2738400000</v>
      </c>
      <c r="G344" s="78">
        <v>217828</v>
      </c>
      <c r="H344" s="78">
        <v>3</v>
      </c>
      <c r="I344" s="78">
        <v>2738.4</v>
      </c>
      <c r="J344" s="78">
        <v>48219</v>
      </c>
      <c r="K344" s="78">
        <v>27797</v>
      </c>
      <c r="L344" s="78">
        <v>7092</v>
      </c>
      <c r="M344" s="78">
        <v>25411</v>
      </c>
      <c r="N344" s="78">
        <v>16462.5</v>
      </c>
      <c r="O344" s="78">
        <v>5227.6666666666697</v>
      </c>
      <c r="P344" s="78">
        <v>393</v>
      </c>
      <c r="Q344" s="78">
        <v>15908.666666666701</v>
      </c>
      <c r="R344" s="78">
        <v>29848</v>
      </c>
      <c r="S344" s="78">
        <v>46975</v>
      </c>
      <c r="T344" s="78">
        <v>3409.3999999999901</v>
      </c>
      <c r="U344" s="78">
        <v>11193</v>
      </c>
      <c r="V344" s="78">
        <v>94767</v>
      </c>
      <c r="W344" s="78">
        <v>226590</v>
      </c>
      <c r="X344" s="78">
        <v>288220</v>
      </c>
      <c r="Y344" s="78">
        <v>5348.86</v>
      </c>
      <c r="Z344" s="78">
        <v>9823.2000000000007</v>
      </c>
      <c r="AA344" s="78">
        <v>0</v>
      </c>
      <c r="AB344" s="399">
        <v>0</v>
      </c>
      <c r="AC344" s="399">
        <v>0</v>
      </c>
      <c r="AD344" s="78">
        <v>12905</v>
      </c>
      <c r="AE344" s="78">
        <v>15873.15</v>
      </c>
      <c r="AF344" s="78">
        <v>2090</v>
      </c>
      <c r="AG344" s="78">
        <v>9881</v>
      </c>
      <c r="AH344" s="78">
        <v>770</v>
      </c>
      <c r="AI344" s="78">
        <v>73</v>
      </c>
      <c r="AJ344" s="78">
        <v>985.6</v>
      </c>
      <c r="AK344" s="78">
        <v>87.6</v>
      </c>
      <c r="AL344" s="78">
        <v>843</v>
      </c>
      <c r="AM344" s="78">
        <v>89485</v>
      </c>
      <c r="AN344" s="78">
        <v>114540.8</v>
      </c>
      <c r="AO344" s="78">
        <v>0</v>
      </c>
      <c r="AP344" s="78">
        <v>0</v>
      </c>
      <c r="AQ344" s="78">
        <v>0</v>
      </c>
      <c r="AR344" s="78">
        <v>0</v>
      </c>
      <c r="AS344" s="78">
        <v>0</v>
      </c>
      <c r="AT344" s="78">
        <v>0</v>
      </c>
      <c r="AU344" s="400">
        <v>0</v>
      </c>
      <c r="AV344" s="400">
        <v>2.6008800000000001E-4</v>
      </c>
      <c r="AW344" s="78">
        <v>144965.70000000001</v>
      </c>
      <c r="AX344" s="78">
        <v>0</v>
      </c>
      <c r="AY344" s="78">
        <v>7504.23</v>
      </c>
      <c r="AZ344" s="78">
        <v>200352.22392264099</v>
      </c>
      <c r="BA344" s="78">
        <v>7</v>
      </c>
      <c r="BB344" s="78">
        <v>8.4</v>
      </c>
      <c r="BC344" s="78">
        <v>27120</v>
      </c>
      <c r="BD344" s="78">
        <v>1</v>
      </c>
      <c r="BE344" s="78">
        <v>0</v>
      </c>
      <c r="BF344" s="78">
        <v>0</v>
      </c>
      <c r="BG344" s="78">
        <v>0</v>
      </c>
      <c r="BH344" s="78">
        <v>0</v>
      </c>
      <c r="BI344" s="78">
        <v>0</v>
      </c>
      <c r="BJ344" s="78">
        <v>0</v>
      </c>
      <c r="BK344" s="78">
        <v>0</v>
      </c>
      <c r="BL344" s="78">
        <v>0</v>
      </c>
      <c r="BM344" s="78">
        <v>7956.1350000000002</v>
      </c>
      <c r="BN344" s="78">
        <v>741</v>
      </c>
      <c r="BO344" s="78">
        <v>695</v>
      </c>
      <c r="BP344" s="78">
        <v>60084.7</v>
      </c>
      <c r="BQ344" s="78">
        <v>16085.14</v>
      </c>
      <c r="BR344" s="78">
        <v>1263.9501047619001</v>
      </c>
      <c r="BS344" s="78">
        <v>4844</v>
      </c>
      <c r="BT344" s="78">
        <v>1743</v>
      </c>
      <c r="BU344" s="78">
        <v>1680.6666666666699</v>
      </c>
      <c r="BV344" s="78">
        <v>10681.000000000031</v>
      </c>
      <c r="BW344" s="78">
        <v>2499</v>
      </c>
      <c r="BX344" s="78">
        <v>25990.6345509163</v>
      </c>
      <c r="BY344" s="402">
        <v>13.259</v>
      </c>
      <c r="BZ344" s="78">
        <v>190031</v>
      </c>
      <c r="CA344" s="78">
        <v>18614</v>
      </c>
      <c r="CB344" s="78">
        <v>2091</v>
      </c>
      <c r="CC344" s="78">
        <v>4414</v>
      </c>
      <c r="CD344" s="78">
        <v>2508</v>
      </c>
      <c r="CE344" s="78">
        <v>1079</v>
      </c>
      <c r="CF344" s="78">
        <v>2265.9508576856501</v>
      </c>
      <c r="CG344" s="78">
        <v>939.53162541207996</v>
      </c>
      <c r="CH344" s="78">
        <v>280.36933564284499</v>
      </c>
      <c r="CI344" s="78">
        <v>5829.6360999999997</v>
      </c>
      <c r="CJ344" s="78">
        <v>2417.1430999999998</v>
      </c>
      <c r="CK344" s="78">
        <v>721.30920000000003</v>
      </c>
      <c r="CL344" s="78">
        <v>58427</v>
      </c>
    </row>
    <row r="345" spans="1:90" x14ac:dyDescent="0.35">
      <c r="A345" s="72">
        <v>303</v>
      </c>
      <c r="B345" s="72" t="s">
        <v>93</v>
      </c>
      <c r="C345" s="72">
        <v>12</v>
      </c>
      <c r="D345" s="78">
        <v>3944000000</v>
      </c>
      <c r="E345" s="78">
        <v>671650000</v>
      </c>
      <c r="F345" s="78">
        <v>754250000</v>
      </c>
      <c r="G345" s="78">
        <v>42865</v>
      </c>
      <c r="H345" s="78">
        <v>3</v>
      </c>
      <c r="I345" s="78">
        <v>754.25</v>
      </c>
      <c r="J345" s="78">
        <v>8585</v>
      </c>
      <c r="K345" s="78">
        <v>7917</v>
      </c>
      <c r="L345" s="78">
        <v>2590</v>
      </c>
      <c r="M345" s="78">
        <v>4689</v>
      </c>
      <c r="N345" s="78">
        <v>2751.8</v>
      </c>
      <c r="O345" s="78">
        <v>588.33333333333303</v>
      </c>
      <c r="P345" s="78">
        <v>61</v>
      </c>
      <c r="Q345" s="78">
        <v>2561.3333333333298</v>
      </c>
      <c r="R345" s="78">
        <v>5657</v>
      </c>
      <c r="S345" s="78">
        <v>2215</v>
      </c>
      <c r="T345" s="78">
        <v>0</v>
      </c>
      <c r="U345" s="78">
        <v>1201</v>
      </c>
      <c r="V345" s="78">
        <v>19221</v>
      </c>
      <c r="W345" s="78">
        <v>40700</v>
      </c>
      <c r="X345" s="78">
        <v>24940</v>
      </c>
      <c r="Y345" s="78">
        <v>449.46</v>
      </c>
      <c r="Z345" s="78">
        <v>1807.2</v>
      </c>
      <c r="AA345" s="78">
        <v>0</v>
      </c>
      <c r="AB345" s="399">
        <v>0</v>
      </c>
      <c r="AC345" s="399">
        <v>0</v>
      </c>
      <c r="AD345" s="78">
        <v>33361</v>
      </c>
      <c r="AE345" s="78">
        <v>34028.22</v>
      </c>
      <c r="AF345" s="78">
        <v>5768</v>
      </c>
      <c r="AG345" s="78">
        <v>3261</v>
      </c>
      <c r="AH345" s="78">
        <v>250</v>
      </c>
      <c r="AI345" s="78">
        <v>159</v>
      </c>
      <c r="AJ345" s="78">
        <v>250</v>
      </c>
      <c r="AK345" s="78">
        <v>162.18</v>
      </c>
      <c r="AL345" s="78">
        <v>409</v>
      </c>
      <c r="AM345" s="78">
        <v>19372</v>
      </c>
      <c r="AN345" s="78">
        <v>19372</v>
      </c>
      <c r="AO345" s="78">
        <v>0</v>
      </c>
      <c r="AP345" s="78">
        <v>0</v>
      </c>
      <c r="AQ345" s="78">
        <v>0</v>
      </c>
      <c r="AR345" s="78">
        <v>0</v>
      </c>
      <c r="AS345" s="78">
        <v>0</v>
      </c>
      <c r="AT345" s="78">
        <v>0</v>
      </c>
      <c r="AU345" s="400">
        <v>0</v>
      </c>
      <c r="AV345" s="400">
        <v>1.8053899999999999E-4</v>
      </c>
      <c r="AW345" s="78">
        <v>15129.531999999999</v>
      </c>
      <c r="AX345" s="78">
        <v>0</v>
      </c>
      <c r="AY345" s="78">
        <v>7481.7</v>
      </c>
      <c r="AZ345" s="78">
        <v>8676.5227708349303</v>
      </c>
      <c r="BA345" s="78">
        <v>12</v>
      </c>
      <c r="BB345" s="78">
        <v>12.24</v>
      </c>
      <c r="BC345" s="78">
        <v>5260</v>
      </c>
      <c r="BD345" s="78">
        <v>1</v>
      </c>
      <c r="BE345" s="78">
        <v>0</v>
      </c>
      <c r="BF345" s="78">
        <v>0</v>
      </c>
      <c r="BG345" s="78">
        <v>0</v>
      </c>
      <c r="BH345" s="78">
        <v>0</v>
      </c>
      <c r="BI345" s="78">
        <v>0</v>
      </c>
      <c r="BJ345" s="78">
        <v>0</v>
      </c>
      <c r="BK345" s="78">
        <v>0</v>
      </c>
      <c r="BL345" s="78">
        <v>0</v>
      </c>
      <c r="BM345" s="78">
        <v>995.86</v>
      </c>
      <c r="BN345" s="78">
        <v>199</v>
      </c>
      <c r="BO345" s="78">
        <v>144</v>
      </c>
      <c r="BP345" s="78">
        <v>11706.88</v>
      </c>
      <c r="BQ345" s="78">
        <v>2840.22</v>
      </c>
      <c r="BR345" s="78">
        <v>425.07605539268599</v>
      </c>
      <c r="BS345" s="78">
        <v>544</v>
      </c>
      <c r="BT345" s="78">
        <v>173.333333333333</v>
      </c>
      <c r="BU345" s="78">
        <v>149.666666666667</v>
      </c>
      <c r="BV345" s="78">
        <v>1972.9999999999968</v>
      </c>
      <c r="BW345" s="78">
        <v>612</v>
      </c>
      <c r="BX345" s="78">
        <v>6731.7977006022202</v>
      </c>
      <c r="BY345" s="402">
        <v>1.014</v>
      </c>
      <c r="BZ345" s="78">
        <v>34948</v>
      </c>
      <c r="CA345" s="78">
        <v>4444</v>
      </c>
      <c r="CB345" s="78">
        <v>883</v>
      </c>
      <c r="CC345" s="78">
        <v>799</v>
      </c>
      <c r="CD345" s="78">
        <v>760</v>
      </c>
      <c r="CE345" s="78">
        <v>462</v>
      </c>
      <c r="CF345" s="78">
        <v>386.803190171381</v>
      </c>
      <c r="CG345" s="78">
        <v>247.451765434648</v>
      </c>
      <c r="CH345" s="78">
        <v>98.298864340284993</v>
      </c>
      <c r="CI345" s="78">
        <v>1233.7913000000001</v>
      </c>
      <c r="CJ345" s="78">
        <v>789.30020000000002</v>
      </c>
      <c r="CK345" s="78">
        <v>313.54520000000002</v>
      </c>
      <c r="CL345" s="78">
        <v>17428</v>
      </c>
    </row>
    <row r="346" spans="1:90" x14ac:dyDescent="0.35">
      <c r="A346" s="72">
        <v>995</v>
      </c>
      <c r="B346" s="72" t="s">
        <v>182</v>
      </c>
      <c r="C346" s="72">
        <v>12</v>
      </c>
      <c r="D346" s="78">
        <v>7145200000</v>
      </c>
      <c r="E346" s="78">
        <v>1241800000</v>
      </c>
      <c r="F346" s="78">
        <v>1289050000</v>
      </c>
      <c r="G346" s="78">
        <v>81214</v>
      </c>
      <c r="H346" s="78">
        <v>1</v>
      </c>
      <c r="I346" s="78">
        <v>1289.05</v>
      </c>
      <c r="J346" s="78">
        <v>17283</v>
      </c>
      <c r="K346" s="78">
        <v>14620</v>
      </c>
      <c r="L346" s="78">
        <v>4434</v>
      </c>
      <c r="M346" s="78">
        <v>11598</v>
      </c>
      <c r="N346" s="78">
        <v>8086.5</v>
      </c>
      <c r="O346" s="78">
        <v>1997.3333333333301</v>
      </c>
      <c r="P346" s="78">
        <v>154</v>
      </c>
      <c r="Q346" s="78">
        <v>6914.3333333333303</v>
      </c>
      <c r="R346" s="78">
        <v>12629</v>
      </c>
      <c r="S346" s="78">
        <v>12890</v>
      </c>
      <c r="T346" s="78">
        <v>0</v>
      </c>
      <c r="U346" s="78">
        <v>3811</v>
      </c>
      <c r="V346" s="78">
        <v>36793</v>
      </c>
      <c r="W346" s="78">
        <v>82330</v>
      </c>
      <c r="X346" s="78">
        <v>89730</v>
      </c>
      <c r="Y346" s="78">
        <v>3489.24</v>
      </c>
      <c r="Z346" s="78">
        <v>2793.6</v>
      </c>
      <c r="AA346" s="78">
        <v>0</v>
      </c>
      <c r="AB346" s="399">
        <v>0</v>
      </c>
      <c r="AC346" s="399">
        <v>0</v>
      </c>
      <c r="AD346" s="78">
        <v>23395</v>
      </c>
      <c r="AE346" s="78">
        <v>26436.35</v>
      </c>
      <c r="AF346" s="78">
        <v>3576</v>
      </c>
      <c r="AG346" s="78">
        <v>10000</v>
      </c>
      <c r="AH346" s="78">
        <v>357</v>
      </c>
      <c r="AI346" s="78">
        <v>131</v>
      </c>
      <c r="AJ346" s="78">
        <v>424.83</v>
      </c>
      <c r="AK346" s="78">
        <v>146.72</v>
      </c>
      <c r="AL346" s="78">
        <v>488</v>
      </c>
      <c r="AM346" s="78">
        <v>35115</v>
      </c>
      <c r="AN346" s="78">
        <v>41786.85</v>
      </c>
      <c r="AO346" s="78">
        <v>0</v>
      </c>
      <c r="AP346" s="78">
        <v>0</v>
      </c>
      <c r="AQ346" s="78">
        <v>0</v>
      </c>
      <c r="AR346" s="78">
        <v>0</v>
      </c>
      <c r="AS346" s="78">
        <v>0</v>
      </c>
      <c r="AT346" s="78">
        <v>0</v>
      </c>
      <c r="AU346" s="400">
        <v>1.6395000000000001E-5</v>
      </c>
      <c r="AV346" s="400">
        <v>8.1816699999999996E-4</v>
      </c>
      <c r="AW346" s="78">
        <v>49055.654999999999</v>
      </c>
      <c r="AX346" s="78">
        <v>0</v>
      </c>
      <c r="AY346" s="78">
        <v>11445.77</v>
      </c>
      <c r="AZ346" s="78">
        <v>51736.699532831597</v>
      </c>
      <c r="BA346" s="78">
        <v>6</v>
      </c>
      <c r="BB346" s="78">
        <v>6.72</v>
      </c>
      <c r="BC346" s="78">
        <v>9475</v>
      </c>
      <c r="BD346" s="78">
        <v>1</v>
      </c>
      <c r="BE346" s="78">
        <v>0</v>
      </c>
      <c r="BF346" s="78">
        <v>0</v>
      </c>
      <c r="BG346" s="78">
        <v>0</v>
      </c>
      <c r="BH346" s="78">
        <v>0</v>
      </c>
      <c r="BI346" s="78">
        <v>0</v>
      </c>
      <c r="BJ346" s="78">
        <v>0</v>
      </c>
      <c r="BK346" s="78">
        <v>0</v>
      </c>
      <c r="BL346" s="78">
        <v>0</v>
      </c>
      <c r="BM346" s="78">
        <v>3162.7890000000002</v>
      </c>
      <c r="BN346" s="78">
        <v>423</v>
      </c>
      <c r="BO346" s="78">
        <v>361</v>
      </c>
      <c r="BP346" s="78">
        <v>21503.4</v>
      </c>
      <c r="BQ346" s="78">
        <v>5101.78</v>
      </c>
      <c r="BR346" s="78">
        <v>627.73683367983404</v>
      </c>
      <c r="BS346" s="78">
        <v>1559</v>
      </c>
      <c r="BT346" s="78">
        <v>640.66666666666697</v>
      </c>
      <c r="BU346" s="78">
        <v>603.66666666666697</v>
      </c>
      <c r="BV346" s="78">
        <v>4917</v>
      </c>
      <c r="BW346" s="78">
        <v>1450</v>
      </c>
      <c r="BX346" s="78">
        <v>12670.568461991499</v>
      </c>
      <c r="BY346" s="402">
        <v>5.7539999999999996</v>
      </c>
      <c r="BZ346" s="78">
        <v>66594</v>
      </c>
      <c r="CA346" s="78">
        <v>9206</v>
      </c>
      <c r="CB346" s="78">
        <v>980</v>
      </c>
      <c r="CC346" s="78">
        <v>2327</v>
      </c>
      <c r="CD346" s="78">
        <v>1409</v>
      </c>
      <c r="CE346" s="78">
        <v>460</v>
      </c>
      <c r="CF346" s="78">
        <v>1364.4457496796199</v>
      </c>
      <c r="CG346" s="78">
        <v>721.71695856471604</v>
      </c>
      <c r="CH346" s="78">
        <v>157.97633489961601</v>
      </c>
      <c r="CI346" s="78">
        <v>3139.6574999999998</v>
      </c>
      <c r="CJ346" s="78">
        <v>1660.7066</v>
      </c>
      <c r="CK346" s="78">
        <v>363.51139999999998</v>
      </c>
      <c r="CL346" s="78">
        <v>32114</v>
      </c>
    </row>
    <row r="347" spans="1:90" x14ac:dyDescent="0.35">
      <c r="A347" s="72">
        <v>171</v>
      </c>
      <c r="B347" s="72" t="s">
        <v>220</v>
      </c>
      <c r="C347" s="72">
        <v>12</v>
      </c>
      <c r="D347" s="78">
        <v>3757200000</v>
      </c>
      <c r="E347" s="78">
        <v>1176700000</v>
      </c>
      <c r="F347" s="78">
        <v>1316700000</v>
      </c>
      <c r="G347" s="78">
        <v>48048</v>
      </c>
      <c r="H347" s="78">
        <v>5</v>
      </c>
      <c r="I347" s="78">
        <v>1316.7</v>
      </c>
      <c r="J347" s="78">
        <v>10554</v>
      </c>
      <c r="K347" s="78">
        <v>8888</v>
      </c>
      <c r="L347" s="78">
        <v>2776</v>
      </c>
      <c r="M347" s="78">
        <v>6021</v>
      </c>
      <c r="N347" s="78">
        <v>3953.7999999999997</v>
      </c>
      <c r="O347" s="78">
        <v>825.33333333333303</v>
      </c>
      <c r="P347" s="78">
        <v>99</v>
      </c>
      <c r="Q347" s="78">
        <v>3009.3333333333298</v>
      </c>
      <c r="R347" s="78">
        <v>6228</v>
      </c>
      <c r="S347" s="78">
        <v>2100</v>
      </c>
      <c r="T347" s="78">
        <v>0</v>
      </c>
      <c r="U347" s="78">
        <v>1334</v>
      </c>
      <c r="V347" s="78">
        <v>21178</v>
      </c>
      <c r="W347" s="78">
        <v>46230</v>
      </c>
      <c r="X347" s="78">
        <v>35810</v>
      </c>
      <c r="Y347" s="78">
        <v>1808.4</v>
      </c>
      <c r="Z347" s="78">
        <v>2356.8000000000002</v>
      </c>
      <c r="AA347" s="78">
        <v>0</v>
      </c>
      <c r="AB347" s="399">
        <v>0</v>
      </c>
      <c r="AC347" s="399">
        <v>0</v>
      </c>
      <c r="AD347" s="78">
        <v>45785</v>
      </c>
      <c r="AE347" s="78">
        <v>46700.7</v>
      </c>
      <c r="AF347" s="78">
        <v>2925</v>
      </c>
      <c r="AG347" s="78">
        <v>10000</v>
      </c>
      <c r="AH347" s="78">
        <v>264</v>
      </c>
      <c r="AI347" s="78">
        <v>337</v>
      </c>
      <c r="AJ347" s="78">
        <v>266.64</v>
      </c>
      <c r="AK347" s="78">
        <v>343.74</v>
      </c>
      <c r="AL347" s="78">
        <v>601</v>
      </c>
      <c r="AM347" s="78">
        <v>20672</v>
      </c>
      <c r="AN347" s="78">
        <v>20878.72</v>
      </c>
      <c r="AO347" s="78">
        <v>0</v>
      </c>
      <c r="AP347" s="78">
        <v>0</v>
      </c>
      <c r="AQ347" s="78">
        <v>0</v>
      </c>
      <c r="AR347" s="78">
        <v>0</v>
      </c>
      <c r="AS347" s="78">
        <v>0</v>
      </c>
      <c r="AT347" s="78">
        <v>0</v>
      </c>
      <c r="AU347" s="400">
        <v>3.4313999999999997E-5</v>
      </c>
      <c r="AV347" s="400">
        <v>8.75901E-4</v>
      </c>
      <c r="AW347" s="78">
        <v>15193.92</v>
      </c>
      <c r="AX347" s="78">
        <v>0</v>
      </c>
      <c r="AY347" s="78">
        <v>9389.1</v>
      </c>
      <c r="AZ347" s="78">
        <v>9927.5591935947396</v>
      </c>
      <c r="BA347" s="78">
        <v>16</v>
      </c>
      <c r="BB347" s="78">
        <v>16.32</v>
      </c>
      <c r="BC347" s="78">
        <v>6445</v>
      </c>
      <c r="BD347" s="78">
        <v>1</v>
      </c>
      <c r="BE347" s="78">
        <v>0</v>
      </c>
      <c r="BF347" s="78">
        <v>0</v>
      </c>
      <c r="BG347" s="78">
        <v>0</v>
      </c>
      <c r="BH347" s="78">
        <v>0</v>
      </c>
      <c r="BI347" s="78">
        <v>0</v>
      </c>
      <c r="BJ347" s="78">
        <v>0</v>
      </c>
      <c r="BK347" s="78">
        <v>0</v>
      </c>
      <c r="BL347" s="78">
        <v>0</v>
      </c>
      <c r="BM347" s="78">
        <v>1213.71</v>
      </c>
      <c r="BN347" s="78">
        <v>211</v>
      </c>
      <c r="BO347" s="78">
        <v>262</v>
      </c>
      <c r="BP347" s="78">
        <v>12341.1</v>
      </c>
      <c r="BQ347" s="78">
        <v>3073.44</v>
      </c>
      <c r="BR347" s="78">
        <v>396.29524722336498</v>
      </c>
      <c r="BS347" s="78">
        <v>580</v>
      </c>
      <c r="BT347" s="78">
        <v>265.66666666666703</v>
      </c>
      <c r="BU347" s="78">
        <v>214</v>
      </c>
      <c r="BV347" s="78">
        <v>2183.9999999999968</v>
      </c>
      <c r="BW347" s="78">
        <v>707</v>
      </c>
      <c r="BX347" s="78">
        <v>6430.27101948175</v>
      </c>
      <c r="BY347" s="402">
        <v>1.7829999999999999</v>
      </c>
      <c r="BZ347" s="78">
        <v>39160</v>
      </c>
      <c r="CA347" s="78">
        <v>5174</v>
      </c>
      <c r="CB347" s="78">
        <v>938</v>
      </c>
      <c r="CC347" s="78">
        <v>986</v>
      </c>
      <c r="CD347" s="78">
        <v>844</v>
      </c>
      <c r="CE347" s="78">
        <v>434</v>
      </c>
      <c r="CF347" s="78">
        <v>613.76471555727596</v>
      </c>
      <c r="CG347" s="78">
        <v>356.323984133127</v>
      </c>
      <c r="CH347" s="78">
        <v>121.452351006192</v>
      </c>
      <c r="CI347" s="78">
        <v>1600.3282999999999</v>
      </c>
      <c r="CJ347" s="78">
        <v>929.07809999999995</v>
      </c>
      <c r="CK347" s="78">
        <v>316.67450000000002</v>
      </c>
      <c r="CL347" s="78">
        <v>34491</v>
      </c>
    </row>
    <row r="348" spans="1:90" x14ac:dyDescent="0.35">
      <c r="A348" s="72">
        <v>184</v>
      </c>
      <c r="B348" s="72" t="s">
        <v>304</v>
      </c>
      <c r="C348" s="72">
        <v>12</v>
      </c>
      <c r="D348" s="78">
        <v>1602800000</v>
      </c>
      <c r="E348" s="78">
        <v>338450000</v>
      </c>
      <c r="F348" s="78">
        <v>343700000</v>
      </c>
      <c r="G348" s="78">
        <v>21468</v>
      </c>
      <c r="H348" s="78">
        <v>1</v>
      </c>
      <c r="I348" s="78">
        <v>343.7</v>
      </c>
      <c r="J348" s="78">
        <v>7033</v>
      </c>
      <c r="K348" s="78">
        <v>2139</v>
      </c>
      <c r="L348" s="78">
        <v>683</v>
      </c>
      <c r="M348" s="78">
        <v>1465</v>
      </c>
      <c r="N348" s="78">
        <v>774.59999999999991</v>
      </c>
      <c r="O348" s="78">
        <v>106</v>
      </c>
      <c r="P348" s="78">
        <v>37</v>
      </c>
      <c r="Q348" s="78">
        <v>786</v>
      </c>
      <c r="R348" s="78">
        <v>1365</v>
      </c>
      <c r="S348" s="78">
        <v>295</v>
      </c>
      <c r="T348" s="78">
        <v>0</v>
      </c>
      <c r="U348" s="78">
        <v>278</v>
      </c>
      <c r="V348" s="78">
        <v>6853</v>
      </c>
      <c r="W348" s="78">
        <v>22430</v>
      </c>
      <c r="X348" s="78">
        <v>15420</v>
      </c>
      <c r="Y348" s="78">
        <v>183.38</v>
      </c>
      <c r="Z348" s="78">
        <v>946.4</v>
      </c>
      <c r="AA348" s="78">
        <v>0</v>
      </c>
      <c r="AB348" s="399">
        <v>0</v>
      </c>
      <c r="AC348" s="399">
        <v>663.8</v>
      </c>
      <c r="AD348" s="78">
        <v>1316</v>
      </c>
      <c r="AE348" s="78">
        <v>1539.72</v>
      </c>
      <c r="AF348" s="78">
        <v>38</v>
      </c>
      <c r="AG348" s="78">
        <v>9832</v>
      </c>
      <c r="AH348" s="78">
        <v>104</v>
      </c>
      <c r="AI348" s="78">
        <v>6</v>
      </c>
      <c r="AJ348" s="78">
        <v>131.04</v>
      </c>
      <c r="AK348" s="78">
        <v>6.6</v>
      </c>
      <c r="AL348" s="78">
        <v>110</v>
      </c>
      <c r="AM348" s="78">
        <v>6904</v>
      </c>
      <c r="AN348" s="78">
        <v>8699.0400000000009</v>
      </c>
      <c r="AO348" s="78">
        <v>0</v>
      </c>
      <c r="AP348" s="78">
        <v>0</v>
      </c>
      <c r="AQ348" s="78">
        <v>0</v>
      </c>
      <c r="AR348" s="78">
        <v>0</v>
      </c>
      <c r="AS348" s="78">
        <v>724</v>
      </c>
      <c r="AT348" s="78">
        <v>0</v>
      </c>
      <c r="AU348" s="400">
        <v>1.1387000000000001E-4</v>
      </c>
      <c r="AV348" s="400">
        <v>4.8016000000000002E-5</v>
      </c>
      <c r="AW348" s="78">
        <v>7463.2240000000002</v>
      </c>
      <c r="AX348" s="78">
        <v>0</v>
      </c>
      <c r="AY348" s="78">
        <v>493.74</v>
      </c>
      <c r="AZ348" s="78">
        <v>17214.989423929099</v>
      </c>
      <c r="BA348" s="78">
        <v>1</v>
      </c>
      <c r="BB348" s="78">
        <v>1.1000000000000001</v>
      </c>
      <c r="BC348" s="78">
        <v>2280</v>
      </c>
      <c r="BD348" s="78">
        <v>1</v>
      </c>
      <c r="BE348" s="78">
        <v>0</v>
      </c>
      <c r="BF348" s="78">
        <v>0</v>
      </c>
      <c r="BG348" s="78">
        <v>0</v>
      </c>
      <c r="BH348" s="78">
        <v>0</v>
      </c>
      <c r="BI348" s="78">
        <v>0</v>
      </c>
      <c r="BJ348" s="78">
        <v>0</v>
      </c>
      <c r="BK348" s="78">
        <v>0</v>
      </c>
      <c r="BL348" s="78">
        <v>0</v>
      </c>
      <c r="BM348" s="78">
        <v>365.71600000000001</v>
      </c>
      <c r="BN348" s="78">
        <v>269</v>
      </c>
      <c r="BO348" s="78">
        <v>38</v>
      </c>
      <c r="BP348" s="78">
        <v>4080.84</v>
      </c>
      <c r="BQ348" s="78">
        <v>1566.4</v>
      </c>
      <c r="BR348" s="78">
        <v>152.030398479913</v>
      </c>
      <c r="BS348" s="78">
        <v>113</v>
      </c>
      <c r="BT348" s="78">
        <v>48.6666666666667</v>
      </c>
      <c r="BU348" s="78">
        <v>23.6666666666667</v>
      </c>
      <c r="BV348" s="78">
        <v>680</v>
      </c>
      <c r="BW348" s="78">
        <v>266</v>
      </c>
      <c r="BX348" s="78">
        <v>1100.10984500872</v>
      </c>
      <c r="BY348" s="402">
        <v>0.106</v>
      </c>
      <c r="BZ348" s="78">
        <v>19329</v>
      </c>
      <c r="CA348" s="78">
        <v>1271</v>
      </c>
      <c r="CB348" s="78">
        <v>185</v>
      </c>
      <c r="CC348" s="78">
        <v>216</v>
      </c>
      <c r="CD348" s="78">
        <v>223</v>
      </c>
      <c r="CE348" s="78">
        <v>75</v>
      </c>
      <c r="CF348" s="78">
        <v>89.868858632676705</v>
      </c>
      <c r="CG348" s="78">
        <v>52.732039397450798</v>
      </c>
      <c r="CH348" s="78">
        <v>11.6683661645423</v>
      </c>
      <c r="CI348" s="78">
        <v>406.42739999999998</v>
      </c>
      <c r="CJ348" s="78">
        <v>238.47800000000001</v>
      </c>
      <c r="CK348" s="78">
        <v>52.769599999999997</v>
      </c>
      <c r="CL348" s="78">
        <v>3969</v>
      </c>
    </row>
    <row r="349" spans="1:90" x14ac:dyDescent="0.35">
      <c r="A349" s="72">
        <v>50</v>
      </c>
      <c r="B349" s="72" t="s">
        <v>355</v>
      </c>
      <c r="C349" s="72">
        <v>12</v>
      </c>
      <c r="D349" s="78">
        <v>2548000000</v>
      </c>
      <c r="E349" s="78">
        <v>703850000</v>
      </c>
      <c r="F349" s="78">
        <v>764400000</v>
      </c>
      <c r="G349" s="78">
        <v>23348</v>
      </c>
      <c r="H349" s="78">
        <v>3</v>
      </c>
      <c r="I349" s="78">
        <v>764.4</v>
      </c>
      <c r="J349" s="78">
        <v>4854</v>
      </c>
      <c r="K349" s="78">
        <v>3399</v>
      </c>
      <c r="L349" s="78">
        <v>1037</v>
      </c>
      <c r="M349" s="78">
        <v>2325</v>
      </c>
      <c r="N349" s="78">
        <v>1274.3999999999999</v>
      </c>
      <c r="O349" s="78">
        <v>276</v>
      </c>
      <c r="P349" s="78">
        <v>14</v>
      </c>
      <c r="Q349" s="78">
        <v>1161</v>
      </c>
      <c r="R349" s="78">
        <v>3255</v>
      </c>
      <c r="S349" s="78">
        <v>660</v>
      </c>
      <c r="T349" s="78">
        <v>0</v>
      </c>
      <c r="U349" s="78">
        <v>673</v>
      </c>
      <c r="V349" s="78">
        <v>10179</v>
      </c>
      <c r="W349" s="78">
        <v>22260</v>
      </c>
      <c r="X349" s="78">
        <v>10200</v>
      </c>
      <c r="Y349" s="78">
        <v>0</v>
      </c>
      <c r="Z349" s="78">
        <v>324</v>
      </c>
      <c r="AA349" s="78">
        <v>0</v>
      </c>
      <c r="AB349" s="399">
        <v>0</v>
      </c>
      <c r="AC349" s="399">
        <v>0</v>
      </c>
      <c r="AD349" s="78">
        <v>24704</v>
      </c>
      <c r="AE349" s="78">
        <v>25692.16</v>
      </c>
      <c r="AF349" s="78">
        <v>2181</v>
      </c>
      <c r="AG349" s="78">
        <v>0</v>
      </c>
      <c r="AH349" s="78">
        <v>122</v>
      </c>
      <c r="AI349" s="78">
        <v>127</v>
      </c>
      <c r="AJ349" s="78">
        <v>122</v>
      </c>
      <c r="AK349" s="78">
        <v>133.35</v>
      </c>
      <c r="AL349" s="78">
        <v>249</v>
      </c>
      <c r="AM349" s="78">
        <v>10506</v>
      </c>
      <c r="AN349" s="78">
        <v>10506</v>
      </c>
      <c r="AO349" s="78">
        <v>0</v>
      </c>
      <c r="AP349" s="78">
        <v>0</v>
      </c>
      <c r="AQ349" s="78">
        <v>0</v>
      </c>
      <c r="AR349" s="78">
        <v>0</v>
      </c>
      <c r="AS349" s="78">
        <v>0</v>
      </c>
      <c r="AT349" s="78">
        <v>0</v>
      </c>
      <c r="AU349" s="400">
        <v>0</v>
      </c>
      <c r="AV349" s="400">
        <v>1.6589999999999999E-6</v>
      </c>
      <c r="AW349" s="78">
        <v>8814.5339999999997</v>
      </c>
      <c r="AX349" s="78">
        <v>0</v>
      </c>
      <c r="AY349" s="78">
        <v>5828.16</v>
      </c>
      <c r="AZ349" s="78">
        <v>5630.4068915752296</v>
      </c>
      <c r="BA349" s="78">
        <v>7</v>
      </c>
      <c r="BB349" s="78">
        <v>7.35</v>
      </c>
      <c r="BC349" s="78">
        <v>3335</v>
      </c>
      <c r="BD349" s="78">
        <v>1</v>
      </c>
      <c r="BE349" s="78">
        <v>0</v>
      </c>
      <c r="BF349" s="78">
        <v>0</v>
      </c>
      <c r="BG349" s="78">
        <v>0</v>
      </c>
      <c r="BH349" s="78">
        <v>0</v>
      </c>
      <c r="BI349" s="78">
        <v>0</v>
      </c>
      <c r="BJ349" s="78">
        <v>0</v>
      </c>
      <c r="BK349" s="78">
        <v>0</v>
      </c>
      <c r="BL349" s="78">
        <v>0</v>
      </c>
      <c r="BM349" s="78">
        <v>446.56799999999998</v>
      </c>
      <c r="BN349" s="78">
        <v>57</v>
      </c>
      <c r="BO349" s="78">
        <v>28</v>
      </c>
      <c r="BP349" s="78">
        <v>6962.79</v>
      </c>
      <c r="BQ349" s="78">
        <v>1853</v>
      </c>
      <c r="BR349" s="78">
        <v>158.37514826498401</v>
      </c>
      <c r="BS349" s="78">
        <v>251</v>
      </c>
      <c r="BT349" s="78">
        <v>96.6666666666667</v>
      </c>
      <c r="BU349" s="78">
        <v>81</v>
      </c>
      <c r="BV349" s="78">
        <v>885</v>
      </c>
      <c r="BW349" s="78">
        <v>227</v>
      </c>
      <c r="BX349" s="78">
        <v>2507.8970654311802</v>
      </c>
      <c r="BY349" s="402">
        <v>0.29699999999999999</v>
      </c>
      <c r="BZ349" s="78">
        <v>19949</v>
      </c>
      <c r="CA349" s="78">
        <v>2032</v>
      </c>
      <c r="CB349" s="78">
        <v>330</v>
      </c>
      <c r="CC349" s="78">
        <v>398</v>
      </c>
      <c r="CD349" s="78">
        <v>316</v>
      </c>
      <c r="CE349" s="78">
        <v>181</v>
      </c>
      <c r="CF349" s="78">
        <v>155.14540262707001</v>
      </c>
      <c r="CG349" s="78">
        <v>88.307938320959394</v>
      </c>
      <c r="CH349" s="78">
        <v>32.387664191890302</v>
      </c>
      <c r="CI349" s="78">
        <v>564.42269999999996</v>
      </c>
      <c r="CJ349" s="78">
        <v>321.26639999999998</v>
      </c>
      <c r="CK349" s="78">
        <v>117.8271</v>
      </c>
      <c r="CL349" s="78">
        <v>10950</v>
      </c>
    </row>
    <row r="350" spans="1:90" x14ac:dyDescent="0.35">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399"/>
      <c r="AC350" s="399"/>
      <c r="AD350" s="78"/>
      <c r="AE350" s="78"/>
      <c r="AF350" s="78"/>
      <c r="AG350" s="78"/>
      <c r="AH350" s="78"/>
      <c r="AI350" s="78"/>
      <c r="AJ350" s="78"/>
      <c r="AK350" s="78"/>
      <c r="AL350" s="78"/>
      <c r="AM350" s="78"/>
      <c r="AN350" s="78"/>
      <c r="AO350" s="78"/>
      <c r="AP350" s="78"/>
      <c r="AQ350" s="78"/>
      <c r="AR350" s="78"/>
      <c r="AS350" s="78"/>
      <c r="AT350" s="78"/>
      <c r="AU350" s="400"/>
      <c r="AV350" s="400"/>
      <c r="AW350" s="78"/>
      <c r="AX350" s="78"/>
      <c r="AY350" s="78"/>
      <c r="AZ350" s="78"/>
      <c r="BA350" s="78"/>
      <c r="BB350" s="78"/>
      <c r="BC350" s="78"/>
      <c r="BD350" s="78"/>
      <c r="BE350" s="78"/>
      <c r="BF350" s="78"/>
      <c r="BG350" s="78"/>
      <c r="BH350" s="78"/>
      <c r="BI350" s="78"/>
      <c r="BJ350" s="78"/>
      <c r="BK350" s="78"/>
      <c r="BL350" s="78"/>
      <c r="BM350" s="78"/>
      <c r="BN350" s="78"/>
      <c r="BO350" s="78"/>
      <c r="BP350" s="78"/>
      <c r="BQ350" s="78"/>
      <c r="BR350" s="78"/>
      <c r="BS350" s="78"/>
      <c r="BT350" s="78"/>
      <c r="BU350" s="78"/>
      <c r="BV350" s="78"/>
      <c r="BW350" s="78"/>
      <c r="BX350" s="78"/>
      <c r="BY350" s="402"/>
      <c r="BZ350" s="78"/>
      <c r="CA350" s="78"/>
      <c r="CB350" s="78"/>
      <c r="CC350" s="78"/>
      <c r="CD350" s="78"/>
      <c r="CE350" s="78"/>
      <c r="CF350" s="78"/>
      <c r="CG350" s="78"/>
      <c r="CH350" s="78"/>
      <c r="CI350" s="78"/>
      <c r="CJ350" s="78"/>
      <c r="CK350" s="78"/>
      <c r="CL350" s="78"/>
    </row>
    <row r="351" spans="1:90" x14ac:dyDescent="0.35">
      <c r="B351" s="72" t="s">
        <v>379</v>
      </c>
      <c r="D351" s="78">
        <v>1835940800000</v>
      </c>
      <c r="E351" s="78">
        <v>314357050000</v>
      </c>
      <c r="F351" s="78">
        <v>326616150000</v>
      </c>
      <c r="G351" s="78">
        <v>17475415</v>
      </c>
      <c r="H351" s="78">
        <v>1154</v>
      </c>
      <c r="I351" s="78">
        <v>326616.14999999973</v>
      </c>
      <c r="J351" s="78">
        <v>3311222</v>
      </c>
      <c r="K351" s="78">
        <v>3457535</v>
      </c>
      <c r="L351" s="78">
        <v>1093183</v>
      </c>
      <c r="M351" s="78">
        <v>2443819</v>
      </c>
      <c r="N351" s="78">
        <v>1613675.399999999</v>
      </c>
      <c r="O351" s="78">
        <v>392009.33333333337</v>
      </c>
      <c r="P351" s="78">
        <v>22127</v>
      </c>
      <c r="Q351" s="78">
        <v>1250864.333333333</v>
      </c>
      <c r="R351" s="78">
        <v>3097117</v>
      </c>
      <c r="S351" s="78">
        <v>1482040</v>
      </c>
      <c r="T351" s="78">
        <v>107664.40000000001</v>
      </c>
      <c r="U351" s="78">
        <v>593871</v>
      </c>
      <c r="V351" s="78">
        <v>8302203</v>
      </c>
      <c r="W351" s="78">
        <v>17475330</v>
      </c>
      <c r="X351" s="78">
        <v>17475370</v>
      </c>
      <c r="Y351" s="78">
        <v>375248.8809999997</v>
      </c>
      <c r="Z351" s="78">
        <v>694064</v>
      </c>
      <c r="AA351" s="78">
        <v>14623.599999999997</v>
      </c>
      <c r="AB351" s="399">
        <v>7175.0999999999831</v>
      </c>
      <c r="AC351" s="399">
        <v>17358.399999999994</v>
      </c>
      <c r="AD351" s="78">
        <v>3363392</v>
      </c>
      <c r="AE351" s="78">
        <v>3565360.4200000004</v>
      </c>
      <c r="AF351" s="78">
        <v>196720</v>
      </c>
      <c r="AG351" s="78">
        <v>308674</v>
      </c>
      <c r="AH351" s="78">
        <v>86448</v>
      </c>
      <c r="AI351" s="78">
        <v>28365</v>
      </c>
      <c r="AJ351" s="78">
        <v>93782.78</v>
      </c>
      <c r="AK351" s="78">
        <v>29918.769999999986</v>
      </c>
      <c r="AL351" s="78">
        <v>114813</v>
      </c>
      <c r="AM351" s="78">
        <v>8301436</v>
      </c>
      <c r="AN351" s="78">
        <v>9158559.8699999992</v>
      </c>
      <c r="AO351" s="78">
        <v>1622</v>
      </c>
      <c r="AP351" s="78">
        <v>472</v>
      </c>
      <c r="AQ351" s="78">
        <v>1366</v>
      </c>
      <c r="AR351" s="78">
        <v>533050</v>
      </c>
      <c r="AS351" s="78">
        <v>1283074</v>
      </c>
      <c r="AT351" s="78">
        <v>926137</v>
      </c>
      <c r="AU351" s="400">
        <v>0.99873632500000087</v>
      </c>
      <c r="AV351" s="400">
        <v>0.99794088800000047</v>
      </c>
      <c r="AW351" s="78">
        <v>17053491.906999998</v>
      </c>
      <c r="AX351" s="78">
        <v>1975660.7690000001</v>
      </c>
      <c r="AY351" s="78">
        <v>1142455.0000000007</v>
      </c>
      <c r="AZ351" s="78">
        <v>14852687.116960268</v>
      </c>
      <c r="BA351" s="78">
        <v>3341</v>
      </c>
      <c r="BB351" s="78">
        <v>3598.56</v>
      </c>
      <c r="BC351" s="78">
        <v>2104539</v>
      </c>
      <c r="BD351" s="78">
        <v>345</v>
      </c>
      <c r="BE351" s="78">
        <v>1</v>
      </c>
      <c r="BF351" s="78">
        <v>1</v>
      </c>
      <c r="BG351" s="78">
        <v>1</v>
      </c>
      <c r="BH351" s="78">
        <v>1</v>
      </c>
      <c r="BI351" s="78">
        <v>5</v>
      </c>
      <c r="BJ351" s="78">
        <v>9625</v>
      </c>
      <c r="BK351" s="78">
        <v>8616</v>
      </c>
      <c r="BL351" s="78">
        <v>6156</v>
      </c>
      <c r="BM351" s="78">
        <v>436337.78700000019</v>
      </c>
      <c r="BN351" s="78">
        <v>56621</v>
      </c>
      <c r="BO351" s="78">
        <v>56589</v>
      </c>
      <c r="BP351" s="78">
        <v>5214812.9300000006</v>
      </c>
      <c r="BQ351" s="78">
        <v>1202724.07</v>
      </c>
      <c r="BR351" s="78">
        <v>130012.42979922071</v>
      </c>
      <c r="BS351" s="78">
        <v>229209</v>
      </c>
      <c r="BT351" s="78">
        <v>106964.99999999999</v>
      </c>
      <c r="BU351" s="78">
        <v>97626.333333333328</v>
      </c>
      <c r="BV351" s="78">
        <v>858855.00000000023</v>
      </c>
      <c r="BW351" s="78">
        <v>242205</v>
      </c>
      <c r="BX351" s="78">
        <v>2732309.1324780816</v>
      </c>
      <c r="BY351" s="402">
        <v>1000.005</v>
      </c>
      <c r="BZ351" s="78">
        <v>14017880</v>
      </c>
      <c r="CA351" s="78">
        <v>1974814</v>
      </c>
      <c r="CB351" s="78">
        <v>389538</v>
      </c>
      <c r="CC351" s="78">
        <v>477234</v>
      </c>
      <c r="CD351" s="78">
        <v>382727</v>
      </c>
      <c r="CE351" s="78">
        <v>199732</v>
      </c>
      <c r="CF351" s="78">
        <v>242643.79359272023</v>
      </c>
      <c r="CG351" s="78">
        <v>146824.05775598009</v>
      </c>
      <c r="CH351" s="78">
        <v>53257.83969314766</v>
      </c>
      <c r="CI351" s="78">
        <v>574027.81620000023</v>
      </c>
      <c r="CJ351" s="78">
        <v>348230.02220000024</v>
      </c>
      <c r="CK351" s="78">
        <v>125572.80550000005</v>
      </c>
      <c r="CL351" s="78">
        <v>22707857</v>
      </c>
    </row>
    <row r="352" spans="1:90" x14ac:dyDescent="0.35">
      <c r="D352" s="78"/>
      <c r="E352" s="78"/>
      <c r="F352" s="78"/>
      <c r="G352" s="78"/>
      <c r="H352" s="78"/>
      <c r="I352" s="78"/>
      <c r="J352" s="78"/>
      <c r="K352" s="78"/>
      <c r="L352" s="78"/>
      <c r="M352" s="78"/>
      <c r="N352" s="78"/>
      <c r="O352" s="78"/>
      <c r="P352" s="78"/>
      <c r="Q352" s="78"/>
      <c r="R352" s="78"/>
      <c r="S352" s="78"/>
      <c r="T352" s="78"/>
      <c r="U352" s="78"/>
      <c r="V352" s="78"/>
      <c r="W352" s="78"/>
      <c r="X352" s="78"/>
      <c r="Y352" s="78"/>
      <c r="Z352" s="78"/>
      <c r="AA352" s="78"/>
      <c r="AB352" s="399"/>
      <c r="AC352" s="399"/>
      <c r="AD352" s="78"/>
      <c r="AE352" s="78"/>
      <c r="AF352" s="78"/>
      <c r="AG352" s="78"/>
      <c r="AH352" s="78"/>
      <c r="AI352" s="78"/>
      <c r="AJ352" s="78"/>
      <c r="AK352" s="78"/>
      <c r="AL352" s="78"/>
      <c r="AM352" s="78"/>
      <c r="AN352" s="78"/>
      <c r="AO352" s="78"/>
      <c r="AP352" s="78"/>
      <c r="AQ352" s="78"/>
      <c r="AR352" s="78"/>
      <c r="AS352" s="78"/>
      <c r="AT352" s="78"/>
      <c r="AU352" s="400"/>
      <c r="AV352" s="400"/>
      <c r="AW352" s="78"/>
      <c r="AX352" s="78"/>
      <c r="AY352" s="78"/>
      <c r="AZ352" s="78"/>
      <c r="BA352" s="78"/>
      <c r="BB352" s="78"/>
      <c r="BC352" s="78"/>
      <c r="BD352" s="78"/>
      <c r="BE352" s="78"/>
      <c r="BF352" s="78"/>
      <c r="BG352" s="78"/>
      <c r="BH352" s="78"/>
      <c r="BI352" s="78"/>
      <c r="BJ352" s="78"/>
      <c r="BK352" s="78"/>
      <c r="BL352" s="78"/>
      <c r="BM352" s="78"/>
      <c r="BN352" s="78"/>
      <c r="BO352" s="78"/>
      <c r="BP352" s="78"/>
      <c r="BQ352" s="78"/>
      <c r="BR352" s="78"/>
      <c r="BS352" s="78"/>
      <c r="BT352" s="78"/>
      <c r="BU352" s="78"/>
      <c r="BV352" s="78"/>
      <c r="BW352" s="78"/>
      <c r="BX352" s="78"/>
      <c r="BY352" s="402"/>
      <c r="BZ352" s="78"/>
      <c r="CA352" s="78"/>
      <c r="CB352" s="78"/>
      <c r="CC352" s="78"/>
      <c r="CD352" s="78"/>
      <c r="CE352" s="78"/>
      <c r="CF352" s="78"/>
      <c r="CG352" s="78"/>
      <c r="CH352" s="78"/>
      <c r="CI352" s="78"/>
      <c r="CJ352" s="78"/>
      <c r="CK352" s="78"/>
      <c r="CL352" s="78"/>
    </row>
    <row r="353" spans="4:90" x14ac:dyDescent="0.35">
      <c r="D353" s="78"/>
      <c r="E353" s="78"/>
      <c r="F353" s="78"/>
      <c r="G353" s="78"/>
      <c r="H353" s="78"/>
      <c r="I353" s="78"/>
      <c r="J353" s="78"/>
      <c r="K353" s="78"/>
      <c r="L353" s="78"/>
      <c r="M353" s="78"/>
      <c r="N353" s="78"/>
      <c r="O353" s="78"/>
      <c r="P353" s="78"/>
      <c r="Q353" s="78"/>
      <c r="R353" s="78"/>
      <c r="S353" s="78"/>
      <c r="T353" s="78"/>
      <c r="U353" s="78"/>
      <c r="V353" s="78"/>
      <c r="W353" s="78"/>
      <c r="X353" s="78"/>
      <c r="Y353" s="78"/>
      <c r="Z353" s="78"/>
      <c r="AA353" s="78"/>
      <c r="AB353" s="399"/>
      <c r="AC353" s="399"/>
      <c r="AD353" s="78"/>
      <c r="AE353" s="78"/>
      <c r="AF353" s="78"/>
      <c r="AG353" s="78"/>
      <c r="AH353" s="78"/>
      <c r="AI353" s="78"/>
      <c r="AJ353" s="78"/>
      <c r="AK353" s="78"/>
      <c r="AL353" s="78"/>
      <c r="AM353" s="78"/>
      <c r="AN353" s="78"/>
      <c r="AO353" s="78"/>
      <c r="AP353" s="78"/>
      <c r="AQ353" s="78"/>
      <c r="AR353" s="78"/>
      <c r="AS353" s="78"/>
      <c r="AT353" s="78"/>
      <c r="AU353" s="400"/>
      <c r="AV353" s="400"/>
      <c r="AW353" s="78"/>
      <c r="AX353" s="78"/>
      <c r="AY353" s="78"/>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402"/>
      <c r="BZ353" s="78"/>
      <c r="CA353" s="78"/>
      <c r="CB353" s="78"/>
      <c r="CC353" s="78"/>
      <c r="CD353" s="78"/>
      <c r="CE353" s="78"/>
      <c r="CF353" s="78"/>
      <c r="CG353" s="78"/>
      <c r="CH353" s="78"/>
      <c r="CI353" s="78"/>
      <c r="CJ353" s="78"/>
      <c r="CK353" s="78"/>
      <c r="CL353" s="78"/>
    </row>
    <row r="354" spans="4:90" x14ac:dyDescent="0.35">
      <c r="D354" s="78"/>
      <c r="E354" s="78"/>
      <c r="F354" s="78"/>
      <c r="G354" s="78"/>
      <c r="H354" s="78"/>
      <c r="I354" s="78"/>
      <c r="J354" s="78"/>
      <c r="K354" s="78"/>
      <c r="L354" s="78"/>
      <c r="M354" s="78"/>
      <c r="N354" s="78"/>
      <c r="O354" s="78"/>
      <c r="P354" s="78"/>
      <c r="Q354" s="78"/>
      <c r="R354" s="78"/>
      <c r="S354" s="78"/>
      <c r="T354" s="78"/>
      <c r="U354" s="78"/>
      <c r="V354" s="78"/>
      <c r="W354" s="78"/>
      <c r="X354" s="78"/>
      <c r="Y354" s="78"/>
      <c r="Z354" s="78"/>
      <c r="AA354" s="78"/>
      <c r="AB354" s="399"/>
      <c r="AC354" s="399"/>
      <c r="AD354" s="78"/>
      <c r="AE354" s="78"/>
      <c r="AF354" s="78"/>
      <c r="AG354" s="78"/>
      <c r="AH354" s="78"/>
      <c r="AI354" s="78"/>
      <c r="AJ354" s="78"/>
      <c r="AK354" s="78"/>
      <c r="AL354" s="78"/>
      <c r="AM354" s="78"/>
      <c r="AN354" s="78"/>
      <c r="AO354" s="78"/>
      <c r="AP354" s="78"/>
      <c r="AQ354" s="78"/>
      <c r="AR354" s="78"/>
      <c r="AS354" s="78"/>
      <c r="AT354" s="78"/>
      <c r="AU354" s="400"/>
      <c r="AV354" s="400"/>
      <c r="AW354" s="78"/>
      <c r="AX354" s="78"/>
      <c r="AY354" s="78"/>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402"/>
      <c r="BZ354" s="78"/>
      <c r="CA354" s="78"/>
      <c r="CB354" s="78"/>
      <c r="CC354" s="78"/>
      <c r="CD354" s="78"/>
      <c r="CE354" s="78"/>
      <c r="CF354" s="78"/>
      <c r="CG354" s="78"/>
      <c r="CH354" s="78"/>
      <c r="CI354" s="78"/>
      <c r="CJ354" s="78"/>
      <c r="CK354" s="78"/>
      <c r="CL354" s="78"/>
    </row>
    <row r="355" spans="4:90" x14ac:dyDescent="0.35">
      <c r="D355" s="78"/>
      <c r="E355" s="78"/>
      <c r="F355" s="78"/>
      <c r="G355" s="78"/>
      <c r="H355" s="78"/>
      <c r="I355" s="78"/>
      <c r="J355" s="78"/>
      <c r="K355" s="78"/>
      <c r="L355" s="78"/>
      <c r="M355" s="78"/>
      <c r="N355" s="78"/>
      <c r="O355" s="78"/>
      <c r="P355" s="78"/>
      <c r="Q355" s="78"/>
      <c r="R355" s="78"/>
      <c r="S355" s="78"/>
      <c r="T355" s="78"/>
      <c r="U355" s="78"/>
      <c r="V355" s="78"/>
      <c r="W355" s="78"/>
      <c r="X355" s="78"/>
      <c r="Y355" s="78"/>
      <c r="Z355" s="78"/>
      <c r="AA355" s="78"/>
      <c r="AB355" s="399"/>
      <c r="AC355" s="399"/>
      <c r="AD355" s="78"/>
      <c r="AE355" s="78"/>
      <c r="AF355" s="78"/>
      <c r="AG355" s="78"/>
      <c r="AH355" s="78"/>
      <c r="AI355" s="78"/>
      <c r="AJ355" s="78"/>
      <c r="AK355" s="78"/>
      <c r="AL355" s="78"/>
      <c r="AM355" s="78"/>
      <c r="AN355" s="78"/>
      <c r="AO355" s="78"/>
      <c r="AP355" s="78"/>
      <c r="AQ355" s="78"/>
      <c r="AR355" s="78"/>
      <c r="AS355" s="78"/>
      <c r="AT355" s="78"/>
      <c r="AU355" s="400"/>
      <c r="AV355" s="400"/>
      <c r="AW355" s="78"/>
      <c r="AX355" s="78"/>
      <c r="AY355" s="78"/>
      <c r="AZ355" s="78"/>
      <c r="BA355" s="78"/>
      <c r="BB355" s="78"/>
      <c r="BC355" s="78"/>
      <c r="BD355" s="78"/>
      <c r="BE355" s="78"/>
      <c r="BF355" s="78"/>
      <c r="BG355" s="78"/>
      <c r="BH355" s="78"/>
      <c r="BI355" s="78"/>
      <c r="BJ355" s="78"/>
      <c r="BK355" s="78"/>
      <c r="BL355" s="78"/>
      <c r="BM355" s="78"/>
      <c r="BN355" s="78"/>
      <c r="BO355" s="78"/>
      <c r="BP355" s="78"/>
      <c r="BQ355" s="78"/>
      <c r="BR355" s="78"/>
      <c r="BS355" s="78"/>
      <c r="BT355" s="78"/>
      <c r="BU355" s="78"/>
      <c r="BV355" s="78"/>
      <c r="BW355" s="78"/>
      <c r="BX355" s="78"/>
      <c r="BY355" s="402"/>
      <c r="BZ355" s="78"/>
      <c r="CA355" s="78"/>
      <c r="CB355" s="78"/>
      <c r="CC355" s="78"/>
      <c r="CD355" s="78"/>
      <c r="CE355" s="78"/>
      <c r="CF355" s="78"/>
      <c r="CG355" s="78"/>
      <c r="CH355" s="78"/>
      <c r="CI355" s="78"/>
      <c r="CJ355" s="78"/>
      <c r="CK355" s="78"/>
      <c r="CL355" s="78"/>
    </row>
    <row r="356" spans="4:90" x14ac:dyDescent="0.35">
      <c r="D356" s="78"/>
      <c r="E356" s="78"/>
      <c r="F356" s="78"/>
      <c r="G356" s="78"/>
      <c r="H356" s="78"/>
      <c r="I356" s="78"/>
      <c r="J356" s="78"/>
      <c r="K356" s="78"/>
      <c r="L356" s="78"/>
      <c r="M356" s="78"/>
      <c r="N356" s="78"/>
      <c r="O356" s="78"/>
      <c r="P356" s="78"/>
      <c r="Q356" s="78"/>
      <c r="R356" s="78"/>
      <c r="S356" s="78"/>
      <c r="T356" s="78"/>
      <c r="U356" s="78"/>
      <c r="V356" s="78"/>
      <c r="W356" s="78"/>
      <c r="X356" s="78"/>
      <c r="Y356" s="78"/>
      <c r="Z356" s="78"/>
      <c r="AA356" s="78"/>
      <c r="AB356" s="399"/>
      <c r="AC356" s="399"/>
      <c r="AD356" s="78"/>
      <c r="AE356" s="78"/>
      <c r="AF356" s="78"/>
      <c r="AG356" s="78"/>
      <c r="AH356" s="78"/>
      <c r="AI356" s="78"/>
      <c r="AJ356" s="78"/>
      <c r="AK356" s="78"/>
      <c r="AL356" s="78"/>
      <c r="AM356" s="78"/>
      <c r="AN356" s="78"/>
      <c r="AO356" s="78"/>
      <c r="AP356" s="78"/>
      <c r="AQ356" s="78"/>
      <c r="AR356" s="78"/>
      <c r="AS356" s="78"/>
      <c r="AT356" s="78"/>
      <c r="AU356" s="400"/>
      <c r="AV356" s="400"/>
      <c r="AW356" s="78"/>
      <c r="AX356" s="78"/>
      <c r="AY356" s="78"/>
      <c r="AZ356" s="78"/>
      <c r="BA356" s="78"/>
      <c r="BB356" s="78"/>
      <c r="BC356" s="78"/>
      <c r="BD356" s="78"/>
      <c r="BE356" s="78"/>
      <c r="BF356" s="78"/>
      <c r="BG356" s="78"/>
      <c r="BH356" s="78"/>
      <c r="BI356" s="78"/>
      <c r="BJ356" s="78"/>
      <c r="BK356" s="78"/>
      <c r="BL356" s="78"/>
      <c r="BM356" s="78"/>
      <c r="BN356" s="78"/>
      <c r="BO356" s="78"/>
      <c r="BP356" s="78"/>
      <c r="BQ356" s="78"/>
      <c r="BR356" s="78"/>
      <c r="BS356" s="78"/>
      <c r="BT356" s="78"/>
      <c r="BU356" s="78"/>
      <c r="BV356" s="78"/>
      <c r="BW356" s="78"/>
      <c r="BX356" s="78"/>
      <c r="BY356" s="402"/>
      <c r="BZ356" s="78"/>
      <c r="CA356" s="78"/>
      <c r="CB356" s="78"/>
      <c r="CC356" s="78"/>
      <c r="CD356" s="78"/>
      <c r="CE356" s="78"/>
      <c r="CF356" s="78"/>
      <c r="CG356" s="78"/>
      <c r="CH356" s="78"/>
      <c r="CI356" s="78"/>
      <c r="CJ356" s="78"/>
      <c r="CK356" s="78"/>
      <c r="CL356" s="78"/>
    </row>
    <row r="357" spans="4:90" x14ac:dyDescent="0.35">
      <c r="D357" s="78"/>
      <c r="E357" s="78"/>
      <c r="F357" s="78"/>
      <c r="G357" s="78"/>
      <c r="H357" s="78"/>
      <c r="I357" s="78"/>
      <c r="J357" s="78"/>
      <c r="K357" s="78"/>
      <c r="L357" s="78"/>
      <c r="M357" s="78"/>
      <c r="N357" s="78"/>
      <c r="O357" s="78"/>
      <c r="P357" s="78"/>
      <c r="Q357" s="78"/>
      <c r="R357" s="78"/>
      <c r="S357" s="78"/>
      <c r="T357" s="78"/>
      <c r="U357" s="78"/>
      <c r="V357" s="78"/>
      <c r="W357" s="78"/>
      <c r="X357" s="78"/>
      <c r="Y357" s="78"/>
      <c r="Z357" s="78"/>
      <c r="AA357" s="78"/>
      <c r="AB357" s="399"/>
      <c r="AC357" s="399"/>
      <c r="AD357" s="78"/>
      <c r="AE357" s="78"/>
      <c r="AF357" s="78"/>
      <c r="AG357" s="78"/>
      <c r="AH357" s="78"/>
      <c r="AI357" s="78"/>
      <c r="AJ357" s="78"/>
      <c r="AK357" s="78"/>
      <c r="AL357" s="78"/>
      <c r="AM357" s="78"/>
      <c r="AN357" s="78"/>
      <c r="AO357" s="78"/>
      <c r="AP357" s="78"/>
      <c r="AQ357" s="78"/>
      <c r="AR357" s="78"/>
      <c r="AS357" s="78"/>
      <c r="AT357" s="78"/>
      <c r="AU357" s="400"/>
      <c r="AV357" s="400"/>
      <c r="AW357" s="78"/>
      <c r="AX357" s="78"/>
      <c r="AY357" s="78"/>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402"/>
      <c r="BZ357" s="78"/>
      <c r="CA357" s="78"/>
      <c r="CB357" s="78"/>
      <c r="CC357" s="78"/>
      <c r="CD357" s="78"/>
      <c r="CE357" s="78"/>
      <c r="CF357" s="78"/>
      <c r="CG357" s="78"/>
      <c r="CH357" s="78"/>
      <c r="CI357" s="78"/>
      <c r="CJ357" s="78"/>
      <c r="CK357" s="78"/>
      <c r="CL357" s="78"/>
    </row>
    <row r="358" spans="4:90" x14ac:dyDescent="0.35">
      <c r="D358" s="78"/>
      <c r="E358" s="78"/>
      <c r="F358" s="78"/>
      <c r="G358" s="78"/>
      <c r="H358" s="78"/>
      <c r="I358" s="78"/>
      <c r="J358" s="78"/>
      <c r="K358" s="78"/>
      <c r="L358" s="78"/>
      <c r="M358" s="78"/>
      <c r="N358" s="78"/>
      <c r="O358" s="78"/>
      <c r="P358" s="78"/>
      <c r="Q358" s="78"/>
      <c r="R358" s="78"/>
      <c r="S358" s="78"/>
      <c r="T358" s="78"/>
      <c r="U358" s="78"/>
      <c r="V358" s="78"/>
      <c r="W358" s="78"/>
      <c r="X358" s="78"/>
      <c r="Y358" s="78"/>
      <c r="Z358" s="78"/>
      <c r="AA358" s="78"/>
      <c r="AB358" s="78"/>
      <c r="AC358" s="78"/>
      <c r="AD358" s="78"/>
      <c r="AE358" s="78"/>
      <c r="AF358" s="78"/>
      <c r="AG358" s="78"/>
      <c r="AH358" s="78"/>
      <c r="AI358" s="78"/>
      <c r="AJ358" s="78"/>
      <c r="AK358" s="78"/>
      <c r="AL358" s="78"/>
      <c r="AM358" s="78"/>
      <c r="AN358" s="78"/>
      <c r="AO358" s="78"/>
      <c r="AP358" s="78"/>
      <c r="AQ358" s="78"/>
      <c r="AR358" s="78"/>
      <c r="AS358" s="78"/>
      <c r="AT358" s="78"/>
      <c r="AW358" s="78"/>
      <c r="AX358" s="78"/>
      <c r="AY358" s="78"/>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402"/>
      <c r="BZ358" s="78"/>
      <c r="CA358" s="78"/>
      <c r="CB358" s="78"/>
      <c r="CC358" s="78"/>
      <c r="CD358" s="78"/>
      <c r="CE358" s="78"/>
      <c r="CF358" s="78"/>
      <c r="CG358" s="78"/>
      <c r="CH358" s="78"/>
      <c r="CI358" s="78"/>
      <c r="CJ358" s="78"/>
      <c r="CK358" s="78"/>
      <c r="CL358" s="78"/>
    </row>
    <row r="359" spans="4:90" x14ac:dyDescent="0.35">
      <c r="D359" s="78"/>
      <c r="E359" s="78"/>
      <c r="F359" s="78"/>
      <c r="G359" s="78"/>
      <c r="H359" s="78"/>
      <c r="I359" s="78"/>
      <c r="J359" s="78"/>
      <c r="K359" s="78"/>
      <c r="L359" s="78"/>
      <c r="M359" s="78"/>
      <c r="N359" s="78"/>
      <c r="O359" s="78"/>
      <c r="P359" s="78"/>
      <c r="Q359" s="78"/>
      <c r="R359" s="78"/>
      <c r="S359" s="78"/>
      <c r="T359" s="78"/>
      <c r="U359" s="78"/>
      <c r="V359" s="78"/>
      <c r="W359" s="78"/>
      <c r="X359" s="78"/>
      <c r="Y359" s="78"/>
      <c r="Z359" s="78"/>
      <c r="AA359" s="78"/>
      <c r="AB359" s="78"/>
      <c r="AC359" s="78"/>
      <c r="AD359" s="78"/>
      <c r="AE359" s="78"/>
      <c r="AF359" s="78"/>
      <c r="AG359" s="78"/>
      <c r="AH359" s="78"/>
      <c r="AI359" s="78"/>
      <c r="AJ359" s="78"/>
      <c r="AK359" s="78"/>
      <c r="AL359" s="78"/>
      <c r="AM359" s="78"/>
      <c r="AN359" s="78"/>
      <c r="AO359" s="78"/>
      <c r="AP359" s="78"/>
      <c r="AQ359" s="78"/>
      <c r="AR359" s="78"/>
      <c r="AS359" s="78"/>
      <c r="AT359" s="78"/>
      <c r="AU359" s="400"/>
      <c r="AV359" s="400"/>
      <c r="AW359" s="78"/>
      <c r="AX359" s="78"/>
      <c r="AY359" s="78"/>
      <c r="AZ359" s="78"/>
      <c r="BA359" s="78"/>
      <c r="BB359" s="78"/>
      <c r="BC359" s="78"/>
      <c r="BD359" s="78"/>
      <c r="BE359" s="78"/>
      <c r="BF359" s="78"/>
      <c r="BG359" s="78"/>
      <c r="BH359" s="78"/>
      <c r="BI359" s="78"/>
      <c r="BJ359" s="78"/>
      <c r="BK359" s="78"/>
      <c r="BL359" s="78"/>
      <c r="BM359" s="78"/>
      <c r="BN359" s="78"/>
      <c r="BO359" s="78"/>
      <c r="BP359" s="78"/>
      <c r="BQ359" s="78"/>
      <c r="BR359" s="78"/>
      <c r="BS359" s="78"/>
      <c r="BT359" s="78"/>
      <c r="BU359" s="78"/>
      <c r="BV359" s="78"/>
      <c r="BW359" s="78"/>
      <c r="BX359" s="78"/>
      <c r="BY359" s="402"/>
      <c r="BZ359" s="78"/>
      <c r="CA359" s="78"/>
      <c r="CB359" s="78"/>
      <c r="CC359" s="78"/>
      <c r="CD359" s="78"/>
      <c r="CE359" s="78"/>
      <c r="CF359" s="78"/>
      <c r="CG359" s="78"/>
      <c r="CH359" s="78"/>
      <c r="CI359" s="78"/>
      <c r="CJ359" s="78"/>
      <c r="CK359" s="78"/>
      <c r="CL359" s="7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622BF-C497-41CF-BCC0-8527EEFBCD62}">
  <sheetPr codeName="Blad15">
    <tabColor rgb="FFFFFF00"/>
  </sheetPr>
  <dimension ref="A1:C356"/>
  <sheetViews>
    <sheetView topLeftCell="A76" workbookViewId="0">
      <selection activeCell="D76" sqref="D76"/>
    </sheetView>
  </sheetViews>
  <sheetFormatPr defaultRowHeight="14.5" x14ac:dyDescent="0.35"/>
  <cols>
    <col min="1" max="1" width="21.6328125" bestFit="1" customWidth="1"/>
    <col min="4" max="4" width="28.6328125" bestFit="1" customWidth="1"/>
    <col min="5" max="5" width="5" bestFit="1" customWidth="1"/>
  </cols>
  <sheetData>
    <row r="1" spans="1:3" x14ac:dyDescent="0.35">
      <c r="A1" s="111"/>
      <c r="B1" s="111" t="s">
        <v>748</v>
      </c>
    </row>
    <row r="2" spans="1:3" x14ac:dyDescent="0.35">
      <c r="A2" s="72" t="s">
        <v>0</v>
      </c>
      <c r="B2" s="72">
        <v>1680</v>
      </c>
      <c r="C2" s="189" t="s">
        <v>675</v>
      </c>
    </row>
    <row r="3" spans="1:3" x14ac:dyDescent="0.35">
      <c r="A3" s="72" t="s">
        <v>12</v>
      </c>
      <c r="B3" s="72">
        <v>358</v>
      </c>
      <c r="C3" s="189" t="s">
        <v>493</v>
      </c>
    </row>
    <row r="4" spans="1:3" x14ac:dyDescent="0.35">
      <c r="A4" s="72" t="s">
        <v>13</v>
      </c>
      <c r="B4" s="72">
        <v>197</v>
      </c>
      <c r="C4" s="189" t="s">
        <v>431</v>
      </c>
    </row>
    <row r="5" spans="1:3" x14ac:dyDescent="0.35">
      <c r="A5" s="72" t="s">
        <v>14</v>
      </c>
      <c r="B5" s="72">
        <v>59</v>
      </c>
      <c r="C5" s="189" t="s">
        <v>392</v>
      </c>
    </row>
    <row r="6" spans="1:3" x14ac:dyDescent="0.35">
      <c r="A6" s="72" t="s">
        <v>15</v>
      </c>
      <c r="B6" s="72">
        <v>482</v>
      </c>
      <c r="C6" s="189" t="s">
        <v>533</v>
      </c>
    </row>
    <row r="7" spans="1:3" x14ac:dyDescent="0.35">
      <c r="A7" s="72" t="s">
        <v>16</v>
      </c>
      <c r="B7" s="72">
        <v>613</v>
      </c>
      <c r="C7" s="189" t="s">
        <v>565</v>
      </c>
    </row>
    <row r="8" spans="1:3" x14ac:dyDescent="0.35">
      <c r="A8" s="72" t="s">
        <v>17</v>
      </c>
      <c r="B8" s="72">
        <v>361</v>
      </c>
      <c r="C8" s="189" t="s">
        <v>494</v>
      </c>
    </row>
    <row r="9" spans="1:3" x14ac:dyDescent="0.35">
      <c r="A9" s="72" t="s">
        <v>18</v>
      </c>
      <c r="B9" s="72">
        <v>141</v>
      </c>
      <c r="C9" s="189" t="s">
        <v>410</v>
      </c>
    </row>
    <row r="10" spans="1:3" x14ac:dyDescent="0.35">
      <c r="A10" s="72" t="s">
        <v>19</v>
      </c>
      <c r="B10" s="72">
        <v>34</v>
      </c>
      <c r="C10" s="189" t="s">
        <v>388</v>
      </c>
    </row>
    <row r="11" spans="1:3" x14ac:dyDescent="0.35">
      <c r="A11" s="72" t="s">
        <v>20</v>
      </c>
      <c r="B11" s="72">
        <v>484</v>
      </c>
      <c r="C11" s="189" t="s">
        <v>534</v>
      </c>
    </row>
    <row r="12" spans="1:3" x14ac:dyDescent="0.35">
      <c r="A12" s="72" t="s">
        <v>21</v>
      </c>
      <c r="B12" s="72">
        <v>1723</v>
      </c>
      <c r="C12" s="189" t="s">
        <v>695</v>
      </c>
    </row>
    <row r="13" spans="1:3" x14ac:dyDescent="0.35">
      <c r="A13" s="72" t="s">
        <v>22</v>
      </c>
      <c r="B13" s="72">
        <v>1959</v>
      </c>
      <c r="C13" s="189">
        <v>1959</v>
      </c>
    </row>
    <row r="14" spans="1:3" x14ac:dyDescent="0.35">
      <c r="A14" s="72" t="s">
        <v>23</v>
      </c>
      <c r="B14" s="72">
        <v>60</v>
      </c>
      <c r="C14" s="189" t="s">
        <v>393</v>
      </c>
    </row>
    <row r="15" spans="1:3" x14ac:dyDescent="0.35">
      <c r="A15" s="72" t="s">
        <v>24</v>
      </c>
      <c r="B15" s="72">
        <v>307</v>
      </c>
      <c r="C15" s="189" t="s">
        <v>472</v>
      </c>
    </row>
    <row r="16" spans="1:3" x14ac:dyDescent="0.35">
      <c r="A16" s="72" t="s">
        <v>25</v>
      </c>
      <c r="B16" s="72">
        <v>362</v>
      </c>
      <c r="C16" s="189" t="s">
        <v>495</v>
      </c>
    </row>
    <row r="17" spans="1:3" x14ac:dyDescent="0.35">
      <c r="A17" s="72" t="s">
        <v>26</v>
      </c>
      <c r="B17" s="72">
        <v>363</v>
      </c>
      <c r="C17" s="189" t="s">
        <v>496</v>
      </c>
    </row>
    <row r="18" spans="1:3" x14ac:dyDescent="0.35">
      <c r="A18" s="72" t="s">
        <v>27</v>
      </c>
      <c r="B18" s="72">
        <v>200</v>
      </c>
      <c r="C18" s="189" t="s">
        <v>432</v>
      </c>
    </row>
    <row r="19" spans="1:3" x14ac:dyDescent="0.35">
      <c r="A19" s="72" t="s">
        <v>29</v>
      </c>
      <c r="B19" s="72">
        <v>202</v>
      </c>
      <c r="C19" s="189" t="s">
        <v>433</v>
      </c>
    </row>
    <row r="20" spans="1:3" x14ac:dyDescent="0.35">
      <c r="A20" s="72" t="s">
        <v>30</v>
      </c>
      <c r="B20" s="72">
        <v>106</v>
      </c>
      <c r="C20" s="189" t="s">
        <v>405</v>
      </c>
    </row>
    <row r="21" spans="1:3" x14ac:dyDescent="0.35">
      <c r="A21" s="72" t="s">
        <v>31</v>
      </c>
      <c r="B21" s="72">
        <v>743</v>
      </c>
      <c r="C21" s="189" t="s">
        <v>588</v>
      </c>
    </row>
    <row r="22" spans="1:3" x14ac:dyDescent="0.35">
      <c r="A22" s="72" t="s">
        <v>32</v>
      </c>
      <c r="B22" s="72">
        <v>744</v>
      </c>
      <c r="C22" s="189" t="s">
        <v>589</v>
      </c>
    </row>
    <row r="23" spans="1:3" x14ac:dyDescent="0.35">
      <c r="A23" s="72" t="s">
        <v>33</v>
      </c>
      <c r="B23" s="72">
        <v>308</v>
      </c>
      <c r="C23" s="189" t="s">
        <v>473</v>
      </c>
    </row>
    <row r="24" spans="1:3" x14ac:dyDescent="0.35">
      <c r="A24" s="72" t="s">
        <v>34</v>
      </c>
      <c r="B24" s="72">
        <v>489</v>
      </c>
      <c r="C24" s="189" t="s">
        <v>535</v>
      </c>
    </row>
    <row r="25" spans="1:3" x14ac:dyDescent="0.35">
      <c r="A25" s="72" t="s">
        <v>35</v>
      </c>
      <c r="B25" s="72">
        <v>203</v>
      </c>
      <c r="C25" s="189" t="s">
        <v>434</v>
      </c>
    </row>
    <row r="26" spans="1:3" x14ac:dyDescent="0.35">
      <c r="A26" s="72" t="s">
        <v>36</v>
      </c>
      <c r="B26" s="72">
        <v>888</v>
      </c>
      <c r="C26" s="189" t="s">
        <v>636</v>
      </c>
    </row>
    <row r="27" spans="1:3" x14ac:dyDescent="0.35">
      <c r="A27" s="72" t="s">
        <v>37</v>
      </c>
      <c r="B27" s="72">
        <v>1954</v>
      </c>
      <c r="C27" s="189">
        <v>1954</v>
      </c>
    </row>
    <row r="28" spans="1:3" x14ac:dyDescent="0.35">
      <c r="A28" s="72" t="s">
        <v>38</v>
      </c>
      <c r="B28" s="72">
        <v>370</v>
      </c>
      <c r="C28" s="189" t="s">
        <v>497</v>
      </c>
    </row>
    <row r="29" spans="1:3" x14ac:dyDescent="0.35">
      <c r="A29" s="72" t="s">
        <v>39</v>
      </c>
      <c r="B29" s="72">
        <v>889</v>
      </c>
      <c r="C29" s="189" t="s">
        <v>637</v>
      </c>
    </row>
    <row r="30" spans="1:3" x14ac:dyDescent="0.35">
      <c r="A30" s="72" t="s">
        <v>40</v>
      </c>
      <c r="B30" s="72">
        <v>1945</v>
      </c>
      <c r="C30" s="189" t="s">
        <v>733</v>
      </c>
    </row>
    <row r="31" spans="1:3" x14ac:dyDescent="0.35">
      <c r="A31" s="72" t="s">
        <v>41</v>
      </c>
      <c r="B31" s="72">
        <v>1724</v>
      </c>
      <c r="C31" s="189" t="s">
        <v>696</v>
      </c>
    </row>
    <row r="32" spans="1:3" x14ac:dyDescent="0.35">
      <c r="A32" s="72" t="s">
        <v>42</v>
      </c>
      <c r="B32" s="72">
        <v>893</v>
      </c>
      <c r="C32" s="189" t="s">
        <v>638</v>
      </c>
    </row>
    <row r="33" spans="1:3" x14ac:dyDescent="0.35">
      <c r="A33" s="72" t="s">
        <v>43</v>
      </c>
      <c r="B33" s="72">
        <v>373</v>
      </c>
      <c r="C33" s="189" t="s">
        <v>498</v>
      </c>
    </row>
    <row r="34" spans="1:3" x14ac:dyDescent="0.35">
      <c r="A34" s="72" t="s">
        <v>44</v>
      </c>
      <c r="B34" s="72">
        <v>748</v>
      </c>
      <c r="C34" s="189" t="s">
        <v>590</v>
      </c>
    </row>
    <row r="35" spans="1:3" x14ac:dyDescent="0.35">
      <c r="A35" s="72" t="s">
        <v>45</v>
      </c>
      <c r="B35" s="72">
        <v>1859</v>
      </c>
      <c r="C35" s="189" t="s">
        <v>711</v>
      </c>
    </row>
    <row r="36" spans="1:3" x14ac:dyDescent="0.35">
      <c r="A36" s="72" t="s">
        <v>46</v>
      </c>
      <c r="B36" s="72">
        <v>1721</v>
      </c>
      <c r="C36" s="189" t="s">
        <v>694</v>
      </c>
    </row>
    <row r="37" spans="1:3" x14ac:dyDescent="0.35">
      <c r="A37" s="72" t="s">
        <v>47</v>
      </c>
      <c r="B37" s="72">
        <v>753</v>
      </c>
      <c r="C37" s="189" t="s">
        <v>591</v>
      </c>
    </row>
    <row r="38" spans="1:3" x14ac:dyDescent="0.35">
      <c r="A38" s="72" t="s">
        <v>48</v>
      </c>
      <c r="B38" s="72">
        <v>209</v>
      </c>
      <c r="C38" s="189" t="s">
        <v>435</v>
      </c>
    </row>
    <row r="39" spans="1:3" x14ac:dyDescent="0.35">
      <c r="A39" s="72" t="s">
        <v>49</v>
      </c>
      <c r="B39" s="72">
        <v>375</v>
      </c>
      <c r="C39" s="189" t="s">
        <v>500</v>
      </c>
    </row>
    <row r="40" spans="1:3" x14ac:dyDescent="0.35">
      <c r="A40" s="72" t="s">
        <v>50</v>
      </c>
      <c r="B40" s="72">
        <v>1728</v>
      </c>
      <c r="C40" s="189" t="s">
        <v>697</v>
      </c>
    </row>
    <row r="41" spans="1:3" x14ac:dyDescent="0.35">
      <c r="A41" s="72" t="s">
        <v>51</v>
      </c>
      <c r="B41" s="72">
        <v>376</v>
      </c>
      <c r="C41" s="189" t="s">
        <v>501</v>
      </c>
    </row>
    <row r="42" spans="1:3" x14ac:dyDescent="0.35">
      <c r="A42" s="72" t="s">
        <v>52</v>
      </c>
      <c r="B42" s="72">
        <v>377</v>
      </c>
      <c r="C42" s="189" t="s">
        <v>502</v>
      </c>
    </row>
    <row r="43" spans="1:3" x14ac:dyDescent="0.35">
      <c r="A43" s="72" t="s">
        <v>53</v>
      </c>
      <c r="B43" s="72">
        <v>1901</v>
      </c>
      <c r="C43" s="189" t="s">
        <v>722</v>
      </c>
    </row>
    <row r="44" spans="1:3" x14ac:dyDescent="0.35">
      <c r="A44" s="72" t="s">
        <v>54</v>
      </c>
      <c r="B44" s="72">
        <v>755</v>
      </c>
      <c r="C44" s="189" t="s">
        <v>592</v>
      </c>
    </row>
    <row r="45" spans="1:3" x14ac:dyDescent="0.35">
      <c r="A45" s="72" t="s">
        <v>55</v>
      </c>
      <c r="B45" s="72">
        <v>1681</v>
      </c>
      <c r="C45" s="189" t="s">
        <v>676</v>
      </c>
    </row>
    <row r="46" spans="1:3" x14ac:dyDescent="0.35">
      <c r="A46" s="72" t="s">
        <v>56</v>
      </c>
      <c r="B46" s="72">
        <v>147</v>
      </c>
      <c r="C46" s="189" t="s">
        <v>411</v>
      </c>
    </row>
    <row r="47" spans="1:3" x14ac:dyDescent="0.35">
      <c r="A47" s="72" t="s">
        <v>57</v>
      </c>
      <c r="B47" s="72">
        <v>654</v>
      </c>
      <c r="C47" s="189" t="s">
        <v>575</v>
      </c>
    </row>
    <row r="48" spans="1:3" x14ac:dyDescent="0.35">
      <c r="A48" s="72" t="s">
        <v>58</v>
      </c>
      <c r="B48" s="72">
        <v>756</v>
      </c>
      <c r="C48" s="189" t="s">
        <v>593</v>
      </c>
    </row>
    <row r="49" spans="1:3" x14ac:dyDescent="0.35">
      <c r="A49" s="72" t="s">
        <v>59</v>
      </c>
      <c r="B49" s="72">
        <v>757</v>
      </c>
      <c r="C49" s="189" t="s">
        <v>594</v>
      </c>
    </row>
    <row r="50" spans="1:3" x14ac:dyDescent="0.35">
      <c r="A50" s="72" t="s">
        <v>60</v>
      </c>
      <c r="B50" s="72">
        <v>758</v>
      </c>
      <c r="C50" s="189" t="s">
        <v>595</v>
      </c>
    </row>
    <row r="51" spans="1:3" x14ac:dyDescent="0.35">
      <c r="A51" s="72" t="s">
        <v>61</v>
      </c>
      <c r="B51" s="72">
        <v>501</v>
      </c>
      <c r="C51" s="189" t="s">
        <v>537</v>
      </c>
    </row>
    <row r="52" spans="1:3" x14ac:dyDescent="0.35">
      <c r="A52" s="72" t="s">
        <v>62</v>
      </c>
      <c r="B52" s="72">
        <v>1876</v>
      </c>
      <c r="C52" s="189" t="s">
        <v>712</v>
      </c>
    </row>
    <row r="53" spans="1:3" x14ac:dyDescent="0.35">
      <c r="A53" s="72" t="s">
        <v>63</v>
      </c>
      <c r="B53" s="72">
        <v>213</v>
      </c>
      <c r="C53" s="189" t="s">
        <v>436</v>
      </c>
    </row>
    <row r="54" spans="1:3" x14ac:dyDescent="0.35">
      <c r="A54" s="72" t="s">
        <v>64</v>
      </c>
      <c r="B54" s="72">
        <v>899</v>
      </c>
      <c r="C54" s="189" t="s">
        <v>640</v>
      </c>
    </row>
    <row r="55" spans="1:3" x14ac:dyDescent="0.35">
      <c r="A55" s="72" t="s">
        <v>65</v>
      </c>
      <c r="B55" s="72">
        <v>312</v>
      </c>
      <c r="C55" s="189" t="s">
        <v>475</v>
      </c>
    </row>
    <row r="56" spans="1:3" x14ac:dyDescent="0.35">
      <c r="A56" s="72" t="s">
        <v>66</v>
      </c>
      <c r="B56" s="72">
        <v>313</v>
      </c>
      <c r="C56" s="189" t="s">
        <v>476</v>
      </c>
    </row>
    <row r="57" spans="1:3" x14ac:dyDescent="0.35">
      <c r="A57" s="72" t="s">
        <v>67</v>
      </c>
      <c r="B57" s="72">
        <v>214</v>
      </c>
      <c r="C57" s="189" t="s">
        <v>437</v>
      </c>
    </row>
    <row r="58" spans="1:3" x14ac:dyDescent="0.35">
      <c r="A58" s="72" t="s">
        <v>68</v>
      </c>
      <c r="B58" s="72">
        <v>502</v>
      </c>
      <c r="C58" s="189" t="s">
        <v>538</v>
      </c>
    </row>
    <row r="59" spans="1:3" x14ac:dyDescent="0.35">
      <c r="A59" s="72" t="s">
        <v>69</v>
      </c>
      <c r="B59" s="72">
        <v>383</v>
      </c>
      <c r="C59" s="189" t="s">
        <v>503</v>
      </c>
    </row>
    <row r="60" spans="1:3" x14ac:dyDescent="0.35">
      <c r="A60" s="72" t="s">
        <v>70</v>
      </c>
      <c r="B60" s="72">
        <v>109</v>
      </c>
      <c r="C60" s="189" t="s">
        <v>406</v>
      </c>
    </row>
    <row r="61" spans="1:3" x14ac:dyDescent="0.35">
      <c r="A61" s="72" t="s">
        <v>71</v>
      </c>
      <c r="B61" s="72">
        <v>1706</v>
      </c>
      <c r="C61" s="189" t="s">
        <v>688</v>
      </c>
    </row>
    <row r="62" spans="1:3" x14ac:dyDescent="0.35">
      <c r="A62" s="72" t="s">
        <v>72</v>
      </c>
      <c r="B62" s="72">
        <v>1684</v>
      </c>
      <c r="C62" s="189" t="s">
        <v>677</v>
      </c>
    </row>
    <row r="63" spans="1:3" x14ac:dyDescent="0.35">
      <c r="A63" s="72" t="s">
        <v>73</v>
      </c>
      <c r="B63" s="72">
        <v>216</v>
      </c>
      <c r="C63" s="189" t="s">
        <v>438</v>
      </c>
    </row>
    <row r="64" spans="1:3" x14ac:dyDescent="0.35">
      <c r="A64" s="72" t="s">
        <v>74</v>
      </c>
      <c r="B64" s="72">
        <v>148</v>
      </c>
      <c r="C64" s="189" t="s">
        <v>412</v>
      </c>
    </row>
    <row r="65" spans="1:3" x14ac:dyDescent="0.35">
      <c r="A65" s="72" t="s">
        <v>75</v>
      </c>
      <c r="B65" s="72">
        <v>1891</v>
      </c>
      <c r="C65" s="189" t="s">
        <v>715</v>
      </c>
    </row>
    <row r="66" spans="1:3" x14ac:dyDescent="0.35">
      <c r="A66" s="72" t="s">
        <v>76</v>
      </c>
      <c r="B66" s="72">
        <v>310</v>
      </c>
      <c r="C66" s="189" t="s">
        <v>474</v>
      </c>
    </row>
    <row r="67" spans="1:3" x14ac:dyDescent="0.35">
      <c r="A67" s="72" t="s">
        <v>77</v>
      </c>
      <c r="B67" s="72">
        <v>1940</v>
      </c>
      <c r="C67" s="189" t="s">
        <v>731</v>
      </c>
    </row>
    <row r="68" spans="1:3" x14ac:dyDescent="0.35">
      <c r="A68" s="72" t="s">
        <v>78</v>
      </c>
      <c r="B68" s="72">
        <v>736</v>
      </c>
      <c r="C68" s="189" t="s">
        <v>586</v>
      </c>
    </row>
    <row r="69" spans="1:3" x14ac:dyDescent="0.35">
      <c r="A69" s="72" t="s">
        <v>79</v>
      </c>
      <c r="B69" s="72">
        <v>1690</v>
      </c>
      <c r="C69" s="189" t="s">
        <v>679</v>
      </c>
    </row>
    <row r="70" spans="1:3" x14ac:dyDescent="0.35">
      <c r="A70" s="72" t="s">
        <v>80</v>
      </c>
      <c r="B70" s="72">
        <v>503</v>
      </c>
      <c r="C70" s="189" t="s">
        <v>539</v>
      </c>
    </row>
    <row r="71" spans="1:3" x14ac:dyDescent="0.35">
      <c r="A71" s="72" t="s">
        <v>82</v>
      </c>
      <c r="B71" s="72">
        <v>400</v>
      </c>
      <c r="C71" s="189" t="s">
        <v>513</v>
      </c>
    </row>
    <row r="72" spans="1:3" x14ac:dyDescent="0.35">
      <c r="A72" s="72" t="s">
        <v>83</v>
      </c>
      <c r="B72" s="72">
        <v>762</v>
      </c>
      <c r="C72" s="189" t="s">
        <v>596</v>
      </c>
    </row>
    <row r="73" spans="1:3" x14ac:dyDescent="0.35">
      <c r="A73" s="72" t="s">
        <v>84</v>
      </c>
      <c r="B73" s="72">
        <v>150</v>
      </c>
      <c r="C73" s="189" t="s">
        <v>413</v>
      </c>
    </row>
    <row r="74" spans="1:3" x14ac:dyDescent="0.35">
      <c r="A74" s="72" t="s">
        <v>85</v>
      </c>
      <c r="B74" s="72">
        <v>384</v>
      </c>
      <c r="C74" s="189" t="s">
        <v>504</v>
      </c>
    </row>
    <row r="75" spans="1:3" x14ac:dyDescent="0.35">
      <c r="A75" s="72" t="s">
        <v>1303</v>
      </c>
      <c r="B75" s="72">
        <v>1980</v>
      </c>
      <c r="C75" s="189">
        <v>1980</v>
      </c>
    </row>
    <row r="76" spans="1:3" x14ac:dyDescent="0.35">
      <c r="A76" s="72" t="s">
        <v>86</v>
      </c>
      <c r="B76" s="72">
        <v>1774</v>
      </c>
      <c r="C76" s="189" t="s">
        <v>708</v>
      </c>
    </row>
    <row r="77" spans="1:3" x14ac:dyDescent="0.35">
      <c r="A77" s="72" t="s">
        <v>87</v>
      </c>
      <c r="B77" s="72">
        <v>221</v>
      </c>
      <c r="C77" s="189" t="s">
        <v>439</v>
      </c>
    </row>
    <row r="78" spans="1:3" x14ac:dyDescent="0.35">
      <c r="A78" s="72" t="s">
        <v>88</v>
      </c>
      <c r="B78" s="72">
        <v>222</v>
      </c>
      <c r="C78" s="189" t="s">
        <v>440</v>
      </c>
    </row>
    <row r="79" spans="1:3" x14ac:dyDescent="0.35">
      <c r="A79" s="72" t="s">
        <v>89</v>
      </c>
      <c r="B79" s="72">
        <v>766</v>
      </c>
      <c r="C79" s="189" t="s">
        <v>598</v>
      </c>
    </row>
    <row r="80" spans="1:3" x14ac:dyDescent="0.35">
      <c r="A80" s="72" t="s">
        <v>90</v>
      </c>
      <c r="B80" s="72">
        <v>505</v>
      </c>
      <c r="C80" s="189" t="s">
        <v>540</v>
      </c>
    </row>
    <row r="81" spans="1:3" x14ac:dyDescent="0.35">
      <c r="A81" s="72" t="s">
        <v>91</v>
      </c>
      <c r="B81" s="72">
        <v>498</v>
      </c>
      <c r="C81" s="189" t="s">
        <v>536</v>
      </c>
    </row>
    <row r="82" spans="1:3" x14ac:dyDescent="0.35">
      <c r="A82" s="72" t="s">
        <v>92</v>
      </c>
      <c r="B82" s="72">
        <v>1719</v>
      </c>
      <c r="C82" s="189" t="s">
        <v>693</v>
      </c>
    </row>
    <row r="83" spans="1:3" x14ac:dyDescent="0.35">
      <c r="A83" s="72" t="s">
        <v>93</v>
      </c>
      <c r="B83" s="72">
        <v>303</v>
      </c>
      <c r="C83" s="189" t="s">
        <v>471</v>
      </c>
    </row>
    <row r="84" spans="1:3" x14ac:dyDescent="0.35">
      <c r="A84" s="72" t="s">
        <v>94</v>
      </c>
      <c r="B84" s="72">
        <v>225</v>
      </c>
      <c r="C84" s="189" t="s">
        <v>441</v>
      </c>
    </row>
    <row r="85" spans="1:3" x14ac:dyDescent="0.35">
      <c r="A85" s="72" t="s">
        <v>95</v>
      </c>
      <c r="B85" s="72">
        <v>226</v>
      </c>
      <c r="C85" s="189" t="s">
        <v>442</v>
      </c>
    </row>
    <row r="86" spans="1:3" x14ac:dyDescent="0.35">
      <c r="A86" s="72" t="s">
        <v>96</v>
      </c>
      <c r="B86" s="72">
        <v>1711</v>
      </c>
      <c r="C86" s="189" t="s">
        <v>691</v>
      </c>
    </row>
    <row r="87" spans="1:3" x14ac:dyDescent="0.35">
      <c r="A87" s="72" t="s">
        <v>97</v>
      </c>
      <c r="B87" s="72">
        <v>385</v>
      </c>
      <c r="C87" s="189" t="s">
        <v>505</v>
      </c>
    </row>
    <row r="88" spans="1:3" x14ac:dyDescent="0.35">
      <c r="A88" s="72" t="s">
        <v>98</v>
      </c>
      <c r="B88" s="72">
        <v>228</v>
      </c>
      <c r="C88" s="189" t="s">
        <v>443</v>
      </c>
    </row>
    <row r="89" spans="1:3" x14ac:dyDescent="0.35">
      <c r="A89" s="72" t="s">
        <v>99</v>
      </c>
      <c r="B89" s="72">
        <v>317</v>
      </c>
      <c r="C89" s="189" t="s">
        <v>477</v>
      </c>
    </row>
    <row r="90" spans="1:3" x14ac:dyDescent="0.35">
      <c r="A90" s="72" t="s">
        <v>1285</v>
      </c>
      <c r="B90" s="72">
        <v>1979</v>
      </c>
      <c r="C90">
        <v>1979</v>
      </c>
    </row>
    <row r="91" spans="1:3" x14ac:dyDescent="0.35">
      <c r="A91" s="72" t="s">
        <v>100</v>
      </c>
      <c r="B91" s="72">
        <v>770</v>
      </c>
      <c r="C91" s="189" t="s">
        <v>599</v>
      </c>
    </row>
    <row r="92" spans="1:3" x14ac:dyDescent="0.35">
      <c r="A92" s="72" t="s">
        <v>101</v>
      </c>
      <c r="B92" s="72">
        <v>1903</v>
      </c>
      <c r="C92" s="189" t="s">
        <v>723</v>
      </c>
    </row>
    <row r="93" spans="1:3" x14ac:dyDescent="0.35">
      <c r="A93" s="72" t="s">
        <v>102</v>
      </c>
      <c r="B93" s="72">
        <v>772</v>
      </c>
      <c r="C93" s="189" t="s">
        <v>600</v>
      </c>
    </row>
    <row r="94" spans="1:3" x14ac:dyDescent="0.35">
      <c r="A94" s="72" t="s">
        <v>103</v>
      </c>
      <c r="B94" s="72">
        <v>230</v>
      </c>
      <c r="C94" s="189" t="s">
        <v>444</v>
      </c>
    </row>
    <row r="95" spans="1:3" x14ac:dyDescent="0.35">
      <c r="A95" s="72" t="s">
        <v>104</v>
      </c>
      <c r="B95" s="72">
        <v>114</v>
      </c>
      <c r="C95" s="189" t="s">
        <v>407</v>
      </c>
    </row>
    <row r="96" spans="1:3" x14ac:dyDescent="0.35">
      <c r="A96" s="72" t="s">
        <v>105</v>
      </c>
      <c r="B96" s="72">
        <v>388</v>
      </c>
      <c r="C96" s="189" t="s">
        <v>506</v>
      </c>
    </row>
    <row r="97" spans="1:3" x14ac:dyDescent="0.35">
      <c r="A97" s="72" t="s">
        <v>106</v>
      </c>
      <c r="B97" s="72">
        <v>153</v>
      </c>
      <c r="C97" s="189" t="s">
        <v>414</v>
      </c>
    </row>
    <row r="98" spans="1:3" x14ac:dyDescent="0.35">
      <c r="A98" s="72" t="s">
        <v>107</v>
      </c>
      <c r="B98" s="72">
        <v>232</v>
      </c>
      <c r="C98" s="189" t="s">
        <v>445</v>
      </c>
    </row>
    <row r="99" spans="1:3" x14ac:dyDescent="0.35">
      <c r="A99" s="72" t="s">
        <v>108</v>
      </c>
      <c r="B99" s="72">
        <v>233</v>
      </c>
      <c r="C99" s="189" t="s">
        <v>446</v>
      </c>
    </row>
    <row r="100" spans="1:3" x14ac:dyDescent="0.35">
      <c r="A100" s="72" t="s">
        <v>109</v>
      </c>
      <c r="B100" s="72">
        <v>777</v>
      </c>
      <c r="C100" s="189" t="s">
        <v>601</v>
      </c>
    </row>
    <row r="101" spans="1:3" x14ac:dyDescent="0.35">
      <c r="A101" s="72" t="s">
        <v>110</v>
      </c>
      <c r="B101" s="72">
        <v>779</v>
      </c>
      <c r="C101" s="189" t="s">
        <v>602</v>
      </c>
    </row>
    <row r="102" spans="1:3" x14ac:dyDescent="0.35">
      <c r="A102" s="72" t="s">
        <v>111</v>
      </c>
      <c r="B102" s="72">
        <v>1771</v>
      </c>
      <c r="C102" s="189" t="s">
        <v>706</v>
      </c>
    </row>
    <row r="103" spans="1:3" x14ac:dyDescent="0.35">
      <c r="A103" s="72" t="s">
        <v>112</v>
      </c>
      <c r="B103" s="72">
        <v>1652</v>
      </c>
      <c r="C103" s="189" t="s">
        <v>667</v>
      </c>
    </row>
    <row r="104" spans="1:3" x14ac:dyDescent="0.35">
      <c r="A104" s="72" t="s">
        <v>113</v>
      </c>
      <c r="B104" s="72">
        <v>907</v>
      </c>
      <c r="C104" s="189" t="s">
        <v>641</v>
      </c>
    </row>
    <row r="105" spans="1:3" x14ac:dyDescent="0.35">
      <c r="A105" s="72" t="s">
        <v>114</v>
      </c>
      <c r="B105" s="72">
        <v>784</v>
      </c>
      <c r="C105" s="189" t="s">
        <v>603</v>
      </c>
    </row>
    <row r="106" spans="1:3" x14ac:dyDescent="0.35">
      <c r="A106" s="72" t="s">
        <v>115</v>
      </c>
      <c r="B106" s="72">
        <v>1924</v>
      </c>
      <c r="C106" s="189" t="s">
        <v>727</v>
      </c>
    </row>
    <row r="107" spans="1:3" x14ac:dyDescent="0.35">
      <c r="A107" s="72" t="s">
        <v>116</v>
      </c>
      <c r="B107" s="72">
        <v>664</v>
      </c>
      <c r="C107" s="189" t="s">
        <v>576</v>
      </c>
    </row>
    <row r="108" spans="1:3" x14ac:dyDescent="0.35">
      <c r="A108" s="72" t="s">
        <v>117</v>
      </c>
      <c r="B108" s="72">
        <v>785</v>
      </c>
      <c r="C108" s="189" t="s">
        <v>604</v>
      </c>
    </row>
    <row r="109" spans="1:3" x14ac:dyDescent="0.35">
      <c r="A109" s="72" t="s">
        <v>118</v>
      </c>
      <c r="B109" s="72">
        <v>1942</v>
      </c>
      <c r="C109" s="189" t="s">
        <v>732</v>
      </c>
    </row>
    <row r="110" spans="1:3" x14ac:dyDescent="0.35">
      <c r="A110" s="72" t="s">
        <v>119</v>
      </c>
      <c r="B110" s="72">
        <v>512</v>
      </c>
      <c r="C110" s="189" t="s">
        <v>541</v>
      </c>
    </row>
    <row r="111" spans="1:3" x14ac:dyDescent="0.35">
      <c r="A111" s="72" t="s">
        <v>120</v>
      </c>
      <c r="B111" s="72">
        <v>513</v>
      </c>
      <c r="C111" s="189" t="s">
        <v>542</v>
      </c>
    </row>
    <row r="112" spans="1:3" x14ac:dyDescent="0.35">
      <c r="A112" s="72" t="s">
        <v>121</v>
      </c>
      <c r="B112" s="72">
        <v>786</v>
      </c>
      <c r="C112" s="189" t="s">
        <v>605</v>
      </c>
    </row>
    <row r="113" spans="1:3" x14ac:dyDescent="0.35">
      <c r="A113" s="72" t="s">
        <v>122</v>
      </c>
      <c r="B113" s="72">
        <v>14</v>
      </c>
      <c r="C113" s="187" t="s">
        <v>386</v>
      </c>
    </row>
    <row r="114" spans="1:3" x14ac:dyDescent="0.35">
      <c r="A114" s="72" t="s">
        <v>123</v>
      </c>
      <c r="B114" s="72">
        <v>1729</v>
      </c>
      <c r="C114" s="189" t="s">
        <v>698</v>
      </c>
    </row>
    <row r="115" spans="1:3" x14ac:dyDescent="0.35">
      <c r="A115" s="72" t="s">
        <v>124</v>
      </c>
      <c r="B115" s="72">
        <v>158</v>
      </c>
      <c r="C115" s="189" t="s">
        <v>415</v>
      </c>
    </row>
    <row r="116" spans="1:3" x14ac:dyDescent="0.35">
      <c r="A116" s="72" t="s">
        <v>126</v>
      </c>
      <c r="B116" s="72">
        <v>392</v>
      </c>
      <c r="C116" s="189" t="s">
        <v>507</v>
      </c>
    </row>
    <row r="117" spans="1:3" x14ac:dyDescent="0.35">
      <c r="A117" s="72" t="s">
        <v>127</v>
      </c>
      <c r="B117" s="72">
        <v>394</v>
      </c>
      <c r="C117" s="189" t="s">
        <v>508</v>
      </c>
    </row>
    <row r="118" spans="1:3" x14ac:dyDescent="0.35">
      <c r="A118" s="72" t="s">
        <v>128</v>
      </c>
      <c r="B118" s="72">
        <v>1655</v>
      </c>
      <c r="C118" s="189" t="s">
        <v>668</v>
      </c>
    </row>
    <row r="119" spans="1:3" x14ac:dyDescent="0.35">
      <c r="A119" s="72" t="s">
        <v>129</v>
      </c>
      <c r="B119" s="72">
        <v>160</v>
      </c>
      <c r="C119" s="189" t="s">
        <v>416</v>
      </c>
    </row>
    <row r="120" spans="1:3" x14ac:dyDescent="0.35">
      <c r="A120" s="72" t="s">
        <v>130</v>
      </c>
      <c r="B120" s="72">
        <v>243</v>
      </c>
      <c r="C120" s="189" t="s">
        <v>447</v>
      </c>
    </row>
    <row r="121" spans="1:3" x14ac:dyDescent="0.35">
      <c r="A121" s="72" t="s">
        <v>131</v>
      </c>
      <c r="B121" s="72">
        <v>523</v>
      </c>
      <c r="C121" s="189" t="s">
        <v>544</v>
      </c>
    </row>
    <row r="122" spans="1:3" x14ac:dyDescent="0.35">
      <c r="A122" s="72" t="s">
        <v>132</v>
      </c>
      <c r="B122" s="72">
        <v>72</v>
      </c>
      <c r="C122" s="189" t="s">
        <v>394</v>
      </c>
    </row>
    <row r="123" spans="1:3" x14ac:dyDescent="0.35">
      <c r="A123" s="72" t="s">
        <v>133</v>
      </c>
      <c r="B123" s="72">
        <v>244</v>
      </c>
      <c r="C123" s="189" t="s">
        <v>448</v>
      </c>
    </row>
    <row r="124" spans="1:3" x14ac:dyDescent="0.35">
      <c r="A124" s="72" t="s">
        <v>134</v>
      </c>
      <c r="B124" s="72">
        <v>396</v>
      </c>
      <c r="C124" s="189" t="s">
        <v>509</v>
      </c>
    </row>
    <row r="125" spans="1:3" x14ac:dyDescent="0.35">
      <c r="A125" s="72" t="s">
        <v>135</v>
      </c>
      <c r="B125" s="72">
        <v>397</v>
      </c>
      <c r="C125" s="189" t="s">
        <v>510</v>
      </c>
    </row>
    <row r="126" spans="1:3" x14ac:dyDescent="0.35">
      <c r="A126" s="72" t="s">
        <v>136</v>
      </c>
      <c r="B126" s="72">
        <v>246</v>
      </c>
      <c r="C126" s="189" t="s">
        <v>449</v>
      </c>
    </row>
    <row r="127" spans="1:3" x14ac:dyDescent="0.35">
      <c r="A127" s="72" t="s">
        <v>137</v>
      </c>
      <c r="B127" s="72">
        <v>74</v>
      </c>
      <c r="C127" s="189" t="s">
        <v>395</v>
      </c>
    </row>
    <row r="128" spans="1:3" x14ac:dyDescent="0.35">
      <c r="A128" s="72" t="s">
        <v>138</v>
      </c>
      <c r="B128" s="72">
        <v>398</v>
      </c>
      <c r="C128" s="189" t="s">
        <v>511</v>
      </c>
    </row>
    <row r="129" spans="1:3" x14ac:dyDescent="0.35">
      <c r="A129" s="72" t="s">
        <v>139</v>
      </c>
      <c r="B129" s="72">
        <v>917</v>
      </c>
      <c r="C129" s="189" t="s">
        <v>642</v>
      </c>
    </row>
    <row r="130" spans="1:3" x14ac:dyDescent="0.35">
      <c r="A130" s="72" t="s">
        <v>140</v>
      </c>
      <c r="B130" s="72">
        <v>1658</v>
      </c>
      <c r="C130" s="189" t="s">
        <v>669</v>
      </c>
    </row>
    <row r="131" spans="1:3" x14ac:dyDescent="0.35">
      <c r="A131" s="72" t="s">
        <v>141</v>
      </c>
      <c r="B131" s="72">
        <v>399</v>
      </c>
      <c r="C131" s="189" t="s">
        <v>512</v>
      </c>
    </row>
    <row r="132" spans="1:3" x14ac:dyDescent="0.35">
      <c r="A132" s="72" t="s">
        <v>142</v>
      </c>
      <c r="B132" s="72">
        <v>163</v>
      </c>
      <c r="C132" s="189" t="s">
        <v>417</v>
      </c>
    </row>
    <row r="133" spans="1:3" x14ac:dyDescent="0.35">
      <c r="A133" s="72" t="s">
        <v>143</v>
      </c>
      <c r="B133" s="72">
        <v>530</v>
      </c>
      <c r="C133" s="189" t="s">
        <v>545</v>
      </c>
    </row>
    <row r="134" spans="1:3" x14ac:dyDescent="0.35">
      <c r="A134" s="72" t="s">
        <v>144</v>
      </c>
      <c r="B134" s="72">
        <v>794</v>
      </c>
      <c r="C134" s="189" t="s">
        <v>607</v>
      </c>
    </row>
    <row r="135" spans="1:3" x14ac:dyDescent="0.35">
      <c r="A135" s="72" t="s">
        <v>145</v>
      </c>
      <c r="B135" s="72">
        <v>531</v>
      </c>
      <c r="C135" s="189" t="s">
        <v>546</v>
      </c>
    </row>
    <row r="136" spans="1:3" x14ac:dyDescent="0.35">
      <c r="A136" s="72" t="s">
        <v>146</v>
      </c>
      <c r="B136" s="72">
        <v>164</v>
      </c>
      <c r="C136" s="189" t="s">
        <v>418</v>
      </c>
    </row>
    <row r="137" spans="1:3" x14ac:dyDescent="0.35">
      <c r="A137" s="72" t="s">
        <v>147</v>
      </c>
      <c r="B137" s="72">
        <v>1966</v>
      </c>
      <c r="C137" s="189">
        <v>1966</v>
      </c>
    </row>
    <row r="138" spans="1:3" x14ac:dyDescent="0.35">
      <c r="A138" s="72" t="s">
        <v>148</v>
      </c>
      <c r="B138" s="72">
        <v>252</v>
      </c>
      <c r="C138" s="189" t="s">
        <v>450</v>
      </c>
    </row>
    <row r="139" spans="1:3" x14ac:dyDescent="0.35">
      <c r="A139" s="72" t="s">
        <v>149</v>
      </c>
      <c r="B139" s="72">
        <v>797</v>
      </c>
      <c r="C139" s="189" t="s">
        <v>609</v>
      </c>
    </row>
    <row r="140" spans="1:3" x14ac:dyDescent="0.35">
      <c r="A140" s="72" t="s">
        <v>150</v>
      </c>
      <c r="B140" s="72">
        <v>534</v>
      </c>
      <c r="C140" s="189" t="s">
        <v>548</v>
      </c>
    </row>
    <row r="141" spans="1:3" x14ac:dyDescent="0.35">
      <c r="A141" s="72" t="s">
        <v>151</v>
      </c>
      <c r="B141" s="72">
        <v>798</v>
      </c>
      <c r="C141" s="189" t="s">
        <v>610</v>
      </c>
    </row>
    <row r="142" spans="1:3" x14ac:dyDescent="0.35">
      <c r="A142" s="72" t="s">
        <v>152</v>
      </c>
      <c r="B142" s="72">
        <v>402</v>
      </c>
      <c r="C142" s="189" t="s">
        <v>514</v>
      </c>
    </row>
    <row r="143" spans="1:3" x14ac:dyDescent="0.35">
      <c r="A143" s="72" t="s">
        <v>153</v>
      </c>
      <c r="B143" s="72">
        <v>1963</v>
      </c>
      <c r="C143" s="189">
        <v>1963</v>
      </c>
    </row>
    <row r="144" spans="1:3" x14ac:dyDescent="0.35">
      <c r="A144" s="72" t="s">
        <v>154</v>
      </c>
      <c r="B144" s="72">
        <v>1735</v>
      </c>
      <c r="C144" s="189" t="s">
        <v>703</v>
      </c>
    </row>
    <row r="145" spans="1:3" x14ac:dyDescent="0.35">
      <c r="A145" s="72" t="s">
        <v>155</v>
      </c>
      <c r="B145" s="72">
        <v>1911</v>
      </c>
      <c r="C145" s="189" t="s">
        <v>725</v>
      </c>
    </row>
    <row r="146" spans="1:3" x14ac:dyDescent="0.35">
      <c r="A146" s="72" t="s">
        <v>156</v>
      </c>
      <c r="B146" s="72">
        <v>118</v>
      </c>
      <c r="C146" s="189" t="s">
        <v>408</v>
      </c>
    </row>
    <row r="147" spans="1:3" x14ac:dyDescent="0.35">
      <c r="A147" s="72" t="s">
        <v>157</v>
      </c>
      <c r="B147" s="72">
        <v>405</v>
      </c>
      <c r="C147" s="189" t="s">
        <v>515</v>
      </c>
    </row>
    <row r="148" spans="1:3" x14ac:dyDescent="0.35">
      <c r="A148" s="72" t="s">
        <v>158</v>
      </c>
      <c r="B148" s="72">
        <v>1507</v>
      </c>
      <c r="C148" s="189" t="s">
        <v>658</v>
      </c>
    </row>
    <row r="149" spans="1:3" x14ac:dyDescent="0.35">
      <c r="A149" s="72" t="s">
        <v>159</v>
      </c>
      <c r="B149" s="72">
        <v>321</v>
      </c>
      <c r="C149" s="189" t="s">
        <v>478</v>
      </c>
    </row>
    <row r="150" spans="1:3" x14ac:dyDescent="0.35">
      <c r="A150" s="72" t="s">
        <v>160</v>
      </c>
      <c r="B150" s="72">
        <v>406</v>
      </c>
      <c r="C150" s="189" t="s">
        <v>516</v>
      </c>
    </row>
    <row r="151" spans="1:3" x14ac:dyDescent="0.35">
      <c r="A151" s="72" t="s">
        <v>161</v>
      </c>
      <c r="B151" s="72">
        <v>677</v>
      </c>
      <c r="C151" s="189" t="s">
        <v>578</v>
      </c>
    </row>
    <row r="152" spans="1:3" x14ac:dyDescent="0.35">
      <c r="A152" s="72" t="s">
        <v>162</v>
      </c>
      <c r="B152" s="72">
        <v>353</v>
      </c>
      <c r="C152" s="189" t="s">
        <v>490</v>
      </c>
    </row>
    <row r="153" spans="1:3" x14ac:dyDescent="0.35">
      <c r="A153" s="72" t="s">
        <v>163</v>
      </c>
      <c r="B153" s="72">
        <v>1884</v>
      </c>
      <c r="C153" s="189" t="s">
        <v>714</v>
      </c>
    </row>
    <row r="154" spans="1:3" x14ac:dyDescent="0.35">
      <c r="A154" s="72" t="s">
        <v>164</v>
      </c>
      <c r="B154" s="72">
        <v>166</v>
      </c>
      <c r="C154" s="189" t="s">
        <v>420</v>
      </c>
    </row>
    <row r="155" spans="1:3" x14ac:dyDescent="0.35">
      <c r="A155" s="72" t="s">
        <v>165</v>
      </c>
      <c r="B155" s="72">
        <v>678</v>
      </c>
      <c r="C155" s="189" t="s">
        <v>579</v>
      </c>
    </row>
    <row r="156" spans="1:3" x14ac:dyDescent="0.35">
      <c r="A156" s="72" t="s">
        <v>166</v>
      </c>
      <c r="B156" s="72">
        <v>537</v>
      </c>
      <c r="C156" s="189" t="s">
        <v>549</v>
      </c>
    </row>
    <row r="157" spans="1:3" x14ac:dyDescent="0.35">
      <c r="A157" s="72" t="s">
        <v>167</v>
      </c>
      <c r="B157" s="72">
        <v>928</v>
      </c>
      <c r="C157" s="189" t="s">
        <v>643</v>
      </c>
    </row>
    <row r="158" spans="1:3" x14ac:dyDescent="0.35">
      <c r="A158" s="72" t="s">
        <v>168</v>
      </c>
      <c r="B158" s="72">
        <v>1598</v>
      </c>
      <c r="C158" s="189" t="s">
        <v>663</v>
      </c>
    </row>
    <row r="159" spans="1:3" x14ac:dyDescent="0.35">
      <c r="A159" s="72" t="s">
        <v>169</v>
      </c>
      <c r="B159" s="72">
        <v>542</v>
      </c>
      <c r="C159" s="189" t="s">
        <v>550</v>
      </c>
    </row>
    <row r="160" spans="1:3" x14ac:dyDescent="0.35">
      <c r="A160" s="72" t="s">
        <v>170</v>
      </c>
      <c r="B160" s="72">
        <v>1931</v>
      </c>
      <c r="C160" s="189" t="s">
        <v>730</v>
      </c>
    </row>
    <row r="161" spans="1:3" x14ac:dyDescent="0.35">
      <c r="A161" s="72" t="s">
        <v>171</v>
      </c>
      <c r="B161" s="72">
        <v>1659</v>
      </c>
      <c r="C161" s="189" t="s">
        <v>670</v>
      </c>
    </row>
    <row r="162" spans="1:3" x14ac:dyDescent="0.35">
      <c r="A162" s="72" t="s">
        <v>172</v>
      </c>
      <c r="B162" s="72">
        <v>1685</v>
      </c>
      <c r="C162" s="189" t="s">
        <v>678</v>
      </c>
    </row>
    <row r="163" spans="1:3" x14ac:dyDescent="0.35">
      <c r="A163" s="72" t="s">
        <v>173</v>
      </c>
      <c r="B163" s="72">
        <v>882</v>
      </c>
      <c r="C163" s="189" t="s">
        <v>635</v>
      </c>
    </row>
    <row r="164" spans="1:3" x14ac:dyDescent="0.35">
      <c r="A164" s="72" t="s">
        <v>174</v>
      </c>
      <c r="B164" s="72">
        <v>415</v>
      </c>
      <c r="C164" s="189" t="s">
        <v>517</v>
      </c>
    </row>
    <row r="165" spans="1:3" x14ac:dyDescent="0.35">
      <c r="A165" s="72" t="s">
        <v>1302</v>
      </c>
      <c r="B165" s="72">
        <v>1982</v>
      </c>
      <c r="C165" s="189">
        <v>1982</v>
      </c>
    </row>
    <row r="166" spans="1:3" x14ac:dyDescent="0.35">
      <c r="A166" s="72" t="s">
        <v>175</v>
      </c>
      <c r="B166" s="72">
        <v>416</v>
      </c>
      <c r="C166" s="189" t="s">
        <v>518</v>
      </c>
    </row>
    <row r="167" spans="1:3" x14ac:dyDescent="0.35">
      <c r="A167" s="72" t="s">
        <v>176</v>
      </c>
      <c r="B167" s="72">
        <v>1621</v>
      </c>
      <c r="C167" s="189" t="s">
        <v>664</v>
      </c>
    </row>
    <row r="168" spans="1:3" x14ac:dyDescent="0.35">
      <c r="A168" s="72" t="s">
        <v>177</v>
      </c>
      <c r="B168" s="72">
        <v>417</v>
      </c>
      <c r="C168" s="189" t="s">
        <v>519</v>
      </c>
    </row>
    <row r="169" spans="1:3" x14ac:dyDescent="0.35">
      <c r="A169" s="72" t="s">
        <v>178</v>
      </c>
      <c r="B169" s="72">
        <v>80</v>
      </c>
      <c r="C169" s="189" t="s">
        <v>396</v>
      </c>
    </row>
    <row r="170" spans="1:3" x14ac:dyDescent="0.35">
      <c r="A170" s="72" t="s">
        <v>179</v>
      </c>
      <c r="B170" s="72">
        <v>546</v>
      </c>
      <c r="C170" s="189" t="s">
        <v>551</v>
      </c>
    </row>
    <row r="171" spans="1:3" x14ac:dyDescent="0.35">
      <c r="A171" s="72" t="s">
        <v>180</v>
      </c>
      <c r="B171" s="72">
        <v>547</v>
      </c>
      <c r="C171" s="189" t="s">
        <v>552</v>
      </c>
    </row>
    <row r="172" spans="1:3" x14ac:dyDescent="0.35">
      <c r="A172" s="72" t="s">
        <v>181</v>
      </c>
      <c r="B172" s="72">
        <v>1916</v>
      </c>
      <c r="C172" s="189" t="s">
        <v>726</v>
      </c>
    </row>
    <row r="173" spans="1:3" x14ac:dyDescent="0.35">
      <c r="A173" s="72" t="s">
        <v>182</v>
      </c>
      <c r="B173" s="72">
        <v>995</v>
      </c>
      <c r="C173" s="189" t="s">
        <v>657</v>
      </c>
    </row>
    <row r="174" spans="1:3" x14ac:dyDescent="0.35">
      <c r="A174" s="72" t="s">
        <v>183</v>
      </c>
      <c r="B174" s="72">
        <v>1640</v>
      </c>
      <c r="C174" s="189" t="s">
        <v>665</v>
      </c>
    </row>
    <row r="175" spans="1:3" x14ac:dyDescent="0.35">
      <c r="A175" s="72" t="s">
        <v>184</v>
      </c>
      <c r="B175" s="72">
        <v>327</v>
      </c>
      <c r="C175" s="189" t="s">
        <v>479</v>
      </c>
    </row>
    <row r="176" spans="1:3" x14ac:dyDescent="0.35">
      <c r="A176" s="72" t="s">
        <v>185</v>
      </c>
      <c r="B176" s="72">
        <v>1705</v>
      </c>
      <c r="C176" s="189" t="s">
        <v>687</v>
      </c>
    </row>
    <row r="177" spans="1:3" x14ac:dyDescent="0.35">
      <c r="A177" s="72" t="s">
        <v>186</v>
      </c>
      <c r="B177" s="72">
        <v>553</v>
      </c>
      <c r="C177" s="189" t="s">
        <v>553</v>
      </c>
    </row>
    <row r="178" spans="1:3" x14ac:dyDescent="0.35">
      <c r="A178" s="72" t="s">
        <v>187</v>
      </c>
      <c r="B178" s="72">
        <v>262</v>
      </c>
      <c r="C178" s="189" t="s">
        <v>451</v>
      </c>
    </row>
    <row r="179" spans="1:3" x14ac:dyDescent="0.35">
      <c r="A179" s="72" t="s">
        <v>188</v>
      </c>
      <c r="B179" s="72">
        <v>809</v>
      </c>
      <c r="C179" s="189" t="s">
        <v>611</v>
      </c>
    </row>
    <row r="180" spans="1:3" x14ac:dyDescent="0.35">
      <c r="A180" s="72" t="s">
        <v>189</v>
      </c>
      <c r="B180" s="72">
        <v>331</v>
      </c>
      <c r="C180" s="189" t="s">
        <v>480</v>
      </c>
    </row>
    <row r="181" spans="1:3" x14ac:dyDescent="0.35">
      <c r="A181" s="72" t="s">
        <v>191</v>
      </c>
      <c r="B181" s="72">
        <v>168</v>
      </c>
      <c r="C181" s="189" t="s">
        <v>421</v>
      </c>
    </row>
    <row r="182" spans="1:3" x14ac:dyDescent="0.35">
      <c r="A182" s="72" t="s">
        <v>192</v>
      </c>
      <c r="B182" s="72">
        <v>263</v>
      </c>
      <c r="C182" s="189" t="s">
        <v>452</v>
      </c>
    </row>
    <row r="183" spans="1:3" x14ac:dyDescent="0.35">
      <c r="A183" s="72" t="s">
        <v>193</v>
      </c>
      <c r="B183" s="72">
        <v>1641</v>
      </c>
      <c r="C183" s="189" t="s">
        <v>666</v>
      </c>
    </row>
    <row r="184" spans="1:3" x14ac:dyDescent="0.35">
      <c r="A184" s="72" t="s">
        <v>1301</v>
      </c>
      <c r="B184" s="72">
        <v>1991</v>
      </c>
      <c r="C184" s="189">
        <v>1991</v>
      </c>
    </row>
    <row r="185" spans="1:3" x14ac:dyDescent="0.35">
      <c r="A185" s="72" t="s">
        <v>194</v>
      </c>
      <c r="B185" s="72">
        <v>556</v>
      </c>
      <c r="C185" s="189" t="s">
        <v>554</v>
      </c>
    </row>
    <row r="186" spans="1:3" x14ac:dyDescent="0.35">
      <c r="A186" s="72" t="s">
        <v>195</v>
      </c>
      <c r="B186" s="72">
        <v>935</v>
      </c>
      <c r="C186" s="189" t="s">
        <v>644</v>
      </c>
    </row>
    <row r="187" spans="1:3" x14ac:dyDescent="0.35">
      <c r="A187" s="72" t="s">
        <v>196</v>
      </c>
      <c r="B187" s="72">
        <v>420</v>
      </c>
      <c r="C187" s="189" t="s">
        <v>520</v>
      </c>
    </row>
    <row r="188" spans="1:3" x14ac:dyDescent="0.35">
      <c r="A188" s="72" t="s">
        <v>197</v>
      </c>
      <c r="B188" s="72">
        <v>938</v>
      </c>
      <c r="C188" s="189" t="s">
        <v>645</v>
      </c>
    </row>
    <row r="189" spans="1:3" x14ac:dyDescent="0.35">
      <c r="A189" s="72" t="s">
        <v>198</v>
      </c>
      <c r="B189" s="72">
        <v>1948</v>
      </c>
      <c r="C189" s="189" t="s">
        <v>734</v>
      </c>
    </row>
    <row r="190" spans="1:3" x14ac:dyDescent="0.35">
      <c r="A190" s="72" t="s">
        <v>199</v>
      </c>
      <c r="B190" s="72">
        <v>119</v>
      </c>
      <c r="C190" s="189" t="s">
        <v>409</v>
      </c>
    </row>
    <row r="191" spans="1:3" x14ac:dyDescent="0.35">
      <c r="A191" s="72" t="s">
        <v>200</v>
      </c>
      <c r="B191" s="72">
        <v>687</v>
      </c>
      <c r="C191" s="189" t="s">
        <v>580</v>
      </c>
    </row>
    <row r="192" spans="1:3" x14ac:dyDescent="0.35">
      <c r="A192" s="72" t="s">
        <v>201</v>
      </c>
      <c r="B192" s="72">
        <v>1731</v>
      </c>
      <c r="C192" s="189">
        <v>1731</v>
      </c>
    </row>
    <row r="193" spans="1:3" x14ac:dyDescent="0.35">
      <c r="A193" s="72" t="s">
        <v>202</v>
      </c>
      <c r="B193" s="72">
        <v>1842</v>
      </c>
      <c r="C193" s="189">
        <v>1842</v>
      </c>
    </row>
    <row r="194" spans="1:3" x14ac:dyDescent="0.35">
      <c r="A194" s="72" t="s">
        <v>203</v>
      </c>
      <c r="B194" s="72">
        <v>1952</v>
      </c>
      <c r="C194" s="189" t="s">
        <v>737</v>
      </c>
    </row>
    <row r="195" spans="1:3" x14ac:dyDescent="0.35">
      <c r="A195" s="72" t="s">
        <v>204</v>
      </c>
      <c r="B195" s="72">
        <v>815</v>
      </c>
      <c r="C195" s="189" t="s">
        <v>612</v>
      </c>
    </row>
    <row r="196" spans="1:3" x14ac:dyDescent="0.35">
      <c r="A196" s="72" t="s">
        <v>205</v>
      </c>
      <c r="B196" s="72">
        <v>1709</v>
      </c>
      <c r="C196" s="189" t="s">
        <v>690</v>
      </c>
    </row>
    <row r="197" spans="1:3" x14ac:dyDescent="0.35">
      <c r="A197" s="72" t="s">
        <v>206</v>
      </c>
      <c r="B197" s="72">
        <v>1978</v>
      </c>
      <c r="C197" s="189">
        <v>1978</v>
      </c>
    </row>
    <row r="198" spans="1:3" x14ac:dyDescent="0.35">
      <c r="A198" s="72" t="s">
        <v>207</v>
      </c>
      <c r="B198" s="72">
        <v>1955</v>
      </c>
      <c r="C198" s="189" t="s">
        <v>738</v>
      </c>
    </row>
    <row r="199" spans="1:3" x14ac:dyDescent="0.35">
      <c r="A199" s="72" t="s">
        <v>208</v>
      </c>
      <c r="B199" s="72">
        <v>335</v>
      </c>
      <c r="C199" s="189" t="s">
        <v>481</v>
      </c>
    </row>
    <row r="200" spans="1:3" x14ac:dyDescent="0.35">
      <c r="A200" s="72" t="s">
        <v>209</v>
      </c>
      <c r="B200" s="72">
        <v>944</v>
      </c>
      <c r="C200" s="189" t="s">
        <v>646</v>
      </c>
    </row>
    <row r="201" spans="1:3" x14ac:dyDescent="0.35">
      <c r="A201" s="72" t="s">
        <v>210</v>
      </c>
      <c r="B201" s="72">
        <v>1740</v>
      </c>
      <c r="C201" s="189" t="s">
        <v>704</v>
      </c>
    </row>
    <row r="202" spans="1:3" x14ac:dyDescent="0.35">
      <c r="A202" s="72" t="s">
        <v>211</v>
      </c>
      <c r="B202" s="72">
        <v>946</v>
      </c>
      <c r="C202" s="189" t="s">
        <v>647</v>
      </c>
    </row>
    <row r="203" spans="1:3" x14ac:dyDescent="0.35">
      <c r="A203" s="72" t="s">
        <v>212</v>
      </c>
      <c r="B203" s="72">
        <v>356</v>
      </c>
      <c r="C203" s="189" t="s">
        <v>492</v>
      </c>
    </row>
    <row r="204" spans="1:3" x14ac:dyDescent="0.35">
      <c r="A204" s="72" t="s">
        <v>213</v>
      </c>
      <c r="B204" s="72">
        <v>569</v>
      </c>
      <c r="C204" s="189" t="s">
        <v>555</v>
      </c>
    </row>
    <row r="205" spans="1:3" x14ac:dyDescent="0.35">
      <c r="A205" s="72" t="s">
        <v>214</v>
      </c>
      <c r="B205" s="72">
        <v>267</v>
      </c>
      <c r="C205" s="189" t="s">
        <v>453</v>
      </c>
    </row>
    <row r="206" spans="1:3" x14ac:dyDescent="0.35">
      <c r="A206" s="72" t="s">
        <v>215</v>
      </c>
      <c r="B206" s="72">
        <v>268</v>
      </c>
      <c r="C206" s="189" t="s">
        <v>454</v>
      </c>
    </row>
    <row r="207" spans="1:3" x14ac:dyDescent="0.35">
      <c r="A207" s="72" t="s">
        <v>216</v>
      </c>
      <c r="B207" s="72">
        <v>1930</v>
      </c>
      <c r="C207" s="189" t="s">
        <v>729</v>
      </c>
    </row>
    <row r="208" spans="1:3" x14ac:dyDescent="0.35">
      <c r="A208" s="72" t="s">
        <v>217</v>
      </c>
      <c r="B208" s="72">
        <v>1970</v>
      </c>
      <c r="C208" s="189">
        <v>1970</v>
      </c>
    </row>
    <row r="209" spans="1:3" x14ac:dyDescent="0.35">
      <c r="A209" s="72" t="s">
        <v>218</v>
      </c>
      <c r="B209" s="72">
        <v>1695</v>
      </c>
      <c r="C209" s="189" t="s">
        <v>680</v>
      </c>
    </row>
    <row r="210" spans="1:3" x14ac:dyDescent="0.35">
      <c r="A210" s="72" t="s">
        <v>219</v>
      </c>
      <c r="B210" s="72">
        <v>1699</v>
      </c>
      <c r="C210" s="189" t="s">
        <v>682</v>
      </c>
    </row>
    <row r="211" spans="1:3" x14ac:dyDescent="0.35">
      <c r="A211" s="72" t="s">
        <v>220</v>
      </c>
      <c r="B211" s="72">
        <v>171</v>
      </c>
      <c r="C211" s="189" t="s">
        <v>422</v>
      </c>
    </row>
    <row r="212" spans="1:3" x14ac:dyDescent="0.35">
      <c r="A212" s="72" t="s">
        <v>221</v>
      </c>
      <c r="B212" s="72">
        <v>575</v>
      </c>
      <c r="C212" s="189" t="s">
        <v>556</v>
      </c>
    </row>
    <row r="213" spans="1:3" x14ac:dyDescent="0.35">
      <c r="A213" s="72" t="s">
        <v>222</v>
      </c>
      <c r="B213" s="72">
        <v>820</v>
      </c>
      <c r="C213" s="189" t="s">
        <v>613</v>
      </c>
    </row>
    <row r="214" spans="1:3" x14ac:dyDescent="0.35">
      <c r="A214" s="72" t="s">
        <v>223</v>
      </c>
      <c r="B214" s="72">
        <v>302</v>
      </c>
      <c r="C214" s="189" t="s">
        <v>470</v>
      </c>
    </row>
    <row r="215" spans="1:3" x14ac:dyDescent="0.35">
      <c r="A215" s="72" t="s">
        <v>224</v>
      </c>
      <c r="B215" s="72">
        <v>579</v>
      </c>
      <c r="C215" s="189" t="s">
        <v>557</v>
      </c>
    </row>
    <row r="216" spans="1:3" x14ac:dyDescent="0.35">
      <c r="A216" s="72" t="s">
        <v>225</v>
      </c>
      <c r="B216" s="72">
        <v>823</v>
      </c>
      <c r="C216" s="189" t="s">
        <v>615</v>
      </c>
    </row>
    <row r="217" spans="1:3" x14ac:dyDescent="0.35">
      <c r="A217" s="72" t="s">
        <v>226</v>
      </c>
      <c r="B217" s="72">
        <v>824</v>
      </c>
      <c r="C217" s="189" t="s">
        <v>616</v>
      </c>
    </row>
    <row r="218" spans="1:3" x14ac:dyDescent="0.35">
      <c r="A218" s="72" t="s">
        <v>227</v>
      </c>
      <c r="B218" s="72">
        <v>1895</v>
      </c>
      <c r="C218" s="189" t="s">
        <v>718</v>
      </c>
    </row>
    <row r="219" spans="1:3" x14ac:dyDescent="0.35">
      <c r="A219" s="72" t="s">
        <v>228</v>
      </c>
      <c r="B219" s="72">
        <v>269</v>
      </c>
      <c r="C219" s="189" t="s">
        <v>455</v>
      </c>
    </row>
    <row r="220" spans="1:3" x14ac:dyDescent="0.35">
      <c r="A220" s="72" t="s">
        <v>229</v>
      </c>
      <c r="B220" s="72">
        <v>173</v>
      </c>
      <c r="C220" s="189" t="s">
        <v>423</v>
      </c>
    </row>
    <row r="221" spans="1:3" x14ac:dyDescent="0.35">
      <c r="A221" s="72" t="s">
        <v>230</v>
      </c>
      <c r="B221" s="72">
        <v>1773</v>
      </c>
      <c r="C221" s="189" t="s">
        <v>707</v>
      </c>
    </row>
    <row r="222" spans="1:3" x14ac:dyDescent="0.35">
      <c r="A222" s="72" t="s">
        <v>231</v>
      </c>
      <c r="B222" s="72">
        <v>175</v>
      </c>
      <c r="C222" s="189" t="s">
        <v>424</v>
      </c>
    </row>
    <row r="223" spans="1:3" x14ac:dyDescent="0.35">
      <c r="A223" s="72" t="s">
        <v>232</v>
      </c>
      <c r="B223" s="72">
        <v>1586</v>
      </c>
      <c r="C223" s="189" t="s">
        <v>662</v>
      </c>
    </row>
    <row r="224" spans="1:3" x14ac:dyDescent="0.35">
      <c r="A224" s="72" t="s">
        <v>233</v>
      </c>
      <c r="B224" s="72">
        <v>826</v>
      </c>
      <c r="C224" s="189" t="s">
        <v>617</v>
      </c>
    </row>
    <row r="225" spans="1:3" x14ac:dyDescent="0.35">
      <c r="A225" s="72" t="s">
        <v>234</v>
      </c>
      <c r="B225" s="72">
        <v>85</v>
      </c>
      <c r="C225" s="189" t="s">
        <v>397</v>
      </c>
    </row>
    <row r="226" spans="1:3" x14ac:dyDescent="0.35">
      <c r="A226" s="72" t="s">
        <v>235</v>
      </c>
      <c r="B226" s="72">
        <v>431</v>
      </c>
      <c r="C226" s="189" t="s">
        <v>521</v>
      </c>
    </row>
    <row r="227" spans="1:3" x14ac:dyDescent="0.35">
      <c r="A227" s="72" t="s">
        <v>236</v>
      </c>
      <c r="B227" s="72">
        <v>432</v>
      </c>
      <c r="C227" s="189" t="s">
        <v>522</v>
      </c>
    </row>
    <row r="228" spans="1:3" x14ac:dyDescent="0.35">
      <c r="A228" s="72" t="s">
        <v>237</v>
      </c>
      <c r="B228" s="72">
        <v>86</v>
      </c>
      <c r="C228" s="189" t="s">
        <v>398</v>
      </c>
    </row>
    <row r="229" spans="1:3" x14ac:dyDescent="0.35">
      <c r="A229" s="72" t="s">
        <v>238</v>
      </c>
      <c r="B229" s="72">
        <v>828</v>
      </c>
      <c r="C229" s="189" t="s">
        <v>618</v>
      </c>
    </row>
    <row r="230" spans="1:3" x14ac:dyDescent="0.35">
      <c r="A230" s="72" t="s">
        <v>239</v>
      </c>
      <c r="B230" s="72">
        <v>1509</v>
      </c>
      <c r="C230" s="189" t="s">
        <v>659</v>
      </c>
    </row>
    <row r="231" spans="1:3" x14ac:dyDescent="0.35">
      <c r="A231" s="72" t="s">
        <v>240</v>
      </c>
      <c r="B231" s="72">
        <v>437</v>
      </c>
      <c r="C231" s="189" t="s">
        <v>523</v>
      </c>
    </row>
    <row r="232" spans="1:3" x14ac:dyDescent="0.35">
      <c r="A232" s="72" t="s">
        <v>241</v>
      </c>
      <c r="B232" s="72">
        <v>589</v>
      </c>
      <c r="C232" s="189" t="s">
        <v>558</v>
      </c>
    </row>
    <row r="233" spans="1:3" x14ac:dyDescent="0.35">
      <c r="A233" s="72" t="s">
        <v>242</v>
      </c>
      <c r="B233" s="72">
        <v>1734</v>
      </c>
      <c r="C233" s="189" t="s">
        <v>702</v>
      </c>
    </row>
    <row r="234" spans="1:3" x14ac:dyDescent="0.35">
      <c r="A234" s="72" t="s">
        <v>243</v>
      </c>
      <c r="B234" s="72">
        <v>590</v>
      </c>
      <c r="C234" s="189" t="s">
        <v>559</v>
      </c>
    </row>
    <row r="235" spans="1:3" x14ac:dyDescent="0.35">
      <c r="A235" s="72" t="s">
        <v>244</v>
      </c>
      <c r="B235" s="72">
        <v>1894</v>
      </c>
      <c r="C235" s="189" t="s">
        <v>717</v>
      </c>
    </row>
    <row r="236" spans="1:3" x14ac:dyDescent="0.35">
      <c r="A236" s="72" t="s">
        <v>245</v>
      </c>
      <c r="B236" s="72">
        <v>765</v>
      </c>
      <c r="C236" s="189" t="s">
        <v>597</v>
      </c>
    </row>
    <row r="237" spans="1:3" x14ac:dyDescent="0.35">
      <c r="A237" s="72" t="s">
        <v>246</v>
      </c>
      <c r="B237" s="72">
        <v>1926</v>
      </c>
      <c r="C237" s="189" t="s">
        <v>728</v>
      </c>
    </row>
    <row r="238" spans="1:3" x14ac:dyDescent="0.35">
      <c r="A238" s="72" t="s">
        <v>247</v>
      </c>
      <c r="B238" s="72">
        <v>439</v>
      </c>
      <c r="C238" s="189" t="s">
        <v>524</v>
      </c>
    </row>
    <row r="239" spans="1:3" x14ac:dyDescent="0.35">
      <c r="A239" s="72" t="s">
        <v>248</v>
      </c>
      <c r="B239" s="72">
        <v>273</v>
      </c>
      <c r="C239" s="189" t="s">
        <v>456</v>
      </c>
    </row>
    <row r="240" spans="1:3" x14ac:dyDescent="0.35">
      <c r="A240" s="72" t="s">
        <v>249</v>
      </c>
      <c r="B240" s="72">
        <v>177</v>
      </c>
      <c r="C240" s="189" t="s">
        <v>425</v>
      </c>
    </row>
    <row r="241" spans="1:3" x14ac:dyDescent="0.35">
      <c r="A241" s="72" t="s">
        <v>250</v>
      </c>
      <c r="B241" s="72">
        <v>703</v>
      </c>
      <c r="C241" s="189" t="s">
        <v>581</v>
      </c>
    </row>
    <row r="242" spans="1:3" x14ac:dyDescent="0.35">
      <c r="A242" s="72" t="s">
        <v>251</v>
      </c>
      <c r="B242" s="72">
        <v>274</v>
      </c>
      <c r="C242" s="189" t="s">
        <v>457</v>
      </c>
    </row>
    <row r="243" spans="1:3" x14ac:dyDescent="0.35">
      <c r="A243" s="72" t="s">
        <v>252</v>
      </c>
      <c r="B243" s="72">
        <v>339</v>
      </c>
      <c r="C243" s="189" t="s">
        <v>483</v>
      </c>
    </row>
    <row r="244" spans="1:3" x14ac:dyDescent="0.35">
      <c r="A244" s="72" t="s">
        <v>253</v>
      </c>
      <c r="B244" s="72">
        <v>1667</v>
      </c>
      <c r="C244" s="189" t="s">
        <v>671</v>
      </c>
    </row>
    <row r="245" spans="1:3" x14ac:dyDescent="0.35">
      <c r="A245" s="72" t="s">
        <v>254</v>
      </c>
      <c r="B245" s="72">
        <v>275</v>
      </c>
      <c r="C245" s="189" t="s">
        <v>458</v>
      </c>
    </row>
    <row r="246" spans="1:3" x14ac:dyDescent="0.35">
      <c r="A246" s="72" t="s">
        <v>255</v>
      </c>
      <c r="B246" s="72">
        <v>340</v>
      </c>
      <c r="C246" s="189" t="s">
        <v>484</v>
      </c>
    </row>
    <row r="247" spans="1:3" x14ac:dyDescent="0.35">
      <c r="A247" s="72" t="s">
        <v>256</v>
      </c>
      <c r="B247" s="72">
        <v>597</v>
      </c>
      <c r="C247" s="189" t="s">
        <v>560</v>
      </c>
    </row>
    <row r="248" spans="1:3" x14ac:dyDescent="0.35">
      <c r="A248" s="72" t="s">
        <v>257</v>
      </c>
      <c r="B248" s="72">
        <v>1742</v>
      </c>
      <c r="C248" s="189" t="s">
        <v>705</v>
      </c>
    </row>
    <row r="249" spans="1:3" x14ac:dyDescent="0.35">
      <c r="A249" s="72" t="s">
        <v>258</v>
      </c>
      <c r="B249" s="72">
        <v>603</v>
      </c>
      <c r="C249" s="189" t="s">
        <v>562</v>
      </c>
    </row>
    <row r="250" spans="1:3" x14ac:dyDescent="0.35">
      <c r="A250" s="72" t="s">
        <v>259</v>
      </c>
      <c r="B250" s="72">
        <v>1669</v>
      </c>
      <c r="C250" s="189" t="s">
        <v>672</v>
      </c>
    </row>
    <row r="251" spans="1:3" x14ac:dyDescent="0.35">
      <c r="A251" s="72" t="s">
        <v>260</v>
      </c>
      <c r="B251" s="72">
        <v>957</v>
      </c>
      <c r="C251" s="189" t="s">
        <v>648</v>
      </c>
    </row>
    <row r="252" spans="1:3" x14ac:dyDescent="0.35">
      <c r="A252" s="72" t="s">
        <v>261</v>
      </c>
      <c r="B252" s="72">
        <v>1674</v>
      </c>
      <c r="C252" s="189" t="s">
        <v>673</v>
      </c>
    </row>
    <row r="253" spans="1:3" x14ac:dyDescent="0.35">
      <c r="A253" s="72" t="s">
        <v>262</v>
      </c>
      <c r="B253" s="72">
        <v>599</v>
      </c>
      <c r="C253" s="189" t="s">
        <v>561</v>
      </c>
    </row>
    <row r="254" spans="1:3" x14ac:dyDescent="0.35">
      <c r="A254" s="72" t="s">
        <v>263</v>
      </c>
      <c r="B254" s="72">
        <v>277</v>
      </c>
      <c r="C254" s="189" t="s">
        <v>459</v>
      </c>
    </row>
    <row r="255" spans="1:3" x14ac:dyDescent="0.35">
      <c r="A255" s="72" t="s">
        <v>264</v>
      </c>
      <c r="B255" s="72">
        <v>840</v>
      </c>
      <c r="C255" s="189" t="s">
        <v>619</v>
      </c>
    </row>
    <row r="256" spans="1:3" x14ac:dyDescent="0.35">
      <c r="A256" s="72" t="s">
        <v>265</v>
      </c>
      <c r="B256" s="72">
        <v>441</v>
      </c>
      <c r="C256" s="189" t="s">
        <v>525</v>
      </c>
    </row>
    <row r="257" spans="1:3" x14ac:dyDescent="0.35">
      <c r="A257" s="72" t="s">
        <v>266</v>
      </c>
      <c r="B257" s="72">
        <v>279</v>
      </c>
      <c r="C257" s="189" t="s">
        <v>460</v>
      </c>
    </row>
    <row r="258" spans="1:3" x14ac:dyDescent="0.35">
      <c r="A258" s="72" t="s">
        <v>267</v>
      </c>
      <c r="B258" s="72">
        <v>606</v>
      </c>
      <c r="C258" s="189" t="s">
        <v>563</v>
      </c>
    </row>
    <row r="259" spans="1:3" x14ac:dyDescent="0.35">
      <c r="A259" s="72" t="s">
        <v>268</v>
      </c>
      <c r="B259" s="72">
        <v>88</v>
      </c>
      <c r="C259" s="189" t="s">
        <v>399</v>
      </c>
    </row>
    <row r="260" spans="1:3" x14ac:dyDescent="0.35">
      <c r="A260" s="72" t="s">
        <v>269</v>
      </c>
      <c r="B260" s="72">
        <v>1676</v>
      </c>
      <c r="C260" s="189" t="s">
        <v>674</v>
      </c>
    </row>
    <row r="261" spans="1:3" x14ac:dyDescent="0.35">
      <c r="A261" s="72" t="s">
        <v>270</v>
      </c>
      <c r="B261" s="72">
        <v>518</v>
      </c>
      <c r="C261" s="189" t="s">
        <v>543</v>
      </c>
    </row>
    <row r="262" spans="1:3" x14ac:dyDescent="0.35">
      <c r="A262" s="72" t="s">
        <v>271</v>
      </c>
      <c r="B262" s="72">
        <v>796</v>
      </c>
      <c r="C262" s="189" t="s">
        <v>608</v>
      </c>
    </row>
    <row r="263" spans="1:3" x14ac:dyDescent="0.35">
      <c r="A263" s="72" t="s">
        <v>272</v>
      </c>
      <c r="B263" s="72">
        <v>965</v>
      </c>
      <c r="C263" s="189" t="s">
        <v>649</v>
      </c>
    </row>
    <row r="264" spans="1:3" x14ac:dyDescent="0.35">
      <c r="A264" s="72" t="s">
        <v>273</v>
      </c>
      <c r="B264" s="72">
        <v>1702</v>
      </c>
      <c r="C264" s="189" t="s">
        <v>685</v>
      </c>
    </row>
    <row r="265" spans="1:3" x14ac:dyDescent="0.35">
      <c r="A265" s="72" t="s">
        <v>274</v>
      </c>
      <c r="B265" s="72">
        <v>845</v>
      </c>
      <c r="C265" s="189" t="s">
        <v>620</v>
      </c>
    </row>
    <row r="266" spans="1:3" x14ac:dyDescent="0.35">
      <c r="A266" s="72" t="s">
        <v>275</v>
      </c>
      <c r="B266" s="72">
        <v>1883</v>
      </c>
      <c r="C266" s="189" t="s">
        <v>713</v>
      </c>
    </row>
    <row r="267" spans="1:3" x14ac:dyDescent="0.35">
      <c r="A267" s="72" t="s">
        <v>276</v>
      </c>
      <c r="B267" s="72">
        <v>610</v>
      </c>
      <c r="C267" s="189" t="s">
        <v>564</v>
      </c>
    </row>
    <row r="268" spans="1:3" x14ac:dyDescent="0.35">
      <c r="A268" s="72" t="s">
        <v>277</v>
      </c>
      <c r="B268" s="72">
        <v>1714</v>
      </c>
      <c r="C268" s="189" t="s">
        <v>692</v>
      </c>
    </row>
    <row r="269" spans="1:3" x14ac:dyDescent="0.35">
      <c r="A269" s="72" t="s">
        <v>278</v>
      </c>
      <c r="B269" s="72">
        <v>90</v>
      </c>
      <c r="C269" s="189" t="s">
        <v>401</v>
      </c>
    </row>
    <row r="270" spans="1:3" x14ac:dyDescent="0.35">
      <c r="A270" s="72" t="s">
        <v>279</v>
      </c>
      <c r="B270" s="72">
        <v>342</v>
      </c>
      <c r="C270" s="189" t="s">
        <v>485</v>
      </c>
    </row>
    <row r="271" spans="1:3" x14ac:dyDescent="0.35">
      <c r="A271" s="72" t="s">
        <v>280</v>
      </c>
      <c r="B271" s="72">
        <v>847</v>
      </c>
      <c r="C271" s="189" t="s">
        <v>621</v>
      </c>
    </row>
    <row r="272" spans="1:3" x14ac:dyDescent="0.35">
      <c r="A272" s="72" t="s">
        <v>281</v>
      </c>
      <c r="B272" s="72">
        <v>848</v>
      </c>
      <c r="C272" s="189" t="s">
        <v>622</v>
      </c>
    </row>
    <row r="273" spans="1:3" x14ac:dyDescent="0.35">
      <c r="A273" s="72" t="s">
        <v>282</v>
      </c>
      <c r="B273" s="72">
        <v>37</v>
      </c>
      <c r="C273" s="189" t="s">
        <v>389</v>
      </c>
    </row>
    <row r="274" spans="1:3" x14ac:dyDescent="0.35">
      <c r="A274" s="72" t="s">
        <v>283</v>
      </c>
      <c r="B274" s="72">
        <v>180</v>
      </c>
      <c r="C274" s="189" t="s">
        <v>426</v>
      </c>
    </row>
    <row r="275" spans="1:3" x14ac:dyDescent="0.35">
      <c r="A275" s="72" t="s">
        <v>284</v>
      </c>
      <c r="B275" s="72">
        <v>532</v>
      </c>
      <c r="C275" s="189" t="s">
        <v>547</v>
      </c>
    </row>
    <row r="276" spans="1:3" x14ac:dyDescent="0.35">
      <c r="A276" s="72" t="s">
        <v>285</v>
      </c>
      <c r="B276" s="72">
        <v>851</v>
      </c>
      <c r="C276" s="189" t="s">
        <v>623</v>
      </c>
    </row>
    <row r="277" spans="1:3" x14ac:dyDescent="0.35">
      <c r="A277" s="72" t="s">
        <v>286</v>
      </c>
      <c r="B277" s="72">
        <v>1708</v>
      </c>
      <c r="C277" s="189" t="s">
        <v>689</v>
      </c>
    </row>
    <row r="278" spans="1:3" x14ac:dyDescent="0.35">
      <c r="A278" s="72" t="s">
        <v>287</v>
      </c>
      <c r="B278" s="72">
        <v>971</v>
      </c>
      <c r="C278" s="189" t="s">
        <v>650</v>
      </c>
    </row>
    <row r="279" spans="1:3" x14ac:dyDescent="0.35">
      <c r="A279" s="72" t="s">
        <v>288</v>
      </c>
      <c r="B279" s="72">
        <v>1904</v>
      </c>
      <c r="C279" s="189" t="s">
        <v>724</v>
      </c>
    </row>
    <row r="280" spans="1:3" x14ac:dyDescent="0.35">
      <c r="A280" s="72" t="s">
        <v>289</v>
      </c>
      <c r="B280" s="72">
        <v>1900</v>
      </c>
      <c r="C280" s="189" t="s">
        <v>720</v>
      </c>
    </row>
    <row r="281" spans="1:3" x14ac:dyDescent="0.35">
      <c r="A281" s="72" t="s">
        <v>290</v>
      </c>
      <c r="B281" s="72">
        <v>715</v>
      </c>
      <c r="C281" s="189" t="s">
        <v>582</v>
      </c>
    </row>
    <row r="282" spans="1:3" x14ac:dyDescent="0.35">
      <c r="A282" s="72" t="s">
        <v>291</v>
      </c>
      <c r="B282" s="72">
        <v>93</v>
      </c>
      <c r="C282" s="189" t="s">
        <v>402</v>
      </c>
    </row>
    <row r="283" spans="1:3" x14ac:dyDescent="0.35">
      <c r="A283" s="72" t="s">
        <v>292</v>
      </c>
      <c r="B283" s="72">
        <v>448</v>
      </c>
      <c r="C283" s="189" t="s">
        <v>526</v>
      </c>
    </row>
    <row r="284" spans="1:3" x14ac:dyDescent="0.35">
      <c r="A284" s="72" t="s">
        <v>293</v>
      </c>
      <c r="B284" s="72">
        <v>1525</v>
      </c>
      <c r="C284" s="189" t="s">
        <v>660</v>
      </c>
    </row>
    <row r="285" spans="1:3" x14ac:dyDescent="0.35">
      <c r="A285" s="72" t="s">
        <v>294</v>
      </c>
      <c r="B285" s="72">
        <v>716</v>
      </c>
      <c r="C285" s="189" t="s">
        <v>583</v>
      </c>
    </row>
    <row r="286" spans="1:3" x14ac:dyDescent="0.35">
      <c r="A286" s="72" t="s">
        <v>295</v>
      </c>
      <c r="B286" s="72">
        <v>281</v>
      </c>
      <c r="C286" s="189" t="s">
        <v>461</v>
      </c>
    </row>
    <row r="287" spans="1:3" x14ac:dyDescent="0.35">
      <c r="A287" s="72" t="s">
        <v>296</v>
      </c>
      <c r="B287" s="72">
        <v>855</v>
      </c>
      <c r="C287" s="189" t="s">
        <v>625</v>
      </c>
    </row>
    <row r="288" spans="1:3" x14ac:dyDescent="0.35">
      <c r="A288" s="72" t="s">
        <v>297</v>
      </c>
      <c r="B288" s="72">
        <v>183</v>
      </c>
      <c r="C288" s="189" t="s">
        <v>427</v>
      </c>
    </row>
    <row r="289" spans="1:3" x14ac:dyDescent="0.35">
      <c r="A289" s="72" t="s">
        <v>298</v>
      </c>
      <c r="B289" s="72">
        <v>1700</v>
      </c>
      <c r="C289" s="189" t="s">
        <v>683</v>
      </c>
    </row>
    <row r="290" spans="1:3" x14ac:dyDescent="0.35">
      <c r="A290" s="72" t="s">
        <v>299</v>
      </c>
      <c r="B290" s="72">
        <v>1730</v>
      </c>
      <c r="C290" s="189" t="s">
        <v>699</v>
      </c>
    </row>
    <row r="291" spans="1:3" x14ac:dyDescent="0.35">
      <c r="A291" s="72" t="s">
        <v>300</v>
      </c>
      <c r="B291" s="72">
        <v>737</v>
      </c>
      <c r="C291" s="189" t="s">
        <v>587</v>
      </c>
    </row>
    <row r="292" spans="1:3" x14ac:dyDescent="0.35">
      <c r="A292" s="72" t="s">
        <v>301</v>
      </c>
      <c r="B292" s="72">
        <v>856</v>
      </c>
      <c r="C292" s="189" t="s">
        <v>626</v>
      </c>
    </row>
    <row r="293" spans="1:3" x14ac:dyDescent="0.35">
      <c r="A293" s="72" t="s">
        <v>302</v>
      </c>
      <c r="B293" s="72">
        <v>450</v>
      </c>
      <c r="C293" s="189" t="s">
        <v>527</v>
      </c>
    </row>
    <row r="294" spans="1:3" x14ac:dyDescent="0.35">
      <c r="A294" s="72" t="s">
        <v>303</v>
      </c>
      <c r="B294" s="72">
        <v>451</v>
      </c>
      <c r="C294" s="189" t="s">
        <v>528</v>
      </c>
    </row>
    <row r="295" spans="1:3" x14ac:dyDescent="0.35">
      <c r="A295" s="72" t="s">
        <v>304</v>
      </c>
      <c r="B295" s="72">
        <v>184</v>
      </c>
      <c r="C295" s="189" t="s">
        <v>428</v>
      </c>
    </row>
    <row r="296" spans="1:3" x14ac:dyDescent="0.35">
      <c r="A296" s="72" t="s">
        <v>305</v>
      </c>
      <c r="B296" s="72">
        <v>344</v>
      </c>
      <c r="C296" s="189" t="s">
        <v>486</v>
      </c>
    </row>
    <row r="297" spans="1:3" x14ac:dyDescent="0.35">
      <c r="A297" s="72" t="s">
        <v>306</v>
      </c>
      <c r="B297" s="72">
        <v>1581</v>
      </c>
      <c r="C297" s="189" t="s">
        <v>661</v>
      </c>
    </row>
    <row r="298" spans="1:3" x14ac:dyDescent="0.35">
      <c r="A298" s="72" t="s">
        <v>307</v>
      </c>
      <c r="B298" s="72">
        <v>981</v>
      </c>
      <c r="C298" s="189" t="s">
        <v>651</v>
      </c>
    </row>
    <row r="299" spans="1:3" x14ac:dyDescent="0.35">
      <c r="A299" s="72" t="s">
        <v>308</v>
      </c>
      <c r="B299" s="72">
        <v>994</v>
      </c>
      <c r="C299" s="189" t="s">
        <v>656</v>
      </c>
    </row>
    <row r="300" spans="1:3" x14ac:dyDescent="0.35">
      <c r="A300" s="72" t="s">
        <v>309</v>
      </c>
      <c r="B300" s="72">
        <v>858</v>
      </c>
      <c r="C300" s="189" t="s">
        <v>627</v>
      </c>
    </row>
    <row r="301" spans="1:3" x14ac:dyDescent="0.35">
      <c r="A301" s="72" t="s">
        <v>310</v>
      </c>
      <c r="B301" s="72">
        <v>47</v>
      </c>
      <c r="C301" s="189" t="s">
        <v>390</v>
      </c>
    </row>
    <row r="302" spans="1:3" x14ac:dyDescent="0.35">
      <c r="A302" s="72" t="s">
        <v>311</v>
      </c>
      <c r="B302" s="72">
        <v>345</v>
      </c>
      <c r="C302" s="189" t="s">
        <v>487</v>
      </c>
    </row>
    <row r="303" spans="1:3" x14ac:dyDescent="0.35">
      <c r="A303" s="72" t="s">
        <v>312</v>
      </c>
      <c r="B303" s="72">
        <v>717</v>
      </c>
      <c r="C303" s="189" t="s">
        <v>584</v>
      </c>
    </row>
    <row r="304" spans="1:3" x14ac:dyDescent="0.35">
      <c r="A304" s="72" t="s">
        <v>313</v>
      </c>
      <c r="B304" s="72">
        <v>861</v>
      </c>
      <c r="C304" s="189" t="s">
        <v>628</v>
      </c>
    </row>
    <row r="305" spans="1:3" x14ac:dyDescent="0.35">
      <c r="A305" s="72" t="s">
        <v>314</v>
      </c>
      <c r="B305" s="72">
        <v>453</v>
      </c>
      <c r="C305" s="189" t="s">
        <v>529</v>
      </c>
    </row>
    <row r="306" spans="1:3" x14ac:dyDescent="0.35">
      <c r="A306" s="72" t="s">
        <v>315</v>
      </c>
      <c r="B306" s="72">
        <v>983</v>
      </c>
      <c r="C306" s="189" t="s">
        <v>652</v>
      </c>
    </row>
    <row r="307" spans="1:3" x14ac:dyDescent="0.35">
      <c r="A307" s="72" t="s">
        <v>316</v>
      </c>
      <c r="B307" s="72">
        <v>984</v>
      </c>
      <c r="C307" s="189" t="s">
        <v>653</v>
      </c>
    </row>
    <row r="308" spans="1:3" x14ac:dyDescent="0.35">
      <c r="A308" s="72" t="s">
        <v>317</v>
      </c>
      <c r="B308" s="72">
        <v>1961</v>
      </c>
      <c r="C308" s="189">
        <v>1961</v>
      </c>
    </row>
    <row r="309" spans="1:3" x14ac:dyDescent="0.35">
      <c r="A309" s="72" t="s">
        <v>318</v>
      </c>
      <c r="B309" s="72">
        <v>622</v>
      </c>
      <c r="C309" s="189" t="s">
        <v>567</v>
      </c>
    </row>
    <row r="310" spans="1:3" x14ac:dyDescent="0.35">
      <c r="A310" s="72" t="s">
        <v>319</v>
      </c>
      <c r="B310" s="72">
        <v>96</v>
      </c>
      <c r="C310" s="189" t="s">
        <v>403</v>
      </c>
    </row>
    <row r="311" spans="1:3" x14ac:dyDescent="0.35">
      <c r="A311" s="72" t="s">
        <v>320</v>
      </c>
      <c r="B311" s="72">
        <v>718</v>
      </c>
      <c r="C311" s="189" t="s">
        <v>585</v>
      </c>
    </row>
    <row r="312" spans="1:3" x14ac:dyDescent="0.35">
      <c r="A312" s="72" t="s">
        <v>321</v>
      </c>
      <c r="B312" s="72">
        <v>986</v>
      </c>
      <c r="C312" s="189" t="s">
        <v>654</v>
      </c>
    </row>
    <row r="313" spans="1:3" x14ac:dyDescent="0.35">
      <c r="A313" s="72" t="s">
        <v>322</v>
      </c>
      <c r="B313" s="72">
        <v>626</v>
      </c>
      <c r="C313" s="189" t="s">
        <v>568</v>
      </c>
    </row>
    <row r="314" spans="1:3" x14ac:dyDescent="0.35">
      <c r="A314" s="72" t="s">
        <v>323</v>
      </c>
      <c r="B314" s="72">
        <v>285</v>
      </c>
      <c r="C314" s="189" t="s">
        <v>462</v>
      </c>
    </row>
    <row r="315" spans="1:3" x14ac:dyDescent="0.35">
      <c r="A315" s="72" t="s">
        <v>324</v>
      </c>
      <c r="B315" s="72">
        <v>865</v>
      </c>
      <c r="C315" s="189" t="s">
        <v>629</v>
      </c>
    </row>
    <row r="316" spans="1:3" x14ac:dyDescent="0.35">
      <c r="A316" s="72" t="s">
        <v>325</v>
      </c>
      <c r="B316" s="72">
        <v>1949</v>
      </c>
      <c r="C316" s="189" t="s">
        <v>735</v>
      </c>
    </row>
    <row r="317" spans="1:3" x14ac:dyDescent="0.35">
      <c r="A317" s="72" t="s">
        <v>326</v>
      </c>
      <c r="B317" s="72">
        <v>866</v>
      </c>
      <c r="C317" s="189" t="s">
        <v>630</v>
      </c>
    </row>
    <row r="318" spans="1:3" x14ac:dyDescent="0.35">
      <c r="A318" s="72" t="s">
        <v>327</v>
      </c>
      <c r="B318" s="72">
        <v>867</v>
      </c>
      <c r="C318" s="189" t="s">
        <v>631</v>
      </c>
    </row>
    <row r="319" spans="1:3" x14ac:dyDescent="0.35">
      <c r="A319" s="72" t="s">
        <v>328</v>
      </c>
      <c r="B319" s="72">
        <v>627</v>
      </c>
      <c r="C319" s="189" t="s">
        <v>569</v>
      </c>
    </row>
    <row r="320" spans="1:3" x14ac:dyDescent="0.35">
      <c r="A320" s="72" t="s">
        <v>329</v>
      </c>
      <c r="B320" s="72">
        <v>289</v>
      </c>
      <c r="C320" s="189" t="s">
        <v>463</v>
      </c>
    </row>
    <row r="321" spans="1:3" x14ac:dyDescent="0.35">
      <c r="A321" s="72" t="s">
        <v>330</v>
      </c>
      <c r="B321" s="72">
        <v>629</v>
      </c>
      <c r="C321" s="189" t="s">
        <v>570</v>
      </c>
    </row>
    <row r="322" spans="1:3" x14ac:dyDescent="0.35">
      <c r="A322" s="72" t="s">
        <v>331</v>
      </c>
      <c r="B322" s="72">
        <v>852</v>
      </c>
      <c r="C322" s="189" t="s">
        <v>624</v>
      </c>
    </row>
    <row r="323" spans="1:3" x14ac:dyDescent="0.35">
      <c r="A323" s="72" t="s">
        <v>332</v>
      </c>
      <c r="B323" s="72">
        <v>988</v>
      </c>
      <c r="C323" s="189" t="s">
        <v>655</v>
      </c>
    </row>
    <row r="324" spans="1:3" x14ac:dyDescent="0.35">
      <c r="A324" s="72" t="s">
        <v>333</v>
      </c>
      <c r="B324" s="72">
        <v>457</v>
      </c>
      <c r="C324" s="189" t="s">
        <v>530</v>
      </c>
    </row>
    <row r="325" spans="1:3" x14ac:dyDescent="0.35">
      <c r="A325" s="72" t="s">
        <v>334</v>
      </c>
      <c r="B325" s="72">
        <v>1960</v>
      </c>
      <c r="C325" s="189">
        <v>1960</v>
      </c>
    </row>
    <row r="326" spans="1:3" x14ac:dyDescent="0.35">
      <c r="A326" s="72" t="s">
        <v>335</v>
      </c>
      <c r="B326" s="72">
        <v>668</v>
      </c>
      <c r="C326" s="189" t="s">
        <v>577</v>
      </c>
    </row>
    <row r="327" spans="1:3" x14ac:dyDescent="0.35">
      <c r="A327" s="72" t="s">
        <v>336</v>
      </c>
      <c r="B327" s="72">
        <v>1969</v>
      </c>
      <c r="C327" s="189">
        <v>1969</v>
      </c>
    </row>
    <row r="328" spans="1:3" x14ac:dyDescent="0.35">
      <c r="A328" s="72" t="s">
        <v>337</v>
      </c>
      <c r="B328" s="72">
        <v>1701</v>
      </c>
      <c r="C328" s="189" t="s">
        <v>684</v>
      </c>
    </row>
    <row r="329" spans="1:3" x14ac:dyDescent="0.35">
      <c r="A329" s="72" t="s">
        <v>338</v>
      </c>
      <c r="B329" s="72">
        <v>293</v>
      </c>
      <c r="C329" s="189" t="s">
        <v>464</v>
      </c>
    </row>
    <row r="330" spans="1:3" x14ac:dyDescent="0.35">
      <c r="A330" s="72" t="s">
        <v>339</v>
      </c>
      <c r="B330" s="72">
        <v>1950</v>
      </c>
      <c r="C330" s="189" t="s">
        <v>736</v>
      </c>
    </row>
    <row r="331" spans="1:3" x14ac:dyDescent="0.35">
      <c r="A331" s="72" t="s">
        <v>340</v>
      </c>
      <c r="B331" s="72">
        <v>1783</v>
      </c>
      <c r="C331" s="189" t="s">
        <v>709</v>
      </c>
    </row>
    <row r="332" spans="1:3" x14ac:dyDescent="0.35">
      <c r="A332" s="72" t="s">
        <v>341</v>
      </c>
      <c r="B332" s="72">
        <v>98</v>
      </c>
      <c r="C332" s="189" t="s">
        <v>404</v>
      </c>
    </row>
    <row r="333" spans="1:3" x14ac:dyDescent="0.35">
      <c r="A333" s="72" t="s">
        <v>342</v>
      </c>
      <c r="B333" s="72">
        <v>614</v>
      </c>
      <c r="C333" s="189" t="s">
        <v>566</v>
      </c>
    </row>
    <row r="334" spans="1:3" x14ac:dyDescent="0.35">
      <c r="A334" s="72" t="s">
        <v>343</v>
      </c>
      <c r="B334" s="72">
        <v>189</v>
      </c>
      <c r="C334" s="189" t="s">
        <v>429</v>
      </c>
    </row>
    <row r="335" spans="1:3" x14ac:dyDescent="0.35">
      <c r="A335" s="72" t="s">
        <v>344</v>
      </c>
      <c r="B335" s="72">
        <v>296</v>
      </c>
      <c r="C335" s="189" t="s">
        <v>466</v>
      </c>
    </row>
    <row r="336" spans="1:3" x14ac:dyDescent="0.35">
      <c r="A336" s="72" t="s">
        <v>345</v>
      </c>
      <c r="B336" s="72">
        <v>1696</v>
      </c>
      <c r="C336" s="189" t="s">
        <v>681</v>
      </c>
    </row>
    <row r="337" spans="1:3" x14ac:dyDescent="0.35">
      <c r="A337" s="72" t="s">
        <v>346</v>
      </c>
      <c r="B337" s="72">
        <v>352</v>
      </c>
      <c r="C337" s="189" t="s">
        <v>489</v>
      </c>
    </row>
    <row r="338" spans="1:3" x14ac:dyDescent="0.35">
      <c r="A338" s="72" t="s">
        <v>347</v>
      </c>
      <c r="B338" s="72">
        <v>294</v>
      </c>
      <c r="C338" s="189" t="s">
        <v>465</v>
      </c>
    </row>
    <row r="339" spans="1:3" x14ac:dyDescent="0.35">
      <c r="A339" s="72" t="s">
        <v>348</v>
      </c>
      <c r="B339" s="72">
        <v>873</v>
      </c>
      <c r="C339" s="189" t="s">
        <v>632</v>
      </c>
    </row>
    <row r="340" spans="1:3" x14ac:dyDescent="0.35">
      <c r="A340" s="72" t="s">
        <v>349</v>
      </c>
      <c r="B340" s="72">
        <v>632</v>
      </c>
      <c r="C340" s="189" t="s">
        <v>571</v>
      </c>
    </row>
    <row r="341" spans="1:3" x14ac:dyDescent="0.35">
      <c r="A341" s="72" t="s">
        <v>350</v>
      </c>
      <c r="B341" s="72">
        <v>880</v>
      </c>
      <c r="C341" s="189" t="s">
        <v>634</v>
      </c>
    </row>
    <row r="342" spans="1:3" x14ac:dyDescent="0.35">
      <c r="A342" s="72" t="s">
        <v>351</v>
      </c>
      <c r="B342" s="72">
        <v>351</v>
      </c>
      <c r="C342" s="189" t="s">
        <v>488</v>
      </c>
    </row>
    <row r="343" spans="1:3" x14ac:dyDescent="0.35">
      <c r="A343" s="72" t="s">
        <v>352</v>
      </c>
      <c r="B343" s="72">
        <v>479</v>
      </c>
      <c r="C343" s="189" t="s">
        <v>532</v>
      </c>
    </row>
    <row r="344" spans="1:3" x14ac:dyDescent="0.35">
      <c r="A344" s="72" t="s">
        <v>353</v>
      </c>
      <c r="B344" s="72">
        <v>297</v>
      </c>
      <c r="C344" s="189" t="s">
        <v>467</v>
      </c>
    </row>
    <row r="345" spans="1:3" x14ac:dyDescent="0.35">
      <c r="A345" s="72" t="s">
        <v>354</v>
      </c>
      <c r="B345" s="72">
        <v>473</v>
      </c>
      <c r="C345" s="189" t="s">
        <v>531</v>
      </c>
    </row>
    <row r="346" spans="1:3" x14ac:dyDescent="0.35">
      <c r="A346" s="72" t="s">
        <v>355</v>
      </c>
      <c r="B346" s="72">
        <v>50</v>
      </c>
      <c r="C346" s="189" t="s">
        <v>391</v>
      </c>
    </row>
    <row r="347" spans="1:3" x14ac:dyDescent="0.35">
      <c r="A347" s="72" t="s">
        <v>356</v>
      </c>
      <c r="B347" s="72">
        <v>355</v>
      </c>
      <c r="C347" s="189" t="s">
        <v>491</v>
      </c>
    </row>
    <row r="348" spans="1:3" x14ac:dyDescent="0.35">
      <c r="A348" s="72" t="s">
        <v>357</v>
      </c>
      <c r="B348" s="72">
        <v>299</v>
      </c>
      <c r="C348" s="189" t="s">
        <v>468</v>
      </c>
    </row>
    <row r="349" spans="1:3" x14ac:dyDescent="0.35">
      <c r="A349" s="72" t="s">
        <v>358</v>
      </c>
      <c r="B349" s="72">
        <v>637</v>
      </c>
      <c r="C349" s="189" t="s">
        <v>572</v>
      </c>
    </row>
    <row r="350" spans="1:3" x14ac:dyDescent="0.35">
      <c r="A350" s="72" t="s">
        <v>359</v>
      </c>
      <c r="B350" s="72">
        <v>638</v>
      </c>
      <c r="C350" s="189" t="s">
        <v>573</v>
      </c>
    </row>
    <row r="351" spans="1:3" x14ac:dyDescent="0.35">
      <c r="A351" s="72" t="s">
        <v>360</v>
      </c>
      <c r="B351" s="72">
        <v>1892</v>
      </c>
      <c r="C351" s="189" t="s">
        <v>716</v>
      </c>
    </row>
    <row r="352" spans="1:3" x14ac:dyDescent="0.35">
      <c r="A352" s="72" t="s">
        <v>361</v>
      </c>
      <c r="B352" s="72">
        <v>879</v>
      </c>
      <c r="C352" s="189" t="s">
        <v>633</v>
      </c>
    </row>
    <row r="353" spans="1:3" x14ac:dyDescent="0.35">
      <c r="A353" s="72" t="s">
        <v>362</v>
      </c>
      <c r="B353" s="72">
        <v>301</v>
      </c>
      <c r="C353" s="189" t="s">
        <v>469</v>
      </c>
    </row>
    <row r="354" spans="1:3" x14ac:dyDescent="0.35">
      <c r="A354" s="72" t="s">
        <v>363</v>
      </c>
      <c r="B354" s="72">
        <v>1896</v>
      </c>
      <c r="C354" s="189" t="s">
        <v>719</v>
      </c>
    </row>
    <row r="355" spans="1:3" x14ac:dyDescent="0.35">
      <c r="A355" s="72" t="s">
        <v>364</v>
      </c>
      <c r="B355" s="72">
        <v>642</v>
      </c>
      <c r="C355" s="189" t="s">
        <v>574</v>
      </c>
    </row>
    <row r="356" spans="1:3" x14ac:dyDescent="0.35">
      <c r="A356" s="72" t="s">
        <v>365</v>
      </c>
      <c r="B356" s="72">
        <v>193</v>
      </c>
      <c r="C356" s="189" t="s">
        <v>430</v>
      </c>
    </row>
  </sheetData>
  <sortState xmlns:xlrd2="http://schemas.microsoft.com/office/spreadsheetml/2017/richdata2" ref="E1:F356">
    <sortCondition ref="F1:F356"/>
  </sortState>
  <phoneticPr fontId="17"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5B671-EDAA-4188-B3C1-513F7D7B1D05}">
  <sheetPr codeName="Blad16">
    <tabColor rgb="FFFFFF00"/>
  </sheetPr>
  <dimension ref="A1:L49"/>
  <sheetViews>
    <sheetView topLeftCell="A28" workbookViewId="0">
      <selection activeCell="Q42" sqref="Q42"/>
    </sheetView>
  </sheetViews>
  <sheetFormatPr defaultRowHeight="14.5" x14ac:dyDescent="0.35"/>
  <cols>
    <col min="1" max="1" width="56.6328125" bestFit="1" customWidth="1"/>
    <col min="2" max="7" width="14" bestFit="1" customWidth="1"/>
    <col min="8" max="8" width="19.36328125" customWidth="1"/>
    <col min="9" max="11" width="15.90625" bestFit="1" customWidth="1"/>
    <col min="12" max="12" width="12.90625" customWidth="1"/>
  </cols>
  <sheetData>
    <row r="1" spans="1:12" x14ac:dyDescent="0.35">
      <c r="A1" s="1" t="s">
        <v>1048</v>
      </c>
    </row>
    <row r="2" spans="1:12" x14ac:dyDescent="0.35">
      <c r="A2" s="202" t="s">
        <v>1049</v>
      </c>
      <c r="B2" s="203">
        <v>2017</v>
      </c>
      <c r="C2" s="203">
        <v>2018</v>
      </c>
      <c r="D2" s="203">
        <v>2019</v>
      </c>
      <c r="E2" s="203">
        <v>2020</v>
      </c>
      <c r="F2" s="203">
        <v>2021</v>
      </c>
      <c r="G2" s="203">
        <v>2022</v>
      </c>
      <c r="H2" s="203">
        <v>2023</v>
      </c>
      <c r="I2" s="203">
        <v>2024</v>
      </c>
      <c r="J2" s="203">
        <v>2025</v>
      </c>
      <c r="K2" s="203">
        <v>2026</v>
      </c>
      <c r="L2" s="203">
        <v>2027</v>
      </c>
    </row>
    <row r="3" spans="1:12" x14ac:dyDescent="0.35">
      <c r="A3" s="130" t="s">
        <v>1099</v>
      </c>
      <c r="B3" s="132" t="e">
        <f>+'2 Cijfers'!B14</f>
        <v>#N/A</v>
      </c>
      <c r="C3" s="132" t="e">
        <f>+'2 Cijfers'!C14</f>
        <v>#N/A</v>
      </c>
      <c r="D3" s="132"/>
      <c r="E3" s="132"/>
      <c r="F3" s="132"/>
      <c r="G3" s="132"/>
      <c r="H3" s="132"/>
      <c r="I3" s="132"/>
      <c r="J3" s="132"/>
      <c r="K3" s="132"/>
      <c r="L3" s="132"/>
    </row>
    <row r="4" spans="1:12" x14ac:dyDescent="0.35">
      <c r="A4" s="130" t="s">
        <v>1100</v>
      </c>
      <c r="B4" s="132"/>
      <c r="C4" s="132"/>
      <c r="D4" s="132" t="e">
        <f>+'2 Cijfers'!D16</f>
        <v>#N/A</v>
      </c>
      <c r="E4" s="132" t="e">
        <f>+'2 Cijfers'!E16</f>
        <v>#N/A</v>
      </c>
      <c r="F4" s="132" t="e">
        <f>+'2 Cijfers'!F16</f>
        <v>#N/A</v>
      </c>
      <c r="G4" s="132" t="e">
        <f>+'2 Cijfers'!G16</f>
        <v>#N/A</v>
      </c>
      <c r="H4" s="132" t="str">
        <f>+'2 Cijfers'!H16</f>
        <v>Per 2023 is de klassieke doelgroep niet meer traceerbaar in de AU (opgegaan in cluster Participatie)</v>
      </c>
      <c r="I4" s="132">
        <f>+'2 Cijfers'!I16</f>
        <v>0</v>
      </c>
      <c r="J4" s="132">
        <f>+'2 Cijfers'!J16</f>
        <v>0</v>
      </c>
      <c r="K4" s="132">
        <f>+'2 Cijfers'!K16</f>
        <v>0</v>
      </c>
      <c r="L4" s="132">
        <f>+'2 Cijfers'!L16</f>
        <v>0</v>
      </c>
    </row>
    <row r="5" spans="1:12" x14ac:dyDescent="0.35">
      <c r="A5" s="130" t="s">
        <v>1101</v>
      </c>
      <c r="B5" s="132"/>
      <c r="C5" s="132"/>
      <c r="D5" s="132" t="e">
        <f>+'2 Cijfers'!D17</f>
        <v>#N/A</v>
      </c>
      <c r="E5" s="132"/>
      <c r="F5" s="132"/>
      <c r="G5" s="132"/>
      <c r="H5" s="132"/>
      <c r="I5" s="132"/>
      <c r="J5" s="132"/>
      <c r="K5" s="132"/>
      <c r="L5" s="132"/>
    </row>
    <row r="6" spans="1:12" x14ac:dyDescent="0.35">
      <c r="A6" s="69" t="s">
        <v>379</v>
      </c>
      <c r="B6" s="195" t="e">
        <f>SUM(B3:B5)</f>
        <v>#N/A</v>
      </c>
      <c r="C6" s="195" t="e">
        <f t="shared" ref="C6:J6" si="0">SUM(C3:C5)</f>
        <v>#N/A</v>
      </c>
      <c r="D6" s="195" t="e">
        <f t="shared" si="0"/>
        <v>#N/A</v>
      </c>
      <c r="E6" s="195" t="e">
        <f t="shared" si="0"/>
        <v>#N/A</v>
      </c>
      <c r="F6" s="195" t="e">
        <f t="shared" si="0"/>
        <v>#N/A</v>
      </c>
      <c r="G6" s="195" t="e">
        <f t="shared" si="0"/>
        <v>#N/A</v>
      </c>
      <c r="H6" s="195">
        <f t="shared" si="0"/>
        <v>0</v>
      </c>
      <c r="I6" s="195">
        <f t="shared" si="0"/>
        <v>0</v>
      </c>
      <c r="J6" s="195">
        <f t="shared" si="0"/>
        <v>0</v>
      </c>
      <c r="K6" s="195">
        <f t="shared" ref="K6:L6" si="1">SUM(K3:K5)</f>
        <v>0</v>
      </c>
      <c r="L6" s="195">
        <f t="shared" si="1"/>
        <v>0</v>
      </c>
    </row>
    <row r="8" spans="1:12" x14ac:dyDescent="0.35">
      <c r="A8" s="202" t="s">
        <v>1088</v>
      </c>
      <c r="B8" s="203">
        <v>2017</v>
      </c>
      <c r="C8" s="203">
        <v>2018</v>
      </c>
      <c r="D8" s="203">
        <v>2019</v>
      </c>
      <c r="E8" s="203">
        <v>2020</v>
      </c>
      <c r="F8" s="203">
        <v>2021</v>
      </c>
      <c r="G8" s="203">
        <v>2022</v>
      </c>
      <c r="H8" s="203">
        <v>2023</v>
      </c>
      <c r="I8" s="203">
        <v>2024</v>
      </c>
      <c r="J8" s="203">
        <v>2025</v>
      </c>
      <c r="K8" s="203">
        <v>2026</v>
      </c>
      <c r="L8" s="203">
        <v>2027</v>
      </c>
    </row>
    <row r="9" spans="1:12" x14ac:dyDescent="0.35">
      <c r="A9" s="130" t="s">
        <v>1102</v>
      </c>
      <c r="B9" s="132" t="e">
        <f>+'2 Cijfers'!B11</f>
        <v>#N/A</v>
      </c>
      <c r="C9" s="132" t="e">
        <f>+'2 Cijfers'!C11</f>
        <v>#N/A</v>
      </c>
      <c r="D9" s="132" t="e">
        <f>+'2 Cijfers'!D11</f>
        <v>#N/A</v>
      </c>
      <c r="E9" s="132" t="e">
        <f>+'2 Cijfers'!E11</f>
        <v>#N/A</v>
      </c>
      <c r="F9" s="132" t="e">
        <f>+'2 Cijfers'!F11</f>
        <v>#N/A</v>
      </c>
      <c r="G9" s="132" t="e">
        <f>+'2 Cijfers'!G11</f>
        <v>#N/A</v>
      </c>
      <c r="H9" s="132" t="str">
        <f>+'2 Cijfers'!H11</f>
        <v>Per 2023 is 'nieuw wajong' niet meer traceerbaar in de AU (opgegaan in cluster Participatie)</v>
      </c>
      <c r="I9" s="132">
        <f>+'2 Cijfers'!I11</f>
        <v>0</v>
      </c>
      <c r="J9" s="132">
        <f>+'2 Cijfers'!J11</f>
        <v>0</v>
      </c>
      <c r="K9" s="132">
        <f>+'2 Cijfers'!K11</f>
        <v>0</v>
      </c>
      <c r="L9" s="132">
        <f>+'2 Cijfers'!L11</f>
        <v>0</v>
      </c>
    </row>
    <row r="10" spans="1:12" x14ac:dyDescent="0.35">
      <c r="A10" s="130" t="s">
        <v>1103</v>
      </c>
      <c r="B10" s="132" t="e">
        <f>+'2 Cijfers'!B12</f>
        <v>#N/A</v>
      </c>
      <c r="C10" s="132" t="e">
        <f>+'2 Cijfers'!C12</f>
        <v>#N/A</v>
      </c>
      <c r="D10" s="132" t="e">
        <f>+'2 Cijfers'!D12</f>
        <v>#N/A</v>
      </c>
      <c r="E10" s="132" t="e">
        <f>+'2 Cijfers'!E12</f>
        <v>#N/A</v>
      </c>
      <c r="F10" s="132" t="e">
        <f>+'2 Cijfers'!F12</f>
        <v>#N/A</v>
      </c>
      <c r="G10" s="132" t="e">
        <f>+'2 Cijfers'!G12</f>
        <v>#N/A</v>
      </c>
      <c r="H10" s="132" t="e">
        <f>+'2 Cijfers'!H12</f>
        <v>#N/A</v>
      </c>
      <c r="I10" s="132" t="e">
        <f>+'2 Cijfers'!I12</f>
        <v>#N/A</v>
      </c>
      <c r="J10" s="132" t="e">
        <f>+'2 Cijfers'!J12</f>
        <v>#N/A</v>
      </c>
      <c r="K10" s="132" t="e">
        <f>+'2 Cijfers'!K12</f>
        <v>#N/A</v>
      </c>
      <c r="L10" s="132" t="e">
        <f>+'2 Cijfers'!L12</f>
        <v>#N/A</v>
      </c>
    </row>
    <row r="11" spans="1:12" x14ac:dyDescent="0.35">
      <c r="A11" s="130" t="s">
        <v>1090</v>
      </c>
      <c r="B11" s="132" t="e">
        <f>+'2 Cijfers'!B13</f>
        <v>#N/A</v>
      </c>
      <c r="C11" s="132" t="e">
        <f>+'2 Cijfers'!C13</f>
        <v>#N/A</v>
      </c>
      <c r="D11" s="132" t="e">
        <f>+'2 Cijfers'!D13</f>
        <v>#N/A</v>
      </c>
      <c r="E11" s="132" t="e">
        <f>+'2 Cijfers'!E13</f>
        <v>#N/A</v>
      </c>
      <c r="F11" s="132" t="str">
        <f>+'2 Cijfers'!F13</f>
        <v>Deze regeling liep tot en met 2019</v>
      </c>
      <c r="G11" s="132">
        <f>+'2 Cijfers'!G13</f>
        <v>0</v>
      </c>
      <c r="H11" s="132">
        <f>+'2 Cijfers'!H13</f>
        <v>0</v>
      </c>
      <c r="I11" s="132">
        <f>+'2 Cijfers'!I13</f>
        <v>0</v>
      </c>
      <c r="J11" s="132">
        <f>+'2 Cijfers'!J13</f>
        <v>0</v>
      </c>
      <c r="K11" s="132">
        <f>+'2 Cijfers'!K13</f>
        <v>0</v>
      </c>
      <c r="L11" s="132">
        <f>+'2 Cijfers'!L13</f>
        <v>0</v>
      </c>
    </row>
    <row r="12" spans="1:12" x14ac:dyDescent="0.35">
      <c r="A12" s="69" t="s">
        <v>1093</v>
      </c>
      <c r="B12" s="319" t="e">
        <f>SUM(B9:B11)</f>
        <v>#N/A</v>
      </c>
      <c r="C12" s="319" t="e">
        <f t="shared" ref="C12:J12" si="2">SUM(C9:C11)</f>
        <v>#N/A</v>
      </c>
      <c r="D12" s="319" t="e">
        <f t="shared" si="2"/>
        <v>#N/A</v>
      </c>
      <c r="E12" s="319" t="e">
        <f t="shared" si="2"/>
        <v>#N/A</v>
      </c>
      <c r="F12" s="319" t="e">
        <f t="shared" si="2"/>
        <v>#N/A</v>
      </c>
      <c r="G12" s="319" t="e">
        <f t="shared" si="2"/>
        <v>#N/A</v>
      </c>
      <c r="H12" s="319" t="e">
        <f t="shared" si="2"/>
        <v>#N/A</v>
      </c>
      <c r="I12" s="319" t="e">
        <f t="shared" si="2"/>
        <v>#N/A</v>
      </c>
      <c r="J12" s="319" t="e">
        <f t="shared" si="2"/>
        <v>#N/A</v>
      </c>
      <c r="K12" s="319" t="e">
        <f t="shared" ref="K12:L12" si="3">SUM(K9:K11)</f>
        <v>#N/A</v>
      </c>
      <c r="L12" s="319" t="e">
        <f t="shared" si="3"/>
        <v>#N/A</v>
      </c>
    </row>
    <row r="14" spans="1:12" x14ac:dyDescent="0.35">
      <c r="A14" s="203" t="s">
        <v>1091</v>
      </c>
      <c r="B14" s="203">
        <v>2017</v>
      </c>
      <c r="C14" s="203">
        <v>2018</v>
      </c>
      <c r="D14" s="203">
        <v>2019</v>
      </c>
      <c r="E14" s="203">
        <v>2020</v>
      </c>
      <c r="F14" s="203">
        <v>2021</v>
      </c>
      <c r="G14" s="203">
        <v>2022</v>
      </c>
      <c r="H14" s="203">
        <v>2023</v>
      </c>
      <c r="I14" s="203">
        <v>2024</v>
      </c>
      <c r="J14" s="203">
        <v>2025</v>
      </c>
      <c r="K14" s="203">
        <v>2026</v>
      </c>
      <c r="L14" s="203">
        <v>2027</v>
      </c>
    </row>
    <row r="15" spans="1:12" x14ac:dyDescent="0.35">
      <c r="A15" s="130" t="s">
        <v>1116</v>
      </c>
      <c r="B15" s="260" t="e">
        <f>+B6</f>
        <v>#N/A</v>
      </c>
      <c r="C15" s="260" t="e">
        <f t="shared" ref="C15:I15" si="4">+C6</f>
        <v>#N/A</v>
      </c>
      <c r="D15" s="260" t="e">
        <f t="shared" si="4"/>
        <v>#N/A</v>
      </c>
      <c r="E15" s="260" t="e">
        <f t="shared" si="4"/>
        <v>#N/A</v>
      </c>
      <c r="F15" s="260" t="e">
        <f t="shared" si="4"/>
        <v>#N/A</v>
      </c>
      <c r="G15" s="260" t="e">
        <f t="shared" si="4"/>
        <v>#N/A</v>
      </c>
      <c r="H15" s="260">
        <f t="shared" si="4"/>
        <v>0</v>
      </c>
      <c r="I15" s="260">
        <f t="shared" si="4"/>
        <v>0</v>
      </c>
      <c r="J15" s="260">
        <f t="shared" ref="J15:K15" si="5">+J6</f>
        <v>0</v>
      </c>
      <c r="K15" s="260">
        <f t="shared" si="5"/>
        <v>0</v>
      </c>
      <c r="L15" s="260">
        <f t="shared" ref="L15" si="6">+L6</f>
        <v>0</v>
      </c>
    </row>
    <row r="16" spans="1:12" x14ac:dyDescent="0.35">
      <c r="A16" s="130" t="s">
        <v>1092</v>
      </c>
      <c r="B16" s="260" t="e">
        <f>+B12</f>
        <v>#N/A</v>
      </c>
      <c r="C16" s="260" t="e">
        <f t="shared" ref="C16:I16" si="7">+C12</f>
        <v>#N/A</v>
      </c>
      <c r="D16" s="260" t="e">
        <f t="shared" si="7"/>
        <v>#N/A</v>
      </c>
      <c r="E16" s="260" t="e">
        <f t="shared" si="7"/>
        <v>#N/A</v>
      </c>
      <c r="F16" s="260" t="e">
        <f t="shared" si="7"/>
        <v>#N/A</v>
      </c>
      <c r="G16" s="260" t="e">
        <f t="shared" si="7"/>
        <v>#N/A</v>
      </c>
      <c r="H16" s="260" t="e">
        <f t="shared" si="7"/>
        <v>#N/A</v>
      </c>
      <c r="I16" s="260" t="e">
        <f t="shared" si="7"/>
        <v>#N/A</v>
      </c>
      <c r="J16" s="260" t="e">
        <f t="shared" ref="J16:K16" si="8">+J12</f>
        <v>#N/A</v>
      </c>
      <c r="K16" s="260" t="e">
        <f t="shared" si="8"/>
        <v>#N/A</v>
      </c>
      <c r="L16" s="260" t="e">
        <f t="shared" ref="L16" si="9">+L12</f>
        <v>#N/A</v>
      </c>
    </row>
    <row r="17" spans="1:12" x14ac:dyDescent="0.35">
      <c r="A17" s="130" t="s">
        <v>1115</v>
      </c>
      <c r="B17" s="260" t="e">
        <f>+'2 Cijfers'!B39</f>
        <v>#N/A</v>
      </c>
      <c r="C17" s="260" t="e">
        <f>+'2 Cijfers'!C39</f>
        <v>#N/A</v>
      </c>
      <c r="D17" s="260" t="e">
        <f>+'2 Cijfers'!D39</f>
        <v>#N/A</v>
      </c>
      <c r="E17" s="260" t="e">
        <f>+'2 Cijfers'!E39</f>
        <v>#N/A</v>
      </c>
      <c r="F17" s="260" t="e">
        <f>+'2 Cijfers'!F39</f>
        <v>#N/A</v>
      </c>
      <c r="G17" s="260" t="e">
        <f>+'2 Cijfers'!G39</f>
        <v>#N/A</v>
      </c>
      <c r="H17" s="260" t="e">
        <f>+'2 Cijfers'!H39</f>
        <v>#N/A</v>
      </c>
      <c r="I17" s="260" t="e">
        <f>+'2 Cijfers'!I39</f>
        <v>#N/A</v>
      </c>
      <c r="J17" s="260" t="e">
        <f>+'2 Cijfers'!J39</f>
        <v>#N/A</v>
      </c>
      <c r="K17" s="260" t="e">
        <f>+'2 Cijfers'!K39</f>
        <v>#N/A</v>
      </c>
      <c r="L17" s="260" t="e">
        <f>+'2 Cijfers'!L39</f>
        <v>#N/A</v>
      </c>
    </row>
    <row r="18" spans="1:12" x14ac:dyDescent="0.35">
      <c r="A18" s="69" t="s">
        <v>379</v>
      </c>
      <c r="B18" s="195" t="e">
        <f>SUM(B15:B17)</f>
        <v>#N/A</v>
      </c>
      <c r="C18" s="195" t="e">
        <f t="shared" ref="C18:I18" si="10">SUM(C15:C17)</f>
        <v>#N/A</v>
      </c>
      <c r="D18" s="195" t="e">
        <f t="shared" si="10"/>
        <v>#N/A</v>
      </c>
      <c r="E18" s="195" t="e">
        <f t="shared" si="10"/>
        <v>#N/A</v>
      </c>
      <c r="F18" s="195" t="e">
        <f t="shared" si="10"/>
        <v>#N/A</v>
      </c>
      <c r="G18" s="195" t="e">
        <f t="shared" si="10"/>
        <v>#N/A</v>
      </c>
      <c r="H18" s="195" t="e">
        <f t="shared" si="10"/>
        <v>#N/A</v>
      </c>
      <c r="I18" s="195" t="e">
        <f t="shared" si="10"/>
        <v>#N/A</v>
      </c>
      <c r="J18" s="195" t="e">
        <f t="shared" ref="J18:K18" si="11">SUM(J15:J17)</f>
        <v>#N/A</v>
      </c>
      <c r="K18" s="195" t="e">
        <f t="shared" si="11"/>
        <v>#N/A</v>
      </c>
      <c r="L18" s="195" t="e">
        <f t="shared" ref="L18" si="12">SUM(L15:L17)</f>
        <v>#N/A</v>
      </c>
    </row>
    <row r="21" spans="1:12" x14ac:dyDescent="0.35">
      <c r="A21" s="1" t="s">
        <v>1255</v>
      </c>
    </row>
    <row r="22" spans="1:12" x14ac:dyDescent="0.35">
      <c r="A22" s="202" t="s">
        <v>4</v>
      </c>
      <c r="B22" s="203">
        <v>2018</v>
      </c>
      <c r="C22" s="203">
        <v>2019</v>
      </c>
      <c r="D22" s="203">
        <v>2020</v>
      </c>
      <c r="E22" s="203">
        <v>2021</v>
      </c>
      <c r="F22" s="203">
        <v>2022</v>
      </c>
      <c r="G22" s="203">
        <v>2023</v>
      </c>
      <c r="H22" s="203">
        <v>2024</v>
      </c>
      <c r="I22" s="203">
        <v>2025</v>
      </c>
      <c r="J22" s="203">
        <v>2026</v>
      </c>
    </row>
    <row r="23" spans="1:12" x14ac:dyDescent="0.35">
      <c r="A23" s="130" t="s">
        <v>2</v>
      </c>
      <c r="B23" s="328">
        <f>(+'2 Cijfers'!C45-'2 Cijfers'!B45)/'2 Cijfers'!B45</f>
        <v>0.36973892677550457</v>
      </c>
      <c r="C23" s="328">
        <f>(+'2 Cijfers'!D45-'2 Cijfers'!C45)/'2 Cijfers'!C45</f>
        <v>0.27815635293821822</v>
      </c>
      <c r="D23" s="328">
        <f>(+'2 Cijfers'!E45-'2 Cijfers'!D45)/'2 Cijfers'!D45</f>
        <v>-1.0249650803643446E-2</v>
      </c>
      <c r="E23" s="328">
        <f>(+'2 Cijfers'!F45-'2 Cijfers'!E45)/'2 Cijfers'!E45</f>
        <v>6.8972371297952697E-3</v>
      </c>
      <c r="F23" s="328">
        <f>(+'2 Cijfers'!G45-'2 Cijfers'!F45)/'2 Cijfers'!F45</f>
        <v>8.8615591132518698E-2</v>
      </c>
      <c r="G23" s="328">
        <f>(+'2 Cijfers'!H45-'2 Cijfers'!G45)/'2 Cijfers'!G45</f>
        <v>-1</v>
      </c>
      <c r="H23" s="328" t="e">
        <f>(+'2 Cijfers'!I45-'2 Cijfers'!H45)/'2 Cijfers'!H45</f>
        <v>#DIV/0!</v>
      </c>
      <c r="I23" s="328" t="e">
        <f>(+'2 Cijfers'!J45-'2 Cijfers'!I45)/'2 Cijfers'!I45</f>
        <v>#DIV/0!</v>
      </c>
      <c r="J23" s="328" t="e">
        <f>(+'2 Cijfers'!K45-'2 Cijfers'!J45)/'2 Cijfers'!J45</f>
        <v>#DIV/0!</v>
      </c>
    </row>
    <row r="24" spans="1:12" x14ac:dyDescent="0.35">
      <c r="A24" s="130" t="s">
        <v>3</v>
      </c>
      <c r="B24" s="328">
        <f>(+'2 Cijfers'!C46-'2 Cijfers'!B46)/'2 Cijfers'!B46</f>
        <v>0.37057498479093703</v>
      </c>
      <c r="C24" s="328">
        <f>(+'2 Cijfers'!D46-'2 Cijfers'!C46)/'2 Cijfers'!C46</f>
        <v>0.14721019230538526</v>
      </c>
      <c r="D24" s="328">
        <f>(+'2 Cijfers'!E46-'2 Cijfers'!D46)/'2 Cijfers'!D46</f>
        <v>8.5309741916593462E-2</v>
      </c>
      <c r="E24" s="328">
        <f>(+'2 Cijfers'!F46-'2 Cijfers'!E46)/'2 Cijfers'!E46</f>
        <v>2.197791609658321E-2</v>
      </c>
      <c r="F24" s="328">
        <f>(+'2 Cijfers'!G46-'2 Cijfers'!F46)/'2 Cijfers'!F46</f>
        <v>0.15337475369342035</v>
      </c>
      <c r="G24" s="328">
        <f>(+'2 Cijfers'!H46-'2 Cijfers'!G46)/'2 Cijfers'!G46</f>
        <v>-0.34412882658274413</v>
      </c>
      <c r="H24" s="328">
        <f>(+'2 Cijfers'!I46-'2 Cijfers'!H46)/'2 Cijfers'!H46</f>
        <v>8.9124582481679052E-2</v>
      </c>
      <c r="I24" s="328">
        <f>(+'2 Cijfers'!J46-'2 Cijfers'!I46)/'2 Cijfers'!I46</f>
        <v>8.2106034078295392E-2</v>
      </c>
      <c r="J24" s="328">
        <f>(+'2 Cijfers'!K46-'2 Cijfers'!J46)/'2 Cijfers'!J46</f>
        <v>7.6489498953067822E-2</v>
      </c>
    </row>
    <row r="25" spans="1:12" x14ac:dyDescent="0.35">
      <c r="A25" s="130" t="s">
        <v>992</v>
      </c>
      <c r="B25" s="328">
        <f>(+'2 Cijfers'!C47-'2 Cijfers'!B47)/'2 Cijfers'!B47</f>
        <v>-2.2415349541747634E-2</v>
      </c>
      <c r="C25" s="328">
        <f>(+'2 Cijfers'!D47-'2 Cijfers'!C47)/'2 Cijfers'!C47</f>
        <v>1.3438693420146497E-2</v>
      </c>
      <c r="D25" s="328">
        <f>(+'2 Cijfers'!E47-'2 Cijfers'!D47)/'2 Cijfers'!D47</f>
        <v>4.6132759336299844E-2</v>
      </c>
      <c r="E25" s="328">
        <f>(+'2 Cijfers'!F47-'2 Cijfers'!E47)/'2 Cijfers'!E47</f>
        <v>0.30265804518160111</v>
      </c>
      <c r="F25" s="328">
        <f>(+'2 Cijfers'!G47-'2 Cijfers'!F47)/'2 Cijfers'!F47</f>
        <v>-5.1832166286780383E-2</v>
      </c>
      <c r="G25" s="328">
        <f>(+'2 Cijfers'!H47-'2 Cijfers'!G47)/'2 Cijfers'!G47</f>
        <v>-1</v>
      </c>
      <c r="H25" s="328" t="e">
        <f>(+'2 Cijfers'!I47-'2 Cijfers'!H47)/'2 Cijfers'!H47</f>
        <v>#DIV/0!</v>
      </c>
      <c r="I25" s="328" t="e">
        <f>(+'2 Cijfers'!J47-'2 Cijfers'!I47)/'2 Cijfers'!I47</f>
        <v>#DIV/0!</v>
      </c>
      <c r="J25" s="328" t="e">
        <f>(+'2 Cijfers'!K47-'2 Cijfers'!J47)/'2 Cijfers'!J47</f>
        <v>#DIV/0!</v>
      </c>
    </row>
    <row r="26" spans="1:12" x14ac:dyDescent="0.35">
      <c r="B26" s="329"/>
      <c r="C26" s="329"/>
      <c r="D26" s="329"/>
      <c r="E26" s="329"/>
      <c r="F26" s="329"/>
      <c r="G26" s="329"/>
      <c r="H26" s="329"/>
      <c r="I26" s="329"/>
      <c r="J26" s="329"/>
    </row>
    <row r="27" spans="1:12" x14ac:dyDescent="0.35">
      <c r="A27" s="202" t="s">
        <v>993</v>
      </c>
      <c r="B27" s="203">
        <v>2018</v>
      </c>
      <c r="C27" s="203">
        <v>2019</v>
      </c>
      <c r="D27" s="203">
        <v>2020</v>
      </c>
      <c r="E27" s="203">
        <v>2021</v>
      </c>
      <c r="F27" s="203">
        <v>2022</v>
      </c>
      <c r="G27" s="203">
        <v>2023</v>
      </c>
      <c r="H27" s="203">
        <v>2024</v>
      </c>
      <c r="I27" s="203">
        <v>2025</v>
      </c>
      <c r="J27" s="203">
        <v>2026</v>
      </c>
      <c r="K27" s="203">
        <v>2027</v>
      </c>
    </row>
    <row r="28" spans="1:12" x14ac:dyDescent="0.35">
      <c r="A28" s="197" t="s">
        <v>2</v>
      </c>
      <c r="B28" s="328" t="e">
        <f>(+'2 Cijfers'!C22-'2 Cijfers'!B22)/'2 Cijfers'!B22</f>
        <v>#N/A</v>
      </c>
      <c r="C28" s="328" t="e">
        <f>(+'2 Cijfers'!D22-'2 Cijfers'!C22)/'2 Cijfers'!C22</f>
        <v>#N/A</v>
      </c>
      <c r="D28" s="328" t="e">
        <f>(+'2 Cijfers'!E22-'2 Cijfers'!D22)/'2 Cijfers'!D22</f>
        <v>#N/A</v>
      </c>
      <c r="E28" s="328" t="e">
        <f>(+'2 Cijfers'!F22-'2 Cijfers'!E22)/'2 Cijfers'!E22</f>
        <v>#N/A</v>
      </c>
      <c r="F28" s="328" t="e">
        <f>(+'2 Cijfers'!G22-'2 Cijfers'!F22)/'2 Cijfers'!F22</f>
        <v>#N/A</v>
      </c>
      <c r="G28" s="328" t="e">
        <f>(+'2 Cijfers'!H22-'2 Cijfers'!G22)/'2 Cijfers'!G22</f>
        <v>#N/A</v>
      </c>
      <c r="H28" s="328" t="e">
        <f>(+'2 Cijfers'!I22-'2 Cijfers'!H22)/'2 Cijfers'!H22</f>
        <v>#N/A</v>
      </c>
      <c r="I28" s="328" t="e">
        <f>(+'2 Cijfers'!J22-'2 Cijfers'!I22)/'2 Cijfers'!I22</f>
        <v>#N/A</v>
      </c>
      <c r="J28" s="328" t="e">
        <f>(+'2 Cijfers'!K22-'2 Cijfers'!J22)/'2 Cijfers'!J22</f>
        <v>#N/A</v>
      </c>
      <c r="K28" s="328" t="e">
        <f>(+'2 Cijfers'!L22-'2 Cijfers'!K22)/'2 Cijfers'!K22</f>
        <v>#N/A</v>
      </c>
    </row>
    <row r="29" spans="1:12" x14ac:dyDescent="0.35">
      <c r="A29" s="131" t="s">
        <v>990</v>
      </c>
      <c r="B29" s="328" t="e">
        <f>(+'2 Cijfers'!C23-'2 Cijfers'!B23)/'2 Cijfers'!B23</f>
        <v>#N/A</v>
      </c>
      <c r="C29" s="328" t="e">
        <f>(+'2 Cijfers'!D23-'2 Cijfers'!C23)/'2 Cijfers'!C23</f>
        <v>#N/A</v>
      </c>
      <c r="D29" s="328" t="e">
        <f>(+'2 Cijfers'!E23-'2 Cijfers'!D23)/'2 Cijfers'!D23</f>
        <v>#N/A</v>
      </c>
      <c r="E29" s="328" t="e">
        <f>(+'2 Cijfers'!F23-'2 Cijfers'!E23)/'2 Cijfers'!E23</f>
        <v>#N/A</v>
      </c>
      <c r="F29" s="328" t="e">
        <f>(+'2 Cijfers'!G23-'2 Cijfers'!F23)/'2 Cijfers'!F23</f>
        <v>#N/A</v>
      </c>
      <c r="G29" s="328" t="e">
        <f>(+'2 Cijfers'!H23-'2 Cijfers'!G23)/'2 Cijfers'!G23</f>
        <v>#N/A</v>
      </c>
      <c r="H29" s="328" t="e">
        <f>(+'2 Cijfers'!I23-'2 Cijfers'!H23)/'2 Cijfers'!H23</f>
        <v>#N/A</v>
      </c>
      <c r="I29" s="328" t="e">
        <f>(+'2 Cijfers'!J23-'2 Cijfers'!I23)/'2 Cijfers'!I23</f>
        <v>#N/A</v>
      </c>
      <c r="J29" s="328" t="e">
        <f>(+'2 Cijfers'!K23-'2 Cijfers'!J23)/'2 Cijfers'!J23</f>
        <v>#N/A</v>
      </c>
      <c r="K29" s="328" t="e">
        <f>(+'2 Cijfers'!L23-'2 Cijfers'!K23)/'2 Cijfers'!K23</f>
        <v>#N/A</v>
      </c>
    </row>
    <row r="30" spans="1:12" x14ac:dyDescent="0.35">
      <c r="A30" s="131" t="s">
        <v>991</v>
      </c>
      <c r="B30" s="328">
        <f>(+'2 Cijfers'!C25-'2 Cijfers'!B25)/'2 Cijfers'!B25</f>
        <v>0</v>
      </c>
      <c r="C30" s="328">
        <f>(+'2 Cijfers'!D25-'2 Cijfers'!C25)/'2 Cijfers'!C25</f>
        <v>3.5294117647058823E-2</v>
      </c>
      <c r="D30" s="328">
        <f>(+'2 Cijfers'!E25-'2 Cijfers'!D25)/'2 Cijfers'!D25</f>
        <v>2.2727272727272728E-2</v>
      </c>
      <c r="E30" s="328">
        <f>(+'2 Cijfers'!F25-'2 Cijfers'!E25)/'2 Cijfers'!E25</f>
        <v>-0.13333333333333333</v>
      </c>
      <c r="F30" s="328">
        <f>(+'2 Cijfers'!G25-'2 Cijfers'!F25)/'2 Cijfers'!F25</f>
        <v>3.8461538461538464E-2</v>
      </c>
      <c r="G30" s="328">
        <f>(+'2 Cijfers'!H25-'2 Cijfers'!G25)/'2 Cijfers'!G25</f>
        <v>0</v>
      </c>
      <c r="H30" s="328">
        <f>(+'2 Cijfers'!I25-'2 Cijfers'!H25)/'2 Cijfers'!H25</f>
        <v>0</v>
      </c>
      <c r="I30" s="328">
        <f>(+'2 Cijfers'!J25-'2 Cijfers'!I25)/'2 Cijfers'!I25</f>
        <v>0</v>
      </c>
      <c r="J30" s="328">
        <f>(+'2 Cijfers'!K25-'2 Cijfers'!J25)/'2 Cijfers'!J25</f>
        <v>0</v>
      </c>
      <c r="K30" s="328">
        <f>(+'2 Cijfers'!L25-'2 Cijfers'!K25)/'2 Cijfers'!K25</f>
        <v>0</v>
      </c>
    </row>
    <row r="31" spans="1:12" x14ac:dyDescent="0.35">
      <c r="A31" s="131" t="s">
        <v>992</v>
      </c>
      <c r="B31" s="328" t="e">
        <f>(+'2 Cijfers'!C26-'2 Cijfers'!B26)/'2 Cijfers'!B26</f>
        <v>#N/A</v>
      </c>
      <c r="C31" s="328" t="e">
        <f>(+'2 Cijfers'!D27-'2 Cijfers'!C26)/'2 Cijfers'!C26</f>
        <v>#N/A</v>
      </c>
      <c r="D31" s="328" t="e">
        <f>(+'2 Cijfers'!E26-'2 Cijfers'!D27)/'2 Cijfers'!D27</f>
        <v>#N/A</v>
      </c>
      <c r="E31" s="328" t="e">
        <f>(+'2 Cijfers'!F26-'2 Cijfers'!E26)/'2 Cijfers'!E26</f>
        <v>#N/A</v>
      </c>
      <c r="F31" s="328" t="e">
        <f>(+'2 Cijfers'!G26-'2 Cijfers'!F26)/'2 Cijfers'!F26</f>
        <v>#N/A</v>
      </c>
      <c r="G31" s="328" t="e">
        <f>(+'2 Cijfers'!H26-'2 Cijfers'!G26)/'2 Cijfers'!G26</f>
        <v>#N/A</v>
      </c>
      <c r="H31" s="328" t="e">
        <f>(+'2 Cijfers'!I26-'2 Cijfers'!H26)/'2 Cijfers'!H26</f>
        <v>#DIV/0!</v>
      </c>
      <c r="I31" s="328" t="e">
        <f>(+'2 Cijfers'!J26-'2 Cijfers'!I26)/'2 Cijfers'!I26</f>
        <v>#DIV/0!</v>
      </c>
      <c r="J31" s="328" t="e">
        <f>(+'2 Cijfers'!K26-'2 Cijfers'!J26)/'2 Cijfers'!J26</f>
        <v>#DIV/0!</v>
      </c>
      <c r="K31" s="328" t="e">
        <f>(+'2 Cijfers'!L26-'2 Cijfers'!K26)/'2 Cijfers'!K26</f>
        <v>#DIV/0!</v>
      </c>
    </row>
    <row r="32" spans="1:12" x14ac:dyDescent="0.35">
      <c r="B32" s="329"/>
      <c r="C32" s="329"/>
      <c r="D32" s="329"/>
      <c r="E32" s="329"/>
      <c r="F32" s="329"/>
      <c r="G32" s="329"/>
      <c r="H32" s="329"/>
      <c r="I32" s="329"/>
      <c r="J32" s="329"/>
    </row>
    <row r="33" spans="1:12" x14ac:dyDescent="0.35">
      <c r="A33" s="202" t="s">
        <v>5</v>
      </c>
      <c r="B33" s="203">
        <v>2018</v>
      </c>
      <c r="C33" s="203">
        <v>2019</v>
      </c>
      <c r="D33" s="203">
        <v>2020</v>
      </c>
      <c r="E33" s="203">
        <v>2021</v>
      </c>
      <c r="F33" s="203">
        <v>2022</v>
      </c>
      <c r="G33" s="203">
        <v>2023</v>
      </c>
      <c r="H33" s="203">
        <v>2024</v>
      </c>
      <c r="I33" s="203">
        <v>2025</v>
      </c>
      <c r="J33" s="203">
        <v>2026</v>
      </c>
      <c r="K33" s="203">
        <v>2027</v>
      </c>
    </row>
    <row r="34" spans="1:12" x14ac:dyDescent="0.35">
      <c r="A34" s="130" t="s">
        <v>2</v>
      </c>
      <c r="B34" s="328" t="e">
        <f>(+'2 Cijfers'!C11-'2 Cijfers'!B11)/'2 Cijfers'!B11</f>
        <v>#N/A</v>
      </c>
      <c r="C34" s="328" t="e">
        <f>(+'2 Cijfers'!D11-'2 Cijfers'!C11)/'2 Cijfers'!C11</f>
        <v>#N/A</v>
      </c>
      <c r="D34" s="328" t="e">
        <f>(+'2 Cijfers'!E11-'2 Cijfers'!D11)/'2 Cijfers'!D11</f>
        <v>#N/A</v>
      </c>
      <c r="E34" s="328" t="e">
        <f>(+'2 Cijfers'!F11-'2 Cijfers'!E11)/'2 Cijfers'!E11</f>
        <v>#N/A</v>
      </c>
      <c r="F34" s="328" t="e">
        <f>(+'2 Cijfers'!G11-'2 Cijfers'!F11)/'2 Cijfers'!F11</f>
        <v>#N/A</v>
      </c>
      <c r="G34" s="328" t="e">
        <f>(+'2 Cijfers'!H11-'2 Cijfers'!G11)/'2 Cijfers'!G11</f>
        <v>#VALUE!</v>
      </c>
      <c r="H34" s="328" t="e">
        <f>(+'2 Cijfers'!I11-'2 Cijfers'!H11)/'2 Cijfers'!H11</f>
        <v>#VALUE!</v>
      </c>
      <c r="I34" s="328" t="e">
        <f>(+'2 Cijfers'!J11-'2 Cijfers'!I11)/'2 Cijfers'!I11</f>
        <v>#DIV/0!</v>
      </c>
      <c r="J34" s="328" t="e">
        <f>(+'2 Cijfers'!K11-'2 Cijfers'!J11)/'2 Cijfers'!J11</f>
        <v>#DIV/0!</v>
      </c>
      <c r="K34" s="328" t="e">
        <f>(+'2 Cijfers'!L11-'2 Cijfers'!K11)/'2 Cijfers'!K11</f>
        <v>#DIV/0!</v>
      </c>
    </row>
    <row r="35" spans="1:12" x14ac:dyDescent="0.35">
      <c r="A35" s="130" t="s">
        <v>3</v>
      </c>
      <c r="B35" s="328" t="e">
        <f>(+'2 Cijfers'!C12-'2 Cijfers'!B12)/'2 Cijfers'!B12</f>
        <v>#N/A</v>
      </c>
      <c r="C35" s="328" t="e">
        <f>(+'2 Cijfers'!D12-'2 Cijfers'!C12)/'2 Cijfers'!C12</f>
        <v>#N/A</v>
      </c>
      <c r="D35" s="328" t="e">
        <f>(+'2 Cijfers'!E12-'2 Cijfers'!D12)/'2 Cijfers'!D12</f>
        <v>#N/A</v>
      </c>
      <c r="E35" s="328" t="e">
        <f>(+'2 Cijfers'!F12-'2 Cijfers'!E12)/'2 Cijfers'!E12</f>
        <v>#N/A</v>
      </c>
      <c r="F35" s="328" t="e">
        <f>(+'2 Cijfers'!G12-'2 Cijfers'!F12)/'2 Cijfers'!F12</f>
        <v>#N/A</v>
      </c>
      <c r="G35" s="328" t="e">
        <f>(+'2 Cijfers'!H12-'2 Cijfers'!G12)/'2 Cijfers'!G12</f>
        <v>#N/A</v>
      </c>
      <c r="H35" s="328" t="e">
        <f>(+'2 Cijfers'!I12-'2 Cijfers'!H12)/'2 Cijfers'!H12</f>
        <v>#N/A</v>
      </c>
      <c r="I35" s="328" t="e">
        <f>(+'2 Cijfers'!J12-'2 Cijfers'!I12)/'2 Cijfers'!I12</f>
        <v>#N/A</v>
      </c>
      <c r="J35" s="328" t="e">
        <f>(+'2 Cijfers'!K12-'2 Cijfers'!J12)/'2 Cijfers'!J12</f>
        <v>#N/A</v>
      </c>
      <c r="K35" s="328" t="e">
        <f>(+'2 Cijfers'!L12-'2 Cijfers'!K12)/'2 Cijfers'!K12</f>
        <v>#N/A</v>
      </c>
    </row>
    <row r="36" spans="1:12" x14ac:dyDescent="0.35">
      <c r="A36" s="130" t="s">
        <v>1021</v>
      </c>
      <c r="B36" s="328" t="e">
        <f>(+'2 Cijfers'!C14-'2 Cijfers'!B14)/'2 Cijfers'!B14</f>
        <v>#N/A</v>
      </c>
      <c r="C36" s="328" t="e">
        <f>(+'2 Cijfers'!D16+'2 Cijfers'!D17-'2 Cijfers'!C14)/'2 Cijfers'!C14</f>
        <v>#N/A</v>
      </c>
      <c r="D36" s="328" t="e">
        <f>(+'2 Cijfers'!E16-'2 Cijfers'!D16-'2 Cijfers'!D17)/('2 Cijfers'!D16+'2 Cijfers'!D17)</f>
        <v>#N/A</v>
      </c>
      <c r="E36" s="328" t="e">
        <f>(+'2 Cijfers'!F16-'2 Cijfers'!E16)/'2 Cijfers'!E16</f>
        <v>#N/A</v>
      </c>
      <c r="F36" s="328" t="e">
        <f>(+'2 Cijfers'!G16-'2 Cijfers'!F16)/'2 Cijfers'!F16</f>
        <v>#N/A</v>
      </c>
      <c r="G36" s="328" t="e">
        <f>(+'2 Cijfers'!H16-'2 Cijfers'!G16)/'2 Cijfers'!G16</f>
        <v>#VALUE!</v>
      </c>
      <c r="H36" s="328" t="e">
        <f>(+'2 Cijfers'!I16-'2 Cijfers'!H16)/'2 Cijfers'!H16</f>
        <v>#VALUE!</v>
      </c>
      <c r="I36" s="328" t="e">
        <f>(+'2 Cijfers'!J16-'2 Cijfers'!I16)/'2 Cijfers'!I16</f>
        <v>#DIV/0!</v>
      </c>
      <c r="J36" s="328" t="e">
        <f>(+'2 Cijfers'!K16-'2 Cijfers'!J16)/'2 Cijfers'!J16</f>
        <v>#DIV/0!</v>
      </c>
      <c r="K36" s="328" t="e">
        <f>(+'2 Cijfers'!L16-'2 Cijfers'!K16)/'2 Cijfers'!K16</f>
        <v>#DIV/0!</v>
      </c>
    </row>
    <row r="37" spans="1:12" x14ac:dyDescent="0.35">
      <c r="A37" s="69" t="s">
        <v>1020</v>
      </c>
      <c r="B37" s="330" t="e">
        <f>(+'2 Cijfers'!C19-'2 Cijfers'!B19)/'2 Cijfers'!B19</f>
        <v>#N/A</v>
      </c>
      <c r="C37" s="330" t="e">
        <f>(+'2 Cijfers'!D19-'2 Cijfers'!C19)/'2 Cijfers'!C19</f>
        <v>#N/A</v>
      </c>
      <c r="D37" s="330" t="e">
        <f>(+'2 Cijfers'!E19-'2 Cijfers'!D19)/'2 Cijfers'!D19</f>
        <v>#N/A</v>
      </c>
      <c r="E37" s="330" t="e">
        <f>(+'2 Cijfers'!F19-'2 Cijfers'!E19)/'2 Cijfers'!E19</f>
        <v>#N/A</v>
      </c>
      <c r="F37" s="330" t="e">
        <f>(+'2 Cijfers'!G19-'2 Cijfers'!F19)/'2 Cijfers'!F19</f>
        <v>#N/A</v>
      </c>
      <c r="G37" s="330" t="e">
        <f>(+'2 Cijfers'!H19-'2 Cijfers'!G19)/'2 Cijfers'!G19</f>
        <v>#N/A</v>
      </c>
      <c r="H37" s="330" t="e">
        <f>(+'2 Cijfers'!I19-'2 Cijfers'!H19)/'2 Cijfers'!H19</f>
        <v>#N/A</v>
      </c>
      <c r="I37" s="330" t="e">
        <f>(+'2 Cijfers'!J19-'2 Cijfers'!I19)/'2 Cijfers'!I19</f>
        <v>#N/A</v>
      </c>
      <c r="J37" s="330" t="e">
        <f>(+'2 Cijfers'!K19-'2 Cijfers'!J19)/'2 Cijfers'!J19</f>
        <v>#N/A</v>
      </c>
      <c r="K37" s="330" t="e">
        <f>(+'2 Cijfers'!L19-'2 Cijfers'!K19)/'2 Cijfers'!K19</f>
        <v>#N/A</v>
      </c>
    </row>
    <row r="39" spans="1:12" x14ac:dyDescent="0.35">
      <c r="A39" s="202" t="s">
        <v>1117</v>
      </c>
      <c r="B39" s="203">
        <v>2017</v>
      </c>
      <c r="C39" s="203">
        <v>2018</v>
      </c>
      <c r="D39" s="203">
        <v>2019</v>
      </c>
      <c r="E39" s="203">
        <v>2020</v>
      </c>
      <c r="F39" s="203">
        <v>2021</v>
      </c>
      <c r="G39" s="203">
        <v>2022</v>
      </c>
      <c r="H39" s="203">
        <v>2023</v>
      </c>
      <c r="I39" s="203">
        <v>2024</v>
      </c>
      <c r="J39" s="203">
        <v>2025</v>
      </c>
      <c r="K39" s="203">
        <v>2026</v>
      </c>
      <c r="L39" s="203">
        <v>2027</v>
      </c>
    </row>
    <row r="40" spans="1:12" x14ac:dyDescent="0.35">
      <c r="A40" s="130" t="s">
        <v>1118</v>
      </c>
      <c r="B40" s="260" t="e">
        <f>+B17</f>
        <v>#N/A</v>
      </c>
      <c r="C40" s="260" t="e">
        <f t="shared" ref="C40:I40" si="13">+C17</f>
        <v>#N/A</v>
      </c>
      <c r="D40" s="260" t="e">
        <f t="shared" si="13"/>
        <v>#N/A</v>
      </c>
      <c r="E40" s="260" t="e">
        <f t="shared" si="13"/>
        <v>#N/A</v>
      </c>
      <c r="F40" s="260" t="e">
        <f t="shared" si="13"/>
        <v>#N/A</v>
      </c>
      <c r="G40" s="260" t="e">
        <f t="shared" si="13"/>
        <v>#N/A</v>
      </c>
      <c r="H40" s="260" t="e">
        <f t="shared" si="13"/>
        <v>#N/A</v>
      </c>
      <c r="I40" s="260" t="e">
        <f t="shared" si="13"/>
        <v>#N/A</v>
      </c>
      <c r="J40" s="260" t="e">
        <f t="shared" ref="J40:K40" si="14">+J17</f>
        <v>#N/A</v>
      </c>
      <c r="K40" s="260" t="e">
        <f t="shared" si="14"/>
        <v>#N/A</v>
      </c>
      <c r="L40" s="260" t="e">
        <f t="shared" ref="L40" si="15">+L17</f>
        <v>#N/A</v>
      </c>
    </row>
    <row r="41" spans="1:12" x14ac:dyDescent="0.35">
      <c r="A41" s="130" t="s">
        <v>1119</v>
      </c>
      <c r="B41" s="260" t="e">
        <f>+B10</f>
        <v>#N/A</v>
      </c>
      <c r="C41" s="260" t="e">
        <f t="shared" ref="C41:I41" si="16">+C10</f>
        <v>#N/A</v>
      </c>
      <c r="D41" s="260" t="e">
        <f t="shared" si="16"/>
        <v>#N/A</v>
      </c>
      <c r="E41" s="260" t="e">
        <f t="shared" si="16"/>
        <v>#N/A</v>
      </c>
      <c r="F41" s="260" t="e">
        <f t="shared" si="16"/>
        <v>#N/A</v>
      </c>
      <c r="G41" s="260" t="e">
        <f t="shared" si="16"/>
        <v>#N/A</v>
      </c>
      <c r="H41" s="260" t="e">
        <f t="shared" si="16"/>
        <v>#N/A</v>
      </c>
      <c r="I41" s="260" t="e">
        <f t="shared" si="16"/>
        <v>#N/A</v>
      </c>
      <c r="J41" s="260" t="e">
        <f t="shared" ref="J41:K41" si="17">+J10</f>
        <v>#N/A</v>
      </c>
      <c r="K41" s="260" t="e">
        <f t="shared" si="17"/>
        <v>#N/A</v>
      </c>
      <c r="L41" s="260" t="e">
        <f t="shared" ref="L41" si="18">+L10</f>
        <v>#N/A</v>
      </c>
    </row>
    <row r="42" spans="1:12" x14ac:dyDescent="0.35">
      <c r="A42" s="130" t="s">
        <v>1090</v>
      </c>
      <c r="B42" s="260" t="e">
        <f>+B11</f>
        <v>#N/A</v>
      </c>
      <c r="C42" s="260" t="e">
        <f t="shared" ref="C42:I42" si="19">+C11</f>
        <v>#N/A</v>
      </c>
      <c r="D42" s="260" t="e">
        <f t="shared" si="19"/>
        <v>#N/A</v>
      </c>
      <c r="E42" s="260" t="e">
        <f t="shared" si="19"/>
        <v>#N/A</v>
      </c>
      <c r="F42" s="260" t="str">
        <f t="shared" si="19"/>
        <v>Deze regeling liep tot en met 2019</v>
      </c>
      <c r="G42" s="260">
        <f t="shared" si="19"/>
        <v>0</v>
      </c>
      <c r="H42" s="260">
        <f t="shared" si="19"/>
        <v>0</v>
      </c>
      <c r="I42" s="260">
        <f t="shared" si="19"/>
        <v>0</v>
      </c>
      <c r="J42" s="260">
        <f t="shared" ref="J42:K42" si="20">+J11</f>
        <v>0</v>
      </c>
      <c r="K42" s="260">
        <f t="shared" si="20"/>
        <v>0</v>
      </c>
      <c r="L42" s="260">
        <f t="shared" ref="L42" si="21">+L11</f>
        <v>0</v>
      </c>
    </row>
    <row r="44" spans="1:12" x14ac:dyDescent="0.35">
      <c r="A44" s="202" t="s">
        <v>1120</v>
      </c>
      <c r="B44" s="203">
        <v>2017</v>
      </c>
      <c r="C44" s="203">
        <v>2018</v>
      </c>
      <c r="D44" s="203">
        <v>2019</v>
      </c>
      <c r="E44" s="203">
        <v>2020</v>
      </c>
      <c r="F44" s="203">
        <v>2021</v>
      </c>
      <c r="G44" s="203">
        <v>2022</v>
      </c>
      <c r="H44" s="203">
        <v>2023</v>
      </c>
      <c r="I44" s="203">
        <v>2024</v>
      </c>
      <c r="J44" s="203">
        <v>2025</v>
      </c>
      <c r="K44" s="203">
        <v>2026</v>
      </c>
      <c r="L44" s="203">
        <v>2027</v>
      </c>
    </row>
    <row r="45" spans="1:12" x14ac:dyDescent="0.35">
      <c r="A45" s="130" t="s">
        <v>1121</v>
      </c>
      <c r="B45" s="380" t="e">
        <f>+'2 Cijfers'!B38</f>
        <v>#N/A</v>
      </c>
      <c r="C45" s="380" t="e">
        <f>+'2 Cijfers'!C38</f>
        <v>#N/A</v>
      </c>
      <c r="D45" s="380" t="e">
        <f>+'2 Cijfers'!D38</f>
        <v>#N/A</v>
      </c>
      <c r="E45" s="380" t="e">
        <f>+'2 Cijfers'!E38</f>
        <v>#N/A</v>
      </c>
      <c r="F45" s="380" t="e">
        <f>+'2 Cijfers'!F38</f>
        <v>#N/A</v>
      </c>
      <c r="G45" s="380" t="e">
        <f>+'2 Cijfers'!G38</f>
        <v>#N/A</v>
      </c>
      <c r="H45" s="380" t="e">
        <f>+'2 Cijfers'!H38</f>
        <v>#N/A</v>
      </c>
      <c r="I45" s="380" t="e">
        <f>+'2 Cijfers'!I38</f>
        <v>#N/A</v>
      </c>
      <c r="J45" s="380" t="e">
        <f>+'2 Cijfers'!J38</f>
        <v>#N/A</v>
      </c>
      <c r="K45" s="380" t="e">
        <f>+'2 Cijfers'!K38</f>
        <v>#N/A</v>
      </c>
      <c r="L45" s="380" t="e">
        <f>+'2 Cijfers'!L38</f>
        <v>#N/A</v>
      </c>
    </row>
    <row r="46" spans="1:12" x14ac:dyDescent="0.35">
      <c r="A46" s="130" t="s">
        <v>1119</v>
      </c>
      <c r="B46" s="380" t="e">
        <f>+B41/'2 Cijfers'!B25</f>
        <v>#N/A</v>
      </c>
      <c r="C46" s="380" t="e">
        <f>+C41/'2 Cijfers'!C25</f>
        <v>#N/A</v>
      </c>
      <c r="D46" s="380" t="e">
        <f>+D41/'2 Cijfers'!D25</f>
        <v>#N/A</v>
      </c>
      <c r="E46" s="380" t="e">
        <f>+E41/'2 Cijfers'!E25</f>
        <v>#N/A</v>
      </c>
      <c r="F46" s="380" t="e">
        <f>+F41/'2 Cijfers'!F25</f>
        <v>#N/A</v>
      </c>
      <c r="G46" s="380" t="e">
        <f>+G41/'2 Cijfers'!G25</f>
        <v>#N/A</v>
      </c>
      <c r="H46" s="380" t="e">
        <f>+H41/'2 Cijfers'!H25</f>
        <v>#N/A</v>
      </c>
      <c r="I46" s="380" t="e">
        <f>+I41/'2 Cijfers'!I25</f>
        <v>#N/A</v>
      </c>
      <c r="J46" s="380" t="e">
        <f>+J41/'2 Cijfers'!J25</f>
        <v>#N/A</v>
      </c>
      <c r="K46" s="380" t="e">
        <f>+K41/'2 Cijfers'!K25</f>
        <v>#N/A</v>
      </c>
      <c r="L46" s="380" t="e">
        <f>+L41/'2 Cijfers'!L25</f>
        <v>#N/A</v>
      </c>
    </row>
    <row r="47" spans="1:12" x14ac:dyDescent="0.35">
      <c r="A47" s="130" t="s">
        <v>1123</v>
      </c>
      <c r="B47" s="130"/>
      <c r="C47" s="381" t="e">
        <f>+C45-$B45</f>
        <v>#N/A</v>
      </c>
      <c r="D47" s="381" t="e">
        <f t="shared" ref="D47:I47" si="22">+D45-$B45</f>
        <v>#N/A</v>
      </c>
      <c r="E47" s="381" t="e">
        <f t="shared" si="22"/>
        <v>#N/A</v>
      </c>
      <c r="F47" s="381" t="e">
        <f t="shared" si="22"/>
        <v>#N/A</v>
      </c>
      <c r="G47" s="381" t="e">
        <f t="shared" si="22"/>
        <v>#N/A</v>
      </c>
      <c r="H47" s="381" t="e">
        <f t="shared" si="22"/>
        <v>#N/A</v>
      </c>
      <c r="I47" s="381" t="e">
        <f t="shared" si="22"/>
        <v>#N/A</v>
      </c>
      <c r="J47" s="381" t="e">
        <f t="shared" ref="J47:K47" si="23">+J45-$B45</f>
        <v>#N/A</v>
      </c>
      <c r="K47" s="381" t="e">
        <f t="shared" si="23"/>
        <v>#N/A</v>
      </c>
      <c r="L47" s="381" t="e">
        <f t="shared" ref="L47" si="24">+L45-$B45</f>
        <v>#N/A</v>
      </c>
    </row>
    <row r="48" spans="1:12" x14ac:dyDescent="0.35">
      <c r="A48" s="130" t="s">
        <v>1124</v>
      </c>
      <c r="B48" s="130"/>
      <c r="C48" s="381" t="e">
        <f>+C46-$B46</f>
        <v>#N/A</v>
      </c>
      <c r="D48" s="381" t="e">
        <f t="shared" ref="D48:I48" si="25">+D46-$B46</f>
        <v>#N/A</v>
      </c>
      <c r="E48" s="381" t="e">
        <f t="shared" si="25"/>
        <v>#N/A</v>
      </c>
      <c r="F48" s="381" t="e">
        <f t="shared" si="25"/>
        <v>#N/A</v>
      </c>
      <c r="G48" s="381" t="e">
        <f t="shared" si="25"/>
        <v>#N/A</v>
      </c>
      <c r="H48" s="381" t="e">
        <f t="shared" si="25"/>
        <v>#N/A</v>
      </c>
      <c r="I48" s="381" t="e">
        <f t="shared" si="25"/>
        <v>#N/A</v>
      </c>
      <c r="J48" s="381" t="e">
        <f t="shared" ref="J48:K48" si="26">+J46-$B46</f>
        <v>#N/A</v>
      </c>
      <c r="K48" s="381" t="e">
        <f t="shared" si="26"/>
        <v>#N/A</v>
      </c>
      <c r="L48" s="381" t="e">
        <f t="shared" ref="L48" si="27">+L46-$B46</f>
        <v>#N/A</v>
      </c>
    </row>
    <row r="49" spans="1:12" x14ac:dyDescent="0.35">
      <c r="A49" s="130" t="s">
        <v>1122</v>
      </c>
      <c r="B49" s="130"/>
      <c r="C49" s="382" t="e">
        <f>-C48/C47</f>
        <v>#N/A</v>
      </c>
      <c r="D49" s="382" t="e">
        <f t="shared" ref="D49" si="28">-D48/D47</f>
        <v>#N/A</v>
      </c>
      <c r="E49" s="382" t="e">
        <f t="shared" ref="E49" si="29">-E48/E47</f>
        <v>#N/A</v>
      </c>
      <c r="F49" s="382" t="e">
        <f t="shared" ref="F49" si="30">-F48/F47</f>
        <v>#N/A</v>
      </c>
      <c r="G49" s="382" t="e">
        <f t="shared" ref="G49" si="31">-G48/G47</f>
        <v>#N/A</v>
      </c>
      <c r="H49" s="382" t="e">
        <f t="shared" ref="H49" si="32">-H48/H47</f>
        <v>#N/A</v>
      </c>
      <c r="I49" s="382" t="e">
        <f t="shared" ref="I49:J49" si="33">-I48/I47</f>
        <v>#N/A</v>
      </c>
      <c r="J49" s="382" t="e">
        <f t="shared" si="33"/>
        <v>#N/A</v>
      </c>
      <c r="K49" s="382" t="e">
        <f t="shared" ref="K49:L49" si="34">-K48/K47</f>
        <v>#N/A</v>
      </c>
      <c r="L49" s="382" t="e">
        <f t="shared" si="34"/>
        <v>#N/A</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117BF-0D45-45E4-AE5B-FB2D6BACB8FC}">
  <sheetPr codeName="Blad23">
    <tabColor rgb="FFFFFF00"/>
  </sheetPr>
  <dimension ref="A1:B77"/>
  <sheetViews>
    <sheetView topLeftCell="A60" workbookViewId="0">
      <selection activeCell="B73" sqref="B73"/>
    </sheetView>
  </sheetViews>
  <sheetFormatPr defaultRowHeight="14.5" x14ac:dyDescent="0.35"/>
  <cols>
    <col min="1" max="1" width="28.54296875" bestFit="1" customWidth="1"/>
    <col min="2" max="2" width="15.90625" bestFit="1" customWidth="1"/>
  </cols>
  <sheetData>
    <row r="1" spans="1:2" ht="15.5" x14ac:dyDescent="0.35">
      <c r="A1" s="493" t="s">
        <v>1256</v>
      </c>
    </row>
    <row r="2" spans="1:2" x14ac:dyDescent="0.35">
      <c r="A2" s="494" t="s">
        <v>1196</v>
      </c>
    </row>
    <row r="3" spans="1:2" x14ac:dyDescent="0.35">
      <c r="A3" s="69"/>
    </row>
    <row r="4" spans="1:2" x14ac:dyDescent="0.35">
      <c r="A4" s="388" t="s">
        <v>1264</v>
      </c>
      <c r="B4" s="340">
        <v>2022</v>
      </c>
    </row>
    <row r="5" spans="1:2" x14ac:dyDescent="0.35">
      <c r="A5" s="69" t="s">
        <v>9</v>
      </c>
      <c r="B5" s="130"/>
    </row>
    <row r="6" spans="1:2" x14ac:dyDescent="0.35">
      <c r="A6" s="130">
        <f>+Start!B4</f>
        <v>0</v>
      </c>
      <c r="B6" s="356" t="e">
        <f>(+'2 Cijfers'!G$19-'2 Cijfers'!G$13)/VLOOKUP(Start!B6,'Hulpblad inw en bijst ontv'!A5:E348,4,FALSE)</f>
        <v>#N/A</v>
      </c>
    </row>
    <row r="7" spans="1:2" x14ac:dyDescent="0.35">
      <c r="A7" s="130"/>
      <c r="B7" s="356"/>
    </row>
    <row r="8" spans="1:2" x14ac:dyDescent="0.35">
      <c r="A8" s="69" t="s">
        <v>1257</v>
      </c>
      <c r="B8" s="356">
        <f>IF(B11&gt;0,(+B11*B57+B12*B58+B13*B59+B14*B60+B15*B61+B16*B62+B17*B63+B18*B64)/SUM(B57:B64),0)</f>
        <v>0</v>
      </c>
    </row>
    <row r="9" spans="1:2" x14ac:dyDescent="0.35">
      <c r="A9" s="130"/>
      <c r="B9" s="356"/>
    </row>
    <row r="10" spans="1:2" x14ac:dyDescent="0.35">
      <c r="A10" s="69" t="s">
        <v>1201</v>
      </c>
      <c r="B10" s="356"/>
    </row>
    <row r="11" spans="1:2" x14ac:dyDescent="0.35">
      <c r="A11" s="130">
        <f>+Start!B7</f>
        <v>0</v>
      </c>
      <c r="B11" s="356">
        <f>IF(B57&gt;0,(+'Hulpblad vergelijk'!G12-'Hulpblad vergelijk'!G6)/B57,0)</f>
        <v>0</v>
      </c>
    </row>
    <row r="12" spans="1:2" x14ac:dyDescent="0.35">
      <c r="A12" s="130">
        <f>+Start!B8</f>
        <v>0</v>
      </c>
      <c r="B12" s="356">
        <f>IF(B58&gt;0,(+'Hulpblad vergelijk'!G44-'Hulpblad vergelijk'!G38)/B58,0)</f>
        <v>0</v>
      </c>
    </row>
    <row r="13" spans="1:2" x14ac:dyDescent="0.35">
      <c r="A13" s="130">
        <f>+Start!B9</f>
        <v>0</v>
      </c>
      <c r="B13" s="356">
        <f>IF(B59&gt;0,(+'Hulpblad vergelijk'!G76-'Hulpblad vergelijk'!G70)/B59,0)</f>
        <v>0</v>
      </c>
    </row>
    <row r="14" spans="1:2" x14ac:dyDescent="0.35">
      <c r="A14" s="130">
        <f>+Start!B10</f>
        <v>0</v>
      </c>
      <c r="B14" s="356">
        <f>IF(B60&gt;0,(+'Hulpblad vergelijk'!G108-'Hulpblad vergelijk'!G102)/B60,0)</f>
        <v>0</v>
      </c>
    </row>
    <row r="15" spans="1:2" x14ac:dyDescent="0.35">
      <c r="A15" s="130">
        <f>+Start!B11</f>
        <v>0</v>
      </c>
      <c r="B15" s="356">
        <f>IF(B61&gt;0,(+'Hulpblad vergelijk'!G140-'Hulpblad vergelijk'!G134)/B61,0)</f>
        <v>0</v>
      </c>
    </row>
    <row r="16" spans="1:2" x14ac:dyDescent="0.35">
      <c r="A16" s="130">
        <f>+Start!B12</f>
        <v>0</v>
      </c>
      <c r="B16" s="358">
        <f>IF(B62&gt;0,('Hulpblad vergelijk'!G172-'Hulpblad vergelijk'!G166)/B62,0)</f>
        <v>0</v>
      </c>
    </row>
    <row r="17" spans="1:2" x14ac:dyDescent="0.35">
      <c r="A17" s="130">
        <f>+Start!B13</f>
        <v>0</v>
      </c>
      <c r="B17" s="358">
        <f>IF(B63&gt;0,('Hulpblad vergelijk'!G204-'Hulpblad vergelijk'!G198)/B63,0)</f>
        <v>0</v>
      </c>
    </row>
    <row r="18" spans="1:2" x14ac:dyDescent="0.35">
      <c r="A18" s="130">
        <f>+Start!B14</f>
        <v>0</v>
      </c>
      <c r="B18" s="358">
        <f>IF(B64&gt;0,('Hulpblad vergelijk'!G236-'Hulpblad vergelijk'!G230)/B64,0)</f>
        <v>0</v>
      </c>
    </row>
    <row r="19" spans="1:2" x14ac:dyDescent="0.35">
      <c r="A19" s="130"/>
    </row>
    <row r="20" spans="1:2" x14ac:dyDescent="0.35">
      <c r="A20" s="130"/>
    </row>
    <row r="21" spans="1:2" x14ac:dyDescent="0.35">
      <c r="A21" s="388" t="s">
        <v>1265</v>
      </c>
      <c r="B21" s="340">
        <v>2022</v>
      </c>
    </row>
    <row r="22" spans="1:2" x14ac:dyDescent="0.35">
      <c r="A22" s="69" t="s">
        <v>9</v>
      </c>
      <c r="B22" s="130"/>
    </row>
    <row r="23" spans="1:2" x14ac:dyDescent="0.35">
      <c r="A23" s="130">
        <f>+Start!B4</f>
        <v>0</v>
      </c>
      <c r="B23" s="356" t="e">
        <f>(+'2 Cijfers'!$B$19-'2 Cijfers'!$B$13)/VLOOKUP(Start!B6,'Hulpblad inw en bijst ontv'!A5:E348,5,FALSE)</f>
        <v>#N/A</v>
      </c>
    </row>
    <row r="24" spans="1:2" x14ac:dyDescent="0.35">
      <c r="A24" s="130"/>
      <c r="B24" s="356"/>
    </row>
    <row r="25" spans="1:2" x14ac:dyDescent="0.35">
      <c r="A25" s="69" t="s">
        <v>1257</v>
      </c>
      <c r="B25" s="356" t="e">
        <f>(+B28*B69+B29*B70+B30*B71+B31*B72+B32*B73+B33*B74+B34*B75+B35*B76)/SUM(B69:B76)</f>
        <v>#DIV/0!</v>
      </c>
    </row>
    <row r="26" spans="1:2" x14ac:dyDescent="0.35">
      <c r="A26" s="130"/>
      <c r="B26" s="356"/>
    </row>
    <row r="27" spans="1:2" x14ac:dyDescent="0.35">
      <c r="A27" s="69" t="s">
        <v>1200</v>
      </c>
      <c r="B27" s="356"/>
    </row>
    <row r="28" spans="1:2" x14ac:dyDescent="0.35">
      <c r="A28" s="130">
        <f>+Start!B7</f>
        <v>0</v>
      </c>
      <c r="B28" s="356">
        <f>IF(B69&gt;0,(+'Hulpblad vergelijk'!G12-'Hulpblad vergelijk'!G6)/B69,0)</f>
        <v>0</v>
      </c>
    </row>
    <row r="29" spans="1:2" x14ac:dyDescent="0.35">
      <c r="A29" s="130">
        <f>+Start!B8</f>
        <v>0</v>
      </c>
      <c r="B29" s="356">
        <f>IF(B70&gt;0,(+'Hulpblad vergelijk'!G44-'Hulpblad vergelijk'!G38)/B70,0)</f>
        <v>0</v>
      </c>
    </row>
    <row r="30" spans="1:2" x14ac:dyDescent="0.35">
      <c r="A30" s="130">
        <f>+Start!B9</f>
        <v>0</v>
      </c>
      <c r="B30" s="356">
        <f>IF(B71&gt;0,(+'Hulpblad vergelijk'!G76-'Hulpblad vergelijk'!G70)/B71,0)</f>
        <v>0</v>
      </c>
    </row>
    <row r="31" spans="1:2" x14ac:dyDescent="0.35">
      <c r="A31" s="130">
        <f>+Start!B10</f>
        <v>0</v>
      </c>
      <c r="B31" s="356">
        <f>IF(B72&gt;0,(+'Hulpblad vergelijk'!G108-'Hulpblad vergelijk'!G102)/B72,0)</f>
        <v>0</v>
      </c>
    </row>
    <row r="32" spans="1:2" x14ac:dyDescent="0.35">
      <c r="A32" s="130">
        <f>+Start!B11</f>
        <v>0</v>
      </c>
      <c r="B32" s="356">
        <f>IF(B73&gt;0,(+'Hulpblad vergelijk'!G140-'Hulpblad vergelijk'!G134)/B73,0)</f>
        <v>0</v>
      </c>
    </row>
    <row r="33" spans="1:2" x14ac:dyDescent="0.35">
      <c r="A33" s="130">
        <f>+Start!B12</f>
        <v>0</v>
      </c>
      <c r="B33" s="356">
        <f>IF(B74&gt;0,(+'Hulpblad vergelijk'!G172-'Hulpblad vergelijk'!G166)/B74,0)</f>
        <v>0</v>
      </c>
    </row>
    <row r="34" spans="1:2" x14ac:dyDescent="0.35">
      <c r="A34" s="130">
        <f>+Start!B13</f>
        <v>0</v>
      </c>
      <c r="B34" s="356">
        <f>IF(B75&gt;0,(+'Hulpblad vergelijk'!G204-'Hulpblad vergelijk'!G198)/B75,0)</f>
        <v>0</v>
      </c>
    </row>
    <row r="35" spans="1:2" x14ac:dyDescent="0.35">
      <c r="A35" s="130">
        <f>+Start!B14</f>
        <v>0</v>
      </c>
      <c r="B35" s="356">
        <f>IF(B76&gt;0,(+'Hulpblad vergelijk'!G236-'Hulpblad vergelijk'!G230)/B76,0)</f>
        <v>0</v>
      </c>
    </row>
    <row r="36" spans="1:2" x14ac:dyDescent="0.35">
      <c r="A36" s="130"/>
      <c r="B36" s="356"/>
    </row>
    <row r="37" spans="1:2" x14ac:dyDescent="0.35">
      <c r="A37" s="1"/>
    </row>
    <row r="38" spans="1:2" x14ac:dyDescent="0.35">
      <c r="A38" s="357" t="s">
        <v>1266</v>
      </c>
      <c r="B38" s="492">
        <v>2022</v>
      </c>
    </row>
    <row r="39" spans="1:2" x14ac:dyDescent="0.35">
      <c r="A39" s="69" t="s">
        <v>9</v>
      </c>
    </row>
    <row r="40" spans="1:2" x14ac:dyDescent="0.35">
      <c r="A40" s="130">
        <f>+A6</f>
        <v>0</v>
      </c>
      <c r="B40" s="359" t="e">
        <f>IF(B55&gt;0,+B67/B55,0)</f>
        <v>#N/A</v>
      </c>
    </row>
    <row r="41" spans="1:2" x14ac:dyDescent="0.35">
      <c r="A41" s="130"/>
      <c r="B41" s="359"/>
    </row>
    <row r="42" spans="1:2" x14ac:dyDescent="0.35">
      <c r="A42" s="69" t="s">
        <v>1197</v>
      </c>
      <c r="B42" s="359" t="e">
        <f>+B77/B65</f>
        <v>#DIV/0!</v>
      </c>
    </row>
    <row r="43" spans="1:2" x14ac:dyDescent="0.35">
      <c r="A43" s="130"/>
      <c r="B43" s="359"/>
    </row>
    <row r="44" spans="1:2" x14ac:dyDescent="0.35">
      <c r="A44" s="69" t="s">
        <v>1200</v>
      </c>
      <c r="B44" s="359"/>
    </row>
    <row r="45" spans="1:2" x14ac:dyDescent="0.35">
      <c r="A45" s="130">
        <f t="shared" ref="A45:A52" si="0">+A11</f>
        <v>0</v>
      </c>
      <c r="B45" s="359">
        <f t="shared" ref="B45" si="1">IF(B57&gt;0,+B69/B57,0)</f>
        <v>0</v>
      </c>
    </row>
    <row r="46" spans="1:2" x14ac:dyDescent="0.35">
      <c r="A46" s="130">
        <f t="shared" si="0"/>
        <v>0</v>
      </c>
      <c r="B46" s="359">
        <f t="shared" ref="B46" si="2">IF(B58&gt;0,+B70/B58,0)</f>
        <v>0</v>
      </c>
    </row>
    <row r="47" spans="1:2" x14ac:dyDescent="0.35">
      <c r="A47" s="130">
        <f t="shared" si="0"/>
        <v>0</v>
      </c>
      <c r="B47" s="359">
        <f t="shared" ref="B47" si="3">IF(B59&gt;0,+B71/B59,0)</f>
        <v>0</v>
      </c>
    </row>
    <row r="48" spans="1:2" x14ac:dyDescent="0.35">
      <c r="A48" s="130">
        <f t="shared" si="0"/>
        <v>0</v>
      </c>
      <c r="B48" s="359">
        <f t="shared" ref="B48" si="4">IF(B60&gt;0,+B72/B60,0)</f>
        <v>0</v>
      </c>
    </row>
    <row r="49" spans="1:2" x14ac:dyDescent="0.35">
      <c r="A49" s="130">
        <f t="shared" si="0"/>
        <v>0</v>
      </c>
      <c r="B49" s="359">
        <f t="shared" ref="B49" si="5">IF(B61&gt;0,+B73/B61,0)</f>
        <v>0</v>
      </c>
    </row>
    <row r="50" spans="1:2" x14ac:dyDescent="0.35">
      <c r="A50" s="130">
        <f t="shared" si="0"/>
        <v>0</v>
      </c>
      <c r="B50" s="359">
        <f t="shared" ref="B50" si="6">IF(B62&gt;0,+B74/B62,0)</f>
        <v>0</v>
      </c>
    </row>
    <row r="51" spans="1:2" x14ac:dyDescent="0.35">
      <c r="A51" s="130">
        <f t="shared" si="0"/>
        <v>0</v>
      </c>
      <c r="B51" s="359">
        <f t="shared" ref="B51" si="7">IF(B63&gt;0,+B75/B63,0)</f>
        <v>0</v>
      </c>
    </row>
    <row r="52" spans="1:2" x14ac:dyDescent="0.35">
      <c r="A52" s="130">
        <f t="shared" si="0"/>
        <v>0</v>
      </c>
      <c r="B52" s="359">
        <f t="shared" ref="B52" si="8">IF(B64&gt;0,+B76/B64,0)</f>
        <v>0</v>
      </c>
    </row>
    <row r="54" spans="1:2" x14ac:dyDescent="0.35">
      <c r="A54" s="357" t="s">
        <v>1198</v>
      </c>
      <c r="B54" s="340">
        <v>2022</v>
      </c>
    </row>
    <row r="55" spans="1:2" x14ac:dyDescent="0.35">
      <c r="A55" s="130">
        <f>+A6</f>
        <v>0</v>
      </c>
      <c r="B55" s="130" t="e">
        <f>VLOOKUP(Start!B6,'Hulpblad inw en bijst ontv'!A5:E348,4,FALSE)</f>
        <v>#N/A</v>
      </c>
    </row>
    <row r="56" spans="1:2" x14ac:dyDescent="0.35">
      <c r="A56" s="130"/>
      <c r="B56" s="130"/>
    </row>
    <row r="57" spans="1:2" x14ac:dyDescent="0.35">
      <c r="A57" s="130">
        <f t="shared" ref="A57:A64" si="9">+A11</f>
        <v>0</v>
      </c>
      <c r="B57" s="383">
        <f>IF(Start!$B7&gt;0,VLOOKUP(Start!N7,'Hulpblad inw en bijst ontv'!$A$5:$E$348,4,FALSE),0)</f>
        <v>0</v>
      </c>
    </row>
    <row r="58" spans="1:2" x14ac:dyDescent="0.35">
      <c r="A58" s="130">
        <f t="shared" si="9"/>
        <v>0</v>
      </c>
      <c r="B58" s="383">
        <f>IF(Start!$B8&gt;0,VLOOKUP(Start!N8,'Hulpblad inw en bijst ontv'!$A$5:$E$348,4,FALSE),0)</f>
        <v>0</v>
      </c>
    </row>
    <row r="59" spans="1:2" x14ac:dyDescent="0.35">
      <c r="A59" s="130">
        <f t="shared" si="9"/>
        <v>0</v>
      </c>
      <c r="B59" s="383">
        <f>IF(Start!$B9&gt;0,VLOOKUP(Start!N9,'Hulpblad inw en bijst ontv'!$A$5:$E$348,4,FALSE),0)</f>
        <v>0</v>
      </c>
    </row>
    <row r="60" spans="1:2" x14ac:dyDescent="0.35">
      <c r="A60" s="130">
        <f t="shared" si="9"/>
        <v>0</v>
      </c>
      <c r="B60" s="383">
        <f>IF(Start!$B10&gt;0,VLOOKUP(Start!N10,'Hulpblad inw en bijst ontv'!$A$5:$E$348,4,FALSE),0)</f>
        <v>0</v>
      </c>
    </row>
    <row r="61" spans="1:2" x14ac:dyDescent="0.35">
      <c r="A61" s="130">
        <f t="shared" si="9"/>
        <v>0</v>
      </c>
      <c r="B61" s="383">
        <f>IF(Start!$B11&gt;0,VLOOKUP(Start!N11,'Hulpblad inw en bijst ontv'!$A$5:$E$348,4,FALSE),0)</f>
        <v>0</v>
      </c>
    </row>
    <row r="62" spans="1:2" x14ac:dyDescent="0.35">
      <c r="A62" s="130">
        <f t="shared" si="9"/>
        <v>0</v>
      </c>
      <c r="B62" s="383">
        <f>IF(Start!$B12&gt;0,VLOOKUP(Start!N12,'Hulpblad inw en bijst ontv'!$A$5:$E$348,4,FALSE),0)</f>
        <v>0</v>
      </c>
    </row>
    <row r="63" spans="1:2" x14ac:dyDescent="0.35">
      <c r="A63" s="130">
        <f t="shared" si="9"/>
        <v>0</v>
      </c>
      <c r="B63" s="383">
        <f>IF(Start!$B13&gt;0,VLOOKUP(Start!N13,'Hulpblad inw en bijst ontv'!$A$5:$E$348,4,FALSE),0)</f>
        <v>0</v>
      </c>
    </row>
    <row r="64" spans="1:2" x14ac:dyDescent="0.35">
      <c r="A64" s="130">
        <f t="shared" si="9"/>
        <v>0</v>
      </c>
      <c r="B64" s="383">
        <f>IF(Start!$B14&gt;0,VLOOKUP(Start!N14,'Hulpblad inw en bijst ontv'!$A$5:$E$348,4,FALSE),0)</f>
        <v>0</v>
      </c>
    </row>
    <row r="65" spans="1:2" x14ac:dyDescent="0.35">
      <c r="A65" s="130"/>
      <c r="B65" s="383">
        <f>SUM(B57:B64)</f>
        <v>0</v>
      </c>
    </row>
    <row r="66" spans="1:2" x14ac:dyDescent="0.35">
      <c r="A66" s="357" t="s">
        <v>1199</v>
      </c>
      <c r="B66" s="340">
        <v>2022</v>
      </c>
    </row>
    <row r="67" spans="1:2" x14ac:dyDescent="0.35">
      <c r="A67" s="130">
        <f>+A6</f>
        <v>0</v>
      </c>
      <c r="B67" s="130" t="e">
        <f>VLOOKUP(Start!B6,'Hulpblad inw en bijst ontv'!A17:E360,5,FALSE)</f>
        <v>#N/A</v>
      </c>
    </row>
    <row r="68" spans="1:2" x14ac:dyDescent="0.35">
      <c r="A68" s="130"/>
      <c r="B68" s="130"/>
    </row>
    <row r="69" spans="1:2" x14ac:dyDescent="0.35">
      <c r="A69" s="130">
        <f t="shared" ref="A69:A76" si="10">+A11</f>
        <v>0</v>
      </c>
      <c r="B69" s="383">
        <f>IF(Start!$B7&gt;0,VLOOKUP(Start!N7,'Hulpblad inw en bijst ontv'!$A$5:$E$348,5,FALSE),0)</f>
        <v>0</v>
      </c>
    </row>
    <row r="70" spans="1:2" x14ac:dyDescent="0.35">
      <c r="A70" s="130">
        <f t="shared" si="10"/>
        <v>0</v>
      </c>
      <c r="B70" s="383">
        <f>IF(Start!$B8&gt;0,VLOOKUP(Start!N8,'Hulpblad inw en bijst ontv'!$A$5:$E$348,5,FALSE),0)</f>
        <v>0</v>
      </c>
    </row>
    <row r="71" spans="1:2" x14ac:dyDescent="0.35">
      <c r="A71" s="130">
        <f t="shared" si="10"/>
        <v>0</v>
      </c>
      <c r="B71" s="383">
        <f>IF(Start!$B9&gt;0,VLOOKUP(Start!N9,'Hulpblad inw en bijst ontv'!$A$5:$E$348,5,FALSE),0)</f>
        <v>0</v>
      </c>
    </row>
    <row r="72" spans="1:2" x14ac:dyDescent="0.35">
      <c r="A72" s="130">
        <f t="shared" si="10"/>
        <v>0</v>
      </c>
      <c r="B72" s="383">
        <f>IF(Start!$B10&gt;0,VLOOKUP(Start!N10,'Hulpblad inw en bijst ontv'!$A$5:$E$348,5,FALSE),0)</f>
        <v>0</v>
      </c>
    </row>
    <row r="73" spans="1:2" x14ac:dyDescent="0.35">
      <c r="A73" s="130">
        <f t="shared" si="10"/>
        <v>0</v>
      </c>
      <c r="B73" s="383">
        <f>IF(Start!$B11&gt;0,VLOOKUP(Start!N11,'Hulpblad inw en bijst ontv'!$A$5:$E$348,5,FALSE),0)</f>
        <v>0</v>
      </c>
    </row>
    <row r="74" spans="1:2" x14ac:dyDescent="0.35">
      <c r="A74" s="130">
        <f t="shared" si="10"/>
        <v>0</v>
      </c>
      <c r="B74" s="383">
        <f>IF(Start!$B12&gt;0,VLOOKUP(Start!N12,'Hulpblad inw en bijst ontv'!$A$5:$E$348,5,FALSE),0)</f>
        <v>0</v>
      </c>
    </row>
    <row r="75" spans="1:2" x14ac:dyDescent="0.35">
      <c r="A75" s="130">
        <f t="shared" si="10"/>
        <v>0</v>
      </c>
      <c r="B75" s="383">
        <f>IF(Start!$B13&gt;0,VLOOKUP(Start!N13,'Hulpblad inw en bijst ontv'!$A$5:$E$348,5,FALSE),0)</f>
        <v>0</v>
      </c>
    </row>
    <row r="76" spans="1:2" x14ac:dyDescent="0.35">
      <c r="A76" s="130">
        <f t="shared" si="10"/>
        <v>0</v>
      </c>
      <c r="B76" s="383">
        <f>IF(Start!$B14&gt;0,VLOOKUP(Start!N14,'Hulpblad inw en bijst ontv'!$A$5:$E$348,5,FALSE),0)</f>
        <v>0</v>
      </c>
    </row>
    <row r="77" spans="1:2" x14ac:dyDescent="0.35">
      <c r="A77" s="130"/>
      <c r="B77" s="311">
        <f>SUM(B69:B76)</f>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16C9-D5DC-4A24-A914-7B1A7A3CDB9F}">
  <sheetPr codeName="Blad24">
    <tabColor rgb="FFFFFF00"/>
  </sheetPr>
  <dimension ref="A1:I255"/>
  <sheetViews>
    <sheetView topLeftCell="A174" workbookViewId="0">
      <selection activeCell="B16" sqref="B16"/>
    </sheetView>
  </sheetViews>
  <sheetFormatPr defaultRowHeight="14.5" x14ac:dyDescent="0.35"/>
  <cols>
    <col min="1" max="1" width="35.90625" bestFit="1" customWidth="1"/>
    <col min="2" max="3" width="13.54296875" bestFit="1" customWidth="1"/>
    <col min="4" max="9" width="16.08984375" bestFit="1" customWidth="1"/>
    <col min="10" max="10" width="11.7265625" customWidth="1"/>
  </cols>
  <sheetData>
    <row r="1" spans="1:9" ht="15.5" x14ac:dyDescent="0.35">
      <c r="A1" s="353" t="s">
        <v>1127</v>
      </c>
      <c r="B1" s="599" t="s">
        <v>1128</v>
      </c>
      <c r="C1" s="599"/>
      <c r="D1" s="599"/>
      <c r="E1" s="599"/>
      <c r="F1" s="599"/>
      <c r="G1" s="520">
        <f>+Start!B7</f>
        <v>0</v>
      </c>
      <c r="H1" s="521"/>
      <c r="I1" s="522"/>
    </row>
    <row r="3" spans="1:9" x14ac:dyDescent="0.35">
      <c r="A3" s="339" t="s">
        <v>1111</v>
      </c>
      <c r="B3" s="340">
        <v>2017</v>
      </c>
      <c r="C3" s="340">
        <v>2018</v>
      </c>
      <c r="D3" s="340">
        <v>2019</v>
      </c>
      <c r="E3" s="340">
        <v>2020</v>
      </c>
      <c r="F3" s="340">
        <v>2021</v>
      </c>
      <c r="G3" s="340">
        <v>2022</v>
      </c>
      <c r="H3" s="340">
        <v>2023</v>
      </c>
      <c r="I3" s="340">
        <v>2024</v>
      </c>
    </row>
    <row r="4" spans="1:9" x14ac:dyDescent="0.35">
      <c r="A4" s="130" t="s">
        <v>2</v>
      </c>
      <c r="B4" s="132">
        <f t="shared" ref="B4:I5" si="0">MROUND(+B15*B29,1000)</f>
        <v>0</v>
      </c>
      <c r="C4" s="132">
        <f t="shared" si="0"/>
        <v>0</v>
      </c>
      <c r="D4" s="132">
        <f t="shared" si="0"/>
        <v>0</v>
      </c>
      <c r="E4" s="132">
        <f t="shared" si="0"/>
        <v>0</v>
      </c>
      <c r="F4" s="132">
        <f t="shared" si="0"/>
        <v>0</v>
      </c>
      <c r="G4" s="132">
        <f t="shared" si="0"/>
        <v>0</v>
      </c>
      <c r="H4" s="132">
        <f t="shared" si="0"/>
        <v>0</v>
      </c>
      <c r="I4" s="132">
        <f t="shared" si="0"/>
        <v>0</v>
      </c>
    </row>
    <row r="5" spans="1:9" x14ac:dyDescent="0.35">
      <c r="A5" s="130" t="s">
        <v>990</v>
      </c>
      <c r="B5" s="132">
        <f t="shared" si="0"/>
        <v>0</v>
      </c>
      <c r="C5" s="132">
        <f t="shared" si="0"/>
        <v>0</v>
      </c>
      <c r="D5" s="132">
        <f t="shared" si="0"/>
        <v>0</v>
      </c>
      <c r="E5" s="132">
        <f t="shared" si="0"/>
        <v>0</v>
      </c>
      <c r="F5" s="132">
        <f t="shared" si="0"/>
        <v>0</v>
      </c>
      <c r="G5" s="132">
        <f t="shared" si="0"/>
        <v>0</v>
      </c>
      <c r="H5" s="132">
        <f t="shared" si="0"/>
        <v>0</v>
      </c>
      <c r="I5" s="132">
        <f t="shared" si="0"/>
        <v>0</v>
      </c>
    </row>
    <row r="6" spans="1:9" x14ac:dyDescent="0.35">
      <c r="A6" s="130" t="s">
        <v>1090</v>
      </c>
      <c r="B6" s="132">
        <f>+B26</f>
        <v>0</v>
      </c>
      <c r="C6" s="132">
        <f t="shared" ref="C6:I6" si="1">+C26</f>
        <v>0</v>
      </c>
      <c r="D6" s="132">
        <f t="shared" si="1"/>
        <v>0</v>
      </c>
      <c r="E6" s="132">
        <f t="shared" si="1"/>
        <v>0</v>
      </c>
      <c r="F6" s="132">
        <f t="shared" si="1"/>
        <v>0</v>
      </c>
      <c r="G6" s="132">
        <f t="shared" si="1"/>
        <v>0</v>
      </c>
      <c r="H6" s="132">
        <f t="shared" si="1"/>
        <v>0</v>
      </c>
      <c r="I6" s="132">
        <f t="shared" si="1"/>
        <v>0</v>
      </c>
    </row>
    <row r="7" spans="1:9" x14ac:dyDescent="0.35">
      <c r="A7" s="130" t="s">
        <v>1096</v>
      </c>
      <c r="B7" s="132">
        <f>MROUND(+$B$19*'Recap circulaires'!$C$3,1000)</f>
        <v>0</v>
      </c>
      <c r="C7" s="132">
        <f>MROUND(+$C$19*'Recap circulaires'!$D$3,1000)</f>
        <v>0</v>
      </c>
      <c r="D7" s="581"/>
      <c r="E7" s="582"/>
      <c r="F7" s="582"/>
      <c r="G7" s="582"/>
      <c r="H7" s="582"/>
      <c r="I7" s="583"/>
    </row>
    <row r="8" spans="1:9" x14ac:dyDescent="0.35">
      <c r="A8" s="69" t="s">
        <v>1125</v>
      </c>
      <c r="B8" s="319">
        <f>SUM(B4:B7)</f>
        <v>0</v>
      </c>
      <c r="C8" s="319">
        <f t="shared" ref="C8:I8" si="2">SUM(C4:C7)</f>
        <v>0</v>
      </c>
      <c r="D8" s="319">
        <f t="shared" si="2"/>
        <v>0</v>
      </c>
      <c r="E8" s="319">
        <f t="shared" si="2"/>
        <v>0</v>
      </c>
      <c r="F8" s="319">
        <f t="shared" si="2"/>
        <v>0</v>
      </c>
      <c r="G8" s="319">
        <f t="shared" si="2"/>
        <v>0</v>
      </c>
      <c r="H8" s="319">
        <f t="shared" si="2"/>
        <v>0</v>
      </c>
      <c r="I8" s="319">
        <f t="shared" si="2"/>
        <v>0</v>
      </c>
    </row>
    <row r="9" spans="1:9" x14ac:dyDescent="0.35">
      <c r="A9" s="130" t="s">
        <v>1097</v>
      </c>
      <c r="B9" s="584"/>
      <c r="C9" s="585"/>
      <c r="D9" s="119">
        <f>MROUND(+$D$19*'Recap circulaires'!E$9*'Recap circulaires'!E$20*1000,1000)</f>
        <v>0</v>
      </c>
      <c r="E9" s="119">
        <f>MROUND(+$D$19*'Recap circulaires'!F$9*'Recap circulaires'!F$20*1000,1000)</f>
        <v>0</v>
      </c>
      <c r="F9" s="119">
        <f>MROUND(+$D$19*'Recap circulaires'!G$9*'Recap circulaires'!G$20*1000,1000)</f>
        <v>0</v>
      </c>
      <c r="G9" s="119">
        <f>MROUND(+$D$19*'Recap circulaires'!H$9*'Recap circulaires'!H$20*1000,1000)</f>
        <v>0</v>
      </c>
      <c r="H9" s="119">
        <f>MROUND(+$D$19*'Recap circulaires'!I$9*'Recap circulaires'!I$20*1000,1000)</f>
        <v>0</v>
      </c>
      <c r="I9" s="119">
        <f>MROUND(+$D$19*'Recap circulaires'!J$9*'Recap circulaires'!J$20*1000,1000)</f>
        <v>0</v>
      </c>
    </row>
    <row r="10" spans="1:9" x14ac:dyDescent="0.35">
      <c r="A10" s="130" t="s">
        <v>1098</v>
      </c>
      <c r="B10" s="586"/>
      <c r="C10" s="587"/>
      <c r="D10" s="119">
        <f>IF(Start!B7&gt;0,VLOOKUP(Start!$N$7,'Suppletie 2019'!$B$7:$G$366,6,FALSE),0)</f>
        <v>0</v>
      </c>
      <c r="E10" s="590"/>
      <c r="F10" s="591"/>
      <c r="G10" s="591"/>
      <c r="H10" s="591"/>
      <c r="I10" s="592"/>
    </row>
    <row r="11" spans="1:9" x14ac:dyDescent="0.35">
      <c r="A11" s="69" t="s">
        <v>1095</v>
      </c>
      <c r="B11" s="588"/>
      <c r="C11" s="589"/>
      <c r="D11" s="331">
        <f>SUM(D9:D10)</f>
        <v>0</v>
      </c>
      <c r="E11" s="331">
        <f t="shared" ref="E11:I11" si="3">SUM(E9:E10)</f>
        <v>0</v>
      </c>
      <c r="F11" s="331">
        <f t="shared" si="3"/>
        <v>0</v>
      </c>
      <c r="G11" s="331">
        <f t="shared" si="3"/>
        <v>0</v>
      </c>
      <c r="H11" s="331">
        <f t="shared" si="3"/>
        <v>0</v>
      </c>
      <c r="I11" s="331">
        <f t="shared" si="3"/>
        <v>0</v>
      </c>
    </row>
    <row r="12" spans="1:9" x14ac:dyDescent="0.35">
      <c r="A12" s="69" t="s">
        <v>1094</v>
      </c>
      <c r="B12" s="195">
        <f>SUM(B8:B9)</f>
        <v>0</v>
      </c>
      <c r="C12" s="195">
        <f>SUM(C8:C9)</f>
        <v>0</v>
      </c>
      <c r="D12" s="195">
        <f>+D8+D11</f>
        <v>0</v>
      </c>
      <c r="E12" s="195">
        <f t="shared" ref="E12:I12" si="4">+E8+E11</f>
        <v>0</v>
      </c>
      <c r="F12" s="195">
        <f t="shared" si="4"/>
        <v>0</v>
      </c>
      <c r="G12" s="195">
        <f t="shared" si="4"/>
        <v>0</v>
      </c>
      <c r="H12" s="195">
        <f t="shared" si="4"/>
        <v>0</v>
      </c>
      <c r="I12" s="195">
        <f t="shared" si="4"/>
        <v>0</v>
      </c>
    </row>
    <row r="13" spans="1:9" x14ac:dyDescent="0.35">
      <c r="B13" s="68"/>
    </row>
    <row r="14" spans="1:9" x14ac:dyDescent="0.35">
      <c r="A14" s="339" t="s">
        <v>1113</v>
      </c>
      <c r="B14" s="340">
        <v>2017</v>
      </c>
      <c r="C14" s="340">
        <v>2018</v>
      </c>
      <c r="D14" s="340">
        <v>2019</v>
      </c>
      <c r="E14" s="340">
        <v>2020</v>
      </c>
      <c r="F14" s="340">
        <v>2021</v>
      </c>
      <c r="G14" s="340">
        <v>2022</v>
      </c>
      <c r="H14" s="340">
        <v>2023</v>
      </c>
      <c r="I14" s="340">
        <v>2024</v>
      </c>
    </row>
    <row r="15" spans="1:9" x14ac:dyDescent="0.35">
      <c r="A15" s="197" t="s">
        <v>2</v>
      </c>
      <c r="B15" s="200">
        <f>IF(Start!B7&gt;0,VLOOKUP(Start!$M$7,'CBS budgetaandelen'!$A$7:$G$363,6,FALSE),0)</f>
        <v>0</v>
      </c>
      <c r="C15" s="268">
        <f>+B15</f>
        <v>0</v>
      </c>
      <c r="D15" s="268">
        <f t="shared" ref="D15:I15" si="5">+C15</f>
        <v>0</v>
      </c>
      <c r="E15" s="268">
        <f t="shared" si="5"/>
        <v>0</v>
      </c>
      <c r="F15" s="268">
        <f t="shared" si="5"/>
        <v>0</v>
      </c>
      <c r="G15" s="268">
        <f t="shared" si="5"/>
        <v>0</v>
      </c>
      <c r="H15" s="268">
        <f t="shared" si="5"/>
        <v>0</v>
      </c>
      <c r="I15" s="268">
        <f t="shared" si="5"/>
        <v>0</v>
      </c>
    </row>
    <row r="16" spans="1:9" x14ac:dyDescent="0.35">
      <c r="A16" s="131" t="s">
        <v>990</v>
      </c>
      <c r="B16" s="200">
        <f>IF(Start!B7&gt;0,VLOOKUP(Start!$M$7,'CBS budgetaandelen'!$A$7:$G$363,7,FALSE),0)</f>
        <v>0</v>
      </c>
      <c r="C16" s="200">
        <f>+B16</f>
        <v>0</v>
      </c>
      <c r="D16" s="199">
        <f>IF(Start!$B7&gt;0,MAX(D18/D30,$C16),0)</f>
        <v>0</v>
      </c>
      <c r="E16" s="199">
        <f>IF(Start!$B7&gt;0,MAX(E18/E30,$C16),0)</f>
        <v>0</v>
      </c>
      <c r="F16" s="199">
        <f>IF(Start!$B7&gt;0,MAX(F18/F30,$C16),0)</f>
        <v>0</v>
      </c>
      <c r="G16" s="199">
        <f>IF(Start!$B7&gt;0,MAX(G18/G30,$C16),0)</f>
        <v>0</v>
      </c>
      <c r="H16" s="199">
        <f>IF(Start!$B7&gt;0,MAX(H18/H30,$C16),0)</f>
        <v>0</v>
      </c>
      <c r="I16" s="199">
        <f>IF(Start!$B7&gt;0,MAX(I18/I30,$C16),0)</f>
        <v>0</v>
      </c>
    </row>
    <row r="17" spans="1:9" x14ac:dyDescent="0.35">
      <c r="A17" s="131"/>
      <c r="B17" s="130"/>
      <c r="C17" s="201"/>
      <c r="D17" s="593" t="s">
        <v>1018</v>
      </c>
      <c r="E17" s="594"/>
      <c r="F17" s="594"/>
      <c r="G17" s="594"/>
      <c r="H17" s="594"/>
      <c r="I17" s="595"/>
    </row>
    <row r="18" spans="1:9" x14ac:dyDescent="0.35">
      <c r="A18" s="131" t="s">
        <v>1089</v>
      </c>
      <c r="B18" s="198">
        <v>8500</v>
      </c>
      <c r="C18" s="198">
        <v>8500</v>
      </c>
      <c r="D18" s="85">
        <v>8800</v>
      </c>
      <c r="E18" s="132">
        <v>8800</v>
      </c>
      <c r="F18" s="132">
        <v>7500</v>
      </c>
      <c r="G18" s="132">
        <v>7500</v>
      </c>
      <c r="H18" s="132">
        <v>7500</v>
      </c>
      <c r="I18" s="132">
        <v>7500</v>
      </c>
    </row>
    <row r="19" spans="1:9" x14ac:dyDescent="0.35">
      <c r="A19" s="131" t="s">
        <v>992</v>
      </c>
      <c r="B19" s="200">
        <f>IF(Start!B7&gt;0,VLOOKUP(Start!$N$7,'Budgetaandelen klassiek'!$A$3:$K$348,8,FALSE)/1000,0)</f>
        <v>0</v>
      </c>
      <c r="C19" s="200">
        <f>IF(Start!B7&gt;0,VLOOKUP(Start!$N$7,'Budgetaandelen klassiek'!$A$3:$K$348,9,FALSE)/1000,0)</f>
        <v>0</v>
      </c>
      <c r="D19" s="200">
        <f>IF(Start!$B7&gt;0,VLOOKUP(Start!$N$7,'Budgetaandelen klassiek'!$A$3:$K$348,11,FALSE)/1000,0)</f>
        <v>0</v>
      </c>
      <c r="E19" s="200">
        <f>IF(Start!$B7&gt;0,VLOOKUP(Start!$N$7,'Budgetaandelen klassiek'!$A$3:$K$348,11,FALSE)/1000,0)</f>
        <v>0</v>
      </c>
      <c r="F19" s="200">
        <f>IF(Start!$B7&gt;0,VLOOKUP(Start!$N$7,'Budgetaandelen klassiek'!$A$3:$K$348,11,FALSE)/1000,0)</f>
        <v>0</v>
      </c>
      <c r="G19" s="200">
        <f>IF(Start!$B7&gt;0,VLOOKUP(Start!$N$7,'Budgetaandelen klassiek'!$A$3:$K$348,11,FALSE)/1000,0)</f>
        <v>0</v>
      </c>
      <c r="H19" s="200">
        <f>IF(Start!$B7&gt;0,VLOOKUP(Start!$N$7,'Budgetaandelen klassiek'!$A$3:$K$348,11,FALSE)/1000,0)</f>
        <v>0</v>
      </c>
      <c r="I19" s="200">
        <f>IF(Start!$B7&gt;0,VLOOKUP(Start!$N$7,'Budgetaandelen klassiek'!$A$3:$K$348,11,FALSE)/1000,0)</f>
        <v>0</v>
      </c>
    </row>
    <row r="20" spans="1:9" x14ac:dyDescent="0.35">
      <c r="A20" s="131" t="s">
        <v>1040</v>
      </c>
      <c r="B20" s="596"/>
      <c r="C20" s="597"/>
      <c r="D20" s="200">
        <f>(+D9+D10)/D31</f>
        <v>0</v>
      </c>
      <c r="E20" s="596"/>
      <c r="F20" s="598"/>
      <c r="G20" s="598"/>
      <c r="H20" s="598"/>
      <c r="I20" s="597"/>
    </row>
    <row r="22" spans="1:9" x14ac:dyDescent="0.35">
      <c r="A22" s="339" t="s">
        <v>1114</v>
      </c>
      <c r="B22" s="340">
        <v>2017</v>
      </c>
      <c r="C22" s="340">
        <v>2018</v>
      </c>
      <c r="D22" s="340">
        <v>2019</v>
      </c>
      <c r="E22" s="340">
        <v>2020</v>
      </c>
      <c r="F22" s="340">
        <v>2021</v>
      </c>
      <c r="G22" s="340">
        <v>2022</v>
      </c>
      <c r="H22" s="340">
        <v>2023</v>
      </c>
      <c r="I22" s="340">
        <v>2024</v>
      </c>
    </row>
    <row r="23" spans="1:9" x14ac:dyDescent="0.35">
      <c r="A23" s="131" t="s">
        <v>1064</v>
      </c>
      <c r="B23" s="314">
        <f>IF(Start!$B7&gt;0,VLOOKUP(Start!$N$7,'Taakstelling Nw Beschut'!$A$3:$I$355,3,FALSE),0)</f>
        <v>0</v>
      </c>
      <c r="C23" s="314">
        <f>IF(Start!$B7&gt;0,VLOOKUP(Start!$N$7,'Taakstelling Nw Beschut'!$A$3:$I$355,4,FALSE),0)</f>
        <v>0</v>
      </c>
      <c r="D23" s="314">
        <f>IF(Start!$B7&gt;0,VLOOKUP(Start!$N$7,'Taakstelling Nw Beschut'!$A$3:$I$355,5,FALSE),0)</f>
        <v>0</v>
      </c>
      <c r="E23" s="314">
        <f>IF(Start!$B7&gt;0,VLOOKUP(Start!$N$7,'Taakstelling Nw Beschut'!$A$3:$I$355,6,FALSE),0)</f>
        <v>0</v>
      </c>
      <c r="F23" s="314">
        <f>IF(Start!$B7&gt;0,VLOOKUP(Start!$N$7,'Taakstelling Nw Beschut'!$A$3:$I$355,7,FALSE),0)</f>
        <v>0</v>
      </c>
      <c r="G23" s="314">
        <f>IF(Start!$B7&gt;0,VLOOKUP(Start!$N$7,'Taakstelling Nw Beschut'!$A$3:$I$355,8,FALSE),0)</f>
        <v>0</v>
      </c>
      <c r="H23" s="314">
        <f>IF(Start!$B7&gt;0,VLOOKUP(Start!$N$7,'Taakstelling Nw Beschut'!$A$3:$I$355,9,FALSE),0)</f>
        <v>0</v>
      </c>
      <c r="I23" s="313"/>
    </row>
    <row r="24" spans="1:9" x14ac:dyDescent="0.35">
      <c r="A24" s="131" t="s">
        <v>1081</v>
      </c>
      <c r="B24" s="314">
        <f>IF(Start!$B7&gt;0,VLOOKUP(Start!$B$7,'Bonus Nw Beschut'!$A$6:$N$360,9,FALSE),0)</f>
        <v>0</v>
      </c>
      <c r="C24" s="314">
        <f>IF(Start!$B7&gt;0,VLOOKUP(Start!$B$7,'Bonus Nw Beschut'!$A$6:$N$360,14,FALSE),0)</f>
        <v>0</v>
      </c>
      <c r="D24" s="314"/>
      <c r="E24" s="314"/>
      <c r="F24" s="314"/>
      <c r="G24" s="314"/>
      <c r="H24" s="314"/>
      <c r="I24" s="318"/>
    </row>
    <row r="25" spans="1:9" x14ac:dyDescent="0.35">
      <c r="A25" s="326" t="s">
        <v>1082</v>
      </c>
      <c r="B25" s="327">
        <f>+B24-B23</f>
        <v>0</v>
      </c>
      <c r="C25" s="327">
        <f t="shared" ref="C25:H25" si="6">+C24-C23</f>
        <v>0</v>
      </c>
      <c r="D25" s="327">
        <f t="shared" si="6"/>
        <v>0</v>
      </c>
      <c r="E25" s="327">
        <f t="shared" si="6"/>
        <v>0</v>
      </c>
      <c r="F25" s="327">
        <f t="shared" si="6"/>
        <v>0</v>
      </c>
      <c r="G25" s="327">
        <f t="shared" si="6"/>
        <v>0</v>
      </c>
      <c r="H25" s="327">
        <f t="shared" si="6"/>
        <v>0</v>
      </c>
      <c r="I25" s="327"/>
    </row>
    <row r="26" spans="1:9" x14ac:dyDescent="0.35">
      <c r="A26" s="131" t="s">
        <v>1083</v>
      </c>
      <c r="B26" s="317">
        <f>IF(Start!$B7&gt;0,VLOOKUP(Start!$B$7,'Bonus Nw Beschut'!$A$6:$N$360,4,FALSE),0)</f>
        <v>0</v>
      </c>
      <c r="C26" s="317">
        <f>IF(Start!$B7&gt;0,VLOOKUP(Start!$B$7,'Bonus Nw Beschut'!$A$6:$N$360,8,FALSE),0)</f>
        <v>0</v>
      </c>
      <c r="D26" s="317">
        <f>IF(Start!$B7&gt;0,VLOOKUP(Start!$B$7,'Bonus Nw Beschut'!$A$6:$N$360,13,FALSE),0)</f>
        <v>0</v>
      </c>
      <c r="E26" s="317"/>
      <c r="F26" s="317"/>
      <c r="G26" s="317"/>
      <c r="H26" s="317"/>
      <c r="I26" s="317"/>
    </row>
    <row r="27" spans="1:9" x14ac:dyDescent="0.35">
      <c r="A27" s="312"/>
      <c r="B27" s="354"/>
      <c r="C27" s="354"/>
      <c r="D27" s="354"/>
      <c r="E27" s="354"/>
      <c r="F27" s="354"/>
      <c r="G27" s="354"/>
      <c r="H27" s="354"/>
      <c r="I27" s="354"/>
    </row>
    <row r="28" spans="1:9" x14ac:dyDescent="0.35">
      <c r="A28" s="339" t="s">
        <v>1108</v>
      </c>
      <c r="B28" s="340">
        <v>2017</v>
      </c>
      <c r="C28" s="340">
        <v>2018</v>
      </c>
      <c r="D28" s="340">
        <v>2019</v>
      </c>
      <c r="E28" s="340">
        <v>2020</v>
      </c>
      <c r="F28" s="340">
        <v>2021</v>
      </c>
      <c r="G28" s="340">
        <v>2022</v>
      </c>
      <c r="H28" s="340">
        <v>2023</v>
      </c>
      <c r="I28" s="340">
        <v>2024</v>
      </c>
    </row>
    <row r="29" spans="1:9" x14ac:dyDescent="0.35">
      <c r="A29" s="130" t="s">
        <v>2</v>
      </c>
      <c r="B29" s="85">
        <f>+'2 Cijfers'!B$45</f>
        <v>29034000</v>
      </c>
      <c r="C29" s="85">
        <f>+'2 Cijfers'!C$45</f>
        <v>39769000</v>
      </c>
      <c r="D29" s="85">
        <f>+'2 Cijfers'!D$45</f>
        <v>50831000</v>
      </c>
      <c r="E29" s="85">
        <f>+'2 Cijfers'!E$45</f>
        <v>50310000</v>
      </c>
      <c r="F29" s="85">
        <f>+'2 Cijfers'!F$45</f>
        <v>50657000</v>
      </c>
      <c r="G29" s="85">
        <f>+'2 Cijfers'!G$45</f>
        <v>55146000</v>
      </c>
      <c r="H29" s="85">
        <f>+'2 Cijfers'!H$45</f>
        <v>0</v>
      </c>
      <c r="I29" s="85">
        <f>+'2 Cijfers'!I$45</f>
        <v>0</v>
      </c>
    </row>
    <row r="30" spans="1:9" x14ac:dyDescent="0.35">
      <c r="A30" s="130" t="s">
        <v>990</v>
      </c>
      <c r="B30" s="85">
        <f>+'2 Cijfers'!B$46</f>
        <v>60819000</v>
      </c>
      <c r="C30" s="85">
        <f>+'2 Cijfers'!C$46</f>
        <v>83357000</v>
      </c>
      <c r="D30" s="85">
        <f>+'2 Cijfers'!D$46</f>
        <v>95628000</v>
      </c>
      <c r="E30" s="85">
        <f>+'2 Cijfers'!E$46</f>
        <v>103786000</v>
      </c>
      <c r="F30" s="85">
        <f>+'2 Cijfers'!F$46</f>
        <v>106066999.99999999</v>
      </c>
      <c r="G30" s="85">
        <f>+'2 Cijfers'!G$46</f>
        <v>122335000</v>
      </c>
      <c r="H30" s="85">
        <f>+'2 Cijfers'!H$46</f>
        <v>80236000</v>
      </c>
      <c r="I30" s="85">
        <f>+'2 Cijfers'!I$46</f>
        <v>87387000</v>
      </c>
    </row>
    <row r="31" spans="1:9" x14ac:dyDescent="0.35">
      <c r="A31" s="130" t="s">
        <v>1109</v>
      </c>
      <c r="B31" s="85">
        <f>+'2 Cijfers'!B$47</f>
        <v>522856000</v>
      </c>
      <c r="C31" s="85">
        <f>+'2 Cijfers'!C$47</f>
        <v>511136000</v>
      </c>
      <c r="D31" s="85">
        <f>+'2 Cijfers'!D$47</f>
        <v>518005000</v>
      </c>
      <c r="E31" s="85">
        <f>+'2 Cijfers'!E$47</f>
        <v>541902000</v>
      </c>
      <c r="F31" s="85">
        <f>+'2 Cijfers'!F$47</f>
        <v>705913000</v>
      </c>
      <c r="G31" s="85">
        <f>+'2 Cijfers'!G$47</f>
        <v>669324000</v>
      </c>
      <c r="H31" s="85">
        <f>+'2 Cijfers'!H$47</f>
        <v>0</v>
      </c>
      <c r="I31" s="85">
        <f>+'2 Cijfers'!I$47</f>
        <v>0</v>
      </c>
    </row>
    <row r="33" spans="1:9" ht="15.5" x14ac:dyDescent="0.35">
      <c r="A33" s="353" t="s">
        <v>1127</v>
      </c>
      <c r="B33" s="599" t="s">
        <v>1128</v>
      </c>
      <c r="C33" s="599"/>
      <c r="D33" s="599"/>
      <c r="E33" s="599"/>
      <c r="F33" s="599"/>
      <c r="G33" s="520">
        <f>+Start!B8</f>
        <v>0</v>
      </c>
      <c r="H33" s="521"/>
      <c r="I33" s="522"/>
    </row>
    <row r="35" spans="1:9" x14ac:dyDescent="0.35">
      <c r="A35" s="339" t="s">
        <v>1111</v>
      </c>
      <c r="B35" s="340">
        <v>2017</v>
      </c>
      <c r="C35" s="340">
        <v>2018</v>
      </c>
      <c r="D35" s="340">
        <v>2019</v>
      </c>
      <c r="E35" s="340">
        <v>2020</v>
      </c>
      <c r="F35" s="340">
        <v>2021</v>
      </c>
      <c r="G35" s="340">
        <v>2022</v>
      </c>
      <c r="H35" s="340">
        <v>2023</v>
      </c>
      <c r="I35" s="340">
        <v>2024</v>
      </c>
    </row>
    <row r="36" spans="1:9" x14ac:dyDescent="0.35">
      <c r="A36" s="130" t="s">
        <v>2</v>
      </c>
      <c r="B36" s="132">
        <f t="shared" ref="B36:I37" si="7">MROUND(+B47*B61,1000)</f>
        <v>0</v>
      </c>
      <c r="C36" s="132">
        <f t="shared" si="7"/>
        <v>0</v>
      </c>
      <c r="D36" s="132">
        <f t="shared" si="7"/>
        <v>0</v>
      </c>
      <c r="E36" s="132">
        <f t="shared" si="7"/>
        <v>0</v>
      </c>
      <c r="F36" s="132">
        <f t="shared" si="7"/>
        <v>0</v>
      </c>
      <c r="G36" s="132">
        <f t="shared" si="7"/>
        <v>0</v>
      </c>
      <c r="H36" s="132">
        <f t="shared" si="7"/>
        <v>0</v>
      </c>
      <c r="I36" s="132">
        <f t="shared" si="7"/>
        <v>0</v>
      </c>
    </row>
    <row r="37" spans="1:9" x14ac:dyDescent="0.35">
      <c r="A37" s="130" t="s">
        <v>990</v>
      </c>
      <c r="B37" s="132">
        <f t="shared" si="7"/>
        <v>0</v>
      </c>
      <c r="C37" s="132">
        <f t="shared" si="7"/>
        <v>0</v>
      </c>
      <c r="D37" s="132">
        <f t="shared" si="7"/>
        <v>0</v>
      </c>
      <c r="E37" s="132">
        <f t="shared" si="7"/>
        <v>0</v>
      </c>
      <c r="F37" s="132">
        <f t="shared" si="7"/>
        <v>0</v>
      </c>
      <c r="G37" s="132">
        <f t="shared" si="7"/>
        <v>0</v>
      </c>
      <c r="H37" s="132">
        <f t="shared" si="7"/>
        <v>0</v>
      </c>
      <c r="I37" s="132">
        <f t="shared" si="7"/>
        <v>0</v>
      </c>
    </row>
    <row r="38" spans="1:9" x14ac:dyDescent="0.35">
      <c r="A38" s="130" t="s">
        <v>1090</v>
      </c>
      <c r="B38" s="132">
        <f>+B58</f>
        <v>0</v>
      </c>
      <c r="C38" s="132">
        <f t="shared" ref="C38:I38" si="8">+C58</f>
        <v>0</v>
      </c>
      <c r="D38" s="132">
        <f t="shared" si="8"/>
        <v>0</v>
      </c>
      <c r="E38" s="132">
        <f t="shared" si="8"/>
        <v>0</v>
      </c>
      <c r="F38" s="132">
        <f t="shared" si="8"/>
        <v>0</v>
      </c>
      <c r="G38" s="132">
        <f t="shared" si="8"/>
        <v>0</v>
      </c>
      <c r="H38" s="132">
        <f t="shared" si="8"/>
        <v>0</v>
      </c>
      <c r="I38" s="132">
        <f t="shared" si="8"/>
        <v>0</v>
      </c>
    </row>
    <row r="39" spans="1:9" x14ac:dyDescent="0.35">
      <c r="A39" s="130" t="s">
        <v>1096</v>
      </c>
      <c r="B39" s="132">
        <f>MROUND(+$B51*'Recap circulaires'!$C$3,1000)</f>
        <v>0</v>
      </c>
      <c r="C39" s="132">
        <f>MROUND(+$C51*'Recap circulaires'!$D$3,1000)</f>
        <v>0</v>
      </c>
      <c r="D39" s="581"/>
      <c r="E39" s="582"/>
      <c r="F39" s="582"/>
      <c r="G39" s="582"/>
      <c r="H39" s="582"/>
      <c r="I39" s="583"/>
    </row>
    <row r="40" spans="1:9" x14ac:dyDescent="0.35">
      <c r="A40" s="69" t="s">
        <v>1125</v>
      </c>
      <c r="B40" s="319">
        <f>SUM(B36:B39)</f>
        <v>0</v>
      </c>
      <c r="C40" s="319">
        <f t="shared" ref="C40:I40" si="9">SUM(C36:C39)</f>
        <v>0</v>
      </c>
      <c r="D40" s="319">
        <f t="shared" si="9"/>
        <v>0</v>
      </c>
      <c r="E40" s="319">
        <f t="shared" si="9"/>
        <v>0</v>
      </c>
      <c r="F40" s="319">
        <f t="shared" si="9"/>
        <v>0</v>
      </c>
      <c r="G40" s="319">
        <f t="shared" si="9"/>
        <v>0</v>
      </c>
      <c r="H40" s="319">
        <f t="shared" si="9"/>
        <v>0</v>
      </c>
      <c r="I40" s="319">
        <f t="shared" si="9"/>
        <v>0</v>
      </c>
    </row>
    <row r="41" spans="1:9" x14ac:dyDescent="0.35">
      <c r="A41" s="130" t="s">
        <v>1097</v>
      </c>
      <c r="B41" s="584"/>
      <c r="C41" s="585"/>
      <c r="D41" s="119">
        <f>MROUND(+$D51*'Recap circulaires'!E$9*'Recap circulaires'!E$20*1000,1000)</f>
        <v>0</v>
      </c>
      <c r="E41" s="119">
        <f>MROUND(+$D51*'Recap circulaires'!F$9*'Recap circulaires'!F$20*1000,1000)</f>
        <v>0</v>
      </c>
      <c r="F41" s="119">
        <f>MROUND(+$D51*'Recap circulaires'!G$9*'Recap circulaires'!G$20*1000,1000)</f>
        <v>0</v>
      </c>
      <c r="G41" s="119">
        <f>MROUND(+$D51*'Recap circulaires'!H$9*'Recap circulaires'!H$20*1000,1000)</f>
        <v>0</v>
      </c>
      <c r="H41" s="119">
        <f>MROUND(+$D51*'Recap circulaires'!I$9*'Recap circulaires'!I$20*1000,1000)</f>
        <v>0</v>
      </c>
      <c r="I41" s="119">
        <f>MROUND(+$D51*'Recap circulaires'!J$9*'Recap circulaires'!J$20*1000,1000)</f>
        <v>0</v>
      </c>
    </row>
    <row r="42" spans="1:9" x14ac:dyDescent="0.35">
      <c r="A42" s="130" t="s">
        <v>1098</v>
      </c>
      <c r="B42" s="586"/>
      <c r="C42" s="587"/>
      <c r="D42" s="119">
        <f>IF(Start!B8&gt;0,VLOOKUP(Start!$N$8,'Suppletie 2019'!$B$7:$G$366,6,FALSE),0)</f>
        <v>0</v>
      </c>
      <c r="E42" s="590"/>
      <c r="F42" s="591"/>
      <c r="G42" s="591"/>
      <c r="H42" s="591"/>
      <c r="I42" s="592"/>
    </row>
    <row r="43" spans="1:9" x14ac:dyDescent="0.35">
      <c r="A43" s="69" t="s">
        <v>1095</v>
      </c>
      <c r="B43" s="588"/>
      <c r="C43" s="589"/>
      <c r="D43" s="331">
        <f>SUM(D41:D42)</f>
        <v>0</v>
      </c>
      <c r="E43" s="331">
        <f t="shared" ref="E43:I43" si="10">SUM(E41:E42)</f>
        <v>0</v>
      </c>
      <c r="F43" s="331">
        <f t="shared" si="10"/>
        <v>0</v>
      </c>
      <c r="G43" s="331">
        <f t="shared" si="10"/>
        <v>0</v>
      </c>
      <c r="H43" s="331">
        <f t="shared" si="10"/>
        <v>0</v>
      </c>
      <c r="I43" s="331">
        <f t="shared" si="10"/>
        <v>0</v>
      </c>
    </row>
    <row r="44" spans="1:9" x14ac:dyDescent="0.35">
      <c r="A44" s="69" t="s">
        <v>1094</v>
      </c>
      <c r="B44" s="195">
        <f>SUM(B40:B41)</f>
        <v>0</v>
      </c>
      <c r="C44" s="195">
        <f>SUM(C40:C41)</f>
        <v>0</v>
      </c>
      <c r="D44" s="195">
        <f>+D40+D43</f>
        <v>0</v>
      </c>
      <c r="E44" s="195">
        <f t="shared" ref="E44:I44" si="11">+E40+E43</f>
        <v>0</v>
      </c>
      <c r="F44" s="195">
        <f t="shared" si="11"/>
        <v>0</v>
      </c>
      <c r="G44" s="195">
        <f t="shared" si="11"/>
        <v>0</v>
      </c>
      <c r="H44" s="195">
        <f t="shared" si="11"/>
        <v>0</v>
      </c>
      <c r="I44" s="195">
        <f t="shared" si="11"/>
        <v>0</v>
      </c>
    </row>
    <row r="45" spans="1:9" x14ac:dyDescent="0.35">
      <c r="B45" s="68"/>
    </row>
    <row r="46" spans="1:9" x14ac:dyDescent="0.35">
      <c r="A46" s="339" t="s">
        <v>1113</v>
      </c>
      <c r="B46" s="340">
        <v>2017</v>
      </c>
      <c r="C46" s="340">
        <v>2018</v>
      </c>
      <c r="D46" s="340">
        <v>2019</v>
      </c>
      <c r="E46" s="340">
        <v>2020</v>
      </c>
      <c r="F46" s="340">
        <v>2021</v>
      </c>
      <c r="G46" s="340">
        <v>2022</v>
      </c>
      <c r="H46" s="340">
        <v>2023</v>
      </c>
      <c r="I46" s="340">
        <v>2024</v>
      </c>
    </row>
    <row r="47" spans="1:9" x14ac:dyDescent="0.35">
      <c r="A47" s="197" t="s">
        <v>2</v>
      </c>
      <c r="B47" s="200">
        <f>IF(Start!B8&gt;0,VLOOKUP(Start!$M$8,'CBS budgetaandelen'!$A$7:$G$363,6,FALSE),0)</f>
        <v>0</v>
      </c>
      <c r="C47" s="268">
        <f>+B47</f>
        <v>0</v>
      </c>
      <c r="D47" s="268">
        <f t="shared" ref="D47" si="12">+C47</f>
        <v>0</v>
      </c>
      <c r="E47" s="268">
        <f t="shared" ref="E47" si="13">+D47</f>
        <v>0</v>
      </c>
      <c r="F47" s="268">
        <f t="shared" ref="F47" si="14">+E47</f>
        <v>0</v>
      </c>
      <c r="G47" s="268">
        <f t="shared" ref="G47" si="15">+F47</f>
        <v>0</v>
      </c>
      <c r="H47" s="268">
        <f t="shared" ref="H47" si="16">+G47</f>
        <v>0</v>
      </c>
      <c r="I47" s="268">
        <f t="shared" ref="I47" si="17">+H47</f>
        <v>0</v>
      </c>
    </row>
    <row r="48" spans="1:9" x14ac:dyDescent="0.35">
      <c r="A48" s="131" t="s">
        <v>990</v>
      </c>
      <c r="B48" s="200">
        <f>IF(Start!B8&gt;0,VLOOKUP(Start!$M$8,'CBS budgetaandelen'!$A$7:$G$363,7,FALSE),0)</f>
        <v>0</v>
      </c>
      <c r="C48" s="200">
        <f>+B48</f>
        <v>0</v>
      </c>
      <c r="D48" s="199">
        <f>IF(Start!$B8&gt;0,MAX(D50/D62,$C48),0)</f>
        <v>0</v>
      </c>
      <c r="E48" s="199">
        <f>IF(Start!$B8&gt;0,MAX(E50/E62,$C48),0)</f>
        <v>0</v>
      </c>
      <c r="F48" s="199">
        <f>IF(Start!$B8&gt;0,MAX(F50/F62,$C48),0)</f>
        <v>0</v>
      </c>
      <c r="G48" s="199">
        <f>IF(Start!$B8&gt;0,MAX(G50/G62,$C48),0)</f>
        <v>0</v>
      </c>
      <c r="H48" s="199">
        <f>IF(Start!$B8&gt;0,MAX(H50/H62,$C48),0)</f>
        <v>0</v>
      </c>
      <c r="I48" s="199">
        <f>IF(Start!$B8&gt;0,MAX(I50/I62,$C48),0)</f>
        <v>0</v>
      </c>
    </row>
    <row r="49" spans="1:9" x14ac:dyDescent="0.35">
      <c r="A49" s="131"/>
      <c r="B49" s="130"/>
      <c r="C49" s="201"/>
      <c r="D49" s="593" t="s">
        <v>1018</v>
      </c>
      <c r="E49" s="594"/>
      <c r="F49" s="594"/>
      <c r="G49" s="594"/>
      <c r="H49" s="594"/>
      <c r="I49" s="595"/>
    </row>
    <row r="50" spans="1:9" x14ac:dyDescent="0.35">
      <c r="A50" s="131" t="s">
        <v>1089</v>
      </c>
      <c r="B50" s="198">
        <v>8500</v>
      </c>
      <c r="C50" s="198">
        <v>8500</v>
      </c>
      <c r="D50" s="85">
        <v>8800</v>
      </c>
      <c r="E50" s="132">
        <v>8800</v>
      </c>
      <c r="F50" s="132">
        <v>7500</v>
      </c>
      <c r="G50" s="132">
        <v>7500</v>
      </c>
      <c r="H50" s="132">
        <v>7500</v>
      </c>
      <c r="I50" s="132">
        <v>7500</v>
      </c>
    </row>
    <row r="51" spans="1:9" x14ac:dyDescent="0.35">
      <c r="A51" s="131" t="s">
        <v>992</v>
      </c>
      <c r="B51" s="200">
        <f>IF(Start!$B8&gt;0,VLOOKUP(Start!$N$8,'Budgetaandelen klassiek'!$A$3:$K$348,8,FALSE)/1000,0)</f>
        <v>0</v>
      </c>
      <c r="C51" s="200">
        <f>IF(Start!$B8&gt;0,VLOOKUP(Start!$N$8,'Budgetaandelen klassiek'!$A$3:$K$348,9,FALSE)/1000,0)</f>
        <v>0</v>
      </c>
      <c r="D51" s="200">
        <f>IF(Start!$B8&gt;0,VLOOKUP(Start!$N$8,'Budgetaandelen klassiek'!$A$3:$K$348,11,FALSE)/1000,0)</f>
        <v>0</v>
      </c>
      <c r="E51" s="200">
        <f>IF(Start!$B8&gt;0,VLOOKUP(Start!$N$8,'Budgetaandelen klassiek'!$A$3:$K$348,11,FALSE)/1000,0)</f>
        <v>0</v>
      </c>
      <c r="F51" s="200">
        <f>IF(Start!$B8&gt;0,VLOOKUP(Start!$N$8,'Budgetaandelen klassiek'!$A$3:$K$348,11,FALSE)/1000,0)</f>
        <v>0</v>
      </c>
      <c r="G51" s="200">
        <f>IF(Start!$B8&gt;0,VLOOKUP(Start!$N$8,'Budgetaandelen klassiek'!$A$3:$K$348,11,FALSE)/1000,0)</f>
        <v>0</v>
      </c>
      <c r="H51" s="200">
        <f>IF(Start!$B8&gt;0,VLOOKUP(Start!$N$8,'Budgetaandelen klassiek'!$A$3:$K$348,11,FALSE)/1000,0)</f>
        <v>0</v>
      </c>
      <c r="I51" s="200">
        <f>IF(Start!$B8&gt;0,VLOOKUP(Start!$N$8,'Budgetaandelen klassiek'!$A$3:$K$348,11,FALSE)/1000,0)</f>
        <v>0</v>
      </c>
    </row>
    <row r="52" spans="1:9" x14ac:dyDescent="0.35">
      <c r="A52" s="131" t="s">
        <v>1040</v>
      </c>
      <c r="B52" s="596"/>
      <c r="C52" s="597"/>
      <c r="D52" s="200">
        <f>(+D41+D42)/D63</f>
        <v>0</v>
      </c>
      <c r="E52" s="596"/>
      <c r="F52" s="598"/>
      <c r="G52" s="598"/>
      <c r="H52" s="598"/>
      <c r="I52" s="597"/>
    </row>
    <row r="54" spans="1:9" x14ac:dyDescent="0.35">
      <c r="A54" s="339" t="s">
        <v>1114</v>
      </c>
      <c r="B54" s="340">
        <v>2017</v>
      </c>
      <c r="C54" s="340">
        <v>2018</v>
      </c>
      <c r="D54" s="340">
        <v>2019</v>
      </c>
      <c r="E54" s="340">
        <v>2020</v>
      </c>
      <c r="F54" s="340">
        <v>2021</v>
      </c>
      <c r="G54" s="340">
        <v>2022</v>
      </c>
      <c r="H54" s="340">
        <v>2023</v>
      </c>
      <c r="I54" s="340">
        <v>2024</v>
      </c>
    </row>
    <row r="55" spans="1:9" x14ac:dyDescent="0.35">
      <c r="A55" s="131" t="s">
        <v>1064</v>
      </c>
      <c r="B55" s="314">
        <f>IF(Start!$B8&gt;0,VLOOKUP(Start!$N$8,'Taakstelling Nw Beschut'!$A$3:$I$355,3,FALSE),0)</f>
        <v>0</v>
      </c>
      <c r="C55" s="314">
        <f>IF(Start!$B8&gt;0,VLOOKUP(Start!$N$8,'Taakstelling Nw Beschut'!$A$3:$I$355,4,FALSE),0)</f>
        <v>0</v>
      </c>
      <c r="D55" s="314">
        <f>IF(Start!$B8&gt;0,VLOOKUP(Start!$N$8,'Taakstelling Nw Beschut'!$A$3:$I$355,5,FALSE),0)</f>
        <v>0</v>
      </c>
      <c r="E55" s="314">
        <f>IF(Start!$B8&gt;0,VLOOKUP(Start!$N$8,'Taakstelling Nw Beschut'!$A$3:$I$355,6,FALSE),0)</f>
        <v>0</v>
      </c>
      <c r="F55" s="314">
        <f>IF(Start!$B8&gt;0,VLOOKUP(Start!$N$8,'Taakstelling Nw Beschut'!$A$3:$I$355,7,FALSE),0)</f>
        <v>0</v>
      </c>
      <c r="G55" s="314">
        <f>IF(Start!$B8&gt;0,VLOOKUP(Start!$N$8,'Taakstelling Nw Beschut'!$A$3:$I$355,8,FALSE),0)</f>
        <v>0</v>
      </c>
      <c r="H55" s="314">
        <f>IF(Start!$B8&gt;0,VLOOKUP(Start!$N$8,'Taakstelling Nw Beschut'!$A$3:$I$355,9,FALSE),0)</f>
        <v>0</v>
      </c>
      <c r="I55" s="313"/>
    </row>
    <row r="56" spans="1:9" x14ac:dyDescent="0.35">
      <c r="A56" s="131" t="s">
        <v>1081</v>
      </c>
      <c r="B56" s="314">
        <f>IF(Start!$B8&gt;0,VLOOKUP(Start!$B$8,'Bonus Nw Beschut'!$A$6:$N$360,9,FALSE),0)</f>
        <v>0</v>
      </c>
      <c r="C56" s="314">
        <f>IF(Start!$B8&gt;0,VLOOKUP(Start!$B$8,'Bonus Nw Beschut'!$A$6:$N$360,14,FALSE),0)</f>
        <v>0</v>
      </c>
      <c r="D56" s="314"/>
      <c r="E56" s="314"/>
      <c r="F56" s="314"/>
      <c r="G56" s="314"/>
      <c r="H56" s="314"/>
      <c r="I56" s="318"/>
    </row>
    <row r="57" spans="1:9" x14ac:dyDescent="0.35">
      <c r="A57" s="326" t="s">
        <v>1082</v>
      </c>
      <c r="B57" s="327">
        <f>+B56-B55</f>
        <v>0</v>
      </c>
      <c r="C57" s="327">
        <f t="shared" ref="C57:H57" si="18">+C56-C55</f>
        <v>0</v>
      </c>
      <c r="D57" s="327">
        <f t="shared" si="18"/>
        <v>0</v>
      </c>
      <c r="E57" s="327">
        <f t="shared" si="18"/>
        <v>0</v>
      </c>
      <c r="F57" s="327">
        <f t="shared" si="18"/>
        <v>0</v>
      </c>
      <c r="G57" s="327">
        <f t="shared" si="18"/>
        <v>0</v>
      </c>
      <c r="H57" s="327">
        <f t="shared" si="18"/>
        <v>0</v>
      </c>
      <c r="I57" s="327"/>
    </row>
    <row r="58" spans="1:9" x14ac:dyDescent="0.35">
      <c r="A58" s="131" t="s">
        <v>1083</v>
      </c>
      <c r="B58" s="317">
        <f>IF(Start!$B8&gt;0,VLOOKUP(Start!$B$8,'Bonus Nw Beschut'!$A$6:$N$360,4,FALSE),0)</f>
        <v>0</v>
      </c>
      <c r="C58" s="317">
        <f>IF(Start!$B8&gt;0,VLOOKUP(Start!$B$8,'Bonus Nw Beschut'!$A$6:$N$360,8,FALSE),0)</f>
        <v>0</v>
      </c>
      <c r="D58" s="317">
        <f>IF(Start!$B8&gt;0,VLOOKUP(Start!$B$8,'Bonus Nw Beschut'!$A$6:$N$360,13,FALSE),0)</f>
        <v>0</v>
      </c>
      <c r="E58" s="317"/>
      <c r="F58" s="317"/>
      <c r="G58" s="317"/>
      <c r="H58" s="317"/>
      <c r="I58" s="317"/>
    </row>
    <row r="59" spans="1:9" x14ac:dyDescent="0.35">
      <c r="A59" s="312"/>
      <c r="B59" s="354"/>
      <c r="C59" s="354"/>
      <c r="D59" s="354"/>
      <c r="E59" s="354"/>
      <c r="F59" s="354"/>
      <c r="G59" s="354"/>
      <c r="H59" s="354"/>
      <c r="I59" s="354"/>
    </row>
    <row r="60" spans="1:9" x14ac:dyDescent="0.35">
      <c r="A60" s="339" t="s">
        <v>1108</v>
      </c>
      <c r="B60" s="340">
        <v>2017</v>
      </c>
      <c r="C60" s="340">
        <v>2018</v>
      </c>
      <c r="D60" s="340">
        <v>2019</v>
      </c>
      <c r="E60" s="340">
        <v>2020</v>
      </c>
      <c r="F60" s="340">
        <v>2021</v>
      </c>
      <c r="G60" s="340">
        <v>2022</v>
      </c>
      <c r="H60" s="340">
        <v>2023</v>
      </c>
      <c r="I60" s="340">
        <v>2024</v>
      </c>
    </row>
    <row r="61" spans="1:9" x14ac:dyDescent="0.35">
      <c r="A61" s="130" t="s">
        <v>2</v>
      </c>
      <c r="B61" s="85">
        <f>+'2 Cijfers'!B$45</f>
        <v>29034000</v>
      </c>
      <c r="C61" s="85">
        <f>+'2 Cijfers'!C$45</f>
        <v>39769000</v>
      </c>
      <c r="D61" s="85">
        <f>+'2 Cijfers'!D$45</f>
        <v>50831000</v>
      </c>
      <c r="E61" s="85">
        <f>+'2 Cijfers'!E$45</f>
        <v>50310000</v>
      </c>
      <c r="F61" s="85">
        <f>+'2 Cijfers'!F$45</f>
        <v>50657000</v>
      </c>
      <c r="G61" s="85">
        <f>+'2 Cijfers'!G$45</f>
        <v>55146000</v>
      </c>
      <c r="H61" s="85">
        <f>+'2 Cijfers'!H$45</f>
        <v>0</v>
      </c>
      <c r="I61" s="85">
        <f>+'2 Cijfers'!I$45</f>
        <v>0</v>
      </c>
    </row>
    <row r="62" spans="1:9" x14ac:dyDescent="0.35">
      <c r="A62" s="130" t="s">
        <v>990</v>
      </c>
      <c r="B62" s="85">
        <f>+'2 Cijfers'!B$46</f>
        <v>60819000</v>
      </c>
      <c r="C62" s="85">
        <f>+'2 Cijfers'!C$46</f>
        <v>83357000</v>
      </c>
      <c r="D62" s="85">
        <f>+'2 Cijfers'!D$46</f>
        <v>95628000</v>
      </c>
      <c r="E62" s="85">
        <f>+'2 Cijfers'!E$46</f>
        <v>103786000</v>
      </c>
      <c r="F62" s="85">
        <f>+'2 Cijfers'!F$46</f>
        <v>106066999.99999999</v>
      </c>
      <c r="G62" s="85">
        <f>+'2 Cijfers'!G$46</f>
        <v>122335000</v>
      </c>
      <c r="H62" s="85">
        <f>+'2 Cijfers'!H$46</f>
        <v>80236000</v>
      </c>
      <c r="I62" s="85">
        <f>+'2 Cijfers'!I$46</f>
        <v>87387000</v>
      </c>
    </row>
    <row r="63" spans="1:9" x14ac:dyDescent="0.35">
      <c r="A63" s="130" t="s">
        <v>1109</v>
      </c>
      <c r="B63" s="85">
        <f>+'2 Cijfers'!B$47</f>
        <v>522856000</v>
      </c>
      <c r="C63" s="85">
        <f>+'2 Cijfers'!C$47</f>
        <v>511136000</v>
      </c>
      <c r="D63" s="85">
        <f>+'2 Cijfers'!D$47</f>
        <v>518005000</v>
      </c>
      <c r="E63" s="85">
        <f>+'2 Cijfers'!E$47</f>
        <v>541902000</v>
      </c>
      <c r="F63" s="85">
        <f>+'2 Cijfers'!F$47</f>
        <v>705913000</v>
      </c>
      <c r="G63" s="85">
        <f>+'2 Cijfers'!G$47</f>
        <v>669324000</v>
      </c>
      <c r="H63" s="85">
        <f>+'2 Cijfers'!H$47</f>
        <v>0</v>
      </c>
      <c r="I63" s="85">
        <f>+'2 Cijfers'!I$47</f>
        <v>0</v>
      </c>
    </row>
    <row r="65" spans="1:9" ht="15.5" x14ac:dyDescent="0.35">
      <c r="A65" s="353" t="s">
        <v>1127</v>
      </c>
      <c r="B65" s="599" t="s">
        <v>1128</v>
      </c>
      <c r="C65" s="599"/>
      <c r="D65" s="599"/>
      <c r="E65" s="599"/>
      <c r="F65" s="599"/>
      <c r="G65" s="520">
        <f>+Start!B9</f>
        <v>0</v>
      </c>
      <c r="H65" s="521"/>
      <c r="I65" s="522"/>
    </row>
    <row r="67" spans="1:9" x14ac:dyDescent="0.35">
      <c r="A67" s="339" t="s">
        <v>1111</v>
      </c>
      <c r="B67" s="340">
        <v>2017</v>
      </c>
      <c r="C67" s="340">
        <v>2018</v>
      </c>
      <c r="D67" s="340">
        <v>2019</v>
      </c>
      <c r="E67" s="340">
        <v>2020</v>
      </c>
      <c r="F67" s="340">
        <v>2021</v>
      </c>
      <c r="G67" s="340">
        <v>2022</v>
      </c>
      <c r="H67" s="340">
        <v>2023</v>
      </c>
      <c r="I67" s="340">
        <v>2024</v>
      </c>
    </row>
    <row r="68" spans="1:9" x14ac:dyDescent="0.35">
      <c r="A68" s="130" t="s">
        <v>2</v>
      </c>
      <c r="B68" s="132">
        <f t="shared" ref="B68:I69" si="19">MROUND(+B79*B93,1000)</f>
        <v>0</v>
      </c>
      <c r="C68" s="132">
        <f t="shared" si="19"/>
        <v>0</v>
      </c>
      <c r="D68" s="132">
        <f t="shared" si="19"/>
        <v>0</v>
      </c>
      <c r="E68" s="132">
        <f t="shared" si="19"/>
        <v>0</v>
      </c>
      <c r="F68" s="132">
        <f t="shared" si="19"/>
        <v>0</v>
      </c>
      <c r="G68" s="132">
        <f t="shared" si="19"/>
        <v>0</v>
      </c>
      <c r="H68" s="132">
        <f t="shared" si="19"/>
        <v>0</v>
      </c>
      <c r="I68" s="132">
        <f t="shared" si="19"/>
        <v>0</v>
      </c>
    </row>
    <row r="69" spans="1:9" x14ac:dyDescent="0.35">
      <c r="A69" s="130" t="s">
        <v>990</v>
      </c>
      <c r="B69" s="132">
        <f t="shared" si="19"/>
        <v>0</v>
      </c>
      <c r="C69" s="132">
        <f t="shared" si="19"/>
        <v>0</v>
      </c>
      <c r="D69" s="132">
        <f t="shared" si="19"/>
        <v>0</v>
      </c>
      <c r="E69" s="132">
        <f t="shared" si="19"/>
        <v>0</v>
      </c>
      <c r="F69" s="132">
        <f t="shared" si="19"/>
        <v>0</v>
      </c>
      <c r="G69" s="132">
        <f t="shared" si="19"/>
        <v>0</v>
      </c>
      <c r="H69" s="132">
        <f t="shared" si="19"/>
        <v>0</v>
      </c>
      <c r="I69" s="132">
        <f t="shared" si="19"/>
        <v>0</v>
      </c>
    </row>
    <row r="70" spans="1:9" x14ac:dyDescent="0.35">
      <c r="A70" s="130" t="s">
        <v>1090</v>
      </c>
      <c r="B70" s="132">
        <f>+B90</f>
        <v>0</v>
      </c>
      <c r="C70" s="132">
        <f t="shared" ref="C70:I70" si="20">+C90</f>
        <v>0</v>
      </c>
      <c r="D70" s="132">
        <f t="shared" si="20"/>
        <v>0</v>
      </c>
      <c r="E70" s="132">
        <f t="shared" si="20"/>
        <v>0</v>
      </c>
      <c r="F70" s="132">
        <f t="shared" si="20"/>
        <v>0</v>
      </c>
      <c r="G70" s="132">
        <f t="shared" si="20"/>
        <v>0</v>
      </c>
      <c r="H70" s="132">
        <f t="shared" si="20"/>
        <v>0</v>
      </c>
      <c r="I70" s="132">
        <f t="shared" si="20"/>
        <v>0</v>
      </c>
    </row>
    <row r="71" spans="1:9" x14ac:dyDescent="0.35">
      <c r="A71" s="130" t="s">
        <v>1096</v>
      </c>
      <c r="B71" s="132">
        <f>MROUND(+$B83*'Recap circulaires'!$C$3,1000)</f>
        <v>0</v>
      </c>
      <c r="C71" s="132">
        <f>MROUND(+$C83*'Recap circulaires'!$D$3,1000)</f>
        <v>0</v>
      </c>
      <c r="D71" s="581"/>
      <c r="E71" s="582"/>
      <c r="F71" s="582"/>
      <c r="G71" s="582"/>
      <c r="H71" s="582"/>
      <c r="I71" s="583"/>
    </row>
    <row r="72" spans="1:9" x14ac:dyDescent="0.35">
      <c r="A72" s="69" t="s">
        <v>1125</v>
      </c>
      <c r="B72" s="319">
        <f>SUM(B68:B71)</f>
        <v>0</v>
      </c>
      <c r="C72" s="319">
        <f t="shared" ref="C72:I72" si="21">SUM(C68:C71)</f>
        <v>0</v>
      </c>
      <c r="D72" s="319">
        <f t="shared" si="21"/>
        <v>0</v>
      </c>
      <c r="E72" s="319">
        <f t="shared" si="21"/>
        <v>0</v>
      </c>
      <c r="F72" s="319">
        <f t="shared" si="21"/>
        <v>0</v>
      </c>
      <c r="G72" s="319">
        <f t="shared" si="21"/>
        <v>0</v>
      </c>
      <c r="H72" s="319">
        <f t="shared" si="21"/>
        <v>0</v>
      </c>
      <c r="I72" s="319">
        <f t="shared" si="21"/>
        <v>0</v>
      </c>
    </row>
    <row r="73" spans="1:9" x14ac:dyDescent="0.35">
      <c r="A73" s="130" t="s">
        <v>1097</v>
      </c>
      <c r="B73" s="584"/>
      <c r="C73" s="585"/>
      <c r="D73" s="119">
        <f>MROUND(+$D83*'Recap circulaires'!E$9*'Recap circulaires'!E$20*1000,1000)</f>
        <v>0</v>
      </c>
      <c r="E73" s="119">
        <f>MROUND(+$D83*'Recap circulaires'!F$9*'Recap circulaires'!F$20*1000,1000)</f>
        <v>0</v>
      </c>
      <c r="F73" s="119">
        <f>MROUND(+$D83*'Recap circulaires'!G$9*'Recap circulaires'!G$20*1000,1000)</f>
        <v>0</v>
      </c>
      <c r="G73" s="119">
        <f>MROUND(+$D83*'Recap circulaires'!H$9*'Recap circulaires'!H$20*1000,1000)</f>
        <v>0</v>
      </c>
      <c r="H73" s="119">
        <f>MROUND(+$D83*'Recap circulaires'!I$9*'Recap circulaires'!I$20*1000,1000)</f>
        <v>0</v>
      </c>
      <c r="I73" s="119">
        <f>MROUND(+$D83*'Recap circulaires'!J$9*'Recap circulaires'!J$20*1000,1000)</f>
        <v>0</v>
      </c>
    </row>
    <row r="74" spans="1:9" x14ac:dyDescent="0.35">
      <c r="A74" s="130" t="s">
        <v>1098</v>
      </c>
      <c r="B74" s="586"/>
      <c r="C74" s="587"/>
      <c r="D74" s="119">
        <f>IF(Start!B9&gt;0,VLOOKUP(Start!$N$9,'Suppletie 2019'!$B$7:$G$366,6,FALSE),0)</f>
        <v>0</v>
      </c>
      <c r="E74" s="590"/>
      <c r="F74" s="591"/>
      <c r="G74" s="591"/>
      <c r="H74" s="591"/>
      <c r="I74" s="592"/>
    </row>
    <row r="75" spans="1:9" x14ac:dyDescent="0.35">
      <c r="A75" s="69" t="s">
        <v>1095</v>
      </c>
      <c r="B75" s="588"/>
      <c r="C75" s="589"/>
      <c r="D75" s="331">
        <f>SUM(D73:D74)</f>
        <v>0</v>
      </c>
      <c r="E75" s="331">
        <f t="shared" ref="E75:I75" si="22">SUM(E73:E74)</f>
        <v>0</v>
      </c>
      <c r="F75" s="331">
        <f t="shared" si="22"/>
        <v>0</v>
      </c>
      <c r="G75" s="331">
        <f t="shared" si="22"/>
        <v>0</v>
      </c>
      <c r="H75" s="331">
        <f t="shared" si="22"/>
        <v>0</v>
      </c>
      <c r="I75" s="331">
        <f t="shared" si="22"/>
        <v>0</v>
      </c>
    </row>
    <row r="76" spans="1:9" x14ac:dyDescent="0.35">
      <c r="A76" s="69" t="s">
        <v>1094</v>
      </c>
      <c r="B76" s="195">
        <f>SUM(B72:B73)</f>
        <v>0</v>
      </c>
      <c r="C76" s="195">
        <f>SUM(C72:C73)</f>
        <v>0</v>
      </c>
      <c r="D76" s="195">
        <f>+D72+D75</f>
        <v>0</v>
      </c>
      <c r="E76" s="195">
        <f t="shared" ref="E76:I76" si="23">+E72+E75</f>
        <v>0</v>
      </c>
      <c r="F76" s="195">
        <f t="shared" si="23"/>
        <v>0</v>
      </c>
      <c r="G76" s="195">
        <f t="shared" si="23"/>
        <v>0</v>
      </c>
      <c r="H76" s="195">
        <f t="shared" si="23"/>
        <v>0</v>
      </c>
      <c r="I76" s="195">
        <f t="shared" si="23"/>
        <v>0</v>
      </c>
    </row>
    <row r="77" spans="1:9" x14ac:dyDescent="0.35">
      <c r="B77" s="68"/>
    </row>
    <row r="78" spans="1:9" x14ac:dyDescent="0.35">
      <c r="A78" s="339" t="s">
        <v>1113</v>
      </c>
      <c r="B78" s="340">
        <v>2017</v>
      </c>
      <c r="C78" s="340">
        <v>2018</v>
      </c>
      <c r="D78" s="340">
        <v>2019</v>
      </c>
      <c r="E78" s="340">
        <v>2020</v>
      </c>
      <c r="F78" s="340">
        <v>2021</v>
      </c>
      <c r="G78" s="340">
        <v>2022</v>
      </c>
      <c r="H78" s="340">
        <v>2023</v>
      </c>
      <c r="I78" s="340">
        <v>2024</v>
      </c>
    </row>
    <row r="79" spans="1:9" x14ac:dyDescent="0.35">
      <c r="A79" s="197" t="s">
        <v>2</v>
      </c>
      <c r="B79" s="200">
        <f>IF(Start!B9&gt;0,VLOOKUP(Start!$M$9,'CBS budgetaandelen'!$A$7:$G$363,6,FALSE),0)</f>
        <v>0</v>
      </c>
      <c r="C79" s="268">
        <f>+B79</f>
        <v>0</v>
      </c>
      <c r="D79" s="268">
        <f t="shared" ref="D79" si="24">+C79</f>
        <v>0</v>
      </c>
      <c r="E79" s="268">
        <f t="shared" ref="E79" si="25">+D79</f>
        <v>0</v>
      </c>
      <c r="F79" s="268">
        <f t="shared" ref="F79" si="26">+E79</f>
        <v>0</v>
      </c>
      <c r="G79" s="268">
        <f t="shared" ref="G79" si="27">+F79</f>
        <v>0</v>
      </c>
      <c r="H79" s="268">
        <f t="shared" ref="H79" si="28">+G79</f>
        <v>0</v>
      </c>
      <c r="I79" s="268">
        <f t="shared" ref="I79" si="29">+H79</f>
        <v>0</v>
      </c>
    </row>
    <row r="80" spans="1:9" x14ac:dyDescent="0.35">
      <c r="A80" s="131" t="s">
        <v>990</v>
      </c>
      <c r="B80" s="200">
        <f>IF(Start!$B9&gt;0,VLOOKUP(Start!$M$9,'CBS budgetaandelen'!$A$7:$G$363,7,FALSE),0)</f>
        <v>0</v>
      </c>
      <c r="C80" s="200">
        <f>+B80</f>
        <v>0</v>
      </c>
      <c r="D80" s="199">
        <f>IF(Start!$B9&gt;0,MAX(D82/D94,$C80),0)</f>
        <v>0</v>
      </c>
      <c r="E80" s="199">
        <f>IF(Start!$B9&gt;0,MAX(E82/E94,$C80),0)</f>
        <v>0</v>
      </c>
      <c r="F80" s="199">
        <f>IF(Start!$B9&gt;0,MAX(F82/F94,$C80),0)</f>
        <v>0</v>
      </c>
      <c r="G80" s="199">
        <f>IF(Start!$B9&gt;0,MAX(G82/G94,$C80),0)</f>
        <v>0</v>
      </c>
      <c r="H80" s="199">
        <f>IF(Start!$B9&gt;0,MAX(H82/H94,$C80),0)</f>
        <v>0</v>
      </c>
      <c r="I80" s="199">
        <f>IF(Start!$B9&gt;0,MAX(I82/I94,$C80),0)</f>
        <v>0</v>
      </c>
    </row>
    <row r="81" spans="1:9" x14ac:dyDescent="0.35">
      <c r="A81" s="131"/>
      <c r="B81" s="130"/>
      <c r="C81" s="201"/>
      <c r="D81" s="593" t="s">
        <v>1018</v>
      </c>
      <c r="E81" s="594"/>
      <c r="F81" s="594"/>
      <c r="G81" s="594"/>
      <c r="H81" s="594"/>
      <c r="I81" s="595"/>
    </row>
    <row r="82" spans="1:9" x14ac:dyDescent="0.35">
      <c r="A82" s="131" t="s">
        <v>1089</v>
      </c>
      <c r="B82" s="198">
        <v>8500</v>
      </c>
      <c r="C82" s="198">
        <v>8500</v>
      </c>
      <c r="D82" s="85">
        <v>8800</v>
      </c>
      <c r="E82" s="132">
        <v>8800</v>
      </c>
      <c r="F82" s="132">
        <v>7500</v>
      </c>
      <c r="G82" s="132">
        <v>7500</v>
      </c>
      <c r="H82" s="132">
        <v>7500</v>
      </c>
      <c r="I82" s="132">
        <v>7500</v>
      </c>
    </row>
    <row r="83" spans="1:9" x14ac:dyDescent="0.35">
      <c r="A83" s="131" t="s">
        <v>992</v>
      </c>
      <c r="B83" s="200">
        <f>IF(Start!$B9&gt;0,VLOOKUP(Start!$N$9,'Budgetaandelen klassiek'!$A$3:$K$348,8,FALSE)/1000,0)</f>
        <v>0</v>
      </c>
      <c r="C83" s="200">
        <f>IF(Start!$B9&gt;0,VLOOKUP(Start!$N$9,'Budgetaandelen klassiek'!$A$3:$K$348,9,FALSE)/1000,0)</f>
        <v>0</v>
      </c>
      <c r="D83" s="200">
        <f>IF(Start!$B9&gt;0,VLOOKUP(Start!$N$9,'Budgetaandelen klassiek'!$A$3:$K$348,11,FALSE)/1000,0)</f>
        <v>0</v>
      </c>
      <c r="E83" s="200">
        <f>IF(Start!$B9&gt;0,VLOOKUP(Start!$N$9,'Budgetaandelen klassiek'!$A$3:$K$348,11,FALSE)/1000,0)</f>
        <v>0</v>
      </c>
      <c r="F83" s="200">
        <f>IF(Start!$B9&gt;0,VLOOKUP(Start!$N$9,'Budgetaandelen klassiek'!$A$3:$K$348,11,FALSE)/1000,0)</f>
        <v>0</v>
      </c>
      <c r="G83" s="200">
        <f>IF(Start!$B9&gt;0,VLOOKUP(Start!$N$9,'Budgetaandelen klassiek'!$A$3:$K$348,11,FALSE)/1000,0)</f>
        <v>0</v>
      </c>
      <c r="H83" s="200">
        <f>IF(Start!$B9&gt;0,VLOOKUP(Start!$N$9,'Budgetaandelen klassiek'!$A$3:$K$348,11,FALSE)/1000,0)</f>
        <v>0</v>
      </c>
      <c r="I83" s="200">
        <f>IF(Start!$B9&gt;0,VLOOKUP(Start!$N$9,'Budgetaandelen klassiek'!$A$3:$K$348,11,FALSE)/1000,0)</f>
        <v>0</v>
      </c>
    </row>
    <row r="84" spans="1:9" x14ac:dyDescent="0.35">
      <c r="A84" s="131" t="s">
        <v>1040</v>
      </c>
      <c r="B84" s="596"/>
      <c r="C84" s="597"/>
      <c r="D84" s="200">
        <f>(+D73+D74)/D95</f>
        <v>0</v>
      </c>
      <c r="E84" s="596"/>
      <c r="F84" s="598"/>
      <c r="G84" s="598"/>
      <c r="H84" s="598"/>
      <c r="I84" s="597"/>
    </row>
    <row r="86" spans="1:9" x14ac:dyDescent="0.35">
      <c r="A86" s="339" t="s">
        <v>1114</v>
      </c>
      <c r="B86" s="340">
        <v>2017</v>
      </c>
      <c r="C86" s="340">
        <v>2018</v>
      </c>
      <c r="D86" s="340">
        <v>2019</v>
      </c>
      <c r="E86" s="340">
        <v>2020</v>
      </c>
      <c r="F86" s="340">
        <v>2021</v>
      </c>
      <c r="G86" s="340">
        <v>2022</v>
      </c>
      <c r="H86" s="340">
        <v>2023</v>
      </c>
      <c r="I86" s="340">
        <v>2024</v>
      </c>
    </row>
    <row r="87" spans="1:9" x14ac:dyDescent="0.35">
      <c r="A87" s="131" t="s">
        <v>1064</v>
      </c>
      <c r="B87" s="314">
        <f>IF(Start!$B9&gt;0,VLOOKUP(Start!$N$9,'Taakstelling Nw Beschut'!$A$3:$I$355,3,FALSE),0)</f>
        <v>0</v>
      </c>
      <c r="C87" s="314">
        <f>IF(Start!$B9&gt;0,VLOOKUP(Start!$N$9,'Taakstelling Nw Beschut'!$A$3:$I$355,4,FALSE),0)</f>
        <v>0</v>
      </c>
      <c r="D87" s="314">
        <f>IF(Start!$B9&gt;0,VLOOKUP(Start!$N$9,'Taakstelling Nw Beschut'!$A$3:$I$355,5,FALSE),0)</f>
        <v>0</v>
      </c>
      <c r="E87" s="314">
        <f>IF(Start!$B9&gt;0,VLOOKUP(Start!$N$9,'Taakstelling Nw Beschut'!$A$3:$I$355,6,FALSE),0)</f>
        <v>0</v>
      </c>
      <c r="F87" s="314">
        <f>IF(Start!$B9&gt;0,VLOOKUP(Start!$N$9,'Taakstelling Nw Beschut'!$A$3:$I$355,7,FALSE),0)</f>
        <v>0</v>
      </c>
      <c r="G87" s="314">
        <f>IF(Start!$B9&gt;0,VLOOKUP(Start!$N$9,'Taakstelling Nw Beschut'!$A$3:$I$355,8,FALSE),0)</f>
        <v>0</v>
      </c>
      <c r="H87" s="314">
        <f>IF(Start!$B9&gt;0,VLOOKUP(Start!$N$9,'Taakstelling Nw Beschut'!$A$3:$I$355,9,FALSE),0)</f>
        <v>0</v>
      </c>
      <c r="I87" s="313"/>
    </row>
    <row r="88" spans="1:9" x14ac:dyDescent="0.35">
      <c r="A88" s="131" t="s">
        <v>1081</v>
      </c>
      <c r="B88" s="314">
        <f>IF(Start!$B9&gt;0,VLOOKUP(Start!$B$9,'Bonus Nw Beschut'!$A$6:$N$360,9,FALSE),0)</f>
        <v>0</v>
      </c>
      <c r="C88" s="314">
        <f>IF(Start!$B9&gt;0,VLOOKUP(Start!$B$9,'Bonus Nw Beschut'!$A$6:$N$360,14,FALSE),0)</f>
        <v>0</v>
      </c>
      <c r="D88" s="314"/>
      <c r="E88" s="314"/>
      <c r="F88" s="314"/>
      <c r="G88" s="314"/>
      <c r="H88" s="314"/>
      <c r="I88" s="318"/>
    </row>
    <row r="89" spans="1:9" x14ac:dyDescent="0.35">
      <c r="A89" s="326" t="s">
        <v>1082</v>
      </c>
      <c r="B89" s="327">
        <f>+B88-B87</f>
        <v>0</v>
      </c>
      <c r="C89" s="327">
        <f t="shared" ref="C89:H89" si="30">+C88-C87</f>
        <v>0</v>
      </c>
      <c r="D89" s="327">
        <f t="shared" si="30"/>
        <v>0</v>
      </c>
      <c r="E89" s="327">
        <f t="shared" si="30"/>
        <v>0</v>
      </c>
      <c r="F89" s="327">
        <f t="shared" si="30"/>
        <v>0</v>
      </c>
      <c r="G89" s="327">
        <f t="shared" si="30"/>
        <v>0</v>
      </c>
      <c r="H89" s="327">
        <f t="shared" si="30"/>
        <v>0</v>
      </c>
      <c r="I89" s="327"/>
    </row>
    <row r="90" spans="1:9" x14ac:dyDescent="0.35">
      <c r="A90" s="131" t="s">
        <v>1083</v>
      </c>
      <c r="B90" s="317">
        <f>IF(Start!$B9&gt;0,VLOOKUP(Start!$B$9,'Bonus Nw Beschut'!$A$6:$N$360,4,FALSE),0)</f>
        <v>0</v>
      </c>
      <c r="C90" s="317">
        <f>IF(Start!$B9&gt;0,VLOOKUP(Start!$B$9,'Bonus Nw Beschut'!$A$6:$N$360,8,FALSE),0)</f>
        <v>0</v>
      </c>
      <c r="D90" s="317">
        <f>IF(Start!$B9&gt;0,VLOOKUP(Start!$B$9,'Bonus Nw Beschut'!$A$6:$N$360,13,FALSE),0)</f>
        <v>0</v>
      </c>
      <c r="E90" s="317"/>
      <c r="F90" s="317"/>
      <c r="G90" s="317"/>
      <c r="H90" s="317"/>
      <c r="I90" s="317"/>
    </row>
    <row r="91" spans="1:9" x14ac:dyDescent="0.35">
      <c r="A91" s="312"/>
      <c r="B91" s="354"/>
      <c r="C91" s="354"/>
      <c r="D91" s="354"/>
      <c r="E91" s="354"/>
      <c r="F91" s="354"/>
      <c r="G91" s="354"/>
      <c r="H91" s="354"/>
      <c r="I91" s="354"/>
    </row>
    <row r="92" spans="1:9" x14ac:dyDescent="0.35">
      <c r="A92" s="339" t="s">
        <v>1108</v>
      </c>
      <c r="B92" s="340">
        <v>2017</v>
      </c>
      <c r="C92" s="340">
        <v>2018</v>
      </c>
      <c r="D92" s="340">
        <v>2019</v>
      </c>
      <c r="E92" s="340">
        <v>2020</v>
      </c>
      <c r="F92" s="340">
        <v>2021</v>
      </c>
      <c r="G92" s="340">
        <v>2022</v>
      </c>
      <c r="H92" s="340">
        <v>2023</v>
      </c>
      <c r="I92" s="340">
        <v>2024</v>
      </c>
    </row>
    <row r="93" spans="1:9" x14ac:dyDescent="0.35">
      <c r="A93" s="130" t="s">
        <v>2</v>
      </c>
      <c r="B93" s="85">
        <f>+'2 Cijfers'!B$45</f>
        <v>29034000</v>
      </c>
      <c r="C93" s="85">
        <f>+'2 Cijfers'!C$45</f>
        <v>39769000</v>
      </c>
      <c r="D93" s="85">
        <f>+'2 Cijfers'!D$45</f>
        <v>50831000</v>
      </c>
      <c r="E93" s="85">
        <f>+'2 Cijfers'!E$45</f>
        <v>50310000</v>
      </c>
      <c r="F93" s="85">
        <f>+'2 Cijfers'!F$45</f>
        <v>50657000</v>
      </c>
      <c r="G93" s="85">
        <f>+'2 Cijfers'!G$45</f>
        <v>55146000</v>
      </c>
      <c r="H93" s="85">
        <f>+'2 Cijfers'!H$45</f>
        <v>0</v>
      </c>
      <c r="I93" s="85">
        <f>+'2 Cijfers'!I$45</f>
        <v>0</v>
      </c>
    </row>
    <row r="94" spans="1:9" x14ac:dyDescent="0.35">
      <c r="A94" s="130" t="s">
        <v>990</v>
      </c>
      <c r="B94" s="85">
        <f>+'2 Cijfers'!B$46</f>
        <v>60819000</v>
      </c>
      <c r="C94" s="85">
        <f>+'2 Cijfers'!C$46</f>
        <v>83357000</v>
      </c>
      <c r="D94" s="85">
        <f>+'2 Cijfers'!D$46</f>
        <v>95628000</v>
      </c>
      <c r="E94" s="85">
        <f>+'2 Cijfers'!E$46</f>
        <v>103786000</v>
      </c>
      <c r="F94" s="85">
        <f>+'2 Cijfers'!F$46</f>
        <v>106066999.99999999</v>
      </c>
      <c r="G94" s="85">
        <f>+'2 Cijfers'!G$46</f>
        <v>122335000</v>
      </c>
      <c r="H94" s="85">
        <f>+'2 Cijfers'!H$46</f>
        <v>80236000</v>
      </c>
      <c r="I94" s="85">
        <f>+'2 Cijfers'!I$46</f>
        <v>87387000</v>
      </c>
    </row>
    <row r="95" spans="1:9" x14ac:dyDescent="0.35">
      <c r="A95" s="130" t="s">
        <v>1109</v>
      </c>
      <c r="B95" s="85">
        <f>+'2 Cijfers'!B$47</f>
        <v>522856000</v>
      </c>
      <c r="C95" s="85">
        <f>+'2 Cijfers'!C$47</f>
        <v>511136000</v>
      </c>
      <c r="D95" s="85">
        <f>+'2 Cijfers'!D$47</f>
        <v>518005000</v>
      </c>
      <c r="E95" s="85">
        <f>+'2 Cijfers'!E$47</f>
        <v>541902000</v>
      </c>
      <c r="F95" s="85">
        <f>+'2 Cijfers'!F$47</f>
        <v>705913000</v>
      </c>
      <c r="G95" s="85">
        <f>+'2 Cijfers'!G$47</f>
        <v>669324000</v>
      </c>
      <c r="H95" s="85">
        <f>+'2 Cijfers'!H$47</f>
        <v>0</v>
      </c>
      <c r="I95" s="85">
        <f>+'2 Cijfers'!I$47</f>
        <v>0</v>
      </c>
    </row>
    <row r="97" spans="1:9" ht="15.5" x14ac:dyDescent="0.35">
      <c r="A97" s="353" t="s">
        <v>1127</v>
      </c>
      <c r="B97" s="599" t="s">
        <v>1128</v>
      </c>
      <c r="C97" s="599"/>
      <c r="D97" s="599"/>
      <c r="E97" s="599"/>
      <c r="F97" s="599"/>
      <c r="G97" s="520">
        <f>+Start!B10</f>
        <v>0</v>
      </c>
      <c r="H97" s="521"/>
      <c r="I97" s="522"/>
    </row>
    <row r="99" spans="1:9" x14ac:dyDescent="0.35">
      <c r="A99" s="339" t="s">
        <v>1111</v>
      </c>
      <c r="B99" s="340">
        <v>2017</v>
      </c>
      <c r="C99" s="340">
        <v>2018</v>
      </c>
      <c r="D99" s="340">
        <v>2019</v>
      </c>
      <c r="E99" s="340">
        <v>2020</v>
      </c>
      <c r="F99" s="340">
        <v>2021</v>
      </c>
      <c r="G99" s="340">
        <v>2022</v>
      </c>
      <c r="H99" s="340">
        <v>2023</v>
      </c>
      <c r="I99" s="340">
        <v>2024</v>
      </c>
    </row>
    <row r="100" spans="1:9" x14ac:dyDescent="0.35">
      <c r="A100" s="130" t="s">
        <v>2</v>
      </c>
      <c r="B100" s="132">
        <f t="shared" ref="B100:I101" si="31">MROUND(+B111*B125,1000)</f>
        <v>0</v>
      </c>
      <c r="C100" s="132">
        <f t="shared" si="31"/>
        <v>0</v>
      </c>
      <c r="D100" s="132">
        <f t="shared" si="31"/>
        <v>0</v>
      </c>
      <c r="E100" s="132">
        <f t="shared" si="31"/>
        <v>0</v>
      </c>
      <c r="F100" s="132">
        <f t="shared" si="31"/>
        <v>0</v>
      </c>
      <c r="G100" s="132">
        <f t="shared" si="31"/>
        <v>0</v>
      </c>
      <c r="H100" s="132">
        <f t="shared" si="31"/>
        <v>0</v>
      </c>
      <c r="I100" s="132">
        <f t="shared" si="31"/>
        <v>0</v>
      </c>
    </row>
    <row r="101" spans="1:9" x14ac:dyDescent="0.35">
      <c r="A101" s="130" t="s">
        <v>990</v>
      </c>
      <c r="B101" s="132">
        <f t="shared" si="31"/>
        <v>0</v>
      </c>
      <c r="C101" s="132">
        <f t="shared" si="31"/>
        <v>0</v>
      </c>
      <c r="D101" s="132">
        <f t="shared" si="31"/>
        <v>0</v>
      </c>
      <c r="E101" s="132">
        <f t="shared" si="31"/>
        <v>0</v>
      </c>
      <c r="F101" s="132">
        <f t="shared" si="31"/>
        <v>0</v>
      </c>
      <c r="G101" s="132">
        <f t="shared" si="31"/>
        <v>0</v>
      </c>
      <c r="H101" s="132">
        <f t="shared" si="31"/>
        <v>0</v>
      </c>
      <c r="I101" s="132">
        <f t="shared" si="31"/>
        <v>0</v>
      </c>
    </row>
    <row r="102" spans="1:9" x14ac:dyDescent="0.35">
      <c r="A102" s="130" t="s">
        <v>1090</v>
      </c>
      <c r="B102" s="132">
        <f>+B122</f>
        <v>0</v>
      </c>
      <c r="C102" s="132">
        <f t="shared" ref="C102:I102" si="32">+C122</f>
        <v>0</v>
      </c>
      <c r="D102" s="132">
        <f t="shared" si="32"/>
        <v>0</v>
      </c>
      <c r="E102" s="132">
        <f t="shared" si="32"/>
        <v>0</v>
      </c>
      <c r="F102" s="132">
        <f t="shared" si="32"/>
        <v>0</v>
      </c>
      <c r="G102" s="132">
        <f t="shared" si="32"/>
        <v>0</v>
      </c>
      <c r="H102" s="132">
        <f t="shared" si="32"/>
        <v>0</v>
      </c>
      <c r="I102" s="132">
        <f t="shared" si="32"/>
        <v>0</v>
      </c>
    </row>
    <row r="103" spans="1:9" x14ac:dyDescent="0.35">
      <c r="A103" s="130" t="s">
        <v>1096</v>
      </c>
      <c r="B103" s="132">
        <f>MROUND(+$B115*'Recap circulaires'!$C$3,1000)</f>
        <v>0</v>
      </c>
      <c r="C103" s="132">
        <f>MROUND(+$C115*'Recap circulaires'!$D$3,1000)</f>
        <v>0</v>
      </c>
      <c r="D103" s="581"/>
      <c r="E103" s="582"/>
      <c r="F103" s="582"/>
      <c r="G103" s="582"/>
      <c r="H103" s="582"/>
      <c r="I103" s="583"/>
    </row>
    <row r="104" spans="1:9" x14ac:dyDescent="0.35">
      <c r="A104" s="69" t="s">
        <v>1125</v>
      </c>
      <c r="B104" s="319">
        <f>SUM(B100:B103)</f>
        <v>0</v>
      </c>
      <c r="C104" s="319">
        <f t="shared" ref="C104:I104" si="33">SUM(C100:C103)</f>
        <v>0</v>
      </c>
      <c r="D104" s="319">
        <f t="shared" si="33"/>
        <v>0</v>
      </c>
      <c r="E104" s="319">
        <f t="shared" si="33"/>
        <v>0</v>
      </c>
      <c r="F104" s="319">
        <f t="shared" si="33"/>
        <v>0</v>
      </c>
      <c r="G104" s="319">
        <f t="shared" si="33"/>
        <v>0</v>
      </c>
      <c r="H104" s="319">
        <f t="shared" si="33"/>
        <v>0</v>
      </c>
      <c r="I104" s="319">
        <f t="shared" si="33"/>
        <v>0</v>
      </c>
    </row>
    <row r="105" spans="1:9" x14ac:dyDescent="0.35">
      <c r="A105" s="130" t="s">
        <v>1097</v>
      </c>
      <c r="B105" s="584"/>
      <c r="C105" s="585"/>
      <c r="D105" s="119">
        <f>MROUND(+$D115*'Recap circulaires'!E$9*'Recap circulaires'!E$20*1000,1000)</f>
        <v>0</v>
      </c>
      <c r="E105" s="119">
        <f>MROUND(+$D115*'Recap circulaires'!F$9*'Recap circulaires'!F$20*1000,1000)</f>
        <v>0</v>
      </c>
      <c r="F105" s="119">
        <f>MROUND(+$D115*'Recap circulaires'!G$9*'Recap circulaires'!G$20*1000,1000)</f>
        <v>0</v>
      </c>
      <c r="G105" s="119">
        <f>MROUND(+$D115*'Recap circulaires'!H$9*'Recap circulaires'!H$20*1000,1000)</f>
        <v>0</v>
      </c>
      <c r="H105" s="119">
        <f>MROUND(+$D115*'Recap circulaires'!I$9*'Recap circulaires'!I$20*1000,1000)</f>
        <v>0</v>
      </c>
      <c r="I105" s="119">
        <f>MROUND(+$D115*'Recap circulaires'!J$9*'Recap circulaires'!J$20*1000,1000)</f>
        <v>0</v>
      </c>
    </row>
    <row r="106" spans="1:9" x14ac:dyDescent="0.35">
      <c r="A106" s="130" t="s">
        <v>1098</v>
      </c>
      <c r="B106" s="586"/>
      <c r="C106" s="587"/>
      <c r="D106" s="119">
        <f>IF(Start!$B10&gt;0,VLOOKUP(Start!$N$10,'Suppletie 2019'!$B$7:$G$366,6,FALSE),0)</f>
        <v>0</v>
      </c>
      <c r="E106" s="590"/>
      <c r="F106" s="591"/>
      <c r="G106" s="591"/>
      <c r="H106" s="591"/>
      <c r="I106" s="592"/>
    </row>
    <row r="107" spans="1:9" x14ac:dyDescent="0.35">
      <c r="A107" s="69" t="s">
        <v>1095</v>
      </c>
      <c r="B107" s="588"/>
      <c r="C107" s="589"/>
      <c r="D107" s="331">
        <f>SUM(D105:D106)</f>
        <v>0</v>
      </c>
      <c r="E107" s="331">
        <f t="shared" ref="E107:I107" si="34">SUM(E105:E106)</f>
        <v>0</v>
      </c>
      <c r="F107" s="331">
        <f t="shared" si="34"/>
        <v>0</v>
      </c>
      <c r="G107" s="331">
        <f t="shared" si="34"/>
        <v>0</v>
      </c>
      <c r="H107" s="331">
        <f t="shared" si="34"/>
        <v>0</v>
      </c>
      <c r="I107" s="331">
        <f t="shared" si="34"/>
        <v>0</v>
      </c>
    </row>
    <row r="108" spans="1:9" x14ac:dyDescent="0.35">
      <c r="A108" s="69" t="s">
        <v>1094</v>
      </c>
      <c r="B108" s="195">
        <f>SUM(B104:B105)</f>
        <v>0</v>
      </c>
      <c r="C108" s="195">
        <f>SUM(C104:C105)</f>
        <v>0</v>
      </c>
      <c r="D108" s="195">
        <f>+D104+D107</f>
        <v>0</v>
      </c>
      <c r="E108" s="195">
        <f t="shared" ref="E108:I108" si="35">+E104+E107</f>
        <v>0</v>
      </c>
      <c r="F108" s="195">
        <f t="shared" si="35"/>
        <v>0</v>
      </c>
      <c r="G108" s="195">
        <f t="shared" si="35"/>
        <v>0</v>
      </c>
      <c r="H108" s="195">
        <f t="shared" si="35"/>
        <v>0</v>
      </c>
      <c r="I108" s="195">
        <f t="shared" si="35"/>
        <v>0</v>
      </c>
    </row>
    <row r="109" spans="1:9" x14ac:dyDescent="0.35">
      <c r="B109" s="68"/>
    </row>
    <row r="110" spans="1:9" x14ac:dyDescent="0.35">
      <c r="A110" s="339" t="s">
        <v>1113</v>
      </c>
      <c r="B110" s="340">
        <v>2017</v>
      </c>
      <c r="C110" s="340">
        <v>2018</v>
      </c>
      <c r="D110" s="340">
        <v>2019</v>
      </c>
      <c r="E110" s="340">
        <v>2020</v>
      </c>
      <c r="F110" s="340">
        <v>2021</v>
      </c>
      <c r="G110" s="340">
        <v>2022</v>
      </c>
      <c r="H110" s="340">
        <v>2023</v>
      </c>
      <c r="I110" s="340">
        <v>2024</v>
      </c>
    </row>
    <row r="111" spans="1:9" x14ac:dyDescent="0.35">
      <c r="A111" s="197" t="s">
        <v>2</v>
      </c>
      <c r="B111" s="200">
        <f>IF(Start!$B10&gt;0,VLOOKUP(Start!$M$10,'CBS budgetaandelen'!$A$7:$G$363,6,FALSE),0)</f>
        <v>0</v>
      </c>
      <c r="C111" s="268">
        <f>+B111</f>
        <v>0</v>
      </c>
      <c r="D111" s="268">
        <f t="shared" ref="D111" si="36">+C111</f>
        <v>0</v>
      </c>
      <c r="E111" s="268">
        <f t="shared" ref="E111" si="37">+D111</f>
        <v>0</v>
      </c>
      <c r="F111" s="268">
        <f t="shared" ref="F111" si="38">+E111</f>
        <v>0</v>
      </c>
      <c r="G111" s="268">
        <f t="shared" ref="G111" si="39">+F111</f>
        <v>0</v>
      </c>
      <c r="H111" s="268">
        <f t="shared" ref="H111" si="40">+G111</f>
        <v>0</v>
      </c>
      <c r="I111" s="268">
        <f t="shared" ref="I111" si="41">+H111</f>
        <v>0</v>
      </c>
    </row>
    <row r="112" spans="1:9" x14ac:dyDescent="0.35">
      <c r="A112" s="131" t="s">
        <v>990</v>
      </c>
      <c r="B112" s="200">
        <f>IF(Start!$B10&gt;0,VLOOKUP(Start!$M$10,'CBS budgetaandelen'!$A$7:$G$363,7,FALSE),0)</f>
        <v>0</v>
      </c>
      <c r="C112" s="200">
        <f>+B112</f>
        <v>0</v>
      </c>
      <c r="D112" s="199">
        <f>IF(Start!$B10&gt;0,MAX(D114/D126,$C112),0)</f>
        <v>0</v>
      </c>
      <c r="E112" s="199">
        <f>IF(Start!$B10&gt;0,MAX(E114/E126,$C112),0)</f>
        <v>0</v>
      </c>
      <c r="F112" s="199">
        <f>IF(Start!$B10&gt;0,MAX(F114/F126,$C112),0)</f>
        <v>0</v>
      </c>
      <c r="G112" s="199">
        <f>IF(Start!$B10&gt;0,MAX(G114/G126,$C112),0)</f>
        <v>0</v>
      </c>
      <c r="H112" s="199">
        <f>IF(Start!$B10&gt;0,MAX(H114/H126,$C112),0)</f>
        <v>0</v>
      </c>
      <c r="I112" s="199">
        <f>IF(Start!$B10&gt;0,MAX(I114/I126,$C112),0)</f>
        <v>0</v>
      </c>
    </row>
    <row r="113" spans="1:9" x14ac:dyDescent="0.35">
      <c r="A113" s="131"/>
      <c r="B113" s="130"/>
      <c r="C113" s="201"/>
      <c r="D113" s="593" t="s">
        <v>1018</v>
      </c>
      <c r="E113" s="594"/>
      <c r="F113" s="594"/>
      <c r="G113" s="594"/>
      <c r="H113" s="594"/>
      <c r="I113" s="595"/>
    </row>
    <row r="114" spans="1:9" x14ac:dyDescent="0.35">
      <c r="A114" s="131" t="s">
        <v>1089</v>
      </c>
      <c r="B114" s="198">
        <v>8500</v>
      </c>
      <c r="C114" s="198">
        <v>8500</v>
      </c>
      <c r="D114" s="85">
        <v>8800</v>
      </c>
      <c r="E114" s="132">
        <v>8800</v>
      </c>
      <c r="F114" s="132">
        <v>7500</v>
      </c>
      <c r="G114" s="132">
        <v>7500</v>
      </c>
      <c r="H114" s="132">
        <v>7500</v>
      </c>
      <c r="I114" s="132">
        <v>7500</v>
      </c>
    </row>
    <row r="115" spans="1:9" x14ac:dyDescent="0.35">
      <c r="A115" s="131" t="s">
        <v>992</v>
      </c>
      <c r="B115" s="200">
        <f>IF(Start!$B10&gt;0,VLOOKUP(Start!$N$10,'Budgetaandelen klassiek'!$A$3:$K$348,8,FALSE)/1000,0)</f>
        <v>0</v>
      </c>
      <c r="C115" s="200">
        <f>IF(Start!$B10&gt;0,VLOOKUP(Start!$N$10,'Budgetaandelen klassiek'!$A$3:$K$348,9,FALSE)/1000,0)</f>
        <v>0</v>
      </c>
      <c r="D115" s="200">
        <f>IF(Start!$B10&gt;0,VLOOKUP(Start!$N$10,'Budgetaandelen klassiek'!$A$3:$K$348,11,FALSE)/1000,0)</f>
        <v>0</v>
      </c>
      <c r="E115" s="200">
        <f>IF(Start!$B10&gt;0,VLOOKUP(Start!$N$10,'Budgetaandelen klassiek'!$A$3:$K$348,11,FALSE)/1000,0)</f>
        <v>0</v>
      </c>
      <c r="F115" s="200">
        <f>IF(Start!$B10&gt;0,VLOOKUP(Start!$N$10,'Budgetaandelen klassiek'!$A$3:$K$348,11,FALSE)/1000,0)</f>
        <v>0</v>
      </c>
      <c r="G115" s="200">
        <f>IF(Start!$B10&gt;0,VLOOKUP(Start!$N$10,'Budgetaandelen klassiek'!$A$3:$K$348,11,FALSE)/1000,0)</f>
        <v>0</v>
      </c>
      <c r="H115" s="200">
        <f>IF(Start!$B10&gt;0,VLOOKUP(Start!$N$10,'Budgetaandelen klassiek'!$A$3:$K$348,11,FALSE)/1000,0)</f>
        <v>0</v>
      </c>
      <c r="I115" s="200">
        <f>IF(Start!$B10&gt;0,VLOOKUP(Start!$N$10,'Budgetaandelen klassiek'!$A$3:$K$348,11,FALSE)/1000,0)</f>
        <v>0</v>
      </c>
    </row>
    <row r="116" spans="1:9" x14ac:dyDescent="0.35">
      <c r="A116" s="131" t="s">
        <v>1040</v>
      </c>
      <c r="B116" s="596"/>
      <c r="C116" s="597"/>
      <c r="D116" s="200">
        <f>(+D105+D106)/D127</f>
        <v>0</v>
      </c>
      <c r="E116" s="596"/>
      <c r="F116" s="598"/>
      <c r="G116" s="598"/>
      <c r="H116" s="598"/>
      <c r="I116" s="597"/>
    </row>
    <row r="118" spans="1:9" x14ac:dyDescent="0.35">
      <c r="A118" s="339" t="s">
        <v>1114</v>
      </c>
      <c r="B118" s="340">
        <v>2017</v>
      </c>
      <c r="C118" s="340">
        <v>2018</v>
      </c>
      <c r="D118" s="340">
        <v>2019</v>
      </c>
      <c r="E118" s="340">
        <v>2020</v>
      </c>
      <c r="F118" s="340">
        <v>2021</v>
      </c>
      <c r="G118" s="340">
        <v>2022</v>
      </c>
      <c r="H118" s="340">
        <v>2023</v>
      </c>
      <c r="I118" s="340">
        <v>2024</v>
      </c>
    </row>
    <row r="119" spans="1:9" x14ac:dyDescent="0.35">
      <c r="A119" s="131" t="s">
        <v>1064</v>
      </c>
      <c r="B119" s="314">
        <f>IF(Start!$B10&gt;0,VLOOKUP(Start!$N$10,'Taakstelling Nw Beschut'!$A$3:$I$355,3,FALSE),0)</f>
        <v>0</v>
      </c>
      <c r="C119" s="314">
        <f>IF(Start!$B10&gt;0,VLOOKUP(Start!$N$10,'Taakstelling Nw Beschut'!$A$3:$I$355,4,FALSE),0)</f>
        <v>0</v>
      </c>
      <c r="D119" s="314">
        <f>IF(Start!$B10&gt;0,VLOOKUP(Start!$N$10,'Taakstelling Nw Beschut'!$A$3:$I$355,5,FALSE),0)</f>
        <v>0</v>
      </c>
      <c r="E119" s="314">
        <f>IF(Start!$B10&gt;0,VLOOKUP(Start!$N$10,'Taakstelling Nw Beschut'!$A$3:$I$355,6,FALSE),0)</f>
        <v>0</v>
      </c>
      <c r="F119" s="314">
        <f>IF(Start!$B10&gt;0,VLOOKUP(Start!$N$10,'Taakstelling Nw Beschut'!$A$3:$I$355,7,FALSE),0)</f>
        <v>0</v>
      </c>
      <c r="G119" s="314">
        <f>IF(Start!$B10&gt;0,VLOOKUP(Start!$N$10,'Taakstelling Nw Beschut'!$A$3:$I$355,8,FALSE),0)</f>
        <v>0</v>
      </c>
      <c r="H119" s="314">
        <f>IF(Start!$B10&gt;0,VLOOKUP(Start!$N$10,'Taakstelling Nw Beschut'!$A$3:$I$355,9,FALSE),0)</f>
        <v>0</v>
      </c>
      <c r="I119" s="313"/>
    </row>
    <row r="120" spans="1:9" x14ac:dyDescent="0.35">
      <c r="A120" s="131" t="s">
        <v>1081</v>
      </c>
      <c r="B120" s="314">
        <f>IF(Start!$B10&gt;0,VLOOKUP(Start!$B$10,'Bonus Nw Beschut'!$A$6:$N$360,9,FALSE),0)</f>
        <v>0</v>
      </c>
      <c r="C120" s="314">
        <f>IF(Start!$B10&gt;0,VLOOKUP(Start!$B$10,'Bonus Nw Beschut'!$A$6:$N$360,14,FALSE),0)</f>
        <v>0</v>
      </c>
      <c r="D120" s="314"/>
      <c r="E120" s="314"/>
      <c r="F120" s="314"/>
      <c r="G120" s="314"/>
      <c r="H120" s="314"/>
      <c r="I120" s="318"/>
    </row>
    <row r="121" spans="1:9" x14ac:dyDescent="0.35">
      <c r="A121" s="326" t="s">
        <v>1082</v>
      </c>
      <c r="B121" s="327">
        <f>+B120-B119</f>
        <v>0</v>
      </c>
      <c r="C121" s="327">
        <f t="shared" ref="C121:H121" si="42">+C120-C119</f>
        <v>0</v>
      </c>
      <c r="D121" s="327">
        <f t="shared" si="42"/>
        <v>0</v>
      </c>
      <c r="E121" s="327">
        <f t="shared" si="42"/>
        <v>0</v>
      </c>
      <c r="F121" s="327">
        <f t="shared" si="42"/>
        <v>0</v>
      </c>
      <c r="G121" s="327">
        <f t="shared" si="42"/>
        <v>0</v>
      </c>
      <c r="H121" s="327">
        <f t="shared" si="42"/>
        <v>0</v>
      </c>
      <c r="I121" s="327"/>
    </row>
    <row r="122" spans="1:9" x14ac:dyDescent="0.35">
      <c r="A122" s="131" t="s">
        <v>1083</v>
      </c>
      <c r="B122" s="317">
        <f>IF(Start!$B10&gt;0,VLOOKUP(Start!$B$10,'Bonus Nw Beschut'!$A$6:$N$360,4,FALSE),0)</f>
        <v>0</v>
      </c>
      <c r="C122" s="317">
        <f>IF(Start!$B10&gt;0,VLOOKUP(Start!$B$10,'Bonus Nw Beschut'!$A$6:$N$360,8,FALSE),0)</f>
        <v>0</v>
      </c>
      <c r="D122" s="317">
        <f>IF(Start!$B10&gt;0,VLOOKUP(Start!$B$10,'Bonus Nw Beschut'!$A$6:$N$360,13,FALSE),0)</f>
        <v>0</v>
      </c>
      <c r="E122" s="317"/>
      <c r="F122" s="317"/>
      <c r="G122" s="317"/>
      <c r="H122" s="317"/>
      <c r="I122" s="317"/>
    </row>
    <row r="123" spans="1:9" x14ac:dyDescent="0.35">
      <c r="A123" s="312"/>
      <c r="B123" s="354"/>
      <c r="C123" s="354"/>
      <c r="D123" s="354"/>
      <c r="E123" s="354"/>
      <c r="F123" s="354"/>
      <c r="G123" s="354"/>
      <c r="H123" s="354"/>
      <c r="I123" s="354"/>
    </row>
    <row r="124" spans="1:9" x14ac:dyDescent="0.35">
      <c r="A124" s="339" t="s">
        <v>1108</v>
      </c>
      <c r="B124" s="340">
        <v>2017</v>
      </c>
      <c r="C124" s="340">
        <v>2018</v>
      </c>
      <c r="D124" s="340">
        <v>2019</v>
      </c>
      <c r="E124" s="340">
        <v>2020</v>
      </c>
      <c r="F124" s="340">
        <v>2021</v>
      </c>
      <c r="G124" s="340">
        <v>2022</v>
      </c>
      <c r="H124" s="340">
        <v>2023</v>
      </c>
      <c r="I124" s="340">
        <v>2024</v>
      </c>
    </row>
    <row r="125" spans="1:9" x14ac:dyDescent="0.35">
      <c r="A125" s="130" t="s">
        <v>2</v>
      </c>
      <c r="B125" s="85">
        <f>+'2 Cijfers'!B$45</f>
        <v>29034000</v>
      </c>
      <c r="C125" s="85">
        <f>+'2 Cijfers'!C$45</f>
        <v>39769000</v>
      </c>
      <c r="D125" s="85">
        <f>+'2 Cijfers'!D$45</f>
        <v>50831000</v>
      </c>
      <c r="E125" s="85">
        <f>+'2 Cijfers'!E$45</f>
        <v>50310000</v>
      </c>
      <c r="F125" s="85">
        <f>+'2 Cijfers'!F$45</f>
        <v>50657000</v>
      </c>
      <c r="G125" s="85">
        <f>+'2 Cijfers'!G$45</f>
        <v>55146000</v>
      </c>
      <c r="H125" s="85">
        <f>+'2 Cijfers'!H$45</f>
        <v>0</v>
      </c>
      <c r="I125" s="85">
        <f>+'2 Cijfers'!I$45</f>
        <v>0</v>
      </c>
    </row>
    <row r="126" spans="1:9" x14ac:dyDescent="0.35">
      <c r="A126" s="130" t="s">
        <v>990</v>
      </c>
      <c r="B126" s="85">
        <f>+'2 Cijfers'!B$46</f>
        <v>60819000</v>
      </c>
      <c r="C126" s="85">
        <f>+'2 Cijfers'!C$46</f>
        <v>83357000</v>
      </c>
      <c r="D126" s="85">
        <f>+'2 Cijfers'!D$46</f>
        <v>95628000</v>
      </c>
      <c r="E126" s="85">
        <f>+'2 Cijfers'!E$46</f>
        <v>103786000</v>
      </c>
      <c r="F126" s="85">
        <f>+'2 Cijfers'!F$46</f>
        <v>106066999.99999999</v>
      </c>
      <c r="G126" s="85">
        <f>+'2 Cijfers'!G$46</f>
        <v>122335000</v>
      </c>
      <c r="H126" s="85">
        <f>+'2 Cijfers'!H$46</f>
        <v>80236000</v>
      </c>
      <c r="I126" s="85">
        <f>+'2 Cijfers'!I$46</f>
        <v>87387000</v>
      </c>
    </row>
    <row r="127" spans="1:9" x14ac:dyDescent="0.35">
      <c r="A127" s="130" t="s">
        <v>1109</v>
      </c>
      <c r="B127" s="85">
        <f>+'2 Cijfers'!B$47</f>
        <v>522856000</v>
      </c>
      <c r="C127" s="85">
        <f>+'2 Cijfers'!C$47</f>
        <v>511136000</v>
      </c>
      <c r="D127" s="85">
        <f>+'2 Cijfers'!D$47</f>
        <v>518005000</v>
      </c>
      <c r="E127" s="85">
        <f>+'2 Cijfers'!E$47</f>
        <v>541902000</v>
      </c>
      <c r="F127" s="85">
        <f>+'2 Cijfers'!F$47</f>
        <v>705913000</v>
      </c>
      <c r="G127" s="85">
        <f>+'2 Cijfers'!G$47</f>
        <v>669324000</v>
      </c>
      <c r="H127" s="85">
        <f>+'2 Cijfers'!H$47</f>
        <v>0</v>
      </c>
      <c r="I127" s="85">
        <f>+'2 Cijfers'!I$47</f>
        <v>0</v>
      </c>
    </row>
    <row r="129" spans="1:9" ht="15.5" x14ac:dyDescent="0.35">
      <c r="A129" s="353" t="s">
        <v>1127</v>
      </c>
      <c r="B129" s="599" t="s">
        <v>1128</v>
      </c>
      <c r="C129" s="599"/>
      <c r="D129" s="599"/>
      <c r="E129" s="599"/>
      <c r="F129" s="599"/>
      <c r="G129" s="520">
        <f>+Start!B11</f>
        <v>0</v>
      </c>
      <c r="H129" s="521"/>
      <c r="I129" s="522"/>
    </row>
    <row r="131" spans="1:9" x14ac:dyDescent="0.35">
      <c r="A131" s="339" t="s">
        <v>1111</v>
      </c>
      <c r="B131" s="340">
        <v>2017</v>
      </c>
      <c r="C131" s="340">
        <v>2018</v>
      </c>
      <c r="D131" s="340">
        <v>2019</v>
      </c>
      <c r="E131" s="340">
        <v>2020</v>
      </c>
      <c r="F131" s="340">
        <v>2021</v>
      </c>
      <c r="G131" s="340">
        <v>2022</v>
      </c>
      <c r="H131" s="340">
        <v>2023</v>
      </c>
      <c r="I131" s="340">
        <v>2024</v>
      </c>
    </row>
    <row r="132" spans="1:9" x14ac:dyDescent="0.35">
      <c r="A132" s="130" t="s">
        <v>2</v>
      </c>
      <c r="B132" s="132">
        <f t="shared" ref="B132:I133" si="43">MROUND(+B143*B157,1000)</f>
        <v>0</v>
      </c>
      <c r="C132" s="132">
        <f t="shared" si="43"/>
        <v>0</v>
      </c>
      <c r="D132" s="132">
        <f t="shared" si="43"/>
        <v>0</v>
      </c>
      <c r="E132" s="132">
        <f t="shared" si="43"/>
        <v>0</v>
      </c>
      <c r="F132" s="132">
        <f t="shared" si="43"/>
        <v>0</v>
      </c>
      <c r="G132" s="132">
        <f t="shared" si="43"/>
        <v>0</v>
      </c>
      <c r="H132" s="132">
        <f t="shared" si="43"/>
        <v>0</v>
      </c>
      <c r="I132" s="132">
        <f t="shared" si="43"/>
        <v>0</v>
      </c>
    </row>
    <row r="133" spans="1:9" x14ac:dyDescent="0.35">
      <c r="A133" s="130" t="s">
        <v>990</v>
      </c>
      <c r="B133" s="132">
        <f t="shared" si="43"/>
        <v>0</v>
      </c>
      <c r="C133" s="132">
        <f t="shared" si="43"/>
        <v>0</v>
      </c>
      <c r="D133" s="132">
        <f t="shared" si="43"/>
        <v>0</v>
      </c>
      <c r="E133" s="132">
        <f t="shared" si="43"/>
        <v>0</v>
      </c>
      <c r="F133" s="132">
        <f t="shared" si="43"/>
        <v>0</v>
      </c>
      <c r="G133" s="132">
        <f t="shared" si="43"/>
        <v>0</v>
      </c>
      <c r="H133" s="132">
        <f t="shared" si="43"/>
        <v>0</v>
      </c>
      <c r="I133" s="132">
        <f t="shared" si="43"/>
        <v>0</v>
      </c>
    </row>
    <row r="134" spans="1:9" x14ac:dyDescent="0.35">
      <c r="A134" s="130" t="s">
        <v>1090</v>
      </c>
      <c r="B134" s="132">
        <f>+B154</f>
        <v>0</v>
      </c>
      <c r="C134" s="132">
        <f t="shared" ref="C134:I134" si="44">+C154</f>
        <v>0</v>
      </c>
      <c r="D134" s="132">
        <f t="shared" si="44"/>
        <v>0</v>
      </c>
      <c r="E134" s="132">
        <f t="shared" si="44"/>
        <v>0</v>
      </c>
      <c r="F134" s="132">
        <f t="shared" si="44"/>
        <v>0</v>
      </c>
      <c r="G134" s="132">
        <f t="shared" si="44"/>
        <v>0</v>
      </c>
      <c r="H134" s="132">
        <f t="shared" si="44"/>
        <v>0</v>
      </c>
      <c r="I134" s="132">
        <f t="shared" si="44"/>
        <v>0</v>
      </c>
    </row>
    <row r="135" spans="1:9" x14ac:dyDescent="0.35">
      <c r="A135" s="130" t="s">
        <v>1096</v>
      </c>
      <c r="B135" s="132">
        <f>MROUND(+$B147*'Recap circulaires'!$C$3,1000)</f>
        <v>0</v>
      </c>
      <c r="C135" s="132">
        <f>MROUND(+$C147*'Recap circulaires'!$D$3,1000)</f>
        <v>0</v>
      </c>
      <c r="D135" s="581"/>
      <c r="E135" s="582"/>
      <c r="F135" s="582"/>
      <c r="G135" s="582"/>
      <c r="H135" s="582"/>
      <c r="I135" s="583"/>
    </row>
    <row r="136" spans="1:9" x14ac:dyDescent="0.35">
      <c r="A136" s="69" t="s">
        <v>1125</v>
      </c>
      <c r="B136" s="319">
        <f>SUM(B132:B135)</f>
        <v>0</v>
      </c>
      <c r="C136" s="319">
        <f t="shared" ref="C136:I136" si="45">SUM(C132:C135)</f>
        <v>0</v>
      </c>
      <c r="D136" s="319">
        <f t="shared" si="45"/>
        <v>0</v>
      </c>
      <c r="E136" s="319">
        <f t="shared" si="45"/>
        <v>0</v>
      </c>
      <c r="F136" s="319">
        <f t="shared" si="45"/>
        <v>0</v>
      </c>
      <c r="G136" s="319">
        <f t="shared" si="45"/>
        <v>0</v>
      </c>
      <c r="H136" s="319">
        <f t="shared" si="45"/>
        <v>0</v>
      </c>
      <c r="I136" s="319">
        <f t="shared" si="45"/>
        <v>0</v>
      </c>
    </row>
    <row r="137" spans="1:9" x14ac:dyDescent="0.35">
      <c r="A137" s="130" t="s">
        <v>1097</v>
      </c>
      <c r="B137" s="584"/>
      <c r="C137" s="585"/>
      <c r="D137" s="119">
        <f>MROUND(+$D147*'Recap circulaires'!E$9*'Recap circulaires'!E$20*1000,1000)</f>
        <v>0</v>
      </c>
      <c r="E137" s="119">
        <f>MROUND(+$D147*'Recap circulaires'!F$9*'Recap circulaires'!F$20*1000,1000)</f>
        <v>0</v>
      </c>
      <c r="F137" s="119">
        <f>MROUND(+$D147*'Recap circulaires'!G$9*'Recap circulaires'!G$20*1000,1000)</f>
        <v>0</v>
      </c>
      <c r="G137" s="119">
        <f>MROUND(+$D147*'Recap circulaires'!H$9*'Recap circulaires'!H$20*1000,1000)</f>
        <v>0</v>
      </c>
      <c r="H137" s="119">
        <f>MROUND(+$D147*'Recap circulaires'!I$9*'Recap circulaires'!I$20*1000,1000)</f>
        <v>0</v>
      </c>
      <c r="I137" s="119">
        <f>MROUND(+$D147*'Recap circulaires'!J$9*'Recap circulaires'!J$20*1000,1000)</f>
        <v>0</v>
      </c>
    </row>
    <row r="138" spans="1:9" x14ac:dyDescent="0.35">
      <c r="A138" s="130" t="s">
        <v>1098</v>
      </c>
      <c r="B138" s="586"/>
      <c r="C138" s="587"/>
      <c r="D138" s="119">
        <f>IF(Start!$B11&gt;0,VLOOKUP(Start!$N$11,'Suppletie 2019'!$B$7:$G$366,6,FALSE),0)</f>
        <v>0</v>
      </c>
      <c r="E138" s="590"/>
      <c r="F138" s="591"/>
      <c r="G138" s="591"/>
      <c r="H138" s="591"/>
      <c r="I138" s="592"/>
    </row>
    <row r="139" spans="1:9" x14ac:dyDescent="0.35">
      <c r="A139" s="69" t="s">
        <v>1095</v>
      </c>
      <c r="B139" s="588"/>
      <c r="C139" s="589"/>
      <c r="D139" s="331">
        <f>SUM(D137:D138)</f>
        <v>0</v>
      </c>
      <c r="E139" s="331">
        <f t="shared" ref="E139:I139" si="46">SUM(E137:E138)</f>
        <v>0</v>
      </c>
      <c r="F139" s="331">
        <f t="shared" si="46"/>
        <v>0</v>
      </c>
      <c r="G139" s="331">
        <f t="shared" si="46"/>
        <v>0</v>
      </c>
      <c r="H139" s="331">
        <f t="shared" si="46"/>
        <v>0</v>
      </c>
      <c r="I139" s="331">
        <f t="shared" si="46"/>
        <v>0</v>
      </c>
    </row>
    <row r="140" spans="1:9" x14ac:dyDescent="0.35">
      <c r="A140" s="69" t="s">
        <v>1094</v>
      </c>
      <c r="B140" s="195">
        <f>SUM(B136:B137)</f>
        <v>0</v>
      </c>
      <c r="C140" s="195">
        <f>SUM(C136:C137)</f>
        <v>0</v>
      </c>
      <c r="D140" s="195">
        <f>+D136+D139</f>
        <v>0</v>
      </c>
      <c r="E140" s="195">
        <f t="shared" ref="E140:I140" si="47">+E136+E139</f>
        <v>0</v>
      </c>
      <c r="F140" s="195">
        <f t="shared" si="47"/>
        <v>0</v>
      </c>
      <c r="G140" s="195">
        <f t="shared" si="47"/>
        <v>0</v>
      </c>
      <c r="H140" s="195">
        <f t="shared" si="47"/>
        <v>0</v>
      </c>
      <c r="I140" s="195">
        <f t="shared" si="47"/>
        <v>0</v>
      </c>
    </row>
    <row r="141" spans="1:9" x14ac:dyDescent="0.35">
      <c r="B141" s="68"/>
    </row>
    <row r="142" spans="1:9" x14ac:dyDescent="0.35">
      <c r="A142" s="339" t="s">
        <v>1113</v>
      </c>
      <c r="B142" s="340">
        <v>2017</v>
      </c>
      <c r="C142" s="340">
        <v>2018</v>
      </c>
      <c r="D142" s="340">
        <v>2019</v>
      </c>
      <c r="E142" s="340">
        <v>2020</v>
      </c>
      <c r="F142" s="340">
        <v>2021</v>
      </c>
      <c r="G142" s="340">
        <v>2022</v>
      </c>
      <c r="H142" s="340">
        <v>2023</v>
      </c>
      <c r="I142" s="340">
        <v>2024</v>
      </c>
    </row>
    <row r="143" spans="1:9" x14ac:dyDescent="0.35">
      <c r="A143" s="197" t="s">
        <v>2</v>
      </c>
      <c r="B143" s="200">
        <f>IF(Start!$B11&gt;0,VLOOKUP(Start!$M$11,'CBS budgetaandelen'!$A$7:$G$363,6,FALSE),0)</f>
        <v>0</v>
      </c>
      <c r="C143" s="268">
        <f>+B143</f>
        <v>0</v>
      </c>
      <c r="D143" s="268">
        <f t="shared" ref="D143" si="48">+C143</f>
        <v>0</v>
      </c>
      <c r="E143" s="268">
        <f t="shared" ref="E143" si="49">+D143</f>
        <v>0</v>
      </c>
      <c r="F143" s="268">
        <f t="shared" ref="F143" si="50">+E143</f>
        <v>0</v>
      </c>
      <c r="G143" s="268">
        <f t="shared" ref="G143" si="51">+F143</f>
        <v>0</v>
      </c>
      <c r="H143" s="268">
        <f t="shared" ref="H143" si="52">+G143</f>
        <v>0</v>
      </c>
      <c r="I143" s="268">
        <f t="shared" ref="I143" si="53">+H143</f>
        <v>0</v>
      </c>
    </row>
    <row r="144" spans="1:9" x14ac:dyDescent="0.35">
      <c r="A144" s="131" t="s">
        <v>990</v>
      </c>
      <c r="B144" s="200">
        <f>IF(Start!$B11&gt;0,VLOOKUP(Start!$M$11,'CBS budgetaandelen'!$A$7:$G$363,7,FALSE),0)</f>
        <v>0</v>
      </c>
      <c r="C144" s="200">
        <f>+B144</f>
        <v>0</v>
      </c>
      <c r="D144" s="199">
        <f>IF(Start!$B11&gt;0,MAX(D146/D158,$C144),0)</f>
        <v>0</v>
      </c>
      <c r="E144" s="199">
        <f>IF(Start!$B11&gt;0,MAX(E146/E158,$C144),0)</f>
        <v>0</v>
      </c>
      <c r="F144" s="199">
        <f>IF(Start!$B11&gt;0,MAX(F146/F158,$C144),0)</f>
        <v>0</v>
      </c>
      <c r="G144" s="199">
        <f>IF(Start!$B11&gt;0,MAX(G146/G158,$C144),0)</f>
        <v>0</v>
      </c>
      <c r="H144" s="199">
        <f>IF(Start!$B11&gt;0,MAX(H146/H158,$C144),0)</f>
        <v>0</v>
      </c>
      <c r="I144" s="199">
        <f>IF(Start!$B11&gt;0,MAX(I146/I158,$C144),0)</f>
        <v>0</v>
      </c>
    </row>
    <row r="145" spans="1:9" x14ac:dyDescent="0.35">
      <c r="A145" s="131"/>
      <c r="B145" s="130"/>
      <c r="C145" s="201"/>
      <c r="D145" s="593" t="s">
        <v>1018</v>
      </c>
      <c r="E145" s="594"/>
      <c r="F145" s="594"/>
      <c r="G145" s="594"/>
      <c r="H145" s="594"/>
      <c r="I145" s="595"/>
    </row>
    <row r="146" spans="1:9" x14ac:dyDescent="0.35">
      <c r="A146" s="131" t="s">
        <v>1089</v>
      </c>
      <c r="B146" s="198">
        <v>8500</v>
      </c>
      <c r="C146" s="198">
        <v>8500</v>
      </c>
      <c r="D146" s="85">
        <v>8800</v>
      </c>
      <c r="E146" s="132">
        <v>8800</v>
      </c>
      <c r="F146" s="132">
        <v>7500</v>
      </c>
      <c r="G146" s="132">
        <v>7500</v>
      </c>
      <c r="H146" s="132">
        <v>7500</v>
      </c>
      <c r="I146" s="132">
        <v>7500</v>
      </c>
    </row>
    <row r="147" spans="1:9" x14ac:dyDescent="0.35">
      <c r="A147" s="131" t="s">
        <v>992</v>
      </c>
      <c r="B147" s="200">
        <f>IF(Start!$B11&gt;0,VLOOKUP(Start!$N$11,'Budgetaandelen klassiek'!$A$3:$K$348,8,FALSE)/1000,0)</f>
        <v>0</v>
      </c>
      <c r="C147" s="200">
        <f>IF(Start!$B11&gt;0,VLOOKUP(Start!$N$11,'Budgetaandelen klassiek'!$A$3:$K$348,9,FALSE)/1000,0)</f>
        <v>0</v>
      </c>
      <c r="D147" s="200">
        <f>IF(Start!$B11&gt;0,VLOOKUP(Start!$N$11,'Budgetaandelen klassiek'!$A$3:$K$348,11,FALSE)/1000,0)</f>
        <v>0</v>
      </c>
      <c r="E147" s="200">
        <f>IF(Start!$B11&gt;0,VLOOKUP(Start!$N$11,'Budgetaandelen klassiek'!$A$3:$K$348,11,FALSE)/1000,0)</f>
        <v>0</v>
      </c>
      <c r="F147" s="200">
        <f>IF(Start!$B11&gt;0,VLOOKUP(Start!$N$11,'Budgetaandelen klassiek'!$A$3:$K$348,11,FALSE)/1000,0)</f>
        <v>0</v>
      </c>
      <c r="G147" s="200">
        <f>IF(Start!$B11&gt;0,VLOOKUP(Start!$N$11,'Budgetaandelen klassiek'!$A$3:$K$348,11,FALSE)/1000,0)</f>
        <v>0</v>
      </c>
      <c r="H147" s="200">
        <f>IF(Start!$B11&gt;0,VLOOKUP(Start!$N$11,'Budgetaandelen klassiek'!$A$3:$K$348,11,FALSE)/1000,0)</f>
        <v>0</v>
      </c>
      <c r="I147" s="200">
        <f>IF(Start!$B11&gt;0,VLOOKUP(Start!$N$11,'Budgetaandelen klassiek'!$A$3:$K$348,11,FALSE)/1000,0)</f>
        <v>0</v>
      </c>
    </row>
    <row r="148" spans="1:9" x14ac:dyDescent="0.35">
      <c r="A148" s="131" t="s">
        <v>1040</v>
      </c>
      <c r="B148" s="596"/>
      <c r="C148" s="597"/>
      <c r="D148" s="200">
        <f>(+D137+D138)/D159</f>
        <v>0</v>
      </c>
      <c r="E148" s="596"/>
      <c r="F148" s="598"/>
      <c r="G148" s="598"/>
      <c r="H148" s="598"/>
      <c r="I148" s="597"/>
    </row>
    <row r="150" spans="1:9" x14ac:dyDescent="0.35">
      <c r="A150" s="339" t="s">
        <v>1114</v>
      </c>
      <c r="B150" s="340">
        <v>2017</v>
      </c>
      <c r="C150" s="340">
        <v>2018</v>
      </c>
      <c r="D150" s="340">
        <v>2019</v>
      </c>
      <c r="E150" s="340">
        <v>2020</v>
      </c>
      <c r="F150" s="340">
        <v>2021</v>
      </c>
      <c r="G150" s="340">
        <v>2022</v>
      </c>
      <c r="H150" s="340">
        <v>2023</v>
      </c>
      <c r="I150" s="340">
        <v>2024</v>
      </c>
    </row>
    <row r="151" spans="1:9" x14ac:dyDescent="0.35">
      <c r="A151" s="131" t="s">
        <v>1064</v>
      </c>
      <c r="B151" s="314">
        <f>IF(Start!$B11&gt;0,VLOOKUP(Start!$N$11,'Taakstelling Nw Beschut'!$A$3:$I$355,3,FALSE),0)</f>
        <v>0</v>
      </c>
      <c r="C151" s="314">
        <f>IF(Start!$B11&gt;0,VLOOKUP(Start!$N$11,'Taakstelling Nw Beschut'!$A$3:$I$355,4,FALSE),0)</f>
        <v>0</v>
      </c>
      <c r="D151" s="314">
        <f>IF(Start!$B11&gt;0,VLOOKUP(Start!$N$11,'Taakstelling Nw Beschut'!$A$3:$I$355,5,FALSE),0)</f>
        <v>0</v>
      </c>
      <c r="E151" s="314">
        <f>IF(Start!$B11&gt;0,VLOOKUP(Start!$N$11,'Taakstelling Nw Beschut'!$A$3:$I$355,6,FALSE),0)</f>
        <v>0</v>
      </c>
      <c r="F151" s="314">
        <f>IF(Start!$B11&gt;0,VLOOKUP(Start!$N$11,'Taakstelling Nw Beschut'!$A$3:$I$355,7,FALSE),0)</f>
        <v>0</v>
      </c>
      <c r="G151" s="314">
        <f>IF(Start!$B11&gt;0,VLOOKUP(Start!$N$11,'Taakstelling Nw Beschut'!$A$3:$I$355,8,FALSE),0)</f>
        <v>0</v>
      </c>
      <c r="H151" s="314">
        <f>IF(Start!$B11&gt;0,VLOOKUP(Start!$N$11,'Taakstelling Nw Beschut'!$A$3:$I$355,9,FALSE),0)</f>
        <v>0</v>
      </c>
      <c r="I151" s="313"/>
    </row>
    <row r="152" spans="1:9" x14ac:dyDescent="0.35">
      <c r="A152" s="131" t="s">
        <v>1081</v>
      </c>
      <c r="B152" s="314">
        <f>IF(Start!$B11&gt;0,VLOOKUP(Start!$B$11,'Bonus Nw Beschut'!$A$6:$N$360,9,FALSE),0)</f>
        <v>0</v>
      </c>
      <c r="C152" s="314">
        <f>IF(Start!$B11&gt;0,VLOOKUP(Start!$B$11,'Bonus Nw Beschut'!$A$6:$N$360,14,FALSE),0)</f>
        <v>0</v>
      </c>
      <c r="D152" s="314"/>
      <c r="E152" s="314"/>
      <c r="F152" s="314"/>
      <c r="G152" s="314"/>
      <c r="H152" s="314"/>
      <c r="I152" s="318"/>
    </row>
    <row r="153" spans="1:9" x14ac:dyDescent="0.35">
      <c r="A153" s="326" t="s">
        <v>1082</v>
      </c>
      <c r="B153" s="327">
        <f>+B152-B151</f>
        <v>0</v>
      </c>
      <c r="C153" s="327">
        <f t="shared" ref="C153:H153" si="54">+C152-C151</f>
        <v>0</v>
      </c>
      <c r="D153" s="327">
        <f t="shared" si="54"/>
        <v>0</v>
      </c>
      <c r="E153" s="327">
        <f t="shared" si="54"/>
        <v>0</v>
      </c>
      <c r="F153" s="327">
        <f t="shared" si="54"/>
        <v>0</v>
      </c>
      <c r="G153" s="327">
        <f t="shared" si="54"/>
        <v>0</v>
      </c>
      <c r="H153" s="327">
        <f t="shared" si="54"/>
        <v>0</v>
      </c>
      <c r="I153" s="327"/>
    </row>
    <row r="154" spans="1:9" x14ac:dyDescent="0.35">
      <c r="A154" s="131" t="s">
        <v>1083</v>
      </c>
      <c r="B154" s="317">
        <f>IF(Start!$B11&gt;0,VLOOKUP(Start!$B$11,'Bonus Nw Beschut'!$A$6:$N$360,4,FALSE),0)</f>
        <v>0</v>
      </c>
      <c r="C154" s="317">
        <f>IF(Start!$B11&gt;0,VLOOKUP(Start!$B$11,'Bonus Nw Beschut'!$A$6:$N$360,8,FALSE),0)</f>
        <v>0</v>
      </c>
      <c r="D154" s="317">
        <f>IF(Start!$B11&gt;0,VLOOKUP(Start!$B$11,'Bonus Nw Beschut'!$A$6:$N$360,13,FALSE),0)</f>
        <v>0</v>
      </c>
      <c r="E154" s="317"/>
      <c r="F154" s="317"/>
      <c r="G154" s="317"/>
      <c r="H154" s="317"/>
      <c r="I154" s="317"/>
    </row>
    <row r="155" spans="1:9" x14ac:dyDescent="0.35">
      <c r="A155" s="312"/>
      <c r="B155" s="354"/>
      <c r="C155" s="354"/>
      <c r="D155" s="354"/>
      <c r="E155" s="354"/>
      <c r="F155" s="354"/>
      <c r="G155" s="354"/>
      <c r="H155" s="354"/>
      <c r="I155" s="354"/>
    </row>
    <row r="156" spans="1:9" x14ac:dyDescent="0.35">
      <c r="A156" s="339" t="s">
        <v>1108</v>
      </c>
      <c r="B156" s="340">
        <v>2017</v>
      </c>
      <c r="C156" s="340">
        <v>2018</v>
      </c>
      <c r="D156" s="340">
        <v>2019</v>
      </c>
      <c r="E156" s="340">
        <v>2020</v>
      </c>
      <c r="F156" s="340">
        <v>2021</v>
      </c>
      <c r="G156" s="340">
        <v>2022</v>
      </c>
      <c r="H156" s="340">
        <v>2023</v>
      </c>
      <c r="I156" s="340">
        <v>2024</v>
      </c>
    </row>
    <row r="157" spans="1:9" x14ac:dyDescent="0.35">
      <c r="A157" s="130" t="s">
        <v>2</v>
      </c>
      <c r="B157" s="85">
        <f>+'2 Cijfers'!B$45</f>
        <v>29034000</v>
      </c>
      <c r="C157" s="85">
        <f>+'2 Cijfers'!C$45</f>
        <v>39769000</v>
      </c>
      <c r="D157" s="85">
        <f>+'2 Cijfers'!D$45</f>
        <v>50831000</v>
      </c>
      <c r="E157" s="85">
        <f>+'2 Cijfers'!E$45</f>
        <v>50310000</v>
      </c>
      <c r="F157" s="85">
        <f>+'2 Cijfers'!F$45</f>
        <v>50657000</v>
      </c>
      <c r="G157" s="85">
        <f>+'2 Cijfers'!G$45</f>
        <v>55146000</v>
      </c>
      <c r="H157" s="85">
        <f>+'2 Cijfers'!H$45</f>
        <v>0</v>
      </c>
      <c r="I157" s="85">
        <f>+'2 Cijfers'!I$45</f>
        <v>0</v>
      </c>
    </row>
    <row r="158" spans="1:9" x14ac:dyDescent="0.35">
      <c r="A158" s="130" t="s">
        <v>990</v>
      </c>
      <c r="B158" s="85">
        <f>+'2 Cijfers'!B$46</f>
        <v>60819000</v>
      </c>
      <c r="C158" s="85">
        <f>+'2 Cijfers'!C$46</f>
        <v>83357000</v>
      </c>
      <c r="D158" s="85">
        <f>+'2 Cijfers'!D$46</f>
        <v>95628000</v>
      </c>
      <c r="E158" s="85">
        <f>+'2 Cijfers'!E$46</f>
        <v>103786000</v>
      </c>
      <c r="F158" s="85">
        <f>+'2 Cijfers'!F$46</f>
        <v>106066999.99999999</v>
      </c>
      <c r="G158" s="85">
        <f>+'2 Cijfers'!G$46</f>
        <v>122335000</v>
      </c>
      <c r="H158" s="85">
        <f>+'2 Cijfers'!H$46</f>
        <v>80236000</v>
      </c>
      <c r="I158" s="85">
        <f>+'2 Cijfers'!I$46</f>
        <v>87387000</v>
      </c>
    </row>
    <row r="159" spans="1:9" x14ac:dyDescent="0.35">
      <c r="A159" s="130" t="s">
        <v>1109</v>
      </c>
      <c r="B159" s="85">
        <f>+'2 Cijfers'!B$47</f>
        <v>522856000</v>
      </c>
      <c r="C159" s="85">
        <f>+'2 Cijfers'!C$47</f>
        <v>511136000</v>
      </c>
      <c r="D159" s="85">
        <f>+'2 Cijfers'!D$47</f>
        <v>518005000</v>
      </c>
      <c r="E159" s="85">
        <f>+'2 Cijfers'!E$47</f>
        <v>541902000</v>
      </c>
      <c r="F159" s="85">
        <f>+'2 Cijfers'!F$47</f>
        <v>705913000</v>
      </c>
      <c r="G159" s="85">
        <f>+'2 Cijfers'!G$47</f>
        <v>669324000</v>
      </c>
      <c r="H159" s="85">
        <f>+'2 Cijfers'!H$47</f>
        <v>0</v>
      </c>
      <c r="I159" s="85">
        <f>+'2 Cijfers'!I$47</f>
        <v>0</v>
      </c>
    </row>
    <row r="161" spans="1:9" ht="15.5" x14ac:dyDescent="0.35">
      <c r="A161" s="353" t="s">
        <v>1127</v>
      </c>
      <c r="B161" s="599" t="s">
        <v>1128</v>
      </c>
      <c r="C161" s="599"/>
      <c r="D161" s="599"/>
      <c r="E161" s="599"/>
      <c r="F161" s="599"/>
      <c r="G161" s="520">
        <f>+Start!B12</f>
        <v>0</v>
      </c>
      <c r="H161" s="521"/>
      <c r="I161" s="522"/>
    </row>
    <row r="163" spans="1:9" x14ac:dyDescent="0.35">
      <c r="A163" s="339" t="s">
        <v>1111</v>
      </c>
      <c r="B163" s="340">
        <v>2017</v>
      </c>
      <c r="C163" s="340">
        <v>2018</v>
      </c>
      <c r="D163" s="340">
        <v>2019</v>
      </c>
      <c r="E163" s="340">
        <v>2020</v>
      </c>
      <c r="F163" s="340">
        <v>2021</v>
      </c>
      <c r="G163" s="340">
        <v>2022</v>
      </c>
      <c r="H163" s="340">
        <v>2023</v>
      </c>
      <c r="I163" s="340">
        <v>2024</v>
      </c>
    </row>
    <row r="164" spans="1:9" x14ac:dyDescent="0.35">
      <c r="A164" s="130" t="s">
        <v>2</v>
      </c>
      <c r="B164" s="132">
        <f t="shared" ref="B164:I165" si="55">MROUND(+B175*B189,1000)</f>
        <v>0</v>
      </c>
      <c r="C164" s="132">
        <f t="shared" si="55"/>
        <v>0</v>
      </c>
      <c r="D164" s="132">
        <f t="shared" si="55"/>
        <v>0</v>
      </c>
      <c r="E164" s="132">
        <f t="shared" si="55"/>
        <v>0</v>
      </c>
      <c r="F164" s="132">
        <f t="shared" si="55"/>
        <v>0</v>
      </c>
      <c r="G164" s="132">
        <f t="shared" si="55"/>
        <v>0</v>
      </c>
      <c r="H164" s="132">
        <f t="shared" si="55"/>
        <v>0</v>
      </c>
      <c r="I164" s="132">
        <f t="shared" si="55"/>
        <v>0</v>
      </c>
    </row>
    <row r="165" spans="1:9" x14ac:dyDescent="0.35">
      <c r="A165" s="130" t="s">
        <v>990</v>
      </c>
      <c r="B165" s="132">
        <f t="shared" si="55"/>
        <v>0</v>
      </c>
      <c r="C165" s="132">
        <f t="shared" si="55"/>
        <v>0</v>
      </c>
      <c r="D165" s="132">
        <f t="shared" si="55"/>
        <v>0</v>
      </c>
      <c r="E165" s="132">
        <f t="shared" si="55"/>
        <v>0</v>
      </c>
      <c r="F165" s="132">
        <f t="shared" si="55"/>
        <v>0</v>
      </c>
      <c r="G165" s="132">
        <f t="shared" si="55"/>
        <v>0</v>
      </c>
      <c r="H165" s="132">
        <f t="shared" si="55"/>
        <v>0</v>
      </c>
      <c r="I165" s="132">
        <f t="shared" si="55"/>
        <v>0</v>
      </c>
    </row>
    <row r="166" spans="1:9" x14ac:dyDescent="0.35">
      <c r="A166" s="130" t="s">
        <v>1090</v>
      </c>
      <c r="B166" s="132">
        <f>+B186</f>
        <v>0</v>
      </c>
      <c r="C166" s="132">
        <f t="shared" ref="C166:I166" si="56">+C186</f>
        <v>0</v>
      </c>
      <c r="D166" s="132">
        <f t="shared" si="56"/>
        <v>0</v>
      </c>
      <c r="E166" s="132">
        <f t="shared" si="56"/>
        <v>0</v>
      </c>
      <c r="F166" s="132">
        <f t="shared" si="56"/>
        <v>0</v>
      </c>
      <c r="G166" s="132">
        <f t="shared" si="56"/>
        <v>0</v>
      </c>
      <c r="H166" s="132">
        <f t="shared" si="56"/>
        <v>0</v>
      </c>
      <c r="I166" s="132">
        <f t="shared" si="56"/>
        <v>0</v>
      </c>
    </row>
    <row r="167" spans="1:9" x14ac:dyDescent="0.35">
      <c r="A167" s="130" t="s">
        <v>1096</v>
      </c>
      <c r="B167" s="132">
        <f>MROUND(+$B179*'Recap circulaires'!$C$3,1000)</f>
        <v>0</v>
      </c>
      <c r="C167" s="132">
        <f>MROUND(+$C179*'Recap circulaires'!$D$3,1000)</f>
        <v>0</v>
      </c>
      <c r="D167" s="581"/>
      <c r="E167" s="582"/>
      <c r="F167" s="582"/>
      <c r="G167" s="582"/>
      <c r="H167" s="582"/>
      <c r="I167" s="583"/>
    </row>
    <row r="168" spans="1:9" x14ac:dyDescent="0.35">
      <c r="A168" s="69" t="s">
        <v>1125</v>
      </c>
      <c r="B168" s="319">
        <f>SUM(B164:B167)</f>
        <v>0</v>
      </c>
      <c r="C168" s="319">
        <f t="shared" ref="C168:I168" si="57">SUM(C164:C167)</f>
        <v>0</v>
      </c>
      <c r="D168" s="319">
        <f t="shared" si="57"/>
        <v>0</v>
      </c>
      <c r="E168" s="319">
        <f t="shared" si="57"/>
        <v>0</v>
      </c>
      <c r="F168" s="319">
        <f t="shared" si="57"/>
        <v>0</v>
      </c>
      <c r="G168" s="319">
        <f t="shared" si="57"/>
        <v>0</v>
      </c>
      <c r="H168" s="319">
        <f t="shared" si="57"/>
        <v>0</v>
      </c>
      <c r="I168" s="319">
        <f t="shared" si="57"/>
        <v>0</v>
      </c>
    </row>
    <row r="169" spans="1:9" x14ac:dyDescent="0.35">
      <c r="A169" s="130" t="s">
        <v>1097</v>
      </c>
      <c r="B169" s="584"/>
      <c r="C169" s="585"/>
      <c r="D169" s="119">
        <f>MROUND(+$D179*'Recap circulaires'!E$9*'Recap circulaires'!E$20*1000,1000)</f>
        <v>0</v>
      </c>
      <c r="E169" s="119">
        <f>MROUND(+$D179*'Recap circulaires'!F$9*'Recap circulaires'!F$20*1000,1000)</f>
        <v>0</v>
      </c>
      <c r="F169" s="119">
        <f>MROUND(+$D179*'Recap circulaires'!G$9*'Recap circulaires'!G$20*1000,1000)</f>
        <v>0</v>
      </c>
      <c r="G169" s="119">
        <f>MROUND(+$D179*'Recap circulaires'!H$9*'Recap circulaires'!H$20*1000,1000)</f>
        <v>0</v>
      </c>
      <c r="H169" s="119">
        <f>MROUND(+$D179*'Recap circulaires'!I$9*'Recap circulaires'!I$20*1000,1000)</f>
        <v>0</v>
      </c>
      <c r="I169" s="119">
        <f>MROUND(+$D179*'Recap circulaires'!J$9*'Recap circulaires'!J$20*1000,1000)</f>
        <v>0</v>
      </c>
    </row>
    <row r="170" spans="1:9" x14ac:dyDescent="0.35">
      <c r="A170" s="130" t="s">
        <v>1098</v>
      </c>
      <c r="B170" s="586"/>
      <c r="C170" s="587"/>
      <c r="D170" s="119">
        <f>IF(Start!$B12&gt;0,VLOOKUP(Start!$N$12,'Suppletie 2019'!$B$7:$G$366,6,FALSE),0)</f>
        <v>0</v>
      </c>
      <c r="E170" s="590"/>
      <c r="F170" s="591"/>
      <c r="G170" s="591"/>
      <c r="H170" s="591"/>
      <c r="I170" s="592"/>
    </row>
    <row r="171" spans="1:9" x14ac:dyDescent="0.35">
      <c r="A171" s="69" t="s">
        <v>1095</v>
      </c>
      <c r="B171" s="588"/>
      <c r="C171" s="589"/>
      <c r="D171" s="331">
        <f>SUM(D169:D170)</f>
        <v>0</v>
      </c>
      <c r="E171" s="331">
        <f t="shared" ref="E171:I171" si="58">SUM(E169:E170)</f>
        <v>0</v>
      </c>
      <c r="F171" s="331">
        <f t="shared" si="58"/>
        <v>0</v>
      </c>
      <c r="G171" s="331">
        <f t="shared" si="58"/>
        <v>0</v>
      </c>
      <c r="H171" s="331">
        <f t="shared" si="58"/>
        <v>0</v>
      </c>
      <c r="I171" s="331">
        <f t="shared" si="58"/>
        <v>0</v>
      </c>
    </row>
    <row r="172" spans="1:9" x14ac:dyDescent="0.35">
      <c r="A172" s="69" t="s">
        <v>1094</v>
      </c>
      <c r="B172" s="195">
        <f>SUM(B168:B169)</f>
        <v>0</v>
      </c>
      <c r="C172" s="195">
        <f>SUM(C168:C169)</f>
        <v>0</v>
      </c>
      <c r="D172" s="195">
        <f>+D168+D171</f>
        <v>0</v>
      </c>
      <c r="E172" s="195">
        <f t="shared" ref="E172:I172" si="59">+E168+E171</f>
        <v>0</v>
      </c>
      <c r="F172" s="195">
        <f t="shared" si="59"/>
        <v>0</v>
      </c>
      <c r="G172" s="195">
        <f t="shared" si="59"/>
        <v>0</v>
      </c>
      <c r="H172" s="195">
        <f t="shared" si="59"/>
        <v>0</v>
      </c>
      <c r="I172" s="195">
        <f t="shared" si="59"/>
        <v>0</v>
      </c>
    </row>
    <row r="173" spans="1:9" x14ac:dyDescent="0.35">
      <c r="B173" s="68"/>
    </row>
    <row r="174" spans="1:9" x14ac:dyDescent="0.35">
      <c r="A174" s="339" t="s">
        <v>1113</v>
      </c>
      <c r="B174" s="340">
        <v>2017</v>
      </c>
      <c r="C174" s="340">
        <v>2018</v>
      </c>
      <c r="D174" s="340">
        <v>2019</v>
      </c>
      <c r="E174" s="340">
        <v>2020</v>
      </c>
      <c r="F174" s="340">
        <v>2021</v>
      </c>
      <c r="G174" s="340">
        <v>2022</v>
      </c>
      <c r="H174" s="340">
        <v>2023</v>
      </c>
      <c r="I174" s="340">
        <v>2024</v>
      </c>
    </row>
    <row r="175" spans="1:9" x14ac:dyDescent="0.35">
      <c r="A175" s="197" t="s">
        <v>2</v>
      </c>
      <c r="B175" s="200">
        <f>IF(Start!$B12&gt;0,VLOOKUP(Start!$M$12,'CBS budgetaandelen'!$A$7:$G$363,6,FALSE),0)</f>
        <v>0</v>
      </c>
      <c r="C175" s="268">
        <f>+B175</f>
        <v>0</v>
      </c>
      <c r="D175" s="268">
        <f t="shared" ref="D175" si="60">+C175</f>
        <v>0</v>
      </c>
      <c r="E175" s="268">
        <f t="shared" ref="E175" si="61">+D175</f>
        <v>0</v>
      </c>
      <c r="F175" s="268">
        <f t="shared" ref="F175" si="62">+E175</f>
        <v>0</v>
      </c>
      <c r="G175" s="268">
        <f t="shared" ref="G175" si="63">+F175</f>
        <v>0</v>
      </c>
      <c r="H175" s="268">
        <f t="shared" ref="H175" si="64">+G175</f>
        <v>0</v>
      </c>
      <c r="I175" s="268">
        <f t="shared" ref="I175" si="65">+H175</f>
        <v>0</v>
      </c>
    </row>
    <row r="176" spans="1:9" x14ac:dyDescent="0.35">
      <c r="A176" s="131" t="s">
        <v>990</v>
      </c>
      <c r="B176" s="200">
        <f>IF(Start!$B12&gt;0,VLOOKUP(Start!$M$12,'CBS budgetaandelen'!$A$7:$G$363,7,FALSE),0)</f>
        <v>0</v>
      </c>
      <c r="C176" s="200">
        <f>+B176</f>
        <v>0</v>
      </c>
      <c r="D176" s="199">
        <f>IF(Start!$B12&gt;0,MAX(D178/D190,$C176),0)</f>
        <v>0</v>
      </c>
      <c r="E176" s="199">
        <f>IF(Start!$B12&gt;0,MAX(E178/E190,$C176),0)</f>
        <v>0</v>
      </c>
      <c r="F176" s="199">
        <f>IF(Start!$B12&gt;0,MAX(F178/F190,$C176),0)</f>
        <v>0</v>
      </c>
      <c r="G176" s="199">
        <f>IF(Start!$B12&gt;0,MAX(G178/G190,$C176),0)</f>
        <v>0</v>
      </c>
      <c r="H176" s="199">
        <f>IF(Start!$B12&gt;0,MAX(H178/H190,$C176),0)</f>
        <v>0</v>
      </c>
      <c r="I176" s="199">
        <f>IF(Start!$B12&gt;0,MAX(I178/I190,$C176),0)</f>
        <v>0</v>
      </c>
    </row>
    <row r="177" spans="1:9" x14ac:dyDescent="0.35">
      <c r="A177" s="131"/>
      <c r="B177" s="130"/>
      <c r="C177" s="201"/>
      <c r="D177" s="593" t="s">
        <v>1018</v>
      </c>
      <c r="E177" s="594"/>
      <c r="F177" s="594"/>
      <c r="G177" s="594"/>
      <c r="H177" s="594"/>
      <c r="I177" s="595"/>
    </row>
    <row r="178" spans="1:9" x14ac:dyDescent="0.35">
      <c r="A178" s="131" t="s">
        <v>1089</v>
      </c>
      <c r="B178" s="198">
        <v>8500</v>
      </c>
      <c r="C178" s="198">
        <v>8500</v>
      </c>
      <c r="D178" s="85">
        <v>8800</v>
      </c>
      <c r="E178" s="132">
        <v>8800</v>
      </c>
      <c r="F178" s="132">
        <v>7500</v>
      </c>
      <c r="G178" s="132">
        <v>7500</v>
      </c>
      <c r="H178" s="132">
        <v>7500</v>
      </c>
      <c r="I178" s="132">
        <v>7500</v>
      </c>
    </row>
    <row r="179" spans="1:9" x14ac:dyDescent="0.35">
      <c r="A179" s="131" t="s">
        <v>992</v>
      </c>
      <c r="B179" s="200">
        <f>IF(Start!$B12&gt;0,VLOOKUP(Start!$N$12,'Budgetaandelen klassiek'!$A$3:$K$348,8,FALSE)/1000,0)</f>
        <v>0</v>
      </c>
      <c r="C179" s="200">
        <f>IF(Start!$B12&gt;0,VLOOKUP(Start!$N$12,'Budgetaandelen klassiek'!$A$3:$K$348,9,FALSE)/1000,0)</f>
        <v>0</v>
      </c>
      <c r="D179" s="200">
        <f>IF(Start!$B12&gt;0,VLOOKUP(Start!$N$12,'Budgetaandelen klassiek'!$A$3:$K$348,11,FALSE)/1000,0)</f>
        <v>0</v>
      </c>
      <c r="E179" s="200">
        <f>IF(Start!$B12&gt;0,VLOOKUP(Start!$N$12,'Budgetaandelen klassiek'!$A$3:$K$348,11,FALSE)/1000,0)</f>
        <v>0</v>
      </c>
      <c r="F179" s="200">
        <f>IF(Start!$B12&gt;0,VLOOKUP(Start!$N$12,'Budgetaandelen klassiek'!$A$3:$K$348,11,FALSE)/1000,0)</f>
        <v>0</v>
      </c>
      <c r="G179" s="200">
        <f>IF(Start!$B12&gt;0,VLOOKUP(Start!$N$12,'Budgetaandelen klassiek'!$A$3:$K$348,11,FALSE)/1000,0)</f>
        <v>0</v>
      </c>
      <c r="H179" s="200">
        <f>IF(Start!$B12&gt;0,VLOOKUP(Start!$N$12,'Budgetaandelen klassiek'!$A$3:$K$348,11,FALSE)/1000,0)</f>
        <v>0</v>
      </c>
      <c r="I179" s="200">
        <f>IF(Start!$B12&gt;0,VLOOKUP(Start!$N$12,'Budgetaandelen klassiek'!$A$3:$K$348,11,FALSE)/1000,0)</f>
        <v>0</v>
      </c>
    </row>
    <row r="180" spans="1:9" x14ac:dyDescent="0.35">
      <c r="A180" s="131" t="s">
        <v>1040</v>
      </c>
      <c r="B180" s="596"/>
      <c r="C180" s="597"/>
      <c r="D180" s="200">
        <f>(+D169+D170)/D191</f>
        <v>0</v>
      </c>
      <c r="E180" s="596"/>
      <c r="F180" s="598"/>
      <c r="G180" s="598"/>
      <c r="H180" s="598"/>
      <c r="I180" s="597"/>
    </row>
    <row r="182" spans="1:9" x14ac:dyDescent="0.35">
      <c r="A182" s="339" t="s">
        <v>1114</v>
      </c>
      <c r="B182" s="340">
        <v>2017</v>
      </c>
      <c r="C182" s="340">
        <v>2018</v>
      </c>
      <c r="D182" s="340">
        <v>2019</v>
      </c>
      <c r="E182" s="340">
        <v>2020</v>
      </c>
      <c r="F182" s="340">
        <v>2021</v>
      </c>
      <c r="G182" s="340">
        <v>2022</v>
      </c>
      <c r="H182" s="340">
        <v>2023</v>
      </c>
      <c r="I182" s="340">
        <v>2024</v>
      </c>
    </row>
    <row r="183" spans="1:9" x14ac:dyDescent="0.35">
      <c r="A183" s="131" t="s">
        <v>1064</v>
      </c>
      <c r="B183" s="314">
        <f>IF(Start!$B12&gt;0,VLOOKUP(Start!$N$12,'Taakstelling Nw Beschut'!$A$3:$I$355,3,FALSE),0)</f>
        <v>0</v>
      </c>
      <c r="C183" s="314">
        <f>IF(Start!$B12&gt;0,VLOOKUP(Start!$N$12,'Taakstelling Nw Beschut'!$A$3:$I$355,4,FALSE),0)</f>
        <v>0</v>
      </c>
      <c r="D183" s="314">
        <f>IF(Start!$B12&gt;0,VLOOKUP(Start!$N$12,'Taakstelling Nw Beschut'!$A$3:$I$355,5,FALSE),0)</f>
        <v>0</v>
      </c>
      <c r="E183" s="314">
        <f>IF(Start!$B12&gt;0,VLOOKUP(Start!$N$12,'Taakstelling Nw Beschut'!$A$3:$I$355,6,FALSE),0)</f>
        <v>0</v>
      </c>
      <c r="F183" s="314">
        <f>IF(Start!$B12&gt;0,VLOOKUP(Start!$N$12,'Taakstelling Nw Beschut'!$A$3:$I$355,7,FALSE),0)</f>
        <v>0</v>
      </c>
      <c r="G183" s="314">
        <f>IF(Start!$B12&gt;0,VLOOKUP(Start!$N$12,'Taakstelling Nw Beschut'!$A$3:$I$355,8,FALSE),0)</f>
        <v>0</v>
      </c>
      <c r="H183" s="314">
        <f>IF(Start!$B12&gt;0,VLOOKUP(Start!$N$12,'Taakstelling Nw Beschut'!$A$3:$I$355,9,FALSE),0)</f>
        <v>0</v>
      </c>
      <c r="I183" s="313"/>
    </row>
    <row r="184" spans="1:9" x14ac:dyDescent="0.35">
      <c r="A184" s="131" t="s">
        <v>1081</v>
      </c>
      <c r="B184" s="314">
        <f>IF(Start!B12&gt;0,VLOOKUP(Start!$B$12,'Bonus Nw Beschut'!$A$6:$N$360,9,FALSE),0)</f>
        <v>0</v>
      </c>
      <c r="C184" s="314">
        <f>IF(Start!B12&gt;0,VLOOKUP(Start!$B$12,'Bonus Nw Beschut'!$A$6:$N$360,14,FALSE),0)</f>
        <v>0</v>
      </c>
      <c r="D184" s="314"/>
      <c r="E184" s="314"/>
      <c r="F184" s="314"/>
      <c r="G184" s="314"/>
      <c r="H184" s="314"/>
      <c r="I184" s="318"/>
    </row>
    <row r="185" spans="1:9" x14ac:dyDescent="0.35">
      <c r="A185" s="326" t="s">
        <v>1082</v>
      </c>
      <c r="B185" s="327">
        <f>+B184-B183</f>
        <v>0</v>
      </c>
      <c r="C185" s="327">
        <f t="shared" ref="C185:H185" si="66">+C184-C183</f>
        <v>0</v>
      </c>
      <c r="D185" s="327">
        <f t="shared" si="66"/>
        <v>0</v>
      </c>
      <c r="E185" s="327">
        <f t="shared" si="66"/>
        <v>0</v>
      </c>
      <c r="F185" s="327">
        <f t="shared" si="66"/>
        <v>0</v>
      </c>
      <c r="G185" s="327">
        <f t="shared" si="66"/>
        <v>0</v>
      </c>
      <c r="H185" s="327">
        <f t="shared" si="66"/>
        <v>0</v>
      </c>
      <c r="I185" s="327"/>
    </row>
    <row r="186" spans="1:9" x14ac:dyDescent="0.35">
      <c r="A186" s="131" t="s">
        <v>1083</v>
      </c>
      <c r="B186" s="317">
        <f>IF(Start!B12&gt;0,VLOOKUP(Start!$B$12,'Bonus Nw Beschut'!$A$6:$N$360,4,FALSE),0)</f>
        <v>0</v>
      </c>
      <c r="C186" s="317">
        <f>IF(Start!C12&gt;0,VLOOKUP(Start!$B$12,'Bonus Nw Beschut'!$A$6:$N$360,8,FALSE),0)</f>
        <v>0</v>
      </c>
      <c r="D186" s="317">
        <f>IF(Start!M12&gt;0,VLOOKUP(Start!$B$12,'Bonus Nw Beschut'!$A$6:$N$360,13,FALSE),0)</f>
        <v>0</v>
      </c>
      <c r="E186" s="317"/>
      <c r="F186" s="317"/>
      <c r="G186" s="317"/>
      <c r="H186" s="317"/>
      <c r="I186" s="317"/>
    </row>
    <row r="187" spans="1:9" x14ac:dyDescent="0.35">
      <c r="A187" s="312"/>
      <c r="B187" s="354"/>
      <c r="C187" s="354"/>
      <c r="D187" s="354"/>
      <c r="E187" s="354"/>
      <c r="F187" s="354"/>
      <c r="G187" s="354"/>
      <c r="H187" s="354"/>
      <c r="I187" s="354"/>
    </row>
    <row r="188" spans="1:9" x14ac:dyDescent="0.35">
      <c r="A188" s="339" t="s">
        <v>1108</v>
      </c>
      <c r="B188" s="340">
        <v>2017</v>
      </c>
      <c r="C188" s="340">
        <v>2018</v>
      </c>
      <c r="D188" s="340">
        <v>2019</v>
      </c>
      <c r="E188" s="340">
        <v>2020</v>
      </c>
      <c r="F188" s="340">
        <v>2021</v>
      </c>
      <c r="G188" s="340">
        <v>2022</v>
      </c>
      <c r="H188" s="340">
        <v>2023</v>
      </c>
      <c r="I188" s="340">
        <v>2024</v>
      </c>
    </row>
    <row r="189" spans="1:9" x14ac:dyDescent="0.35">
      <c r="A189" s="130" t="s">
        <v>2</v>
      </c>
      <c r="B189" s="85">
        <f>+'2 Cijfers'!B$45</f>
        <v>29034000</v>
      </c>
      <c r="C189" s="85">
        <f>+'2 Cijfers'!C$45</f>
        <v>39769000</v>
      </c>
      <c r="D189" s="85">
        <f>+'2 Cijfers'!D$45</f>
        <v>50831000</v>
      </c>
      <c r="E189" s="85">
        <f>+'2 Cijfers'!E$45</f>
        <v>50310000</v>
      </c>
      <c r="F189" s="85">
        <f>+'2 Cijfers'!F$45</f>
        <v>50657000</v>
      </c>
      <c r="G189" s="85">
        <f>+'2 Cijfers'!G$45</f>
        <v>55146000</v>
      </c>
      <c r="H189" s="85">
        <f>+'2 Cijfers'!H$45</f>
        <v>0</v>
      </c>
      <c r="I189" s="85">
        <f>+'2 Cijfers'!I$45</f>
        <v>0</v>
      </c>
    </row>
    <row r="190" spans="1:9" x14ac:dyDescent="0.35">
      <c r="A190" s="130" t="s">
        <v>990</v>
      </c>
      <c r="B190" s="85">
        <f>+'2 Cijfers'!B$46</f>
        <v>60819000</v>
      </c>
      <c r="C190" s="85">
        <f>+'2 Cijfers'!C$46</f>
        <v>83357000</v>
      </c>
      <c r="D190" s="85">
        <f>+'2 Cijfers'!D$46</f>
        <v>95628000</v>
      </c>
      <c r="E190" s="85">
        <f>+'2 Cijfers'!E$46</f>
        <v>103786000</v>
      </c>
      <c r="F190" s="85">
        <f>+'2 Cijfers'!F$46</f>
        <v>106066999.99999999</v>
      </c>
      <c r="G190" s="85">
        <f>+'2 Cijfers'!G$46</f>
        <v>122335000</v>
      </c>
      <c r="H190" s="85">
        <f>+'2 Cijfers'!H$46</f>
        <v>80236000</v>
      </c>
      <c r="I190" s="85">
        <f>+'2 Cijfers'!I$46</f>
        <v>87387000</v>
      </c>
    </row>
    <row r="191" spans="1:9" x14ac:dyDescent="0.35">
      <c r="A191" s="130" t="s">
        <v>1109</v>
      </c>
      <c r="B191" s="85">
        <f>+'2 Cijfers'!B$47</f>
        <v>522856000</v>
      </c>
      <c r="C191" s="85">
        <f>+'2 Cijfers'!C$47</f>
        <v>511136000</v>
      </c>
      <c r="D191" s="85">
        <f>+'2 Cijfers'!D$47</f>
        <v>518005000</v>
      </c>
      <c r="E191" s="85">
        <f>+'2 Cijfers'!E$47</f>
        <v>541902000</v>
      </c>
      <c r="F191" s="85">
        <f>+'2 Cijfers'!F$47</f>
        <v>705913000</v>
      </c>
      <c r="G191" s="85">
        <f>+'2 Cijfers'!G$47</f>
        <v>669324000</v>
      </c>
      <c r="H191" s="85">
        <f>+'2 Cijfers'!H$47</f>
        <v>0</v>
      </c>
      <c r="I191" s="85">
        <f>+'2 Cijfers'!I$47</f>
        <v>0</v>
      </c>
    </row>
    <row r="193" spans="1:9" ht="15.5" x14ac:dyDescent="0.35">
      <c r="A193" s="353" t="s">
        <v>1127</v>
      </c>
      <c r="B193" s="599" t="s">
        <v>1128</v>
      </c>
      <c r="C193" s="599"/>
      <c r="D193" s="599"/>
      <c r="E193" s="599"/>
      <c r="F193" s="599"/>
      <c r="G193" s="520">
        <f>+Start!B13</f>
        <v>0</v>
      </c>
      <c r="H193" s="521"/>
      <c r="I193" s="522"/>
    </row>
    <row r="195" spans="1:9" x14ac:dyDescent="0.35">
      <c r="A195" s="339" t="s">
        <v>1111</v>
      </c>
      <c r="B195" s="340">
        <v>2017</v>
      </c>
      <c r="C195" s="340">
        <v>2018</v>
      </c>
      <c r="D195" s="340">
        <v>2019</v>
      </c>
      <c r="E195" s="340">
        <v>2020</v>
      </c>
      <c r="F195" s="340">
        <v>2021</v>
      </c>
      <c r="G195" s="340">
        <v>2022</v>
      </c>
      <c r="H195" s="340">
        <v>2023</v>
      </c>
      <c r="I195" s="340">
        <v>2024</v>
      </c>
    </row>
    <row r="196" spans="1:9" x14ac:dyDescent="0.35">
      <c r="A196" s="130" t="s">
        <v>2</v>
      </c>
      <c r="B196" s="132">
        <f t="shared" ref="B196:I197" si="67">MROUND(+B207*B221,1000)</f>
        <v>0</v>
      </c>
      <c r="C196" s="132">
        <f t="shared" si="67"/>
        <v>0</v>
      </c>
      <c r="D196" s="132">
        <f t="shared" si="67"/>
        <v>0</v>
      </c>
      <c r="E196" s="132">
        <f t="shared" si="67"/>
        <v>0</v>
      </c>
      <c r="F196" s="132">
        <f t="shared" si="67"/>
        <v>0</v>
      </c>
      <c r="G196" s="132">
        <f t="shared" si="67"/>
        <v>0</v>
      </c>
      <c r="H196" s="132">
        <f t="shared" si="67"/>
        <v>0</v>
      </c>
      <c r="I196" s="132">
        <f t="shared" si="67"/>
        <v>0</v>
      </c>
    </row>
    <row r="197" spans="1:9" x14ac:dyDescent="0.35">
      <c r="A197" s="130" t="s">
        <v>990</v>
      </c>
      <c r="B197" s="132">
        <f t="shared" si="67"/>
        <v>0</v>
      </c>
      <c r="C197" s="132">
        <f t="shared" si="67"/>
        <v>0</v>
      </c>
      <c r="D197" s="132">
        <f t="shared" si="67"/>
        <v>0</v>
      </c>
      <c r="E197" s="132">
        <f t="shared" si="67"/>
        <v>0</v>
      </c>
      <c r="F197" s="132">
        <f t="shared" si="67"/>
        <v>0</v>
      </c>
      <c r="G197" s="132">
        <f t="shared" si="67"/>
        <v>0</v>
      </c>
      <c r="H197" s="132">
        <f t="shared" si="67"/>
        <v>0</v>
      </c>
      <c r="I197" s="132">
        <f t="shared" si="67"/>
        <v>0</v>
      </c>
    </row>
    <row r="198" spans="1:9" x14ac:dyDescent="0.35">
      <c r="A198" s="130" t="s">
        <v>1090</v>
      </c>
      <c r="B198" s="132">
        <f>+B218</f>
        <v>0</v>
      </c>
      <c r="C198" s="132">
        <f t="shared" ref="C198:I198" si="68">+C218</f>
        <v>0</v>
      </c>
      <c r="D198" s="132">
        <f t="shared" si="68"/>
        <v>0</v>
      </c>
      <c r="E198" s="132">
        <f t="shared" si="68"/>
        <v>0</v>
      </c>
      <c r="F198" s="132">
        <f t="shared" si="68"/>
        <v>0</v>
      </c>
      <c r="G198" s="132">
        <f t="shared" si="68"/>
        <v>0</v>
      </c>
      <c r="H198" s="132">
        <f t="shared" si="68"/>
        <v>0</v>
      </c>
      <c r="I198" s="132">
        <f t="shared" si="68"/>
        <v>0</v>
      </c>
    </row>
    <row r="199" spans="1:9" x14ac:dyDescent="0.35">
      <c r="A199" s="130" t="s">
        <v>1096</v>
      </c>
      <c r="B199" s="132">
        <f>MROUND(+$B211*'Recap circulaires'!$C$3,1000)</f>
        <v>0</v>
      </c>
      <c r="C199" s="132">
        <f>MROUND(+$C211*'Recap circulaires'!$D$3,1000)</f>
        <v>0</v>
      </c>
      <c r="D199" s="581"/>
      <c r="E199" s="582"/>
      <c r="F199" s="582"/>
      <c r="G199" s="582"/>
      <c r="H199" s="582"/>
      <c r="I199" s="583"/>
    </row>
    <row r="200" spans="1:9" x14ac:dyDescent="0.35">
      <c r="A200" s="69" t="s">
        <v>1125</v>
      </c>
      <c r="B200" s="319">
        <f>SUM(B196:B199)</f>
        <v>0</v>
      </c>
      <c r="C200" s="319">
        <f t="shared" ref="C200:I200" si="69">SUM(C196:C199)</f>
        <v>0</v>
      </c>
      <c r="D200" s="319">
        <f t="shared" si="69"/>
        <v>0</v>
      </c>
      <c r="E200" s="319">
        <f t="shared" si="69"/>
        <v>0</v>
      </c>
      <c r="F200" s="319">
        <f t="shared" si="69"/>
        <v>0</v>
      </c>
      <c r="G200" s="319">
        <f t="shared" si="69"/>
        <v>0</v>
      </c>
      <c r="H200" s="319">
        <f t="shared" si="69"/>
        <v>0</v>
      </c>
      <c r="I200" s="319">
        <f t="shared" si="69"/>
        <v>0</v>
      </c>
    </row>
    <row r="201" spans="1:9" x14ac:dyDescent="0.35">
      <c r="A201" s="130" t="s">
        <v>1097</v>
      </c>
      <c r="B201" s="584"/>
      <c r="C201" s="585"/>
      <c r="D201" s="119">
        <f>MROUND(+$D211*'Recap circulaires'!E$9*'Recap circulaires'!E$20*1000,1000)</f>
        <v>0</v>
      </c>
      <c r="E201" s="119">
        <f>MROUND(+$D211*'Recap circulaires'!F$9*'Recap circulaires'!F$20*1000,1000)</f>
        <v>0</v>
      </c>
      <c r="F201" s="119">
        <f>MROUND(+$D211*'Recap circulaires'!G$9*'Recap circulaires'!G$20*1000,1000)</f>
        <v>0</v>
      </c>
      <c r="G201" s="119">
        <f>MROUND(+$D211*'Recap circulaires'!H$9*'Recap circulaires'!H$20*1000,1000)</f>
        <v>0</v>
      </c>
      <c r="H201" s="119">
        <f>MROUND(+$D211*'Recap circulaires'!I$9*'Recap circulaires'!I$20*1000,1000)</f>
        <v>0</v>
      </c>
      <c r="I201" s="119">
        <f>MROUND(+$D211*'Recap circulaires'!J$9*'Recap circulaires'!J$20*1000,1000)</f>
        <v>0</v>
      </c>
    </row>
    <row r="202" spans="1:9" x14ac:dyDescent="0.35">
      <c r="A202" s="130" t="s">
        <v>1098</v>
      </c>
      <c r="B202" s="586"/>
      <c r="C202" s="587"/>
      <c r="D202" s="119">
        <f>IF(Start!$B13&gt;0,VLOOKUP(Start!$N$13,'Suppletie 2019'!$B$7:$G$366,6,FALSE),0)</f>
        <v>0</v>
      </c>
      <c r="E202" s="590"/>
      <c r="F202" s="591"/>
      <c r="G202" s="591"/>
      <c r="H202" s="591"/>
      <c r="I202" s="592"/>
    </row>
    <row r="203" spans="1:9" x14ac:dyDescent="0.35">
      <c r="A203" s="69" t="s">
        <v>1095</v>
      </c>
      <c r="B203" s="588"/>
      <c r="C203" s="589"/>
      <c r="D203" s="331">
        <f>SUM(D201:D202)</f>
        <v>0</v>
      </c>
      <c r="E203" s="331">
        <f t="shared" ref="E203:I203" si="70">SUM(E201:E202)</f>
        <v>0</v>
      </c>
      <c r="F203" s="331">
        <f t="shared" si="70"/>
        <v>0</v>
      </c>
      <c r="G203" s="331">
        <f t="shared" si="70"/>
        <v>0</v>
      </c>
      <c r="H203" s="331">
        <f t="shared" si="70"/>
        <v>0</v>
      </c>
      <c r="I203" s="331">
        <f t="shared" si="70"/>
        <v>0</v>
      </c>
    </row>
    <row r="204" spans="1:9" x14ac:dyDescent="0.35">
      <c r="A204" s="69" t="s">
        <v>1094</v>
      </c>
      <c r="B204" s="195">
        <f>SUM(B200:B201)</f>
        <v>0</v>
      </c>
      <c r="C204" s="195">
        <f>SUM(C200:C201)</f>
        <v>0</v>
      </c>
      <c r="D204" s="195">
        <f>+D200+D203</f>
        <v>0</v>
      </c>
      <c r="E204" s="195">
        <f t="shared" ref="E204:I204" si="71">+E200+E203</f>
        <v>0</v>
      </c>
      <c r="F204" s="195">
        <f t="shared" si="71"/>
        <v>0</v>
      </c>
      <c r="G204" s="195">
        <f t="shared" si="71"/>
        <v>0</v>
      </c>
      <c r="H204" s="195">
        <f t="shared" si="71"/>
        <v>0</v>
      </c>
      <c r="I204" s="195">
        <f t="shared" si="71"/>
        <v>0</v>
      </c>
    </row>
    <row r="205" spans="1:9" x14ac:dyDescent="0.35">
      <c r="B205" s="68"/>
    </row>
    <row r="206" spans="1:9" x14ac:dyDescent="0.35">
      <c r="A206" s="339" t="s">
        <v>1113</v>
      </c>
      <c r="B206" s="340">
        <v>2017</v>
      </c>
      <c r="C206" s="340">
        <v>2018</v>
      </c>
      <c r="D206" s="340">
        <v>2019</v>
      </c>
      <c r="E206" s="340">
        <v>2020</v>
      </c>
      <c r="F206" s="340">
        <v>2021</v>
      </c>
      <c r="G206" s="340">
        <v>2022</v>
      </c>
      <c r="H206" s="340">
        <v>2023</v>
      </c>
      <c r="I206" s="340">
        <v>2024</v>
      </c>
    </row>
    <row r="207" spans="1:9" x14ac:dyDescent="0.35">
      <c r="A207" s="197" t="s">
        <v>2</v>
      </c>
      <c r="B207" s="200">
        <f>IF(Start!$B13&gt;0,VLOOKUP(Start!$M$13,'CBS budgetaandelen'!$A$7:$G$363,6,FALSE),0)</f>
        <v>0</v>
      </c>
      <c r="C207" s="268">
        <f>+B207</f>
        <v>0</v>
      </c>
      <c r="D207" s="268">
        <f t="shared" ref="D207" si="72">+C207</f>
        <v>0</v>
      </c>
      <c r="E207" s="268">
        <f t="shared" ref="E207" si="73">+D207</f>
        <v>0</v>
      </c>
      <c r="F207" s="268">
        <f t="shared" ref="F207" si="74">+E207</f>
        <v>0</v>
      </c>
      <c r="G207" s="268">
        <f t="shared" ref="G207" si="75">+F207</f>
        <v>0</v>
      </c>
      <c r="H207" s="268">
        <f t="shared" ref="H207" si="76">+G207</f>
        <v>0</v>
      </c>
      <c r="I207" s="268">
        <f t="shared" ref="I207" si="77">+H207</f>
        <v>0</v>
      </c>
    </row>
    <row r="208" spans="1:9" x14ac:dyDescent="0.35">
      <c r="A208" s="131" t="s">
        <v>990</v>
      </c>
      <c r="B208" s="200">
        <f>IF(Start!$B13&gt;0,VLOOKUP(Start!$M$13,'CBS budgetaandelen'!$A$7:$G$363,7,FALSE),0)</f>
        <v>0</v>
      </c>
      <c r="C208" s="200">
        <f>+B208</f>
        <v>0</v>
      </c>
      <c r="D208" s="199">
        <f>IF(Start!$B13&gt;0,MAX(D210/D222,$C208),0)</f>
        <v>0</v>
      </c>
      <c r="E208" s="199">
        <f>IF(Start!$B13&gt;0,MAX(E210/E222,$C208),0)</f>
        <v>0</v>
      </c>
      <c r="F208" s="199">
        <f>IF(Start!$B13&gt;0,MAX(F210/F222,$C208),0)</f>
        <v>0</v>
      </c>
      <c r="G208" s="199">
        <f>IF(Start!$B13&gt;0,MAX(G210/G222,$C208),0)</f>
        <v>0</v>
      </c>
      <c r="H208" s="199">
        <f>IF(Start!$B13&gt;0,MAX(H210/H222,$C208),0)</f>
        <v>0</v>
      </c>
      <c r="I208" s="199">
        <f>IF(Start!$B13&gt;0,MAX(I210/I222,$C208),0)</f>
        <v>0</v>
      </c>
    </row>
    <row r="209" spans="1:9" x14ac:dyDescent="0.35">
      <c r="A209" s="131"/>
      <c r="B209" s="130"/>
      <c r="C209" s="201"/>
      <c r="D209" s="593" t="s">
        <v>1018</v>
      </c>
      <c r="E209" s="594"/>
      <c r="F209" s="594"/>
      <c r="G209" s="594"/>
      <c r="H209" s="594"/>
      <c r="I209" s="595"/>
    </row>
    <row r="210" spans="1:9" x14ac:dyDescent="0.35">
      <c r="A210" s="131" t="s">
        <v>1089</v>
      </c>
      <c r="B210" s="198">
        <v>8500</v>
      </c>
      <c r="C210" s="198">
        <v>8500</v>
      </c>
      <c r="D210" s="85">
        <v>8800</v>
      </c>
      <c r="E210" s="132">
        <v>8800</v>
      </c>
      <c r="F210" s="132">
        <v>7500</v>
      </c>
      <c r="G210" s="132">
        <v>7500</v>
      </c>
      <c r="H210" s="132">
        <v>7500</v>
      </c>
      <c r="I210" s="132">
        <v>7500</v>
      </c>
    </row>
    <row r="211" spans="1:9" x14ac:dyDescent="0.35">
      <c r="A211" s="131" t="s">
        <v>992</v>
      </c>
      <c r="B211" s="200">
        <f>IF(Start!$B13&gt;0,VLOOKUP(Start!$N$13,'Budgetaandelen klassiek'!$A$3:$K$348,8,FALSE)/1000,0)</f>
        <v>0</v>
      </c>
      <c r="C211" s="200">
        <f>IF(Start!$B13&gt;0,VLOOKUP(Start!$N$13,'Budgetaandelen klassiek'!$A$3:$K$348,9,FALSE)/1000,0)</f>
        <v>0</v>
      </c>
      <c r="D211" s="200">
        <f>IF(Start!$B13&gt;0,VLOOKUP(Start!$N$13,'Budgetaandelen klassiek'!$A$3:$K$348,11,FALSE)/1000,0)</f>
        <v>0</v>
      </c>
      <c r="E211" s="200">
        <f>IF(Start!$B13&gt;0,VLOOKUP(Start!$N$13,'Budgetaandelen klassiek'!$A$3:$K$348,11,FALSE)/1000,0)</f>
        <v>0</v>
      </c>
      <c r="F211" s="200">
        <f>IF(Start!$B13&gt;0,VLOOKUP(Start!$N$13,'Budgetaandelen klassiek'!$A$3:$K$348,11,FALSE)/1000,0)</f>
        <v>0</v>
      </c>
      <c r="G211" s="200">
        <f>IF(Start!$B13&gt;0,VLOOKUP(Start!$N$13,'Budgetaandelen klassiek'!$A$3:$K$348,11,FALSE)/1000,0)</f>
        <v>0</v>
      </c>
      <c r="H211" s="200">
        <f>IF(Start!$B13&gt;0,VLOOKUP(Start!$N$13,'Budgetaandelen klassiek'!$A$3:$K$348,11,FALSE)/1000,0)</f>
        <v>0</v>
      </c>
      <c r="I211" s="200">
        <f>IF(Start!$B13&gt;0,VLOOKUP(Start!$N$13,'Budgetaandelen klassiek'!$A$3:$K$348,11,FALSE)/1000,0)</f>
        <v>0</v>
      </c>
    </row>
    <row r="212" spans="1:9" x14ac:dyDescent="0.35">
      <c r="A212" s="131" t="s">
        <v>1040</v>
      </c>
      <c r="B212" s="596"/>
      <c r="C212" s="597"/>
      <c r="D212" s="200">
        <f>(+D201+D202)/D223</f>
        <v>0</v>
      </c>
      <c r="E212" s="596"/>
      <c r="F212" s="598"/>
      <c r="G212" s="598"/>
      <c r="H212" s="598"/>
      <c r="I212" s="597"/>
    </row>
    <row r="214" spans="1:9" x14ac:dyDescent="0.35">
      <c r="A214" s="339" t="s">
        <v>1114</v>
      </c>
      <c r="B214" s="340">
        <v>2017</v>
      </c>
      <c r="C214" s="340">
        <v>2018</v>
      </c>
      <c r="D214" s="340">
        <v>2019</v>
      </c>
      <c r="E214" s="340">
        <v>2020</v>
      </c>
      <c r="F214" s="340">
        <v>2021</v>
      </c>
      <c r="G214" s="340">
        <v>2022</v>
      </c>
      <c r="H214" s="340">
        <v>2023</v>
      </c>
      <c r="I214" s="340">
        <v>2024</v>
      </c>
    </row>
    <row r="215" spans="1:9" x14ac:dyDescent="0.35">
      <c r="A215" s="131" t="s">
        <v>1064</v>
      </c>
      <c r="B215" s="314">
        <f>IF(Start!$B13&gt;0,VLOOKUP(Start!$N$13,'Taakstelling Nw Beschut'!$A$3:$I$355,3,FALSE),0)</f>
        <v>0</v>
      </c>
      <c r="C215" s="314">
        <f>IF(Start!$B13&gt;0,VLOOKUP(Start!$N$13,'Taakstelling Nw Beschut'!$A$3:$I$355,4,FALSE),0)</f>
        <v>0</v>
      </c>
      <c r="D215" s="314">
        <f>IF(Start!$B13&gt;0,VLOOKUP(Start!$N$13,'Taakstelling Nw Beschut'!$A$3:$I$355,5,FALSE),0)</f>
        <v>0</v>
      </c>
      <c r="E215" s="314">
        <f>IF(Start!$B13&gt;0,VLOOKUP(Start!$N$13,'Taakstelling Nw Beschut'!$A$3:$I$355,6,FALSE),0)</f>
        <v>0</v>
      </c>
      <c r="F215" s="314">
        <f>IF(Start!$B13&gt;0,VLOOKUP(Start!$N$13,'Taakstelling Nw Beschut'!$A$3:$I$355,7,FALSE),0)</f>
        <v>0</v>
      </c>
      <c r="G215" s="314">
        <f>IF(Start!$B13&gt;0,VLOOKUP(Start!$N$13,'Taakstelling Nw Beschut'!$A$3:$I$355,8,FALSE),0)</f>
        <v>0</v>
      </c>
      <c r="H215" s="314">
        <f>IF(Start!$B13&gt;0,VLOOKUP(Start!$N$13,'Taakstelling Nw Beschut'!$A$3:$I$355,,FALSE),0)</f>
        <v>0</v>
      </c>
      <c r="I215" s="313"/>
    </row>
    <row r="216" spans="1:9" x14ac:dyDescent="0.35">
      <c r="A216" s="131" t="s">
        <v>1081</v>
      </c>
      <c r="B216" s="314">
        <f>IF(Start!$B13&gt;0,VLOOKUP(Start!$B$13,'Bonus Nw Beschut'!$A$6:$N$360,9,FALSE),0)</f>
        <v>0</v>
      </c>
      <c r="C216" s="314">
        <f>IF(Start!$B13&gt;0,VLOOKUP(Start!$B$13,'Bonus Nw Beschut'!$A$6:$N$360,14,FALSE),0)</f>
        <v>0</v>
      </c>
      <c r="D216" s="314"/>
      <c r="E216" s="314"/>
      <c r="F216" s="314"/>
      <c r="G216" s="314"/>
      <c r="H216" s="314"/>
      <c r="I216" s="318"/>
    </row>
    <row r="217" spans="1:9" x14ac:dyDescent="0.35">
      <c r="A217" s="326" t="s">
        <v>1082</v>
      </c>
      <c r="B217" s="327">
        <f>+B216-B215</f>
        <v>0</v>
      </c>
      <c r="C217" s="327">
        <f t="shared" ref="C217:H217" si="78">+C216-C215</f>
        <v>0</v>
      </c>
      <c r="D217" s="327">
        <f t="shared" si="78"/>
        <v>0</v>
      </c>
      <c r="E217" s="327">
        <f t="shared" si="78"/>
        <v>0</v>
      </c>
      <c r="F217" s="327">
        <f t="shared" si="78"/>
        <v>0</v>
      </c>
      <c r="G217" s="327">
        <f t="shared" si="78"/>
        <v>0</v>
      </c>
      <c r="H217" s="327">
        <f t="shared" si="78"/>
        <v>0</v>
      </c>
      <c r="I217" s="327"/>
    </row>
    <row r="218" spans="1:9" x14ac:dyDescent="0.35">
      <c r="A218" s="131" t="s">
        <v>1083</v>
      </c>
      <c r="B218" s="317">
        <f>IF(Start!$B13&gt;0,VLOOKUP(Start!$B$13,'Bonus Nw Beschut'!$A$6:$N$360,4,FALSE),0)</f>
        <v>0</v>
      </c>
      <c r="C218" s="317">
        <f>IF(Start!$B13&gt;0,VLOOKUP(Start!$B$13,'Bonus Nw Beschut'!$A$6:$N$360,8,FALSE),0)</f>
        <v>0</v>
      </c>
      <c r="D218" s="317">
        <f>IF(Start!$B13&gt;0,VLOOKUP(Start!$B$13,'Bonus Nw Beschut'!$A$6:$N$360,13,FALSE),0)</f>
        <v>0</v>
      </c>
      <c r="E218" s="317"/>
      <c r="F218" s="317"/>
      <c r="G218" s="317"/>
      <c r="H218" s="317"/>
      <c r="I218" s="317"/>
    </row>
    <row r="219" spans="1:9" x14ac:dyDescent="0.35">
      <c r="A219" s="312"/>
      <c r="B219" s="354"/>
      <c r="C219" s="354"/>
      <c r="D219" s="354"/>
      <c r="E219" s="354"/>
      <c r="F219" s="354"/>
      <c r="G219" s="354"/>
      <c r="H219" s="354"/>
      <c r="I219" s="354"/>
    </row>
    <row r="220" spans="1:9" x14ac:dyDescent="0.35">
      <c r="A220" s="339" t="s">
        <v>1108</v>
      </c>
      <c r="B220" s="340">
        <v>2017</v>
      </c>
      <c r="C220" s="340">
        <v>2018</v>
      </c>
      <c r="D220" s="340">
        <v>2019</v>
      </c>
      <c r="E220" s="340">
        <v>2020</v>
      </c>
      <c r="F220" s="340">
        <v>2021</v>
      </c>
      <c r="G220" s="340">
        <v>2022</v>
      </c>
      <c r="H220" s="340">
        <v>2023</v>
      </c>
      <c r="I220" s="340">
        <v>2024</v>
      </c>
    </row>
    <row r="221" spans="1:9" x14ac:dyDescent="0.35">
      <c r="A221" s="130" t="s">
        <v>2</v>
      </c>
      <c r="B221" s="85">
        <f>+'2 Cijfers'!B$45</f>
        <v>29034000</v>
      </c>
      <c r="C221" s="85">
        <f>+'2 Cijfers'!C$45</f>
        <v>39769000</v>
      </c>
      <c r="D221" s="85">
        <f>+'2 Cijfers'!D$45</f>
        <v>50831000</v>
      </c>
      <c r="E221" s="85">
        <f>+'2 Cijfers'!E$45</f>
        <v>50310000</v>
      </c>
      <c r="F221" s="85">
        <f>+'2 Cijfers'!F$45</f>
        <v>50657000</v>
      </c>
      <c r="G221" s="85">
        <f>+'2 Cijfers'!G$45</f>
        <v>55146000</v>
      </c>
      <c r="H221" s="85">
        <f>+'2 Cijfers'!H$45</f>
        <v>0</v>
      </c>
      <c r="I221" s="85">
        <f>+'2 Cijfers'!I$45</f>
        <v>0</v>
      </c>
    </row>
    <row r="222" spans="1:9" x14ac:dyDescent="0.35">
      <c r="A222" s="130" t="s">
        <v>990</v>
      </c>
      <c r="B222" s="85">
        <f>+'2 Cijfers'!B$46</f>
        <v>60819000</v>
      </c>
      <c r="C222" s="85">
        <f>+'2 Cijfers'!C$46</f>
        <v>83357000</v>
      </c>
      <c r="D222" s="85">
        <f>+'2 Cijfers'!D$46</f>
        <v>95628000</v>
      </c>
      <c r="E222" s="85">
        <f>+'2 Cijfers'!E$46</f>
        <v>103786000</v>
      </c>
      <c r="F222" s="85">
        <f>+'2 Cijfers'!F$46</f>
        <v>106066999.99999999</v>
      </c>
      <c r="G222" s="85">
        <f>+'2 Cijfers'!G$46</f>
        <v>122335000</v>
      </c>
      <c r="H222" s="85">
        <f>+'2 Cijfers'!H$46</f>
        <v>80236000</v>
      </c>
      <c r="I222" s="85">
        <f>+'2 Cijfers'!I$46</f>
        <v>87387000</v>
      </c>
    </row>
    <row r="223" spans="1:9" x14ac:dyDescent="0.35">
      <c r="A223" s="130" t="s">
        <v>1109</v>
      </c>
      <c r="B223" s="85">
        <f>+'2 Cijfers'!B$47</f>
        <v>522856000</v>
      </c>
      <c r="C223" s="85">
        <f>+'2 Cijfers'!C$47</f>
        <v>511136000</v>
      </c>
      <c r="D223" s="85">
        <f>+'2 Cijfers'!D$47</f>
        <v>518005000</v>
      </c>
      <c r="E223" s="85">
        <f>+'2 Cijfers'!E$47</f>
        <v>541902000</v>
      </c>
      <c r="F223" s="85">
        <f>+'2 Cijfers'!F$47</f>
        <v>705913000</v>
      </c>
      <c r="G223" s="85">
        <f>+'2 Cijfers'!G$47</f>
        <v>669324000</v>
      </c>
      <c r="H223" s="85">
        <f>+'2 Cijfers'!H$47</f>
        <v>0</v>
      </c>
      <c r="I223" s="85">
        <f>+'2 Cijfers'!I$47</f>
        <v>0</v>
      </c>
    </row>
    <row r="225" spans="1:9" ht="15.5" x14ac:dyDescent="0.35">
      <c r="A225" s="353" t="s">
        <v>1127</v>
      </c>
      <c r="B225" s="599" t="s">
        <v>1128</v>
      </c>
      <c r="C225" s="599"/>
      <c r="D225" s="599"/>
      <c r="E225" s="599"/>
      <c r="F225" s="599"/>
      <c r="G225" s="520">
        <f>+Start!B14</f>
        <v>0</v>
      </c>
      <c r="H225" s="521"/>
      <c r="I225" s="522"/>
    </row>
    <row r="227" spans="1:9" x14ac:dyDescent="0.35">
      <c r="A227" s="339" t="s">
        <v>1111</v>
      </c>
      <c r="B227" s="340">
        <v>2017</v>
      </c>
      <c r="C227" s="340">
        <v>2018</v>
      </c>
      <c r="D227" s="340">
        <v>2019</v>
      </c>
      <c r="E227" s="340">
        <v>2020</v>
      </c>
      <c r="F227" s="340">
        <v>2021</v>
      </c>
      <c r="G227" s="340">
        <v>2022</v>
      </c>
      <c r="H227" s="340">
        <v>2023</v>
      </c>
      <c r="I227" s="340">
        <v>2024</v>
      </c>
    </row>
    <row r="228" spans="1:9" x14ac:dyDescent="0.35">
      <c r="A228" s="130" t="s">
        <v>2</v>
      </c>
      <c r="B228" s="132">
        <f t="shared" ref="B228:I229" si="79">MROUND(+B239*B253,1000)</f>
        <v>0</v>
      </c>
      <c r="C228" s="132">
        <f t="shared" si="79"/>
        <v>0</v>
      </c>
      <c r="D228" s="132">
        <f t="shared" si="79"/>
        <v>0</v>
      </c>
      <c r="E228" s="132">
        <f t="shared" si="79"/>
        <v>0</v>
      </c>
      <c r="F228" s="132">
        <f t="shared" si="79"/>
        <v>0</v>
      </c>
      <c r="G228" s="132">
        <f t="shared" si="79"/>
        <v>0</v>
      </c>
      <c r="H228" s="132">
        <f t="shared" si="79"/>
        <v>0</v>
      </c>
      <c r="I228" s="132">
        <f t="shared" si="79"/>
        <v>0</v>
      </c>
    </row>
    <row r="229" spans="1:9" x14ac:dyDescent="0.35">
      <c r="A229" s="130" t="s">
        <v>990</v>
      </c>
      <c r="B229" s="132">
        <f t="shared" si="79"/>
        <v>0</v>
      </c>
      <c r="C229" s="132">
        <f t="shared" si="79"/>
        <v>0</v>
      </c>
      <c r="D229" s="132">
        <f t="shared" si="79"/>
        <v>0</v>
      </c>
      <c r="E229" s="132">
        <f t="shared" si="79"/>
        <v>0</v>
      </c>
      <c r="F229" s="132">
        <f t="shared" si="79"/>
        <v>0</v>
      </c>
      <c r="G229" s="132">
        <f t="shared" si="79"/>
        <v>0</v>
      </c>
      <c r="H229" s="132">
        <f t="shared" si="79"/>
        <v>0</v>
      </c>
      <c r="I229" s="132">
        <f t="shared" si="79"/>
        <v>0</v>
      </c>
    </row>
    <row r="230" spans="1:9" x14ac:dyDescent="0.35">
      <c r="A230" s="130" t="s">
        <v>1090</v>
      </c>
      <c r="B230" s="132">
        <f>+B250</f>
        <v>0</v>
      </c>
      <c r="C230" s="132">
        <f t="shared" ref="C230:I230" si="80">+C250</f>
        <v>0</v>
      </c>
      <c r="D230" s="132">
        <f t="shared" si="80"/>
        <v>0</v>
      </c>
      <c r="E230" s="132">
        <f t="shared" si="80"/>
        <v>0</v>
      </c>
      <c r="F230" s="132">
        <f t="shared" si="80"/>
        <v>0</v>
      </c>
      <c r="G230" s="132">
        <f t="shared" si="80"/>
        <v>0</v>
      </c>
      <c r="H230" s="132">
        <f t="shared" si="80"/>
        <v>0</v>
      </c>
      <c r="I230" s="132">
        <f t="shared" si="80"/>
        <v>0</v>
      </c>
    </row>
    <row r="231" spans="1:9" x14ac:dyDescent="0.35">
      <c r="A231" s="130" t="s">
        <v>1096</v>
      </c>
      <c r="B231" s="132">
        <f>MROUND(+$B243*'Recap circulaires'!$C$3,1000)</f>
        <v>0</v>
      </c>
      <c r="C231" s="132">
        <f>MROUND(+$C243*'Recap circulaires'!$D$3,1000)</f>
        <v>0</v>
      </c>
      <c r="D231" s="581"/>
      <c r="E231" s="582"/>
      <c r="F231" s="582"/>
      <c r="G231" s="582"/>
      <c r="H231" s="582"/>
      <c r="I231" s="583"/>
    </row>
    <row r="232" spans="1:9" x14ac:dyDescent="0.35">
      <c r="A232" s="69" t="s">
        <v>1125</v>
      </c>
      <c r="B232" s="319">
        <f>SUM(B228:B231)</f>
        <v>0</v>
      </c>
      <c r="C232" s="319">
        <f t="shared" ref="C232:I232" si="81">SUM(C228:C231)</f>
        <v>0</v>
      </c>
      <c r="D232" s="319">
        <f t="shared" si="81"/>
        <v>0</v>
      </c>
      <c r="E232" s="319">
        <f t="shared" si="81"/>
        <v>0</v>
      </c>
      <c r="F232" s="319">
        <f t="shared" si="81"/>
        <v>0</v>
      </c>
      <c r="G232" s="319">
        <f t="shared" si="81"/>
        <v>0</v>
      </c>
      <c r="H232" s="319">
        <f t="shared" si="81"/>
        <v>0</v>
      </c>
      <c r="I232" s="319">
        <f t="shared" si="81"/>
        <v>0</v>
      </c>
    </row>
    <row r="233" spans="1:9" x14ac:dyDescent="0.35">
      <c r="A233" s="130" t="s">
        <v>1097</v>
      </c>
      <c r="B233" s="584"/>
      <c r="C233" s="585"/>
      <c r="D233" s="119">
        <f>MROUND(+$D243*'Recap circulaires'!E$9*'Recap circulaires'!E$20*1000,1000)</f>
        <v>0</v>
      </c>
      <c r="E233" s="119">
        <f>MROUND(+$D243*'Recap circulaires'!F$9*'Recap circulaires'!F$20*1000,1000)</f>
        <v>0</v>
      </c>
      <c r="F233" s="119">
        <f>MROUND(+$D243*'Recap circulaires'!G$9*'Recap circulaires'!G$20*1000,1000)</f>
        <v>0</v>
      </c>
      <c r="G233" s="119">
        <f>MROUND(+$D243*'Recap circulaires'!H$9*'Recap circulaires'!H$20*1000,1000)</f>
        <v>0</v>
      </c>
      <c r="H233" s="119">
        <f>MROUND(+$D243*'Recap circulaires'!I$9*'Recap circulaires'!I$20*1000,1000)</f>
        <v>0</v>
      </c>
      <c r="I233" s="119">
        <f>MROUND(+$D243*'Recap circulaires'!J$9*'Recap circulaires'!J$20*1000,1000)</f>
        <v>0</v>
      </c>
    </row>
    <row r="234" spans="1:9" x14ac:dyDescent="0.35">
      <c r="A234" s="130" t="s">
        <v>1098</v>
      </c>
      <c r="B234" s="586"/>
      <c r="C234" s="587"/>
      <c r="D234" s="119">
        <f>IF(Start!$B14&gt;0,VLOOKUP(Start!$N$14,'Suppletie 2019'!$B$7:$G$366,6,FALSE),0)</f>
        <v>0</v>
      </c>
      <c r="E234" s="590"/>
      <c r="F234" s="591"/>
      <c r="G234" s="591"/>
      <c r="H234" s="591"/>
      <c r="I234" s="592"/>
    </row>
    <row r="235" spans="1:9" x14ac:dyDescent="0.35">
      <c r="A235" s="69" t="s">
        <v>1095</v>
      </c>
      <c r="B235" s="588"/>
      <c r="C235" s="589"/>
      <c r="D235" s="331">
        <f>SUM(D233:D234)</f>
        <v>0</v>
      </c>
      <c r="E235" s="331">
        <f t="shared" ref="E235:I235" si="82">SUM(E233:E234)</f>
        <v>0</v>
      </c>
      <c r="F235" s="331">
        <f t="shared" si="82"/>
        <v>0</v>
      </c>
      <c r="G235" s="331">
        <f t="shared" si="82"/>
        <v>0</v>
      </c>
      <c r="H235" s="331">
        <f t="shared" si="82"/>
        <v>0</v>
      </c>
      <c r="I235" s="331">
        <f t="shared" si="82"/>
        <v>0</v>
      </c>
    </row>
    <row r="236" spans="1:9" x14ac:dyDescent="0.35">
      <c r="A236" s="69" t="s">
        <v>1094</v>
      </c>
      <c r="B236" s="195">
        <f>SUM(B232:B233)</f>
        <v>0</v>
      </c>
      <c r="C236" s="195">
        <f>SUM(C232:C233)</f>
        <v>0</v>
      </c>
      <c r="D236" s="195">
        <f>+D232+D235</f>
        <v>0</v>
      </c>
      <c r="E236" s="195">
        <f t="shared" ref="E236:I236" si="83">+E232+E235</f>
        <v>0</v>
      </c>
      <c r="F236" s="195">
        <f t="shared" si="83"/>
        <v>0</v>
      </c>
      <c r="G236" s="195">
        <f t="shared" si="83"/>
        <v>0</v>
      </c>
      <c r="H236" s="195">
        <f t="shared" si="83"/>
        <v>0</v>
      </c>
      <c r="I236" s="195">
        <f t="shared" si="83"/>
        <v>0</v>
      </c>
    </row>
    <row r="237" spans="1:9" x14ac:dyDescent="0.35">
      <c r="B237" s="68"/>
    </row>
    <row r="238" spans="1:9" x14ac:dyDescent="0.35">
      <c r="A238" s="339" t="s">
        <v>1113</v>
      </c>
      <c r="B238" s="340">
        <v>2017</v>
      </c>
      <c r="C238" s="340">
        <v>2018</v>
      </c>
      <c r="D238" s="340">
        <v>2019</v>
      </c>
      <c r="E238" s="340">
        <v>2020</v>
      </c>
      <c r="F238" s="340">
        <v>2021</v>
      </c>
      <c r="G238" s="340">
        <v>2022</v>
      </c>
      <c r="H238" s="340">
        <v>2023</v>
      </c>
      <c r="I238" s="340">
        <v>2024</v>
      </c>
    </row>
    <row r="239" spans="1:9" x14ac:dyDescent="0.35">
      <c r="A239" s="197" t="s">
        <v>2</v>
      </c>
      <c r="B239" s="200">
        <f>IF(Start!$B14&gt;0,VLOOKUP(Start!$M$14,'CBS budgetaandelen'!$A$7:$G$363,6,FALSE),0)</f>
        <v>0</v>
      </c>
      <c r="C239" s="268">
        <f>+B239</f>
        <v>0</v>
      </c>
      <c r="D239" s="268">
        <f t="shared" ref="D239" si="84">+C239</f>
        <v>0</v>
      </c>
      <c r="E239" s="268">
        <f t="shared" ref="E239" si="85">+D239</f>
        <v>0</v>
      </c>
      <c r="F239" s="268">
        <f t="shared" ref="F239" si="86">+E239</f>
        <v>0</v>
      </c>
      <c r="G239" s="268">
        <f t="shared" ref="G239" si="87">+F239</f>
        <v>0</v>
      </c>
      <c r="H239" s="268">
        <f t="shared" ref="H239" si="88">+G239</f>
        <v>0</v>
      </c>
      <c r="I239" s="268">
        <f t="shared" ref="I239" si="89">+H239</f>
        <v>0</v>
      </c>
    </row>
    <row r="240" spans="1:9" x14ac:dyDescent="0.35">
      <c r="A240" s="131" t="s">
        <v>990</v>
      </c>
      <c r="B240" s="200">
        <f>IF(Start!$B14&gt;0,VLOOKUP(Start!$M$14,'CBS budgetaandelen'!$A$7:$G$363,7,FALSE),0)</f>
        <v>0</v>
      </c>
      <c r="C240" s="200">
        <f>+B240</f>
        <v>0</v>
      </c>
      <c r="D240" s="199">
        <f>IF(Start!$B14&gt;0,MAX(D242/D254,$C240),0)</f>
        <v>0</v>
      </c>
      <c r="E240" s="199">
        <f>IF(Start!$B14&gt;0,MAX(E242/E254,$C240),0)</f>
        <v>0</v>
      </c>
      <c r="F240" s="199">
        <f>IF(Start!$B14&gt;0,MAX(F242/F254,$C240),0)</f>
        <v>0</v>
      </c>
      <c r="G240" s="199">
        <f>IF(Start!$B14&gt;0,MAX(G242/G254,$C240),0)</f>
        <v>0</v>
      </c>
      <c r="H240" s="199">
        <f>IF(Start!$B14&gt;0,MAX(H242/H254,$C240),0)</f>
        <v>0</v>
      </c>
      <c r="I240" s="199">
        <f>IF(Start!$B14&gt;0,MAX(I242/I254,$C240),0)</f>
        <v>0</v>
      </c>
    </row>
    <row r="241" spans="1:9" x14ac:dyDescent="0.35">
      <c r="A241" s="131"/>
      <c r="B241" s="130"/>
      <c r="C241" s="201"/>
      <c r="D241" s="593" t="s">
        <v>1018</v>
      </c>
      <c r="E241" s="594"/>
      <c r="F241" s="594"/>
      <c r="G241" s="594"/>
      <c r="H241" s="594"/>
      <c r="I241" s="595"/>
    </row>
    <row r="242" spans="1:9" x14ac:dyDescent="0.35">
      <c r="A242" s="131" t="s">
        <v>1089</v>
      </c>
      <c r="B242" s="198">
        <v>8500</v>
      </c>
      <c r="C242" s="198">
        <v>8500</v>
      </c>
      <c r="D242" s="85">
        <v>8800</v>
      </c>
      <c r="E242" s="132">
        <v>8800</v>
      </c>
      <c r="F242" s="132">
        <v>7500</v>
      </c>
      <c r="G242" s="132">
        <v>7500</v>
      </c>
      <c r="H242" s="132">
        <v>7500</v>
      </c>
      <c r="I242" s="132">
        <v>7500</v>
      </c>
    </row>
    <row r="243" spans="1:9" x14ac:dyDescent="0.35">
      <c r="A243" s="131" t="s">
        <v>992</v>
      </c>
      <c r="B243" s="200">
        <f>IF(Start!$B14&gt;0,VLOOKUP(Start!$N$14,'Budgetaandelen klassiek'!$A$3:$K$348,8,FALSE)/1000,0)</f>
        <v>0</v>
      </c>
      <c r="C243" s="200">
        <f>IF(Start!$B14&gt;0,VLOOKUP(Start!$N$14,'Budgetaandelen klassiek'!$A$3:$K$348,9,FALSE)/1000,0)</f>
        <v>0</v>
      </c>
      <c r="D243" s="200">
        <f>IF(Start!$B14&gt;0,VLOOKUP(Start!$N$14,'Budgetaandelen klassiek'!$A$3:$K$348,11,FALSE)/1000,0)</f>
        <v>0</v>
      </c>
      <c r="E243" s="200">
        <f>IF(Start!$B14&gt;0,VLOOKUP(Start!$N$14,'Budgetaandelen klassiek'!$A$3:$K$348,11,FALSE)/1000,0)</f>
        <v>0</v>
      </c>
      <c r="F243" s="200">
        <f>IF(Start!$B14&gt;0,VLOOKUP(Start!$N$14,'Budgetaandelen klassiek'!$A$3:$K$348,11,FALSE)/1000,0)</f>
        <v>0</v>
      </c>
      <c r="G243" s="200">
        <f>IF(Start!$B14&gt;0,VLOOKUP(Start!$N$14,'Budgetaandelen klassiek'!$A$3:$K$348,11,FALSE)/1000,0)</f>
        <v>0</v>
      </c>
      <c r="H243" s="200">
        <f>IF(Start!$B14&gt;0,VLOOKUP(Start!$N$14,'Budgetaandelen klassiek'!$A$3:$K$348,11,FALSE)/1000,0)</f>
        <v>0</v>
      </c>
      <c r="I243" s="200">
        <f>IF(Start!$B14&gt;0,VLOOKUP(Start!$N$14,'Budgetaandelen klassiek'!$A$3:$K$348,11,FALSE)/1000,0)</f>
        <v>0</v>
      </c>
    </row>
    <row r="244" spans="1:9" x14ac:dyDescent="0.35">
      <c r="A244" s="131" t="s">
        <v>1040</v>
      </c>
      <c r="B244" s="596"/>
      <c r="C244" s="597"/>
      <c r="D244" s="200">
        <f>(+D233+D234)/D255</f>
        <v>0</v>
      </c>
      <c r="E244" s="596"/>
      <c r="F244" s="598"/>
      <c r="G244" s="598"/>
      <c r="H244" s="598"/>
      <c r="I244" s="597"/>
    </row>
    <row r="246" spans="1:9" x14ac:dyDescent="0.35">
      <c r="A246" s="339" t="s">
        <v>1114</v>
      </c>
      <c r="B246" s="340">
        <v>2017</v>
      </c>
      <c r="C246" s="340">
        <v>2018</v>
      </c>
      <c r="D246" s="340">
        <v>2019</v>
      </c>
      <c r="E246" s="340">
        <v>2020</v>
      </c>
      <c r="F246" s="340">
        <v>2021</v>
      </c>
      <c r="G246" s="340">
        <v>2022</v>
      </c>
      <c r="H246" s="340">
        <v>2023</v>
      </c>
      <c r="I246" s="340">
        <v>2024</v>
      </c>
    </row>
    <row r="247" spans="1:9" x14ac:dyDescent="0.35">
      <c r="A247" s="131" t="s">
        <v>1064</v>
      </c>
      <c r="B247" s="314">
        <f>IF(Start!$B14&gt;0,VLOOKUP(Start!$N$14,'Taakstelling Nw Beschut'!$A$3:$I$355,3,FALSE),0)</f>
        <v>0</v>
      </c>
      <c r="C247" s="314">
        <f>IF(Start!$B14&gt;0,VLOOKUP(Start!$N$14,'Taakstelling Nw Beschut'!$A$3:$I$355,4,FALSE),0)</f>
        <v>0</v>
      </c>
      <c r="D247" s="314">
        <f>IF(Start!$B14&gt;0,VLOOKUP(Start!$N$14,'Taakstelling Nw Beschut'!$A$3:$I$355,5,FALSE),0)</f>
        <v>0</v>
      </c>
      <c r="E247" s="314">
        <f>IF(Start!$B14&gt;0,VLOOKUP(Start!$N$14,'Taakstelling Nw Beschut'!$A$3:$I$355,6,FALSE),0)</f>
        <v>0</v>
      </c>
      <c r="F247" s="314">
        <f>IF(Start!$B14&gt;0,VLOOKUP(Start!$N$14,'Taakstelling Nw Beschut'!$A$3:$I$355,7,FALSE),0)</f>
        <v>0</v>
      </c>
      <c r="G247" s="314">
        <f>IF(Start!$B14&gt;0,VLOOKUP(Start!$N$14,'Taakstelling Nw Beschut'!$A$3:$I$355,8,FALSE),0)</f>
        <v>0</v>
      </c>
      <c r="H247" s="314">
        <f>IF(Start!$B14&gt;0,VLOOKUP(Start!$N$14,'Taakstelling Nw Beschut'!$A$3:$I$355,9,FALSE),0)</f>
        <v>0</v>
      </c>
      <c r="I247" s="313"/>
    </row>
    <row r="248" spans="1:9" x14ac:dyDescent="0.35">
      <c r="A248" s="131" t="s">
        <v>1081</v>
      </c>
      <c r="B248" s="314">
        <f>IF(Start!$B14&gt;0,VLOOKUP(Start!$B$14,'Bonus Nw Beschut'!$A$6:$N$360,9,FALSE),0)</f>
        <v>0</v>
      </c>
      <c r="C248" s="314">
        <f>IF(Start!$B14&gt;0,VLOOKUP(Start!$B$14,'Bonus Nw Beschut'!$A$6:$N$360,14,FALSE),0)</f>
        <v>0</v>
      </c>
      <c r="D248" s="314"/>
      <c r="E248" s="314"/>
      <c r="F248" s="314"/>
      <c r="G248" s="314"/>
      <c r="H248" s="314"/>
      <c r="I248" s="318"/>
    </row>
    <row r="249" spans="1:9" x14ac:dyDescent="0.35">
      <c r="A249" s="326" t="s">
        <v>1082</v>
      </c>
      <c r="B249" s="327">
        <f>+B248-B247</f>
        <v>0</v>
      </c>
      <c r="C249" s="327">
        <f t="shared" ref="C249:H249" si="90">+C248-C247</f>
        <v>0</v>
      </c>
      <c r="D249" s="327">
        <f t="shared" si="90"/>
        <v>0</v>
      </c>
      <c r="E249" s="327">
        <f t="shared" si="90"/>
        <v>0</v>
      </c>
      <c r="F249" s="327">
        <f t="shared" si="90"/>
        <v>0</v>
      </c>
      <c r="G249" s="327">
        <f t="shared" si="90"/>
        <v>0</v>
      </c>
      <c r="H249" s="327">
        <f t="shared" si="90"/>
        <v>0</v>
      </c>
      <c r="I249" s="327"/>
    </row>
    <row r="250" spans="1:9" x14ac:dyDescent="0.35">
      <c r="A250" s="131" t="s">
        <v>1083</v>
      </c>
      <c r="B250" s="317">
        <f>IF(Start!$B14&gt;0,VLOOKUP(Start!$B$14,'Bonus Nw Beschut'!$A$6:$N$360,4,FALSE),0)</f>
        <v>0</v>
      </c>
      <c r="C250" s="317">
        <f>IF(Start!$B14&gt;0,VLOOKUP(Start!$B$14,'Bonus Nw Beschut'!$A$6:$N$360,8,FALSE),0)</f>
        <v>0</v>
      </c>
      <c r="D250" s="317">
        <f>IF(Start!$B14&gt;0,VLOOKUP(Start!$B$14,'Bonus Nw Beschut'!$A$6:$N$360,13,FALSE),0)</f>
        <v>0</v>
      </c>
      <c r="E250" s="317"/>
      <c r="F250" s="317"/>
      <c r="G250" s="317"/>
      <c r="H250" s="317"/>
      <c r="I250" s="317"/>
    </row>
    <row r="251" spans="1:9" x14ac:dyDescent="0.35">
      <c r="A251" s="312"/>
      <c r="B251" s="354"/>
      <c r="C251" s="354"/>
      <c r="D251" s="354"/>
      <c r="E251" s="354"/>
      <c r="F251" s="354"/>
      <c r="G251" s="354"/>
      <c r="H251" s="354"/>
      <c r="I251" s="354"/>
    </row>
    <row r="252" spans="1:9" x14ac:dyDescent="0.35">
      <c r="A252" s="339" t="s">
        <v>1108</v>
      </c>
      <c r="B252" s="340">
        <v>2017</v>
      </c>
      <c r="C252" s="340">
        <v>2018</v>
      </c>
      <c r="D252" s="340">
        <v>2019</v>
      </c>
      <c r="E252" s="340">
        <v>2020</v>
      </c>
      <c r="F252" s="340">
        <v>2021</v>
      </c>
      <c r="G252" s="340">
        <v>2022</v>
      </c>
      <c r="H252" s="340">
        <v>2023</v>
      </c>
      <c r="I252" s="340">
        <v>2024</v>
      </c>
    </row>
    <row r="253" spans="1:9" x14ac:dyDescent="0.35">
      <c r="A253" s="130" t="s">
        <v>2</v>
      </c>
      <c r="B253" s="85">
        <f>+'2 Cijfers'!B$45</f>
        <v>29034000</v>
      </c>
      <c r="C253" s="85">
        <f>+'2 Cijfers'!C$45</f>
        <v>39769000</v>
      </c>
      <c r="D253" s="85">
        <f>+'2 Cijfers'!D$45</f>
        <v>50831000</v>
      </c>
      <c r="E253" s="85">
        <f>+'2 Cijfers'!E$45</f>
        <v>50310000</v>
      </c>
      <c r="F253" s="85">
        <f>+'2 Cijfers'!F$45</f>
        <v>50657000</v>
      </c>
      <c r="G253" s="85">
        <f>+'2 Cijfers'!G$45</f>
        <v>55146000</v>
      </c>
      <c r="H253" s="85">
        <f>+'2 Cijfers'!H$45</f>
        <v>0</v>
      </c>
      <c r="I253" s="85">
        <f>+'2 Cijfers'!I$45</f>
        <v>0</v>
      </c>
    </row>
    <row r="254" spans="1:9" x14ac:dyDescent="0.35">
      <c r="A254" s="130" t="s">
        <v>990</v>
      </c>
      <c r="B254" s="85">
        <f>+'2 Cijfers'!B$46</f>
        <v>60819000</v>
      </c>
      <c r="C254" s="85">
        <f>+'2 Cijfers'!C$46</f>
        <v>83357000</v>
      </c>
      <c r="D254" s="85">
        <f>+'2 Cijfers'!D$46</f>
        <v>95628000</v>
      </c>
      <c r="E254" s="85">
        <f>+'2 Cijfers'!E$46</f>
        <v>103786000</v>
      </c>
      <c r="F254" s="85">
        <f>+'2 Cijfers'!F$46</f>
        <v>106066999.99999999</v>
      </c>
      <c r="G254" s="85">
        <f>+'2 Cijfers'!G$46</f>
        <v>122335000</v>
      </c>
      <c r="H254" s="85">
        <f>+'2 Cijfers'!H$46</f>
        <v>80236000</v>
      </c>
      <c r="I254" s="85">
        <f>+'2 Cijfers'!I$46</f>
        <v>87387000</v>
      </c>
    </row>
    <row r="255" spans="1:9" x14ac:dyDescent="0.35">
      <c r="A255" s="130" t="s">
        <v>1109</v>
      </c>
      <c r="B255" s="85">
        <f>+'2 Cijfers'!B$47</f>
        <v>522856000</v>
      </c>
      <c r="C255" s="85">
        <f>+'2 Cijfers'!C$47</f>
        <v>511136000</v>
      </c>
      <c r="D255" s="85">
        <f>+'2 Cijfers'!D$47</f>
        <v>518005000</v>
      </c>
      <c r="E255" s="85">
        <f>+'2 Cijfers'!E$47</f>
        <v>541902000</v>
      </c>
      <c r="F255" s="85">
        <f>+'2 Cijfers'!F$47</f>
        <v>705913000</v>
      </c>
      <c r="G255" s="85">
        <f>+'2 Cijfers'!G$47</f>
        <v>669324000</v>
      </c>
      <c r="H255" s="85">
        <f>+'2 Cijfers'!H$47</f>
        <v>0</v>
      </c>
      <c r="I255" s="85">
        <f>+'2 Cijfers'!I$47</f>
        <v>0</v>
      </c>
    </row>
  </sheetData>
  <mergeCells count="64">
    <mergeCell ref="B41:C43"/>
    <mergeCell ref="E42:I42"/>
    <mergeCell ref="B1:F1"/>
    <mergeCell ref="G1:I1"/>
    <mergeCell ref="D7:I7"/>
    <mergeCell ref="B9:C11"/>
    <mergeCell ref="E10:I10"/>
    <mergeCell ref="D17:I17"/>
    <mergeCell ref="B20:C20"/>
    <mergeCell ref="E20:I20"/>
    <mergeCell ref="B33:F33"/>
    <mergeCell ref="G33:I33"/>
    <mergeCell ref="D39:I39"/>
    <mergeCell ref="B97:F97"/>
    <mergeCell ref="G97:I97"/>
    <mergeCell ref="D49:I49"/>
    <mergeCell ref="B52:C52"/>
    <mergeCell ref="E52:I52"/>
    <mergeCell ref="B65:F65"/>
    <mergeCell ref="G65:I65"/>
    <mergeCell ref="D71:I71"/>
    <mergeCell ref="B73:C75"/>
    <mergeCell ref="E74:I74"/>
    <mergeCell ref="D81:I81"/>
    <mergeCell ref="B84:C84"/>
    <mergeCell ref="E84:I84"/>
    <mergeCell ref="D103:I103"/>
    <mergeCell ref="B105:C107"/>
    <mergeCell ref="E106:I106"/>
    <mergeCell ref="D113:I113"/>
    <mergeCell ref="B116:C116"/>
    <mergeCell ref="E116:I116"/>
    <mergeCell ref="B169:C171"/>
    <mergeCell ref="E170:I170"/>
    <mergeCell ref="B129:F129"/>
    <mergeCell ref="G129:I129"/>
    <mergeCell ref="D135:I135"/>
    <mergeCell ref="B137:C139"/>
    <mergeCell ref="E138:I138"/>
    <mergeCell ref="D145:I145"/>
    <mergeCell ref="B148:C148"/>
    <mergeCell ref="E148:I148"/>
    <mergeCell ref="B161:F161"/>
    <mergeCell ref="G161:I161"/>
    <mergeCell ref="D167:I167"/>
    <mergeCell ref="B225:F225"/>
    <mergeCell ref="G225:I225"/>
    <mergeCell ref="D177:I177"/>
    <mergeCell ref="B180:C180"/>
    <mergeCell ref="E180:I180"/>
    <mergeCell ref="B193:F193"/>
    <mergeCell ref="G193:I193"/>
    <mergeCell ref="D199:I199"/>
    <mergeCell ref="B201:C203"/>
    <mergeCell ref="E202:I202"/>
    <mergeCell ref="D209:I209"/>
    <mergeCell ref="B212:C212"/>
    <mergeCell ref="E212:I212"/>
    <mergeCell ref="D231:I231"/>
    <mergeCell ref="B233:C235"/>
    <mergeCell ref="E234:I234"/>
    <mergeCell ref="D241:I241"/>
    <mergeCell ref="B244:C244"/>
    <mergeCell ref="E244:I24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56DDA-35FB-496B-B067-99D5A6A9FFDF}">
  <sheetPr codeName="Blad25">
    <tabColor rgb="FFFFFF00"/>
  </sheetPr>
  <dimension ref="A1:AL348"/>
  <sheetViews>
    <sheetView workbookViewId="0">
      <selection sqref="A1:XFD1048576"/>
    </sheetView>
  </sheetViews>
  <sheetFormatPr defaultRowHeight="14.5" x14ac:dyDescent="0.35"/>
  <cols>
    <col min="1" max="1" width="11.1796875" bestFit="1" customWidth="1"/>
    <col min="2" max="2" width="21.36328125" customWidth="1"/>
    <col min="3" max="3" width="8.81640625" customWidth="1"/>
    <col min="4" max="6" width="23.36328125" customWidth="1"/>
    <col min="7" max="8" width="12.90625" customWidth="1"/>
    <col min="12" max="14" width="23.6328125" customWidth="1"/>
    <col min="15" max="16" width="13.08984375" customWidth="1"/>
    <col min="20" max="22" width="23.6328125" customWidth="1"/>
    <col min="23" max="28" width="13.08984375" customWidth="1"/>
    <col min="29" max="30" width="23.6328125" customWidth="1"/>
    <col min="31" max="34" width="13.08984375" customWidth="1"/>
    <col min="35" max="35" width="11.54296875" bestFit="1" customWidth="1"/>
    <col min="36" max="36" width="10.453125" bestFit="1" customWidth="1"/>
    <col min="37" max="37" width="10.90625" bestFit="1" customWidth="1"/>
    <col min="38" max="38" width="11.54296875" bestFit="1" customWidth="1"/>
  </cols>
  <sheetData>
    <row r="1" spans="1:38" x14ac:dyDescent="0.35">
      <c r="A1" s="1" t="s">
        <v>1085</v>
      </c>
      <c r="B1" t="s">
        <v>1272</v>
      </c>
      <c r="Y1">
        <v>1</v>
      </c>
      <c r="Z1">
        <v>2</v>
      </c>
      <c r="AA1">
        <v>3</v>
      </c>
      <c r="AB1">
        <v>4</v>
      </c>
      <c r="AE1">
        <v>5</v>
      </c>
      <c r="AF1">
        <v>6</v>
      </c>
      <c r="AG1">
        <v>7</v>
      </c>
      <c r="AH1">
        <v>8</v>
      </c>
      <c r="AI1">
        <v>9</v>
      </c>
      <c r="AJ1">
        <v>10</v>
      </c>
      <c r="AK1">
        <v>11</v>
      </c>
      <c r="AL1">
        <v>12</v>
      </c>
    </row>
    <row r="2" spans="1:38" x14ac:dyDescent="0.35">
      <c r="A2" s="1" t="s">
        <v>1202</v>
      </c>
      <c r="B2" t="s">
        <v>1203</v>
      </c>
    </row>
    <row r="3" spans="1:38" x14ac:dyDescent="0.35">
      <c r="AG3" s="81" t="e">
        <f>+#REF!</f>
        <v>#REF!</v>
      </c>
      <c r="AH3" s="81" t="e">
        <f>+#REF!</f>
        <v>#REF!</v>
      </c>
      <c r="AI3" s="81" t="e">
        <f>+#REF!</f>
        <v>#REF!</v>
      </c>
      <c r="AJ3" s="81" t="e">
        <f>+#REF!</f>
        <v>#REF!</v>
      </c>
      <c r="AK3" s="81" t="e">
        <f>+#REF!</f>
        <v>#REF!</v>
      </c>
      <c r="AL3" s="81" t="e">
        <f>+#REF!</f>
        <v>#REF!</v>
      </c>
    </row>
    <row r="4" spans="1:38" x14ac:dyDescent="0.35">
      <c r="A4" s="398" t="s">
        <v>828</v>
      </c>
      <c r="B4" s="398" t="s">
        <v>831</v>
      </c>
      <c r="C4" s="398" t="s">
        <v>829</v>
      </c>
      <c r="D4" s="72" t="s">
        <v>837</v>
      </c>
      <c r="E4" s="72" t="s">
        <v>845</v>
      </c>
      <c r="AG4" s="81" t="e">
        <f>+AG3-#REF!</f>
        <v>#REF!</v>
      </c>
      <c r="AH4" s="81" t="e">
        <f>+AH3-#REF!</f>
        <v>#REF!</v>
      </c>
      <c r="AI4" s="81" t="e">
        <f>+AI3-#REF!</f>
        <v>#REF!</v>
      </c>
      <c r="AJ4" s="81" t="e">
        <f>+AJ3-#REF!</f>
        <v>#REF!</v>
      </c>
      <c r="AK4" s="81" t="e">
        <f>+AK3-#REF!</f>
        <v>#REF!</v>
      </c>
      <c r="AL4" s="81" t="e">
        <f>+AL3-#REF!</f>
        <v>#REF!</v>
      </c>
    </row>
    <row r="5" spans="1:38" x14ac:dyDescent="0.35">
      <c r="A5" s="72">
        <v>1979</v>
      </c>
      <c r="B5" s="72" t="s">
        <v>1285</v>
      </c>
      <c r="C5" s="72">
        <v>1</v>
      </c>
      <c r="D5" s="78">
        <v>45389</v>
      </c>
      <c r="E5" s="78">
        <v>1466.3333333333301</v>
      </c>
    </row>
    <row r="6" spans="1:38" x14ac:dyDescent="0.35">
      <c r="A6" s="72">
        <v>14</v>
      </c>
      <c r="B6" s="72" t="s">
        <v>122</v>
      </c>
      <c r="C6" s="72">
        <v>1</v>
      </c>
      <c r="D6" s="78">
        <v>234950</v>
      </c>
      <c r="E6" s="78">
        <v>10480.666666666701</v>
      </c>
    </row>
    <row r="7" spans="1:38" x14ac:dyDescent="0.35">
      <c r="A7" s="72">
        <v>1966</v>
      </c>
      <c r="B7" s="72" t="s">
        <v>147</v>
      </c>
      <c r="C7" s="72">
        <v>1</v>
      </c>
      <c r="D7" s="78">
        <v>48022</v>
      </c>
      <c r="E7" s="78">
        <v>1009.33333333333</v>
      </c>
    </row>
    <row r="8" spans="1:38" x14ac:dyDescent="0.35">
      <c r="A8" s="72">
        <v>1952</v>
      </c>
      <c r="B8" s="72" t="s">
        <v>203</v>
      </c>
      <c r="C8" s="72">
        <v>1</v>
      </c>
      <c r="D8" s="78">
        <v>60898</v>
      </c>
      <c r="E8" s="78">
        <v>1721</v>
      </c>
    </row>
    <row r="9" spans="1:38" x14ac:dyDescent="0.35">
      <c r="A9" s="72">
        <v>1895</v>
      </c>
      <c r="B9" s="72" t="s">
        <v>227</v>
      </c>
      <c r="C9" s="72">
        <v>1</v>
      </c>
      <c r="D9" s="78">
        <v>38521</v>
      </c>
      <c r="E9" s="78">
        <v>1316</v>
      </c>
    </row>
    <row r="10" spans="1:38" x14ac:dyDescent="0.35">
      <c r="A10" s="72">
        <v>765</v>
      </c>
      <c r="B10" s="72" t="s">
        <v>245</v>
      </c>
      <c r="C10" s="72">
        <v>1</v>
      </c>
      <c r="D10" s="78">
        <v>12196</v>
      </c>
      <c r="E10" s="78">
        <v>428.33333333333297</v>
      </c>
    </row>
    <row r="11" spans="1:38" x14ac:dyDescent="0.35">
      <c r="A11" s="72">
        <v>37</v>
      </c>
      <c r="B11" s="72" t="s">
        <v>282</v>
      </c>
      <c r="C11" s="72">
        <v>1</v>
      </c>
      <c r="D11" s="78">
        <v>31851</v>
      </c>
      <c r="E11" s="78">
        <v>879.33333333333303</v>
      </c>
    </row>
    <row r="12" spans="1:38" x14ac:dyDescent="0.35">
      <c r="A12" s="72">
        <v>47</v>
      </c>
      <c r="B12" s="72" t="s">
        <v>310</v>
      </c>
      <c r="C12" s="72">
        <v>1</v>
      </c>
      <c r="D12" s="78">
        <v>27466</v>
      </c>
      <c r="E12" s="78">
        <v>870.66666666666697</v>
      </c>
    </row>
    <row r="13" spans="1:38" x14ac:dyDescent="0.35">
      <c r="A13" s="72">
        <v>1969</v>
      </c>
      <c r="B13" s="72" t="s">
        <v>336</v>
      </c>
      <c r="C13" s="72">
        <v>1</v>
      </c>
      <c r="D13" s="78">
        <v>64306</v>
      </c>
      <c r="E13" s="78">
        <v>902.66666666666697</v>
      </c>
    </row>
    <row r="14" spans="1:38" x14ac:dyDescent="0.35">
      <c r="A14" s="72">
        <v>1950</v>
      </c>
      <c r="B14" s="72" t="s">
        <v>339</v>
      </c>
      <c r="C14" s="72">
        <v>1</v>
      </c>
      <c r="D14" s="78">
        <v>26571</v>
      </c>
      <c r="E14" s="78">
        <v>478.33333333333297</v>
      </c>
    </row>
    <row r="15" spans="1:38" x14ac:dyDescent="0.35">
      <c r="A15" s="72">
        <v>59</v>
      </c>
      <c r="B15" s="72" t="s">
        <v>14</v>
      </c>
      <c r="C15" s="72">
        <v>2</v>
      </c>
      <c r="D15" s="78">
        <v>27954</v>
      </c>
      <c r="E15" s="78">
        <v>573.66666666666697</v>
      </c>
    </row>
    <row r="16" spans="1:38" x14ac:dyDescent="0.35">
      <c r="A16" s="72">
        <v>60</v>
      </c>
      <c r="B16" s="72" t="s">
        <v>23</v>
      </c>
      <c r="C16" s="72">
        <v>2</v>
      </c>
      <c r="D16" s="78">
        <v>3757</v>
      </c>
      <c r="E16" s="78">
        <v>7.6666666666666696</v>
      </c>
    </row>
    <row r="17" spans="1:5" x14ac:dyDescent="0.35">
      <c r="A17" s="72">
        <v>1891</v>
      </c>
      <c r="B17" s="72" t="s">
        <v>75</v>
      </c>
      <c r="C17" s="72">
        <v>2</v>
      </c>
      <c r="D17" s="78">
        <v>18957</v>
      </c>
      <c r="E17" s="78">
        <v>428.66666666666703</v>
      </c>
    </row>
    <row r="18" spans="1:5" x14ac:dyDescent="0.35">
      <c r="A18" s="72">
        <v>1940</v>
      </c>
      <c r="B18" s="72" t="s">
        <v>77</v>
      </c>
      <c r="C18" s="72">
        <v>2</v>
      </c>
      <c r="D18" s="78">
        <v>51597</v>
      </c>
      <c r="E18" s="78">
        <v>746</v>
      </c>
    </row>
    <row r="19" spans="1:5" x14ac:dyDescent="0.35">
      <c r="A19" s="72">
        <v>72</v>
      </c>
      <c r="B19" s="72" t="s">
        <v>132</v>
      </c>
      <c r="C19" s="72">
        <v>2</v>
      </c>
      <c r="D19" s="78">
        <v>15904</v>
      </c>
      <c r="E19" s="78">
        <v>514</v>
      </c>
    </row>
    <row r="20" spans="1:5" x14ac:dyDescent="0.35">
      <c r="A20" s="72">
        <v>74</v>
      </c>
      <c r="B20" s="72" t="s">
        <v>137</v>
      </c>
      <c r="C20" s="72">
        <v>2</v>
      </c>
      <c r="D20" s="78">
        <v>51119</v>
      </c>
      <c r="E20" s="78">
        <v>1291</v>
      </c>
    </row>
    <row r="21" spans="1:5" x14ac:dyDescent="0.35">
      <c r="A21" s="72">
        <v>80</v>
      </c>
      <c r="B21" s="72" t="s">
        <v>178</v>
      </c>
      <c r="C21" s="72">
        <v>2</v>
      </c>
      <c r="D21" s="78">
        <v>125504</v>
      </c>
      <c r="E21" s="78">
        <v>5579.6666666666697</v>
      </c>
    </row>
    <row r="22" spans="1:5" x14ac:dyDescent="0.35">
      <c r="A22" s="72">
        <v>1970</v>
      </c>
      <c r="B22" s="72" t="s">
        <v>217</v>
      </c>
      <c r="C22" s="72">
        <v>2</v>
      </c>
      <c r="D22" s="78">
        <v>45593</v>
      </c>
      <c r="E22" s="78">
        <v>923.33333333333303</v>
      </c>
    </row>
    <row r="23" spans="1:5" x14ac:dyDescent="0.35">
      <c r="A23" s="72">
        <v>85</v>
      </c>
      <c r="B23" s="72" t="s">
        <v>234</v>
      </c>
      <c r="C23" s="72">
        <v>2</v>
      </c>
      <c r="D23" s="78">
        <v>25680</v>
      </c>
      <c r="E23" s="78">
        <v>536.33333333333303</v>
      </c>
    </row>
    <row r="24" spans="1:5" x14ac:dyDescent="0.35">
      <c r="A24" s="72">
        <v>86</v>
      </c>
      <c r="B24" s="72" t="s">
        <v>237</v>
      </c>
      <c r="C24" s="72">
        <v>2</v>
      </c>
      <c r="D24" s="78">
        <v>29791</v>
      </c>
      <c r="E24" s="78">
        <v>531</v>
      </c>
    </row>
    <row r="25" spans="1:5" x14ac:dyDescent="0.35">
      <c r="A25" s="72">
        <v>88</v>
      </c>
      <c r="B25" s="72" t="s">
        <v>268</v>
      </c>
      <c r="C25" s="72">
        <v>2</v>
      </c>
      <c r="D25" s="78">
        <v>944</v>
      </c>
      <c r="E25" s="78">
        <v>8.6666666666666696</v>
      </c>
    </row>
    <row r="26" spans="1:5" x14ac:dyDescent="0.35">
      <c r="A26" s="72">
        <v>90</v>
      </c>
      <c r="B26" s="72" t="s">
        <v>278</v>
      </c>
      <c r="C26" s="72">
        <v>2</v>
      </c>
      <c r="D26" s="78">
        <v>55895</v>
      </c>
      <c r="E26" s="78">
        <v>1663.3333333333301</v>
      </c>
    </row>
    <row r="27" spans="1:5" x14ac:dyDescent="0.35">
      <c r="A27" s="72">
        <v>1900</v>
      </c>
      <c r="B27" s="72" t="s">
        <v>721</v>
      </c>
      <c r="C27" s="72">
        <v>2</v>
      </c>
      <c r="D27" s="78">
        <v>90300</v>
      </c>
      <c r="E27" s="78">
        <v>2174.3333333333298</v>
      </c>
    </row>
    <row r="28" spans="1:5" x14ac:dyDescent="0.35">
      <c r="A28" s="72">
        <v>93</v>
      </c>
      <c r="B28" s="72" t="s">
        <v>291</v>
      </c>
      <c r="C28" s="72">
        <v>2</v>
      </c>
      <c r="D28" s="78">
        <v>4960</v>
      </c>
      <c r="E28" s="78">
        <v>23.6666666666667</v>
      </c>
    </row>
    <row r="29" spans="1:5" x14ac:dyDescent="0.35">
      <c r="A29" s="72">
        <v>737</v>
      </c>
      <c r="B29" s="72" t="s">
        <v>300</v>
      </c>
      <c r="C29" s="72">
        <v>2</v>
      </c>
      <c r="D29" s="78">
        <v>32282</v>
      </c>
      <c r="E29" s="78">
        <v>483.66666666666703</v>
      </c>
    </row>
    <row r="30" spans="1:5" x14ac:dyDescent="0.35">
      <c r="A30" s="72">
        <v>96</v>
      </c>
      <c r="B30" s="72" t="s">
        <v>319</v>
      </c>
      <c r="C30" s="72">
        <v>2</v>
      </c>
      <c r="D30" s="78">
        <v>1195</v>
      </c>
      <c r="E30" s="78">
        <v>8.3333333333333304</v>
      </c>
    </row>
    <row r="31" spans="1:5" x14ac:dyDescent="0.35">
      <c r="A31" s="72">
        <v>1949</v>
      </c>
      <c r="B31" s="72" t="s">
        <v>325</v>
      </c>
      <c r="C31" s="72">
        <v>2</v>
      </c>
      <c r="D31" s="78">
        <v>46309</v>
      </c>
      <c r="E31" s="78">
        <v>1001</v>
      </c>
    </row>
    <row r="32" spans="1:5" x14ac:dyDescent="0.35">
      <c r="A32" s="72">
        <v>98</v>
      </c>
      <c r="B32" s="72" t="s">
        <v>341</v>
      </c>
      <c r="C32" s="72">
        <v>2</v>
      </c>
      <c r="D32" s="78">
        <v>26278</v>
      </c>
      <c r="E32" s="78">
        <v>438.33333333333297</v>
      </c>
    </row>
    <row r="33" spans="1:5" x14ac:dyDescent="0.35">
      <c r="A33" s="72">
        <v>1680</v>
      </c>
      <c r="B33" s="72" t="s">
        <v>0</v>
      </c>
      <c r="C33" s="72">
        <v>3</v>
      </c>
      <c r="D33" s="78">
        <v>25579</v>
      </c>
      <c r="E33" s="78">
        <v>332.66666666666703</v>
      </c>
    </row>
    <row r="34" spans="1:5" x14ac:dyDescent="0.35">
      <c r="A34" s="72">
        <v>106</v>
      </c>
      <c r="B34" s="72" t="s">
        <v>30</v>
      </c>
      <c r="C34" s="72">
        <v>3</v>
      </c>
      <c r="D34" s="78">
        <v>68979</v>
      </c>
      <c r="E34" s="78">
        <v>1928.6666666666699</v>
      </c>
    </row>
    <row r="35" spans="1:5" x14ac:dyDescent="0.35">
      <c r="A35" s="72">
        <v>1681</v>
      </c>
      <c r="B35" s="72" t="s">
        <v>55</v>
      </c>
      <c r="C35" s="72">
        <v>3</v>
      </c>
      <c r="D35" s="78">
        <v>25681</v>
      </c>
      <c r="E35" s="78">
        <v>448</v>
      </c>
    </row>
    <row r="36" spans="1:5" x14ac:dyDescent="0.35">
      <c r="A36" s="72">
        <v>109</v>
      </c>
      <c r="B36" s="72" t="s">
        <v>70</v>
      </c>
      <c r="C36" s="72">
        <v>3</v>
      </c>
      <c r="D36" s="78">
        <v>35517</v>
      </c>
      <c r="E36" s="78">
        <v>724.66666666666697</v>
      </c>
    </row>
    <row r="37" spans="1:5" x14ac:dyDescent="0.35">
      <c r="A37" s="72">
        <v>1690</v>
      </c>
      <c r="B37" s="72" t="s">
        <v>79</v>
      </c>
      <c r="C37" s="72">
        <v>3</v>
      </c>
      <c r="D37" s="78">
        <v>24511</v>
      </c>
      <c r="E37" s="78">
        <v>222</v>
      </c>
    </row>
    <row r="38" spans="1:5" x14ac:dyDescent="0.35">
      <c r="A38" s="72">
        <v>114</v>
      </c>
      <c r="B38" s="72" t="s">
        <v>104</v>
      </c>
      <c r="C38" s="72">
        <v>3</v>
      </c>
      <c r="D38" s="78">
        <v>107856</v>
      </c>
      <c r="E38" s="78">
        <v>3299</v>
      </c>
    </row>
    <row r="39" spans="1:5" x14ac:dyDescent="0.35">
      <c r="A39" s="72">
        <v>118</v>
      </c>
      <c r="B39" s="72" t="s">
        <v>156</v>
      </c>
      <c r="C39" s="72">
        <v>3</v>
      </c>
      <c r="D39" s="78">
        <v>55857</v>
      </c>
      <c r="E39" s="78">
        <v>1221</v>
      </c>
    </row>
    <row r="40" spans="1:5" x14ac:dyDescent="0.35">
      <c r="A40" s="72">
        <v>119</v>
      </c>
      <c r="B40" s="72" t="s">
        <v>199</v>
      </c>
      <c r="C40" s="72">
        <v>3</v>
      </c>
      <c r="D40" s="78">
        <v>34761</v>
      </c>
      <c r="E40" s="78">
        <v>700</v>
      </c>
    </row>
    <row r="41" spans="1:5" x14ac:dyDescent="0.35">
      <c r="A41" s="72">
        <v>1731</v>
      </c>
      <c r="B41" s="72" t="s">
        <v>701</v>
      </c>
      <c r="C41" s="72">
        <v>3</v>
      </c>
      <c r="D41" s="78">
        <v>33689</v>
      </c>
      <c r="E41" s="78">
        <v>403</v>
      </c>
    </row>
    <row r="42" spans="1:5" x14ac:dyDescent="0.35">
      <c r="A42" s="72">
        <v>1699</v>
      </c>
      <c r="B42" s="72" t="s">
        <v>219</v>
      </c>
      <c r="C42" s="72">
        <v>3</v>
      </c>
      <c r="D42" s="78">
        <v>31238</v>
      </c>
      <c r="E42" s="78">
        <v>505.66666666666703</v>
      </c>
    </row>
    <row r="43" spans="1:5" x14ac:dyDescent="0.35">
      <c r="A43" s="72">
        <v>1730</v>
      </c>
      <c r="B43" s="72" t="s">
        <v>299</v>
      </c>
      <c r="C43" s="72">
        <v>3</v>
      </c>
      <c r="D43" s="78">
        <v>34221</v>
      </c>
      <c r="E43" s="78">
        <v>389.33333333333297</v>
      </c>
    </row>
    <row r="44" spans="1:5" x14ac:dyDescent="0.35">
      <c r="A44" s="72">
        <v>1701</v>
      </c>
      <c r="B44" s="72" t="s">
        <v>337</v>
      </c>
      <c r="C44" s="72">
        <v>3</v>
      </c>
      <c r="D44" s="78">
        <v>19854</v>
      </c>
      <c r="E44" s="78">
        <v>227.666666666667</v>
      </c>
    </row>
    <row r="45" spans="1:5" x14ac:dyDescent="0.35">
      <c r="A45" s="72">
        <v>141</v>
      </c>
      <c r="B45" s="72" t="s">
        <v>18</v>
      </c>
      <c r="C45" s="72">
        <v>4</v>
      </c>
      <c r="D45" s="78">
        <v>73155</v>
      </c>
      <c r="E45" s="78">
        <v>2558.6666666666702</v>
      </c>
    </row>
    <row r="46" spans="1:5" x14ac:dyDescent="0.35">
      <c r="A46" s="72">
        <v>147</v>
      </c>
      <c r="B46" s="72" t="s">
        <v>56</v>
      </c>
      <c r="C46" s="72">
        <v>4</v>
      </c>
      <c r="D46" s="78">
        <v>24007</v>
      </c>
      <c r="E46" s="78">
        <v>284</v>
      </c>
    </row>
    <row r="47" spans="1:5" x14ac:dyDescent="0.35">
      <c r="A47" s="72">
        <v>148</v>
      </c>
      <c r="B47" s="72" t="s">
        <v>74</v>
      </c>
      <c r="C47" s="72">
        <v>4</v>
      </c>
      <c r="D47" s="78">
        <v>29162</v>
      </c>
      <c r="E47" s="78">
        <v>244.666666666667</v>
      </c>
    </row>
    <row r="48" spans="1:5" x14ac:dyDescent="0.35">
      <c r="A48" s="72">
        <v>150</v>
      </c>
      <c r="B48" s="72" t="s">
        <v>84</v>
      </c>
      <c r="C48" s="72">
        <v>4</v>
      </c>
      <c r="D48" s="78">
        <v>101446</v>
      </c>
      <c r="E48" s="78">
        <v>2724.3333333333298</v>
      </c>
    </row>
    <row r="49" spans="1:5" x14ac:dyDescent="0.35">
      <c r="A49" s="72">
        <v>1774</v>
      </c>
      <c r="B49" s="72" t="s">
        <v>86</v>
      </c>
      <c r="C49" s="72">
        <v>4</v>
      </c>
      <c r="D49" s="78">
        <v>26594</v>
      </c>
      <c r="E49" s="78">
        <v>184.333333333333</v>
      </c>
    </row>
    <row r="50" spans="1:5" x14ac:dyDescent="0.35">
      <c r="A50" s="72">
        <v>153</v>
      </c>
      <c r="B50" s="72" t="s">
        <v>106</v>
      </c>
      <c r="C50" s="72">
        <v>4</v>
      </c>
      <c r="D50" s="78">
        <v>160640</v>
      </c>
      <c r="E50" s="78">
        <v>6093.3333333333303</v>
      </c>
    </row>
    <row r="51" spans="1:5" x14ac:dyDescent="0.35">
      <c r="A51" s="72">
        <v>158</v>
      </c>
      <c r="B51" s="72" t="s">
        <v>124</v>
      </c>
      <c r="C51" s="72">
        <v>4</v>
      </c>
      <c r="D51" s="78">
        <v>24268</v>
      </c>
      <c r="E51" s="78">
        <v>295</v>
      </c>
    </row>
    <row r="52" spans="1:5" x14ac:dyDescent="0.35">
      <c r="A52" s="72">
        <v>160</v>
      </c>
      <c r="B52" s="72" t="s">
        <v>129</v>
      </c>
      <c r="C52" s="72">
        <v>4</v>
      </c>
      <c r="D52" s="78">
        <v>61798</v>
      </c>
      <c r="E52" s="78">
        <v>803.66666666666697</v>
      </c>
    </row>
    <row r="53" spans="1:5" x14ac:dyDescent="0.35">
      <c r="A53" s="72">
        <v>163</v>
      </c>
      <c r="B53" s="72" t="s">
        <v>142</v>
      </c>
      <c r="C53" s="72">
        <v>4</v>
      </c>
      <c r="D53" s="78">
        <v>35940</v>
      </c>
      <c r="E53" s="78">
        <v>388</v>
      </c>
    </row>
    <row r="54" spans="1:5" x14ac:dyDescent="0.35">
      <c r="A54" s="72">
        <v>164</v>
      </c>
      <c r="B54" s="72" t="s">
        <v>419</v>
      </c>
      <c r="C54" s="72">
        <v>4</v>
      </c>
      <c r="D54" s="78">
        <v>81476</v>
      </c>
      <c r="E54" s="78">
        <v>2174</v>
      </c>
    </row>
    <row r="55" spans="1:5" x14ac:dyDescent="0.35">
      <c r="A55" s="72">
        <v>1735</v>
      </c>
      <c r="B55" s="72" t="s">
        <v>154</v>
      </c>
      <c r="C55" s="72">
        <v>4</v>
      </c>
      <c r="D55" s="78">
        <v>35056</v>
      </c>
      <c r="E55" s="78">
        <v>409.66666666666703</v>
      </c>
    </row>
    <row r="56" spans="1:5" x14ac:dyDescent="0.35">
      <c r="A56" s="72">
        <v>166</v>
      </c>
      <c r="B56" s="72" t="s">
        <v>164</v>
      </c>
      <c r="C56" s="72">
        <v>4</v>
      </c>
      <c r="D56" s="78">
        <v>54791</v>
      </c>
      <c r="E56" s="78">
        <v>849.66666666666697</v>
      </c>
    </row>
    <row r="57" spans="1:5" x14ac:dyDescent="0.35">
      <c r="A57" s="72">
        <v>168</v>
      </c>
      <c r="B57" s="72" t="s">
        <v>191</v>
      </c>
      <c r="C57" s="72">
        <v>4</v>
      </c>
      <c r="D57" s="78">
        <v>23084</v>
      </c>
      <c r="E57" s="78">
        <v>268</v>
      </c>
    </row>
    <row r="58" spans="1:5" x14ac:dyDescent="0.35">
      <c r="A58" s="72">
        <v>173</v>
      </c>
      <c r="B58" s="72" t="s">
        <v>229</v>
      </c>
      <c r="C58" s="72">
        <v>4</v>
      </c>
      <c r="D58" s="78">
        <v>31741</v>
      </c>
      <c r="E58" s="78">
        <v>498.33333333333297</v>
      </c>
    </row>
    <row r="59" spans="1:5" x14ac:dyDescent="0.35">
      <c r="A59" s="72">
        <v>1773</v>
      </c>
      <c r="B59" s="72" t="s">
        <v>230</v>
      </c>
      <c r="C59" s="72">
        <v>4</v>
      </c>
      <c r="D59" s="78">
        <v>18496</v>
      </c>
      <c r="E59" s="78">
        <v>195</v>
      </c>
    </row>
    <row r="60" spans="1:5" x14ac:dyDescent="0.35">
      <c r="A60" s="72">
        <v>175</v>
      </c>
      <c r="B60" s="72" t="s">
        <v>231</v>
      </c>
      <c r="C60" s="72">
        <v>4</v>
      </c>
      <c r="D60" s="78">
        <v>18457</v>
      </c>
      <c r="E60" s="78">
        <v>209.333333333333</v>
      </c>
    </row>
    <row r="61" spans="1:5" x14ac:dyDescent="0.35">
      <c r="A61" s="72">
        <v>177</v>
      </c>
      <c r="B61" s="72" t="s">
        <v>249</v>
      </c>
      <c r="C61" s="72">
        <v>4</v>
      </c>
      <c r="D61" s="78">
        <v>38140</v>
      </c>
      <c r="E61" s="78">
        <v>377</v>
      </c>
    </row>
    <row r="62" spans="1:5" x14ac:dyDescent="0.35">
      <c r="A62" s="72">
        <v>1742</v>
      </c>
      <c r="B62" s="72" t="s">
        <v>257</v>
      </c>
      <c r="C62" s="72">
        <v>4</v>
      </c>
      <c r="D62" s="78">
        <v>38231</v>
      </c>
      <c r="E62" s="78">
        <v>354.33333333333297</v>
      </c>
    </row>
    <row r="63" spans="1:5" x14ac:dyDescent="0.35">
      <c r="A63" s="72">
        <v>180</v>
      </c>
      <c r="B63" s="72" t="s">
        <v>283</v>
      </c>
      <c r="C63" s="72">
        <v>4</v>
      </c>
      <c r="D63" s="78">
        <v>17282</v>
      </c>
      <c r="E63" s="78">
        <v>121</v>
      </c>
    </row>
    <row r="64" spans="1:5" x14ac:dyDescent="0.35">
      <c r="A64" s="72">
        <v>1708</v>
      </c>
      <c r="B64" s="72" t="s">
        <v>286</v>
      </c>
      <c r="C64" s="72">
        <v>4</v>
      </c>
      <c r="D64" s="78">
        <v>44741</v>
      </c>
      <c r="E64" s="78">
        <v>723.33333333333303</v>
      </c>
    </row>
    <row r="65" spans="1:5" x14ac:dyDescent="0.35">
      <c r="A65" s="72">
        <v>183</v>
      </c>
      <c r="B65" s="72" t="s">
        <v>297</v>
      </c>
      <c r="C65" s="72">
        <v>4</v>
      </c>
      <c r="D65" s="78">
        <v>21364</v>
      </c>
      <c r="E65" s="78">
        <v>128.333333333333</v>
      </c>
    </row>
    <row r="66" spans="1:5" x14ac:dyDescent="0.35">
      <c r="A66" s="72">
        <v>1700</v>
      </c>
      <c r="B66" s="72" t="s">
        <v>298</v>
      </c>
      <c r="C66" s="72">
        <v>4</v>
      </c>
      <c r="D66" s="78">
        <v>33718</v>
      </c>
      <c r="E66" s="78">
        <v>453.66666666666703</v>
      </c>
    </row>
    <row r="67" spans="1:5" x14ac:dyDescent="0.35">
      <c r="A67" s="72">
        <v>189</v>
      </c>
      <c r="B67" s="72" t="s">
        <v>343</v>
      </c>
      <c r="C67" s="72">
        <v>4</v>
      </c>
      <c r="D67" s="78">
        <v>24643</v>
      </c>
      <c r="E67" s="78">
        <v>199.666666666667</v>
      </c>
    </row>
    <row r="68" spans="1:5" x14ac:dyDescent="0.35">
      <c r="A68" s="72">
        <v>1896</v>
      </c>
      <c r="B68" s="72" t="s">
        <v>363</v>
      </c>
      <c r="C68" s="72">
        <v>4</v>
      </c>
      <c r="D68" s="78">
        <v>23012</v>
      </c>
      <c r="E68" s="78">
        <v>201.333333333333</v>
      </c>
    </row>
    <row r="69" spans="1:5" x14ac:dyDescent="0.35">
      <c r="A69" s="72">
        <v>193</v>
      </c>
      <c r="B69" s="72" t="s">
        <v>365</v>
      </c>
      <c r="C69" s="72">
        <v>4</v>
      </c>
      <c r="D69" s="78">
        <v>130668</v>
      </c>
      <c r="E69" s="78">
        <v>3505.3333333333298</v>
      </c>
    </row>
    <row r="70" spans="1:5" x14ac:dyDescent="0.35">
      <c r="A70" s="72">
        <v>197</v>
      </c>
      <c r="B70" s="72" t="s">
        <v>13</v>
      </c>
      <c r="C70" s="72">
        <v>5</v>
      </c>
      <c r="D70" s="78">
        <v>27100</v>
      </c>
      <c r="E70" s="78">
        <v>273.66666666666703</v>
      </c>
    </row>
    <row r="71" spans="1:5" x14ac:dyDescent="0.35">
      <c r="A71" s="72">
        <v>200</v>
      </c>
      <c r="B71" s="72" t="s">
        <v>27</v>
      </c>
      <c r="C71" s="72">
        <v>5</v>
      </c>
      <c r="D71" s="78">
        <v>165611</v>
      </c>
      <c r="E71" s="78">
        <v>3330</v>
      </c>
    </row>
    <row r="72" spans="1:5" x14ac:dyDescent="0.35">
      <c r="A72" s="72">
        <v>202</v>
      </c>
      <c r="B72" s="72" t="s">
        <v>29</v>
      </c>
      <c r="C72" s="72">
        <v>5</v>
      </c>
      <c r="D72" s="78">
        <v>163888</v>
      </c>
      <c r="E72" s="78">
        <v>7372.6666666666697</v>
      </c>
    </row>
    <row r="73" spans="1:5" x14ac:dyDescent="0.35">
      <c r="A73" s="72">
        <v>203</v>
      </c>
      <c r="B73" s="72" t="s">
        <v>35</v>
      </c>
      <c r="C73" s="72">
        <v>5</v>
      </c>
      <c r="D73" s="78">
        <v>60584</v>
      </c>
      <c r="E73" s="78">
        <v>535.33333333333303</v>
      </c>
    </row>
    <row r="74" spans="1:5" x14ac:dyDescent="0.35">
      <c r="A74" s="72">
        <v>1945</v>
      </c>
      <c r="B74" s="72" t="s">
        <v>40</v>
      </c>
      <c r="C74" s="72">
        <v>5</v>
      </c>
      <c r="D74" s="78">
        <v>34951</v>
      </c>
      <c r="E74" s="78">
        <v>727</v>
      </c>
    </row>
    <row r="75" spans="1:5" x14ac:dyDescent="0.35">
      <c r="A75" s="72">
        <v>1859</v>
      </c>
      <c r="B75" s="72" t="s">
        <v>45</v>
      </c>
      <c r="C75" s="72">
        <v>5</v>
      </c>
      <c r="D75" s="78">
        <v>43850</v>
      </c>
      <c r="E75" s="78">
        <v>529.33333333333303</v>
      </c>
    </row>
    <row r="76" spans="1:5" x14ac:dyDescent="0.35">
      <c r="A76" s="72">
        <v>209</v>
      </c>
      <c r="B76" s="72" t="s">
        <v>48</v>
      </c>
      <c r="C76" s="72">
        <v>5</v>
      </c>
      <c r="D76" s="78">
        <v>26235</v>
      </c>
      <c r="E76" s="78">
        <v>372</v>
      </c>
    </row>
    <row r="77" spans="1:5" x14ac:dyDescent="0.35">
      <c r="A77" s="72">
        <v>1876</v>
      </c>
      <c r="B77" s="72" t="s">
        <v>62</v>
      </c>
      <c r="C77" s="72">
        <v>5</v>
      </c>
      <c r="D77" s="78">
        <v>36077</v>
      </c>
      <c r="E77" s="78">
        <v>296.66666666666703</v>
      </c>
    </row>
    <row r="78" spans="1:5" x14ac:dyDescent="0.35">
      <c r="A78" s="72">
        <v>213</v>
      </c>
      <c r="B78" s="72" t="s">
        <v>63</v>
      </c>
      <c r="C78" s="72">
        <v>5</v>
      </c>
      <c r="D78" s="78">
        <v>20890</v>
      </c>
      <c r="E78" s="78">
        <v>264.66666666666703</v>
      </c>
    </row>
    <row r="79" spans="1:5" x14ac:dyDescent="0.35">
      <c r="A79" s="72">
        <v>214</v>
      </c>
      <c r="B79" s="72" t="s">
        <v>67</v>
      </c>
      <c r="C79" s="72">
        <v>5</v>
      </c>
      <c r="D79" s="78">
        <v>27155</v>
      </c>
      <c r="E79" s="78">
        <v>204.666666666667</v>
      </c>
    </row>
    <row r="80" spans="1:5" x14ac:dyDescent="0.35">
      <c r="A80" s="72">
        <v>216</v>
      </c>
      <c r="B80" s="72" t="s">
        <v>73</v>
      </c>
      <c r="C80" s="72">
        <v>5</v>
      </c>
      <c r="D80" s="78">
        <v>29397</v>
      </c>
      <c r="E80" s="78">
        <v>477.66666666666703</v>
      </c>
    </row>
    <row r="81" spans="1:5" x14ac:dyDescent="0.35">
      <c r="A81" s="72">
        <v>221</v>
      </c>
      <c r="B81" s="72" t="s">
        <v>87</v>
      </c>
      <c r="C81" s="72">
        <v>5</v>
      </c>
      <c r="D81" s="78">
        <v>11036</v>
      </c>
      <c r="E81" s="78">
        <v>264.66666666666703</v>
      </c>
    </row>
    <row r="82" spans="1:5" x14ac:dyDescent="0.35">
      <c r="A82" s="72">
        <v>222</v>
      </c>
      <c r="B82" s="72" t="s">
        <v>88</v>
      </c>
      <c r="C82" s="72">
        <v>5</v>
      </c>
      <c r="D82" s="78">
        <v>58546</v>
      </c>
      <c r="E82" s="78">
        <v>1183</v>
      </c>
    </row>
    <row r="83" spans="1:5" x14ac:dyDescent="0.35">
      <c r="A83" s="72">
        <v>225</v>
      </c>
      <c r="B83" s="72" t="s">
        <v>94</v>
      </c>
      <c r="C83" s="72">
        <v>5</v>
      </c>
      <c r="D83" s="78">
        <v>19178</v>
      </c>
      <c r="E83" s="78">
        <v>260.66666666666703</v>
      </c>
    </row>
    <row r="84" spans="1:5" x14ac:dyDescent="0.35">
      <c r="A84" s="72">
        <v>226</v>
      </c>
      <c r="B84" s="72" t="s">
        <v>95</v>
      </c>
      <c r="C84" s="72">
        <v>5</v>
      </c>
      <c r="D84" s="78">
        <v>24946</v>
      </c>
      <c r="E84" s="78">
        <v>433</v>
      </c>
    </row>
    <row r="85" spans="1:5" x14ac:dyDescent="0.35">
      <c r="A85" s="72">
        <v>228</v>
      </c>
      <c r="B85" s="72" t="s">
        <v>98</v>
      </c>
      <c r="C85" s="72">
        <v>5</v>
      </c>
      <c r="D85" s="78">
        <v>119986</v>
      </c>
      <c r="E85" s="78">
        <v>1698.3333333333301</v>
      </c>
    </row>
    <row r="86" spans="1:5" x14ac:dyDescent="0.35">
      <c r="A86" s="72">
        <v>230</v>
      </c>
      <c r="B86" s="72" t="s">
        <v>103</v>
      </c>
      <c r="C86" s="72">
        <v>5</v>
      </c>
      <c r="D86" s="78">
        <v>23740</v>
      </c>
      <c r="E86" s="78">
        <v>227</v>
      </c>
    </row>
    <row r="87" spans="1:5" x14ac:dyDescent="0.35">
      <c r="A87" s="72">
        <v>232</v>
      </c>
      <c r="B87" s="72" t="s">
        <v>107</v>
      </c>
      <c r="C87" s="72">
        <v>5</v>
      </c>
      <c r="D87" s="78">
        <v>33257</v>
      </c>
      <c r="E87" s="78">
        <v>378.33333333333297</v>
      </c>
    </row>
    <row r="88" spans="1:5" x14ac:dyDescent="0.35">
      <c r="A88" s="72">
        <v>233</v>
      </c>
      <c r="B88" s="72" t="s">
        <v>108</v>
      </c>
      <c r="C88" s="72">
        <v>5</v>
      </c>
      <c r="D88" s="78">
        <v>27258</v>
      </c>
      <c r="E88" s="78">
        <v>342.66666666666703</v>
      </c>
    </row>
    <row r="89" spans="1:5" x14ac:dyDescent="0.35">
      <c r="A89" s="72">
        <v>243</v>
      </c>
      <c r="B89" s="72" t="s">
        <v>130</v>
      </c>
      <c r="C89" s="72">
        <v>5</v>
      </c>
      <c r="D89" s="78">
        <v>48857</v>
      </c>
      <c r="E89" s="78">
        <v>856.33333333333303</v>
      </c>
    </row>
    <row r="90" spans="1:5" x14ac:dyDescent="0.35">
      <c r="A90" s="72">
        <v>244</v>
      </c>
      <c r="B90" s="72" t="s">
        <v>133</v>
      </c>
      <c r="C90" s="72">
        <v>5</v>
      </c>
      <c r="D90" s="78">
        <v>12307</v>
      </c>
      <c r="E90" s="78">
        <v>99</v>
      </c>
    </row>
    <row r="91" spans="1:5" x14ac:dyDescent="0.35">
      <c r="A91" s="72">
        <v>246</v>
      </c>
      <c r="B91" s="72" t="s">
        <v>136</v>
      </c>
      <c r="C91" s="72">
        <v>5</v>
      </c>
      <c r="D91" s="78">
        <v>18976</v>
      </c>
      <c r="E91" s="78">
        <v>162</v>
      </c>
    </row>
    <row r="92" spans="1:5" x14ac:dyDescent="0.35">
      <c r="A92" s="72">
        <v>252</v>
      </c>
      <c r="B92" s="72" t="s">
        <v>148</v>
      </c>
      <c r="C92" s="72">
        <v>5</v>
      </c>
      <c r="D92" s="78">
        <v>17175</v>
      </c>
      <c r="E92" s="78">
        <v>233.666666666667</v>
      </c>
    </row>
    <row r="93" spans="1:5" x14ac:dyDescent="0.35">
      <c r="A93" s="72">
        <v>1705</v>
      </c>
      <c r="B93" s="72" t="s">
        <v>185</v>
      </c>
      <c r="C93" s="72">
        <v>5</v>
      </c>
      <c r="D93" s="78">
        <v>46963</v>
      </c>
      <c r="E93" s="78">
        <v>491.33333333333297</v>
      </c>
    </row>
    <row r="94" spans="1:5" x14ac:dyDescent="0.35">
      <c r="A94" s="72">
        <v>262</v>
      </c>
      <c r="B94" s="72" t="s">
        <v>187</v>
      </c>
      <c r="C94" s="72">
        <v>5</v>
      </c>
      <c r="D94" s="78">
        <v>34069</v>
      </c>
      <c r="E94" s="78">
        <v>386.33333333333297</v>
      </c>
    </row>
    <row r="95" spans="1:5" x14ac:dyDescent="0.35">
      <c r="A95" s="72">
        <v>263</v>
      </c>
      <c r="B95" s="72" t="s">
        <v>192</v>
      </c>
      <c r="C95" s="72">
        <v>5</v>
      </c>
      <c r="D95" s="78">
        <v>25504</v>
      </c>
      <c r="E95" s="78">
        <v>212.666666666667</v>
      </c>
    </row>
    <row r="96" spans="1:5" x14ac:dyDescent="0.35">
      <c r="A96" s="72">
        <v>1955</v>
      </c>
      <c r="B96" s="72" t="s">
        <v>207</v>
      </c>
      <c r="C96" s="72">
        <v>5</v>
      </c>
      <c r="D96" s="78">
        <v>36359</v>
      </c>
      <c r="E96" s="78">
        <v>347.66666666666703</v>
      </c>
    </row>
    <row r="97" spans="1:5" x14ac:dyDescent="0.35">
      <c r="A97" s="72">
        <v>1740</v>
      </c>
      <c r="B97" s="72" t="s">
        <v>210</v>
      </c>
      <c r="C97" s="72">
        <v>5</v>
      </c>
      <c r="D97" s="78">
        <v>25032</v>
      </c>
      <c r="E97" s="78">
        <v>246.666666666667</v>
      </c>
    </row>
    <row r="98" spans="1:5" x14ac:dyDescent="0.35">
      <c r="A98" s="72">
        <v>267</v>
      </c>
      <c r="B98" s="72" t="s">
        <v>214</v>
      </c>
      <c r="C98" s="72">
        <v>5</v>
      </c>
      <c r="D98" s="78">
        <v>44311</v>
      </c>
      <c r="E98" s="78">
        <v>465.66666666666703</v>
      </c>
    </row>
    <row r="99" spans="1:5" x14ac:dyDescent="0.35">
      <c r="A99" s="72">
        <v>268</v>
      </c>
      <c r="B99" s="72" t="s">
        <v>215</v>
      </c>
      <c r="C99" s="72">
        <v>5</v>
      </c>
      <c r="D99" s="78">
        <v>179100</v>
      </c>
      <c r="E99" s="78">
        <v>6998.3333333333303</v>
      </c>
    </row>
    <row r="100" spans="1:5" x14ac:dyDescent="0.35">
      <c r="A100" s="72">
        <v>302</v>
      </c>
      <c r="B100" s="72" t="s">
        <v>223</v>
      </c>
      <c r="C100" s="72">
        <v>5</v>
      </c>
      <c r="D100" s="78">
        <v>28223</v>
      </c>
      <c r="E100" s="78">
        <v>271.66666666666703</v>
      </c>
    </row>
    <row r="101" spans="1:5" x14ac:dyDescent="0.35">
      <c r="A101" s="72">
        <v>269</v>
      </c>
      <c r="B101" s="72" t="s">
        <v>228</v>
      </c>
      <c r="C101" s="72">
        <v>5</v>
      </c>
      <c r="D101" s="78">
        <v>23930</v>
      </c>
      <c r="E101" s="78">
        <v>262.66666666666703</v>
      </c>
    </row>
    <row r="102" spans="1:5" x14ac:dyDescent="0.35">
      <c r="A102" s="72">
        <v>1586</v>
      </c>
      <c r="B102" s="72" t="s">
        <v>232</v>
      </c>
      <c r="C102" s="72">
        <v>5</v>
      </c>
      <c r="D102" s="78">
        <v>29603</v>
      </c>
      <c r="E102" s="78">
        <v>281.33333333333297</v>
      </c>
    </row>
    <row r="103" spans="1:5" x14ac:dyDescent="0.35">
      <c r="A103" s="72">
        <v>1509</v>
      </c>
      <c r="B103" s="72" t="s">
        <v>239</v>
      </c>
      <c r="C103" s="72">
        <v>5</v>
      </c>
      <c r="D103" s="78">
        <v>39387</v>
      </c>
      <c r="E103" s="78">
        <v>588.33333333333303</v>
      </c>
    </row>
    <row r="104" spans="1:5" x14ac:dyDescent="0.35">
      <c r="A104" s="72">
        <v>1734</v>
      </c>
      <c r="B104" s="72" t="s">
        <v>242</v>
      </c>
      <c r="C104" s="72">
        <v>5</v>
      </c>
      <c r="D104" s="78">
        <v>48266</v>
      </c>
      <c r="E104" s="78">
        <v>565</v>
      </c>
    </row>
    <row r="105" spans="1:5" x14ac:dyDescent="0.35">
      <c r="A105" s="72">
        <v>273</v>
      </c>
      <c r="B105" s="72" t="s">
        <v>248</v>
      </c>
      <c r="C105" s="72">
        <v>5</v>
      </c>
      <c r="D105" s="78">
        <v>24598</v>
      </c>
      <c r="E105" s="78">
        <v>175</v>
      </c>
    </row>
    <row r="106" spans="1:5" x14ac:dyDescent="0.35">
      <c r="A106" s="72">
        <v>274</v>
      </c>
      <c r="B106" s="72" t="s">
        <v>251</v>
      </c>
      <c r="C106" s="72">
        <v>5</v>
      </c>
      <c r="D106" s="78">
        <v>31358</v>
      </c>
      <c r="E106" s="78">
        <v>525.66666666666697</v>
      </c>
    </row>
    <row r="107" spans="1:5" x14ac:dyDescent="0.35">
      <c r="A107" s="72">
        <v>275</v>
      </c>
      <c r="B107" s="72" t="s">
        <v>254</v>
      </c>
      <c r="C107" s="72">
        <v>5</v>
      </c>
      <c r="D107" s="78">
        <v>43435</v>
      </c>
      <c r="E107" s="78">
        <v>929</v>
      </c>
    </row>
    <row r="108" spans="1:5" x14ac:dyDescent="0.35">
      <c r="A108" s="72">
        <v>277</v>
      </c>
      <c r="B108" s="72" t="s">
        <v>263</v>
      </c>
      <c r="C108" s="72">
        <v>5</v>
      </c>
      <c r="D108" s="78">
        <v>1756</v>
      </c>
      <c r="E108" s="78">
        <v>5</v>
      </c>
    </row>
    <row r="109" spans="1:5" x14ac:dyDescent="0.35">
      <c r="A109" s="72">
        <v>279</v>
      </c>
      <c r="B109" s="72" t="s">
        <v>266</v>
      </c>
      <c r="C109" s="72">
        <v>5</v>
      </c>
      <c r="D109" s="78">
        <v>10317</v>
      </c>
      <c r="E109" s="78">
        <v>61.3333333333333</v>
      </c>
    </row>
    <row r="110" spans="1:5" x14ac:dyDescent="0.35">
      <c r="A110" s="72">
        <v>281</v>
      </c>
      <c r="B110" s="72" t="s">
        <v>295</v>
      </c>
      <c r="C110" s="72">
        <v>5</v>
      </c>
      <c r="D110" s="78">
        <v>42277</v>
      </c>
      <c r="E110" s="78">
        <v>1003.66666666667</v>
      </c>
    </row>
    <row r="111" spans="1:5" x14ac:dyDescent="0.35">
      <c r="A111" s="72">
        <v>285</v>
      </c>
      <c r="B111" s="72" t="s">
        <v>323</v>
      </c>
      <c r="C111" s="72">
        <v>5</v>
      </c>
      <c r="D111" s="78">
        <v>24994</v>
      </c>
      <c r="E111" s="78">
        <v>253.666666666667</v>
      </c>
    </row>
    <row r="112" spans="1:5" x14ac:dyDescent="0.35">
      <c r="A112" s="72">
        <v>289</v>
      </c>
      <c r="B112" s="72" t="s">
        <v>329</v>
      </c>
      <c r="C112" s="72">
        <v>5</v>
      </c>
      <c r="D112" s="78">
        <v>39939</v>
      </c>
      <c r="E112" s="78">
        <v>646.66666666666697</v>
      </c>
    </row>
    <row r="113" spans="1:5" x14ac:dyDescent="0.35">
      <c r="A113" s="72">
        <v>1960</v>
      </c>
      <c r="B113" s="72" t="s">
        <v>334</v>
      </c>
      <c r="C113" s="72">
        <v>5</v>
      </c>
      <c r="D113" s="78">
        <v>51971</v>
      </c>
      <c r="E113" s="78">
        <v>420.66666666666703</v>
      </c>
    </row>
    <row r="114" spans="1:5" x14ac:dyDescent="0.35">
      <c r="A114" s="72">
        <v>668</v>
      </c>
      <c r="B114" s="72" t="s">
        <v>335</v>
      </c>
      <c r="C114" s="72">
        <v>5</v>
      </c>
      <c r="D114" s="78">
        <v>19675</v>
      </c>
      <c r="E114" s="78">
        <v>192</v>
      </c>
    </row>
    <row r="115" spans="1:5" x14ac:dyDescent="0.35">
      <c r="A115" s="72">
        <v>293</v>
      </c>
      <c r="B115" s="72" t="s">
        <v>338</v>
      </c>
      <c r="C115" s="72">
        <v>5</v>
      </c>
      <c r="D115" s="78">
        <v>14944</v>
      </c>
      <c r="E115" s="78">
        <v>335.33333333333297</v>
      </c>
    </row>
    <row r="116" spans="1:5" x14ac:dyDescent="0.35">
      <c r="A116" s="72">
        <v>296</v>
      </c>
      <c r="B116" s="72" t="s">
        <v>344</v>
      </c>
      <c r="C116" s="72">
        <v>5</v>
      </c>
      <c r="D116" s="78">
        <v>41344</v>
      </c>
      <c r="E116" s="78">
        <v>705</v>
      </c>
    </row>
    <row r="117" spans="1:5" x14ac:dyDescent="0.35">
      <c r="A117" s="72">
        <v>294</v>
      </c>
      <c r="B117" s="72" t="s">
        <v>347</v>
      </c>
      <c r="C117" s="72">
        <v>5</v>
      </c>
      <c r="D117" s="78">
        <v>29185</v>
      </c>
      <c r="E117" s="78">
        <v>569.66666666666697</v>
      </c>
    </row>
    <row r="118" spans="1:5" x14ac:dyDescent="0.35">
      <c r="A118" s="72">
        <v>297</v>
      </c>
      <c r="B118" s="72" t="s">
        <v>353</v>
      </c>
      <c r="C118" s="72">
        <v>5</v>
      </c>
      <c r="D118" s="78">
        <v>29957</v>
      </c>
      <c r="E118" s="78">
        <v>287.66666666666703</v>
      </c>
    </row>
    <row r="119" spans="1:5" x14ac:dyDescent="0.35">
      <c r="A119" s="72">
        <v>299</v>
      </c>
      <c r="B119" s="72" t="s">
        <v>357</v>
      </c>
      <c r="C119" s="72">
        <v>5</v>
      </c>
      <c r="D119" s="78">
        <v>44645</v>
      </c>
      <c r="E119" s="78">
        <v>830</v>
      </c>
    </row>
    <row r="120" spans="1:5" x14ac:dyDescent="0.35">
      <c r="A120" s="72">
        <v>301</v>
      </c>
      <c r="B120" s="72" t="s">
        <v>362</v>
      </c>
      <c r="C120" s="72">
        <v>5</v>
      </c>
      <c r="D120" s="78">
        <v>48330</v>
      </c>
      <c r="E120" s="78">
        <v>1383</v>
      </c>
    </row>
    <row r="121" spans="1:5" x14ac:dyDescent="0.35">
      <c r="A121" s="72">
        <v>307</v>
      </c>
      <c r="B121" s="72" t="s">
        <v>24</v>
      </c>
      <c r="C121" s="72">
        <v>6</v>
      </c>
      <c r="D121" s="78">
        <v>158590</v>
      </c>
      <c r="E121" s="78">
        <v>3333.6666666666702</v>
      </c>
    </row>
    <row r="122" spans="1:5" x14ac:dyDescent="0.35">
      <c r="A122" s="72">
        <v>308</v>
      </c>
      <c r="B122" s="72" t="s">
        <v>33</v>
      </c>
      <c r="C122" s="72">
        <v>6</v>
      </c>
      <c r="D122" s="78">
        <v>24876</v>
      </c>
      <c r="E122" s="78">
        <v>333.66666666666703</v>
      </c>
    </row>
    <row r="123" spans="1:5" x14ac:dyDescent="0.35">
      <c r="A123" s="72">
        <v>312</v>
      </c>
      <c r="B123" s="72" t="s">
        <v>65</v>
      </c>
      <c r="C123" s="72">
        <v>6</v>
      </c>
      <c r="D123" s="78">
        <v>15590</v>
      </c>
      <c r="E123" s="78">
        <v>115</v>
      </c>
    </row>
    <row r="124" spans="1:5" x14ac:dyDescent="0.35">
      <c r="A124" s="72">
        <v>313</v>
      </c>
      <c r="B124" s="72" t="s">
        <v>66</v>
      </c>
      <c r="C124" s="72">
        <v>6</v>
      </c>
      <c r="D124" s="78">
        <v>22325</v>
      </c>
      <c r="E124" s="78">
        <v>163.333333333333</v>
      </c>
    </row>
    <row r="125" spans="1:5" x14ac:dyDescent="0.35">
      <c r="A125" s="72">
        <v>310</v>
      </c>
      <c r="B125" s="72" t="s">
        <v>76</v>
      </c>
      <c r="C125" s="72">
        <v>6</v>
      </c>
      <c r="D125" s="78">
        <v>43508</v>
      </c>
      <c r="E125" s="78">
        <v>544.33333333333303</v>
      </c>
    </row>
    <row r="126" spans="1:5" x14ac:dyDescent="0.35">
      <c r="A126" s="72">
        <v>736</v>
      </c>
      <c r="B126" s="72" t="s">
        <v>78</v>
      </c>
      <c r="C126" s="72">
        <v>6</v>
      </c>
      <c r="D126" s="78">
        <v>44955</v>
      </c>
      <c r="E126" s="78">
        <v>407.33333333333297</v>
      </c>
    </row>
    <row r="127" spans="1:5" x14ac:dyDescent="0.35">
      <c r="A127" s="72">
        <v>317</v>
      </c>
      <c r="B127" s="72" t="s">
        <v>99</v>
      </c>
      <c r="C127" s="72">
        <v>6</v>
      </c>
      <c r="D127" s="78">
        <v>9450</v>
      </c>
      <c r="E127" s="78">
        <v>80.6666666666667</v>
      </c>
    </row>
    <row r="128" spans="1:5" x14ac:dyDescent="0.35">
      <c r="A128" s="72">
        <v>321</v>
      </c>
      <c r="B128" s="72" t="s">
        <v>159</v>
      </c>
      <c r="C128" s="72">
        <v>6</v>
      </c>
      <c r="D128" s="78">
        <v>50323</v>
      </c>
      <c r="E128" s="78">
        <v>494.33333333333297</v>
      </c>
    </row>
    <row r="129" spans="1:5" x14ac:dyDescent="0.35">
      <c r="A129" s="72">
        <v>353</v>
      </c>
      <c r="B129" s="72" t="s">
        <v>162</v>
      </c>
      <c r="C129" s="72">
        <v>6</v>
      </c>
      <c r="D129" s="78">
        <v>33429</v>
      </c>
      <c r="E129" s="78">
        <v>482</v>
      </c>
    </row>
    <row r="130" spans="1:5" x14ac:dyDescent="0.35">
      <c r="A130" s="72">
        <v>327</v>
      </c>
      <c r="B130" s="72" t="s">
        <v>184</v>
      </c>
      <c r="C130" s="72">
        <v>6</v>
      </c>
      <c r="D130" s="78">
        <v>30713</v>
      </c>
      <c r="E130" s="78">
        <v>303</v>
      </c>
    </row>
    <row r="131" spans="1:5" x14ac:dyDescent="0.35">
      <c r="A131" s="72">
        <v>331</v>
      </c>
      <c r="B131" s="72" t="s">
        <v>189</v>
      </c>
      <c r="C131" s="72">
        <v>6</v>
      </c>
      <c r="D131" s="78">
        <v>14512</v>
      </c>
      <c r="E131" s="78">
        <v>129.666666666667</v>
      </c>
    </row>
    <row r="132" spans="1:5" x14ac:dyDescent="0.35">
      <c r="A132" s="72">
        <v>335</v>
      </c>
      <c r="B132" s="72" t="s">
        <v>482</v>
      </c>
      <c r="C132" s="72">
        <v>6</v>
      </c>
      <c r="D132" s="78">
        <v>13818</v>
      </c>
      <c r="E132" s="78">
        <v>107</v>
      </c>
    </row>
    <row r="133" spans="1:5" x14ac:dyDescent="0.35">
      <c r="A133" s="72">
        <v>356</v>
      </c>
      <c r="B133" s="72" t="s">
        <v>212</v>
      </c>
      <c r="C133" s="72">
        <v>6</v>
      </c>
      <c r="D133" s="78">
        <v>64554</v>
      </c>
      <c r="E133" s="78">
        <v>1216</v>
      </c>
    </row>
    <row r="134" spans="1:5" x14ac:dyDescent="0.35">
      <c r="A134" s="72">
        <v>589</v>
      </c>
      <c r="B134" s="72" t="s">
        <v>241</v>
      </c>
      <c r="C134" s="72">
        <v>6</v>
      </c>
      <c r="D134" s="78">
        <v>10159</v>
      </c>
      <c r="E134" s="78">
        <v>84.6666666666667</v>
      </c>
    </row>
    <row r="135" spans="1:5" x14ac:dyDescent="0.35">
      <c r="A135" s="72">
        <v>339</v>
      </c>
      <c r="B135" s="72" t="s">
        <v>252</v>
      </c>
      <c r="C135" s="72">
        <v>6</v>
      </c>
      <c r="D135" s="78">
        <v>5651</v>
      </c>
      <c r="E135" s="78">
        <v>24</v>
      </c>
    </row>
    <row r="136" spans="1:5" x14ac:dyDescent="0.35">
      <c r="A136" s="72">
        <v>340</v>
      </c>
      <c r="B136" s="72" t="s">
        <v>255</v>
      </c>
      <c r="C136" s="72">
        <v>6</v>
      </c>
      <c r="D136" s="78">
        <v>20265</v>
      </c>
      <c r="E136" s="78">
        <v>216</v>
      </c>
    </row>
    <row r="137" spans="1:5" x14ac:dyDescent="0.35">
      <c r="A137" s="72">
        <v>342</v>
      </c>
      <c r="B137" s="72" t="s">
        <v>279</v>
      </c>
      <c r="C137" s="72">
        <v>6</v>
      </c>
      <c r="D137" s="78">
        <v>47113</v>
      </c>
      <c r="E137" s="78">
        <v>660</v>
      </c>
    </row>
    <row r="138" spans="1:5" x14ac:dyDescent="0.35">
      <c r="A138" s="72">
        <v>1904</v>
      </c>
      <c r="B138" s="72" t="s">
        <v>288</v>
      </c>
      <c r="C138" s="72">
        <v>6</v>
      </c>
      <c r="D138" s="78">
        <v>65240</v>
      </c>
      <c r="E138" s="78">
        <v>738</v>
      </c>
    </row>
    <row r="139" spans="1:5" x14ac:dyDescent="0.35">
      <c r="A139" s="72">
        <v>344</v>
      </c>
      <c r="B139" s="72" t="s">
        <v>305</v>
      </c>
      <c r="C139" s="72">
        <v>6</v>
      </c>
      <c r="D139" s="78">
        <v>361699</v>
      </c>
      <c r="E139" s="78">
        <v>9627</v>
      </c>
    </row>
    <row r="140" spans="1:5" x14ac:dyDescent="0.35">
      <c r="A140" s="72">
        <v>1581</v>
      </c>
      <c r="B140" s="72" t="s">
        <v>306</v>
      </c>
      <c r="C140" s="72">
        <v>6</v>
      </c>
      <c r="D140" s="78">
        <v>49981</v>
      </c>
      <c r="E140" s="78">
        <v>623.66666666666697</v>
      </c>
    </row>
    <row r="141" spans="1:5" x14ac:dyDescent="0.35">
      <c r="A141" s="72">
        <v>345</v>
      </c>
      <c r="B141" s="72" t="s">
        <v>311</v>
      </c>
      <c r="C141" s="72">
        <v>6</v>
      </c>
      <c r="D141" s="78">
        <v>67671</v>
      </c>
      <c r="E141" s="78">
        <v>1078.6666666666699</v>
      </c>
    </row>
    <row r="142" spans="1:5" x14ac:dyDescent="0.35">
      <c r="A142" s="72">
        <v>1961</v>
      </c>
      <c r="B142" s="72" t="s">
        <v>317</v>
      </c>
      <c r="C142" s="72">
        <v>6</v>
      </c>
      <c r="D142" s="78">
        <v>58788</v>
      </c>
      <c r="E142" s="78">
        <v>710</v>
      </c>
    </row>
    <row r="143" spans="1:5" x14ac:dyDescent="0.35">
      <c r="A143" s="72">
        <v>352</v>
      </c>
      <c r="B143" s="72" t="s">
        <v>346</v>
      </c>
      <c r="C143" s="72">
        <v>6</v>
      </c>
      <c r="D143" s="78">
        <v>23921</v>
      </c>
      <c r="E143" s="78">
        <v>254.666666666667</v>
      </c>
    </row>
    <row r="144" spans="1:5" x14ac:dyDescent="0.35">
      <c r="A144" s="72">
        <v>632</v>
      </c>
      <c r="B144" s="72" t="s">
        <v>349</v>
      </c>
      <c r="C144" s="72">
        <v>6</v>
      </c>
      <c r="D144" s="78">
        <v>52882</v>
      </c>
      <c r="E144" s="78">
        <v>549.33333333333303</v>
      </c>
    </row>
    <row r="145" spans="1:5" x14ac:dyDescent="0.35">
      <c r="A145" s="72">
        <v>351</v>
      </c>
      <c r="B145" s="72" t="s">
        <v>351</v>
      </c>
      <c r="C145" s="72">
        <v>6</v>
      </c>
      <c r="D145" s="78">
        <v>13873</v>
      </c>
      <c r="E145" s="78">
        <v>96</v>
      </c>
    </row>
    <row r="146" spans="1:5" x14ac:dyDescent="0.35">
      <c r="A146" s="72">
        <v>355</v>
      </c>
      <c r="B146" s="72" t="s">
        <v>356</v>
      </c>
      <c r="C146" s="72">
        <v>6</v>
      </c>
      <c r="D146" s="78">
        <v>65987</v>
      </c>
      <c r="E146" s="78">
        <v>1139</v>
      </c>
    </row>
    <row r="147" spans="1:5" x14ac:dyDescent="0.35">
      <c r="A147" s="72">
        <v>358</v>
      </c>
      <c r="B147" s="72" t="s">
        <v>12</v>
      </c>
      <c r="C147" s="72">
        <v>7</v>
      </c>
      <c r="D147" s="78">
        <v>32452</v>
      </c>
      <c r="E147" s="78">
        <v>231.666666666667</v>
      </c>
    </row>
    <row r="148" spans="1:5" x14ac:dyDescent="0.35">
      <c r="A148" s="72">
        <v>361</v>
      </c>
      <c r="B148" s="72" t="s">
        <v>17</v>
      </c>
      <c r="C148" s="72">
        <v>7</v>
      </c>
      <c r="D148" s="78">
        <v>110783</v>
      </c>
      <c r="E148" s="78">
        <v>2319.6666666666702</v>
      </c>
    </row>
    <row r="149" spans="1:5" x14ac:dyDescent="0.35">
      <c r="A149" s="72">
        <v>362</v>
      </c>
      <c r="B149" s="72" t="s">
        <v>25</v>
      </c>
      <c r="C149" s="72">
        <v>7</v>
      </c>
      <c r="D149" s="78">
        <v>92331</v>
      </c>
      <c r="E149" s="78">
        <v>1089.6666666666699</v>
      </c>
    </row>
    <row r="150" spans="1:5" x14ac:dyDescent="0.35">
      <c r="A150" s="72">
        <v>363</v>
      </c>
      <c r="B150" s="72" t="s">
        <v>26</v>
      </c>
      <c r="C150" s="72">
        <v>7</v>
      </c>
      <c r="D150" s="78">
        <v>903399</v>
      </c>
      <c r="E150" s="78">
        <v>39175.333333333299</v>
      </c>
    </row>
    <row r="151" spans="1:5" x14ac:dyDescent="0.35">
      <c r="A151" s="72">
        <v>373</v>
      </c>
      <c r="B151" s="72" t="s">
        <v>499</v>
      </c>
      <c r="C151" s="72">
        <v>7</v>
      </c>
      <c r="D151" s="78">
        <v>29723</v>
      </c>
      <c r="E151" s="78">
        <v>276.33333333333297</v>
      </c>
    </row>
    <row r="152" spans="1:5" x14ac:dyDescent="0.35">
      <c r="A152" s="72">
        <v>375</v>
      </c>
      <c r="B152" s="72" t="s">
        <v>49</v>
      </c>
      <c r="C152" s="72">
        <v>7</v>
      </c>
      <c r="D152" s="78">
        <v>42084</v>
      </c>
      <c r="E152" s="78">
        <v>878.66666666666697</v>
      </c>
    </row>
    <row r="153" spans="1:5" x14ac:dyDescent="0.35">
      <c r="A153" s="72">
        <v>376</v>
      </c>
      <c r="B153" s="72" t="s">
        <v>51</v>
      </c>
      <c r="C153" s="72">
        <v>7</v>
      </c>
      <c r="D153" s="78">
        <v>12359</v>
      </c>
      <c r="E153" s="78">
        <v>100.333333333333</v>
      </c>
    </row>
    <row r="154" spans="1:5" x14ac:dyDescent="0.35">
      <c r="A154" s="72">
        <v>377</v>
      </c>
      <c r="B154" s="72" t="s">
        <v>52</v>
      </c>
      <c r="C154" s="72">
        <v>7</v>
      </c>
      <c r="D154" s="78">
        <v>23732</v>
      </c>
      <c r="E154" s="78">
        <v>173</v>
      </c>
    </row>
    <row r="155" spans="1:5" x14ac:dyDescent="0.35">
      <c r="A155" s="72">
        <v>383</v>
      </c>
      <c r="B155" s="72" t="s">
        <v>69</v>
      </c>
      <c r="C155" s="72">
        <v>7</v>
      </c>
      <c r="D155" s="78">
        <v>36263</v>
      </c>
      <c r="E155" s="78">
        <v>310.33333333333297</v>
      </c>
    </row>
    <row r="156" spans="1:5" x14ac:dyDescent="0.35">
      <c r="A156" s="72">
        <v>400</v>
      </c>
      <c r="B156" s="72" t="s">
        <v>82</v>
      </c>
      <c r="C156" s="72">
        <v>7</v>
      </c>
      <c r="D156" s="78">
        <v>56334</v>
      </c>
      <c r="E156" s="78">
        <v>1555.3333333333301</v>
      </c>
    </row>
    <row r="157" spans="1:5" x14ac:dyDescent="0.35">
      <c r="A157" s="72">
        <v>384</v>
      </c>
      <c r="B157" s="72" t="s">
        <v>85</v>
      </c>
      <c r="C157" s="72">
        <v>7</v>
      </c>
      <c r="D157" s="78">
        <v>31822</v>
      </c>
      <c r="E157" s="78">
        <v>413.66666666666703</v>
      </c>
    </row>
    <row r="158" spans="1:5" x14ac:dyDescent="0.35">
      <c r="A158" s="72">
        <v>1980</v>
      </c>
      <c r="B158" s="72" t="s">
        <v>1303</v>
      </c>
      <c r="C158" s="72">
        <v>7</v>
      </c>
      <c r="D158" s="78">
        <v>87695</v>
      </c>
      <c r="E158" s="78">
        <v>1014.66666666667</v>
      </c>
    </row>
    <row r="159" spans="1:5" x14ac:dyDescent="0.35">
      <c r="A159" s="72">
        <v>498</v>
      </c>
      <c r="B159" s="72" t="s">
        <v>91</v>
      </c>
      <c r="C159" s="72">
        <v>7</v>
      </c>
      <c r="D159" s="78">
        <v>19983</v>
      </c>
      <c r="E159" s="78">
        <v>159.333333333333</v>
      </c>
    </row>
    <row r="160" spans="1:5" x14ac:dyDescent="0.35">
      <c r="A160" s="72">
        <v>385</v>
      </c>
      <c r="B160" s="72" t="s">
        <v>97</v>
      </c>
      <c r="C160" s="72">
        <v>7</v>
      </c>
      <c r="D160" s="78">
        <v>36471</v>
      </c>
      <c r="E160" s="78">
        <v>277</v>
      </c>
    </row>
    <row r="161" spans="1:5" x14ac:dyDescent="0.35">
      <c r="A161" s="72">
        <v>388</v>
      </c>
      <c r="B161" s="72" t="s">
        <v>105</v>
      </c>
      <c r="C161" s="72">
        <v>7</v>
      </c>
      <c r="D161" s="78">
        <v>18620</v>
      </c>
      <c r="E161" s="78">
        <v>308.33333333333297</v>
      </c>
    </row>
    <row r="162" spans="1:5" x14ac:dyDescent="0.35">
      <c r="A162" s="72">
        <v>1942</v>
      </c>
      <c r="B162" s="72" t="s">
        <v>118</v>
      </c>
      <c r="C162" s="72">
        <v>7</v>
      </c>
      <c r="D162" s="78">
        <v>58846</v>
      </c>
      <c r="E162" s="78">
        <v>834</v>
      </c>
    </row>
    <row r="163" spans="1:5" x14ac:dyDescent="0.35">
      <c r="A163" s="72">
        <v>392</v>
      </c>
      <c r="B163" s="72" t="s">
        <v>126</v>
      </c>
      <c r="C163" s="72">
        <v>7</v>
      </c>
      <c r="D163" s="78">
        <v>162898</v>
      </c>
      <c r="E163" s="78">
        <v>3456.6666666666702</v>
      </c>
    </row>
    <row r="164" spans="1:5" x14ac:dyDescent="0.35">
      <c r="A164" s="72">
        <v>394</v>
      </c>
      <c r="B164" s="72" t="s">
        <v>127</v>
      </c>
      <c r="C164" s="72">
        <v>7</v>
      </c>
      <c r="D164" s="78">
        <v>159336</v>
      </c>
      <c r="E164" s="78">
        <v>1927</v>
      </c>
    </row>
    <row r="165" spans="1:5" x14ac:dyDescent="0.35">
      <c r="A165" s="72">
        <v>396</v>
      </c>
      <c r="B165" s="72" t="s">
        <v>134</v>
      </c>
      <c r="C165" s="72">
        <v>7</v>
      </c>
      <c r="D165" s="78">
        <v>39189</v>
      </c>
      <c r="E165" s="78">
        <v>748.33333333333303</v>
      </c>
    </row>
    <row r="166" spans="1:5" x14ac:dyDescent="0.35">
      <c r="A166" s="72">
        <v>397</v>
      </c>
      <c r="B166" s="72" t="s">
        <v>135</v>
      </c>
      <c r="C166" s="72">
        <v>7</v>
      </c>
      <c r="D166" s="78">
        <v>27557</v>
      </c>
      <c r="E166" s="78">
        <v>242</v>
      </c>
    </row>
    <row r="167" spans="1:5" x14ac:dyDescent="0.35">
      <c r="A167" s="72">
        <v>399</v>
      </c>
      <c r="B167" s="72" t="s">
        <v>141</v>
      </c>
      <c r="C167" s="72">
        <v>7</v>
      </c>
      <c r="D167" s="78">
        <v>24417</v>
      </c>
      <c r="E167" s="78">
        <v>199.333333333333</v>
      </c>
    </row>
    <row r="168" spans="1:5" x14ac:dyDescent="0.35">
      <c r="A168" s="72">
        <v>402</v>
      </c>
      <c r="B168" s="72" t="s">
        <v>152</v>
      </c>
      <c r="C168" s="72">
        <v>7</v>
      </c>
      <c r="D168" s="78">
        <v>91733</v>
      </c>
      <c r="E168" s="78">
        <v>2101.6666666666702</v>
      </c>
    </row>
    <row r="169" spans="1:5" x14ac:dyDescent="0.35">
      <c r="A169" s="72">
        <v>1911</v>
      </c>
      <c r="B169" s="72" t="s">
        <v>155</v>
      </c>
      <c r="C169" s="72">
        <v>7</v>
      </c>
      <c r="D169" s="78">
        <v>48778</v>
      </c>
      <c r="E169" s="78">
        <v>488.33333333333297</v>
      </c>
    </row>
    <row r="170" spans="1:5" x14ac:dyDescent="0.35">
      <c r="A170" s="72">
        <v>405</v>
      </c>
      <c r="B170" s="72" t="s">
        <v>157</v>
      </c>
      <c r="C170" s="72">
        <v>7</v>
      </c>
      <c r="D170" s="78">
        <v>74298</v>
      </c>
      <c r="E170" s="78">
        <v>1510.3333333333301</v>
      </c>
    </row>
    <row r="171" spans="1:5" x14ac:dyDescent="0.35">
      <c r="A171" s="72">
        <v>406</v>
      </c>
      <c r="B171" s="72" t="s">
        <v>160</v>
      </c>
      <c r="C171" s="72">
        <v>7</v>
      </c>
      <c r="D171" s="78">
        <v>40938</v>
      </c>
      <c r="E171" s="78">
        <v>678.66666666666697</v>
      </c>
    </row>
    <row r="172" spans="1:5" x14ac:dyDescent="0.35">
      <c r="A172" s="72">
        <v>1598</v>
      </c>
      <c r="B172" s="72" t="s">
        <v>168</v>
      </c>
      <c r="C172" s="72">
        <v>7</v>
      </c>
      <c r="D172" s="78">
        <v>23048</v>
      </c>
      <c r="E172" s="78">
        <v>179.666666666667</v>
      </c>
    </row>
    <row r="173" spans="1:5" x14ac:dyDescent="0.35">
      <c r="A173" s="72">
        <v>415</v>
      </c>
      <c r="B173" s="72" t="s">
        <v>174</v>
      </c>
      <c r="C173" s="72">
        <v>7</v>
      </c>
      <c r="D173" s="78">
        <v>11560</v>
      </c>
      <c r="E173" s="78">
        <v>124</v>
      </c>
    </row>
    <row r="174" spans="1:5" x14ac:dyDescent="0.35">
      <c r="A174" s="72">
        <v>417</v>
      </c>
      <c r="B174" s="72" t="s">
        <v>177</v>
      </c>
      <c r="C174" s="72">
        <v>7</v>
      </c>
      <c r="D174" s="78">
        <v>11528</v>
      </c>
      <c r="E174" s="78">
        <v>104.666666666667</v>
      </c>
    </row>
    <row r="175" spans="1:5" x14ac:dyDescent="0.35">
      <c r="A175" s="72">
        <v>420</v>
      </c>
      <c r="B175" s="72" t="s">
        <v>196</v>
      </c>
      <c r="C175" s="72">
        <v>7</v>
      </c>
      <c r="D175" s="78">
        <v>45464</v>
      </c>
      <c r="E175" s="78">
        <v>476.66666666666703</v>
      </c>
    </row>
    <row r="176" spans="1:5" x14ac:dyDescent="0.35">
      <c r="A176" s="72">
        <v>431</v>
      </c>
      <c r="B176" s="72" t="s">
        <v>235</v>
      </c>
      <c r="C176" s="72">
        <v>7</v>
      </c>
      <c r="D176" s="78">
        <v>9639</v>
      </c>
      <c r="E176" s="78">
        <v>103.333333333333</v>
      </c>
    </row>
    <row r="177" spans="1:5" x14ac:dyDescent="0.35">
      <c r="A177" s="72">
        <v>432</v>
      </c>
      <c r="B177" s="72" t="s">
        <v>236</v>
      </c>
      <c r="C177" s="72">
        <v>7</v>
      </c>
      <c r="D177" s="78">
        <v>12074</v>
      </c>
      <c r="E177" s="78">
        <v>75.3333333333333</v>
      </c>
    </row>
    <row r="178" spans="1:5" x14ac:dyDescent="0.35">
      <c r="A178" s="72">
        <v>437</v>
      </c>
      <c r="B178" s="72" t="s">
        <v>240</v>
      </c>
      <c r="C178" s="72">
        <v>7</v>
      </c>
      <c r="D178" s="78">
        <v>14212</v>
      </c>
      <c r="E178" s="78">
        <v>177.333333333333</v>
      </c>
    </row>
    <row r="179" spans="1:5" x14ac:dyDescent="0.35">
      <c r="A179" s="72">
        <v>439</v>
      </c>
      <c r="B179" s="72" t="s">
        <v>247</v>
      </c>
      <c r="C179" s="72">
        <v>7</v>
      </c>
      <c r="D179" s="78">
        <v>92240</v>
      </c>
      <c r="E179" s="78">
        <v>1567</v>
      </c>
    </row>
    <row r="180" spans="1:5" x14ac:dyDescent="0.35">
      <c r="A180" s="72">
        <v>441</v>
      </c>
      <c r="B180" s="72" t="s">
        <v>265</v>
      </c>
      <c r="C180" s="72">
        <v>7</v>
      </c>
      <c r="D180" s="78">
        <v>46833</v>
      </c>
      <c r="E180" s="78">
        <v>522.66666666666697</v>
      </c>
    </row>
    <row r="181" spans="1:5" x14ac:dyDescent="0.35">
      <c r="A181" s="72">
        <v>532</v>
      </c>
      <c r="B181" s="72" t="s">
        <v>284</v>
      </c>
      <c r="C181" s="72">
        <v>7</v>
      </c>
      <c r="D181" s="78">
        <v>21947</v>
      </c>
      <c r="E181" s="78">
        <v>232</v>
      </c>
    </row>
    <row r="182" spans="1:5" x14ac:dyDescent="0.35">
      <c r="A182" s="72">
        <v>448</v>
      </c>
      <c r="B182" s="72" t="s">
        <v>292</v>
      </c>
      <c r="C182" s="72">
        <v>7</v>
      </c>
      <c r="D182" s="78">
        <v>13687</v>
      </c>
      <c r="E182" s="78">
        <v>121</v>
      </c>
    </row>
    <row r="183" spans="1:5" x14ac:dyDescent="0.35">
      <c r="A183" s="72">
        <v>450</v>
      </c>
      <c r="B183" s="72" t="s">
        <v>302</v>
      </c>
      <c r="C183" s="72">
        <v>7</v>
      </c>
      <c r="D183" s="78">
        <v>13563</v>
      </c>
      <c r="E183" s="78">
        <v>149.666666666667</v>
      </c>
    </row>
    <row r="184" spans="1:5" x14ac:dyDescent="0.35">
      <c r="A184" s="72">
        <v>451</v>
      </c>
      <c r="B184" s="72" t="s">
        <v>303</v>
      </c>
      <c r="C184" s="72">
        <v>7</v>
      </c>
      <c r="D184" s="78">
        <v>31018</v>
      </c>
      <c r="E184" s="78">
        <v>326</v>
      </c>
    </row>
    <row r="185" spans="1:5" x14ac:dyDescent="0.35">
      <c r="A185" s="72">
        <v>453</v>
      </c>
      <c r="B185" s="72" t="s">
        <v>314</v>
      </c>
      <c r="C185" s="72">
        <v>7</v>
      </c>
      <c r="D185" s="78">
        <v>68482</v>
      </c>
      <c r="E185" s="78">
        <v>1351</v>
      </c>
    </row>
    <row r="186" spans="1:5" x14ac:dyDescent="0.35">
      <c r="A186" s="72">
        <v>852</v>
      </c>
      <c r="B186" s="72" t="s">
        <v>331</v>
      </c>
      <c r="C186" s="72">
        <v>7</v>
      </c>
      <c r="D186" s="78">
        <v>17343</v>
      </c>
      <c r="E186" s="78">
        <v>170.666666666667</v>
      </c>
    </row>
    <row r="187" spans="1:5" x14ac:dyDescent="0.35">
      <c r="A187" s="72">
        <v>1696</v>
      </c>
      <c r="B187" s="72" t="s">
        <v>345</v>
      </c>
      <c r="C187" s="72">
        <v>7</v>
      </c>
      <c r="D187" s="78">
        <v>24494</v>
      </c>
      <c r="E187" s="78">
        <v>205.666666666667</v>
      </c>
    </row>
    <row r="188" spans="1:5" x14ac:dyDescent="0.35">
      <c r="A188" s="72">
        <v>880</v>
      </c>
      <c r="B188" s="72" t="s">
        <v>350</v>
      </c>
      <c r="C188" s="72">
        <v>7</v>
      </c>
      <c r="D188" s="78">
        <v>16381</v>
      </c>
      <c r="E188" s="78">
        <v>210</v>
      </c>
    </row>
    <row r="189" spans="1:5" x14ac:dyDescent="0.35">
      <c r="A189" s="72">
        <v>479</v>
      </c>
      <c r="B189" s="72" t="s">
        <v>352</v>
      </c>
      <c r="C189" s="72">
        <v>7</v>
      </c>
      <c r="D189" s="78">
        <v>157166</v>
      </c>
      <c r="E189" s="78">
        <v>3617</v>
      </c>
    </row>
    <row r="190" spans="1:5" x14ac:dyDescent="0.35">
      <c r="A190" s="72">
        <v>473</v>
      </c>
      <c r="B190" s="72" t="s">
        <v>354</v>
      </c>
      <c r="C190" s="72">
        <v>7</v>
      </c>
      <c r="D190" s="78">
        <v>17107</v>
      </c>
      <c r="E190" s="78">
        <v>367.33333333333297</v>
      </c>
    </row>
    <row r="191" spans="1:5" x14ac:dyDescent="0.35">
      <c r="A191" s="72">
        <v>482</v>
      </c>
      <c r="B191" s="72" t="s">
        <v>15</v>
      </c>
      <c r="C191" s="72">
        <v>8</v>
      </c>
      <c r="D191" s="78">
        <v>20087</v>
      </c>
      <c r="E191" s="78">
        <v>333.33333333333297</v>
      </c>
    </row>
    <row r="192" spans="1:5" x14ac:dyDescent="0.35">
      <c r="A192" s="72">
        <v>613</v>
      </c>
      <c r="B192" s="72" t="s">
        <v>16</v>
      </c>
      <c r="C192" s="72">
        <v>8</v>
      </c>
      <c r="D192" s="78">
        <v>25934</v>
      </c>
      <c r="E192" s="78">
        <v>281</v>
      </c>
    </row>
    <row r="193" spans="1:5" x14ac:dyDescent="0.35">
      <c r="A193" s="72">
        <v>484</v>
      </c>
      <c r="B193" s="72" t="s">
        <v>20</v>
      </c>
      <c r="C193" s="72">
        <v>8</v>
      </c>
      <c r="D193" s="78">
        <v>112926</v>
      </c>
      <c r="E193" s="78">
        <v>1571</v>
      </c>
    </row>
    <row r="194" spans="1:5" x14ac:dyDescent="0.35">
      <c r="A194" s="72">
        <v>489</v>
      </c>
      <c r="B194" s="72" t="s">
        <v>34</v>
      </c>
      <c r="C194" s="72">
        <v>8</v>
      </c>
      <c r="D194" s="78">
        <v>48714</v>
      </c>
      <c r="E194" s="78">
        <v>498.33333333333297</v>
      </c>
    </row>
    <row r="195" spans="1:5" x14ac:dyDescent="0.35">
      <c r="A195" s="72">
        <v>1901</v>
      </c>
      <c r="B195" s="72" t="s">
        <v>53</v>
      </c>
      <c r="C195" s="72">
        <v>8</v>
      </c>
      <c r="D195" s="78">
        <v>35752</v>
      </c>
      <c r="E195" s="78">
        <v>305.33333333333297</v>
      </c>
    </row>
    <row r="196" spans="1:5" x14ac:dyDescent="0.35">
      <c r="A196" s="72">
        <v>501</v>
      </c>
      <c r="B196" s="72" t="s">
        <v>61</v>
      </c>
      <c r="C196" s="72">
        <v>8</v>
      </c>
      <c r="D196" s="78">
        <v>17704</v>
      </c>
      <c r="E196" s="78">
        <v>197</v>
      </c>
    </row>
    <row r="197" spans="1:5" x14ac:dyDescent="0.35">
      <c r="A197" s="72">
        <v>502</v>
      </c>
      <c r="B197" s="72" t="s">
        <v>68</v>
      </c>
      <c r="C197" s="72">
        <v>8</v>
      </c>
      <c r="D197" s="78">
        <v>67188</v>
      </c>
      <c r="E197" s="78">
        <v>1829.6666666666699</v>
      </c>
    </row>
    <row r="198" spans="1:5" x14ac:dyDescent="0.35">
      <c r="A198" s="72">
        <v>503</v>
      </c>
      <c r="B198" s="72" t="s">
        <v>80</v>
      </c>
      <c r="C198" s="72">
        <v>8</v>
      </c>
      <c r="D198" s="78">
        <v>104572</v>
      </c>
      <c r="E198" s="78">
        <v>2956.6666666666702</v>
      </c>
    </row>
    <row r="199" spans="1:5" x14ac:dyDescent="0.35">
      <c r="A199" s="72">
        <v>505</v>
      </c>
      <c r="B199" s="72" t="s">
        <v>90</v>
      </c>
      <c r="C199" s="72">
        <v>8</v>
      </c>
      <c r="D199" s="78">
        <v>119537</v>
      </c>
      <c r="E199" s="78">
        <v>3653.6666666666702</v>
      </c>
    </row>
    <row r="200" spans="1:5" x14ac:dyDescent="0.35">
      <c r="A200" s="72">
        <v>1924</v>
      </c>
      <c r="B200" s="72" t="s">
        <v>115</v>
      </c>
      <c r="C200" s="72">
        <v>8</v>
      </c>
      <c r="D200" s="78">
        <v>51051</v>
      </c>
      <c r="E200" s="78">
        <v>475.66666666666703</v>
      </c>
    </row>
    <row r="201" spans="1:5" x14ac:dyDescent="0.35">
      <c r="A201" s="72">
        <v>512</v>
      </c>
      <c r="B201" s="72" t="s">
        <v>119</v>
      </c>
      <c r="C201" s="72">
        <v>8</v>
      </c>
      <c r="D201" s="78">
        <v>37632</v>
      </c>
      <c r="E201" s="78">
        <v>829</v>
      </c>
    </row>
    <row r="202" spans="1:5" x14ac:dyDescent="0.35">
      <c r="A202" s="72">
        <v>513</v>
      </c>
      <c r="B202" s="72" t="s">
        <v>120</v>
      </c>
      <c r="C202" s="72">
        <v>8</v>
      </c>
      <c r="D202" s="78">
        <v>74095</v>
      </c>
      <c r="E202" s="78">
        <v>1646</v>
      </c>
    </row>
    <row r="203" spans="1:5" x14ac:dyDescent="0.35">
      <c r="A203" s="72">
        <v>523</v>
      </c>
      <c r="B203" s="72" t="s">
        <v>131</v>
      </c>
      <c r="C203" s="72">
        <v>8</v>
      </c>
      <c r="D203" s="78">
        <v>18511</v>
      </c>
      <c r="E203" s="78">
        <v>149</v>
      </c>
    </row>
    <row r="204" spans="1:5" x14ac:dyDescent="0.35">
      <c r="A204" s="72">
        <v>530</v>
      </c>
      <c r="B204" s="72" t="s">
        <v>143</v>
      </c>
      <c r="C204" s="72">
        <v>8</v>
      </c>
      <c r="D204" s="78">
        <v>40574</v>
      </c>
      <c r="E204" s="78">
        <v>739</v>
      </c>
    </row>
    <row r="205" spans="1:5" x14ac:dyDescent="0.35">
      <c r="A205" s="72">
        <v>531</v>
      </c>
      <c r="B205" s="72" t="s">
        <v>145</v>
      </c>
      <c r="C205" s="72">
        <v>8</v>
      </c>
      <c r="D205" s="78">
        <v>31663</v>
      </c>
      <c r="E205" s="78">
        <v>318.66666666666703</v>
      </c>
    </row>
    <row r="206" spans="1:5" x14ac:dyDescent="0.35">
      <c r="A206" s="72">
        <v>534</v>
      </c>
      <c r="B206" s="72" t="s">
        <v>150</v>
      </c>
      <c r="C206" s="72">
        <v>8</v>
      </c>
      <c r="D206" s="78">
        <v>22312</v>
      </c>
      <c r="E206" s="78">
        <v>251.666666666667</v>
      </c>
    </row>
    <row r="207" spans="1:5" x14ac:dyDescent="0.35">
      <c r="A207" s="72">
        <v>1963</v>
      </c>
      <c r="B207" s="72" t="s">
        <v>153</v>
      </c>
      <c r="C207" s="72">
        <v>8</v>
      </c>
      <c r="D207" s="78">
        <v>88715</v>
      </c>
      <c r="E207" s="78">
        <v>797.33333333333303</v>
      </c>
    </row>
    <row r="208" spans="1:5" x14ac:dyDescent="0.35">
      <c r="A208" s="72">
        <v>1884</v>
      </c>
      <c r="B208" s="72" t="s">
        <v>163</v>
      </c>
      <c r="C208" s="72">
        <v>8</v>
      </c>
      <c r="D208" s="78">
        <v>27895</v>
      </c>
      <c r="E208" s="78">
        <v>253.666666666667</v>
      </c>
    </row>
    <row r="209" spans="1:5" x14ac:dyDescent="0.35">
      <c r="A209" s="72">
        <v>537</v>
      </c>
      <c r="B209" s="72" t="s">
        <v>166</v>
      </c>
      <c r="C209" s="72">
        <v>8</v>
      </c>
      <c r="D209" s="78">
        <v>66032</v>
      </c>
      <c r="E209" s="78">
        <v>837.33333333333303</v>
      </c>
    </row>
    <row r="210" spans="1:5" x14ac:dyDescent="0.35">
      <c r="A210" s="72">
        <v>542</v>
      </c>
      <c r="B210" s="72" t="s">
        <v>169</v>
      </c>
      <c r="C210" s="72">
        <v>8</v>
      </c>
      <c r="D210" s="78">
        <v>29415</v>
      </c>
      <c r="E210" s="78">
        <v>482</v>
      </c>
    </row>
    <row r="211" spans="1:5" x14ac:dyDescent="0.35">
      <c r="A211" s="72">
        <v>1931</v>
      </c>
      <c r="B211" s="72" t="s">
        <v>170</v>
      </c>
      <c r="C211" s="72">
        <v>8</v>
      </c>
      <c r="D211" s="78">
        <v>57062</v>
      </c>
      <c r="E211" s="78">
        <v>655.66666666666697</v>
      </c>
    </row>
    <row r="212" spans="1:5" x14ac:dyDescent="0.35">
      <c r="A212" s="72">
        <v>1621</v>
      </c>
      <c r="B212" s="72" t="s">
        <v>176</v>
      </c>
      <c r="C212" s="72">
        <v>8</v>
      </c>
      <c r="D212" s="78">
        <v>64110</v>
      </c>
      <c r="E212" s="78">
        <v>590.33333333333303</v>
      </c>
    </row>
    <row r="213" spans="1:5" x14ac:dyDescent="0.35">
      <c r="A213" s="72">
        <v>546</v>
      </c>
      <c r="B213" s="72" t="s">
        <v>179</v>
      </c>
      <c r="C213" s="72">
        <v>8</v>
      </c>
      <c r="D213" s="78">
        <v>125074</v>
      </c>
      <c r="E213" s="78">
        <v>3128.3333333333298</v>
      </c>
    </row>
    <row r="214" spans="1:5" x14ac:dyDescent="0.35">
      <c r="A214" s="72">
        <v>547</v>
      </c>
      <c r="B214" s="72" t="s">
        <v>180</v>
      </c>
      <c r="C214" s="72">
        <v>8</v>
      </c>
      <c r="D214" s="78">
        <v>27464</v>
      </c>
      <c r="E214" s="78">
        <v>342.66666666666703</v>
      </c>
    </row>
    <row r="215" spans="1:5" x14ac:dyDescent="0.35">
      <c r="A215" s="72">
        <v>1916</v>
      </c>
      <c r="B215" s="72" t="s">
        <v>181</v>
      </c>
      <c r="C215" s="72">
        <v>8</v>
      </c>
      <c r="D215" s="78">
        <v>76659</v>
      </c>
      <c r="E215" s="78">
        <v>1778.6666666666699</v>
      </c>
    </row>
    <row r="216" spans="1:5" x14ac:dyDescent="0.35">
      <c r="A216" s="72">
        <v>553</v>
      </c>
      <c r="B216" s="72" t="s">
        <v>186</v>
      </c>
      <c r="C216" s="72">
        <v>8</v>
      </c>
      <c r="D216" s="78">
        <v>23015</v>
      </c>
      <c r="E216" s="78">
        <v>217</v>
      </c>
    </row>
    <row r="217" spans="1:5" x14ac:dyDescent="0.35">
      <c r="A217" s="72">
        <v>556</v>
      </c>
      <c r="B217" s="72" t="s">
        <v>194</v>
      </c>
      <c r="C217" s="72">
        <v>8</v>
      </c>
      <c r="D217" s="78">
        <v>34148</v>
      </c>
      <c r="E217" s="78">
        <v>731.33333333333303</v>
      </c>
    </row>
    <row r="218" spans="1:5" x14ac:dyDescent="0.35">
      <c r="A218" s="72">
        <v>1842</v>
      </c>
      <c r="B218" s="72" t="s">
        <v>202</v>
      </c>
      <c r="C218" s="72">
        <v>8</v>
      </c>
      <c r="D218" s="78">
        <v>19484</v>
      </c>
      <c r="E218" s="78">
        <v>133</v>
      </c>
    </row>
    <row r="219" spans="1:5" x14ac:dyDescent="0.35">
      <c r="A219" s="72">
        <v>1978</v>
      </c>
      <c r="B219" s="72" t="s">
        <v>206</v>
      </c>
      <c r="C219" s="72">
        <v>8</v>
      </c>
      <c r="D219" s="78">
        <v>44644</v>
      </c>
      <c r="E219" s="78">
        <v>309</v>
      </c>
    </row>
    <row r="220" spans="1:5" x14ac:dyDescent="0.35">
      <c r="A220" s="72">
        <v>569</v>
      </c>
      <c r="B220" s="72" t="s">
        <v>213</v>
      </c>
      <c r="C220" s="72">
        <v>8</v>
      </c>
      <c r="D220" s="78">
        <v>29304</v>
      </c>
      <c r="E220" s="78">
        <v>220.333333333333</v>
      </c>
    </row>
    <row r="221" spans="1:5" x14ac:dyDescent="0.35">
      <c r="A221" s="72">
        <v>1930</v>
      </c>
      <c r="B221" s="72" t="s">
        <v>216</v>
      </c>
      <c r="C221" s="72">
        <v>8</v>
      </c>
      <c r="D221" s="78">
        <v>86332</v>
      </c>
      <c r="E221" s="78">
        <v>2253.3333333333298</v>
      </c>
    </row>
    <row r="222" spans="1:5" x14ac:dyDescent="0.35">
      <c r="A222" s="72">
        <v>575</v>
      </c>
      <c r="B222" s="72" t="s">
        <v>221</v>
      </c>
      <c r="C222" s="72">
        <v>8</v>
      </c>
      <c r="D222" s="78">
        <v>44365</v>
      </c>
      <c r="E222" s="78">
        <v>429</v>
      </c>
    </row>
    <row r="223" spans="1:5" x14ac:dyDescent="0.35">
      <c r="A223" s="72">
        <v>579</v>
      </c>
      <c r="B223" s="72" t="s">
        <v>224</v>
      </c>
      <c r="C223" s="72">
        <v>8</v>
      </c>
      <c r="D223" s="78">
        <v>25499</v>
      </c>
      <c r="E223" s="78">
        <v>308</v>
      </c>
    </row>
    <row r="224" spans="1:5" x14ac:dyDescent="0.35">
      <c r="A224" s="72">
        <v>590</v>
      </c>
      <c r="B224" s="72" t="s">
        <v>243</v>
      </c>
      <c r="C224" s="72">
        <v>8</v>
      </c>
      <c r="D224" s="78">
        <v>32208</v>
      </c>
      <c r="E224" s="78">
        <v>487.33333333333297</v>
      </c>
    </row>
    <row r="225" spans="1:5" x14ac:dyDescent="0.35">
      <c r="A225" s="72">
        <v>1926</v>
      </c>
      <c r="B225" s="72" t="s">
        <v>246</v>
      </c>
      <c r="C225" s="72">
        <v>8</v>
      </c>
      <c r="D225" s="78">
        <v>56572</v>
      </c>
      <c r="E225" s="78">
        <v>445.66666666666703</v>
      </c>
    </row>
    <row r="226" spans="1:5" x14ac:dyDescent="0.35">
      <c r="A226" s="72">
        <v>597</v>
      </c>
      <c r="B226" s="72" t="s">
        <v>256</v>
      </c>
      <c r="C226" s="72">
        <v>8</v>
      </c>
      <c r="D226" s="78">
        <v>47099</v>
      </c>
      <c r="E226" s="78">
        <v>888.66666666666697</v>
      </c>
    </row>
    <row r="227" spans="1:5" x14ac:dyDescent="0.35">
      <c r="A227" s="72">
        <v>603</v>
      </c>
      <c r="B227" s="72" t="s">
        <v>258</v>
      </c>
      <c r="C227" s="72">
        <v>8</v>
      </c>
      <c r="D227" s="78">
        <v>56941</v>
      </c>
      <c r="E227" s="78">
        <v>1417.3333333333301</v>
      </c>
    </row>
    <row r="228" spans="1:5" x14ac:dyDescent="0.35">
      <c r="A228" s="72">
        <v>599</v>
      </c>
      <c r="B228" s="72" t="s">
        <v>262</v>
      </c>
      <c r="C228" s="72">
        <v>8</v>
      </c>
      <c r="D228" s="78">
        <v>655468</v>
      </c>
      <c r="E228" s="78">
        <v>34240.333333333299</v>
      </c>
    </row>
    <row r="229" spans="1:5" x14ac:dyDescent="0.35">
      <c r="A229" s="72">
        <v>606</v>
      </c>
      <c r="B229" s="72" t="s">
        <v>267</v>
      </c>
      <c r="C229" s="72">
        <v>8</v>
      </c>
      <c r="D229" s="78">
        <v>79644</v>
      </c>
      <c r="E229" s="78">
        <v>2302.6666666666702</v>
      </c>
    </row>
    <row r="230" spans="1:5" x14ac:dyDescent="0.35">
      <c r="A230" s="72">
        <v>518</v>
      </c>
      <c r="B230" s="72" t="s">
        <v>270</v>
      </c>
      <c r="C230" s="72">
        <v>8</v>
      </c>
      <c r="D230" s="78">
        <v>553417</v>
      </c>
      <c r="E230" s="78">
        <v>23722.333333333299</v>
      </c>
    </row>
    <row r="231" spans="1:5" x14ac:dyDescent="0.35">
      <c r="A231" s="72">
        <v>610</v>
      </c>
      <c r="B231" s="72" t="s">
        <v>276</v>
      </c>
      <c r="C231" s="72">
        <v>8</v>
      </c>
      <c r="D231" s="78">
        <v>25897</v>
      </c>
      <c r="E231" s="78">
        <v>446.33333333333297</v>
      </c>
    </row>
    <row r="232" spans="1:5" x14ac:dyDescent="0.35">
      <c r="A232" s="72">
        <v>1525</v>
      </c>
      <c r="B232" s="72" t="s">
        <v>293</v>
      </c>
      <c r="C232" s="72">
        <v>8</v>
      </c>
      <c r="D232" s="78">
        <v>37942</v>
      </c>
      <c r="E232" s="78">
        <v>290</v>
      </c>
    </row>
    <row r="233" spans="1:5" x14ac:dyDescent="0.35">
      <c r="A233" s="72">
        <v>622</v>
      </c>
      <c r="B233" s="72" t="s">
        <v>318</v>
      </c>
      <c r="C233" s="72">
        <v>8</v>
      </c>
      <c r="D233" s="78">
        <v>74143</v>
      </c>
      <c r="E233" s="78">
        <v>2312</v>
      </c>
    </row>
    <row r="234" spans="1:5" x14ac:dyDescent="0.35">
      <c r="A234" s="72">
        <v>626</v>
      </c>
      <c r="B234" s="72" t="s">
        <v>322</v>
      </c>
      <c r="C234" s="72">
        <v>8</v>
      </c>
      <c r="D234" s="78">
        <v>25627</v>
      </c>
      <c r="E234" s="78">
        <v>297.66666666666703</v>
      </c>
    </row>
    <row r="235" spans="1:5" x14ac:dyDescent="0.35">
      <c r="A235" s="72">
        <v>627</v>
      </c>
      <c r="B235" s="72" t="s">
        <v>328</v>
      </c>
      <c r="C235" s="72">
        <v>8</v>
      </c>
      <c r="D235" s="78">
        <v>31342</v>
      </c>
      <c r="E235" s="78">
        <v>314.33333333333297</v>
      </c>
    </row>
    <row r="236" spans="1:5" x14ac:dyDescent="0.35">
      <c r="A236" s="72">
        <v>629</v>
      </c>
      <c r="B236" s="72" t="s">
        <v>330</v>
      </c>
      <c r="C236" s="72">
        <v>8</v>
      </c>
      <c r="D236" s="78">
        <v>27115</v>
      </c>
      <c r="E236" s="78">
        <v>341.66666666666703</v>
      </c>
    </row>
    <row r="237" spans="1:5" x14ac:dyDescent="0.35">
      <c r="A237" s="72">
        <v>1783</v>
      </c>
      <c r="B237" s="72" t="s">
        <v>340</v>
      </c>
      <c r="C237" s="72">
        <v>8</v>
      </c>
      <c r="D237" s="78">
        <v>112448</v>
      </c>
      <c r="E237" s="78">
        <v>1139.6666666666699</v>
      </c>
    </row>
    <row r="238" spans="1:5" x14ac:dyDescent="0.35">
      <c r="A238" s="72">
        <v>614</v>
      </c>
      <c r="B238" s="72" t="s">
        <v>342</v>
      </c>
      <c r="C238" s="72">
        <v>8</v>
      </c>
      <c r="D238" s="78">
        <v>14960</v>
      </c>
      <c r="E238" s="78">
        <v>109.666666666667</v>
      </c>
    </row>
    <row r="239" spans="1:5" x14ac:dyDescent="0.35">
      <c r="A239" s="72">
        <v>637</v>
      </c>
      <c r="B239" s="72" t="s">
        <v>358</v>
      </c>
      <c r="C239" s="72">
        <v>8</v>
      </c>
      <c r="D239" s="78">
        <v>125767</v>
      </c>
      <c r="E239" s="78">
        <v>2779</v>
      </c>
    </row>
    <row r="240" spans="1:5" x14ac:dyDescent="0.35">
      <c r="A240" s="72">
        <v>638</v>
      </c>
      <c r="B240" s="72" t="s">
        <v>359</v>
      </c>
      <c r="C240" s="72">
        <v>8</v>
      </c>
      <c r="D240" s="78">
        <v>9302</v>
      </c>
      <c r="E240" s="78">
        <v>49.6666666666667</v>
      </c>
    </row>
    <row r="241" spans="1:5" x14ac:dyDescent="0.35">
      <c r="A241" s="72">
        <v>1892</v>
      </c>
      <c r="B241" s="72" t="s">
        <v>360</v>
      </c>
      <c r="C241" s="72">
        <v>8</v>
      </c>
      <c r="D241" s="78">
        <v>45794</v>
      </c>
      <c r="E241" s="78">
        <v>487</v>
      </c>
    </row>
    <row r="242" spans="1:5" x14ac:dyDescent="0.35">
      <c r="A242" s="72">
        <v>642</v>
      </c>
      <c r="B242" s="72" t="s">
        <v>364</v>
      </c>
      <c r="C242" s="72">
        <v>8</v>
      </c>
      <c r="D242" s="78">
        <v>44789</v>
      </c>
      <c r="E242" s="78">
        <v>1076</v>
      </c>
    </row>
    <row r="243" spans="1:5" x14ac:dyDescent="0.35">
      <c r="A243" s="72">
        <v>654</v>
      </c>
      <c r="B243" s="72" t="s">
        <v>57</v>
      </c>
      <c r="C243" s="72">
        <v>9</v>
      </c>
      <c r="D243" s="78">
        <v>22847</v>
      </c>
      <c r="E243" s="78">
        <v>195</v>
      </c>
    </row>
    <row r="244" spans="1:5" x14ac:dyDescent="0.35">
      <c r="A244" s="72">
        <v>664</v>
      </c>
      <c r="B244" s="72" t="s">
        <v>116</v>
      </c>
      <c r="C244" s="72">
        <v>9</v>
      </c>
      <c r="D244" s="78">
        <v>38950</v>
      </c>
      <c r="E244" s="78">
        <v>734</v>
      </c>
    </row>
    <row r="245" spans="1:5" x14ac:dyDescent="0.35">
      <c r="A245" s="72">
        <v>677</v>
      </c>
      <c r="B245" s="72" t="s">
        <v>161</v>
      </c>
      <c r="C245" s="72">
        <v>9</v>
      </c>
      <c r="D245" s="78">
        <v>27533</v>
      </c>
      <c r="E245" s="78">
        <v>271.33333333333297</v>
      </c>
    </row>
    <row r="246" spans="1:5" x14ac:dyDescent="0.35">
      <c r="A246" s="72">
        <v>678</v>
      </c>
      <c r="B246" s="72" t="s">
        <v>165</v>
      </c>
      <c r="C246" s="72">
        <v>9</v>
      </c>
      <c r="D246" s="78">
        <v>13020</v>
      </c>
      <c r="E246" s="78">
        <v>80.6666666666667</v>
      </c>
    </row>
    <row r="247" spans="1:5" x14ac:dyDescent="0.35">
      <c r="A247" s="72">
        <v>687</v>
      </c>
      <c r="B247" s="72" t="s">
        <v>200</v>
      </c>
      <c r="C247" s="72">
        <v>9</v>
      </c>
      <c r="D247" s="78">
        <v>49199</v>
      </c>
      <c r="E247" s="78">
        <v>1213</v>
      </c>
    </row>
    <row r="248" spans="1:5" x14ac:dyDescent="0.35">
      <c r="A248" s="72">
        <v>1695</v>
      </c>
      <c r="B248" s="72" t="s">
        <v>218</v>
      </c>
      <c r="C248" s="72">
        <v>9</v>
      </c>
      <c r="D248" s="78">
        <v>7668</v>
      </c>
      <c r="E248" s="78">
        <v>104.666666666667</v>
      </c>
    </row>
    <row r="249" spans="1:5" x14ac:dyDescent="0.35">
      <c r="A249" s="72">
        <v>703</v>
      </c>
      <c r="B249" s="72" t="s">
        <v>250</v>
      </c>
      <c r="C249" s="72">
        <v>9</v>
      </c>
      <c r="D249" s="78">
        <v>22920</v>
      </c>
      <c r="E249" s="78">
        <v>213.333333333333</v>
      </c>
    </row>
    <row r="250" spans="1:5" x14ac:dyDescent="0.35">
      <c r="A250" s="72">
        <v>1676</v>
      </c>
      <c r="B250" s="72" t="s">
        <v>269</v>
      </c>
      <c r="C250" s="72">
        <v>9</v>
      </c>
      <c r="D250" s="78">
        <v>34152</v>
      </c>
      <c r="E250" s="78">
        <v>421</v>
      </c>
    </row>
    <row r="251" spans="1:5" x14ac:dyDescent="0.35">
      <c r="A251" s="72">
        <v>1714</v>
      </c>
      <c r="B251" s="72" t="s">
        <v>277</v>
      </c>
      <c r="C251" s="72">
        <v>9</v>
      </c>
      <c r="D251" s="78">
        <v>23141</v>
      </c>
      <c r="E251" s="78">
        <v>257</v>
      </c>
    </row>
    <row r="252" spans="1:5" x14ac:dyDescent="0.35">
      <c r="A252" s="72">
        <v>715</v>
      </c>
      <c r="B252" s="72" t="s">
        <v>290</v>
      </c>
      <c r="C252" s="72">
        <v>9</v>
      </c>
      <c r="D252" s="78">
        <v>54501</v>
      </c>
      <c r="E252" s="78">
        <v>1032</v>
      </c>
    </row>
    <row r="253" spans="1:5" x14ac:dyDescent="0.35">
      <c r="A253" s="72">
        <v>716</v>
      </c>
      <c r="B253" s="72" t="s">
        <v>294</v>
      </c>
      <c r="C253" s="72">
        <v>9</v>
      </c>
      <c r="D253" s="78">
        <v>26401</v>
      </c>
      <c r="E253" s="78">
        <v>297.66666666666703</v>
      </c>
    </row>
    <row r="254" spans="1:5" x14ac:dyDescent="0.35">
      <c r="A254" s="72">
        <v>717</v>
      </c>
      <c r="B254" s="72" t="s">
        <v>312</v>
      </c>
      <c r="C254" s="72">
        <v>9</v>
      </c>
      <c r="D254" s="78">
        <v>21850</v>
      </c>
      <c r="E254" s="78">
        <v>155</v>
      </c>
    </row>
    <row r="255" spans="1:5" x14ac:dyDescent="0.35">
      <c r="A255" s="72">
        <v>718</v>
      </c>
      <c r="B255" s="72" t="s">
        <v>320</v>
      </c>
      <c r="C255" s="72">
        <v>9</v>
      </c>
      <c r="D255" s="78">
        <v>44585</v>
      </c>
      <c r="E255" s="78">
        <v>1660.6666666666699</v>
      </c>
    </row>
    <row r="256" spans="1:5" x14ac:dyDescent="0.35">
      <c r="A256" s="72">
        <v>1723</v>
      </c>
      <c r="B256" s="72" t="s">
        <v>21</v>
      </c>
      <c r="C256" s="72">
        <v>10</v>
      </c>
      <c r="D256" s="78">
        <v>10425</v>
      </c>
      <c r="E256" s="78">
        <v>76.6666666666667</v>
      </c>
    </row>
    <row r="257" spans="1:5" x14ac:dyDescent="0.35">
      <c r="A257" s="72">
        <v>1959</v>
      </c>
      <c r="B257" s="72" t="s">
        <v>22</v>
      </c>
      <c r="C257" s="72">
        <v>10</v>
      </c>
      <c r="D257" s="78">
        <v>57009</v>
      </c>
      <c r="E257" s="78">
        <v>507.33333333333297</v>
      </c>
    </row>
    <row r="258" spans="1:5" x14ac:dyDescent="0.35">
      <c r="A258" s="72">
        <v>743</v>
      </c>
      <c r="B258" s="72" t="s">
        <v>31</v>
      </c>
      <c r="C258" s="72">
        <v>10</v>
      </c>
      <c r="D258" s="78">
        <v>17068</v>
      </c>
      <c r="E258" s="78">
        <v>182.333333333333</v>
      </c>
    </row>
    <row r="259" spans="1:5" x14ac:dyDescent="0.35">
      <c r="A259" s="72">
        <v>744</v>
      </c>
      <c r="B259" s="72" t="s">
        <v>32</v>
      </c>
      <c r="C259" s="72">
        <v>10</v>
      </c>
      <c r="D259" s="78">
        <v>6931</v>
      </c>
      <c r="E259" s="78">
        <v>59</v>
      </c>
    </row>
    <row r="260" spans="1:5" x14ac:dyDescent="0.35">
      <c r="A260" s="72">
        <v>1724</v>
      </c>
      <c r="B260" s="72" t="s">
        <v>41</v>
      </c>
      <c r="C260" s="72">
        <v>10</v>
      </c>
      <c r="D260" s="78">
        <v>18879</v>
      </c>
      <c r="E260" s="78">
        <v>134.666666666667</v>
      </c>
    </row>
    <row r="261" spans="1:5" x14ac:dyDescent="0.35">
      <c r="A261" s="72">
        <v>748</v>
      </c>
      <c r="B261" s="72" t="s">
        <v>44</v>
      </c>
      <c r="C261" s="72">
        <v>10</v>
      </c>
      <c r="D261" s="78">
        <v>67894</v>
      </c>
      <c r="E261" s="78">
        <v>1775.3333333333301</v>
      </c>
    </row>
    <row r="262" spans="1:5" x14ac:dyDescent="0.35">
      <c r="A262" s="72">
        <v>1721</v>
      </c>
      <c r="B262" s="72" t="s">
        <v>46</v>
      </c>
      <c r="C262" s="72">
        <v>10</v>
      </c>
      <c r="D262" s="78">
        <v>31715</v>
      </c>
      <c r="E262" s="78">
        <v>259.66666666666703</v>
      </c>
    </row>
    <row r="263" spans="1:5" x14ac:dyDescent="0.35">
      <c r="A263" s="72">
        <v>753</v>
      </c>
      <c r="B263" s="72" t="s">
        <v>47</v>
      </c>
      <c r="C263" s="72">
        <v>10</v>
      </c>
      <c r="D263" s="78">
        <v>30608</v>
      </c>
      <c r="E263" s="78">
        <v>405.33333333333297</v>
      </c>
    </row>
    <row r="264" spans="1:5" x14ac:dyDescent="0.35">
      <c r="A264" s="72">
        <v>1728</v>
      </c>
      <c r="B264" s="72" t="s">
        <v>50</v>
      </c>
      <c r="C264" s="72">
        <v>10</v>
      </c>
      <c r="D264" s="78">
        <v>20718</v>
      </c>
      <c r="E264" s="78">
        <v>132</v>
      </c>
    </row>
    <row r="265" spans="1:5" x14ac:dyDescent="0.35">
      <c r="A265" s="72">
        <v>755</v>
      </c>
      <c r="B265" s="72" t="s">
        <v>54</v>
      </c>
      <c r="C265" s="72">
        <v>10</v>
      </c>
      <c r="D265" s="78">
        <v>11030</v>
      </c>
      <c r="E265" s="78">
        <v>67.6666666666667</v>
      </c>
    </row>
    <row r="266" spans="1:5" x14ac:dyDescent="0.35">
      <c r="A266" s="72">
        <v>757</v>
      </c>
      <c r="B266" s="72" t="s">
        <v>59</v>
      </c>
      <c r="C266" s="72">
        <v>10</v>
      </c>
      <c r="D266" s="78">
        <v>33129</v>
      </c>
      <c r="E266" s="78">
        <v>432.33333333333297</v>
      </c>
    </row>
    <row r="267" spans="1:5" x14ac:dyDescent="0.35">
      <c r="A267" s="72">
        <v>758</v>
      </c>
      <c r="B267" s="72" t="s">
        <v>60</v>
      </c>
      <c r="C267" s="72">
        <v>10</v>
      </c>
      <c r="D267" s="78">
        <v>184702</v>
      </c>
      <c r="E267" s="78">
        <v>4264.6666666666697</v>
      </c>
    </row>
    <row r="268" spans="1:5" x14ac:dyDescent="0.35">
      <c r="A268" s="72">
        <v>1706</v>
      </c>
      <c r="B268" s="72" t="s">
        <v>71</v>
      </c>
      <c r="C268" s="72">
        <v>10</v>
      </c>
      <c r="D268" s="78">
        <v>20669</v>
      </c>
      <c r="E268" s="78">
        <v>229.333333333333</v>
      </c>
    </row>
    <row r="269" spans="1:5" x14ac:dyDescent="0.35">
      <c r="A269" s="72">
        <v>762</v>
      </c>
      <c r="B269" s="72" t="s">
        <v>83</v>
      </c>
      <c r="C269" s="72">
        <v>10</v>
      </c>
      <c r="D269" s="78">
        <v>32606</v>
      </c>
      <c r="E269" s="78">
        <v>337.66666666666703</v>
      </c>
    </row>
    <row r="270" spans="1:5" x14ac:dyDescent="0.35">
      <c r="A270" s="72">
        <v>766</v>
      </c>
      <c r="B270" s="72" t="s">
        <v>89</v>
      </c>
      <c r="C270" s="72">
        <v>10</v>
      </c>
      <c r="D270" s="78">
        <v>26483</v>
      </c>
      <c r="E270" s="78">
        <v>304.33333333333297</v>
      </c>
    </row>
    <row r="271" spans="1:5" x14ac:dyDescent="0.35">
      <c r="A271" s="72">
        <v>1719</v>
      </c>
      <c r="B271" s="72" t="s">
        <v>92</v>
      </c>
      <c r="C271" s="72">
        <v>10</v>
      </c>
      <c r="D271" s="78">
        <v>27476</v>
      </c>
      <c r="E271" s="78">
        <v>172</v>
      </c>
    </row>
    <row r="272" spans="1:5" x14ac:dyDescent="0.35">
      <c r="A272" s="72">
        <v>770</v>
      </c>
      <c r="B272" s="72" t="s">
        <v>100</v>
      </c>
      <c r="C272" s="72">
        <v>10</v>
      </c>
      <c r="D272" s="78">
        <v>19823</v>
      </c>
      <c r="E272" s="78">
        <v>123.666666666667</v>
      </c>
    </row>
    <row r="273" spans="1:5" x14ac:dyDescent="0.35">
      <c r="A273" s="72">
        <v>772</v>
      </c>
      <c r="B273" s="72" t="s">
        <v>102</v>
      </c>
      <c r="C273" s="72">
        <v>10</v>
      </c>
      <c r="D273" s="78">
        <v>238326</v>
      </c>
      <c r="E273" s="78">
        <v>6424.6666666666697</v>
      </c>
    </row>
    <row r="274" spans="1:5" x14ac:dyDescent="0.35">
      <c r="A274" s="72">
        <v>777</v>
      </c>
      <c r="B274" s="72" t="s">
        <v>109</v>
      </c>
      <c r="C274" s="72">
        <v>10</v>
      </c>
      <c r="D274" s="78">
        <v>44152</v>
      </c>
      <c r="E274" s="78">
        <v>682</v>
      </c>
    </row>
    <row r="275" spans="1:5" x14ac:dyDescent="0.35">
      <c r="A275" s="72">
        <v>779</v>
      </c>
      <c r="B275" s="72" t="s">
        <v>110</v>
      </c>
      <c r="C275" s="72">
        <v>10</v>
      </c>
      <c r="D275" s="78">
        <v>21944</v>
      </c>
      <c r="E275" s="78">
        <v>286.66666666666703</v>
      </c>
    </row>
    <row r="276" spans="1:5" x14ac:dyDescent="0.35">
      <c r="A276" s="72">
        <v>1771</v>
      </c>
      <c r="B276" s="72" t="s">
        <v>111</v>
      </c>
      <c r="C276" s="72">
        <v>10</v>
      </c>
      <c r="D276" s="78">
        <v>40131</v>
      </c>
      <c r="E276" s="78">
        <v>653.66666666666697</v>
      </c>
    </row>
    <row r="277" spans="1:5" x14ac:dyDescent="0.35">
      <c r="A277" s="72">
        <v>1652</v>
      </c>
      <c r="B277" s="72" t="s">
        <v>112</v>
      </c>
      <c r="C277" s="72">
        <v>10</v>
      </c>
      <c r="D277" s="78">
        <v>31040</v>
      </c>
      <c r="E277" s="78">
        <v>360.33333333333297</v>
      </c>
    </row>
    <row r="278" spans="1:5" x14ac:dyDescent="0.35">
      <c r="A278" s="72">
        <v>784</v>
      </c>
      <c r="B278" s="72" t="s">
        <v>114</v>
      </c>
      <c r="C278" s="72">
        <v>10</v>
      </c>
      <c r="D278" s="78">
        <v>26557</v>
      </c>
      <c r="E278" s="78">
        <v>402.33333333333297</v>
      </c>
    </row>
    <row r="279" spans="1:5" x14ac:dyDescent="0.35">
      <c r="A279" s="72">
        <v>785</v>
      </c>
      <c r="B279" s="72" t="s">
        <v>117</v>
      </c>
      <c r="C279" s="72">
        <v>10</v>
      </c>
      <c r="D279" s="78">
        <v>23979</v>
      </c>
      <c r="E279" s="78">
        <v>260</v>
      </c>
    </row>
    <row r="280" spans="1:5" x14ac:dyDescent="0.35">
      <c r="A280" s="72">
        <v>1655</v>
      </c>
      <c r="B280" s="72" t="s">
        <v>128</v>
      </c>
      <c r="C280" s="72">
        <v>10</v>
      </c>
      <c r="D280" s="78">
        <v>30770</v>
      </c>
      <c r="E280" s="78">
        <v>436.66666666666703</v>
      </c>
    </row>
    <row r="281" spans="1:5" x14ac:dyDescent="0.35">
      <c r="A281" s="72">
        <v>1658</v>
      </c>
      <c r="B281" s="72" t="s">
        <v>140</v>
      </c>
      <c r="C281" s="72">
        <v>10</v>
      </c>
      <c r="D281" s="78">
        <v>16470</v>
      </c>
      <c r="E281" s="78">
        <v>100.333333333333</v>
      </c>
    </row>
    <row r="282" spans="1:5" x14ac:dyDescent="0.35">
      <c r="A282" s="72">
        <v>794</v>
      </c>
      <c r="B282" s="72" t="s">
        <v>144</v>
      </c>
      <c r="C282" s="72">
        <v>10</v>
      </c>
      <c r="D282" s="78">
        <v>93476</v>
      </c>
      <c r="E282" s="78">
        <v>2328</v>
      </c>
    </row>
    <row r="283" spans="1:5" x14ac:dyDescent="0.35">
      <c r="A283" s="72">
        <v>797</v>
      </c>
      <c r="B283" s="72" t="s">
        <v>149</v>
      </c>
      <c r="C283" s="72">
        <v>10</v>
      </c>
      <c r="D283" s="78">
        <v>45557</v>
      </c>
      <c r="E283" s="78">
        <v>485</v>
      </c>
    </row>
    <row r="284" spans="1:5" x14ac:dyDescent="0.35">
      <c r="A284" s="72">
        <v>798</v>
      </c>
      <c r="B284" s="72" t="s">
        <v>151</v>
      </c>
      <c r="C284" s="72">
        <v>10</v>
      </c>
      <c r="D284" s="78">
        <v>15810</v>
      </c>
      <c r="E284" s="78">
        <v>118.666666666667</v>
      </c>
    </row>
    <row r="285" spans="1:5" x14ac:dyDescent="0.35">
      <c r="A285" s="72">
        <v>1659</v>
      </c>
      <c r="B285" s="72" t="s">
        <v>171</v>
      </c>
      <c r="C285" s="72">
        <v>10</v>
      </c>
      <c r="D285" s="78">
        <v>22943</v>
      </c>
      <c r="E285" s="78">
        <v>199</v>
      </c>
    </row>
    <row r="286" spans="1:5" x14ac:dyDescent="0.35">
      <c r="A286" s="72">
        <v>1982</v>
      </c>
      <c r="B286" s="72" t="s">
        <v>1302</v>
      </c>
      <c r="C286" s="72">
        <v>10</v>
      </c>
      <c r="D286" s="78">
        <v>90707</v>
      </c>
      <c r="E286" s="78">
        <v>956.66666666666697</v>
      </c>
    </row>
    <row r="287" spans="1:5" x14ac:dyDescent="0.35">
      <c r="A287" s="72">
        <v>809</v>
      </c>
      <c r="B287" s="72" t="s">
        <v>188</v>
      </c>
      <c r="C287" s="72">
        <v>10</v>
      </c>
      <c r="D287" s="78">
        <v>23768</v>
      </c>
      <c r="E287" s="78">
        <v>221.666666666667</v>
      </c>
    </row>
    <row r="288" spans="1:5" x14ac:dyDescent="0.35">
      <c r="A288" s="72">
        <v>1991</v>
      </c>
      <c r="B288" s="72" t="s">
        <v>1301</v>
      </c>
      <c r="C288" s="72">
        <v>10</v>
      </c>
      <c r="D288" s="78">
        <v>58362</v>
      </c>
      <c r="E288" s="78">
        <v>741</v>
      </c>
    </row>
    <row r="289" spans="1:5" x14ac:dyDescent="0.35">
      <c r="A289" s="72">
        <v>1948</v>
      </c>
      <c r="B289" s="72" t="s">
        <v>198</v>
      </c>
      <c r="C289" s="72">
        <v>10</v>
      </c>
      <c r="D289" s="78">
        <v>82613</v>
      </c>
      <c r="E289" s="78">
        <v>788.66666666666697</v>
      </c>
    </row>
    <row r="290" spans="1:5" x14ac:dyDescent="0.35">
      <c r="A290" s="72">
        <v>1709</v>
      </c>
      <c r="B290" s="72" t="s">
        <v>205</v>
      </c>
      <c r="C290" s="72">
        <v>10</v>
      </c>
      <c r="D290" s="78">
        <v>37313</v>
      </c>
      <c r="E290" s="78">
        <v>486</v>
      </c>
    </row>
    <row r="291" spans="1:5" x14ac:dyDescent="0.35">
      <c r="A291" s="72">
        <v>820</v>
      </c>
      <c r="B291" s="72" t="s">
        <v>614</v>
      </c>
      <c r="C291" s="72">
        <v>10</v>
      </c>
      <c r="D291" s="78">
        <v>23826</v>
      </c>
      <c r="E291" s="78">
        <v>300.66666666666703</v>
      </c>
    </row>
    <row r="292" spans="1:5" x14ac:dyDescent="0.35">
      <c r="A292" s="72">
        <v>823</v>
      </c>
      <c r="B292" s="72" t="s">
        <v>225</v>
      </c>
      <c r="C292" s="72">
        <v>10</v>
      </c>
      <c r="D292" s="78">
        <v>19061</v>
      </c>
      <c r="E292" s="78">
        <v>124.666666666667</v>
      </c>
    </row>
    <row r="293" spans="1:5" x14ac:dyDescent="0.35">
      <c r="A293" s="72">
        <v>824</v>
      </c>
      <c r="B293" s="72" t="s">
        <v>226</v>
      </c>
      <c r="C293" s="72">
        <v>10</v>
      </c>
      <c r="D293" s="78">
        <v>32503</v>
      </c>
      <c r="E293" s="78">
        <v>293</v>
      </c>
    </row>
    <row r="294" spans="1:5" x14ac:dyDescent="0.35">
      <c r="A294" s="72">
        <v>826</v>
      </c>
      <c r="B294" s="72" t="s">
        <v>233</v>
      </c>
      <c r="C294" s="72">
        <v>10</v>
      </c>
      <c r="D294" s="78">
        <v>56535</v>
      </c>
      <c r="E294" s="78">
        <v>853</v>
      </c>
    </row>
    <row r="295" spans="1:5" x14ac:dyDescent="0.35">
      <c r="A295" s="72">
        <v>828</v>
      </c>
      <c r="B295" s="72" t="s">
        <v>238</v>
      </c>
      <c r="C295" s="72">
        <v>10</v>
      </c>
      <c r="D295" s="78">
        <v>93307</v>
      </c>
      <c r="E295" s="78">
        <v>1583</v>
      </c>
    </row>
    <row r="296" spans="1:5" x14ac:dyDescent="0.35">
      <c r="A296" s="72">
        <v>1667</v>
      </c>
      <c r="B296" s="72" t="s">
        <v>253</v>
      </c>
      <c r="C296" s="72">
        <v>10</v>
      </c>
      <c r="D296" s="78">
        <v>13271</v>
      </c>
      <c r="E296" s="78">
        <v>81</v>
      </c>
    </row>
    <row r="297" spans="1:5" x14ac:dyDescent="0.35">
      <c r="A297" s="72">
        <v>1674</v>
      </c>
      <c r="B297" s="72" t="s">
        <v>261</v>
      </c>
      <c r="C297" s="72">
        <v>10</v>
      </c>
      <c r="D297" s="78">
        <v>77244</v>
      </c>
      <c r="E297" s="78">
        <v>1798.6666666666699</v>
      </c>
    </row>
    <row r="298" spans="1:5" x14ac:dyDescent="0.35">
      <c r="A298" s="72">
        <v>840</v>
      </c>
      <c r="B298" s="72" t="s">
        <v>264</v>
      </c>
      <c r="C298" s="72">
        <v>10</v>
      </c>
      <c r="D298" s="78">
        <v>23326</v>
      </c>
      <c r="E298" s="78">
        <v>322</v>
      </c>
    </row>
    <row r="299" spans="1:5" x14ac:dyDescent="0.35">
      <c r="A299" s="72">
        <v>796</v>
      </c>
      <c r="B299" s="72" t="s">
        <v>271</v>
      </c>
      <c r="C299" s="72">
        <v>10</v>
      </c>
      <c r="D299" s="78">
        <v>156538</v>
      </c>
      <c r="E299" s="78">
        <v>3320</v>
      </c>
    </row>
    <row r="300" spans="1:5" x14ac:dyDescent="0.35">
      <c r="A300" s="72">
        <v>845</v>
      </c>
      <c r="B300" s="72" t="s">
        <v>274</v>
      </c>
      <c r="C300" s="72">
        <v>10</v>
      </c>
      <c r="D300" s="78">
        <v>29731</v>
      </c>
      <c r="E300" s="78">
        <v>215.333333333333</v>
      </c>
    </row>
    <row r="301" spans="1:5" x14ac:dyDescent="0.35">
      <c r="A301" s="72">
        <v>847</v>
      </c>
      <c r="B301" s="72" t="s">
        <v>280</v>
      </c>
      <c r="C301" s="72">
        <v>10</v>
      </c>
      <c r="D301" s="78">
        <v>19701</v>
      </c>
      <c r="E301" s="78">
        <v>182</v>
      </c>
    </row>
    <row r="302" spans="1:5" x14ac:dyDescent="0.35">
      <c r="A302" s="72">
        <v>848</v>
      </c>
      <c r="B302" s="72" t="s">
        <v>281</v>
      </c>
      <c r="C302" s="72">
        <v>10</v>
      </c>
      <c r="D302" s="78">
        <v>17775</v>
      </c>
      <c r="E302" s="78">
        <v>190</v>
      </c>
    </row>
    <row r="303" spans="1:5" x14ac:dyDescent="0.35">
      <c r="A303" s="72">
        <v>851</v>
      </c>
      <c r="B303" s="72" t="s">
        <v>285</v>
      </c>
      <c r="C303" s="72">
        <v>10</v>
      </c>
      <c r="D303" s="78">
        <v>24333</v>
      </c>
      <c r="E303" s="78">
        <v>320.66666666666703</v>
      </c>
    </row>
    <row r="304" spans="1:5" x14ac:dyDescent="0.35">
      <c r="A304" s="72">
        <v>855</v>
      </c>
      <c r="B304" s="72" t="s">
        <v>296</v>
      </c>
      <c r="C304" s="72">
        <v>10</v>
      </c>
      <c r="D304" s="78">
        <v>224459</v>
      </c>
      <c r="E304" s="78">
        <v>6709.3333333333303</v>
      </c>
    </row>
    <row r="305" spans="1:5" x14ac:dyDescent="0.35">
      <c r="A305" s="72">
        <v>858</v>
      </c>
      <c r="B305" s="72" t="s">
        <v>309</v>
      </c>
      <c r="C305" s="72">
        <v>10</v>
      </c>
      <c r="D305" s="78">
        <v>31236</v>
      </c>
      <c r="E305" s="78">
        <v>491.66666666666703</v>
      </c>
    </row>
    <row r="306" spans="1:5" x14ac:dyDescent="0.35">
      <c r="A306" s="72">
        <v>861</v>
      </c>
      <c r="B306" s="72" t="s">
        <v>313</v>
      </c>
      <c r="C306" s="72">
        <v>10</v>
      </c>
      <c r="D306" s="78">
        <v>45822</v>
      </c>
      <c r="E306" s="78">
        <v>500.33333333333297</v>
      </c>
    </row>
    <row r="307" spans="1:5" x14ac:dyDescent="0.35">
      <c r="A307" s="72">
        <v>865</v>
      </c>
      <c r="B307" s="72" t="s">
        <v>324</v>
      </c>
      <c r="C307" s="72">
        <v>10</v>
      </c>
      <c r="D307" s="78">
        <v>31783</v>
      </c>
      <c r="E307" s="78">
        <v>239</v>
      </c>
    </row>
    <row r="308" spans="1:5" x14ac:dyDescent="0.35">
      <c r="A308" s="72">
        <v>866</v>
      </c>
      <c r="B308" s="72" t="s">
        <v>326</v>
      </c>
      <c r="C308" s="72">
        <v>10</v>
      </c>
      <c r="D308" s="78">
        <v>17626</v>
      </c>
      <c r="E308" s="78">
        <v>200</v>
      </c>
    </row>
    <row r="309" spans="1:5" x14ac:dyDescent="0.35">
      <c r="A309" s="72">
        <v>867</v>
      </c>
      <c r="B309" s="72" t="s">
        <v>327</v>
      </c>
      <c r="C309" s="72">
        <v>10</v>
      </c>
      <c r="D309" s="78">
        <v>49342</v>
      </c>
      <c r="E309" s="78">
        <v>684</v>
      </c>
    </row>
    <row r="310" spans="1:5" x14ac:dyDescent="0.35">
      <c r="A310" s="72">
        <v>873</v>
      </c>
      <c r="B310" s="72" t="s">
        <v>348</v>
      </c>
      <c r="C310" s="72">
        <v>10</v>
      </c>
      <c r="D310" s="78">
        <v>22112</v>
      </c>
      <c r="E310" s="78">
        <v>255.666666666667</v>
      </c>
    </row>
    <row r="311" spans="1:5" x14ac:dyDescent="0.35">
      <c r="A311" s="72">
        <v>879</v>
      </c>
      <c r="B311" s="72" t="s">
        <v>361</v>
      </c>
      <c r="C311" s="72">
        <v>10</v>
      </c>
      <c r="D311" s="78">
        <v>22260</v>
      </c>
      <c r="E311" s="78">
        <v>203</v>
      </c>
    </row>
    <row r="312" spans="1:5" x14ac:dyDescent="0.35">
      <c r="A312" s="72">
        <v>888</v>
      </c>
      <c r="B312" s="72" t="s">
        <v>36</v>
      </c>
      <c r="C312" s="72">
        <v>11</v>
      </c>
      <c r="D312" s="78">
        <v>15817</v>
      </c>
      <c r="E312" s="78">
        <v>240.333333333333</v>
      </c>
    </row>
    <row r="313" spans="1:5" x14ac:dyDescent="0.35">
      <c r="A313" s="72">
        <v>1954</v>
      </c>
      <c r="B313" s="72" t="s">
        <v>37</v>
      </c>
      <c r="C313" s="72">
        <v>11</v>
      </c>
      <c r="D313" s="78">
        <v>35922</v>
      </c>
      <c r="E313" s="78">
        <v>431.66666666666703</v>
      </c>
    </row>
    <row r="314" spans="1:5" x14ac:dyDescent="0.35">
      <c r="A314" s="72">
        <v>889</v>
      </c>
      <c r="B314" s="72" t="s">
        <v>39</v>
      </c>
      <c r="C314" s="72">
        <v>11</v>
      </c>
      <c r="D314" s="78">
        <v>13408</v>
      </c>
      <c r="E314" s="78">
        <v>184.333333333333</v>
      </c>
    </row>
    <row r="315" spans="1:5" x14ac:dyDescent="0.35">
      <c r="A315" s="72">
        <v>893</v>
      </c>
      <c r="B315" s="72" t="s">
        <v>639</v>
      </c>
      <c r="C315" s="72">
        <v>11</v>
      </c>
      <c r="D315" s="78">
        <v>13106</v>
      </c>
      <c r="E315" s="78">
        <v>150.333333333333</v>
      </c>
    </row>
    <row r="316" spans="1:5" x14ac:dyDescent="0.35">
      <c r="A316" s="72">
        <v>899</v>
      </c>
      <c r="B316" s="72" t="s">
        <v>64</v>
      </c>
      <c r="C316" s="72">
        <v>11</v>
      </c>
      <c r="D316" s="78">
        <v>27674</v>
      </c>
      <c r="E316" s="78">
        <v>746.66666666666697</v>
      </c>
    </row>
    <row r="317" spans="1:5" x14ac:dyDescent="0.35">
      <c r="A317" s="72">
        <v>1711</v>
      </c>
      <c r="B317" s="72" t="s">
        <v>96</v>
      </c>
      <c r="C317" s="72">
        <v>11</v>
      </c>
      <c r="D317" s="78">
        <v>31731</v>
      </c>
      <c r="E317" s="78">
        <v>430.33333333333297</v>
      </c>
    </row>
    <row r="318" spans="1:5" x14ac:dyDescent="0.35">
      <c r="A318" s="72">
        <v>1903</v>
      </c>
      <c r="B318" s="72" t="s">
        <v>101</v>
      </c>
      <c r="C318" s="72">
        <v>11</v>
      </c>
      <c r="D318" s="78">
        <v>25857</v>
      </c>
      <c r="E318" s="78">
        <v>214.666666666667</v>
      </c>
    </row>
    <row r="319" spans="1:5" x14ac:dyDescent="0.35">
      <c r="A319" s="72">
        <v>907</v>
      </c>
      <c r="B319" s="72" t="s">
        <v>113</v>
      </c>
      <c r="C319" s="72">
        <v>11</v>
      </c>
      <c r="D319" s="78">
        <v>17237</v>
      </c>
      <c r="E319" s="78">
        <v>239.333333333333</v>
      </c>
    </row>
    <row r="320" spans="1:5" x14ac:dyDescent="0.35">
      <c r="A320" s="72">
        <v>1729</v>
      </c>
      <c r="B320" s="72" t="s">
        <v>123</v>
      </c>
      <c r="C320" s="72">
        <v>11</v>
      </c>
      <c r="D320" s="78">
        <v>14178</v>
      </c>
      <c r="E320" s="78">
        <v>148.333333333333</v>
      </c>
    </row>
    <row r="321" spans="1:5" x14ac:dyDescent="0.35">
      <c r="A321" s="72">
        <v>917</v>
      </c>
      <c r="B321" s="72" t="s">
        <v>139</v>
      </c>
      <c r="C321" s="72">
        <v>11</v>
      </c>
      <c r="D321" s="78">
        <v>86845</v>
      </c>
      <c r="E321" s="78">
        <v>3891</v>
      </c>
    </row>
    <row r="322" spans="1:5" x14ac:dyDescent="0.35">
      <c r="A322" s="72">
        <v>1507</v>
      </c>
      <c r="B322" s="72" t="s">
        <v>158</v>
      </c>
      <c r="C322" s="72">
        <v>11</v>
      </c>
      <c r="D322" s="78">
        <v>43039</v>
      </c>
      <c r="E322" s="78">
        <v>325</v>
      </c>
    </row>
    <row r="323" spans="1:5" x14ac:dyDescent="0.35">
      <c r="A323" s="72">
        <v>928</v>
      </c>
      <c r="B323" s="72" t="s">
        <v>167</v>
      </c>
      <c r="C323" s="72">
        <v>11</v>
      </c>
      <c r="D323" s="78">
        <v>45324</v>
      </c>
      <c r="E323" s="78">
        <v>1519</v>
      </c>
    </row>
    <row r="324" spans="1:5" x14ac:dyDescent="0.35">
      <c r="A324" s="72">
        <v>882</v>
      </c>
      <c r="B324" s="72" t="s">
        <v>173</v>
      </c>
      <c r="C324" s="72">
        <v>11</v>
      </c>
      <c r="D324" s="78">
        <v>37023</v>
      </c>
      <c r="E324" s="78">
        <v>1020</v>
      </c>
    </row>
    <row r="325" spans="1:5" x14ac:dyDescent="0.35">
      <c r="A325" s="72">
        <v>1640</v>
      </c>
      <c r="B325" s="72" t="s">
        <v>183</v>
      </c>
      <c r="C325" s="72">
        <v>11</v>
      </c>
      <c r="D325" s="78">
        <v>35928</v>
      </c>
      <c r="E325" s="78">
        <v>313</v>
      </c>
    </row>
    <row r="326" spans="1:5" x14ac:dyDescent="0.35">
      <c r="A326" s="72">
        <v>1641</v>
      </c>
      <c r="B326" s="72" t="s">
        <v>193</v>
      </c>
      <c r="C326" s="72">
        <v>11</v>
      </c>
      <c r="D326" s="78">
        <v>24028</v>
      </c>
      <c r="E326" s="78">
        <v>245</v>
      </c>
    </row>
    <row r="327" spans="1:5" x14ac:dyDescent="0.35">
      <c r="A327" s="72">
        <v>935</v>
      </c>
      <c r="B327" s="72" t="s">
        <v>195</v>
      </c>
      <c r="C327" s="72">
        <v>11</v>
      </c>
      <c r="D327" s="78">
        <v>121151</v>
      </c>
      <c r="E327" s="78">
        <v>3554</v>
      </c>
    </row>
    <row r="328" spans="1:5" x14ac:dyDescent="0.35">
      <c r="A328" s="72">
        <v>938</v>
      </c>
      <c r="B328" s="72" t="s">
        <v>197</v>
      </c>
      <c r="C328" s="72">
        <v>11</v>
      </c>
      <c r="D328" s="78">
        <v>18581</v>
      </c>
      <c r="E328" s="78">
        <v>210.333333333333</v>
      </c>
    </row>
    <row r="329" spans="1:5" x14ac:dyDescent="0.35">
      <c r="A329" s="72">
        <v>944</v>
      </c>
      <c r="B329" s="72" t="s">
        <v>209</v>
      </c>
      <c r="C329" s="72">
        <v>11</v>
      </c>
      <c r="D329" s="78">
        <v>7989</v>
      </c>
      <c r="E329" s="78">
        <v>85.3333333333333</v>
      </c>
    </row>
    <row r="330" spans="1:5" x14ac:dyDescent="0.35">
      <c r="A330" s="72">
        <v>946</v>
      </c>
      <c r="B330" s="72" t="s">
        <v>211</v>
      </c>
      <c r="C330" s="72">
        <v>11</v>
      </c>
      <c r="D330" s="78">
        <v>17323</v>
      </c>
      <c r="E330" s="78">
        <v>128</v>
      </c>
    </row>
    <row r="331" spans="1:5" x14ac:dyDescent="0.35">
      <c r="A331" s="72">
        <v>1894</v>
      </c>
      <c r="B331" s="72" t="s">
        <v>244</v>
      </c>
      <c r="C331" s="72">
        <v>11</v>
      </c>
      <c r="D331" s="78">
        <v>44278</v>
      </c>
      <c r="E331" s="78">
        <v>361</v>
      </c>
    </row>
    <row r="332" spans="1:5" x14ac:dyDescent="0.35">
      <c r="A332" s="72">
        <v>1669</v>
      </c>
      <c r="B332" s="72" t="s">
        <v>259</v>
      </c>
      <c r="C332" s="72">
        <v>11</v>
      </c>
      <c r="D332" s="78">
        <v>20558</v>
      </c>
      <c r="E332" s="78">
        <v>253</v>
      </c>
    </row>
    <row r="333" spans="1:5" x14ac:dyDescent="0.35">
      <c r="A333" s="72">
        <v>957</v>
      </c>
      <c r="B333" s="72" t="s">
        <v>260</v>
      </c>
      <c r="C333" s="72">
        <v>11</v>
      </c>
      <c r="D333" s="78">
        <v>59184</v>
      </c>
      <c r="E333" s="78">
        <v>1639</v>
      </c>
    </row>
    <row r="334" spans="1:5" x14ac:dyDescent="0.35">
      <c r="A334" s="72">
        <v>965</v>
      </c>
      <c r="B334" s="72" t="s">
        <v>272</v>
      </c>
      <c r="C334" s="72">
        <v>11</v>
      </c>
      <c r="D334" s="78">
        <v>10425</v>
      </c>
      <c r="E334" s="78">
        <v>125.333333333333</v>
      </c>
    </row>
    <row r="335" spans="1:5" x14ac:dyDescent="0.35">
      <c r="A335" s="72">
        <v>1883</v>
      </c>
      <c r="B335" s="72" t="s">
        <v>275</v>
      </c>
      <c r="C335" s="72">
        <v>11</v>
      </c>
      <c r="D335" s="78">
        <v>91719</v>
      </c>
      <c r="E335" s="78">
        <v>2500.3333333333298</v>
      </c>
    </row>
    <row r="336" spans="1:5" x14ac:dyDescent="0.35">
      <c r="A336" s="72">
        <v>971</v>
      </c>
      <c r="B336" s="72" t="s">
        <v>287</v>
      </c>
      <c r="C336" s="72">
        <v>11</v>
      </c>
      <c r="D336" s="78">
        <v>24803</v>
      </c>
      <c r="E336" s="78">
        <v>263.33333333333297</v>
      </c>
    </row>
    <row r="337" spans="1:5" x14ac:dyDescent="0.35">
      <c r="A337" s="72">
        <v>981</v>
      </c>
      <c r="B337" s="72" t="s">
        <v>307</v>
      </c>
      <c r="C337" s="72">
        <v>11</v>
      </c>
      <c r="D337" s="78">
        <v>10135</v>
      </c>
      <c r="E337" s="78">
        <v>278.66666666666703</v>
      </c>
    </row>
    <row r="338" spans="1:5" x14ac:dyDescent="0.35">
      <c r="A338" s="72">
        <v>994</v>
      </c>
      <c r="B338" s="72" t="s">
        <v>308</v>
      </c>
      <c r="C338" s="72">
        <v>11</v>
      </c>
      <c r="D338" s="78">
        <v>16167</v>
      </c>
      <c r="E338" s="78">
        <v>291.33333333333297</v>
      </c>
    </row>
    <row r="339" spans="1:5" x14ac:dyDescent="0.35">
      <c r="A339" s="72">
        <v>983</v>
      </c>
      <c r="B339" s="72" t="s">
        <v>315</v>
      </c>
      <c r="C339" s="72">
        <v>11</v>
      </c>
      <c r="D339" s="78">
        <v>102136</v>
      </c>
      <c r="E339" s="78">
        <v>2810</v>
      </c>
    </row>
    <row r="340" spans="1:5" x14ac:dyDescent="0.35">
      <c r="A340" s="72">
        <v>984</v>
      </c>
      <c r="B340" s="72" t="s">
        <v>316</v>
      </c>
      <c r="C340" s="72">
        <v>11</v>
      </c>
      <c r="D340" s="78">
        <v>43964</v>
      </c>
      <c r="E340" s="78">
        <v>730.66666666666697</v>
      </c>
    </row>
    <row r="341" spans="1:5" x14ac:dyDescent="0.35">
      <c r="A341" s="72">
        <v>986</v>
      </c>
      <c r="B341" s="72" t="s">
        <v>321</v>
      </c>
      <c r="C341" s="72">
        <v>11</v>
      </c>
      <c r="D341" s="78">
        <v>12426</v>
      </c>
      <c r="E341" s="78">
        <v>111</v>
      </c>
    </row>
    <row r="342" spans="1:5" x14ac:dyDescent="0.35">
      <c r="A342" s="72">
        <v>988</v>
      </c>
      <c r="B342" s="72" t="s">
        <v>332</v>
      </c>
      <c r="C342" s="72">
        <v>11</v>
      </c>
      <c r="D342" s="78">
        <v>50346</v>
      </c>
      <c r="E342" s="78">
        <v>845.33333333333303</v>
      </c>
    </row>
    <row r="343" spans="1:5" x14ac:dyDescent="0.35">
      <c r="A343" s="72">
        <v>34</v>
      </c>
      <c r="B343" s="72" t="s">
        <v>19</v>
      </c>
      <c r="C343" s="72">
        <v>12</v>
      </c>
      <c r="D343" s="78">
        <v>217828</v>
      </c>
      <c r="E343" s="78">
        <v>5227.6666666666697</v>
      </c>
    </row>
    <row r="344" spans="1:5" x14ac:dyDescent="0.35">
      <c r="A344" s="72">
        <v>303</v>
      </c>
      <c r="B344" s="72" t="s">
        <v>93</v>
      </c>
      <c r="C344" s="72">
        <v>12</v>
      </c>
      <c r="D344" s="78">
        <v>42865</v>
      </c>
      <c r="E344" s="78">
        <v>588.33333333333303</v>
      </c>
    </row>
    <row r="345" spans="1:5" x14ac:dyDescent="0.35">
      <c r="A345" s="72">
        <v>995</v>
      </c>
      <c r="B345" s="72" t="s">
        <v>182</v>
      </c>
      <c r="C345" s="72">
        <v>12</v>
      </c>
      <c r="D345" s="78">
        <v>81214</v>
      </c>
      <c r="E345" s="78">
        <v>1997.3333333333301</v>
      </c>
    </row>
    <row r="346" spans="1:5" x14ac:dyDescent="0.35">
      <c r="A346" s="72">
        <v>171</v>
      </c>
      <c r="B346" s="72" t="s">
        <v>220</v>
      </c>
      <c r="C346" s="72">
        <v>12</v>
      </c>
      <c r="D346" s="78">
        <v>48048</v>
      </c>
      <c r="E346" s="78">
        <v>825.33333333333303</v>
      </c>
    </row>
    <row r="347" spans="1:5" x14ac:dyDescent="0.35">
      <c r="A347" s="72">
        <v>184</v>
      </c>
      <c r="B347" s="72" t="s">
        <v>304</v>
      </c>
      <c r="C347" s="72">
        <v>12</v>
      </c>
      <c r="D347" s="78">
        <v>21468</v>
      </c>
      <c r="E347" s="78">
        <v>106</v>
      </c>
    </row>
    <row r="348" spans="1:5" x14ac:dyDescent="0.35">
      <c r="A348" s="72">
        <v>50</v>
      </c>
      <c r="B348" s="72" t="s">
        <v>355</v>
      </c>
      <c r="C348" s="72">
        <v>12</v>
      </c>
      <c r="D348" s="78">
        <v>23348</v>
      </c>
      <c r="E348" s="78">
        <v>276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58C0-4288-499F-A7D7-D32D48D6E2C8}">
  <sheetPr codeName="Blad1">
    <tabColor rgb="FF00B050"/>
  </sheetPr>
  <dimension ref="A1:M53"/>
  <sheetViews>
    <sheetView showGridLines="0" zoomScale="70" zoomScaleNormal="70" workbookViewId="0">
      <selection activeCell="G19" sqref="G19"/>
    </sheetView>
  </sheetViews>
  <sheetFormatPr defaultRowHeight="14.5" x14ac:dyDescent="0.35"/>
  <cols>
    <col min="1" max="1" width="42.7265625" customWidth="1"/>
    <col min="2" max="2" width="20.1796875" customWidth="1"/>
    <col min="3" max="12" width="15.81640625" customWidth="1"/>
    <col min="13" max="13" width="173.36328125" hidden="1" customWidth="1"/>
  </cols>
  <sheetData>
    <row r="1" spans="1:13" ht="18.5" x14ac:dyDescent="0.45">
      <c r="A1" s="540" t="s">
        <v>1104</v>
      </c>
      <c r="B1" s="541"/>
      <c r="C1" s="541"/>
      <c r="D1" s="541"/>
      <c r="E1" s="541"/>
      <c r="F1" s="542"/>
      <c r="G1" s="503">
        <f>+Start!B4</f>
        <v>0</v>
      </c>
      <c r="H1" s="504"/>
      <c r="I1" s="504"/>
      <c r="J1" s="504"/>
      <c r="K1" s="413"/>
      <c r="L1" s="413"/>
    </row>
    <row r="3" spans="1:13" ht="15.5" x14ac:dyDescent="0.35">
      <c r="A3" s="480" t="s">
        <v>1332</v>
      </c>
      <c r="B3" s="481">
        <v>2017</v>
      </c>
      <c r="C3" s="481">
        <v>2018</v>
      </c>
      <c r="D3" s="481">
        <v>2019</v>
      </c>
      <c r="E3" s="481">
        <v>2020</v>
      </c>
      <c r="F3" s="481">
        <v>2021</v>
      </c>
      <c r="G3" s="481">
        <v>2022</v>
      </c>
      <c r="H3" s="482">
        <v>2023</v>
      </c>
      <c r="I3" s="483">
        <v>2024</v>
      </c>
      <c r="J3" s="483">
        <v>2025</v>
      </c>
      <c r="K3" s="484">
        <v>2026</v>
      </c>
      <c r="L3" s="484">
        <v>2027</v>
      </c>
    </row>
    <row r="4" spans="1:13" ht="15.5" x14ac:dyDescent="0.35">
      <c r="A4" s="334" t="s">
        <v>1105</v>
      </c>
      <c r="B4" s="335" t="e">
        <f t="shared" ref="B4:J4" si="0">+B19</f>
        <v>#N/A</v>
      </c>
      <c r="C4" s="335" t="e">
        <f t="shared" si="0"/>
        <v>#N/A</v>
      </c>
      <c r="D4" s="335" t="e">
        <f t="shared" si="0"/>
        <v>#N/A</v>
      </c>
      <c r="E4" s="335" t="e">
        <f t="shared" si="0"/>
        <v>#N/A</v>
      </c>
      <c r="F4" s="335" t="e">
        <f t="shared" si="0"/>
        <v>#N/A</v>
      </c>
      <c r="G4" s="335" t="e">
        <f t="shared" si="0"/>
        <v>#N/A</v>
      </c>
      <c r="H4" s="335" t="e">
        <f t="shared" si="0"/>
        <v>#N/A</v>
      </c>
      <c r="I4" s="335" t="e">
        <f t="shared" si="0"/>
        <v>#N/A</v>
      </c>
      <c r="J4" s="335" t="e">
        <f t="shared" si="0"/>
        <v>#N/A</v>
      </c>
      <c r="K4" s="335" t="e">
        <f t="shared" ref="K4:L4" si="1">+K19</f>
        <v>#N/A</v>
      </c>
      <c r="L4" s="335" t="e">
        <f t="shared" si="1"/>
        <v>#N/A</v>
      </c>
    </row>
    <row r="5" spans="1:13" ht="15.5" x14ac:dyDescent="0.35">
      <c r="A5" s="334" t="s">
        <v>1106</v>
      </c>
      <c r="B5" s="335" t="e">
        <f t="shared" ref="B5:J5" si="2">+B39</f>
        <v>#N/A</v>
      </c>
      <c r="C5" s="335" t="e">
        <f t="shared" si="2"/>
        <v>#N/A</v>
      </c>
      <c r="D5" s="335" t="e">
        <f t="shared" si="2"/>
        <v>#N/A</v>
      </c>
      <c r="E5" s="335" t="e">
        <f t="shared" si="2"/>
        <v>#N/A</v>
      </c>
      <c r="F5" s="335" t="e">
        <f t="shared" si="2"/>
        <v>#N/A</v>
      </c>
      <c r="G5" s="335" t="e">
        <f t="shared" si="2"/>
        <v>#N/A</v>
      </c>
      <c r="H5" s="335" t="e">
        <f t="shared" si="2"/>
        <v>#N/A</v>
      </c>
      <c r="I5" s="335" t="e">
        <f t="shared" si="2"/>
        <v>#N/A</v>
      </c>
      <c r="J5" s="335" t="e">
        <f t="shared" si="2"/>
        <v>#N/A</v>
      </c>
      <c r="K5" s="335" t="e">
        <f t="shared" ref="K5:L5" si="3">+K39</f>
        <v>#N/A</v>
      </c>
      <c r="L5" s="335" t="e">
        <f t="shared" si="3"/>
        <v>#N/A</v>
      </c>
    </row>
    <row r="6" spans="1:13" ht="15.5" x14ac:dyDescent="0.35">
      <c r="A6" s="333" t="s">
        <v>379</v>
      </c>
      <c r="B6" s="332" t="e">
        <f t="shared" ref="B6:J6" si="4">SUM(B4:B5)</f>
        <v>#N/A</v>
      </c>
      <c r="C6" s="332" t="e">
        <f t="shared" si="4"/>
        <v>#N/A</v>
      </c>
      <c r="D6" s="332" t="e">
        <f t="shared" si="4"/>
        <v>#N/A</v>
      </c>
      <c r="E6" s="332" t="e">
        <f t="shared" si="4"/>
        <v>#N/A</v>
      </c>
      <c r="F6" s="332" t="e">
        <f t="shared" si="4"/>
        <v>#N/A</v>
      </c>
      <c r="G6" s="332" t="e">
        <f t="shared" si="4"/>
        <v>#N/A</v>
      </c>
      <c r="H6" s="332" t="e">
        <f t="shared" si="4"/>
        <v>#N/A</v>
      </c>
      <c r="I6" s="332" t="e">
        <f t="shared" si="4"/>
        <v>#N/A</v>
      </c>
      <c r="J6" s="332" t="e">
        <f t="shared" si="4"/>
        <v>#N/A</v>
      </c>
      <c r="K6" s="332" t="e">
        <f t="shared" ref="K6:L6" si="5">SUM(K4:K5)</f>
        <v>#N/A</v>
      </c>
      <c r="L6" s="332" t="e">
        <f t="shared" si="5"/>
        <v>#N/A</v>
      </c>
    </row>
    <row r="8" spans="1:13" ht="15.5" x14ac:dyDescent="0.35">
      <c r="A8" s="520" t="s">
        <v>1262</v>
      </c>
      <c r="B8" s="521"/>
      <c r="C8" s="521"/>
      <c r="D8" s="521"/>
      <c r="E8" s="521"/>
      <c r="F8" s="522"/>
      <c r="G8" s="523">
        <f>+Start!B4</f>
        <v>0</v>
      </c>
      <c r="H8" s="524"/>
      <c r="I8" s="524"/>
      <c r="J8" s="524"/>
      <c r="K8" s="414"/>
      <c r="L8" s="414"/>
      <c r="M8" s="1"/>
    </row>
    <row r="10" spans="1:13" s="1" customFormat="1" x14ac:dyDescent="0.35">
      <c r="A10" s="477" t="s">
        <v>1333</v>
      </c>
      <c r="B10" s="478">
        <v>2017</v>
      </c>
      <c r="C10" s="478">
        <v>2018</v>
      </c>
      <c r="D10" s="478">
        <v>2019</v>
      </c>
      <c r="E10" s="478">
        <v>2020</v>
      </c>
      <c r="F10" s="478">
        <v>2021</v>
      </c>
      <c r="G10" s="478">
        <v>2022</v>
      </c>
      <c r="H10" s="478">
        <v>2023</v>
      </c>
      <c r="I10" s="478">
        <v>2024</v>
      </c>
      <c r="J10" s="479">
        <v>2025</v>
      </c>
      <c r="K10" s="478">
        <v>2026</v>
      </c>
      <c r="L10" s="478">
        <v>2027</v>
      </c>
    </row>
    <row r="11" spans="1:13" x14ac:dyDescent="0.35">
      <c r="A11" s="130" t="s">
        <v>2</v>
      </c>
      <c r="B11" s="132" t="e">
        <f t="shared" ref="B11:G11" si="6">MROUND(+B22*B45,1000)</f>
        <v>#N/A</v>
      </c>
      <c r="C11" s="132" t="e">
        <f t="shared" si="6"/>
        <v>#N/A</v>
      </c>
      <c r="D11" s="132" t="e">
        <f t="shared" si="6"/>
        <v>#N/A</v>
      </c>
      <c r="E11" s="132" t="e">
        <f t="shared" si="6"/>
        <v>#N/A</v>
      </c>
      <c r="F11" s="132" t="e">
        <f t="shared" si="6"/>
        <v>#N/A</v>
      </c>
      <c r="G11" s="132" t="e">
        <f t="shared" si="6"/>
        <v>#N/A</v>
      </c>
      <c r="H11" s="531" t="s">
        <v>1331</v>
      </c>
      <c r="I11" s="532"/>
      <c r="J11" s="532"/>
      <c r="K11" s="532"/>
      <c r="L11" s="532"/>
    </row>
    <row r="12" spans="1:13" x14ac:dyDescent="0.35">
      <c r="A12" s="130" t="s">
        <v>1329</v>
      </c>
      <c r="B12" s="132" t="e">
        <f t="shared" ref="B12:L12" si="7">MROUND(+B23*B46,1000)</f>
        <v>#N/A</v>
      </c>
      <c r="C12" s="132" t="e">
        <f t="shared" si="7"/>
        <v>#N/A</v>
      </c>
      <c r="D12" s="132" t="e">
        <f t="shared" si="7"/>
        <v>#N/A</v>
      </c>
      <c r="E12" s="132" t="e">
        <f t="shared" si="7"/>
        <v>#N/A</v>
      </c>
      <c r="F12" s="132" t="e">
        <f t="shared" si="7"/>
        <v>#N/A</v>
      </c>
      <c r="G12" s="132" t="e">
        <f t="shared" si="7"/>
        <v>#N/A</v>
      </c>
      <c r="H12" s="132" t="e">
        <f t="shared" si="7"/>
        <v>#N/A</v>
      </c>
      <c r="I12" s="132" t="e">
        <f t="shared" si="7"/>
        <v>#N/A</v>
      </c>
      <c r="J12" s="417" t="e">
        <f t="shared" si="7"/>
        <v>#N/A</v>
      </c>
      <c r="K12" s="132" t="e">
        <f t="shared" si="7"/>
        <v>#N/A</v>
      </c>
      <c r="L12" s="132" t="e">
        <f t="shared" si="7"/>
        <v>#N/A</v>
      </c>
    </row>
    <row r="13" spans="1:13" x14ac:dyDescent="0.35">
      <c r="A13" s="130" t="s">
        <v>1090</v>
      </c>
      <c r="B13" s="132" t="e">
        <f t="shared" ref="B13:F13" si="8">+B33</f>
        <v>#N/A</v>
      </c>
      <c r="C13" s="132" t="e">
        <f t="shared" si="8"/>
        <v>#N/A</v>
      </c>
      <c r="D13" s="132" t="e">
        <f t="shared" si="8"/>
        <v>#N/A</v>
      </c>
      <c r="E13" s="132" t="e">
        <f t="shared" si="8"/>
        <v>#N/A</v>
      </c>
      <c r="F13" s="533" t="str">
        <f t="shared" si="8"/>
        <v>Deze regeling liep tot en met 2019</v>
      </c>
      <c r="G13" s="534"/>
      <c r="H13" s="534"/>
      <c r="I13" s="534"/>
      <c r="J13" s="534"/>
      <c r="K13" s="534"/>
      <c r="L13" s="546"/>
    </row>
    <row r="14" spans="1:13" x14ac:dyDescent="0.35">
      <c r="A14" s="130" t="s">
        <v>1096</v>
      </c>
      <c r="B14" s="132" t="e">
        <f>MROUND(+$B$26*'Recap circulaires'!$C$3,1000)</f>
        <v>#N/A</v>
      </c>
      <c r="C14" s="132" t="e">
        <f>MROUND(+$C$26*'Recap circulaires'!$D$3,1000)</f>
        <v>#N/A</v>
      </c>
      <c r="D14" s="547" t="s">
        <v>1324</v>
      </c>
      <c r="E14" s="548"/>
      <c r="F14" s="548"/>
      <c r="G14" s="548"/>
      <c r="H14" s="548"/>
      <c r="I14" s="548"/>
      <c r="J14" s="548"/>
      <c r="K14" s="548"/>
      <c r="L14" s="549"/>
      <c r="M14" s="266" t="s">
        <v>1013</v>
      </c>
    </row>
    <row r="15" spans="1:13" s="1" customFormat="1" x14ac:dyDescent="0.35">
      <c r="A15" s="357" t="s">
        <v>1269</v>
      </c>
      <c r="B15" s="485" t="e">
        <f t="shared" ref="B15:L15" si="9">SUM(B11:B14)</f>
        <v>#N/A</v>
      </c>
      <c r="C15" s="485" t="e">
        <f t="shared" si="9"/>
        <v>#N/A</v>
      </c>
      <c r="D15" s="485" t="e">
        <f t="shared" si="9"/>
        <v>#N/A</v>
      </c>
      <c r="E15" s="485" t="e">
        <f t="shared" si="9"/>
        <v>#N/A</v>
      </c>
      <c r="F15" s="485" t="e">
        <f t="shared" si="9"/>
        <v>#N/A</v>
      </c>
      <c r="G15" s="485" t="e">
        <f t="shared" si="9"/>
        <v>#N/A</v>
      </c>
      <c r="H15" s="485" t="e">
        <f t="shared" si="9"/>
        <v>#N/A</v>
      </c>
      <c r="I15" s="485" t="e">
        <f t="shared" si="9"/>
        <v>#N/A</v>
      </c>
      <c r="J15" s="486" t="e">
        <f t="shared" si="9"/>
        <v>#N/A</v>
      </c>
      <c r="K15" s="486" t="e">
        <f t="shared" si="9"/>
        <v>#N/A</v>
      </c>
      <c r="L15" s="486" t="e">
        <f t="shared" si="9"/>
        <v>#N/A</v>
      </c>
    </row>
    <row r="16" spans="1:13" x14ac:dyDescent="0.35">
      <c r="A16" s="130" t="s">
        <v>1097</v>
      </c>
      <c r="B16" s="510" t="s">
        <v>1319</v>
      </c>
      <c r="C16" s="511"/>
      <c r="D16" s="119" t="e">
        <f>MROUND(+$D$26*'Recap circulaires'!E$9*'Recap circulaires'!E$20*1000,1000)</f>
        <v>#N/A</v>
      </c>
      <c r="E16" s="119" t="e">
        <f>MROUND(+$E$26*'Recap circulaires'!F$11*'Recap circulaires'!F$22*1000,1000)</f>
        <v>#N/A</v>
      </c>
      <c r="F16" s="119" t="e">
        <f>MROUND(+$F$26*'Recap circulaires'!G$13*'Recap circulaires'!G$24*1000,1000)</f>
        <v>#N/A</v>
      </c>
      <c r="G16" s="119" t="e">
        <f>MROUND(+$G$26*'Recap circulaires'!H$15*'Recap circulaires'!H$26*1000,1000)</f>
        <v>#N/A</v>
      </c>
      <c r="H16" s="531" t="s">
        <v>1330</v>
      </c>
      <c r="I16" s="532"/>
      <c r="J16" s="532"/>
      <c r="K16" s="532"/>
      <c r="L16" s="532"/>
      <c r="M16" s="130" t="s">
        <v>1306</v>
      </c>
    </row>
    <row r="17" spans="1:13" x14ac:dyDescent="0.35">
      <c r="A17" s="130" t="s">
        <v>1098</v>
      </c>
      <c r="B17" s="512"/>
      <c r="C17" s="513"/>
      <c r="D17" s="119" t="e">
        <f>VLOOKUP(Start!$B$6,'Suppletie 2019'!$B$7:$G$394,6,FALSE)</f>
        <v>#N/A</v>
      </c>
      <c r="E17" s="533" t="s">
        <v>1320</v>
      </c>
      <c r="F17" s="534"/>
      <c r="G17" s="534"/>
      <c r="H17" s="534"/>
      <c r="I17" s="534"/>
      <c r="J17" s="534"/>
      <c r="K17" s="534"/>
      <c r="L17" s="534"/>
    </row>
    <row r="18" spans="1:13" x14ac:dyDescent="0.35">
      <c r="A18" s="357" t="s">
        <v>1095</v>
      </c>
      <c r="B18" s="514"/>
      <c r="C18" s="515"/>
      <c r="D18" s="485" t="e">
        <f t="shared" ref="D18:L18" si="10">SUM(D16:D17)</f>
        <v>#N/A</v>
      </c>
      <c r="E18" s="485" t="e">
        <f t="shared" si="10"/>
        <v>#N/A</v>
      </c>
      <c r="F18" s="485" t="e">
        <f t="shared" si="10"/>
        <v>#N/A</v>
      </c>
      <c r="G18" s="485" t="e">
        <f t="shared" si="10"/>
        <v>#N/A</v>
      </c>
      <c r="H18" s="485">
        <f t="shared" si="10"/>
        <v>0</v>
      </c>
      <c r="I18" s="485">
        <f t="shared" si="10"/>
        <v>0</v>
      </c>
      <c r="J18" s="486">
        <f t="shared" si="10"/>
        <v>0</v>
      </c>
      <c r="K18" s="485">
        <f t="shared" si="10"/>
        <v>0</v>
      </c>
      <c r="L18" s="485">
        <f t="shared" si="10"/>
        <v>0</v>
      </c>
    </row>
    <row r="19" spans="1:13" s="1" customFormat="1" x14ac:dyDescent="0.35">
      <c r="A19" s="357" t="s">
        <v>1094</v>
      </c>
      <c r="B19" s="487" t="e">
        <f>SUM(B15:B16)</f>
        <v>#N/A</v>
      </c>
      <c r="C19" s="487" t="e">
        <f>SUM(C15:C16)</f>
        <v>#N/A</v>
      </c>
      <c r="D19" s="487" t="e">
        <f t="shared" ref="D19:L19" si="11">+D15+D18</f>
        <v>#N/A</v>
      </c>
      <c r="E19" s="487" t="e">
        <f t="shared" si="11"/>
        <v>#N/A</v>
      </c>
      <c r="F19" s="487" t="e">
        <f t="shared" si="11"/>
        <v>#N/A</v>
      </c>
      <c r="G19" s="487" t="e">
        <f t="shared" si="11"/>
        <v>#N/A</v>
      </c>
      <c r="H19" s="487" t="e">
        <f t="shared" si="11"/>
        <v>#N/A</v>
      </c>
      <c r="I19" s="487" t="e">
        <f t="shared" si="11"/>
        <v>#N/A</v>
      </c>
      <c r="J19" s="488" t="e">
        <f t="shared" si="11"/>
        <v>#N/A</v>
      </c>
      <c r="K19" s="487" t="e">
        <f t="shared" si="11"/>
        <v>#N/A</v>
      </c>
      <c r="L19" s="487" t="e">
        <f t="shared" si="11"/>
        <v>#N/A</v>
      </c>
    </row>
    <row r="20" spans="1:13" x14ac:dyDescent="0.35">
      <c r="B20" s="68"/>
    </row>
    <row r="21" spans="1:13" x14ac:dyDescent="0.35">
      <c r="A21" s="477" t="s">
        <v>1259</v>
      </c>
      <c r="B21" s="478">
        <v>2017</v>
      </c>
      <c r="C21" s="478">
        <v>2018</v>
      </c>
      <c r="D21" s="478">
        <v>2019</v>
      </c>
      <c r="E21" s="478">
        <v>2020</v>
      </c>
      <c r="F21" s="478">
        <v>2021</v>
      </c>
      <c r="G21" s="478">
        <v>2022</v>
      </c>
      <c r="H21" s="478">
        <v>2023</v>
      </c>
      <c r="I21" s="478">
        <v>2024</v>
      </c>
      <c r="J21" s="478">
        <v>2025</v>
      </c>
      <c r="K21" s="478">
        <v>2026</v>
      </c>
      <c r="L21" s="478">
        <v>2027</v>
      </c>
      <c r="M21" s="266" t="s">
        <v>1013</v>
      </c>
    </row>
    <row r="22" spans="1:13" x14ac:dyDescent="0.35">
      <c r="A22" s="197" t="s">
        <v>2</v>
      </c>
      <c r="B22" s="200" t="e">
        <f>VLOOKUP(Start!$B$5,'CBS budgetaandelen'!$A$7:$G$370,6,FALSE)</f>
        <v>#N/A</v>
      </c>
      <c r="C22" s="268" t="e">
        <f t="shared" ref="C22:L22" si="12">+B22</f>
        <v>#N/A</v>
      </c>
      <c r="D22" s="268" t="e">
        <f t="shared" si="12"/>
        <v>#N/A</v>
      </c>
      <c r="E22" s="268" t="e">
        <f t="shared" si="12"/>
        <v>#N/A</v>
      </c>
      <c r="F22" s="268" t="e">
        <f t="shared" si="12"/>
        <v>#N/A</v>
      </c>
      <c r="G22" s="268" t="e">
        <f t="shared" si="12"/>
        <v>#N/A</v>
      </c>
      <c r="H22" s="268" t="e">
        <f t="shared" si="12"/>
        <v>#N/A</v>
      </c>
      <c r="I22" s="268" t="e">
        <f t="shared" si="12"/>
        <v>#N/A</v>
      </c>
      <c r="J22" s="268" t="e">
        <f t="shared" si="12"/>
        <v>#N/A</v>
      </c>
      <c r="K22" s="268" t="e">
        <f t="shared" si="12"/>
        <v>#N/A</v>
      </c>
      <c r="L22" s="268" t="e">
        <f t="shared" si="12"/>
        <v>#N/A</v>
      </c>
      <c r="M22" s="516" t="s">
        <v>1295</v>
      </c>
    </row>
    <row r="23" spans="1:13" x14ac:dyDescent="0.35">
      <c r="A23" s="131" t="s">
        <v>990</v>
      </c>
      <c r="B23" s="200" t="e">
        <f>VLOOKUP(Start!$B$5,'CBS budgetaandelen'!$A$7:$G$370,7,FALSE)</f>
        <v>#N/A</v>
      </c>
      <c r="C23" s="200" t="e">
        <f>+B23</f>
        <v>#N/A</v>
      </c>
      <c r="D23" s="199" t="e">
        <f t="shared" ref="D23:K23" si="13">MAX(D25/D46,$C23)</f>
        <v>#N/A</v>
      </c>
      <c r="E23" s="199" t="e">
        <f t="shared" si="13"/>
        <v>#N/A</v>
      </c>
      <c r="F23" s="199" t="e">
        <f t="shared" si="13"/>
        <v>#N/A</v>
      </c>
      <c r="G23" s="199" t="e">
        <f t="shared" si="13"/>
        <v>#N/A</v>
      </c>
      <c r="H23" s="199" t="e">
        <f t="shared" si="13"/>
        <v>#N/A</v>
      </c>
      <c r="I23" s="199" t="e">
        <f t="shared" si="13"/>
        <v>#N/A</v>
      </c>
      <c r="J23" s="199" t="e">
        <f t="shared" si="13"/>
        <v>#N/A</v>
      </c>
      <c r="K23" s="199" t="e">
        <f t="shared" si="13"/>
        <v>#N/A</v>
      </c>
      <c r="L23" s="199" t="e">
        <f t="shared" ref="L23" si="14">MAX(L25/L46,$C23)</f>
        <v>#N/A</v>
      </c>
      <c r="M23" s="516"/>
    </row>
    <row r="24" spans="1:13" x14ac:dyDescent="0.35">
      <c r="A24" s="131"/>
      <c r="B24" s="130"/>
      <c r="C24" s="201"/>
      <c r="D24" s="525" t="s">
        <v>1018</v>
      </c>
      <c r="E24" s="526"/>
      <c r="F24" s="526"/>
      <c r="G24" s="526"/>
      <c r="H24" s="526"/>
      <c r="I24" s="526"/>
      <c r="J24" s="526"/>
      <c r="K24" s="527"/>
      <c r="L24" s="474"/>
      <c r="M24" s="516"/>
    </row>
    <row r="25" spans="1:13" ht="29" x14ac:dyDescent="0.35">
      <c r="A25" s="131" t="s">
        <v>1089</v>
      </c>
      <c r="B25" s="198">
        <v>8500</v>
      </c>
      <c r="C25" s="198">
        <v>8500</v>
      </c>
      <c r="D25" s="85">
        <v>8800</v>
      </c>
      <c r="E25" s="132">
        <v>9000</v>
      </c>
      <c r="F25" s="132">
        <v>7800</v>
      </c>
      <c r="G25" s="132">
        <v>8100</v>
      </c>
      <c r="H25" s="132">
        <v>8100</v>
      </c>
      <c r="I25" s="132">
        <v>8100</v>
      </c>
      <c r="J25" s="132">
        <v>8100</v>
      </c>
      <c r="K25" s="132">
        <v>8100</v>
      </c>
      <c r="L25" s="132">
        <v>8100</v>
      </c>
      <c r="M25" s="445" t="s">
        <v>1282</v>
      </c>
    </row>
    <row r="26" spans="1:13" x14ac:dyDescent="0.35">
      <c r="A26" s="131" t="s">
        <v>992</v>
      </c>
      <c r="B26" s="200" t="e">
        <f>VLOOKUP(Start!$B$6,'Budgetaandelen klassiek'!$A$3:$K$348,8,FALSE)/1000</f>
        <v>#N/A</v>
      </c>
      <c r="C26" s="200" t="e">
        <f>VLOOKUP(Start!$B$6,'Budgetaandelen klassiek'!$A$3:$K$348,9,FALSE)/1000</f>
        <v>#N/A</v>
      </c>
      <c r="D26" s="200" t="e">
        <f>VLOOKUP(Start!$B$6,'Budgetaandelen klassiek'!$A$3:$K$348,11,FALSE)/1000</f>
        <v>#N/A</v>
      </c>
      <c r="E26" s="200" t="e">
        <f>VLOOKUP(Start!$B$6,'Budgetaandelen klassiek'!$A$3:$L$348,12,FALSE)/1000</f>
        <v>#N/A</v>
      </c>
      <c r="F26" s="200" t="e">
        <f>VLOOKUP(Start!$B$6,'Budgetaandelen klassiek'!$A$3:$M$348,13,FALSE)/1000</f>
        <v>#N/A</v>
      </c>
      <c r="G26" s="200" t="e">
        <f>VLOOKUP(Start!$B$6,'Budgetaandelen klassiek'!$A$3:$N$348,14,FALSE)/1000</f>
        <v>#N/A</v>
      </c>
      <c r="H26" s="200"/>
      <c r="I26" s="200"/>
      <c r="J26" s="200"/>
      <c r="K26" s="200"/>
      <c r="L26" s="200"/>
      <c r="M26" s="448" t="s">
        <v>1288</v>
      </c>
    </row>
    <row r="27" spans="1:13" x14ac:dyDescent="0.35">
      <c r="A27" s="131" t="s">
        <v>1040</v>
      </c>
      <c r="B27" s="543"/>
      <c r="C27" s="544"/>
      <c r="D27" s="200" t="e">
        <f>(+D16+D17)/D47</f>
        <v>#N/A</v>
      </c>
      <c r="E27" s="543"/>
      <c r="F27" s="545"/>
      <c r="G27" s="545"/>
      <c r="H27" s="545"/>
      <c r="I27" s="544"/>
      <c r="J27" s="489"/>
      <c r="K27" s="489"/>
      <c r="L27" s="489"/>
      <c r="M27" s="448" t="s">
        <v>1110</v>
      </c>
    </row>
    <row r="28" spans="1:13" s="1" customFormat="1" x14ac:dyDescent="0.35">
      <c r="B28" s="325"/>
      <c r="C28" s="325"/>
      <c r="D28" s="325"/>
      <c r="E28" s="325"/>
      <c r="F28" s="325"/>
      <c r="G28" s="325"/>
      <c r="H28" s="325"/>
      <c r="I28" s="325"/>
      <c r="J28" s="325"/>
      <c r="K28" s="325"/>
      <c r="L28" s="325"/>
    </row>
    <row r="29" spans="1:13" x14ac:dyDescent="0.35">
      <c r="A29" s="477" t="s">
        <v>1263</v>
      </c>
      <c r="B29" s="478">
        <v>2017</v>
      </c>
      <c r="C29" s="478">
        <v>2018</v>
      </c>
      <c r="D29" s="478">
        <v>2019</v>
      </c>
      <c r="E29" s="478">
        <v>2020</v>
      </c>
      <c r="F29" s="478">
        <v>2021</v>
      </c>
      <c r="G29" s="478">
        <v>2022</v>
      </c>
      <c r="H29" s="478">
        <v>2023</v>
      </c>
      <c r="I29" s="478">
        <v>2024</v>
      </c>
      <c r="J29" s="478">
        <v>2025</v>
      </c>
      <c r="K29" s="490">
        <v>2026</v>
      </c>
      <c r="L29" s="490">
        <v>2027</v>
      </c>
      <c r="M29" s="266" t="s">
        <v>1013</v>
      </c>
    </row>
    <row r="30" spans="1:13" x14ac:dyDescent="0.35">
      <c r="A30" s="131" t="s">
        <v>1064</v>
      </c>
      <c r="B30" s="314" t="e">
        <f>VLOOKUP(Start!$B$6,'Taakstelling Nw Beschut'!$A$3:$I$378,3,FALSE)</f>
        <v>#N/A</v>
      </c>
      <c r="C30" s="314" t="e">
        <f>VLOOKUP(Start!$B$6,'Taakstelling Nw Beschut'!$A$3:$I$378,4,FALSE)</f>
        <v>#N/A</v>
      </c>
      <c r="D30" s="314" t="e">
        <f>VLOOKUP(Start!$B$6,'Taakstelling Nw Beschut'!$A$3:$I$378,5,FALSE)</f>
        <v>#N/A</v>
      </c>
      <c r="E30" s="314" t="e">
        <f>VLOOKUP(Start!$B$6,'Taakstelling Nw Beschut'!$A$3:$I$378,6,FALSE)</f>
        <v>#N/A</v>
      </c>
      <c r="F30" s="314" t="e">
        <f>VLOOKUP(Start!$B$6,'Taakstelling Nw Beschut'!$A$3:$I$378,7,FALSE)</f>
        <v>#N/A</v>
      </c>
      <c r="G30" s="314" t="e">
        <f>VLOOKUP(Start!$B$6,'Taakstelling Nw Beschut'!$A$3:$I$378,8,FALSE)</f>
        <v>#N/A</v>
      </c>
      <c r="H30" s="314" t="e">
        <f>VLOOKUP(Start!$B$6,'Taakstelling Nw Beschut'!$A$3:$J$378,9,FALSE)</f>
        <v>#N/A</v>
      </c>
      <c r="I30" s="314" t="e">
        <f>VLOOKUP(Start!$B$6,'Taakstelling Nw Beschut'!$A$3:$K$37855,10,FALSE)</f>
        <v>#N/A</v>
      </c>
      <c r="J30" s="455" t="e">
        <f>VLOOKUP(Start!$B$6,'Taakstelling Nw Beschut'!$A$3:$L$378,11,FALSE)</f>
        <v>#N/A</v>
      </c>
      <c r="K30" s="457"/>
      <c r="L30" s="475"/>
      <c r="M30" s="456" t="s">
        <v>1253</v>
      </c>
    </row>
    <row r="31" spans="1:13" x14ac:dyDescent="0.35">
      <c r="A31" s="131" t="s">
        <v>1081</v>
      </c>
      <c r="B31" s="314" t="e">
        <f>VLOOKUP(Start!$B$4,'Bonus Nw Beschut'!$A$6:$S$391,9,FALSE)</f>
        <v>#N/A</v>
      </c>
      <c r="C31" s="314" t="e">
        <f>VLOOKUP(Start!$B$4,'Bonus Nw Beschut'!$A$6:$S$391,14,FALSE)</f>
        <v>#N/A</v>
      </c>
      <c r="D31" s="314" t="e">
        <f>VLOOKUP(Start!$B$4,'Bonus Nw Beschut'!$A$6:$S$391,18,FALSE)</f>
        <v>#N/A</v>
      </c>
      <c r="E31" s="535" t="s">
        <v>1317</v>
      </c>
      <c r="F31" s="536"/>
      <c r="G31" s="536"/>
      <c r="H31" s="536"/>
      <c r="I31" s="536"/>
      <c r="J31" s="536"/>
      <c r="K31" s="536"/>
      <c r="L31" s="537"/>
      <c r="M31" s="517" t="s">
        <v>1316</v>
      </c>
    </row>
    <row r="32" spans="1:13" x14ac:dyDescent="0.35">
      <c r="A32" s="326" t="s">
        <v>1082</v>
      </c>
      <c r="B32" s="327" t="e">
        <f t="shared" ref="B32:D32" si="15">+B31-B30</f>
        <v>#N/A</v>
      </c>
      <c r="C32" s="327" t="e">
        <f t="shared" si="15"/>
        <v>#N/A</v>
      </c>
      <c r="D32" s="327" t="e">
        <f t="shared" si="15"/>
        <v>#N/A</v>
      </c>
      <c r="E32" s="535"/>
      <c r="F32" s="536"/>
      <c r="G32" s="536"/>
      <c r="H32" s="536"/>
      <c r="I32" s="536"/>
      <c r="J32" s="536"/>
      <c r="K32" s="536"/>
      <c r="L32" s="537"/>
      <c r="M32" s="518"/>
    </row>
    <row r="33" spans="1:13" x14ac:dyDescent="0.35">
      <c r="A33" s="131" t="s">
        <v>1083</v>
      </c>
      <c r="B33" s="317" t="e">
        <f>VLOOKUP(Start!$B$4,'Bonus Nw Beschut'!$A$6:$S$391,4,FALSE)</f>
        <v>#N/A</v>
      </c>
      <c r="C33" s="317" t="e">
        <f>VLOOKUP(Start!$B$4,'Bonus Nw Beschut'!$A$6:$S$391,8,FALSE)</f>
        <v>#N/A</v>
      </c>
      <c r="D33" s="317" t="e">
        <f>VLOOKUP(Start!$B$4,'Bonus Nw Beschut'!$A$6:$S$391,13,FALSE)</f>
        <v>#N/A</v>
      </c>
      <c r="E33" s="317" t="e">
        <f>VLOOKUP(Start!$B$4,'Bonus Nw Beschut'!$A$6:$S$391,17,FALSE)+VLOOKUP(Start!$B$4,'Bonus Nw Beschut'!$A$6:$S$391,19,FALSE)</f>
        <v>#N/A</v>
      </c>
      <c r="F33" s="528" t="s">
        <v>1318</v>
      </c>
      <c r="G33" s="529"/>
      <c r="H33" s="529"/>
      <c r="I33" s="529"/>
      <c r="J33" s="529"/>
      <c r="K33" s="529"/>
      <c r="L33" s="530"/>
      <c r="M33" s="519"/>
    </row>
    <row r="34" spans="1:13" s="1" customFormat="1" x14ac:dyDescent="0.35">
      <c r="B34" s="325"/>
      <c r="C34" s="325"/>
      <c r="D34" s="325"/>
      <c r="E34" s="325"/>
      <c r="F34" s="325"/>
      <c r="G34" s="325"/>
      <c r="H34" s="325"/>
      <c r="I34" s="325"/>
      <c r="J34" s="325"/>
      <c r="K34" s="325"/>
      <c r="L34" s="325"/>
    </row>
    <row r="35" spans="1:13" ht="15.5" x14ac:dyDescent="0.35">
      <c r="A35" s="353" t="s">
        <v>1129</v>
      </c>
      <c r="B35" s="520" t="s">
        <v>1254</v>
      </c>
      <c r="C35" s="521"/>
      <c r="D35" s="521"/>
      <c r="E35" s="521"/>
      <c r="F35" s="522"/>
      <c r="G35" s="523">
        <f>+Start!B4</f>
        <v>0</v>
      </c>
      <c r="H35" s="524"/>
      <c r="I35" s="524"/>
      <c r="J35" s="524"/>
      <c r="K35" s="414"/>
      <c r="L35" s="414"/>
    </row>
    <row r="36" spans="1:13" x14ac:dyDescent="0.35">
      <c r="M36" s="322"/>
    </row>
    <row r="37" spans="1:13" x14ac:dyDescent="0.35">
      <c r="A37" s="491" t="s">
        <v>1334</v>
      </c>
      <c r="B37" s="491">
        <v>2017</v>
      </c>
      <c r="C37" s="491">
        <v>2018</v>
      </c>
      <c r="D37" s="491">
        <v>2019</v>
      </c>
      <c r="E37" s="491">
        <v>2020</v>
      </c>
      <c r="F37" s="491">
        <v>2021</v>
      </c>
      <c r="G37" s="491">
        <v>2022</v>
      </c>
      <c r="H37" s="491">
        <v>2023</v>
      </c>
      <c r="I37" s="478">
        <v>2024</v>
      </c>
      <c r="J37" s="478">
        <v>2025</v>
      </c>
      <c r="K37" s="478">
        <v>2026</v>
      </c>
      <c r="L37" s="478">
        <v>2027</v>
      </c>
      <c r="M37" s="322"/>
    </row>
    <row r="38" spans="1:13" x14ac:dyDescent="0.35">
      <c r="A38" s="130" t="s">
        <v>1009</v>
      </c>
      <c r="B38" s="259" t="e">
        <f>VLOOKUP(Start!$B$6,'P-SW'!$A$1:$AN$367,17,FALSE)</f>
        <v>#N/A</v>
      </c>
      <c r="C38" s="259" t="e">
        <f>VLOOKUP(Start!$B$6,'P-SW'!$A$1:$AN$367,18,FALSE)</f>
        <v>#N/A</v>
      </c>
      <c r="D38" s="259" t="e">
        <f>VLOOKUP(Start!$B$6,'P-SW'!$A$1:$AN$367,19,FALSE)</f>
        <v>#N/A</v>
      </c>
      <c r="E38" s="259" t="e">
        <f>VLOOKUP(Start!$B$6,'P-SW'!$A$1:$AN$367,20,FALSE)</f>
        <v>#N/A</v>
      </c>
      <c r="F38" s="259" t="e">
        <f>VLOOKUP(Start!$B$6,'P-SW'!$A$1:$AN$367,21,FALSE)</f>
        <v>#N/A</v>
      </c>
      <c r="G38" s="259" t="e">
        <f>VLOOKUP(Start!$B$6,'P-SW'!$A$1:$AN$367,22,FALSE)</f>
        <v>#N/A</v>
      </c>
      <c r="H38" s="259" t="e">
        <f>VLOOKUP(Start!$B$6,'P-SW'!$A$1:$AN$367,23,FALSE)</f>
        <v>#N/A</v>
      </c>
      <c r="I38" s="259" t="e">
        <f>VLOOKUP(Start!$B$6,'P-SW'!$A$1:$AN$367,24,FALSE)</f>
        <v>#N/A</v>
      </c>
      <c r="J38" s="259" t="e">
        <f>VLOOKUP(Start!$B$6,'P-SW'!$A$1:$AN$367,25,FALSE)</f>
        <v>#N/A</v>
      </c>
      <c r="K38" s="259" t="e">
        <f>VLOOKUP(Start!$B$6,'P-SW'!$A$1:$AN$367,26,FALSE)</f>
        <v>#N/A</v>
      </c>
      <c r="L38" s="259" t="e">
        <f>VLOOKUP(Start!$B$6,'P-SW'!$A$1:$AN$367,27,FALSE)</f>
        <v>#N/A</v>
      </c>
      <c r="M38" s="322"/>
    </row>
    <row r="39" spans="1:13" x14ac:dyDescent="0.35">
      <c r="A39" s="130" t="s">
        <v>5</v>
      </c>
      <c r="B39" s="260" t="e">
        <f t="shared" ref="B39:E39" si="16">MROUND(+B38*B51,1000)</f>
        <v>#N/A</v>
      </c>
      <c r="C39" s="260" t="e">
        <f t="shared" si="16"/>
        <v>#N/A</v>
      </c>
      <c r="D39" s="260" t="e">
        <f t="shared" si="16"/>
        <v>#N/A</v>
      </c>
      <c r="E39" s="260" t="e">
        <f t="shared" si="16"/>
        <v>#N/A</v>
      </c>
      <c r="F39" s="260" t="e">
        <f t="shared" ref="F39:L39" si="17">MROUND(+F38*F51,1000)</f>
        <v>#N/A</v>
      </c>
      <c r="G39" s="260" t="e">
        <f t="shared" si="17"/>
        <v>#N/A</v>
      </c>
      <c r="H39" s="260" t="e">
        <f t="shared" si="17"/>
        <v>#N/A</v>
      </c>
      <c r="I39" s="260" t="e">
        <f t="shared" si="17"/>
        <v>#N/A</v>
      </c>
      <c r="J39" s="260" t="e">
        <f t="shared" si="17"/>
        <v>#N/A</v>
      </c>
      <c r="K39" s="260" t="e">
        <f t="shared" si="17"/>
        <v>#N/A</v>
      </c>
      <c r="L39" s="260" t="e">
        <f t="shared" si="17"/>
        <v>#N/A</v>
      </c>
      <c r="M39" s="322"/>
    </row>
    <row r="40" spans="1:13" x14ac:dyDescent="0.35">
      <c r="A40" s="130" t="s">
        <v>1011</v>
      </c>
      <c r="B40" s="261" t="e">
        <f t="shared" ref="B40:J40" si="18">+B39/B52</f>
        <v>#N/A</v>
      </c>
      <c r="C40" s="261" t="e">
        <f t="shared" si="18"/>
        <v>#N/A</v>
      </c>
      <c r="D40" s="261" t="e">
        <f t="shared" si="18"/>
        <v>#N/A</v>
      </c>
      <c r="E40" s="261" t="e">
        <f t="shared" si="18"/>
        <v>#N/A</v>
      </c>
      <c r="F40" s="261" t="e">
        <f t="shared" si="18"/>
        <v>#N/A</v>
      </c>
      <c r="G40" s="261" t="e">
        <f t="shared" si="18"/>
        <v>#N/A</v>
      </c>
      <c r="H40" s="261" t="e">
        <f t="shared" si="18"/>
        <v>#N/A</v>
      </c>
      <c r="I40" s="261" t="e">
        <f t="shared" si="18"/>
        <v>#N/A</v>
      </c>
      <c r="J40" s="261" t="e">
        <f t="shared" si="18"/>
        <v>#N/A</v>
      </c>
      <c r="K40" s="261" t="e">
        <f t="shared" ref="K40:L40" si="19">+K39/K52</f>
        <v>#N/A</v>
      </c>
      <c r="L40" s="261" t="e">
        <f t="shared" si="19"/>
        <v>#N/A</v>
      </c>
      <c r="M40" s="322"/>
    </row>
    <row r="41" spans="1:13" ht="13.75" customHeight="1" x14ac:dyDescent="0.35">
      <c r="B41" s="320"/>
      <c r="C41" s="320"/>
      <c r="D41" s="320"/>
      <c r="E41" s="320"/>
      <c r="F41" s="320"/>
      <c r="G41" s="320"/>
      <c r="H41" s="320"/>
      <c r="I41" s="320"/>
      <c r="J41" s="320"/>
      <c r="K41" s="320"/>
      <c r="L41" s="320"/>
      <c r="M41" s="322"/>
    </row>
    <row r="42" spans="1:13" ht="15.5" x14ac:dyDescent="0.35">
      <c r="A42" s="538" t="s">
        <v>1112</v>
      </c>
      <c r="B42" s="539"/>
      <c r="C42" s="539"/>
      <c r="D42" s="539"/>
      <c r="E42" s="539"/>
      <c r="F42" s="539"/>
      <c r="G42" s="539"/>
      <c r="H42" s="539"/>
      <c r="I42" s="539"/>
      <c r="J42" s="539"/>
      <c r="K42" s="539"/>
      <c r="L42" s="539"/>
      <c r="M42" s="321"/>
    </row>
    <row r="44" spans="1:13" x14ac:dyDescent="0.35">
      <c r="A44" s="477" t="s">
        <v>1108</v>
      </c>
      <c r="B44" s="478">
        <v>2017</v>
      </c>
      <c r="C44" s="478">
        <v>2018</v>
      </c>
      <c r="D44" s="478">
        <v>2019</v>
      </c>
      <c r="E44" s="478">
        <v>2020</v>
      </c>
      <c r="F44" s="478">
        <v>2021</v>
      </c>
      <c r="G44" s="478">
        <v>2022</v>
      </c>
      <c r="H44" s="478">
        <v>2023</v>
      </c>
      <c r="I44" s="478">
        <v>2024</v>
      </c>
      <c r="J44" s="478">
        <v>2025</v>
      </c>
      <c r="K44" s="478">
        <v>2026</v>
      </c>
      <c r="L44" s="478">
        <v>2027</v>
      </c>
      <c r="M44" s="266" t="s">
        <v>1013</v>
      </c>
    </row>
    <row r="45" spans="1:13" x14ac:dyDescent="0.35">
      <c r="A45" s="130" t="s">
        <v>2</v>
      </c>
      <c r="B45" s="85">
        <f>+MROUND(29034047.8471598,1000)</f>
        <v>29034000</v>
      </c>
      <c r="C45" s="85">
        <f>+MROUND(39769210.4823205,1000)</f>
        <v>39769000</v>
      </c>
      <c r="D45" s="85">
        <v>50831000</v>
      </c>
      <c r="E45" s="85">
        <v>50310000</v>
      </c>
      <c r="F45" s="85">
        <v>50657000</v>
      </c>
      <c r="G45" s="85">
        <v>55146000</v>
      </c>
      <c r="H45" s="85"/>
      <c r="I45" s="85"/>
      <c r="J45" s="85"/>
      <c r="K45" s="85"/>
      <c r="L45" s="85"/>
      <c r="M45" s="507" t="s">
        <v>1019</v>
      </c>
    </row>
    <row r="46" spans="1:13" x14ac:dyDescent="0.35">
      <c r="A46" s="130" t="s">
        <v>990</v>
      </c>
      <c r="B46" s="132">
        <f>MROUND(60819373.6278318,1000)</f>
        <v>60819000</v>
      </c>
      <c r="C46" s="132">
        <f>MROUND(83356815.2572997,1000)</f>
        <v>83357000</v>
      </c>
      <c r="D46" s="132">
        <v>95628000</v>
      </c>
      <c r="E46" s="132">
        <v>103786000</v>
      </c>
      <c r="F46" s="194">
        <v>106066999.99999999</v>
      </c>
      <c r="G46" s="132">
        <v>122335000</v>
      </c>
      <c r="H46" s="132">
        <v>80236000</v>
      </c>
      <c r="I46" s="132">
        <v>87387000</v>
      </c>
      <c r="J46" s="132">
        <v>94562000</v>
      </c>
      <c r="K46" s="132">
        <v>101795000</v>
      </c>
      <c r="L46" s="132">
        <v>109029000</v>
      </c>
      <c r="M46" s="509"/>
    </row>
    <row r="47" spans="1:13" x14ac:dyDescent="0.35">
      <c r="A47" s="130" t="s">
        <v>1109</v>
      </c>
      <c r="B47" s="85">
        <f>MROUND(+'Recap circulaires'!$C$3,1000)</f>
        <v>522856000</v>
      </c>
      <c r="C47" s="85">
        <f>MROUND(+'Recap circulaires'!$D$3,1000)</f>
        <v>511136000</v>
      </c>
      <c r="D47" s="85">
        <f>MROUND(+'Recap circulaires'!$E$32,1000)</f>
        <v>518005000</v>
      </c>
      <c r="E47" s="85">
        <f>MROUND(+'Recap circulaires'!$F$34,1000)</f>
        <v>541902000</v>
      </c>
      <c r="F47" s="85">
        <f>MROUND(+'Recap circulaires'!$G$36,1000)</f>
        <v>705913000</v>
      </c>
      <c r="G47" s="85">
        <f>MROUND(+'Recap circulaires'!$H$38,1000)</f>
        <v>669324000</v>
      </c>
      <c r="H47" s="85">
        <f>MROUND(+'Recap circulaires'!$I$38,1000)</f>
        <v>0</v>
      </c>
      <c r="I47" s="85">
        <f>MROUND(+'Recap circulaires'!$J$38,1000)</f>
        <v>0</v>
      </c>
      <c r="J47" s="85">
        <f>MROUND(+'Recap circulaires'!$K$38,1000)</f>
        <v>0</v>
      </c>
      <c r="K47" s="85">
        <f>MROUND(+'Recap circulaires'!$L$38,1000)</f>
        <v>0</v>
      </c>
      <c r="L47" s="85">
        <f>MROUND(+'Recap circulaires'!$M$38,1000)</f>
        <v>0</v>
      </c>
      <c r="M47" s="452" t="s">
        <v>1250</v>
      </c>
    </row>
    <row r="48" spans="1:13" x14ac:dyDescent="0.35">
      <c r="B48" s="85"/>
      <c r="C48" s="323"/>
      <c r="D48" s="323"/>
      <c r="E48" s="323"/>
      <c r="F48" s="323"/>
      <c r="G48" s="323"/>
      <c r="H48" s="323"/>
      <c r="I48" s="323"/>
      <c r="J48" s="323"/>
      <c r="K48" s="323"/>
      <c r="L48" s="323"/>
      <c r="M48" s="324"/>
    </row>
    <row r="49" spans="1:13" x14ac:dyDescent="0.35">
      <c r="A49" s="477" t="s">
        <v>1107</v>
      </c>
      <c r="B49" s="478">
        <v>2017</v>
      </c>
      <c r="C49" s="478">
        <v>2018</v>
      </c>
      <c r="D49" s="478">
        <v>2019</v>
      </c>
      <c r="E49" s="478">
        <v>2020</v>
      </c>
      <c r="F49" s="478">
        <v>2021</v>
      </c>
      <c r="G49" s="478">
        <v>2022</v>
      </c>
      <c r="H49" s="478">
        <v>2023</v>
      </c>
      <c r="I49" s="478">
        <v>2024</v>
      </c>
      <c r="J49" s="478">
        <v>2025</v>
      </c>
      <c r="K49" s="478">
        <v>2026</v>
      </c>
      <c r="L49" s="478">
        <v>2027</v>
      </c>
      <c r="M49" s="266" t="s">
        <v>1013</v>
      </c>
    </row>
    <row r="50" spans="1:13" ht="14.4" customHeight="1" x14ac:dyDescent="0.35">
      <c r="A50" s="130" t="s">
        <v>1084</v>
      </c>
      <c r="B50" s="257">
        <f>+'P-SW'!Q9</f>
        <v>80132.491889334357</v>
      </c>
      <c r="C50" s="257">
        <f>+'P-SW'!R9</f>
        <v>76077.434636185237</v>
      </c>
      <c r="D50" s="257">
        <f>+'P-SW'!S9</f>
        <v>71459.556121754897</v>
      </c>
      <c r="E50" s="257">
        <f>+'P-SW'!T9</f>
        <v>66639.844754698992</v>
      </c>
      <c r="F50" s="257">
        <f>+'P-SW'!U9</f>
        <v>62558.108004535039</v>
      </c>
      <c r="G50" s="257">
        <f>+'P-SW'!V9</f>
        <v>58802.856780671289</v>
      </c>
      <c r="H50" s="257">
        <f>+'P-SW'!W9</f>
        <v>55691.776025463012</v>
      </c>
      <c r="I50" s="257">
        <f>+'P-SW'!X9</f>
        <v>52533.525639467603</v>
      </c>
      <c r="J50" s="257">
        <f>+'P-SW'!Y9</f>
        <v>49058.499892361113</v>
      </c>
      <c r="K50" s="257">
        <f>+'P-SW'!Z9</f>
        <v>45639.129625000016</v>
      </c>
      <c r="L50" s="257">
        <f>+'P-SW'!AA9</f>
        <v>42302.605570023145</v>
      </c>
      <c r="M50" s="507" t="s">
        <v>1293</v>
      </c>
    </row>
    <row r="51" spans="1:13" x14ac:dyDescent="0.35">
      <c r="A51" s="130" t="s">
        <v>1010</v>
      </c>
      <c r="B51" s="132">
        <f>'P-SW'!AD8</f>
        <v>25240.381704439074</v>
      </c>
      <c r="C51" s="132">
        <f>'P-SW'!AE8</f>
        <v>25248.428326131008</v>
      </c>
      <c r="D51" s="132">
        <f>'P-SW'!AF8</f>
        <v>25936.195249269967</v>
      </c>
      <c r="E51" s="132">
        <f>'P-SW'!AG8</f>
        <v>29150.51808945011</v>
      </c>
      <c r="F51" s="132">
        <f>'P-SW'!AH8</f>
        <v>29186.928093599574</v>
      </c>
      <c r="G51" s="132">
        <f>'P-SW'!AI8</f>
        <v>30402.961656578052</v>
      </c>
      <c r="H51" s="132">
        <f>'P-SW'!AJ8</f>
        <v>30743.928856159426</v>
      </c>
      <c r="I51" s="132">
        <f>'P-SW'!AK8</f>
        <v>31349.866203586684</v>
      </c>
      <c r="J51" s="132">
        <f>'P-SW'!AL8</f>
        <v>32207.731656426597</v>
      </c>
      <c r="K51" s="132">
        <f>'P-SW'!AM8</f>
        <v>33173.288194581764</v>
      </c>
      <c r="L51" s="132">
        <f>'P-SW'!AN8</f>
        <v>34228.789940685623</v>
      </c>
      <c r="M51" s="508"/>
    </row>
    <row r="52" spans="1:13" x14ac:dyDescent="0.35">
      <c r="A52" s="130" t="s">
        <v>1008</v>
      </c>
      <c r="B52" s="132">
        <f>+'P-SW'!AD9</f>
        <v>2023065000</v>
      </c>
      <c r="C52" s="132">
        <f>+'P-SW'!AE9</f>
        <v>1921328000</v>
      </c>
      <c r="D52" s="132">
        <f>+'P-SW'!AF9</f>
        <v>1853389000</v>
      </c>
      <c r="E52" s="132">
        <f>+'P-SW'!AG9</f>
        <v>1942586000</v>
      </c>
      <c r="F52" s="132">
        <f>+'P-SW'!AH9</f>
        <v>1825879000</v>
      </c>
      <c r="G52" s="132">
        <f>+'P-SW'!AI9</f>
        <v>1787781000</v>
      </c>
      <c r="H52" s="132">
        <f>+'P-SW'!AJ9</f>
        <v>1712184000</v>
      </c>
      <c r="I52" s="132">
        <f>+'P-SW'!AK9</f>
        <v>1646919000</v>
      </c>
      <c r="J52" s="132">
        <f>+'P-SW'!AL9</f>
        <v>1580062999.9999998</v>
      </c>
      <c r="K52" s="132">
        <f>+'P-SW'!AM9</f>
        <v>1514000000</v>
      </c>
      <c r="L52" s="132">
        <f>+'P-SW'!AN9</f>
        <v>1447966999.9999998</v>
      </c>
      <c r="M52" s="509"/>
    </row>
    <row r="53" spans="1:13" x14ac:dyDescent="0.35">
      <c r="B53" s="323"/>
      <c r="C53" s="323"/>
      <c r="D53" s="323"/>
      <c r="E53" s="323"/>
      <c r="F53" s="323"/>
      <c r="G53" s="323"/>
      <c r="H53" s="323"/>
      <c r="I53" s="323"/>
      <c r="J53" s="323"/>
      <c r="K53" s="323"/>
      <c r="L53" s="323"/>
      <c r="M53" s="324"/>
    </row>
  </sheetData>
  <sheetProtection algorithmName="SHA-512" hashValue="VA+8/5rhHbgyAsCOTPGbNkD5eFguapsUHZ517OIA9ANSLdpe4W9TVTXqvZMDkOtect+rlOW4DYMetMZFwfTxTg==" saltValue="nz0DnJDF339bSTENNnMGDQ==" spinCount="100000" sheet="1" objects="1" scenarios="1"/>
  <mergeCells count="22">
    <mergeCell ref="A1:F1"/>
    <mergeCell ref="B27:C27"/>
    <mergeCell ref="E27:I27"/>
    <mergeCell ref="G1:J1"/>
    <mergeCell ref="G8:J8"/>
    <mergeCell ref="A8:F8"/>
    <mergeCell ref="H11:L11"/>
    <mergeCell ref="F13:L13"/>
    <mergeCell ref="D14:L14"/>
    <mergeCell ref="M50:M52"/>
    <mergeCell ref="B16:C18"/>
    <mergeCell ref="M22:M24"/>
    <mergeCell ref="M45:M46"/>
    <mergeCell ref="M31:M33"/>
    <mergeCell ref="B35:F35"/>
    <mergeCell ref="G35:J35"/>
    <mergeCell ref="D24:K24"/>
    <mergeCell ref="F33:L33"/>
    <mergeCell ref="H16:L16"/>
    <mergeCell ref="E17:L17"/>
    <mergeCell ref="E31:L32"/>
    <mergeCell ref="A42:L4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57096-9D76-43C3-9540-833C313E1BB1}">
  <sheetPr codeName="Blad19">
    <tabColor rgb="FF00B050"/>
  </sheetPr>
  <dimension ref="A1:B44"/>
  <sheetViews>
    <sheetView zoomScale="80" zoomScaleNormal="80" workbookViewId="0">
      <selection activeCell="B41" sqref="B41"/>
    </sheetView>
  </sheetViews>
  <sheetFormatPr defaultRowHeight="14.5" outlineLevelRow="1" x14ac:dyDescent="0.35"/>
  <cols>
    <col min="1" max="1" width="71.1796875" style="322" customWidth="1"/>
    <col min="2" max="2" width="128.08984375" style="345" customWidth="1"/>
  </cols>
  <sheetData>
    <row r="1" spans="1:2" ht="15.5" x14ac:dyDescent="0.35">
      <c r="A1" s="349" t="s">
        <v>1140</v>
      </c>
      <c r="B1" s="348" t="s">
        <v>1130</v>
      </c>
    </row>
    <row r="2" spans="1:2" x14ac:dyDescent="0.35">
      <c r="A2" s="350" t="s">
        <v>1174</v>
      </c>
      <c r="B2" s="351"/>
    </row>
    <row r="3" spans="1:2" ht="29" outlineLevel="1" x14ac:dyDescent="0.35">
      <c r="A3" s="346" t="s">
        <v>1156</v>
      </c>
      <c r="B3" s="347" t="s">
        <v>1176</v>
      </c>
    </row>
    <row r="4" spans="1:2" ht="29" outlineLevel="1" x14ac:dyDescent="0.35">
      <c r="A4" s="346" t="s">
        <v>1163</v>
      </c>
      <c r="B4" s="347" t="s">
        <v>1164</v>
      </c>
    </row>
    <row r="5" spans="1:2" ht="58" outlineLevel="1" x14ac:dyDescent="0.35">
      <c r="A5" s="346" t="s">
        <v>1147</v>
      </c>
      <c r="B5" s="265" t="s">
        <v>1177</v>
      </c>
    </row>
    <row r="6" spans="1:2" ht="45" customHeight="1" outlineLevel="1" x14ac:dyDescent="0.35">
      <c r="A6" s="346" t="s">
        <v>1139</v>
      </c>
      <c r="B6" s="265" t="s">
        <v>1175</v>
      </c>
    </row>
    <row r="7" spans="1:2" ht="58" outlineLevel="1" x14ac:dyDescent="0.35">
      <c r="A7" s="346" t="s">
        <v>1131</v>
      </c>
      <c r="B7" s="265" t="s">
        <v>1160</v>
      </c>
    </row>
    <row r="8" spans="1:2" ht="58" outlineLevel="1" x14ac:dyDescent="0.35">
      <c r="A8" s="346" t="s">
        <v>1135</v>
      </c>
      <c r="B8" s="265" t="s">
        <v>1161</v>
      </c>
    </row>
    <row r="9" spans="1:2" x14ac:dyDescent="0.35">
      <c r="A9" s="350" t="s">
        <v>1132</v>
      </c>
      <c r="B9" s="351"/>
    </row>
    <row r="10" spans="1:2" ht="58" outlineLevel="1" x14ac:dyDescent="0.35">
      <c r="A10" s="346" t="s">
        <v>1133</v>
      </c>
      <c r="B10" s="265" t="s">
        <v>1162</v>
      </c>
    </row>
    <row r="11" spans="1:2" ht="43.5" outlineLevel="1" x14ac:dyDescent="0.35">
      <c r="A11" s="346" t="s">
        <v>1134</v>
      </c>
      <c r="B11" s="265" t="s">
        <v>1165</v>
      </c>
    </row>
    <row r="12" spans="1:2" ht="29" outlineLevel="1" x14ac:dyDescent="0.35">
      <c r="A12" s="346" t="s">
        <v>1136</v>
      </c>
      <c r="B12" s="265" t="s">
        <v>1169</v>
      </c>
    </row>
    <row r="13" spans="1:2" ht="29" outlineLevel="1" x14ac:dyDescent="0.35">
      <c r="A13" s="346" t="s">
        <v>1137</v>
      </c>
      <c r="B13" s="347" t="s">
        <v>1164</v>
      </c>
    </row>
    <row r="14" spans="1:2" ht="58" outlineLevel="1" x14ac:dyDescent="0.35">
      <c r="A14" s="346" t="s">
        <v>1138</v>
      </c>
      <c r="B14" s="265" t="s">
        <v>1160</v>
      </c>
    </row>
    <row r="15" spans="1:2" x14ac:dyDescent="0.35">
      <c r="A15" s="350" t="s">
        <v>1179</v>
      </c>
      <c r="B15" s="351"/>
    </row>
    <row r="16" spans="1:2" ht="58" outlineLevel="1" x14ac:dyDescent="0.35">
      <c r="A16" s="346" t="s">
        <v>1166</v>
      </c>
      <c r="B16" s="265" t="s">
        <v>1167</v>
      </c>
    </row>
    <row r="17" spans="1:2" ht="101.5" outlineLevel="1" x14ac:dyDescent="0.35">
      <c r="A17" s="346" t="s">
        <v>1134</v>
      </c>
      <c r="B17" s="265" t="s">
        <v>1168</v>
      </c>
    </row>
    <row r="18" spans="1:2" ht="58" outlineLevel="1" x14ac:dyDescent="0.35">
      <c r="A18" s="346" t="s">
        <v>1136</v>
      </c>
      <c r="B18" s="265" t="s">
        <v>1191</v>
      </c>
    </row>
    <row r="19" spans="1:2" ht="29" outlineLevel="1" x14ac:dyDescent="0.35">
      <c r="A19" s="346" t="s">
        <v>1137</v>
      </c>
      <c r="B19" s="347" t="s">
        <v>1164</v>
      </c>
    </row>
    <row r="20" spans="1:2" ht="72.5" outlineLevel="1" x14ac:dyDescent="0.35">
      <c r="A20" s="346" t="s">
        <v>1138</v>
      </c>
      <c r="B20" s="265" t="s">
        <v>1194</v>
      </c>
    </row>
    <row r="21" spans="1:2" x14ac:dyDescent="0.35">
      <c r="A21" s="350" t="s">
        <v>1178</v>
      </c>
      <c r="B21" s="351"/>
    </row>
    <row r="22" spans="1:2" ht="29" outlineLevel="1" x14ac:dyDescent="0.35">
      <c r="A22" s="346" t="s">
        <v>1159</v>
      </c>
      <c r="B22" s="265" t="s">
        <v>1170</v>
      </c>
    </row>
    <row r="23" spans="1:2" ht="72.5" outlineLevel="1" x14ac:dyDescent="0.35">
      <c r="A23" s="346" t="s">
        <v>1134</v>
      </c>
      <c r="B23" s="265" t="s">
        <v>1171</v>
      </c>
    </row>
    <row r="24" spans="1:2" ht="130.5" outlineLevel="1" x14ac:dyDescent="0.35">
      <c r="A24" s="346" t="s">
        <v>1136</v>
      </c>
      <c r="B24" s="347" t="s">
        <v>1141</v>
      </c>
    </row>
    <row r="25" spans="1:2" ht="29" outlineLevel="1" x14ac:dyDescent="0.35">
      <c r="A25" s="346" t="s">
        <v>1137</v>
      </c>
      <c r="B25" s="347" t="s">
        <v>1164</v>
      </c>
    </row>
    <row r="26" spans="1:2" ht="58" outlineLevel="1" x14ac:dyDescent="0.35">
      <c r="A26" s="346" t="s">
        <v>1138</v>
      </c>
      <c r="B26" s="265" t="s">
        <v>1160</v>
      </c>
    </row>
    <row r="27" spans="1:2" ht="130.5" outlineLevel="1" x14ac:dyDescent="0.35">
      <c r="A27" s="346" t="s">
        <v>1142</v>
      </c>
      <c r="B27" s="265" t="s">
        <v>1173</v>
      </c>
    </row>
    <row r="28" spans="1:2" x14ac:dyDescent="0.35">
      <c r="A28" s="350" t="s">
        <v>1143</v>
      </c>
      <c r="B28" s="351"/>
    </row>
    <row r="29" spans="1:2" ht="58" outlineLevel="1" x14ac:dyDescent="0.35">
      <c r="A29" s="346" t="s">
        <v>1144</v>
      </c>
      <c r="B29" s="265" t="s">
        <v>1182</v>
      </c>
    </row>
    <row r="30" spans="1:2" outlineLevel="1" x14ac:dyDescent="0.35">
      <c r="A30" s="346" t="s">
        <v>1145</v>
      </c>
      <c r="B30" s="265" t="s">
        <v>1183</v>
      </c>
    </row>
    <row r="31" spans="1:2" ht="101.5" outlineLevel="1" x14ac:dyDescent="0.35">
      <c r="A31" s="346" t="s">
        <v>1146</v>
      </c>
      <c r="B31" s="265" t="s">
        <v>1185</v>
      </c>
    </row>
    <row r="32" spans="1:2" ht="43.5" outlineLevel="1" x14ac:dyDescent="0.35">
      <c r="A32" s="346" t="s">
        <v>1149</v>
      </c>
      <c r="B32" s="265" t="s">
        <v>1186</v>
      </c>
    </row>
    <row r="33" spans="1:2" ht="43.5" outlineLevel="1" x14ac:dyDescent="0.35">
      <c r="A33" s="346" t="s">
        <v>1148</v>
      </c>
      <c r="B33" s="265" t="s">
        <v>1184</v>
      </c>
    </row>
    <row r="34" spans="1:2" x14ac:dyDescent="0.35">
      <c r="A34" s="350" t="s">
        <v>1150</v>
      </c>
      <c r="B34" s="352"/>
    </row>
    <row r="35" spans="1:2" ht="101.5" outlineLevel="1" x14ac:dyDescent="0.35">
      <c r="A35" s="346" t="s">
        <v>1152</v>
      </c>
      <c r="B35" s="265" t="s">
        <v>1188</v>
      </c>
    </row>
    <row r="36" spans="1:2" ht="58" outlineLevel="1" x14ac:dyDescent="0.35">
      <c r="A36" s="346" t="s">
        <v>1151</v>
      </c>
      <c r="B36" s="265" t="s">
        <v>1187</v>
      </c>
    </row>
    <row r="37" spans="1:2" ht="43.5" outlineLevel="1" x14ac:dyDescent="0.35">
      <c r="A37" s="346" t="s">
        <v>1153</v>
      </c>
      <c r="B37" s="265" t="s">
        <v>1190</v>
      </c>
    </row>
    <row r="38" spans="1:2" ht="29" outlineLevel="1" x14ac:dyDescent="0.35">
      <c r="A38" s="346" t="s">
        <v>1154</v>
      </c>
      <c r="B38" s="265" t="s">
        <v>1189</v>
      </c>
    </row>
    <row r="39" spans="1:2" x14ac:dyDescent="0.35">
      <c r="A39" s="350" t="s">
        <v>1155</v>
      </c>
      <c r="B39" s="351"/>
    </row>
    <row r="40" spans="1:2" ht="43.5" outlineLevel="1" x14ac:dyDescent="0.35">
      <c r="A40" s="346" t="s">
        <v>1158</v>
      </c>
      <c r="B40" s="265" t="s">
        <v>1157</v>
      </c>
    </row>
    <row r="41" spans="1:2" ht="101.5" outlineLevel="1" x14ac:dyDescent="0.35">
      <c r="A41" s="346" t="s">
        <v>1134</v>
      </c>
      <c r="B41" s="346" t="s">
        <v>1195</v>
      </c>
    </row>
    <row r="42" spans="1:2" ht="116" outlineLevel="1" x14ac:dyDescent="0.35">
      <c r="A42" s="346" t="s">
        <v>1136</v>
      </c>
      <c r="B42" s="346" t="s">
        <v>1192</v>
      </c>
    </row>
    <row r="43" spans="1:2" ht="29" outlineLevel="1" x14ac:dyDescent="0.35">
      <c r="A43" s="346" t="s">
        <v>1137</v>
      </c>
      <c r="B43" s="347" t="s">
        <v>1164</v>
      </c>
    </row>
    <row r="44" spans="1:2" ht="58" outlineLevel="1" x14ac:dyDescent="0.35">
      <c r="A44" s="346" t="s">
        <v>1138</v>
      </c>
      <c r="B44" s="265" t="s">
        <v>1193</v>
      </c>
    </row>
  </sheetData>
  <sheetProtection algorithmName="SHA-512" hashValue="8lmyubygAZ4ECIV45WgHCljfG9n797tTbYfhJx0Ek1A+t//79ORKSkV5Utnev+zL5cqLx4u8c9ON8BkUsPfImw==" saltValue="spjFn7XuIHRm1s/nH5wziQ=="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47526-43CC-40C1-A96F-280E3FE6464D}">
  <sheetPr codeName="Blad14">
    <tabColor rgb="FFFF0000"/>
  </sheetPr>
  <dimension ref="A1:AMP395"/>
  <sheetViews>
    <sheetView workbookViewId="0">
      <pane xSplit="2" ySplit="6" topLeftCell="AF7" activePane="bottomRight" state="frozen"/>
      <selection activeCell="G31" sqref="G31"/>
      <selection pane="topRight" activeCell="G31" sqref="G31"/>
      <selection pane="bottomLeft" activeCell="G31" sqref="G31"/>
      <selection pane="bottomRight" activeCell="AI11" sqref="AI11"/>
    </sheetView>
  </sheetViews>
  <sheetFormatPr defaultRowHeight="14.5" x14ac:dyDescent="0.35"/>
  <cols>
    <col min="1" max="1" width="8.54296875" style="219" customWidth="1"/>
    <col min="2" max="2" width="27.36328125" style="206" customWidth="1"/>
    <col min="3" max="4" width="19.1796875" style="205" customWidth="1"/>
    <col min="5" max="10" width="14.08984375" style="206" customWidth="1"/>
    <col min="11" max="11" width="14.81640625" style="206" bestFit="1" customWidth="1"/>
    <col min="12" max="16" width="11" style="206" customWidth="1"/>
    <col min="17" max="17" width="12.1796875" style="275" customWidth="1"/>
    <col min="18" max="18" width="12.08984375" style="275" customWidth="1"/>
    <col min="19" max="21" width="14.08984375" style="275" customWidth="1"/>
    <col min="22" max="27" width="11" style="275" customWidth="1"/>
    <col min="28" max="28" width="9.453125" style="206" customWidth="1"/>
    <col min="29" max="34" width="27.36328125" style="206" customWidth="1"/>
    <col min="35" max="35" width="16.54296875" style="206" customWidth="1"/>
    <col min="36" max="40" width="16.1796875" style="206" customWidth="1"/>
    <col min="41" max="42" width="14.54296875" style="206" bestFit="1" customWidth="1"/>
    <col min="43" max="1030" width="9.453125" style="206" customWidth="1"/>
  </cols>
  <sheetData>
    <row r="1" spans="1:1030" s="3" customFormat="1" ht="13" x14ac:dyDescent="0.3">
      <c r="C1" s="258">
        <v>3</v>
      </c>
      <c r="D1" s="258">
        <f>+C1+1</f>
        <v>4</v>
      </c>
      <c r="E1" s="258">
        <f t="shared" ref="E1:P1" si="0">+D1+1</f>
        <v>5</v>
      </c>
      <c r="F1" s="258">
        <f t="shared" si="0"/>
        <v>6</v>
      </c>
      <c r="G1" s="258">
        <f t="shared" si="0"/>
        <v>7</v>
      </c>
      <c r="H1" s="258">
        <f t="shared" si="0"/>
        <v>8</v>
      </c>
      <c r="I1" s="258">
        <f t="shared" si="0"/>
        <v>9</v>
      </c>
      <c r="J1" s="258">
        <f t="shared" si="0"/>
        <v>10</v>
      </c>
      <c r="K1" s="258">
        <f t="shared" si="0"/>
        <v>11</v>
      </c>
      <c r="L1" s="258">
        <f t="shared" si="0"/>
        <v>12</v>
      </c>
      <c r="M1" s="258">
        <f t="shared" si="0"/>
        <v>13</v>
      </c>
      <c r="N1" s="258">
        <f t="shared" si="0"/>
        <v>14</v>
      </c>
      <c r="O1" s="258">
        <f t="shared" si="0"/>
        <v>15</v>
      </c>
      <c r="P1" s="258">
        <f t="shared" si="0"/>
        <v>16</v>
      </c>
      <c r="Q1" s="258">
        <f t="shared" ref="Q1" si="1">+P1+1</f>
        <v>17</v>
      </c>
      <c r="R1" s="258">
        <f t="shared" ref="R1" si="2">+Q1+1</f>
        <v>18</v>
      </c>
      <c r="S1" s="258">
        <f t="shared" ref="S1" si="3">+R1+1</f>
        <v>19</v>
      </c>
      <c r="T1" s="258">
        <v>20</v>
      </c>
      <c r="U1" s="258">
        <v>21</v>
      </c>
      <c r="V1" s="258">
        <v>22</v>
      </c>
      <c r="W1" s="258">
        <v>23</v>
      </c>
      <c r="X1" s="258">
        <v>24</v>
      </c>
      <c r="Y1" s="258">
        <v>25</v>
      </c>
      <c r="Z1" s="258">
        <v>26</v>
      </c>
      <c r="AA1" s="258">
        <v>27</v>
      </c>
      <c r="AB1" s="258">
        <f t="shared" ref="AB1" si="4">+AA1+1</f>
        <v>28</v>
      </c>
      <c r="AC1" s="258">
        <f t="shared" ref="AC1" si="5">+AB1+1</f>
        <v>29</v>
      </c>
      <c r="AD1" s="258">
        <f t="shared" ref="AD1" si="6">+AC1+1</f>
        <v>30</v>
      </c>
      <c r="AE1" s="258">
        <f t="shared" ref="AE1" si="7">+AD1+1</f>
        <v>31</v>
      </c>
      <c r="AF1" s="258">
        <f t="shared" ref="AF1" si="8">+AE1+1</f>
        <v>32</v>
      </c>
      <c r="AG1" s="258">
        <v>32</v>
      </c>
      <c r="AH1" s="258"/>
      <c r="AI1" s="258">
        <v>33</v>
      </c>
      <c r="AJ1" s="258">
        <f>+AI1+1</f>
        <v>34</v>
      </c>
      <c r="AK1" s="258">
        <f t="shared" ref="AK1" si="9">+AJ1+1</f>
        <v>35</v>
      </c>
      <c r="AL1" s="258">
        <f t="shared" ref="AL1" si="10">+AK1+1</f>
        <v>36</v>
      </c>
      <c r="AM1" s="258">
        <f t="shared" ref="AM1" si="11">+AL1+1</f>
        <v>37</v>
      </c>
      <c r="AN1" s="258">
        <f t="shared" ref="AN1" si="12">+AM1+1</f>
        <v>38</v>
      </c>
    </row>
    <row r="2" spans="1:1030" s="3" customFormat="1" ht="13.75" customHeight="1" x14ac:dyDescent="0.3">
      <c r="C2" s="553" t="s">
        <v>995</v>
      </c>
      <c r="D2" s="553"/>
      <c r="E2" s="554" t="s">
        <v>996</v>
      </c>
      <c r="F2" s="554"/>
      <c r="G2" s="554"/>
      <c r="H2" s="554"/>
      <c r="I2" s="554"/>
      <c r="J2" s="554"/>
      <c r="K2" s="555" t="s">
        <v>997</v>
      </c>
      <c r="L2" s="555"/>
      <c r="M2" s="555"/>
      <c r="N2" s="555"/>
      <c r="O2" s="555"/>
      <c r="P2" s="554"/>
      <c r="Q2" s="561" t="s">
        <v>998</v>
      </c>
      <c r="R2" s="561"/>
      <c r="S2" s="561"/>
      <c r="T2" s="561"/>
      <c r="U2" s="561"/>
      <c r="V2" s="561"/>
      <c r="W2" s="561"/>
      <c r="X2" s="561"/>
      <c r="Y2" s="561"/>
      <c r="Z2" s="561"/>
      <c r="AA2" s="561"/>
      <c r="AC2" s="2"/>
      <c r="AD2" s="2"/>
      <c r="AE2" s="2"/>
      <c r="AF2" s="2"/>
      <c r="AG2" s="2"/>
      <c r="AH2" s="2"/>
    </row>
    <row r="3" spans="1:1030" s="3" customFormat="1" ht="15.5" x14ac:dyDescent="0.35">
      <c r="B3" s="404" t="s">
        <v>1326</v>
      </c>
      <c r="C3" s="207" t="s">
        <v>999</v>
      </c>
      <c r="D3" s="208"/>
      <c r="E3" s="556" t="s">
        <v>999</v>
      </c>
      <c r="F3" s="556"/>
      <c r="G3" s="556"/>
      <c r="H3" s="556"/>
      <c r="I3" s="556"/>
      <c r="J3" s="556"/>
      <c r="K3" s="209"/>
      <c r="L3" s="210"/>
      <c r="M3" s="210"/>
      <c r="N3" s="210"/>
      <c r="O3" s="210"/>
      <c r="P3" s="210"/>
      <c r="Q3" s="562" t="s">
        <v>1053</v>
      </c>
      <c r="R3" s="563"/>
      <c r="S3" s="568" t="s">
        <v>1252</v>
      </c>
      <c r="T3" s="568" t="s">
        <v>1294</v>
      </c>
      <c r="U3" s="568" t="s">
        <v>1327</v>
      </c>
      <c r="V3" s="557" t="s">
        <v>1000</v>
      </c>
      <c r="W3" s="557"/>
      <c r="X3" s="557"/>
      <c r="Y3" s="557"/>
      <c r="Z3" s="557"/>
      <c r="AA3" s="557"/>
      <c r="AC3" s="5" t="s">
        <v>1321</v>
      </c>
      <c r="AD3" s="5"/>
      <c r="AE3" s="5"/>
      <c r="AF3" s="5"/>
      <c r="AG3" s="5"/>
      <c r="AH3" s="5"/>
      <c r="AI3" s="571"/>
      <c r="AJ3" s="571"/>
      <c r="AK3" s="571"/>
      <c r="AL3" s="571"/>
      <c r="AM3" s="571"/>
      <c r="AN3" s="571"/>
    </row>
    <row r="4" spans="1:1030" s="3" customFormat="1" ht="26" x14ac:dyDescent="0.3">
      <c r="B4" s="5" t="s">
        <v>1321</v>
      </c>
      <c r="C4" s="211" t="s">
        <v>1001</v>
      </c>
      <c r="D4" s="212" t="s">
        <v>1002</v>
      </c>
      <c r="E4" s="559" t="s">
        <v>1003</v>
      </c>
      <c r="F4" s="559"/>
      <c r="G4" s="559"/>
      <c r="H4" s="559"/>
      <c r="I4" s="559"/>
      <c r="J4" s="559"/>
      <c r="K4" s="559" t="s">
        <v>1004</v>
      </c>
      <c r="L4" s="559"/>
      <c r="M4" s="559"/>
      <c r="N4" s="559"/>
      <c r="O4" s="559"/>
      <c r="P4" s="560"/>
      <c r="Q4" s="564"/>
      <c r="R4" s="565"/>
      <c r="S4" s="569"/>
      <c r="T4" s="569"/>
      <c r="U4" s="569"/>
      <c r="V4" s="558"/>
      <c r="W4" s="558"/>
      <c r="X4" s="558"/>
      <c r="Y4" s="558"/>
      <c r="Z4" s="558"/>
      <c r="AA4" s="558"/>
      <c r="AC4" s="88"/>
      <c r="AD4" s="88"/>
      <c r="AE4" s="88"/>
      <c r="AF4" s="88"/>
      <c r="AG4" s="453" t="s">
        <v>1307</v>
      </c>
      <c r="AH4" s="453"/>
      <c r="AI4" s="454">
        <f t="shared" ref="AI4:AN4" si="13">SUM(AI10:AI344)</f>
        <v>1787781000.0000014</v>
      </c>
      <c r="AJ4" s="454">
        <f t="shared" si="13"/>
        <v>1712184000</v>
      </c>
      <c r="AK4" s="454">
        <f t="shared" si="13"/>
        <v>1646918999.999999</v>
      </c>
      <c r="AL4" s="454">
        <f t="shared" si="13"/>
        <v>1580062999.9999995</v>
      </c>
      <c r="AM4" s="454">
        <f t="shared" si="13"/>
        <v>1514000000.0000002</v>
      </c>
      <c r="AN4" s="454">
        <f t="shared" si="13"/>
        <v>1447967000.0000007</v>
      </c>
    </row>
    <row r="5" spans="1:1030" s="3" customFormat="1" ht="13" x14ac:dyDescent="0.3">
      <c r="B5" s="88"/>
      <c r="C5" s="213"/>
      <c r="D5" s="214"/>
      <c r="E5" s="215"/>
      <c r="F5" s="214"/>
      <c r="G5" s="214"/>
      <c r="H5" s="214"/>
      <c r="I5" s="214"/>
      <c r="J5" s="216"/>
      <c r="K5" s="217"/>
      <c r="L5" s="218"/>
      <c r="M5" s="218"/>
      <c r="N5" s="218"/>
      <c r="O5" s="218"/>
      <c r="P5" s="218"/>
      <c r="Q5" s="566"/>
      <c r="R5" s="567"/>
      <c r="S5" s="570"/>
      <c r="T5" s="570"/>
      <c r="U5" s="570"/>
      <c r="V5" s="558"/>
      <c r="W5" s="558"/>
      <c r="X5" s="558"/>
      <c r="Y5" s="558"/>
      <c r="Z5" s="558"/>
      <c r="AA5" s="558"/>
      <c r="AC5" s="206"/>
      <c r="AD5" s="206"/>
      <c r="AE5" s="206"/>
      <c r="AF5" s="206"/>
      <c r="AG5" s="206"/>
      <c r="AH5" s="206"/>
      <c r="AI5" s="550" t="s">
        <v>1328</v>
      </c>
      <c r="AJ5" s="551"/>
      <c r="AK5" s="551"/>
      <c r="AL5" s="551"/>
      <c r="AM5" s="551"/>
      <c r="AN5" s="552"/>
    </row>
    <row r="6" spans="1:1030" x14ac:dyDescent="0.35">
      <c r="A6" s="220" t="s">
        <v>8</v>
      </c>
      <c r="B6" s="221" t="s">
        <v>9</v>
      </c>
      <c r="C6" s="222">
        <v>2021</v>
      </c>
      <c r="D6" s="223">
        <v>2021</v>
      </c>
      <c r="E6" s="224">
        <v>2022</v>
      </c>
      <c r="F6" s="225">
        <f>E6+1</f>
        <v>2023</v>
      </c>
      <c r="G6" s="225">
        <f>F6+1</f>
        <v>2024</v>
      </c>
      <c r="H6" s="225">
        <f>G6+1</f>
        <v>2025</v>
      </c>
      <c r="I6" s="225">
        <f>H6+1</f>
        <v>2026</v>
      </c>
      <c r="J6" s="223">
        <f>I6+1</f>
        <v>2027</v>
      </c>
      <c r="K6" s="224">
        <f t="shared" ref="K6:P6" si="14">E6</f>
        <v>2022</v>
      </c>
      <c r="L6" s="225">
        <f t="shared" si="14"/>
        <v>2023</v>
      </c>
      <c r="M6" s="225">
        <f t="shared" si="14"/>
        <v>2024</v>
      </c>
      <c r="N6" s="225">
        <f t="shared" si="14"/>
        <v>2025</v>
      </c>
      <c r="O6" s="225">
        <f t="shared" si="14"/>
        <v>2026</v>
      </c>
      <c r="P6" s="223">
        <f t="shared" si="14"/>
        <v>2027</v>
      </c>
      <c r="Q6" s="270">
        <v>2017</v>
      </c>
      <c r="R6" s="270">
        <v>2018</v>
      </c>
      <c r="S6" s="270">
        <v>2019</v>
      </c>
      <c r="T6" s="270">
        <v>2020</v>
      </c>
      <c r="U6" s="270">
        <v>2021</v>
      </c>
      <c r="V6" s="269">
        <v>2022</v>
      </c>
      <c r="W6" s="269">
        <v>2023</v>
      </c>
      <c r="X6" s="269">
        <v>2024</v>
      </c>
      <c r="Y6" s="269">
        <v>2025</v>
      </c>
      <c r="Z6" s="269">
        <v>2026</v>
      </c>
      <c r="AA6" s="269">
        <v>2027</v>
      </c>
      <c r="AB6" s="220" t="s">
        <v>8</v>
      </c>
      <c r="AC6" s="221" t="s">
        <v>9</v>
      </c>
      <c r="AD6" s="225">
        <v>2017</v>
      </c>
      <c r="AE6" s="225">
        <v>2018</v>
      </c>
      <c r="AF6" s="225">
        <v>2019</v>
      </c>
      <c r="AG6" s="378">
        <v>2020</v>
      </c>
      <c r="AH6" s="378">
        <v>2021</v>
      </c>
      <c r="AI6" s="378">
        <v>2022</v>
      </c>
      <c r="AJ6" s="378">
        <v>2023</v>
      </c>
      <c r="AK6" s="378">
        <v>2024</v>
      </c>
      <c r="AL6" s="378">
        <v>2025</v>
      </c>
      <c r="AM6" s="378">
        <v>2026</v>
      </c>
      <c r="AN6" s="379">
        <v>2027</v>
      </c>
    </row>
    <row r="7" spans="1:1030" s="281" customFormat="1" x14ac:dyDescent="0.35">
      <c r="A7" s="277"/>
      <c r="B7" s="278" t="s">
        <v>1005</v>
      </c>
      <c r="C7" s="279"/>
      <c r="D7" s="271"/>
      <c r="E7" s="269"/>
      <c r="F7" s="270"/>
      <c r="G7" s="270"/>
      <c r="H7" s="270"/>
      <c r="I7" s="270"/>
      <c r="J7" s="271"/>
      <c r="K7" s="269"/>
      <c r="L7" s="270"/>
      <c r="M7" s="270"/>
      <c r="N7" s="270"/>
      <c r="O7" s="270"/>
      <c r="P7" s="271"/>
      <c r="Q7" s="270"/>
      <c r="R7" s="270"/>
      <c r="S7" s="270"/>
      <c r="T7" s="270"/>
      <c r="U7" s="270"/>
      <c r="V7" s="270"/>
      <c r="W7" s="270"/>
      <c r="X7" s="270"/>
      <c r="Y7" s="270"/>
      <c r="Z7" s="270"/>
      <c r="AA7" s="270"/>
      <c r="AB7" s="277"/>
      <c r="AC7" s="278"/>
      <c r="AD7" s="309"/>
      <c r="AE7" s="309"/>
      <c r="AF7" s="280"/>
      <c r="AG7" s="280"/>
      <c r="AH7" s="280"/>
      <c r="AI7" s="280"/>
      <c r="AJ7" s="280"/>
      <c r="AK7" s="280"/>
      <c r="AL7" s="280"/>
      <c r="AM7" s="280"/>
      <c r="AN7" s="280"/>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275"/>
      <c r="CF7" s="275"/>
      <c r="CG7" s="275"/>
      <c r="CH7" s="275"/>
      <c r="CI7" s="275"/>
      <c r="CJ7" s="275"/>
      <c r="CK7" s="275"/>
      <c r="CL7" s="275"/>
      <c r="CM7" s="275"/>
      <c r="CN7" s="275"/>
      <c r="CO7" s="275"/>
      <c r="CP7" s="275"/>
      <c r="CQ7" s="275"/>
      <c r="CR7" s="275"/>
      <c r="CS7" s="275"/>
      <c r="CT7" s="275"/>
      <c r="CU7" s="275"/>
      <c r="CV7" s="275"/>
      <c r="CW7" s="275"/>
      <c r="CX7" s="275"/>
      <c r="CY7" s="275"/>
      <c r="CZ7" s="275"/>
      <c r="DA7" s="275"/>
      <c r="DB7" s="275"/>
      <c r="DC7" s="275"/>
      <c r="DD7" s="275"/>
      <c r="DE7" s="275"/>
      <c r="DF7" s="275"/>
      <c r="DG7" s="275"/>
      <c r="DH7" s="275"/>
      <c r="DI7" s="275"/>
      <c r="DJ7" s="275"/>
      <c r="DK7" s="275"/>
      <c r="DL7" s="275"/>
      <c r="DM7" s="275"/>
      <c r="DN7" s="275"/>
      <c r="DO7" s="275"/>
      <c r="DP7" s="275"/>
      <c r="DQ7" s="275"/>
      <c r="DR7" s="275"/>
      <c r="DS7" s="275"/>
      <c r="DT7" s="275"/>
      <c r="DU7" s="275"/>
      <c r="DV7" s="275"/>
      <c r="DW7" s="275"/>
      <c r="DX7" s="275"/>
      <c r="DY7" s="275"/>
      <c r="DZ7" s="275"/>
      <c r="EA7" s="275"/>
      <c r="EB7" s="275"/>
      <c r="EC7" s="275"/>
      <c r="ED7" s="275"/>
      <c r="EE7" s="275"/>
      <c r="EF7" s="275"/>
      <c r="EG7" s="275"/>
      <c r="EH7" s="275"/>
      <c r="EI7" s="275"/>
      <c r="EJ7" s="275"/>
      <c r="EK7" s="275"/>
      <c r="EL7" s="275"/>
      <c r="EM7" s="275"/>
      <c r="EN7" s="275"/>
      <c r="EO7" s="275"/>
      <c r="EP7" s="275"/>
      <c r="EQ7" s="275"/>
      <c r="ER7" s="275"/>
      <c r="ES7" s="275"/>
      <c r="ET7" s="275"/>
      <c r="EU7" s="275"/>
      <c r="EV7" s="275"/>
      <c r="EW7" s="275"/>
      <c r="EX7" s="275"/>
      <c r="EY7" s="275"/>
      <c r="EZ7" s="275"/>
      <c r="FA7" s="275"/>
      <c r="FB7" s="275"/>
      <c r="FC7" s="275"/>
      <c r="FD7" s="275"/>
      <c r="FE7" s="275"/>
      <c r="FF7" s="275"/>
      <c r="FG7" s="275"/>
      <c r="FH7" s="275"/>
      <c r="FI7" s="275"/>
      <c r="FJ7" s="275"/>
      <c r="FK7" s="275"/>
      <c r="FL7" s="275"/>
      <c r="FM7" s="275"/>
      <c r="FN7" s="275"/>
      <c r="FO7" s="275"/>
      <c r="FP7" s="275"/>
      <c r="FQ7" s="275"/>
      <c r="FR7" s="275"/>
      <c r="FS7" s="275"/>
      <c r="FT7" s="275"/>
      <c r="FU7" s="275"/>
      <c r="FV7" s="275"/>
      <c r="FW7" s="275"/>
      <c r="FX7" s="275"/>
      <c r="FY7" s="275"/>
      <c r="FZ7" s="275"/>
      <c r="GA7" s="275"/>
      <c r="GB7" s="275"/>
      <c r="GC7" s="275"/>
      <c r="GD7" s="275"/>
      <c r="GE7" s="275"/>
      <c r="GF7" s="275"/>
      <c r="GG7" s="275"/>
      <c r="GH7" s="275"/>
      <c r="GI7" s="275"/>
      <c r="GJ7" s="275"/>
      <c r="GK7" s="275"/>
      <c r="GL7" s="275"/>
      <c r="GM7" s="275"/>
      <c r="GN7" s="275"/>
      <c r="GO7" s="275"/>
      <c r="GP7" s="275"/>
      <c r="GQ7" s="275"/>
      <c r="GR7" s="275"/>
      <c r="GS7" s="275"/>
      <c r="GT7" s="275"/>
      <c r="GU7" s="275"/>
      <c r="GV7" s="275"/>
      <c r="GW7" s="275"/>
      <c r="GX7" s="275"/>
      <c r="GY7" s="275"/>
      <c r="GZ7" s="275"/>
      <c r="HA7" s="275"/>
      <c r="HB7" s="275"/>
      <c r="HC7" s="275"/>
      <c r="HD7" s="275"/>
      <c r="HE7" s="275"/>
      <c r="HF7" s="275"/>
      <c r="HG7" s="275"/>
      <c r="HH7" s="275"/>
      <c r="HI7" s="275"/>
      <c r="HJ7" s="275"/>
      <c r="HK7" s="275"/>
      <c r="HL7" s="275"/>
      <c r="HM7" s="275"/>
      <c r="HN7" s="275"/>
      <c r="HO7" s="275"/>
      <c r="HP7" s="275"/>
      <c r="HQ7" s="275"/>
      <c r="HR7" s="275"/>
      <c r="HS7" s="275"/>
      <c r="HT7" s="275"/>
      <c r="HU7" s="275"/>
      <c r="HV7" s="275"/>
      <c r="HW7" s="275"/>
      <c r="HX7" s="275"/>
      <c r="HY7" s="275"/>
      <c r="HZ7" s="275"/>
      <c r="IA7" s="275"/>
      <c r="IB7" s="275"/>
      <c r="IC7" s="275"/>
      <c r="ID7" s="275"/>
      <c r="IE7" s="275"/>
      <c r="IF7" s="275"/>
      <c r="IG7" s="275"/>
      <c r="IH7" s="275"/>
      <c r="II7" s="275"/>
      <c r="IJ7" s="275"/>
      <c r="IK7" s="275"/>
      <c r="IL7" s="275"/>
      <c r="IM7" s="275"/>
      <c r="IN7" s="275"/>
      <c r="IO7" s="275"/>
      <c r="IP7" s="275"/>
      <c r="IQ7" s="275"/>
      <c r="IR7" s="275"/>
      <c r="IS7" s="275"/>
      <c r="IT7" s="275"/>
      <c r="IU7" s="275"/>
      <c r="IV7" s="275"/>
      <c r="IW7" s="275"/>
      <c r="IX7" s="275"/>
      <c r="IY7" s="275"/>
      <c r="IZ7" s="275"/>
      <c r="JA7" s="275"/>
      <c r="JB7" s="275"/>
      <c r="JC7" s="275"/>
      <c r="JD7" s="275"/>
      <c r="JE7" s="275"/>
      <c r="JF7" s="275"/>
      <c r="JG7" s="275"/>
      <c r="JH7" s="275"/>
      <c r="JI7" s="275"/>
      <c r="JJ7" s="275"/>
      <c r="JK7" s="275"/>
      <c r="JL7" s="275"/>
      <c r="JM7" s="275"/>
      <c r="JN7" s="275"/>
      <c r="JO7" s="275"/>
      <c r="JP7" s="275"/>
      <c r="JQ7" s="275"/>
      <c r="JR7" s="275"/>
      <c r="JS7" s="275"/>
      <c r="JT7" s="275"/>
      <c r="JU7" s="275"/>
      <c r="JV7" s="275"/>
      <c r="JW7" s="275"/>
      <c r="JX7" s="275"/>
      <c r="JY7" s="275"/>
      <c r="JZ7" s="275"/>
      <c r="KA7" s="275"/>
      <c r="KB7" s="275"/>
      <c r="KC7" s="275"/>
      <c r="KD7" s="275"/>
      <c r="KE7" s="275"/>
      <c r="KF7" s="275"/>
      <c r="KG7" s="275"/>
      <c r="KH7" s="275"/>
      <c r="KI7" s="275"/>
      <c r="KJ7" s="275"/>
      <c r="KK7" s="275"/>
      <c r="KL7" s="275"/>
      <c r="KM7" s="275"/>
      <c r="KN7" s="275"/>
      <c r="KO7" s="275"/>
      <c r="KP7" s="275"/>
      <c r="KQ7" s="275"/>
      <c r="KR7" s="275"/>
      <c r="KS7" s="275"/>
      <c r="KT7" s="275"/>
      <c r="KU7" s="275"/>
      <c r="KV7" s="275"/>
      <c r="KW7" s="275"/>
      <c r="KX7" s="275"/>
      <c r="KY7" s="275"/>
      <c r="KZ7" s="275"/>
      <c r="LA7" s="275"/>
      <c r="LB7" s="275"/>
      <c r="LC7" s="275"/>
      <c r="LD7" s="275"/>
      <c r="LE7" s="275"/>
      <c r="LF7" s="275"/>
      <c r="LG7" s="275"/>
      <c r="LH7" s="275"/>
      <c r="LI7" s="275"/>
      <c r="LJ7" s="275"/>
      <c r="LK7" s="275"/>
      <c r="LL7" s="275"/>
      <c r="LM7" s="275"/>
      <c r="LN7" s="275"/>
      <c r="LO7" s="275"/>
      <c r="LP7" s="275"/>
      <c r="LQ7" s="275"/>
      <c r="LR7" s="275"/>
      <c r="LS7" s="275"/>
      <c r="LT7" s="275"/>
      <c r="LU7" s="275"/>
      <c r="LV7" s="275"/>
      <c r="LW7" s="275"/>
      <c r="LX7" s="275"/>
      <c r="LY7" s="275"/>
      <c r="LZ7" s="275"/>
      <c r="MA7" s="275"/>
      <c r="MB7" s="275"/>
      <c r="MC7" s="275"/>
      <c r="MD7" s="275"/>
      <c r="ME7" s="275"/>
      <c r="MF7" s="275"/>
      <c r="MG7" s="275"/>
      <c r="MH7" s="275"/>
      <c r="MI7" s="275"/>
      <c r="MJ7" s="275"/>
      <c r="MK7" s="275"/>
      <c r="ML7" s="275"/>
      <c r="MM7" s="275"/>
      <c r="MN7" s="275"/>
      <c r="MO7" s="275"/>
      <c r="MP7" s="275"/>
      <c r="MQ7" s="275"/>
      <c r="MR7" s="275"/>
      <c r="MS7" s="275"/>
      <c r="MT7" s="275"/>
      <c r="MU7" s="275"/>
      <c r="MV7" s="275"/>
      <c r="MW7" s="275"/>
      <c r="MX7" s="275"/>
      <c r="MY7" s="275"/>
      <c r="MZ7" s="275"/>
      <c r="NA7" s="275"/>
      <c r="NB7" s="275"/>
      <c r="NC7" s="275"/>
      <c r="ND7" s="275"/>
      <c r="NE7" s="275"/>
      <c r="NF7" s="275"/>
      <c r="NG7" s="275"/>
      <c r="NH7" s="275"/>
      <c r="NI7" s="275"/>
      <c r="NJ7" s="275"/>
      <c r="NK7" s="275"/>
      <c r="NL7" s="275"/>
      <c r="NM7" s="275"/>
      <c r="NN7" s="275"/>
      <c r="NO7" s="275"/>
      <c r="NP7" s="275"/>
      <c r="NQ7" s="275"/>
      <c r="NR7" s="275"/>
      <c r="NS7" s="275"/>
      <c r="NT7" s="275"/>
      <c r="NU7" s="275"/>
      <c r="NV7" s="275"/>
      <c r="NW7" s="275"/>
      <c r="NX7" s="275"/>
      <c r="NY7" s="275"/>
      <c r="NZ7" s="275"/>
      <c r="OA7" s="275"/>
      <c r="OB7" s="275"/>
      <c r="OC7" s="275"/>
      <c r="OD7" s="275"/>
      <c r="OE7" s="275"/>
      <c r="OF7" s="275"/>
      <c r="OG7" s="275"/>
      <c r="OH7" s="275"/>
      <c r="OI7" s="275"/>
      <c r="OJ7" s="275"/>
      <c r="OK7" s="275"/>
      <c r="OL7" s="275"/>
      <c r="OM7" s="275"/>
      <c r="ON7" s="275"/>
      <c r="OO7" s="275"/>
      <c r="OP7" s="275"/>
      <c r="OQ7" s="275"/>
      <c r="OR7" s="275"/>
      <c r="OS7" s="275"/>
      <c r="OT7" s="275"/>
      <c r="OU7" s="275"/>
      <c r="OV7" s="275"/>
      <c r="OW7" s="275"/>
      <c r="OX7" s="275"/>
      <c r="OY7" s="275"/>
      <c r="OZ7" s="275"/>
      <c r="PA7" s="275"/>
      <c r="PB7" s="275"/>
      <c r="PC7" s="275"/>
      <c r="PD7" s="275"/>
      <c r="PE7" s="275"/>
      <c r="PF7" s="275"/>
      <c r="PG7" s="275"/>
      <c r="PH7" s="275"/>
      <c r="PI7" s="275"/>
      <c r="PJ7" s="275"/>
      <c r="PK7" s="275"/>
      <c r="PL7" s="275"/>
      <c r="PM7" s="275"/>
      <c r="PN7" s="275"/>
      <c r="PO7" s="275"/>
      <c r="PP7" s="275"/>
      <c r="PQ7" s="275"/>
      <c r="PR7" s="275"/>
      <c r="PS7" s="275"/>
      <c r="PT7" s="275"/>
      <c r="PU7" s="275"/>
      <c r="PV7" s="275"/>
      <c r="PW7" s="275"/>
      <c r="PX7" s="275"/>
      <c r="PY7" s="275"/>
      <c r="PZ7" s="275"/>
      <c r="QA7" s="275"/>
      <c r="QB7" s="275"/>
      <c r="QC7" s="275"/>
      <c r="QD7" s="275"/>
      <c r="QE7" s="275"/>
      <c r="QF7" s="275"/>
      <c r="QG7" s="275"/>
      <c r="QH7" s="275"/>
      <c r="QI7" s="275"/>
      <c r="QJ7" s="275"/>
      <c r="QK7" s="275"/>
      <c r="QL7" s="275"/>
      <c r="QM7" s="275"/>
      <c r="QN7" s="275"/>
      <c r="QO7" s="275"/>
      <c r="QP7" s="275"/>
      <c r="QQ7" s="275"/>
      <c r="QR7" s="275"/>
      <c r="QS7" s="275"/>
      <c r="QT7" s="275"/>
      <c r="QU7" s="275"/>
      <c r="QV7" s="275"/>
      <c r="QW7" s="275"/>
      <c r="QX7" s="275"/>
      <c r="QY7" s="275"/>
      <c r="QZ7" s="275"/>
      <c r="RA7" s="275"/>
      <c r="RB7" s="275"/>
      <c r="RC7" s="275"/>
      <c r="RD7" s="275"/>
      <c r="RE7" s="275"/>
      <c r="RF7" s="275"/>
      <c r="RG7" s="275"/>
      <c r="RH7" s="275"/>
      <c r="RI7" s="275"/>
      <c r="RJ7" s="275"/>
      <c r="RK7" s="275"/>
      <c r="RL7" s="275"/>
      <c r="RM7" s="275"/>
      <c r="RN7" s="275"/>
      <c r="RO7" s="275"/>
      <c r="RP7" s="275"/>
      <c r="RQ7" s="275"/>
      <c r="RR7" s="275"/>
      <c r="RS7" s="275"/>
      <c r="RT7" s="275"/>
      <c r="RU7" s="275"/>
      <c r="RV7" s="275"/>
      <c r="RW7" s="275"/>
      <c r="RX7" s="275"/>
      <c r="RY7" s="275"/>
      <c r="RZ7" s="275"/>
      <c r="SA7" s="275"/>
      <c r="SB7" s="275"/>
      <c r="SC7" s="275"/>
      <c r="SD7" s="275"/>
      <c r="SE7" s="275"/>
      <c r="SF7" s="275"/>
      <c r="SG7" s="275"/>
      <c r="SH7" s="275"/>
      <c r="SI7" s="275"/>
      <c r="SJ7" s="275"/>
      <c r="SK7" s="275"/>
      <c r="SL7" s="275"/>
      <c r="SM7" s="275"/>
      <c r="SN7" s="275"/>
      <c r="SO7" s="275"/>
      <c r="SP7" s="275"/>
      <c r="SQ7" s="275"/>
      <c r="SR7" s="275"/>
      <c r="SS7" s="275"/>
      <c r="ST7" s="275"/>
      <c r="SU7" s="275"/>
      <c r="SV7" s="275"/>
      <c r="SW7" s="275"/>
      <c r="SX7" s="275"/>
      <c r="SY7" s="275"/>
      <c r="SZ7" s="275"/>
      <c r="TA7" s="275"/>
      <c r="TB7" s="275"/>
      <c r="TC7" s="275"/>
      <c r="TD7" s="275"/>
      <c r="TE7" s="275"/>
      <c r="TF7" s="275"/>
      <c r="TG7" s="275"/>
      <c r="TH7" s="275"/>
      <c r="TI7" s="275"/>
      <c r="TJ7" s="275"/>
      <c r="TK7" s="275"/>
      <c r="TL7" s="275"/>
      <c r="TM7" s="275"/>
      <c r="TN7" s="275"/>
      <c r="TO7" s="275"/>
      <c r="TP7" s="275"/>
      <c r="TQ7" s="275"/>
      <c r="TR7" s="275"/>
      <c r="TS7" s="275"/>
      <c r="TT7" s="275"/>
      <c r="TU7" s="275"/>
      <c r="TV7" s="275"/>
      <c r="TW7" s="275"/>
      <c r="TX7" s="275"/>
      <c r="TY7" s="275"/>
      <c r="TZ7" s="275"/>
      <c r="UA7" s="275"/>
      <c r="UB7" s="275"/>
      <c r="UC7" s="275"/>
      <c r="UD7" s="275"/>
      <c r="UE7" s="275"/>
      <c r="UF7" s="275"/>
      <c r="UG7" s="275"/>
      <c r="UH7" s="275"/>
      <c r="UI7" s="275"/>
      <c r="UJ7" s="275"/>
      <c r="UK7" s="275"/>
      <c r="UL7" s="275"/>
      <c r="UM7" s="275"/>
      <c r="UN7" s="275"/>
      <c r="UO7" s="275"/>
      <c r="UP7" s="275"/>
      <c r="UQ7" s="275"/>
      <c r="UR7" s="275"/>
      <c r="US7" s="275"/>
      <c r="UT7" s="275"/>
      <c r="UU7" s="275"/>
      <c r="UV7" s="275"/>
      <c r="UW7" s="275"/>
      <c r="UX7" s="275"/>
      <c r="UY7" s="275"/>
      <c r="UZ7" s="275"/>
      <c r="VA7" s="275"/>
      <c r="VB7" s="275"/>
      <c r="VC7" s="275"/>
      <c r="VD7" s="275"/>
      <c r="VE7" s="275"/>
      <c r="VF7" s="275"/>
      <c r="VG7" s="275"/>
      <c r="VH7" s="275"/>
      <c r="VI7" s="275"/>
      <c r="VJ7" s="275"/>
      <c r="VK7" s="275"/>
      <c r="VL7" s="275"/>
      <c r="VM7" s="275"/>
      <c r="VN7" s="275"/>
      <c r="VO7" s="275"/>
      <c r="VP7" s="275"/>
      <c r="VQ7" s="275"/>
      <c r="VR7" s="275"/>
      <c r="VS7" s="275"/>
      <c r="VT7" s="275"/>
      <c r="VU7" s="275"/>
      <c r="VV7" s="275"/>
      <c r="VW7" s="275"/>
      <c r="VX7" s="275"/>
      <c r="VY7" s="275"/>
      <c r="VZ7" s="275"/>
      <c r="WA7" s="275"/>
      <c r="WB7" s="275"/>
      <c r="WC7" s="275"/>
      <c r="WD7" s="275"/>
      <c r="WE7" s="275"/>
      <c r="WF7" s="275"/>
      <c r="WG7" s="275"/>
      <c r="WH7" s="275"/>
      <c r="WI7" s="275"/>
      <c r="WJ7" s="275"/>
      <c r="WK7" s="275"/>
      <c r="WL7" s="275"/>
      <c r="WM7" s="275"/>
      <c r="WN7" s="275"/>
      <c r="WO7" s="275"/>
      <c r="WP7" s="275"/>
      <c r="WQ7" s="275"/>
      <c r="WR7" s="275"/>
      <c r="WS7" s="275"/>
      <c r="WT7" s="275"/>
      <c r="WU7" s="275"/>
      <c r="WV7" s="275"/>
      <c r="WW7" s="275"/>
      <c r="WX7" s="275"/>
      <c r="WY7" s="275"/>
      <c r="WZ7" s="275"/>
      <c r="XA7" s="275"/>
      <c r="XB7" s="275"/>
      <c r="XC7" s="275"/>
      <c r="XD7" s="275"/>
      <c r="XE7" s="275"/>
      <c r="XF7" s="275"/>
      <c r="XG7" s="275"/>
      <c r="XH7" s="275"/>
      <c r="XI7" s="275"/>
      <c r="XJ7" s="275"/>
      <c r="XK7" s="275"/>
      <c r="XL7" s="275"/>
      <c r="XM7" s="275"/>
      <c r="XN7" s="275"/>
      <c r="XO7" s="275"/>
      <c r="XP7" s="275"/>
      <c r="XQ7" s="275"/>
      <c r="XR7" s="275"/>
      <c r="XS7" s="275"/>
      <c r="XT7" s="275"/>
      <c r="XU7" s="275"/>
      <c r="XV7" s="275"/>
      <c r="XW7" s="275"/>
      <c r="XX7" s="275"/>
      <c r="XY7" s="275"/>
      <c r="XZ7" s="275"/>
      <c r="YA7" s="275"/>
      <c r="YB7" s="275"/>
      <c r="YC7" s="275"/>
      <c r="YD7" s="275"/>
      <c r="YE7" s="275"/>
      <c r="YF7" s="275"/>
      <c r="YG7" s="275"/>
      <c r="YH7" s="275"/>
      <c r="YI7" s="275"/>
      <c r="YJ7" s="275"/>
      <c r="YK7" s="275"/>
      <c r="YL7" s="275"/>
      <c r="YM7" s="275"/>
      <c r="YN7" s="275"/>
      <c r="YO7" s="275"/>
      <c r="YP7" s="275"/>
      <c r="YQ7" s="275"/>
      <c r="YR7" s="275"/>
      <c r="YS7" s="275"/>
      <c r="YT7" s="275"/>
      <c r="YU7" s="275"/>
      <c r="YV7" s="275"/>
      <c r="YW7" s="275"/>
      <c r="YX7" s="275"/>
      <c r="YY7" s="275"/>
      <c r="YZ7" s="275"/>
      <c r="ZA7" s="275"/>
      <c r="ZB7" s="275"/>
      <c r="ZC7" s="275"/>
      <c r="ZD7" s="275"/>
      <c r="ZE7" s="275"/>
      <c r="ZF7" s="275"/>
      <c r="ZG7" s="275"/>
      <c r="ZH7" s="275"/>
      <c r="ZI7" s="275"/>
      <c r="ZJ7" s="275"/>
      <c r="ZK7" s="275"/>
      <c r="ZL7" s="275"/>
      <c r="ZM7" s="275"/>
      <c r="ZN7" s="275"/>
      <c r="ZO7" s="275"/>
      <c r="ZP7" s="275"/>
      <c r="ZQ7" s="275"/>
      <c r="ZR7" s="275"/>
      <c r="ZS7" s="275"/>
      <c r="ZT7" s="275"/>
      <c r="ZU7" s="275"/>
      <c r="ZV7" s="275"/>
      <c r="ZW7" s="275"/>
      <c r="ZX7" s="275"/>
      <c r="ZY7" s="275"/>
      <c r="ZZ7" s="275"/>
      <c r="AAA7" s="275"/>
      <c r="AAB7" s="275"/>
      <c r="AAC7" s="275"/>
      <c r="AAD7" s="275"/>
      <c r="AAE7" s="275"/>
      <c r="AAF7" s="275"/>
      <c r="AAG7" s="275"/>
      <c r="AAH7" s="275"/>
      <c r="AAI7" s="275"/>
      <c r="AAJ7" s="275"/>
      <c r="AAK7" s="275"/>
      <c r="AAL7" s="275"/>
      <c r="AAM7" s="275"/>
      <c r="AAN7" s="275"/>
      <c r="AAO7" s="275"/>
      <c r="AAP7" s="275"/>
      <c r="AAQ7" s="275"/>
      <c r="AAR7" s="275"/>
      <c r="AAS7" s="275"/>
      <c r="AAT7" s="275"/>
      <c r="AAU7" s="275"/>
      <c r="AAV7" s="275"/>
      <c r="AAW7" s="275"/>
      <c r="AAX7" s="275"/>
      <c r="AAY7" s="275"/>
      <c r="AAZ7" s="275"/>
      <c r="ABA7" s="275"/>
      <c r="ABB7" s="275"/>
      <c r="ABC7" s="275"/>
      <c r="ABD7" s="275"/>
      <c r="ABE7" s="275"/>
      <c r="ABF7" s="275"/>
      <c r="ABG7" s="275"/>
      <c r="ABH7" s="275"/>
      <c r="ABI7" s="275"/>
      <c r="ABJ7" s="275"/>
      <c r="ABK7" s="275"/>
      <c r="ABL7" s="275"/>
      <c r="ABM7" s="275"/>
      <c r="ABN7" s="275"/>
      <c r="ABO7" s="275"/>
      <c r="ABP7" s="275"/>
      <c r="ABQ7" s="275"/>
      <c r="ABR7" s="275"/>
      <c r="ABS7" s="275"/>
      <c r="ABT7" s="275"/>
      <c r="ABU7" s="275"/>
      <c r="ABV7" s="275"/>
      <c r="ABW7" s="275"/>
      <c r="ABX7" s="275"/>
      <c r="ABY7" s="275"/>
      <c r="ABZ7" s="275"/>
      <c r="ACA7" s="275"/>
      <c r="ACB7" s="275"/>
      <c r="ACC7" s="275"/>
      <c r="ACD7" s="275"/>
      <c r="ACE7" s="275"/>
      <c r="ACF7" s="275"/>
      <c r="ACG7" s="275"/>
      <c r="ACH7" s="275"/>
      <c r="ACI7" s="275"/>
      <c r="ACJ7" s="275"/>
      <c r="ACK7" s="275"/>
      <c r="ACL7" s="275"/>
      <c r="ACM7" s="275"/>
      <c r="ACN7" s="275"/>
      <c r="ACO7" s="275"/>
      <c r="ACP7" s="275"/>
      <c r="ACQ7" s="275"/>
      <c r="ACR7" s="275"/>
      <c r="ACS7" s="275"/>
      <c r="ACT7" s="275"/>
      <c r="ACU7" s="275"/>
      <c r="ACV7" s="275"/>
      <c r="ACW7" s="275"/>
      <c r="ACX7" s="275"/>
      <c r="ACY7" s="275"/>
      <c r="ACZ7" s="275"/>
      <c r="ADA7" s="275"/>
      <c r="ADB7" s="275"/>
      <c r="ADC7" s="275"/>
      <c r="ADD7" s="275"/>
      <c r="ADE7" s="275"/>
      <c r="ADF7" s="275"/>
      <c r="ADG7" s="275"/>
      <c r="ADH7" s="275"/>
      <c r="ADI7" s="275"/>
      <c r="ADJ7" s="275"/>
      <c r="ADK7" s="275"/>
      <c r="ADL7" s="275"/>
      <c r="ADM7" s="275"/>
      <c r="ADN7" s="275"/>
      <c r="ADO7" s="275"/>
      <c r="ADP7" s="275"/>
      <c r="ADQ7" s="275"/>
      <c r="ADR7" s="275"/>
      <c r="ADS7" s="275"/>
      <c r="ADT7" s="275"/>
      <c r="ADU7" s="275"/>
      <c r="ADV7" s="275"/>
      <c r="ADW7" s="275"/>
      <c r="ADX7" s="275"/>
      <c r="ADY7" s="275"/>
      <c r="ADZ7" s="275"/>
      <c r="AEA7" s="275"/>
      <c r="AEB7" s="275"/>
      <c r="AEC7" s="275"/>
      <c r="AED7" s="275"/>
      <c r="AEE7" s="275"/>
      <c r="AEF7" s="275"/>
      <c r="AEG7" s="275"/>
      <c r="AEH7" s="275"/>
      <c r="AEI7" s="275"/>
      <c r="AEJ7" s="275"/>
      <c r="AEK7" s="275"/>
      <c r="AEL7" s="275"/>
      <c r="AEM7" s="275"/>
      <c r="AEN7" s="275"/>
      <c r="AEO7" s="275"/>
      <c r="AEP7" s="275"/>
      <c r="AEQ7" s="275"/>
      <c r="AER7" s="275"/>
      <c r="AES7" s="275"/>
      <c r="AET7" s="275"/>
      <c r="AEU7" s="275"/>
      <c r="AEV7" s="275"/>
      <c r="AEW7" s="275"/>
      <c r="AEX7" s="275"/>
      <c r="AEY7" s="275"/>
      <c r="AEZ7" s="275"/>
      <c r="AFA7" s="275"/>
      <c r="AFB7" s="275"/>
      <c r="AFC7" s="275"/>
      <c r="AFD7" s="275"/>
      <c r="AFE7" s="275"/>
      <c r="AFF7" s="275"/>
      <c r="AFG7" s="275"/>
      <c r="AFH7" s="275"/>
      <c r="AFI7" s="275"/>
      <c r="AFJ7" s="275"/>
      <c r="AFK7" s="275"/>
      <c r="AFL7" s="275"/>
      <c r="AFM7" s="275"/>
      <c r="AFN7" s="275"/>
      <c r="AFO7" s="275"/>
      <c r="AFP7" s="275"/>
      <c r="AFQ7" s="275"/>
      <c r="AFR7" s="275"/>
      <c r="AFS7" s="275"/>
      <c r="AFT7" s="275"/>
      <c r="AFU7" s="275"/>
      <c r="AFV7" s="275"/>
      <c r="AFW7" s="275"/>
      <c r="AFX7" s="275"/>
      <c r="AFY7" s="275"/>
      <c r="AFZ7" s="275"/>
      <c r="AGA7" s="275"/>
      <c r="AGB7" s="275"/>
      <c r="AGC7" s="275"/>
      <c r="AGD7" s="275"/>
      <c r="AGE7" s="275"/>
      <c r="AGF7" s="275"/>
      <c r="AGG7" s="275"/>
      <c r="AGH7" s="275"/>
      <c r="AGI7" s="275"/>
      <c r="AGJ7" s="275"/>
      <c r="AGK7" s="275"/>
      <c r="AGL7" s="275"/>
      <c r="AGM7" s="275"/>
      <c r="AGN7" s="275"/>
      <c r="AGO7" s="275"/>
      <c r="AGP7" s="275"/>
      <c r="AGQ7" s="275"/>
      <c r="AGR7" s="275"/>
      <c r="AGS7" s="275"/>
      <c r="AGT7" s="275"/>
      <c r="AGU7" s="275"/>
      <c r="AGV7" s="275"/>
      <c r="AGW7" s="275"/>
      <c r="AGX7" s="275"/>
      <c r="AGY7" s="275"/>
      <c r="AGZ7" s="275"/>
      <c r="AHA7" s="275"/>
      <c r="AHB7" s="275"/>
      <c r="AHC7" s="275"/>
      <c r="AHD7" s="275"/>
      <c r="AHE7" s="275"/>
      <c r="AHF7" s="275"/>
      <c r="AHG7" s="275"/>
      <c r="AHH7" s="275"/>
      <c r="AHI7" s="275"/>
      <c r="AHJ7" s="275"/>
      <c r="AHK7" s="275"/>
      <c r="AHL7" s="275"/>
      <c r="AHM7" s="275"/>
      <c r="AHN7" s="275"/>
      <c r="AHO7" s="275"/>
      <c r="AHP7" s="275"/>
      <c r="AHQ7" s="275"/>
      <c r="AHR7" s="275"/>
      <c r="AHS7" s="275"/>
      <c r="AHT7" s="275"/>
      <c r="AHU7" s="275"/>
      <c r="AHV7" s="275"/>
      <c r="AHW7" s="275"/>
      <c r="AHX7" s="275"/>
      <c r="AHY7" s="275"/>
      <c r="AHZ7" s="275"/>
      <c r="AIA7" s="275"/>
      <c r="AIB7" s="275"/>
      <c r="AIC7" s="275"/>
      <c r="AID7" s="275"/>
      <c r="AIE7" s="275"/>
      <c r="AIF7" s="275"/>
      <c r="AIG7" s="275"/>
      <c r="AIH7" s="275"/>
      <c r="AII7" s="275"/>
      <c r="AIJ7" s="275"/>
      <c r="AIK7" s="275"/>
      <c r="AIL7" s="275"/>
      <c r="AIM7" s="275"/>
      <c r="AIN7" s="275"/>
      <c r="AIO7" s="275"/>
      <c r="AIP7" s="275"/>
      <c r="AIQ7" s="275"/>
      <c r="AIR7" s="275"/>
      <c r="AIS7" s="275"/>
      <c r="AIT7" s="275"/>
      <c r="AIU7" s="275"/>
      <c r="AIV7" s="275"/>
      <c r="AIW7" s="275"/>
      <c r="AIX7" s="275"/>
      <c r="AIY7" s="275"/>
      <c r="AIZ7" s="275"/>
      <c r="AJA7" s="275"/>
      <c r="AJB7" s="275"/>
      <c r="AJC7" s="275"/>
      <c r="AJD7" s="275"/>
      <c r="AJE7" s="275"/>
      <c r="AJF7" s="275"/>
      <c r="AJG7" s="275"/>
      <c r="AJH7" s="275"/>
      <c r="AJI7" s="275"/>
      <c r="AJJ7" s="275"/>
      <c r="AJK7" s="275"/>
      <c r="AJL7" s="275"/>
      <c r="AJM7" s="275"/>
      <c r="AJN7" s="275"/>
      <c r="AJO7" s="275"/>
      <c r="AJP7" s="275"/>
      <c r="AJQ7" s="275"/>
      <c r="AJR7" s="275"/>
      <c r="AJS7" s="275"/>
      <c r="AJT7" s="275"/>
      <c r="AJU7" s="275"/>
      <c r="AJV7" s="275"/>
      <c r="AJW7" s="275"/>
      <c r="AJX7" s="275"/>
      <c r="AJY7" s="275"/>
      <c r="AJZ7" s="275"/>
      <c r="AKA7" s="275"/>
      <c r="AKB7" s="275"/>
      <c r="AKC7" s="275"/>
      <c r="AKD7" s="275"/>
      <c r="AKE7" s="275"/>
      <c r="AKF7" s="275"/>
      <c r="AKG7" s="275"/>
      <c r="AKH7" s="275"/>
      <c r="AKI7" s="275"/>
      <c r="AKJ7" s="275"/>
      <c r="AKK7" s="275"/>
      <c r="AKL7" s="275"/>
      <c r="AKM7" s="275"/>
      <c r="AKN7" s="275"/>
      <c r="AKO7" s="275"/>
      <c r="AKP7" s="275"/>
      <c r="AKQ7" s="275"/>
      <c r="AKR7" s="275"/>
      <c r="AKS7" s="275"/>
      <c r="AKT7" s="275"/>
      <c r="AKU7" s="275"/>
      <c r="AKV7" s="275"/>
      <c r="AKW7" s="275"/>
      <c r="AKX7" s="275"/>
      <c r="AKY7" s="275"/>
      <c r="AKZ7" s="275"/>
      <c r="ALA7" s="275"/>
      <c r="ALB7" s="275"/>
      <c r="ALC7" s="275"/>
      <c r="ALD7" s="275"/>
      <c r="ALE7" s="275"/>
      <c r="ALF7" s="275"/>
      <c r="ALG7" s="275"/>
      <c r="ALH7" s="275"/>
      <c r="ALI7" s="275"/>
      <c r="ALJ7" s="275"/>
      <c r="ALK7" s="275"/>
      <c r="ALL7" s="275"/>
      <c r="ALM7" s="275"/>
      <c r="ALN7" s="275"/>
      <c r="ALO7" s="275"/>
      <c r="ALP7" s="275"/>
      <c r="ALQ7" s="275"/>
      <c r="ALR7" s="275"/>
      <c r="ALS7" s="275"/>
      <c r="ALT7" s="275"/>
      <c r="ALU7" s="275"/>
      <c r="ALV7" s="275"/>
      <c r="ALW7" s="275"/>
      <c r="ALX7" s="275"/>
      <c r="ALY7" s="275"/>
      <c r="ALZ7" s="275"/>
      <c r="AMA7" s="275"/>
      <c r="AMB7" s="275"/>
      <c r="AMC7" s="275"/>
      <c r="AMD7" s="275"/>
      <c r="AME7" s="275"/>
      <c r="AMF7" s="275"/>
      <c r="AMG7" s="275"/>
      <c r="AMH7" s="275"/>
      <c r="AMI7" s="275"/>
      <c r="AMJ7" s="275"/>
      <c r="AMK7" s="275"/>
      <c r="AML7" s="275"/>
      <c r="AMM7" s="275"/>
      <c r="AMN7" s="275"/>
      <c r="AMO7" s="275"/>
      <c r="AMP7" s="275"/>
    </row>
    <row r="8" spans="1:1030" s="281" customFormat="1" x14ac:dyDescent="0.35">
      <c r="A8" s="277"/>
      <c r="B8" s="278" t="s">
        <v>1006</v>
      </c>
      <c r="C8" s="279"/>
      <c r="D8" s="271"/>
      <c r="E8" s="269"/>
      <c r="F8" s="270"/>
      <c r="G8" s="270"/>
      <c r="H8" s="270"/>
      <c r="I8" s="270"/>
      <c r="J8" s="271"/>
      <c r="K8" s="269"/>
      <c r="L8" s="270"/>
      <c r="M8" s="270"/>
      <c r="N8" s="270"/>
      <c r="O8" s="270"/>
      <c r="P8" s="271"/>
      <c r="Q8" s="270"/>
      <c r="R8" s="270"/>
      <c r="S8" s="270"/>
      <c r="T8" s="270"/>
      <c r="U8" s="270"/>
      <c r="V8" s="270"/>
      <c r="W8" s="270"/>
      <c r="X8" s="270"/>
      <c r="Y8" s="270"/>
      <c r="Z8" s="270"/>
      <c r="AA8" s="270"/>
      <c r="AB8" s="277"/>
      <c r="AC8" s="278"/>
      <c r="AD8" s="282">
        <v>25240.381704439074</v>
      </c>
      <c r="AE8" s="282">
        <v>25248.428326131008</v>
      </c>
      <c r="AF8" s="282">
        <f t="shared" ref="AF8:AH8" si="15">+AF9/S9</f>
        <v>25936.195249269967</v>
      </c>
      <c r="AG8" s="282">
        <f t="shared" si="15"/>
        <v>29150.51808945011</v>
      </c>
      <c r="AH8" s="282">
        <f t="shared" si="15"/>
        <v>29186.928093599574</v>
      </c>
      <c r="AI8" s="282">
        <f t="shared" ref="AI8:AN8" si="16">+AI9/V9</f>
        <v>30402.961656578052</v>
      </c>
      <c r="AJ8" s="282">
        <f t="shared" si="16"/>
        <v>30743.928856159426</v>
      </c>
      <c r="AK8" s="282">
        <f t="shared" si="16"/>
        <v>31349.866203586684</v>
      </c>
      <c r="AL8" s="282">
        <f t="shared" si="16"/>
        <v>32207.731656426597</v>
      </c>
      <c r="AM8" s="282">
        <f t="shared" si="16"/>
        <v>33173.288194581764</v>
      </c>
      <c r="AN8" s="282">
        <f t="shared" si="16"/>
        <v>34228.789940685623</v>
      </c>
      <c r="AO8" s="275"/>
      <c r="AP8" s="275"/>
      <c r="AQ8" s="275"/>
      <c r="AR8" s="275"/>
      <c r="AS8" s="275"/>
      <c r="AT8" s="275"/>
      <c r="AU8" s="275"/>
      <c r="AV8" s="275"/>
      <c r="AW8" s="275"/>
      <c r="AX8" s="275"/>
      <c r="AY8" s="275"/>
      <c r="AZ8" s="275"/>
      <c r="BA8" s="275"/>
      <c r="BB8" s="275"/>
      <c r="BC8" s="275"/>
      <c r="BD8" s="275"/>
      <c r="BE8" s="275"/>
      <c r="BF8" s="275"/>
      <c r="BG8" s="275"/>
      <c r="BH8" s="275"/>
      <c r="BI8" s="275"/>
      <c r="BJ8" s="275"/>
      <c r="BK8" s="275"/>
      <c r="BL8" s="275"/>
      <c r="BM8" s="275"/>
      <c r="BN8" s="275"/>
      <c r="BO8" s="275"/>
      <c r="BP8" s="275"/>
      <c r="BQ8" s="275"/>
      <c r="BR8" s="275"/>
      <c r="BS8" s="275"/>
      <c r="BT8" s="275"/>
      <c r="BU8" s="275"/>
      <c r="BV8" s="275"/>
      <c r="BW8" s="275"/>
      <c r="BX8" s="275"/>
      <c r="BY8" s="275"/>
      <c r="BZ8" s="275"/>
      <c r="CA8" s="275"/>
      <c r="CB8" s="275"/>
      <c r="CC8" s="275"/>
      <c r="CD8" s="275"/>
      <c r="CE8" s="275"/>
      <c r="CF8" s="275"/>
      <c r="CG8" s="275"/>
      <c r="CH8" s="275"/>
      <c r="CI8" s="275"/>
      <c r="CJ8" s="275"/>
      <c r="CK8" s="275"/>
      <c r="CL8" s="275"/>
      <c r="CM8" s="275"/>
      <c r="CN8" s="275"/>
      <c r="CO8" s="275"/>
      <c r="CP8" s="275"/>
      <c r="CQ8" s="275"/>
      <c r="CR8" s="275"/>
      <c r="CS8" s="275"/>
      <c r="CT8" s="275"/>
      <c r="CU8" s="275"/>
      <c r="CV8" s="275"/>
      <c r="CW8" s="275"/>
      <c r="CX8" s="275"/>
      <c r="CY8" s="275"/>
      <c r="CZ8" s="275"/>
      <c r="DA8" s="275"/>
      <c r="DB8" s="275"/>
      <c r="DC8" s="275"/>
      <c r="DD8" s="275"/>
      <c r="DE8" s="275"/>
      <c r="DF8" s="275"/>
      <c r="DG8" s="275"/>
      <c r="DH8" s="275"/>
      <c r="DI8" s="275"/>
      <c r="DJ8" s="275"/>
      <c r="DK8" s="275"/>
      <c r="DL8" s="275"/>
      <c r="DM8" s="275"/>
      <c r="DN8" s="275"/>
      <c r="DO8" s="275"/>
      <c r="DP8" s="275"/>
      <c r="DQ8" s="275"/>
      <c r="DR8" s="275"/>
      <c r="DS8" s="275"/>
      <c r="DT8" s="275"/>
      <c r="DU8" s="275"/>
      <c r="DV8" s="275"/>
      <c r="DW8" s="275"/>
      <c r="DX8" s="275"/>
      <c r="DY8" s="275"/>
      <c r="DZ8" s="275"/>
      <c r="EA8" s="275"/>
      <c r="EB8" s="275"/>
      <c r="EC8" s="275"/>
      <c r="ED8" s="275"/>
      <c r="EE8" s="275"/>
      <c r="EF8" s="275"/>
      <c r="EG8" s="275"/>
      <c r="EH8" s="275"/>
      <c r="EI8" s="275"/>
      <c r="EJ8" s="275"/>
      <c r="EK8" s="275"/>
      <c r="EL8" s="275"/>
      <c r="EM8" s="275"/>
      <c r="EN8" s="275"/>
      <c r="EO8" s="275"/>
      <c r="EP8" s="275"/>
      <c r="EQ8" s="275"/>
      <c r="ER8" s="275"/>
      <c r="ES8" s="275"/>
      <c r="ET8" s="275"/>
      <c r="EU8" s="275"/>
      <c r="EV8" s="275"/>
      <c r="EW8" s="275"/>
      <c r="EX8" s="275"/>
      <c r="EY8" s="275"/>
      <c r="EZ8" s="275"/>
      <c r="FA8" s="275"/>
      <c r="FB8" s="275"/>
      <c r="FC8" s="275"/>
      <c r="FD8" s="275"/>
      <c r="FE8" s="275"/>
      <c r="FF8" s="275"/>
      <c r="FG8" s="275"/>
      <c r="FH8" s="275"/>
      <c r="FI8" s="275"/>
      <c r="FJ8" s="275"/>
      <c r="FK8" s="275"/>
      <c r="FL8" s="275"/>
      <c r="FM8" s="275"/>
      <c r="FN8" s="275"/>
      <c r="FO8" s="275"/>
      <c r="FP8" s="275"/>
      <c r="FQ8" s="275"/>
      <c r="FR8" s="275"/>
      <c r="FS8" s="275"/>
      <c r="FT8" s="275"/>
      <c r="FU8" s="275"/>
      <c r="FV8" s="275"/>
      <c r="FW8" s="275"/>
      <c r="FX8" s="275"/>
      <c r="FY8" s="275"/>
      <c r="FZ8" s="275"/>
      <c r="GA8" s="275"/>
      <c r="GB8" s="275"/>
      <c r="GC8" s="275"/>
      <c r="GD8" s="275"/>
      <c r="GE8" s="275"/>
      <c r="GF8" s="275"/>
      <c r="GG8" s="275"/>
      <c r="GH8" s="275"/>
      <c r="GI8" s="275"/>
      <c r="GJ8" s="275"/>
      <c r="GK8" s="275"/>
      <c r="GL8" s="275"/>
      <c r="GM8" s="275"/>
      <c r="GN8" s="275"/>
      <c r="GO8" s="275"/>
      <c r="GP8" s="275"/>
      <c r="GQ8" s="275"/>
      <c r="GR8" s="275"/>
      <c r="GS8" s="275"/>
      <c r="GT8" s="275"/>
      <c r="GU8" s="275"/>
      <c r="GV8" s="275"/>
      <c r="GW8" s="275"/>
      <c r="GX8" s="275"/>
      <c r="GY8" s="275"/>
      <c r="GZ8" s="275"/>
      <c r="HA8" s="275"/>
      <c r="HB8" s="275"/>
      <c r="HC8" s="275"/>
      <c r="HD8" s="275"/>
      <c r="HE8" s="275"/>
      <c r="HF8" s="275"/>
      <c r="HG8" s="275"/>
      <c r="HH8" s="275"/>
      <c r="HI8" s="275"/>
      <c r="HJ8" s="275"/>
      <c r="HK8" s="275"/>
      <c r="HL8" s="275"/>
      <c r="HM8" s="275"/>
      <c r="HN8" s="275"/>
      <c r="HO8" s="275"/>
      <c r="HP8" s="275"/>
      <c r="HQ8" s="275"/>
      <c r="HR8" s="275"/>
      <c r="HS8" s="275"/>
      <c r="HT8" s="275"/>
      <c r="HU8" s="275"/>
      <c r="HV8" s="275"/>
      <c r="HW8" s="275"/>
      <c r="HX8" s="275"/>
      <c r="HY8" s="275"/>
      <c r="HZ8" s="275"/>
      <c r="IA8" s="275"/>
      <c r="IB8" s="275"/>
      <c r="IC8" s="275"/>
      <c r="ID8" s="275"/>
      <c r="IE8" s="275"/>
      <c r="IF8" s="275"/>
      <c r="IG8" s="275"/>
      <c r="IH8" s="275"/>
      <c r="II8" s="275"/>
      <c r="IJ8" s="275"/>
      <c r="IK8" s="275"/>
      <c r="IL8" s="275"/>
      <c r="IM8" s="275"/>
      <c r="IN8" s="275"/>
      <c r="IO8" s="275"/>
      <c r="IP8" s="275"/>
      <c r="IQ8" s="275"/>
      <c r="IR8" s="275"/>
      <c r="IS8" s="275"/>
      <c r="IT8" s="275"/>
      <c r="IU8" s="275"/>
      <c r="IV8" s="275"/>
      <c r="IW8" s="275"/>
      <c r="IX8" s="275"/>
      <c r="IY8" s="275"/>
      <c r="IZ8" s="275"/>
      <c r="JA8" s="275"/>
      <c r="JB8" s="275"/>
      <c r="JC8" s="275"/>
      <c r="JD8" s="275"/>
      <c r="JE8" s="275"/>
      <c r="JF8" s="275"/>
      <c r="JG8" s="275"/>
      <c r="JH8" s="275"/>
      <c r="JI8" s="275"/>
      <c r="JJ8" s="275"/>
      <c r="JK8" s="275"/>
      <c r="JL8" s="275"/>
      <c r="JM8" s="275"/>
      <c r="JN8" s="275"/>
      <c r="JO8" s="275"/>
      <c r="JP8" s="275"/>
      <c r="JQ8" s="275"/>
      <c r="JR8" s="275"/>
      <c r="JS8" s="275"/>
      <c r="JT8" s="275"/>
      <c r="JU8" s="275"/>
      <c r="JV8" s="275"/>
      <c r="JW8" s="275"/>
      <c r="JX8" s="275"/>
      <c r="JY8" s="275"/>
      <c r="JZ8" s="275"/>
      <c r="KA8" s="275"/>
      <c r="KB8" s="275"/>
      <c r="KC8" s="275"/>
      <c r="KD8" s="275"/>
      <c r="KE8" s="275"/>
      <c r="KF8" s="275"/>
      <c r="KG8" s="275"/>
      <c r="KH8" s="275"/>
      <c r="KI8" s="275"/>
      <c r="KJ8" s="275"/>
      <c r="KK8" s="275"/>
      <c r="KL8" s="275"/>
      <c r="KM8" s="275"/>
      <c r="KN8" s="275"/>
      <c r="KO8" s="275"/>
      <c r="KP8" s="275"/>
      <c r="KQ8" s="275"/>
      <c r="KR8" s="275"/>
      <c r="KS8" s="275"/>
      <c r="KT8" s="275"/>
      <c r="KU8" s="275"/>
      <c r="KV8" s="275"/>
      <c r="KW8" s="275"/>
      <c r="KX8" s="275"/>
      <c r="KY8" s="275"/>
      <c r="KZ8" s="275"/>
      <c r="LA8" s="275"/>
      <c r="LB8" s="275"/>
      <c r="LC8" s="275"/>
      <c r="LD8" s="275"/>
      <c r="LE8" s="275"/>
      <c r="LF8" s="275"/>
      <c r="LG8" s="275"/>
      <c r="LH8" s="275"/>
      <c r="LI8" s="275"/>
      <c r="LJ8" s="275"/>
      <c r="LK8" s="275"/>
      <c r="LL8" s="275"/>
      <c r="LM8" s="275"/>
      <c r="LN8" s="275"/>
      <c r="LO8" s="275"/>
      <c r="LP8" s="275"/>
      <c r="LQ8" s="275"/>
      <c r="LR8" s="275"/>
      <c r="LS8" s="275"/>
      <c r="LT8" s="275"/>
      <c r="LU8" s="275"/>
      <c r="LV8" s="275"/>
      <c r="LW8" s="275"/>
      <c r="LX8" s="275"/>
      <c r="LY8" s="275"/>
      <c r="LZ8" s="275"/>
      <c r="MA8" s="275"/>
      <c r="MB8" s="275"/>
      <c r="MC8" s="275"/>
      <c r="MD8" s="275"/>
      <c r="ME8" s="275"/>
      <c r="MF8" s="275"/>
      <c r="MG8" s="275"/>
      <c r="MH8" s="275"/>
      <c r="MI8" s="275"/>
      <c r="MJ8" s="275"/>
      <c r="MK8" s="275"/>
      <c r="ML8" s="275"/>
      <c r="MM8" s="275"/>
      <c r="MN8" s="275"/>
      <c r="MO8" s="275"/>
      <c r="MP8" s="275"/>
      <c r="MQ8" s="275"/>
      <c r="MR8" s="275"/>
      <c r="MS8" s="275"/>
      <c r="MT8" s="275"/>
      <c r="MU8" s="275"/>
      <c r="MV8" s="275"/>
      <c r="MW8" s="275"/>
      <c r="MX8" s="275"/>
      <c r="MY8" s="275"/>
      <c r="MZ8" s="275"/>
      <c r="NA8" s="275"/>
      <c r="NB8" s="275"/>
      <c r="NC8" s="275"/>
      <c r="ND8" s="275"/>
      <c r="NE8" s="275"/>
      <c r="NF8" s="275"/>
      <c r="NG8" s="275"/>
      <c r="NH8" s="275"/>
      <c r="NI8" s="275"/>
      <c r="NJ8" s="275"/>
      <c r="NK8" s="275"/>
      <c r="NL8" s="275"/>
      <c r="NM8" s="275"/>
      <c r="NN8" s="275"/>
      <c r="NO8" s="275"/>
      <c r="NP8" s="275"/>
      <c r="NQ8" s="275"/>
      <c r="NR8" s="275"/>
      <c r="NS8" s="275"/>
      <c r="NT8" s="275"/>
      <c r="NU8" s="275"/>
      <c r="NV8" s="275"/>
      <c r="NW8" s="275"/>
      <c r="NX8" s="275"/>
      <c r="NY8" s="275"/>
      <c r="NZ8" s="275"/>
      <c r="OA8" s="275"/>
      <c r="OB8" s="275"/>
      <c r="OC8" s="275"/>
      <c r="OD8" s="275"/>
      <c r="OE8" s="275"/>
      <c r="OF8" s="275"/>
      <c r="OG8" s="275"/>
      <c r="OH8" s="275"/>
      <c r="OI8" s="275"/>
      <c r="OJ8" s="275"/>
      <c r="OK8" s="275"/>
      <c r="OL8" s="275"/>
      <c r="OM8" s="275"/>
      <c r="ON8" s="275"/>
      <c r="OO8" s="275"/>
      <c r="OP8" s="275"/>
      <c r="OQ8" s="275"/>
      <c r="OR8" s="275"/>
      <c r="OS8" s="275"/>
      <c r="OT8" s="275"/>
      <c r="OU8" s="275"/>
      <c r="OV8" s="275"/>
      <c r="OW8" s="275"/>
      <c r="OX8" s="275"/>
      <c r="OY8" s="275"/>
      <c r="OZ8" s="275"/>
      <c r="PA8" s="275"/>
      <c r="PB8" s="275"/>
      <c r="PC8" s="275"/>
      <c r="PD8" s="275"/>
      <c r="PE8" s="275"/>
      <c r="PF8" s="275"/>
      <c r="PG8" s="275"/>
      <c r="PH8" s="275"/>
      <c r="PI8" s="275"/>
      <c r="PJ8" s="275"/>
      <c r="PK8" s="275"/>
      <c r="PL8" s="275"/>
      <c r="PM8" s="275"/>
      <c r="PN8" s="275"/>
      <c r="PO8" s="275"/>
      <c r="PP8" s="275"/>
      <c r="PQ8" s="275"/>
      <c r="PR8" s="275"/>
      <c r="PS8" s="275"/>
      <c r="PT8" s="275"/>
      <c r="PU8" s="275"/>
      <c r="PV8" s="275"/>
      <c r="PW8" s="275"/>
      <c r="PX8" s="275"/>
      <c r="PY8" s="275"/>
      <c r="PZ8" s="275"/>
      <c r="QA8" s="275"/>
      <c r="QB8" s="275"/>
      <c r="QC8" s="275"/>
      <c r="QD8" s="275"/>
      <c r="QE8" s="275"/>
      <c r="QF8" s="275"/>
      <c r="QG8" s="275"/>
      <c r="QH8" s="275"/>
      <c r="QI8" s="275"/>
      <c r="QJ8" s="275"/>
      <c r="QK8" s="275"/>
      <c r="QL8" s="275"/>
      <c r="QM8" s="275"/>
      <c r="QN8" s="275"/>
      <c r="QO8" s="275"/>
      <c r="QP8" s="275"/>
      <c r="QQ8" s="275"/>
      <c r="QR8" s="275"/>
      <c r="QS8" s="275"/>
      <c r="QT8" s="275"/>
      <c r="QU8" s="275"/>
      <c r="QV8" s="275"/>
      <c r="QW8" s="275"/>
      <c r="QX8" s="275"/>
      <c r="QY8" s="275"/>
      <c r="QZ8" s="275"/>
      <c r="RA8" s="275"/>
      <c r="RB8" s="275"/>
      <c r="RC8" s="275"/>
      <c r="RD8" s="275"/>
      <c r="RE8" s="275"/>
      <c r="RF8" s="275"/>
      <c r="RG8" s="275"/>
      <c r="RH8" s="275"/>
      <c r="RI8" s="275"/>
      <c r="RJ8" s="275"/>
      <c r="RK8" s="275"/>
      <c r="RL8" s="275"/>
      <c r="RM8" s="275"/>
      <c r="RN8" s="275"/>
      <c r="RO8" s="275"/>
      <c r="RP8" s="275"/>
      <c r="RQ8" s="275"/>
      <c r="RR8" s="275"/>
      <c r="RS8" s="275"/>
      <c r="RT8" s="275"/>
      <c r="RU8" s="275"/>
      <c r="RV8" s="275"/>
      <c r="RW8" s="275"/>
      <c r="RX8" s="275"/>
      <c r="RY8" s="275"/>
      <c r="RZ8" s="275"/>
      <c r="SA8" s="275"/>
      <c r="SB8" s="275"/>
      <c r="SC8" s="275"/>
      <c r="SD8" s="275"/>
      <c r="SE8" s="275"/>
      <c r="SF8" s="275"/>
      <c r="SG8" s="275"/>
      <c r="SH8" s="275"/>
      <c r="SI8" s="275"/>
      <c r="SJ8" s="275"/>
      <c r="SK8" s="275"/>
      <c r="SL8" s="275"/>
      <c r="SM8" s="275"/>
      <c r="SN8" s="275"/>
      <c r="SO8" s="275"/>
      <c r="SP8" s="275"/>
      <c r="SQ8" s="275"/>
      <c r="SR8" s="275"/>
      <c r="SS8" s="275"/>
      <c r="ST8" s="275"/>
      <c r="SU8" s="275"/>
      <c r="SV8" s="275"/>
      <c r="SW8" s="275"/>
      <c r="SX8" s="275"/>
      <c r="SY8" s="275"/>
      <c r="SZ8" s="275"/>
      <c r="TA8" s="275"/>
      <c r="TB8" s="275"/>
      <c r="TC8" s="275"/>
      <c r="TD8" s="275"/>
      <c r="TE8" s="275"/>
      <c r="TF8" s="275"/>
      <c r="TG8" s="275"/>
      <c r="TH8" s="275"/>
      <c r="TI8" s="275"/>
      <c r="TJ8" s="275"/>
      <c r="TK8" s="275"/>
      <c r="TL8" s="275"/>
      <c r="TM8" s="275"/>
      <c r="TN8" s="275"/>
      <c r="TO8" s="275"/>
      <c r="TP8" s="275"/>
      <c r="TQ8" s="275"/>
      <c r="TR8" s="275"/>
      <c r="TS8" s="275"/>
      <c r="TT8" s="275"/>
      <c r="TU8" s="275"/>
      <c r="TV8" s="275"/>
      <c r="TW8" s="275"/>
      <c r="TX8" s="275"/>
      <c r="TY8" s="275"/>
      <c r="TZ8" s="275"/>
      <c r="UA8" s="275"/>
      <c r="UB8" s="275"/>
      <c r="UC8" s="275"/>
      <c r="UD8" s="275"/>
      <c r="UE8" s="275"/>
      <c r="UF8" s="275"/>
      <c r="UG8" s="275"/>
      <c r="UH8" s="275"/>
      <c r="UI8" s="275"/>
      <c r="UJ8" s="275"/>
      <c r="UK8" s="275"/>
      <c r="UL8" s="275"/>
      <c r="UM8" s="275"/>
      <c r="UN8" s="275"/>
      <c r="UO8" s="275"/>
      <c r="UP8" s="275"/>
      <c r="UQ8" s="275"/>
      <c r="UR8" s="275"/>
      <c r="US8" s="275"/>
      <c r="UT8" s="275"/>
      <c r="UU8" s="275"/>
      <c r="UV8" s="275"/>
      <c r="UW8" s="275"/>
      <c r="UX8" s="275"/>
      <c r="UY8" s="275"/>
      <c r="UZ8" s="275"/>
      <c r="VA8" s="275"/>
      <c r="VB8" s="275"/>
      <c r="VC8" s="275"/>
      <c r="VD8" s="275"/>
      <c r="VE8" s="275"/>
      <c r="VF8" s="275"/>
      <c r="VG8" s="275"/>
      <c r="VH8" s="275"/>
      <c r="VI8" s="275"/>
      <c r="VJ8" s="275"/>
      <c r="VK8" s="275"/>
      <c r="VL8" s="275"/>
      <c r="VM8" s="275"/>
      <c r="VN8" s="275"/>
      <c r="VO8" s="275"/>
      <c r="VP8" s="275"/>
      <c r="VQ8" s="275"/>
      <c r="VR8" s="275"/>
      <c r="VS8" s="275"/>
      <c r="VT8" s="275"/>
      <c r="VU8" s="275"/>
      <c r="VV8" s="275"/>
      <c r="VW8" s="275"/>
      <c r="VX8" s="275"/>
      <c r="VY8" s="275"/>
      <c r="VZ8" s="275"/>
      <c r="WA8" s="275"/>
      <c r="WB8" s="275"/>
      <c r="WC8" s="275"/>
      <c r="WD8" s="275"/>
      <c r="WE8" s="275"/>
      <c r="WF8" s="275"/>
      <c r="WG8" s="275"/>
      <c r="WH8" s="275"/>
      <c r="WI8" s="275"/>
      <c r="WJ8" s="275"/>
      <c r="WK8" s="275"/>
      <c r="WL8" s="275"/>
      <c r="WM8" s="275"/>
      <c r="WN8" s="275"/>
      <c r="WO8" s="275"/>
      <c r="WP8" s="275"/>
      <c r="WQ8" s="275"/>
      <c r="WR8" s="275"/>
      <c r="WS8" s="275"/>
      <c r="WT8" s="275"/>
      <c r="WU8" s="275"/>
      <c r="WV8" s="275"/>
      <c r="WW8" s="275"/>
      <c r="WX8" s="275"/>
      <c r="WY8" s="275"/>
      <c r="WZ8" s="275"/>
      <c r="XA8" s="275"/>
      <c r="XB8" s="275"/>
      <c r="XC8" s="275"/>
      <c r="XD8" s="275"/>
      <c r="XE8" s="275"/>
      <c r="XF8" s="275"/>
      <c r="XG8" s="275"/>
      <c r="XH8" s="275"/>
      <c r="XI8" s="275"/>
      <c r="XJ8" s="275"/>
      <c r="XK8" s="275"/>
      <c r="XL8" s="275"/>
      <c r="XM8" s="275"/>
      <c r="XN8" s="275"/>
      <c r="XO8" s="275"/>
      <c r="XP8" s="275"/>
      <c r="XQ8" s="275"/>
      <c r="XR8" s="275"/>
      <c r="XS8" s="275"/>
      <c r="XT8" s="275"/>
      <c r="XU8" s="275"/>
      <c r="XV8" s="275"/>
      <c r="XW8" s="275"/>
      <c r="XX8" s="275"/>
      <c r="XY8" s="275"/>
      <c r="XZ8" s="275"/>
      <c r="YA8" s="275"/>
      <c r="YB8" s="275"/>
      <c r="YC8" s="275"/>
      <c r="YD8" s="275"/>
      <c r="YE8" s="275"/>
      <c r="YF8" s="275"/>
      <c r="YG8" s="275"/>
      <c r="YH8" s="275"/>
      <c r="YI8" s="275"/>
      <c r="YJ8" s="275"/>
      <c r="YK8" s="275"/>
      <c r="YL8" s="275"/>
      <c r="YM8" s="275"/>
      <c r="YN8" s="275"/>
      <c r="YO8" s="275"/>
      <c r="YP8" s="275"/>
      <c r="YQ8" s="275"/>
      <c r="YR8" s="275"/>
      <c r="YS8" s="275"/>
      <c r="YT8" s="275"/>
      <c r="YU8" s="275"/>
      <c r="YV8" s="275"/>
      <c r="YW8" s="275"/>
      <c r="YX8" s="275"/>
      <c r="YY8" s="275"/>
      <c r="YZ8" s="275"/>
      <c r="ZA8" s="275"/>
      <c r="ZB8" s="275"/>
      <c r="ZC8" s="275"/>
      <c r="ZD8" s="275"/>
      <c r="ZE8" s="275"/>
      <c r="ZF8" s="275"/>
      <c r="ZG8" s="275"/>
      <c r="ZH8" s="275"/>
      <c r="ZI8" s="275"/>
      <c r="ZJ8" s="275"/>
      <c r="ZK8" s="275"/>
      <c r="ZL8" s="275"/>
      <c r="ZM8" s="275"/>
      <c r="ZN8" s="275"/>
      <c r="ZO8" s="275"/>
      <c r="ZP8" s="275"/>
      <c r="ZQ8" s="275"/>
      <c r="ZR8" s="275"/>
      <c r="ZS8" s="275"/>
      <c r="ZT8" s="275"/>
      <c r="ZU8" s="275"/>
      <c r="ZV8" s="275"/>
      <c r="ZW8" s="275"/>
      <c r="ZX8" s="275"/>
      <c r="ZY8" s="275"/>
      <c r="ZZ8" s="275"/>
      <c r="AAA8" s="275"/>
      <c r="AAB8" s="275"/>
      <c r="AAC8" s="275"/>
      <c r="AAD8" s="275"/>
      <c r="AAE8" s="275"/>
      <c r="AAF8" s="275"/>
      <c r="AAG8" s="275"/>
      <c r="AAH8" s="275"/>
      <c r="AAI8" s="275"/>
      <c r="AAJ8" s="275"/>
      <c r="AAK8" s="275"/>
      <c r="AAL8" s="275"/>
      <c r="AAM8" s="275"/>
      <c r="AAN8" s="275"/>
      <c r="AAO8" s="275"/>
      <c r="AAP8" s="275"/>
      <c r="AAQ8" s="275"/>
      <c r="AAR8" s="275"/>
      <c r="AAS8" s="275"/>
      <c r="AAT8" s="275"/>
      <c r="AAU8" s="275"/>
      <c r="AAV8" s="275"/>
      <c r="AAW8" s="275"/>
      <c r="AAX8" s="275"/>
      <c r="AAY8" s="275"/>
      <c r="AAZ8" s="275"/>
      <c r="ABA8" s="275"/>
      <c r="ABB8" s="275"/>
      <c r="ABC8" s="275"/>
      <c r="ABD8" s="275"/>
      <c r="ABE8" s="275"/>
      <c r="ABF8" s="275"/>
      <c r="ABG8" s="275"/>
      <c r="ABH8" s="275"/>
      <c r="ABI8" s="275"/>
      <c r="ABJ8" s="275"/>
      <c r="ABK8" s="275"/>
      <c r="ABL8" s="275"/>
      <c r="ABM8" s="275"/>
      <c r="ABN8" s="275"/>
      <c r="ABO8" s="275"/>
      <c r="ABP8" s="275"/>
      <c r="ABQ8" s="275"/>
      <c r="ABR8" s="275"/>
      <c r="ABS8" s="275"/>
      <c r="ABT8" s="275"/>
      <c r="ABU8" s="275"/>
      <c r="ABV8" s="275"/>
      <c r="ABW8" s="275"/>
      <c r="ABX8" s="275"/>
      <c r="ABY8" s="275"/>
      <c r="ABZ8" s="275"/>
      <c r="ACA8" s="275"/>
      <c r="ACB8" s="275"/>
      <c r="ACC8" s="275"/>
      <c r="ACD8" s="275"/>
      <c r="ACE8" s="275"/>
      <c r="ACF8" s="275"/>
      <c r="ACG8" s="275"/>
      <c r="ACH8" s="275"/>
      <c r="ACI8" s="275"/>
      <c r="ACJ8" s="275"/>
      <c r="ACK8" s="275"/>
      <c r="ACL8" s="275"/>
      <c r="ACM8" s="275"/>
      <c r="ACN8" s="275"/>
      <c r="ACO8" s="275"/>
      <c r="ACP8" s="275"/>
      <c r="ACQ8" s="275"/>
      <c r="ACR8" s="275"/>
      <c r="ACS8" s="275"/>
      <c r="ACT8" s="275"/>
      <c r="ACU8" s="275"/>
      <c r="ACV8" s="275"/>
      <c r="ACW8" s="275"/>
      <c r="ACX8" s="275"/>
      <c r="ACY8" s="275"/>
      <c r="ACZ8" s="275"/>
      <c r="ADA8" s="275"/>
      <c r="ADB8" s="275"/>
      <c r="ADC8" s="275"/>
      <c r="ADD8" s="275"/>
      <c r="ADE8" s="275"/>
      <c r="ADF8" s="275"/>
      <c r="ADG8" s="275"/>
      <c r="ADH8" s="275"/>
      <c r="ADI8" s="275"/>
      <c r="ADJ8" s="275"/>
      <c r="ADK8" s="275"/>
      <c r="ADL8" s="275"/>
      <c r="ADM8" s="275"/>
      <c r="ADN8" s="275"/>
      <c r="ADO8" s="275"/>
      <c r="ADP8" s="275"/>
      <c r="ADQ8" s="275"/>
      <c r="ADR8" s="275"/>
      <c r="ADS8" s="275"/>
      <c r="ADT8" s="275"/>
      <c r="ADU8" s="275"/>
      <c r="ADV8" s="275"/>
      <c r="ADW8" s="275"/>
      <c r="ADX8" s="275"/>
      <c r="ADY8" s="275"/>
      <c r="ADZ8" s="275"/>
      <c r="AEA8" s="275"/>
      <c r="AEB8" s="275"/>
      <c r="AEC8" s="275"/>
      <c r="AED8" s="275"/>
      <c r="AEE8" s="275"/>
      <c r="AEF8" s="275"/>
      <c r="AEG8" s="275"/>
      <c r="AEH8" s="275"/>
      <c r="AEI8" s="275"/>
      <c r="AEJ8" s="275"/>
      <c r="AEK8" s="275"/>
      <c r="AEL8" s="275"/>
      <c r="AEM8" s="275"/>
      <c r="AEN8" s="275"/>
      <c r="AEO8" s="275"/>
      <c r="AEP8" s="275"/>
      <c r="AEQ8" s="275"/>
      <c r="AER8" s="275"/>
      <c r="AES8" s="275"/>
      <c r="AET8" s="275"/>
      <c r="AEU8" s="275"/>
      <c r="AEV8" s="275"/>
      <c r="AEW8" s="275"/>
      <c r="AEX8" s="275"/>
      <c r="AEY8" s="275"/>
      <c r="AEZ8" s="275"/>
      <c r="AFA8" s="275"/>
      <c r="AFB8" s="275"/>
      <c r="AFC8" s="275"/>
      <c r="AFD8" s="275"/>
      <c r="AFE8" s="275"/>
      <c r="AFF8" s="275"/>
      <c r="AFG8" s="275"/>
      <c r="AFH8" s="275"/>
      <c r="AFI8" s="275"/>
      <c r="AFJ8" s="275"/>
      <c r="AFK8" s="275"/>
      <c r="AFL8" s="275"/>
      <c r="AFM8" s="275"/>
      <c r="AFN8" s="275"/>
      <c r="AFO8" s="275"/>
      <c r="AFP8" s="275"/>
      <c r="AFQ8" s="275"/>
      <c r="AFR8" s="275"/>
      <c r="AFS8" s="275"/>
      <c r="AFT8" s="275"/>
      <c r="AFU8" s="275"/>
      <c r="AFV8" s="275"/>
      <c r="AFW8" s="275"/>
      <c r="AFX8" s="275"/>
      <c r="AFY8" s="275"/>
      <c r="AFZ8" s="275"/>
      <c r="AGA8" s="275"/>
      <c r="AGB8" s="275"/>
      <c r="AGC8" s="275"/>
      <c r="AGD8" s="275"/>
      <c r="AGE8" s="275"/>
      <c r="AGF8" s="275"/>
      <c r="AGG8" s="275"/>
      <c r="AGH8" s="275"/>
      <c r="AGI8" s="275"/>
      <c r="AGJ8" s="275"/>
      <c r="AGK8" s="275"/>
      <c r="AGL8" s="275"/>
      <c r="AGM8" s="275"/>
      <c r="AGN8" s="275"/>
      <c r="AGO8" s="275"/>
      <c r="AGP8" s="275"/>
      <c r="AGQ8" s="275"/>
      <c r="AGR8" s="275"/>
      <c r="AGS8" s="275"/>
      <c r="AGT8" s="275"/>
      <c r="AGU8" s="275"/>
      <c r="AGV8" s="275"/>
      <c r="AGW8" s="275"/>
      <c r="AGX8" s="275"/>
      <c r="AGY8" s="275"/>
      <c r="AGZ8" s="275"/>
      <c r="AHA8" s="275"/>
      <c r="AHB8" s="275"/>
      <c r="AHC8" s="275"/>
      <c r="AHD8" s="275"/>
      <c r="AHE8" s="275"/>
      <c r="AHF8" s="275"/>
      <c r="AHG8" s="275"/>
      <c r="AHH8" s="275"/>
      <c r="AHI8" s="275"/>
      <c r="AHJ8" s="275"/>
      <c r="AHK8" s="275"/>
      <c r="AHL8" s="275"/>
      <c r="AHM8" s="275"/>
      <c r="AHN8" s="275"/>
      <c r="AHO8" s="275"/>
      <c r="AHP8" s="275"/>
      <c r="AHQ8" s="275"/>
      <c r="AHR8" s="275"/>
      <c r="AHS8" s="275"/>
      <c r="AHT8" s="275"/>
      <c r="AHU8" s="275"/>
      <c r="AHV8" s="275"/>
      <c r="AHW8" s="275"/>
      <c r="AHX8" s="275"/>
      <c r="AHY8" s="275"/>
      <c r="AHZ8" s="275"/>
      <c r="AIA8" s="275"/>
      <c r="AIB8" s="275"/>
      <c r="AIC8" s="275"/>
      <c r="AID8" s="275"/>
      <c r="AIE8" s="275"/>
      <c r="AIF8" s="275"/>
      <c r="AIG8" s="275"/>
      <c r="AIH8" s="275"/>
      <c r="AII8" s="275"/>
      <c r="AIJ8" s="275"/>
      <c r="AIK8" s="275"/>
      <c r="AIL8" s="275"/>
      <c r="AIM8" s="275"/>
      <c r="AIN8" s="275"/>
      <c r="AIO8" s="275"/>
      <c r="AIP8" s="275"/>
      <c r="AIQ8" s="275"/>
      <c r="AIR8" s="275"/>
      <c r="AIS8" s="275"/>
      <c r="AIT8" s="275"/>
      <c r="AIU8" s="275"/>
      <c r="AIV8" s="275"/>
      <c r="AIW8" s="275"/>
      <c r="AIX8" s="275"/>
      <c r="AIY8" s="275"/>
      <c r="AIZ8" s="275"/>
      <c r="AJA8" s="275"/>
      <c r="AJB8" s="275"/>
      <c r="AJC8" s="275"/>
      <c r="AJD8" s="275"/>
      <c r="AJE8" s="275"/>
      <c r="AJF8" s="275"/>
      <c r="AJG8" s="275"/>
      <c r="AJH8" s="275"/>
      <c r="AJI8" s="275"/>
      <c r="AJJ8" s="275"/>
      <c r="AJK8" s="275"/>
      <c r="AJL8" s="275"/>
      <c r="AJM8" s="275"/>
      <c r="AJN8" s="275"/>
      <c r="AJO8" s="275"/>
      <c r="AJP8" s="275"/>
      <c r="AJQ8" s="275"/>
      <c r="AJR8" s="275"/>
      <c r="AJS8" s="275"/>
      <c r="AJT8" s="275"/>
      <c r="AJU8" s="275"/>
      <c r="AJV8" s="275"/>
      <c r="AJW8" s="275"/>
      <c r="AJX8" s="275"/>
      <c r="AJY8" s="275"/>
      <c r="AJZ8" s="275"/>
      <c r="AKA8" s="275"/>
      <c r="AKB8" s="275"/>
      <c r="AKC8" s="275"/>
      <c r="AKD8" s="275"/>
      <c r="AKE8" s="275"/>
      <c r="AKF8" s="275"/>
      <c r="AKG8" s="275"/>
      <c r="AKH8" s="275"/>
      <c r="AKI8" s="275"/>
      <c r="AKJ8" s="275"/>
      <c r="AKK8" s="275"/>
      <c r="AKL8" s="275"/>
      <c r="AKM8" s="275"/>
      <c r="AKN8" s="275"/>
      <c r="AKO8" s="275"/>
      <c r="AKP8" s="275"/>
      <c r="AKQ8" s="275"/>
      <c r="AKR8" s="275"/>
      <c r="AKS8" s="275"/>
      <c r="AKT8" s="275"/>
      <c r="AKU8" s="275"/>
      <c r="AKV8" s="275"/>
      <c r="AKW8" s="275"/>
      <c r="AKX8" s="275"/>
      <c r="AKY8" s="275"/>
      <c r="AKZ8" s="275"/>
      <c r="ALA8" s="275"/>
      <c r="ALB8" s="275"/>
      <c r="ALC8" s="275"/>
      <c r="ALD8" s="275"/>
      <c r="ALE8" s="275"/>
      <c r="ALF8" s="275"/>
      <c r="ALG8" s="275"/>
      <c r="ALH8" s="275"/>
      <c r="ALI8" s="275"/>
      <c r="ALJ8" s="275"/>
      <c r="ALK8" s="275"/>
      <c r="ALL8" s="275"/>
      <c r="ALM8" s="275"/>
      <c r="ALN8" s="275"/>
      <c r="ALO8" s="275"/>
      <c r="ALP8" s="275"/>
      <c r="ALQ8" s="275"/>
      <c r="ALR8" s="275"/>
      <c r="ALS8" s="275"/>
      <c r="ALT8" s="275"/>
      <c r="ALU8" s="275"/>
      <c r="ALV8" s="275"/>
      <c r="ALW8" s="275"/>
      <c r="ALX8" s="275"/>
      <c r="ALY8" s="275"/>
      <c r="ALZ8" s="275"/>
      <c r="AMA8" s="275"/>
      <c r="AMB8" s="275"/>
      <c r="AMC8" s="275"/>
      <c r="AMD8" s="275"/>
      <c r="AME8" s="275"/>
      <c r="AMF8" s="275"/>
      <c r="AMG8" s="275"/>
      <c r="AMH8" s="275"/>
      <c r="AMI8" s="275"/>
      <c r="AMJ8" s="275"/>
      <c r="AMK8" s="275"/>
      <c r="AML8" s="275"/>
      <c r="AMM8" s="275"/>
      <c r="AMN8" s="275"/>
      <c r="AMO8" s="275"/>
      <c r="AMP8" s="275"/>
    </row>
    <row r="9" spans="1:1030" s="226" customFormat="1" ht="13" x14ac:dyDescent="0.3">
      <c r="A9" s="227"/>
      <c r="B9" s="228"/>
      <c r="C9" s="229">
        <f>SUM(C10:C344)</f>
        <v>61919.115740740854</v>
      </c>
      <c r="D9" s="424">
        <f>SUM(D10:D344)</f>
        <v>0.99999999999999822</v>
      </c>
      <c r="E9" s="230"/>
      <c r="F9" s="231"/>
      <c r="G9" s="231"/>
      <c r="H9" s="231"/>
      <c r="I9" s="231"/>
      <c r="J9" s="232"/>
      <c r="K9" s="473">
        <f>SUM(K10:K344)</f>
        <v>0.94967210169606575</v>
      </c>
      <c r="L9" s="473">
        <f t="shared" ref="L9:P9" si="17">SUM(L10:L344)</f>
        <v>0.89942783192589393</v>
      </c>
      <c r="M9" s="473">
        <f t="shared" si="17"/>
        <v>0.84842176783384204</v>
      </c>
      <c r="N9" s="473">
        <f t="shared" si="17"/>
        <v>0.79229974952762716</v>
      </c>
      <c r="O9" s="473">
        <f t="shared" si="17"/>
        <v>0.73707657286473338</v>
      </c>
      <c r="P9" s="473">
        <f t="shared" si="17"/>
        <v>0.68319137093537929</v>
      </c>
      <c r="Q9" s="272">
        <f>SUM(Q10:Q367)</f>
        <v>80132.491889334357</v>
      </c>
      <c r="R9" s="272">
        <f>SUM(R10:R367)</f>
        <v>76077.434636185237</v>
      </c>
      <c r="S9" s="272">
        <f>SUM(S10:S344)</f>
        <v>71459.556121754897</v>
      </c>
      <c r="T9" s="272">
        <f>SUM(T10:T344)</f>
        <v>66639.844754698992</v>
      </c>
      <c r="U9" s="272">
        <f>SUM(U10:U344)</f>
        <v>62558.108004535039</v>
      </c>
      <c r="V9" s="272">
        <f>SUM(V10:V344)</f>
        <v>58802.856780671289</v>
      </c>
      <c r="W9" s="272">
        <f>(+V9/K9)*L9</f>
        <v>55691.776025463012</v>
      </c>
      <c r="X9" s="272">
        <f>(+W9/L9)*M9</f>
        <v>52533.525639467603</v>
      </c>
      <c r="Y9" s="272">
        <f>(+X9/M9)*N9</f>
        <v>49058.499892361113</v>
      </c>
      <c r="Z9" s="272">
        <f>(+Y9/N9)*O9</f>
        <v>45639.129625000016</v>
      </c>
      <c r="AA9" s="272">
        <f>(+Z9/O9)*P9</f>
        <v>42302.605570023145</v>
      </c>
      <c r="AB9" s="227"/>
      <c r="AC9" s="228"/>
      <c r="AD9" s="310">
        <v>2023065000</v>
      </c>
      <c r="AE9" s="310">
        <v>1921328000</v>
      </c>
      <c r="AF9" s="310">
        <v>1853389000</v>
      </c>
      <c r="AG9" s="310">
        <v>1942586000</v>
      </c>
      <c r="AH9" s="235">
        <f>1780879000+45000000</f>
        <v>1825879000</v>
      </c>
      <c r="AI9" s="235">
        <f>1777781000+10000000</f>
        <v>1787781000</v>
      </c>
      <c r="AJ9" s="233">
        <v>1712184000</v>
      </c>
      <c r="AK9" s="233">
        <v>1646919000</v>
      </c>
      <c r="AL9" s="233">
        <v>1580062999.9999998</v>
      </c>
      <c r="AM9" s="233">
        <v>1514000000</v>
      </c>
      <c r="AN9" s="234">
        <v>1447966999.9999998</v>
      </c>
      <c r="AO9" s="233"/>
      <c r="AP9" s="233"/>
    </row>
    <row r="10" spans="1:1030" ht="12.75" customHeight="1" x14ac:dyDescent="0.35">
      <c r="A10" s="17">
        <v>358</v>
      </c>
      <c r="B10" s="236" t="s">
        <v>12</v>
      </c>
      <c r="C10" s="420">
        <v>24.481481481481499</v>
      </c>
      <c r="D10" s="360">
        <v>3.9537840921351279E-4</v>
      </c>
      <c r="E10" s="421">
        <v>0.97499999999999998</v>
      </c>
      <c r="F10" s="421">
        <v>0.94899999999999995</v>
      </c>
      <c r="G10" s="421">
        <v>0.85299999999999998</v>
      </c>
      <c r="H10" s="421">
        <v>0.76500000000000001</v>
      </c>
      <c r="I10" s="421">
        <v>0.67700000000000005</v>
      </c>
      <c r="J10" s="421">
        <v>0.66</v>
      </c>
      <c r="K10" s="361">
        <v>3.8549394898317496E-4</v>
      </c>
      <c r="L10" s="362">
        <v>3.7521411034362363E-4</v>
      </c>
      <c r="M10" s="362">
        <v>3.3725778305912643E-4</v>
      </c>
      <c r="N10" s="362">
        <v>3.0246448304833729E-4</v>
      </c>
      <c r="O10" s="362">
        <v>2.6767118303754815E-4</v>
      </c>
      <c r="P10" s="363">
        <v>2.6094975008091845E-4</v>
      </c>
      <c r="Q10" s="273">
        <v>38.15208333333333</v>
      </c>
      <c r="R10" s="273">
        <v>35.939814814814802</v>
      </c>
      <c r="S10" s="273">
        <v>35.241882993226959</v>
      </c>
      <c r="T10" s="273">
        <v>32.701945521957839</v>
      </c>
      <c r="U10" s="273">
        <v>25.516817432686569</v>
      </c>
      <c r="V10" s="273">
        <f t="shared" ref="V10:AA10" si="18">+E10*$C10</f>
        <v>23.869444444444461</v>
      </c>
      <c r="W10" s="273">
        <f t="shared" si="18"/>
        <v>23.23292592592594</v>
      </c>
      <c r="X10" s="273">
        <f t="shared" si="18"/>
        <v>20.882703703703719</v>
      </c>
      <c r="Y10" s="273">
        <f t="shared" si="18"/>
        <v>18.728333333333346</v>
      </c>
      <c r="Z10" s="273">
        <f t="shared" si="18"/>
        <v>16.573962962962977</v>
      </c>
      <c r="AA10" s="273">
        <f t="shared" si="18"/>
        <v>16.157777777777788</v>
      </c>
      <c r="AB10" s="96">
        <v>358</v>
      </c>
      <c r="AC10" s="97" t="s">
        <v>12</v>
      </c>
      <c r="AD10" s="159"/>
      <c r="AE10" s="159"/>
      <c r="AF10" s="159"/>
      <c r="AG10" s="159"/>
      <c r="AH10" s="159"/>
      <c r="AI10" s="159">
        <f t="shared" ref="AI10" si="19">+V10*AI$8</f>
        <v>725701.80420826492</v>
      </c>
      <c r="AJ10" s="159">
        <f t="shared" ref="AJ10:AJ31" si="20">+W10*AJ$8</f>
        <v>714271.42178708897</v>
      </c>
      <c r="AK10" s="159">
        <f t="shared" ref="AK10:AK31" si="21">+X10*AK$8</f>
        <v>654669.96708025562</v>
      </c>
      <c r="AL10" s="159">
        <f t="shared" ref="AL10:AL31" si="22">+Y10*AL$8</f>
        <v>603197.1343721099</v>
      </c>
      <c r="AM10" s="159">
        <f t="shared" ref="AM10:AM31" si="23">+Z10*AM$8</f>
        <v>549812.84989669512</v>
      </c>
      <c r="AN10" s="159">
        <f t="shared" ref="AN10:AN31" si="24">+AA10*AN$8</f>
        <v>553061.18146383401</v>
      </c>
    </row>
    <row r="11" spans="1:1030" x14ac:dyDescent="0.35">
      <c r="A11" s="46">
        <v>197</v>
      </c>
      <c r="B11" s="240" t="s">
        <v>13</v>
      </c>
      <c r="C11" s="364">
        <v>219.44907407407399</v>
      </c>
      <c r="D11" s="365">
        <v>3.5441248061894286E-3</v>
      </c>
      <c r="E11" s="191">
        <v>0.94499999999999995</v>
      </c>
      <c r="F11" s="191">
        <v>0.89800000000000002</v>
      </c>
      <c r="G11" s="191">
        <v>0.85699999999999998</v>
      </c>
      <c r="H11" s="191">
        <v>0.80100000000000005</v>
      </c>
      <c r="I11" s="191">
        <v>0.73399999999999999</v>
      </c>
      <c r="J11" s="191">
        <v>0.68500000000000005</v>
      </c>
      <c r="K11" s="361">
        <v>3.3491979418490097E-3</v>
      </c>
      <c r="L11" s="362">
        <v>3.1826240759581072E-3</v>
      </c>
      <c r="M11" s="362">
        <v>3.0373149589043402E-3</v>
      </c>
      <c r="N11" s="362">
        <v>2.8388439697577326E-3</v>
      </c>
      <c r="O11" s="362">
        <v>2.6013876077430405E-3</v>
      </c>
      <c r="P11" s="363">
        <v>2.4277254922397589E-3</v>
      </c>
      <c r="Q11" s="273">
        <v>273.14831558725558</v>
      </c>
      <c r="R11" s="273">
        <v>250.55913216249013</v>
      </c>
      <c r="S11" s="273">
        <v>234.78015446998302</v>
      </c>
      <c r="T11" s="273">
        <v>224.77696092570258</v>
      </c>
      <c r="U11" s="273">
        <v>219.52657130128142</v>
      </c>
      <c r="V11" s="273">
        <f t="shared" ref="V11:V73" si="25">+E11*C11</f>
        <v>207.3793749999999</v>
      </c>
      <c r="W11" s="273">
        <f t="shared" ref="W11:W73" si="26">+F11*$C11</f>
        <v>197.06526851851845</v>
      </c>
      <c r="X11" s="273">
        <f t="shared" ref="X11:X73" si="27">+G11*$C11</f>
        <v>188.06785648148141</v>
      </c>
      <c r="Y11" s="273">
        <f t="shared" ref="Y11:Y73" si="28">+H11*$C11</f>
        <v>175.77870833333327</v>
      </c>
      <c r="Z11" s="273">
        <f t="shared" ref="Z11:Z73" si="29">+I11*$C11</f>
        <v>161.0756203703703</v>
      </c>
      <c r="AA11" s="273">
        <f t="shared" ref="AA11:AA73" si="30">+J11*$C11</f>
        <v>150.3226157407407</v>
      </c>
      <c r="AB11" s="100">
        <v>197</v>
      </c>
      <c r="AC11" s="101" t="s">
        <v>13</v>
      </c>
      <c r="AD11" s="159"/>
      <c r="AE11" s="159"/>
      <c r="AF11" s="164"/>
      <c r="AG11" s="164"/>
      <c r="AH11" s="164"/>
      <c r="AI11" s="159">
        <f t="shared" ref="AI11:AI74" si="31">+V11*AI$8</f>
        <v>6304947.1864901176</v>
      </c>
      <c r="AJ11" s="159">
        <f t="shared" si="20"/>
        <v>6058560.5953532849</v>
      </c>
      <c r="AK11" s="159">
        <f t="shared" si="21"/>
        <v>5895902.1378897848</v>
      </c>
      <c r="AL11" s="159">
        <f t="shared" si="22"/>
        <v>5661433.4689132757</v>
      </c>
      <c r="AM11" s="159">
        <f t="shared" si="23"/>
        <v>5343407.9756673388</v>
      </c>
      <c r="AN11" s="159">
        <f t="shared" si="24"/>
        <v>5145361.2375242161</v>
      </c>
    </row>
    <row r="12" spans="1:1030" x14ac:dyDescent="0.35">
      <c r="A12" s="46">
        <v>59</v>
      </c>
      <c r="B12" s="240" t="s">
        <v>14</v>
      </c>
      <c r="C12" s="364">
        <v>157.239583333333</v>
      </c>
      <c r="D12" s="365">
        <v>2.5394352204851376E-3</v>
      </c>
      <c r="E12" s="191">
        <v>0.95699999999999996</v>
      </c>
      <c r="F12" s="191">
        <v>0.91800000000000004</v>
      </c>
      <c r="G12" s="191">
        <v>0.86699999999999999</v>
      </c>
      <c r="H12" s="191">
        <v>0.81200000000000006</v>
      </c>
      <c r="I12" s="191">
        <v>0.77</v>
      </c>
      <c r="J12" s="191">
        <v>0.70499999999999996</v>
      </c>
      <c r="K12" s="361">
        <v>2.4302395060042765E-3</v>
      </c>
      <c r="L12" s="362">
        <v>2.3312015324053565E-3</v>
      </c>
      <c r="M12" s="362">
        <v>2.2016903361606142E-3</v>
      </c>
      <c r="N12" s="362">
        <v>2.062021399033932E-3</v>
      </c>
      <c r="O12" s="362">
        <v>1.9553651197735558E-3</v>
      </c>
      <c r="P12" s="363">
        <v>1.7903018304420218E-3</v>
      </c>
      <c r="Q12" s="273">
        <v>187.63338727374833</v>
      </c>
      <c r="R12" s="273">
        <v>187.86681585693179</v>
      </c>
      <c r="S12" s="273">
        <v>180.89140942155933</v>
      </c>
      <c r="T12" s="273">
        <v>170.24404929206139</v>
      </c>
      <c r="U12" s="273">
        <v>157.5746991763618</v>
      </c>
      <c r="V12" s="273">
        <f t="shared" si="25"/>
        <v>150.47828124999967</v>
      </c>
      <c r="W12" s="273">
        <f t="shared" si="26"/>
        <v>144.34593749999971</v>
      </c>
      <c r="X12" s="273">
        <f t="shared" si="27"/>
        <v>136.32671874999971</v>
      </c>
      <c r="Y12" s="273">
        <f t="shared" si="28"/>
        <v>127.6785416666664</v>
      </c>
      <c r="Z12" s="273">
        <f t="shared" si="29"/>
        <v>121.07447916666641</v>
      </c>
      <c r="AA12" s="273">
        <f t="shared" si="30"/>
        <v>110.85390624999977</v>
      </c>
      <c r="AB12" s="100">
        <v>59</v>
      </c>
      <c r="AC12" s="101" t="s">
        <v>14</v>
      </c>
      <c r="AD12" s="159"/>
      <c r="AE12" s="159"/>
      <c r="AF12" s="164"/>
      <c r="AG12" s="164"/>
      <c r="AH12" s="164"/>
      <c r="AI12" s="159">
        <f t="shared" si="31"/>
        <v>4574985.4149915082</v>
      </c>
      <c r="AJ12" s="159">
        <f t="shared" si="20"/>
        <v>4437761.233175626</v>
      </c>
      <c r="AK12" s="159">
        <f t="shared" si="21"/>
        <v>4273824.3927864833</v>
      </c>
      <c r="AL12" s="159">
        <f t="shared" si="22"/>
        <v>4112236.2082838737</v>
      </c>
      <c r="AM12" s="159">
        <f t="shared" si="23"/>
        <v>4016438.5904047107</v>
      </c>
      <c r="AN12" s="159">
        <f t="shared" si="24"/>
        <v>3794395.0711356993</v>
      </c>
    </row>
    <row r="13" spans="1:1030" x14ac:dyDescent="0.35">
      <c r="A13" s="46">
        <v>482</v>
      </c>
      <c r="B13" s="240" t="s">
        <v>15</v>
      </c>
      <c r="C13" s="364">
        <v>46.960648148148202</v>
      </c>
      <c r="D13" s="365">
        <v>7.5841923106226717E-4</v>
      </c>
      <c r="E13" s="191">
        <v>0.93899999999999995</v>
      </c>
      <c r="F13" s="191">
        <v>0.89700000000000002</v>
      </c>
      <c r="G13" s="191">
        <v>0.86899999999999999</v>
      </c>
      <c r="H13" s="191">
        <v>0.84799999999999998</v>
      </c>
      <c r="I13" s="191">
        <v>0.82599999999999996</v>
      </c>
      <c r="J13" s="191">
        <v>0.75900000000000001</v>
      </c>
      <c r="K13" s="361">
        <v>7.1215565796746883E-4</v>
      </c>
      <c r="L13" s="362">
        <v>6.803020502628537E-4</v>
      </c>
      <c r="M13" s="362">
        <v>6.5906631179311014E-4</v>
      </c>
      <c r="N13" s="362">
        <v>6.4313950794080252E-4</v>
      </c>
      <c r="O13" s="362">
        <v>6.264542848574327E-4</v>
      </c>
      <c r="P13" s="363">
        <v>5.7564019637626083E-4</v>
      </c>
      <c r="Q13" s="273">
        <v>56.414351851851862</v>
      </c>
      <c r="R13" s="273">
        <v>54.7083333333333</v>
      </c>
      <c r="S13" s="273">
        <v>52.238139529601668</v>
      </c>
      <c r="T13" s="273">
        <v>49.886769317678059</v>
      </c>
      <c r="U13" s="273">
        <v>48.586966304057093</v>
      </c>
      <c r="V13" s="273">
        <f t="shared" si="25"/>
        <v>44.096048611111158</v>
      </c>
      <c r="W13" s="273">
        <f t="shared" si="26"/>
        <v>42.123701388888939</v>
      </c>
      <c r="X13" s="273">
        <f t="shared" si="27"/>
        <v>40.808803240740787</v>
      </c>
      <c r="Y13" s="273">
        <f t="shared" si="28"/>
        <v>39.822629629629674</v>
      </c>
      <c r="Z13" s="273">
        <f t="shared" si="29"/>
        <v>38.78949537037041</v>
      </c>
      <c r="AA13" s="273">
        <f t="shared" si="30"/>
        <v>35.643131944444484</v>
      </c>
      <c r="AB13" s="100">
        <v>482</v>
      </c>
      <c r="AC13" s="101" t="s">
        <v>15</v>
      </c>
      <c r="AD13" s="159"/>
      <c r="AE13" s="159"/>
      <c r="AF13" s="164"/>
      <c r="AG13" s="164"/>
      <c r="AH13" s="164"/>
      <c r="AI13" s="159">
        <f t="shared" si="31"/>
        <v>1340650.4751302144</v>
      </c>
      <c r="AJ13" s="159">
        <f t="shared" si="20"/>
        <v>1295048.0786581056</v>
      </c>
      <c r="AK13" s="159">
        <f t="shared" si="21"/>
        <v>1279350.5215257183</v>
      </c>
      <c r="AL13" s="159">
        <f t="shared" si="22"/>
        <v>1282596.5689643754</v>
      </c>
      <c r="AM13" s="159">
        <f t="shared" si="23"/>
        <v>1286775.1088436928</v>
      </c>
      <c r="AN13" s="159">
        <f t="shared" si="24"/>
        <v>1220021.2761545316</v>
      </c>
    </row>
    <row r="14" spans="1:1030" x14ac:dyDescent="0.35">
      <c r="A14" s="46">
        <v>361</v>
      </c>
      <c r="B14" s="240" t="s">
        <v>17</v>
      </c>
      <c r="C14" s="364">
        <v>373.90567129629699</v>
      </c>
      <c r="D14" s="365">
        <v>6.0386145186869756E-3</v>
      </c>
      <c r="E14" s="191">
        <v>0.95799999999999996</v>
      </c>
      <c r="F14" s="191">
        <v>0.91400000000000003</v>
      </c>
      <c r="G14" s="191">
        <v>0.87</v>
      </c>
      <c r="H14" s="191">
        <v>0.82299999999999995</v>
      </c>
      <c r="I14" s="191">
        <v>0.77</v>
      </c>
      <c r="J14" s="191">
        <v>0.70299999999999996</v>
      </c>
      <c r="K14" s="361">
        <v>5.7849927089021229E-3</v>
      </c>
      <c r="L14" s="362">
        <v>5.5192936700798959E-3</v>
      </c>
      <c r="M14" s="362">
        <v>5.2535946312576689E-3</v>
      </c>
      <c r="N14" s="362">
        <v>4.9697797488793809E-3</v>
      </c>
      <c r="O14" s="362">
        <v>4.6497331793889712E-3</v>
      </c>
      <c r="P14" s="363">
        <v>4.2451460066369436E-3</v>
      </c>
      <c r="Q14" s="273">
        <v>470.70078609122697</v>
      </c>
      <c r="R14" s="273">
        <v>449.29594724313165</v>
      </c>
      <c r="S14" s="273">
        <v>421.64757005185686</v>
      </c>
      <c r="T14" s="273">
        <v>398.57194655327936</v>
      </c>
      <c r="U14" s="273">
        <v>378.34797330629669</v>
      </c>
      <c r="V14" s="273">
        <f t="shared" si="25"/>
        <v>358.20163310185251</v>
      </c>
      <c r="W14" s="273">
        <f t="shared" si="26"/>
        <v>341.74978356481546</v>
      </c>
      <c r="X14" s="273">
        <f t="shared" si="27"/>
        <v>325.29793402777835</v>
      </c>
      <c r="Y14" s="273">
        <f t="shared" si="28"/>
        <v>307.72436747685242</v>
      </c>
      <c r="Z14" s="273">
        <f t="shared" si="29"/>
        <v>287.90736689814867</v>
      </c>
      <c r="AA14" s="273">
        <f t="shared" si="30"/>
        <v>262.85568692129675</v>
      </c>
      <c r="AB14" s="100">
        <v>361</v>
      </c>
      <c r="AC14" s="101" t="s">
        <v>17</v>
      </c>
      <c r="AD14" s="159"/>
      <c r="AE14" s="159"/>
      <c r="AF14" s="164"/>
      <c r="AG14" s="164"/>
      <c r="AH14" s="164"/>
      <c r="AI14" s="159">
        <f t="shared" si="31"/>
        <v>10890390.516519262</v>
      </c>
      <c r="AJ14" s="159">
        <f t="shared" si="20"/>
        <v>10506731.032524569</v>
      </c>
      <c r="AK14" s="159">
        <f t="shared" si="21"/>
        <v>10198046.708074018</v>
      </c>
      <c r="AL14" s="159">
        <f t="shared" si="22"/>
        <v>9911103.8518380709</v>
      </c>
      <c r="AM14" s="159">
        <f t="shared" si="23"/>
        <v>9550834.055455476</v>
      </c>
      <c r="AN14" s="159">
        <f t="shared" si="24"/>
        <v>8997232.0923436917</v>
      </c>
    </row>
    <row r="15" spans="1:1030" x14ac:dyDescent="0.35">
      <c r="A15" s="46">
        <v>141</v>
      </c>
      <c r="B15" s="240" t="s">
        <v>18</v>
      </c>
      <c r="C15" s="364">
        <v>381.24884259259301</v>
      </c>
      <c r="D15" s="365">
        <v>6.1572074799792903E-3</v>
      </c>
      <c r="E15" s="191">
        <v>0.93899999999999995</v>
      </c>
      <c r="F15" s="191">
        <v>0.88400000000000001</v>
      </c>
      <c r="G15" s="191">
        <v>0.82199999999999995</v>
      </c>
      <c r="H15" s="191">
        <v>0.755</v>
      </c>
      <c r="I15" s="191">
        <v>0.70199999999999996</v>
      </c>
      <c r="J15" s="191">
        <v>0.65400000000000003</v>
      </c>
      <c r="K15" s="361">
        <v>5.7816178237005533E-3</v>
      </c>
      <c r="L15" s="362">
        <v>5.4429714123016924E-3</v>
      </c>
      <c r="M15" s="362">
        <v>5.0612245485429763E-3</v>
      </c>
      <c r="N15" s="362">
        <v>4.6486916473843639E-3</v>
      </c>
      <c r="O15" s="362">
        <v>4.3223596509454612E-3</v>
      </c>
      <c r="P15" s="363">
        <v>4.0268136919064564E-3</v>
      </c>
      <c r="Q15" s="273">
        <v>512.41231638993838</v>
      </c>
      <c r="R15" s="273">
        <v>477.73761949708557</v>
      </c>
      <c r="S15" s="273">
        <v>450.78602150110771</v>
      </c>
      <c r="T15" s="273">
        <v>424.84859020886398</v>
      </c>
      <c r="U15" s="273">
        <v>387.92394847099064</v>
      </c>
      <c r="V15" s="273">
        <f t="shared" si="25"/>
        <v>357.99266319444479</v>
      </c>
      <c r="W15" s="273">
        <f t="shared" si="26"/>
        <v>337.02397685185224</v>
      </c>
      <c r="X15" s="273">
        <f t="shared" si="27"/>
        <v>313.38654861111144</v>
      </c>
      <c r="Y15" s="273">
        <f t="shared" si="28"/>
        <v>287.84287615740772</v>
      </c>
      <c r="Z15" s="273">
        <f t="shared" si="29"/>
        <v>267.63668750000028</v>
      </c>
      <c r="AA15" s="273">
        <f t="shared" si="30"/>
        <v>249.33674305555584</v>
      </c>
      <c r="AB15" s="100">
        <v>141</v>
      </c>
      <c r="AC15" s="101" t="s">
        <v>18</v>
      </c>
      <c r="AD15" s="159"/>
      <c r="AE15" s="159"/>
      <c r="AF15" s="164"/>
      <c r="AG15" s="164"/>
      <c r="AH15" s="164"/>
      <c r="AI15" s="159">
        <f t="shared" si="31"/>
        <v>10884037.212436967</v>
      </c>
      <c r="AJ15" s="159">
        <f t="shared" si="20"/>
        <v>10361441.167153267</v>
      </c>
      <c r="AK15" s="159">
        <f t="shared" si="21"/>
        <v>9824626.3689621575</v>
      </c>
      <c r="AL15" s="159">
        <f t="shared" si="22"/>
        <v>9270766.1144918203</v>
      </c>
      <c r="AM15" s="159">
        <f t="shared" si="23"/>
        <v>8878388.9658807274</v>
      </c>
      <c r="AN15" s="159">
        <f t="shared" si="24"/>
        <v>8534495.0025433265</v>
      </c>
    </row>
    <row r="16" spans="1:1030" x14ac:dyDescent="0.35">
      <c r="A16" s="46">
        <v>34</v>
      </c>
      <c r="B16" s="240" t="s">
        <v>19</v>
      </c>
      <c r="C16" s="364">
        <v>307.69907407407402</v>
      </c>
      <c r="D16" s="365">
        <v>4.9693712578588647E-3</v>
      </c>
      <c r="E16" s="191">
        <v>0.95799999999999996</v>
      </c>
      <c r="F16" s="191">
        <v>0.91</v>
      </c>
      <c r="G16" s="191">
        <v>0.86599999999999999</v>
      </c>
      <c r="H16" s="191">
        <v>0.80500000000000005</v>
      </c>
      <c r="I16" s="191">
        <v>0.75700000000000001</v>
      </c>
      <c r="J16" s="191">
        <v>0.71499999999999997</v>
      </c>
      <c r="K16" s="361">
        <v>4.7606576650287922E-3</v>
      </c>
      <c r="L16" s="362">
        <v>4.5221278446515674E-3</v>
      </c>
      <c r="M16" s="362">
        <v>4.3034755093057766E-3</v>
      </c>
      <c r="N16" s="362">
        <v>4.0003438625763861E-3</v>
      </c>
      <c r="O16" s="362">
        <v>3.7618140421991604E-3</v>
      </c>
      <c r="P16" s="363">
        <v>3.553100449369088E-3</v>
      </c>
      <c r="Q16" s="273">
        <v>408.71456312495565</v>
      </c>
      <c r="R16" s="273">
        <v>386.42407744221879</v>
      </c>
      <c r="S16" s="273">
        <v>365.00603204268441</v>
      </c>
      <c r="T16" s="273">
        <v>339.21199387866409</v>
      </c>
      <c r="U16" s="273">
        <v>317.97212842706699</v>
      </c>
      <c r="V16" s="273">
        <f t="shared" si="25"/>
        <v>294.77571296296287</v>
      </c>
      <c r="W16" s="273">
        <f t="shared" si="26"/>
        <v>280.00615740740739</v>
      </c>
      <c r="X16" s="273">
        <f t="shared" si="27"/>
        <v>266.46739814814811</v>
      </c>
      <c r="Y16" s="273">
        <f t="shared" si="28"/>
        <v>247.6977546296296</v>
      </c>
      <c r="Z16" s="273">
        <f t="shared" si="29"/>
        <v>232.92819907407403</v>
      </c>
      <c r="AA16" s="273">
        <f t="shared" si="30"/>
        <v>220.00483796296291</v>
      </c>
      <c r="AB16" s="100">
        <v>34</v>
      </c>
      <c r="AC16" s="101" t="s">
        <v>19</v>
      </c>
      <c r="AD16" s="159"/>
      <c r="AE16" s="159"/>
      <c r="AF16" s="164"/>
      <c r="AG16" s="164"/>
      <c r="AH16" s="164"/>
      <c r="AI16" s="159">
        <f t="shared" si="31"/>
        <v>8962054.6985034179</v>
      </c>
      <c r="AJ16" s="159">
        <f t="shared" si="20"/>
        <v>8608489.3826199099</v>
      </c>
      <c r="AK16" s="159">
        <f t="shared" si="21"/>
        <v>8353717.2795623047</v>
      </c>
      <c r="AL16" s="159">
        <f t="shared" si="22"/>
        <v>7977782.8130105091</v>
      </c>
      <c r="AM16" s="159">
        <f t="shared" si="23"/>
        <v>7726994.2765291715</v>
      </c>
      <c r="AN16" s="159">
        <f t="shared" si="24"/>
        <v>7530499.3845688356</v>
      </c>
    </row>
    <row r="17" spans="1:1030" x14ac:dyDescent="0.35">
      <c r="A17" s="46">
        <v>484</v>
      </c>
      <c r="B17" s="240" t="s">
        <v>20</v>
      </c>
      <c r="C17" s="364">
        <v>458.11805555555497</v>
      </c>
      <c r="D17" s="365">
        <v>7.3986530665864714E-3</v>
      </c>
      <c r="E17" s="191">
        <v>0.95</v>
      </c>
      <c r="F17" s="191">
        <v>0.89300000000000002</v>
      </c>
      <c r="G17" s="191">
        <v>0.83899999999999997</v>
      </c>
      <c r="H17" s="191">
        <v>0.78400000000000003</v>
      </c>
      <c r="I17" s="191">
        <v>0.73299999999999998</v>
      </c>
      <c r="J17" s="191">
        <v>0.67900000000000005</v>
      </c>
      <c r="K17" s="361">
        <v>7.0287204132571477E-3</v>
      </c>
      <c r="L17" s="362">
        <v>6.6069971884617192E-3</v>
      </c>
      <c r="M17" s="362">
        <v>6.2074699228660494E-3</v>
      </c>
      <c r="N17" s="362">
        <v>5.8005440042037939E-3</v>
      </c>
      <c r="O17" s="362">
        <v>5.4232126978078837E-3</v>
      </c>
      <c r="P17" s="363">
        <v>5.0236854322122148E-3</v>
      </c>
      <c r="Q17" s="273">
        <v>454.22103008505366</v>
      </c>
      <c r="R17" s="273">
        <v>534.22315444491346</v>
      </c>
      <c r="S17" s="273">
        <v>509.22050500369494</v>
      </c>
      <c r="T17" s="273">
        <v>485.90665760278949</v>
      </c>
      <c r="U17" s="273">
        <v>461.98885065669418</v>
      </c>
      <c r="V17" s="273">
        <f t="shared" si="25"/>
        <v>435.21215277777719</v>
      </c>
      <c r="W17" s="273">
        <f t="shared" si="26"/>
        <v>409.09942361111058</v>
      </c>
      <c r="X17" s="273">
        <f t="shared" si="27"/>
        <v>384.36104861111062</v>
      </c>
      <c r="Y17" s="273">
        <f t="shared" si="28"/>
        <v>359.16455555555513</v>
      </c>
      <c r="Z17" s="273">
        <f t="shared" si="29"/>
        <v>335.80053472222181</v>
      </c>
      <c r="AA17" s="273">
        <f t="shared" si="30"/>
        <v>311.06215972222185</v>
      </c>
      <c r="AB17" s="100">
        <v>484</v>
      </c>
      <c r="AC17" s="101" t="s">
        <v>20</v>
      </c>
      <c r="AD17" s="159"/>
      <c r="AE17" s="159"/>
      <c r="AF17" s="164"/>
      <c r="AG17" s="164"/>
      <c r="AH17" s="164"/>
      <c r="AI17" s="159">
        <f t="shared" si="31"/>
        <v>13231738.393379549</v>
      </c>
      <c r="AJ17" s="159">
        <f t="shared" si="20"/>
        <v>12577323.574595811</v>
      </c>
      <c r="AK17" s="159">
        <f t="shared" si="21"/>
        <v>12049667.447828595</v>
      </c>
      <c r="AL17" s="159">
        <f t="shared" si="22"/>
        <v>11567875.625833042</v>
      </c>
      <c r="AM17" s="159">
        <f t="shared" si="23"/>
        <v>11139607.914234925</v>
      </c>
      <c r="AN17" s="159">
        <f t="shared" si="24"/>
        <v>10647281.323627932</v>
      </c>
    </row>
    <row r="18" spans="1:1030" x14ac:dyDescent="0.35">
      <c r="A18" s="46">
        <v>1723</v>
      </c>
      <c r="B18" s="240" t="s">
        <v>21</v>
      </c>
      <c r="C18" s="364">
        <v>16.372685185185201</v>
      </c>
      <c r="D18" s="365">
        <v>2.6442052650975574E-4</v>
      </c>
      <c r="E18" s="191">
        <v>0.97599999999999998</v>
      </c>
      <c r="F18" s="191">
        <v>0.88100000000000001</v>
      </c>
      <c r="G18" s="191">
        <v>0.80700000000000005</v>
      </c>
      <c r="H18" s="191">
        <v>0.78800000000000003</v>
      </c>
      <c r="I18" s="191">
        <v>0.74099999999999999</v>
      </c>
      <c r="J18" s="191">
        <v>0.67300000000000004</v>
      </c>
      <c r="K18" s="361">
        <v>2.5807443387352159E-4</v>
      </c>
      <c r="L18" s="362">
        <v>2.329544838550948E-4</v>
      </c>
      <c r="M18" s="362">
        <v>2.1338736489337289E-4</v>
      </c>
      <c r="N18" s="362">
        <v>2.0836337488968753E-4</v>
      </c>
      <c r="O18" s="362">
        <v>1.95935610143729E-4</v>
      </c>
      <c r="P18" s="363">
        <v>1.7795501434106562E-4</v>
      </c>
      <c r="Q18" s="273">
        <v>23.585648148148149</v>
      </c>
      <c r="R18" s="273">
        <v>25.9791666666667</v>
      </c>
      <c r="S18" s="273">
        <v>21.832155112631408</v>
      </c>
      <c r="T18" s="273">
        <v>20.273244556542974</v>
      </c>
      <c r="U18" s="273">
        <v>17.189958930465558</v>
      </c>
      <c r="V18" s="273">
        <f t="shared" si="25"/>
        <v>15.979740740740755</v>
      </c>
      <c r="W18" s="273">
        <f t="shared" si="26"/>
        <v>14.424335648148162</v>
      </c>
      <c r="X18" s="273">
        <f t="shared" si="27"/>
        <v>13.212756944444457</v>
      </c>
      <c r="Y18" s="273">
        <f t="shared" si="28"/>
        <v>12.901675925925939</v>
      </c>
      <c r="Z18" s="273">
        <f t="shared" si="29"/>
        <v>12.132159722222234</v>
      </c>
      <c r="AA18" s="273">
        <f t="shared" si="30"/>
        <v>11.018817129629641</v>
      </c>
      <c r="AB18" s="100">
        <v>1723</v>
      </c>
      <c r="AC18" s="101" t="s">
        <v>21</v>
      </c>
      <c r="AD18" s="159"/>
      <c r="AE18" s="159"/>
      <c r="AF18" s="164"/>
      <c r="AG18" s="164"/>
      <c r="AH18" s="164"/>
      <c r="AI18" s="159">
        <f t="shared" si="31"/>
        <v>485831.44502279937</v>
      </c>
      <c r="AJ18" s="159">
        <f t="shared" si="20"/>
        <v>443460.74896403134</v>
      </c>
      <c r="AK18" s="159">
        <f t="shared" si="21"/>
        <v>414218.16238884453</v>
      </c>
      <c r="AL18" s="159">
        <f t="shared" si="22"/>
        <v>415533.71614040178</v>
      </c>
      <c r="AM18" s="159">
        <f t="shared" si="23"/>
        <v>402463.63088797522</v>
      </c>
      <c r="AN18" s="159">
        <f t="shared" si="24"/>
        <v>377160.77692492149</v>
      </c>
    </row>
    <row r="19" spans="1:1030" x14ac:dyDescent="0.35">
      <c r="A19" s="46">
        <v>1959</v>
      </c>
      <c r="B19" s="240" t="s">
        <v>22</v>
      </c>
      <c r="C19" s="364">
        <v>110.07407407407401</v>
      </c>
      <c r="D19" s="365">
        <v>1.777707461698273E-3</v>
      </c>
      <c r="E19" s="191">
        <v>0.93500000000000005</v>
      </c>
      <c r="F19" s="191">
        <v>0.89300000000000002</v>
      </c>
      <c r="G19" s="191">
        <v>0.84499999999999997</v>
      </c>
      <c r="H19" s="191">
        <v>0.76600000000000001</v>
      </c>
      <c r="I19" s="191">
        <v>0.72699999999999998</v>
      </c>
      <c r="J19" s="191">
        <v>0.68700000000000006</v>
      </c>
      <c r="K19" s="361">
        <v>1.6621564766878855E-3</v>
      </c>
      <c r="L19" s="362">
        <v>1.5874927632965579E-3</v>
      </c>
      <c r="M19" s="362">
        <v>1.5021628051350407E-3</v>
      </c>
      <c r="N19" s="362">
        <v>1.3617239156608772E-3</v>
      </c>
      <c r="O19" s="362">
        <v>1.2923933246546445E-3</v>
      </c>
      <c r="P19" s="363">
        <v>1.2212850261867137E-3</v>
      </c>
      <c r="Q19" s="273">
        <v>151.96527777777777</v>
      </c>
      <c r="R19" s="273">
        <v>146.31018518518522</v>
      </c>
      <c r="S19" s="273">
        <v>131.55040863323629</v>
      </c>
      <c r="T19" s="273">
        <v>120.23568431564649</v>
      </c>
      <c r="U19" s="273">
        <v>109.35364531080866</v>
      </c>
      <c r="V19" s="273">
        <f t="shared" si="25"/>
        <v>102.91925925925921</v>
      </c>
      <c r="W19" s="273">
        <f t="shared" si="26"/>
        <v>98.296148148148092</v>
      </c>
      <c r="X19" s="273">
        <f t="shared" si="27"/>
        <v>93.012592592592526</v>
      </c>
      <c r="Y19" s="273">
        <f t="shared" si="28"/>
        <v>84.316740740740684</v>
      </c>
      <c r="Z19" s="273">
        <f t="shared" si="29"/>
        <v>80.023851851851802</v>
      </c>
      <c r="AA19" s="273">
        <f t="shared" si="30"/>
        <v>75.620888888888842</v>
      </c>
      <c r="AB19" s="100">
        <v>1959</v>
      </c>
      <c r="AC19" s="101" t="s">
        <v>22</v>
      </c>
      <c r="AD19" s="159"/>
      <c r="AE19" s="159"/>
      <c r="AF19" s="164"/>
      <c r="AG19" s="164"/>
      <c r="AH19" s="164"/>
      <c r="AI19" s="159">
        <f t="shared" si="31"/>
        <v>3129050.2929826733</v>
      </c>
      <c r="AJ19" s="159">
        <f t="shared" si="20"/>
        <v>3022009.7855011718</v>
      </c>
      <c r="AK19" s="159">
        <f t="shared" si="21"/>
        <v>2915932.3330264934</v>
      </c>
      <c r="AL19" s="159">
        <f t="shared" si="22"/>
        <v>2715650.9599222681</v>
      </c>
      <c r="AM19" s="159">
        <f t="shared" si="23"/>
        <v>2654654.2999219955</v>
      </c>
      <c r="AN19" s="159">
        <f t="shared" si="24"/>
        <v>2588411.5209057038</v>
      </c>
    </row>
    <row r="20" spans="1:1030" x14ac:dyDescent="0.35">
      <c r="A20" s="46">
        <v>60</v>
      </c>
      <c r="B20" s="240" t="s">
        <v>23</v>
      </c>
      <c r="C20" s="364">
        <v>8.6666666666666696</v>
      </c>
      <c r="D20" s="365">
        <v>1.3996754577301354E-4</v>
      </c>
      <c r="E20" s="191">
        <v>0.97699999999999998</v>
      </c>
      <c r="F20" s="191">
        <v>0.84699999999999998</v>
      </c>
      <c r="G20" s="191">
        <v>0.82799999999999996</v>
      </c>
      <c r="H20" s="191">
        <v>0.80900000000000005</v>
      </c>
      <c r="I20" s="191">
        <v>0.79</v>
      </c>
      <c r="J20" s="191">
        <v>0.77100000000000002</v>
      </c>
      <c r="K20" s="361">
        <v>1.3674829222023424E-4</v>
      </c>
      <c r="L20" s="362">
        <v>1.1855251126974247E-4</v>
      </c>
      <c r="M20" s="362">
        <v>1.1589312790005521E-4</v>
      </c>
      <c r="N20" s="362">
        <v>1.1323374453036796E-4</v>
      </c>
      <c r="O20" s="362">
        <v>1.1057436116068071E-4</v>
      </c>
      <c r="P20" s="363">
        <v>1.0791497779099345E-4</v>
      </c>
      <c r="Q20" s="273">
        <v>14.83333333333333</v>
      </c>
      <c r="R20" s="273">
        <v>12.5185185185185</v>
      </c>
      <c r="S20" s="273">
        <v>8.4176924073924937</v>
      </c>
      <c r="T20" s="273">
        <v>7.2800196667863348</v>
      </c>
      <c r="U20" s="273">
        <v>7.4910231259884128</v>
      </c>
      <c r="V20" s="273">
        <f t="shared" si="25"/>
        <v>8.467333333333336</v>
      </c>
      <c r="W20" s="273">
        <f t="shared" si="26"/>
        <v>7.3406666666666691</v>
      </c>
      <c r="X20" s="273">
        <f t="shared" si="27"/>
        <v>7.1760000000000019</v>
      </c>
      <c r="Y20" s="273">
        <f t="shared" si="28"/>
        <v>7.0113333333333365</v>
      </c>
      <c r="Z20" s="273">
        <f t="shared" si="29"/>
        <v>6.8466666666666693</v>
      </c>
      <c r="AA20" s="273">
        <f t="shared" si="30"/>
        <v>6.6820000000000022</v>
      </c>
      <c r="AB20" s="100">
        <v>60</v>
      </c>
      <c r="AC20" s="101" t="s">
        <v>23</v>
      </c>
      <c r="AD20" s="159"/>
      <c r="AE20" s="159"/>
      <c r="AF20" s="164"/>
      <c r="AG20" s="164"/>
      <c r="AH20" s="164"/>
      <c r="AI20" s="159">
        <f t="shared" si="31"/>
        <v>257432.01066679865</v>
      </c>
      <c r="AJ20" s="159">
        <f t="shared" si="20"/>
        <v>225680.93375678104</v>
      </c>
      <c r="AK20" s="159">
        <f t="shared" si="21"/>
        <v>224966.6398769381</v>
      </c>
      <c r="AL20" s="159">
        <f t="shared" si="22"/>
        <v>225819.14255375913</v>
      </c>
      <c r="AM20" s="159">
        <f t="shared" si="23"/>
        <v>227126.44650556991</v>
      </c>
      <c r="AN20" s="159">
        <f t="shared" si="24"/>
        <v>228716.7743836614</v>
      </c>
    </row>
    <row r="21" spans="1:1030" x14ac:dyDescent="0.35">
      <c r="A21" s="46">
        <v>307</v>
      </c>
      <c r="B21" s="240" t="s">
        <v>24</v>
      </c>
      <c r="C21" s="364">
        <v>582.04166666666697</v>
      </c>
      <c r="D21" s="365">
        <v>9.4000319562655126E-3</v>
      </c>
      <c r="E21" s="191">
        <v>0.94599999999999995</v>
      </c>
      <c r="F21" s="191">
        <v>0.89700000000000002</v>
      </c>
      <c r="G21" s="191">
        <v>0.85699999999999998</v>
      </c>
      <c r="H21" s="191">
        <v>0.80400000000000005</v>
      </c>
      <c r="I21" s="191">
        <v>0.75</v>
      </c>
      <c r="J21" s="191">
        <v>0.69599999999999995</v>
      </c>
      <c r="K21" s="361">
        <v>8.8924302306271751E-3</v>
      </c>
      <c r="L21" s="362">
        <v>8.4318286647701648E-3</v>
      </c>
      <c r="M21" s="362">
        <v>8.0558273865195436E-3</v>
      </c>
      <c r="N21" s="362">
        <v>7.5576256928374724E-3</v>
      </c>
      <c r="O21" s="362">
        <v>7.050023967199134E-3</v>
      </c>
      <c r="P21" s="363">
        <v>6.5424222415607965E-3</v>
      </c>
      <c r="Q21" s="273">
        <v>758.44376819112335</v>
      </c>
      <c r="R21" s="273">
        <v>726.82164956314466</v>
      </c>
      <c r="S21" s="273">
        <v>689.24107638806777</v>
      </c>
      <c r="T21" s="273">
        <v>635.0404876268741</v>
      </c>
      <c r="U21" s="273">
        <v>585.9620312528549</v>
      </c>
      <c r="V21" s="273">
        <f t="shared" si="25"/>
        <v>550.61141666666697</v>
      </c>
      <c r="W21" s="273">
        <f t="shared" si="26"/>
        <v>522.09137500000031</v>
      </c>
      <c r="X21" s="273">
        <f t="shared" si="27"/>
        <v>498.80970833333356</v>
      </c>
      <c r="Y21" s="273">
        <f t="shared" si="28"/>
        <v>467.96150000000029</v>
      </c>
      <c r="Z21" s="273">
        <f t="shared" si="29"/>
        <v>436.53125000000023</v>
      </c>
      <c r="AA21" s="273">
        <f t="shared" si="30"/>
        <v>405.10100000000017</v>
      </c>
      <c r="AB21" s="100">
        <v>307</v>
      </c>
      <c r="AC21" s="101" t="s">
        <v>24</v>
      </c>
      <c r="AD21" s="159"/>
      <c r="AE21" s="159"/>
      <c r="AF21" s="164"/>
      <c r="AG21" s="164"/>
      <c r="AH21" s="164"/>
      <c r="AI21" s="159">
        <f t="shared" si="31"/>
        <v>16740217.788590798</v>
      </c>
      <c r="AJ21" s="159">
        <f t="shared" si="20"/>
        <v>16051140.089414461</v>
      </c>
      <c r="AK21" s="159">
        <f t="shared" si="21"/>
        <v>15637617.617300104</v>
      </c>
      <c r="AL21" s="159">
        <f t="shared" si="22"/>
        <v>15071978.417538883</v>
      </c>
      <c r="AM21" s="159">
        <f t="shared" si="23"/>
        <v>14481176.962191029</v>
      </c>
      <c r="AN21" s="159">
        <f t="shared" si="24"/>
        <v>13866117.033761693</v>
      </c>
    </row>
    <row r="22" spans="1:1030" x14ac:dyDescent="0.35">
      <c r="A22" s="46">
        <v>362</v>
      </c>
      <c r="B22" s="240" t="s">
        <v>25</v>
      </c>
      <c r="C22" s="364">
        <v>64.671296296296305</v>
      </c>
      <c r="D22" s="365">
        <v>1.0444479951406121E-3</v>
      </c>
      <c r="E22" s="191">
        <v>0.94799999999999995</v>
      </c>
      <c r="F22" s="191">
        <v>0.91200000000000003</v>
      </c>
      <c r="G22" s="191">
        <v>0.876</v>
      </c>
      <c r="H22" s="191">
        <v>0.83299999999999996</v>
      </c>
      <c r="I22" s="191">
        <v>0.80300000000000005</v>
      </c>
      <c r="J22" s="191">
        <v>0.748</v>
      </c>
      <c r="K22" s="449">
        <v>9.9013669939330019E-4</v>
      </c>
      <c r="L22" s="450">
        <v>9.5253657156823819E-4</v>
      </c>
      <c r="M22" s="450">
        <v>9.1493644374317619E-4</v>
      </c>
      <c r="N22" s="450">
        <v>8.7002517995212977E-4</v>
      </c>
      <c r="O22" s="450">
        <v>8.3869174009791158E-4</v>
      </c>
      <c r="P22" s="451">
        <v>7.8124710036517786E-4</v>
      </c>
      <c r="Q22" s="273">
        <v>81.817708333333314</v>
      </c>
      <c r="R22" s="273">
        <v>77.109027777777797</v>
      </c>
      <c r="S22" s="273">
        <v>72.460876827529859</v>
      </c>
      <c r="T22" s="273">
        <v>67.772810909503008</v>
      </c>
      <c r="U22" s="273">
        <v>64.69615750430485</v>
      </c>
      <c r="V22" s="273">
        <f t="shared" si="25"/>
        <v>61.308388888888892</v>
      </c>
      <c r="W22" s="273">
        <f t="shared" si="26"/>
        <v>58.980222222222231</v>
      </c>
      <c r="X22" s="273">
        <f t="shared" si="27"/>
        <v>56.652055555555563</v>
      </c>
      <c r="Y22" s="273">
        <f t="shared" si="28"/>
        <v>53.871189814814819</v>
      </c>
      <c r="Z22" s="273">
        <f t="shared" si="29"/>
        <v>51.931050925925938</v>
      </c>
      <c r="AA22" s="273">
        <f t="shared" si="30"/>
        <v>48.374129629629635</v>
      </c>
      <c r="AB22" s="100">
        <v>362</v>
      </c>
      <c r="AC22" s="101" t="s">
        <v>25</v>
      </c>
      <c r="AD22" s="159"/>
      <c r="AE22" s="159"/>
      <c r="AF22" s="164"/>
      <c r="AG22" s="164"/>
      <c r="AH22" s="164"/>
      <c r="AI22" s="159">
        <f t="shared" si="31"/>
        <v>1863956.5966154649</v>
      </c>
      <c r="AJ22" s="159">
        <f t="shared" si="20"/>
        <v>1813283.7559204735</v>
      </c>
      <c r="AK22" s="159">
        <f t="shared" si="21"/>
        <v>1776034.3618248266</v>
      </c>
      <c r="AL22" s="159">
        <f t="shared" si="22"/>
        <v>1735068.8255679773</v>
      </c>
      <c r="AM22" s="159">
        <f t="shared" si="23"/>
        <v>1722723.7186132432</v>
      </c>
      <c r="AN22" s="159">
        <f t="shared" si="24"/>
        <v>1655787.9216560891</v>
      </c>
    </row>
    <row r="23" spans="1:1030" s="470" customFormat="1" x14ac:dyDescent="0.35">
      <c r="A23" s="46">
        <v>363</v>
      </c>
      <c r="B23" s="240" t="s">
        <v>26</v>
      </c>
      <c r="C23" s="364">
        <v>2434.8553240740798</v>
      </c>
      <c r="D23" s="365">
        <v>3.9323160464192819E-2</v>
      </c>
      <c r="E23" s="191">
        <v>0.94599999999999995</v>
      </c>
      <c r="F23" s="191">
        <v>0.89200000000000002</v>
      </c>
      <c r="G23" s="191">
        <v>0.83799999999999997</v>
      </c>
      <c r="H23" s="191">
        <v>0.77600000000000002</v>
      </c>
      <c r="I23" s="191">
        <v>0.71899999999999997</v>
      </c>
      <c r="J23" s="191">
        <v>0.66100000000000003</v>
      </c>
      <c r="K23" s="449">
        <v>3.7199709799126401E-2</v>
      </c>
      <c r="L23" s="450">
        <v>3.5076259134059998E-2</v>
      </c>
      <c r="M23" s="450">
        <v>3.295280846899358E-2</v>
      </c>
      <c r="N23" s="450">
        <v>3.0514772520213628E-2</v>
      </c>
      <c r="O23" s="450">
        <v>2.8273352373754636E-2</v>
      </c>
      <c r="P23" s="451">
        <v>2.5992609066831453E-2</v>
      </c>
      <c r="Q23" s="273">
        <f t="shared" ref="Q23:T23" si="32">+Q394+Q395</f>
        <v>3215.5966510758599</v>
      </c>
      <c r="R23" s="273">
        <f t="shared" si="32"/>
        <v>3022.7325999787795</v>
      </c>
      <c r="S23" s="273">
        <f t="shared" si="32"/>
        <v>2829.583825451884</v>
      </c>
      <c r="T23" s="273">
        <f t="shared" si="32"/>
        <v>2624.4488433938932</v>
      </c>
      <c r="U23" s="273">
        <v>2464.4988510667008</v>
      </c>
      <c r="V23" s="273">
        <f t="shared" ref="V23" si="33">+E23*C23</f>
        <v>2303.3731365740796</v>
      </c>
      <c r="W23" s="273">
        <f t="shared" ref="W23" si="34">+F23*$C23</f>
        <v>2171.8909490740793</v>
      </c>
      <c r="X23" s="273">
        <f t="shared" ref="X23" si="35">+G23*$C23</f>
        <v>2040.4087615740789</v>
      </c>
      <c r="Y23" s="273">
        <f t="shared" ref="Y23" si="36">+H23*$C23</f>
        <v>1889.447731481486</v>
      </c>
      <c r="Z23" s="273">
        <f t="shared" ref="Z23" si="37">+I23*$C23</f>
        <v>1750.6609780092633</v>
      </c>
      <c r="AA23" s="273">
        <f t="shared" ref="AA23" si="38">+J23*$C23</f>
        <v>1609.4393692129668</v>
      </c>
      <c r="AB23" s="100">
        <v>363</v>
      </c>
      <c r="AC23" s="101" t="s">
        <v>26</v>
      </c>
      <c r="AD23" s="159"/>
      <c r="AE23" s="159"/>
      <c r="AF23" s="164"/>
      <c r="AG23" s="164"/>
      <c r="AH23" s="164"/>
      <c r="AI23" s="159">
        <f t="shared" si="31"/>
        <v>70029365.152053669</v>
      </c>
      <c r="AJ23" s="159">
        <f t="shared" si="20"/>
        <v>66772460.82167007</v>
      </c>
      <c r="AK23" s="159">
        <f t="shared" si="21"/>
        <v>63966541.675973378</v>
      </c>
      <c r="AL23" s="159">
        <f t="shared" si="22"/>
        <v>60854825.514399678</v>
      </c>
      <c r="AM23" s="159">
        <f t="shared" si="23"/>
        <v>58075181.154509664</v>
      </c>
      <c r="AN23" s="159">
        <f t="shared" si="24"/>
        <v>55089162.091060214</v>
      </c>
      <c r="AO23" s="460"/>
      <c r="AP23" s="460"/>
      <c r="AQ23" s="460"/>
      <c r="AR23" s="460"/>
      <c r="AS23" s="460"/>
      <c r="AT23" s="460"/>
      <c r="AU23" s="460"/>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460"/>
      <c r="BU23" s="460"/>
      <c r="BV23" s="460"/>
      <c r="BW23" s="460"/>
      <c r="BX23" s="460"/>
      <c r="BY23" s="460"/>
      <c r="BZ23" s="460"/>
      <c r="CA23" s="460"/>
      <c r="CB23" s="460"/>
      <c r="CC23" s="460"/>
      <c r="CD23" s="460"/>
      <c r="CE23" s="460"/>
      <c r="CF23" s="460"/>
      <c r="CG23" s="460"/>
      <c r="CH23" s="460"/>
      <c r="CI23" s="460"/>
      <c r="CJ23" s="460"/>
      <c r="CK23" s="460"/>
      <c r="CL23" s="460"/>
      <c r="CM23" s="460"/>
      <c r="CN23" s="460"/>
      <c r="CO23" s="460"/>
      <c r="CP23" s="460"/>
      <c r="CQ23" s="460"/>
      <c r="CR23" s="460"/>
      <c r="CS23" s="460"/>
      <c r="CT23" s="460"/>
      <c r="CU23" s="460"/>
      <c r="CV23" s="460"/>
      <c r="CW23" s="460"/>
      <c r="CX23" s="460"/>
      <c r="CY23" s="460"/>
      <c r="CZ23" s="460"/>
      <c r="DA23" s="460"/>
      <c r="DB23" s="460"/>
      <c r="DC23" s="460"/>
      <c r="DD23" s="460"/>
      <c r="DE23" s="460"/>
      <c r="DF23" s="460"/>
      <c r="DG23" s="460"/>
      <c r="DH23" s="460"/>
      <c r="DI23" s="460"/>
      <c r="DJ23" s="460"/>
      <c r="DK23" s="460"/>
      <c r="DL23" s="460"/>
      <c r="DM23" s="460"/>
      <c r="DN23" s="460"/>
      <c r="DO23" s="460"/>
      <c r="DP23" s="460"/>
      <c r="DQ23" s="460"/>
      <c r="DR23" s="460"/>
      <c r="DS23" s="460"/>
      <c r="DT23" s="460"/>
      <c r="DU23" s="460"/>
      <c r="DV23" s="460"/>
      <c r="DW23" s="460"/>
      <c r="DX23" s="460"/>
      <c r="DY23" s="460"/>
      <c r="DZ23" s="460"/>
      <c r="EA23" s="460"/>
      <c r="EB23" s="460"/>
      <c r="EC23" s="460"/>
      <c r="ED23" s="460"/>
      <c r="EE23" s="460"/>
      <c r="EF23" s="460"/>
      <c r="EG23" s="460"/>
      <c r="EH23" s="460"/>
      <c r="EI23" s="460"/>
      <c r="EJ23" s="460"/>
      <c r="EK23" s="460"/>
      <c r="EL23" s="460"/>
      <c r="EM23" s="460"/>
      <c r="EN23" s="460"/>
      <c r="EO23" s="460"/>
      <c r="EP23" s="460"/>
      <c r="EQ23" s="460"/>
      <c r="ER23" s="460"/>
      <c r="ES23" s="460"/>
      <c r="ET23" s="460"/>
      <c r="EU23" s="460"/>
      <c r="EV23" s="460"/>
      <c r="EW23" s="460"/>
      <c r="EX23" s="460"/>
      <c r="EY23" s="460"/>
      <c r="EZ23" s="460"/>
      <c r="FA23" s="460"/>
      <c r="FB23" s="460"/>
      <c r="FC23" s="460"/>
      <c r="FD23" s="460"/>
      <c r="FE23" s="460"/>
      <c r="FF23" s="460"/>
      <c r="FG23" s="460"/>
      <c r="FH23" s="460"/>
      <c r="FI23" s="460"/>
      <c r="FJ23" s="460"/>
      <c r="FK23" s="460"/>
      <c r="FL23" s="460"/>
      <c r="FM23" s="460"/>
      <c r="FN23" s="460"/>
      <c r="FO23" s="460"/>
      <c r="FP23" s="460"/>
      <c r="FQ23" s="460"/>
      <c r="FR23" s="460"/>
      <c r="FS23" s="460"/>
      <c r="FT23" s="460"/>
      <c r="FU23" s="460"/>
      <c r="FV23" s="460"/>
      <c r="FW23" s="460"/>
      <c r="FX23" s="460"/>
      <c r="FY23" s="460"/>
      <c r="FZ23" s="460"/>
      <c r="GA23" s="460"/>
      <c r="GB23" s="460"/>
      <c r="GC23" s="460"/>
      <c r="GD23" s="460"/>
      <c r="GE23" s="460"/>
      <c r="GF23" s="460"/>
      <c r="GG23" s="460"/>
      <c r="GH23" s="460"/>
      <c r="GI23" s="460"/>
      <c r="GJ23" s="460"/>
      <c r="GK23" s="460"/>
      <c r="GL23" s="460"/>
      <c r="GM23" s="460"/>
      <c r="GN23" s="460"/>
      <c r="GO23" s="460"/>
      <c r="GP23" s="460"/>
      <c r="GQ23" s="460"/>
      <c r="GR23" s="460"/>
      <c r="GS23" s="460"/>
      <c r="GT23" s="460"/>
      <c r="GU23" s="460"/>
      <c r="GV23" s="460"/>
      <c r="GW23" s="460"/>
      <c r="GX23" s="460"/>
      <c r="GY23" s="460"/>
      <c r="GZ23" s="460"/>
      <c r="HA23" s="460"/>
      <c r="HB23" s="460"/>
      <c r="HC23" s="460"/>
      <c r="HD23" s="460"/>
      <c r="HE23" s="460"/>
      <c r="HF23" s="460"/>
      <c r="HG23" s="460"/>
      <c r="HH23" s="460"/>
      <c r="HI23" s="460"/>
      <c r="HJ23" s="460"/>
      <c r="HK23" s="460"/>
      <c r="HL23" s="460"/>
      <c r="HM23" s="460"/>
      <c r="HN23" s="460"/>
      <c r="HO23" s="460"/>
      <c r="HP23" s="460"/>
      <c r="HQ23" s="460"/>
      <c r="HR23" s="460"/>
      <c r="HS23" s="460"/>
      <c r="HT23" s="460"/>
      <c r="HU23" s="460"/>
      <c r="HV23" s="460"/>
      <c r="HW23" s="460"/>
      <c r="HX23" s="460"/>
      <c r="HY23" s="460"/>
      <c r="HZ23" s="460"/>
      <c r="IA23" s="460"/>
      <c r="IB23" s="460"/>
      <c r="IC23" s="460"/>
      <c r="ID23" s="460"/>
      <c r="IE23" s="460"/>
      <c r="IF23" s="460"/>
      <c r="IG23" s="460"/>
      <c r="IH23" s="460"/>
      <c r="II23" s="460"/>
      <c r="IJ23" s="460"/>
      <c r="IK23" s="460"/>
      <c r="IL23" s="460"/>
      <c r="IM23" s="460"/>
      <c r="IN23" s="460"/>
      <c r="IO23" s="460"/>
      <c r="IP23" s="460"/>
      <c r="IQ23" s="460"/>
      <c r="IR23" s="460"/>
      <c r="IS23" s="460"/>
      <c r="IT23" s="460"/>
      <c r="IU23" s="460"/>
      <c r="IV23" s="460"/>
      <c r="IW23" s="460"/>
      <c r="IX23" s="460"/>
      <c r="IY23" s="460"/>
      <c r="IZ23" s="460"/>
      <c r="JA23" s="460"/>
      <c r="JB23" s="460"/>
      <c r="JC23" s="460"/>
      <c r="JD23" s="460"/>
      <c r="JE23" s="460"/>
      <c r="JF23" s="460"/>
      <c r="JG23" s="460"/>
      <c r="JH23" s="460"/>
      <c r="JI23" s="460"/>
      <c r="JJ23" s="460"/>
      <c r="JK23" s="460"/>
      <c r="JL23" s="460"/>
      <c r="JM23" s="460"/>
      <c r="JN23" s="460"/>
      <c r="JO23" s="460"/>
      <c r="JP23" s="460"/>
      <c r="JQ23" s="460"/>
      <c r="JR23" s="460"/>
      <c r="JS23" s="460"/>
      <c r="JT23" s="460"/>
      <c r="JU23" s="460"/>
      <c r="JV23" s="460"/>
      <c r="JW23" s="460"/>
      <c r="JX23" s="460"/>
      <c r="JY23" s="460"/>
      <c r="JZ23" s="460"/>
      <c r="KA23" s="460"/>
      <c r="KB23" s="460"/>
      <c r="KC23" s="460"/>
      <c r="KD23" s="460"/>
      <c r="KE23" s="460"/>
      <c r="KF23" s="460"/>
      <c r="KG23" s="460"/>
      <c r="KH23" s="460"/>
      <c r="KI23" s="460"/>
      <c r="KJ23" s="460"/>
      <c r="KK23" s="460"/>
      <c r="KL23" s="460"/>
      <c r="KM23" s="460"/>
      <c r="KN23" s="460"/>
      <c r="KO23" s="460"/>
      <c r="KP23" s="460"/>
      <c r="KQ23" s="460"/>
      <c r="KR23" s="460"/>
      <c r="KS23" s="460"/>
      <c r="KT23" s="460"/>
      <c r="KU23" s="460"/>
      <c r="KV23" s="460"/>
      <c r="KW23" s="460"/>
      <c r="KX23" s="460"/>
      <c r="KY23" s="460"/>
      <c r="KZ23" s="460"/>
      <c r="LA23" s="460"/>
      <c r="LB23" s="460"/>
      <c r="LC23" s="460"/>
      <c r="LD23" s="460"/>
      <c r="LE23" s="460"/>
      <c r="LF23" s="460"/>
      <c r="LG23" s="460"/>
      <c r="LH23" s="460"/>
      <c r="LI23" s="460"/>
      <c r="LJ23" s="460"/>
      <c r="LK23" s="460"/>
      <c r="LL23" s="460"/>
      <c r="LM23" s="460"/>
      <c r="LN23" s="460"/>
      <c r="LO23" s="460"/>
      <c r="LP23" s="460"/>
      <c r="LQ23" s="460"/>
      <c r="LR23" s="460"/>
      <c r="LS23" s="460"/>
      <c r="LT23" s="460"/>
      <c r="LU23" s="460"/>
      <c r="LV23" s="460"/>
      <c r="LW23" s="460"/>
      <c r="LX23" s="460"/>
      <c r="LY23" s="460"/>
      <c r="LZ23" s="460"/>
      <c r="MA23" s="460"/>
      <c r="MB23" s="460"/>
      <c r="MC23" s="460"/>
      <c r="MD23" s="460"/>
      <c r="ME23" s="460"/>
      <c r="MF23" s="460"/>
      <c r="MG23" s="460"/>
      <c r="MH23" s="460"/>
      <c r="MI23" s="460"/>
      <c r="MJ23" s="460"/>
      <c r="MK23" s="460"/>
      <c r="ML23" s="460"/>
      <c r="MM23" s="460"/>
      <c r="MN23" s="460"/>
      <c r="MO23" s="460"/>
      <c r="MP23" s="460"/>
      <c r="MQ23" s="460"/>
      <c r="MR23" s="460"/>
      <c r="MS23" s="460"/>
      <c r="MT23" s="460"/>
      <c r="MU23" s="460"/>
      <c r="MV23" s="460"/>
      <c r="MW23" s="460"/>
      <c r="MX23" s="460"/>
      <c r="MY23" s="460"/>
      <c r="MZ23" s="460"/>
      <c r="NA23" s="460"/>
      <c r="NB23" s="460"/>
      <c r="NC23" s="460"/>
      <c r="ND23" s="460"/>
      <c r="NE23" s="460"/>
      <c r="NF23" s="460"/>
      <c r="NG23" s="460"/>
      <c r="NH23" s="460"/>
      <c r="NI23" s="460"/>
      <c r="NJ23" s="460"/>
      <c r="NK23" s="460"/>
      <c r="NL23" s="460"/>
      <c r="NM23" s="460"/>
      <c r="NN23" s="460"/>
      <c r="NO23" s="460"/>
      <c r="NP23" s="460"/>
      <c r="NQ23" s="460"/>
      <c r="NR23" s="460"/>
      <c r="NS23" s="460"/>
      <c r="NT23" s="460"/>
      <c r="NU23" s="460"/>
      <c r="NV23" s="460"/>
      <c r="NW23" s="460"/>
      <c r="NX23" s="460"/>
      <c r="NY23" s="460"/>
      <c r="NZ23" s="460"/>
      <c r="OA23" s="460"/>
      <c r="OB23" s="460"/>
      <c r="OC23" s="460"/>
      <c r="OD23" s="460"/>
      <c r="OE23" s="460"/>
      <c r="OF23" s="460"/>
      <c r="OG23" s="460"/>
      <c r="OH23" s="460"/>
      <c r="OI23" s="460"/>
      <c r="OJ23" s="460"/>
      <c r="OK23" s="460"/>
      <c r="OL23" s="460"/>
      <c r="OM23" s="460"/>
      <c r="ON23" s="460"/>
      <c r="OO23" s="460"/>
      <c r="OP23" s="460"/>
      <c r="OQ23" s="460"/>
      <c r="OR23" s="460"/>
      <c r="OS23" s="460"/>
      <c r="OT23" s="460"/>
      <c r="OU23" s="460"/>
      <c r="OV23" s="460"/>
      <c r="OW23" s="460"/>
      <c r="OX23" s="460"/>
      <c r="OY23" s="460"/>
      <c r="OZ23" s="460"/>
      <c r="PA23" s="460"/>
      <c r="PB23" s="460"/>
      <c r="PC23" s="460"/>
      <c r="PD23" s="460"/>
      <c r="PE23" s="460"/>
      <c r="PF23" s="460"/>
      <c r="PG23" s="460"/>
      <c r="PH23" s="460"/>
      <c r="PI23" s="460"/>
      <c r="PJ23" s="460"/>
      <c r="PK23" s="460"/>
      <c r="PL23" s="460"/>
      <c r="PM23" s="460"/>
      <c r="PN23" s="460"/>
      <c r="PO23" s="460"/>
      <c r="PP23" s="460"/>
      <c r="PQ23" s="460"/>
      <c r="PR23" s="460"/>
      <c r="PS23" s="460"/>
      <c r="PT23" s="460"/>
      <c r="PU23" s="460"/>
      <c r="PV23" s="460"/>
      <c r="PW23" s="460"/>
      <c r="PX23" s="460"/>
      <c r="PY23" s="460"/>
      <c r="PZ23" s="460"/>
      <c r="QA23" s="460"/>
      <c r="QB23" s="460"/>
      <c r="QC23" s="460"/>
      <c r="QD23" s="460"/>
      <c r="QE23" s="460"/>
      <c r="QF23" s="460"/>
      <c r="QG23" s="460"/>
      <c r="QH23" s="460"/>
      <c r="QI23" s="460"/>
      <c r="QJ23" s="460"/>
      <c r="QK23" s="460"/>
      <c r="QL23" s="460"/>
      <c r="QM23" s="460"/>
      <c r="QN23" s="460"/>
      <c r="QO23" s="460"/>
      <c r="QP23" s="460"/>
      <c r="QQ23" s="460"/>
      <c r="QR23" s="460"/>
      <c r="QS23" s="460"/>
      <c r="QT23" s="460"/>
      <c r="QU23" s="460"/>
      <c r="QV23" s="460"/>
      <c r="QW23" s="460"/>
      <c r="QX23" s="460"/>
      <c r="QY23" s="460"/>
      <c r="QZ23" s="460"/>
      <c r="RA23" s="460"/>
      <c r="RB23" s="460"/>
      <c r="RC23" s="460"/>
      <c r="RD23" s="460"/>
      <c r="RE23" s="460"/>
      <c r="RF23" s="460"/>
      <c r="RG23" s="460"/>
      <c r="RH23" s="460"/>
      <c r="RI23" s="460"/>
      <c r="RJ23" s="460"/>
      <c r="RK23" s="460"/>
      <c r="RL23" s="460"/>
      <c r="RM23" s="460"/>
      <c r="RN23" s="460"/>
      <c r="RO23" s="460"/>
      <c r="RP23" s="460"/>
      <c r="RQ23" s="460"/>
      <c r="RR23" s="460"/>
      <c r="RS23" s="460"/>
      <c r="RT23" s="460"/>
      <c r="RU23" s="460"/>
      <c r="RV23" s="460"/>
      <c r="RW23" s="460"/>
      <c r="RX23" s="460"/>
      <c r="RY23" s="460"/>
      <c r="RZ23" s="460"/>
      <c r="SA23" s="460"/>
      <c r="SB23" s="460"/>
      <c r="SC23" s="460"/>
      <c r="SD23" s="460"/>
      <c r="SE23" s="460"/>
      <c r="SF23" s="460"/>
      <c r="SG23" s="460"/>
      <c r="SH23" s="460"/>
      <c r="SI23" s="460"/>
      <c r="SJ23" s="460"/>
      <c r="SK23" s="460"/>
      <c r="SL23" s="460"/>
      <c r="SM23" s="460"/>
      <c r="SN23" s="460"/>
      <c r="SO23" s="460"/>
      <c r="SP23" s="460"/>
      <c r="SQ23" s="460"/>
      <c r="SR23" s="460"/>
      <c r="SS23" s="460"/>
      <c r="ST23" s="460"/>
      <c r="SU23" s="460"/>
      <c r="SV23" s="460"/>
      <c r="SW23" s="460"/>
      <c r="SX23" s="460"/>
      <c r="SY23" s="460"/>
      <c r="SZ23" s="460"/>
      <c r="TA23" s="460"/>
      <c r="TB23" s="460"/>
      <c r="TC23" s="460"/>
      <c r="TD23" s="460"/>
      <c r="TE23" s="460"/>
      <c r="TF23" s="460"/>
      <c r="TG23" s="460"/>
      <c r="TH23" s="460"/>
      <c r="TI23" s="460"/>
      <c r="TJ23" s="460"/>
      <c r="TK23" s="460"/>
      <c r="TL23" s="460"/>
      <c r="TM23" s="460"/>
      <c r="TN23" s="460"/>
      <c r="TO23" s="460"/>
      <c r="TP23" s="460"/>
      <c r="TQ23" s="460"/>
      <c r="TR23" s="460"/>
      <c r="TS23" s="460"/>
      <c r="TT23" s="460"/>
      <c r="TU23" s="460"/>
      <c r="TV23" s="460"/>
      <c r="TW23" s="460"/>
      <c r="TX23" s="460"/>
      <c r="TY23" s="460"/>
      <c r="TZ23" s="460"/>
      <c r="UA23" s="460"/>
      <c r="UB23" s="460"/>
      <c r="UC23" s="460"/>
      <c r="UD23" s="460"/>
      <c r="UE23" s="460"/>
      <c r="UF23" s="460"/>
      <c r="UG23" s="460"/>
      <c r="UH23" s="460"/>
      <c r="UI23" s="460"/>
      <c r="UJ23" s="460"/>
      <c r="UK23" s="460"/>
      <c r="UL23" s="460"/>
      <c r="UM23" s="460"/>
      <c r="UN23" s="460"/>
      <c r="UO23" s="460"/>
      <c r="UP23" s="460"/>
      <c r="UQ23" s="460"/>
      <c r="UR23" s="460"/>
      <c r="US23" s="460"/>
      <c r="UT23" s="460"/>
      <c r="UU23" s="460"/>
      <c r="UV23" s="460"/>
      <c r="UW23" s="460"/>
      <c r="UX23" s="460"/>
      <c r="UY23" s="460"/>
      <c r="UZ23" s="460"/>
      <c r="VA23" s="460"/>
      <c r="VB23" s="460"/>
      <c r="VC23" s="460"/>
      <c r="VD23" s="460"/>
      <c r="VE23" s="460"/>
      <c r="VF23" s="460"/>
      <c r="VG23" s="460"/>
      <c r="VH23" s="460"/>
      <c r="VI23" s="460"/>
      <c r="VJ23" s="460"/>
      <c r="VK23" s="460"/>
      <c r="VL23" s="460"/>
      <c r="VM23" s="460"/>
      <c r="VN23" s="460"/>
      <c r="VO23" s="460"/>
      <c r="VP23" s="460"/>
      <c r="VQ23" s="460"/>
      <c r="VR23" s="460"/>
      <c r="VS23" s="460"/>
      <c r="VT23" s="460"/>
      <c r="VU23" s="460"/>
      <c r="VV23" s="460"/>
      <c r="VW23" s="460"/>
      <c r="VX23" s="460"/>
      <c r="VY23" s="460"/>
      <c r="VZ23" s="460"/>
      <c r="WA23" s="460"/>
      <c r="WB23" s="460"/>
      <c r="WC23" s="460"/>
      <c r="WD23" s="460"/>
      <c r="WE23" s="460"/>
      <c r="WF23" s="460"/>
      <c r="WG23" s="460"/>
      <c r="WH23" s="460"/>
      <c r="WI23" s="460"/>
      <c r="WJ23" s="460"/>
      <c r="WK23" s="460"/>
      <c r="WL23" s="460"/>
      <c r="WM23" s="460"/>
      <c r="WN23" s="460"/>
      <c r="WO23" s="460"/>
      <c r="WP23" s="460"/>
      <c r="WQ23" s="460"/>
      <c r="WR23" s="460"/>
      <c r="WS23" s="460"/>
      <c r="WT23" s="460"/>
      <c r="WU23" s="460"/>
      <c r="WV23" s="460"/>
      <c r="WW23" s="460"/>
      <c r="WX23" s="460"/>
      <c r="WY23" s="460"/>
      <c r="WZ23" s="460"/>
      <c r="XA23" s="460"/>
      <c r="XB23" s="460"/>
      <c r="XC23" s="460"/>
      <c r="XD23" s="460"/>
      <c r="XE23" s="460"/>
      <c r="XF23" s="460"/>
      <c r="XG23" s="460"/>
      <c r="XH23" s="460"/>
      <c r="XI23" s="460"/>
      <c r="XJ23" s="460"/>
      <c r="XK23" s="460"/>
      <c r="XL23" s="460"/>
      <c r="XM23" s="460"/>
      <c r="XN23" s="460"/>
      <c r="XO23" s="460"/>
      <c r="XP23" s="460"/>
      <c r="XQ23" s="460"/>
      <c r="XR23" s="460"/>
      <c r="XS23" s="460"/>
      <c r="XT23" s="460"/>
      <c r="XU23" s="460"/>
      <c r="XV23" s="460"/>
      <c r="XW23" s="460"/>
      <c r="XX23" s="460"/>
      <c r="XY23" s="460"/>
      <c r="XZ23" s="460"/>
      <c r="YA23" s="460"/>
      <c r="YB23" s="460"/>
      <c r="YC23" s="460"/>
      <c r="YD23" s="460"/>
      <c r="YE23" s="460"/>
      <c r="YF23" s="460"/>
      <c r="YG23" s="460"/>
      <c r="YH23" s="460"/>
      <c r="YI23" s="460"/>
      <c r="YJ23" s="460"/>
      <c r="YK23" s="460"/>
      <c r="YL23" s="460"/>
      <c r="YM23" s="460"/>
      <c r="YN23" s="460"/>
      <c r="YO23" s="460"/>
      <c r="YP23" s="460"/>
      <c r="YQ23" s="460"/>
      <c r="YR23" s="460"/>
      <c r="YS23" s="460"/>
      <c r="YT23" s="460"/>
      <c r="YU23" s="460"/>
      <c r="YV23" s="460"/>
      <c r="YW23" s="460"/>
      <c r="YX23" s="460"/>
      <c r="YY23" s="460"/>
      <c r="YZ23" s="460"/>
      <c r="ZA23" s="460"/>
      <c r="ZB23" s="460"/>
      <c r="ZC23" s="460"/>
      <c r="ZD23" s="460"/>
      <c r="ZE23" s="460"/>
      <c r="ZF23" s="460"/>
      <c r="ZG23" s="460"/>
      <c r="ZH23" s="460"/>
      <c r="ZI23" s="460"/>
      <c r="ZJ23" s="460"/>
      <c r="ZK23" s="460"/>
      <c r="ZL23" s="460"/>
      <c r="ZM23" s="460"/>
      <c r="ZN23" s="460"/>
      <c r="ZO23" s="460"/>
      <c r="ZP23" s="460"/>
      <c r="ZQ23" s="460"/>
      <c r="ZR23" s="460"/>
      <c r="ZS23" s="460"/>
      <c r="ZT23" s="460"/>
      <c r="ZU23" s="460"/>
      <c r="ZV23" s="460"/>
      <c r="ZW23" s="460"/>
      <c r="ZX23" s="460"/>
      <c r="ZY23" s="460"/>
      <c r="ZZ23" s="460"/>
      <c r="AAA23" s="460"/>
      <c r="AAB23" s="460"/>
      <c r="AAC23" s="460"/>
      <c r="AAD23" s="460"/>
      <c r="AAE23" s="460"/>
      <c r="AAF23" s="460"/>
      <c r="AAG23" s="460"/>
      <c r="AAH23" s="460"/>
      <c r="AAI23" s="460"/>
      <c r="AAJ23" s="460"/>
      <c r="AAK23" s="460"/>
      <c r="AAL23" s="460"/>
      <c r="AAM23" s="460"/>
      <c r="AAN23" s="460"/>
      <c r="AAO23" s="460"/>
      <c r="AAP23" s="460"/>
      <c r="AAQ23" s="460"/>
      <c r="AAR23" s="460"/>
      <c r="AAS23" s="460"/>
      <c r="AAT23" s="460"/>
      <c r="AAU23" s="460"/>
      <c r="AAV23" s="460"/>
      <c r="AAW23" s="460"/>
      <c r="AAX23" s="460"/>
      <c r="AAY23" s="460"/>
      <c r="AAZ23" s="460"/>
      <c r="ABA23" s="460"/>
      <c r="ABB23" s="460"/>
      <c r="ABC23" s="460"/>
      <c r="ABD23" s="460"/>
      <c r="ABE23" s="460"/>
      <c r="ABF23" s="460"/>
      <c r="ABG23" s="460"/>
      <c r="ABH23" s="460"/>
      <c r="ABI23" s="460"/>
      <c r="ABJ23" s="460"/>
      <c r="ABK23" s="460"/>
      <c r="ABL23" s="460"/>
      <c r="ABM23" s="460"/>
      <c r="ABN23" s="460"/>
      <c r="ABO23" s="460"/>
      <c r="ABP23" s="460"/>
      <c r="ABQ23" s="460"/>
      <c r="ABR23" s="460"/>
      <c r="ABS23" s="460"/>
      <c r="ABT23" s="460"/>
      <c r="ABU23" s="460"/>
      <c r="ABV23" s="460"/>
      <c r="ABW23" s="460"/>
      <c r="ABX23" s="460"/>
      <c r="ABY23" s="460"/>
      <c r="ABZ23" s="460"/>
      <c r="ACA23" s="460"/>
      <c r="ACB23" s="460"/>
      <c r="ACC23" s="460"/>
      <c r="ACD23" s="460"/>
      <c r="ACE23" s="460"/>
      <c r="ACF23" s="460"/>
      <c r="ACG23" s="460"/>
      <c r="ACH23" s="460"/>
      <c r="ACI23" s="460"/>
      <c r="ACJ23" s="460"/>
      <c r="ACK23" s="460"/>
      <c r="ACL23" s="460"/>
      <c r="ACM23" s="460"/>
      <c r="ACN23" s="460"/>
      <c r="ACO23" s="460"/>
      <c r="ACP23" s="460"/>
      <c r="ACQ23" s="460"/>
      <c r="ACR23" s="460"/>
      <c r="ACS23" s="460"/>
      <c r="ACT23" s="460"/>
      <c r="ACU23" s="460"/>
      <c r="ACV23" s="460"/>
      <c r="ACW23" s="460"/>
      <c r="ACX23" s="460"/>
      <c r="ACY23" s="460"/>
      <c r="ACZ23" s="460"/>
      <c r="ADA23" s="460"/>
      <c r="ADB23" s="460"/>
      <c r="ADC23" s="460"/>
      <c r="ADD23" s="460"/>
      <c r="ADE23" s="460"/>
      <c r="ADF23" s="460"/>
      <c r="ADG23" s="460"/>
      <c r="ADH23" s="460"/>
      <c r="ADI23" s="460"/>
      <c r="ADJ23" s="460"/>
      <c r="ADK23" s="460"/>
      <c r="ADL23" s="460"/>
      <c r="ADM23" s="460"/>
      <c r="ADN23" s="460"/>
      <c r="ADO23" s="460"/>
      <c r="ADP23" s="460"/>
      <c r="ADQ23" s="460"/>
      <c r="ADR23" s="460"/>
      <c r="ADS23" s="460"/>
      <c r="ADT23" s="460"/>
      <c r="ADU23" s="460"/>
      <c r="ADV23" s="460"/>
      <c r="ADW23" s="460"/>
      <c r="ADX23" s="460"/>
      <c r="ADY23" s="460"/>
      <c r="ADZ23" s="460"/>
      <c r="AEA23" s="460"/>
      <c r="AEB23" s="460"/>
      <c r="AEC23" s="460"/>
      <c r="AED23" s="460"/>
      <c r="AEE23" s="460"/>
      <c r="AEF23" s="460"/>
      <c r="AEG23" s="460"/>
      <c r="AEH23" s="460"/>
      <c r="AEI23" s="460"/>
      <c r="AEJ23" s="460"/>
      <c r="AEK23" s="460"/>
      <c r="AEL23" s="460"/>
      <c r="AEM23" s="460"/>
      <c r="AEN23" s="460"/>
      <c r="AEO23" s="460"/>
      <c r="AEP23" s="460"/>
      <c r="AEQ23" s="460"/>
      <c r="AER23" s="460"/>
      <c r="AES23" s="460"/>
      <c r="AET23" s="460"/>
      <c r="AEU23" s="460"/>
      <c r="AEV23" s="460"/>
      <c r="AEW23" s="460"/>
      <c r="AEX23" s="460"/>
      <c r="AEY23" s="460"/>
      <c r="AEZ23" s="460"/>
      <c r="AFA23" s="460"/>
      <c r="AFB23" s="460"/>
      <c r="AFC23" s="460"/>
      <c r="AFD23" s="460"/>
      <c r="AFE23" s="460"/>
      <c r="AFF23" s="460"/>
      <c r="AFG23" s="460"/>
      <c r="AFH23" s="460"/>
      <c r="AFI23" s="460"/>
      <c r="AFJ23" s="460"/>
      <c r="AFK23" s="460"/>
      <c r="AFL23" s="460"/>
      <c r="AFM23" s="460"/>
      <c r="AFN23" s="460"/>
      <c r="AFO23" s="460"/>
      <c r="AFP23" s="460"/>
      <c r="AFQ23" s="460"/>
      <c r="AFR23" s="460"/>
      <c r="AFS23" s="460"/>
      <c r="AFT23" s="460"/>
      <c r="AFU23" s="460"/>
      <c r="AFV23" s="460"/>
      <c r="AFW23" s="460"/>
      <c r="AFX23" s="460"/>
      <c r="AFY23" s="460"/>
      <c r="AFZ23" s="460"/>
      <c r="AGA23" s="460"/>
      <c r="AGB23" s="460"/>
      <c r="AGC23" s="460"/>
      <c r="AGD23" s="460"/>
      <c r="AGE23" s="460"/>
      <c r="AGF23" s="460"/>
      <c r="AGG23" s="460"/>
      <c r="AGH23" s="460"/>
      <c r="AGI23" s="460"/>
      <c r="AGJ23" s="460"/>
      <c r="AGK23" s="460"/>
      <c r="AGL23" s="460"/>
      <c r="AGM23" s="460"/>
      <c r="AGN23" s="460"/>
      <c r="AGO23" s="460"/>
      <c r="AGP23" s="460"/>
      <c r="AGQ23" s="460"/>
      <c r="AGR23" s="460"/>
      <c r="AGS23" s="460"/>
      <c r="AGT23" s="460"/>
      <c r="AGU23" s="460"/>
      <c r="AGV23" s="460"/>
      <c r="AGW23" s="460"/>
      <c r="AGX23" s="460"/>
      <c r="AGY23" s="460"/>
      <c r="AGZ23" s="460"/>
      <c r="AHA23" s="460"/>
      <c r="AHB23" s="460"/>
      <c r="AHC23" s="460"/>
      <c r="AHD23" s="460"/>
      <c r="AHE23" s="460"/>
      <c r="AHF23" s="460"/>
      <c r="AHG23" s="460"/>
      <c r="AHH23" s="460"/>
      <c r="AHI23" s="460"/>
      <c r="AHJ23" s="460"/>
      <c r="AHK23" s="460"/>
      <c r="AHL23" s="460"/>
      <c r="AHM23" s="460"/>
      <c r="AHN23" s="460"/>
      <c r="AHO23" s="460"/>
      <c r="AHP23" s="460"/>
      <c r="AHQ23" s="460"/>
      <c r="AHR23" s="460"/>
      <c r="AHS23" s="460"/>
      <c r="AHT23" s="460"/>
      <c r="AHU23" s="460"/>
      <c r="AHV23" s="460"/>
      <c r="AHW23" s="460"/>
      <c r="AHX23" s="460"/>
      <c r="AHY23" s="460"/>
      <c r="AHZ23" s="460"/>
      <c r="AIA23" s="460"/>
      <c r="AIB23" s="460"/>
      <c r="AIC23" s="460"/>
      <c r="AID23" s="460"/>
      <c r="AIE23" s="460"/>
      <c r="AIF23" s="460"/>
      <c r="AIG23" s="460"/>
      <c r="AIH23" s="460"/>
      <c r="AII23" s="460"/>
      <c r="AIJ23" s="460"/>
      <c r="AIK23" s="460"/>
      <c r="AIL23" s="460"/>
      <c r="AIM23" s="460"/>
      <c r="AIN23" s="460"/>
      <c r="AIO23" s="460"/>
      <c r="AIP23" s="460"/>
      <c r="AIQ23" s="460"/>
      <c r="AIR23" s="460"/>
      <c r="AIS23" s="460"/>
      <c r="AIT23" s="460"/>
      <c r="AIU23" s="460"/>
      <c r="AIV23" s="460"/>
      <c r="AIW23" s="460"/>
      <c r="AIX23" s="460"/>
      <c r="AIY23" s="460"/>
      <c r="AIZ23" s="460"/>
      <c r="AJA23" s="460"/>
      <c r="AJB23" s="460"/>
      <c r="AJC23" s="460"/>
      <c r="AJD23" s="460"/>
      <c r="AJE23" s="460"/>
      <c r="AJF23" s="460"/>
      <c r="AJG23" s="460"/>
      <c r="AJH23" s="460"/>
      <c r="AJI23" s="460"/>
      <c r="AJJ23" s="460"/>
      <c r="AJK23" s="460"/>
      <c r="AJL23" s="460"/>
      <c r="AJM23" s="460"/>
      <c r="AJN23" s="460"/>
      <c r="AJO23" s="460"/>
      <c r="AJP23" s="460"/>
      <c r="AJQ23" s="460"/>
      <c r="AJR23" s="460"/>
      <c r="AJS23" s="460"/>
      <c r="AJT23" s="460"/>
      <c r="AJU23" s="460"/>
      <c r="AJV23" s="460"/>
      <c r="AJW23" s="460"/>
      <c r="AJX23" s="460"/>
      <c r="AJY23" s="460"/>
      <c r="AJZ23" s="460"/>
      <c r="AKA23" s="460"/>
      <c r="AKB23" s="460"/>
      <c r="AKC23" s="460"/>
      <c r="AKD23" s="460"/>
      <c r="AKE23" s="460"/>
      <c r="AKF23" s="460"/>
      <c r="AKG23" s="460"/>
      <c r="AKH23" s="460"/>
      <c r="AKI23" s="460"/>
      <c r="AKJ23" s="460"/>
      <c r="AKK23" s="460"/>
      <c r="AKL23" s="460"/>
      <c r="AKM23" s="460"/>
      <c r="AKN23" s="460"/>
      <c r="AKO23" s="460"/>
      <c r="AKP23" s="460"/>
      <c r="AKQ23" s="460"/>
      <c r="AKR23" s="460"/>
      <c r="AKS23" s="460"/>
      <c r="AKT23" s="460"/>
      <c r="AKU23" s="460"/>
      <c r="AKV23" s="460"/>
      <c r="AKW23" s="460"/>
      <c r="AKX23" s="460"/>
      <c r="AKY23" s="460"/>
      <c r="AKZ23" s="460"/>
      <c r="ALA23" s="460"/>
      <c r="ALB23" s="460"/>
      <c r="ALC23" s="460"/>
      <c r="ALD23" s="460"/>
      <c r="ALE23" s="460"/>
      <c r="ALF23" s="460"/>
      <c r="ALG23" s="460"/>
      <c r="ALH23" s="460"/>
      <c r="ALI23" s="460"/>
      <c r="ALJ23" s="460"/>
      <c r="ALK23" s="460"/>
      <c r="ALL23" s="460"/>
      <c r="ALM23" s="460"/>
      <c r="ALN23" s="460"/>
      <c r="ALO23" s="460"/>
      <c r="ALP23" s="460"/>
      <c r="ALQ23" s="460"/>
      <c r="ALR23" s="460"/>
      <c r="ALS23" s="460"/>
      <c r="ALT23" s="460"/>
      <c r="ALU23" s="460"/>
      <c r="ALV23" s="460"/>
      <c r="ALW23" s="460"/>
      <c r="ALX23" s="460"/>
      <c r="ALY23" s="460"/>
      <c r="ALZ23" s="460"/>
      <c r="AMA23" s="460"/>
      <c r="AMB23" s="460"/>
      <c r="AMC23" s="460"/>
      <c r="AMD23" s="460"/>
      <c r="AME23" s="460"/>
      <c r="AMF23" s="460"/>
      <c r="AMG23" s="460"/>
      <c r="AMH23" s="460"/>
      <c r="AMI23" s="460"/>
      <c r="AMJ23" s="460"/>
      <c r="AMK23" s="460"/>
      <c r="AML23" s="460"/>
      <c r="AMM23" s="460"/>
      <c r="AMN23" s="460"/>
      <c r="AMO23" s="460"/>
      <c r="AMP23" s="460"/>
    </row>
    <row r="24" spans="1:1030" x14ac:dyDescent="0.35">
      <c r="A24" s="46">
        <v>200</v>
      </c>
      <c r="B24" s="240" t="s">
        <v>27</v>
      </c>
      <c r="C24" s="364">
        <v>671.71759259259295</v>
      </c>
      <c r="D24" s="365">
        <v>1.0848307256277945E-2</v>
      </c>
      <c r="E24" s="191">
        <v>0.94599999999999995</v>
      </c>
      <c r="F24" s="191">
        <v>0.88800000000000001</v>
      </c>
      <c r="G24" s="191">
        <v>0.83499999999999996</v>
      </c>
      <c r="H24" s="191">
        <v>0.77900000000000003</v>
      </c>
      <c r="I24" s="191">
        <v>0.72199999999999998</v>
      </c>
      <c r="J24" s="191">
        <v>0.65900000000000003</v>
      </c>
      <c r="K24" s="361">
        <v>1.0262498664438935E-2</v>
      </c>
      <c r="L24" s="362">
        <v>9.6332968435748154E-3</v>
      </c>
      <c r="M24" s="362">
        <v>9.0583365589920837E-3</v>
      </c>
      <c r="N24" s="362">
        <v>8.4508313526405199E-3</v>
      </c>
      <c r="O24" s="362">
        <v>7.8324778390326758E-3</v>
      </c>
      <c r="P24" s="363">
        <v>7.1490344818871659E-3</v>
      </c>
      <c r="Q24" s="273">
        <v>884.63779766720018</v>
      </c>
      <c r="R24" s="273">
        <v>843.24626454535337</v>
      </c>
      <c r="S24" s="273">
        <f>796.114042818177</f>
        <v>796.11404281817704</v>
      </c>
      <c r="T24" s="273">
        <v>733.16312747113602</v>
      </c>
      <c r="U24" s="273">
        <v>677.59227520470563</v>
      </c>
      <c r="V24" s="273">
        <f t="shared" si="25"/>
        <v>635.44484259259286</v>
      </c>
      <c r="W24" s="273">
        <f t="shared" si="26"/>
        <v>596.48522222222255</v>
      </c>
      <c r="X24" s="273">
        <f t="shared" si="27"/>
        <v>560.88418981481504</v>
      </c>
      <c r="Y24" s="273">
        <f t="shared" si="28"/>
        <v>523.2680046296299</v>
      </c>
      <c r="Z24" s="273">
        <f t="shared" si="29"/>
        <v>484.98010185185211</v>
      </c>
      <c r="AA24" s="273">
        <f t="shared" si="30"/>
        <v>442.66189351851875</v>
      </c>
      <c r="AB24" s="100">
        <v>200</v>
      </c>
      <c r="AC24" s="101" t="s">
        <v>27</v>
      </c>
      <c r="AD24" s="159"/>
      <c r="AE24" s="159"/>
      <c r="AF24" s="164"/>
      <c r="AG24" s="164"/>
      <c r="AH24" s="164"/>
      <c r="AI24" s="164">
        <f t="shared" si="31"/>
        <v>19319405.184212878</v>
      </c>
      <c r="AJ24" s="164">
        <f t="shared" si="20"/>
        <v>18338299.235750455</v>
      </c>
      <c r="AK24" s="164">
        <f t="shared" si="21"/>
        <v>17583644.306401569</v>
      </c>
      <c r="AL24" s="164">
        <f t="shared" si="22"/>
        <v>16853275.477504909</v>
      </c>
      <c r="AM24" s="164">
        <f t="shared" si="23"/>
        <v>16088384.687369108</v>
      </c>
      <c r="AN24" s="164">
        <f t="shared" si="24"/>
        <v>15151780.967991525</v>
      </c>
    </row>
    <row r="25" spans="1:1030" x14ac:dyDescent="0.35">
      <c r="A25" s="46">
        <v>202</v>
      </c>
      <c r="B25" s="240" t="s">
        <v>29</v>
      </c>
      <c r="C25" s="364">
        <v>923.03009259259397</v>
      </c>
      <c r="D25" s="365">
        <v>1.4907029623248785E-2</v>
      </c>
      <c r="E25" s="191">
        <v>0.95099999999999996</v>
      </c>
      <c r="F25" s="191">
        <v>0.90300000000000002</v>
      </c>
      <c r="G25" s="191">
        <v>0.84699999999999998</v>
      </c>
      <c r="H25" s="191">
        <v>0.79100000000000004</v>
      </c>
      <c r="I25" s="191">
        <v>0.73599999999999999</v>
      </c>
      <c r="J25" s="191">
        <v>0.67200000000000004</v>
      </c>
      <c r="K25" s="361">
        <v>1.4176585171709593E-2</v>
      </c>
      <c r="L25" s="362">
        <v>1.3461047749793653E-2</v>
      </c>
      <c r="M25" s="362">
        <v>1.2626254090891719E-2</v>
      </c>
      <c r="N25" s="362">
        <v>1.179146043198979E-2</v>
      </c>
      <c r="O25" s="362">
        <v>1.0971573802711106E-2</v>
      </c>
      <c r="P25" s="363">
        <v>1.0017523906823185E-2</v>
      </c>
      <c r="Q25" s="273">
        <v>1286.3374054074636</v>
      </c>
      <c r="R25" s="273">
        <v>1171.9993752930993</v>
      </c>
      <c r="S25" s="273">
        <v>1080.4942713460714</v>
      </c>
      <c r="T25" s="273">
        <v>990.43715703136593</v>
      </c>
      <c r="U25" s="273">
        <v>940.59576732946482</v>
      </c>
      <c r="V25" s="273">
        <f t="shared" si="25"/>
        <v>877.80161805555679</v>
      </c>
      <c r="W25" s="273">
        <f t="shared" si="26"/>
        <v>833.49617361111234</v>
      </c>
      <c r="X25" s="273">
        <f t="shared" si="27"/>
        <v>781.80648842592711</v>
      </c>
      <c r="Y25" s="273">
        <f t="shared" si="28"/>
        <v>730.11680324074189</v>
      </c>
      <c r="Z25" s="273">
        <f t="shared" si="29"/>
        <v>679.35014814814917</v>
      </c>
      <c r="AA25" s="273">
        <f t="shared" si="30"/>
        <v>620.27622222222317</v>
      </c>
      <c r="AB25" s="100">
        <v>202</v>
      </c>
      <c r="AC25" s="101" t="s">
        <v>29</v>
      </c>
      <c r="AD25" s="159"/>
      <c r="AE25" s="159"/>
      <c r="AF25" s="164"/>
      <c r="AG25" s="164"/>
      <c r="AH25" s="164"/>
      <c r="AI25" s="159">
        <f t="shared" si="31"/>
        <v>26687768.935825266</v>
      </c>
      <c r="AJ25" s="159">
        <f t="shared" si="20"/>
        <v>25624947.063381143</v>
      </c>
      <c r="AK25" s="159">
        <f t="shared" si="21"/>
        <v>24509528.809248757</v>
      </c>
      <c r="AL25" s="159">
        <f t="shared" si="22"/>
        <v>23515406.076625831</v>
      </c>
      <c r="AM25" s="159">
        <f t="shared" si="23"/>
        <v>22536278.249550369</v>
      </c>
      <c r="AN25" s="159">
        <f t="shared" si="24"/>
        <v>21231304.515646514</v>
      </c>
    </row>
    <row r="26" spans="1:1030" x14ac:dyDescent="0.35">
      <c r="A26" s="46">
        <v>106</v>
      </c>
      <c r="B26" s="240" t="s">
        <v>30</v>
      </c>
      <c r="C26" s="364">
        <v>594.17013888888903</v>
      </c>
      <c r="D26" s="365">
        <v>9.5959080129101957E-3</v>
      </c>
      <c r="E26" s="191">
        <v>0.95199999999999996</v>
      </c>
      <c r="F26" s="191">
        <v>0.91600000000000004</v>
      </c>
      <c r="G26" s="191">
        <v>0.85899999999999999</v>
      </c>
      <c r="H26" s="191">
        <v>0.80800000000000005</v>
      </c>
      <c r="I26" s="191">
        <v>0.76200000000000001</v>
      </c>
      <c r="J26" s="191">
        <v>0.71599999999999997</v>
      </c>
      <c r="K26" s="361">
        <v>9.1353044282905058E-3</v>
      </c>
      <c r="L26" s="362">
        <v>8.7898517398257402E-3</v>
      </c>
      <c r="M26" s="362">
        <v>8.2428849830898585E-3</v>
      </c>
      <c r="N26" s="362">
        <v>7.7534936744314388E-3</v>
      </c>
      <c r="O26" s="362">
        <v>7.3120819058375688E-3</v>
      </c>
      <c r="P26" s="363">
        <v>6.8706701372436996E-3</v>
      </c>
      <c r="S26" s="273">
        <v>698.73157950622181</v>
      </c>
      <c r="T26" s="273">
        <v>650.47564553162647</v>
      </c>
      <c r="U26" s="273">
        <v>599.69270774271092</v>
      </c>
      <c r="V26" s="273">
        <f t="shared" si="25"/>
        <v>565.64997222222235</v>
      </c>
      <c r="W26" s="273">
        <f t="shared" si="26"/>
        <v>544.25984722222233</v>
      </c>
      <c r="X26" s="273">
        <f t="shared" si="27"/>
        <v>510.39214930555568</v>
      </c>
      <c r="Y26" s="273">
        <f t="shared" si="28"/>
        <v>480.08947222222235</v>
      </c>
      <c r="Z26" s="273">
        <f t="shared" si="29"/>
        <v>452.75764583333347</v>
      </c>
      <c r="AA26" s="273">
        <f t="shared" si="30"/>
        <v>425.42581944444453</v>
      </c>
      <c r="AB26" s="100">
        <v>106</v>
      </c>
      <c r="AC26" s="101" t="s">
        <v>30</v>
      </c>
      <c r="AD26" s="159"/>
      <c r="AE26" s="159"/>
      <c r="AF26" s="164"/>
      <c r="AG26" s="164"/>
      <c r="AH26" s="164"/>
      <c r="AI26" s="159">
        <f t="shared" si="31"/>
        <v>17197434.416516665</v>
      </c>
      <c r="AJ26" s="159">
        <f t="shared" si="20"/>
        <v>16732686.022264201</v>
      </c>
      <c r="AK26" s="159">
        <f t="shared" si="21"/>
        <v>16000725.592090208</v>
      </c>
      <c r="AL26" s="159">
        <f t="shared" si="22"/>
        <v>15462592.892408809</v>
      </c>
      <c r="AM26" s="159">
        <f t="shared" si="23"/>
        <v>15019459.867529552</v>
      </c>
      <c r="AN26" s="159">
        <f t="shared" si="24"/>
        <v>14561811.009107942</v>
      </c>
    </row>
    <row r="27" spans="1:1030" x14ac:dyDescent="0.35">
      <c r="A27" s="46">
        <v>743</v>
      </c>
      <c r="B27" s="240" t="s">
        <v>31</v>
      </c>
      <c r="C27" s="364">
        <v>50.501157407407398</v>
      </c>
      <c r="D27" s="365">
        <v>8.1559881473209099E-4</v>
      </c>
      <c r="E27" s="191">
        <v>0.96599999999999997</v>
      </c>
      <c r="F27" s="191">
        <v>0.90500000000000003</v>
      </c>
      <c r="G27" s="191">
        <v>0.83599999999999997</v>
      </c>
      <c r="H27" s="191">
        <v>0.78100000000000003</v>
      </c>
      <c r="I27" s="191">
        <v>0.73599999999999999</v>
      </c>
      <c r="J27" s="191">
        <v>0.71699999999999997</v>
      </c>
      <c r="K27" s="361">
        <v>7.8786845503119984E-4</v>
      </c>
      <c r="L27" s="362">
        <v>7.3811692733254239E-4</v>
      </c>
      <c r="M27" s="362">
        <v>6.8184060911602809E-4</v>
      </c>
      <c r="N27" s="362">
        <v>6.3698267430576305E-4</v>
      </c>
      <c r="O27" s="362">
        <v>6.0028072764281896E-4</v>
      </c>
      <c r="P27" s="363">
        <v>5.8478435016290917E-4</v>
      </c>
      <c r="Q27" s="273">
        <v>80.125000000000014</v>
      </c>
      <c r="R27" s="273">
        <v>76.153935185185205</v>
      </c>
      <c r="S27" s="273">
        <v>69.773897414125472</v>
      </c>
      <c r="T27" s="273">
        <v>61.606546704947036</v>
      </c>
      <c r="U27" s="273">
        <v>56.881684582467891</v>
      </c>
      <c r="V27" s="273">
        <f t="shared" si="25"/>
        <v>48.784118055555545</v>
      </c>
      <c r="W27" s="273">
        <f t="shared" si="26"/>
        <v>45.703547453703699</v>
      </c>
      <c r="X27" s="273">
        <f t="shared" si="27"/>
        <v>42.218967592592584</v>
      </c>
      <c r="Y27" s="273">
        <f t="shared" si="28"/>
        <v>39.441403935185178</v>
      </c>
      <c r="Z27" s="273">
        <f t="shared" si="29"/>
        <v>37.168851851851841</v>
      </c>
      <c r="AA27" s="273">
        <f t="shared" si="30"/>
        <v>36.209329861111101</v>
      </c>
      <c r="AB27" s="100">
        <v>743</v>
      </c>
      <c r="AC27" s="101" t="s">
        <v>31</v>
      </c>
      <c r="AD27" s="159"/>
      <c r="AE27" s="159"/>
      <c r="AF27" s="164"/>
      <c r="AG27" s="164"/>
      <c r="AH27" s="164"/>
      <c r="AI27" s="159">
        <f t="shared" si="31"/>
        <v>1483181.6706930322</v>
      </c>
      <c r="AJ27" s="159">
        <f t="shared" si="20"/>
        <v>1405106.6113907727</v>
      </c>
      <c r="AK27" s="159">
        <f t="shared" si="21"/>
        <v>1323558.9852813396</v>
      </c>
      <c r="AL27" s="159">
        <f t="shared" si="22"/>
        <v>1270318.1540971722</v>
      </c>
      <c r="AM27" s="159">
        <f t="shared" si="23"/>
        <v>1233013.0343431951</v>
      </c>
      <c r="AN27" s="159">
        <f t="shared" si="24"/>
        <v>1239401.5457089671</v>
      </c>
    </row>
    <row r="28" spans="1:1030" x14ac:dyDescent="0.35">
      <c r="A28" s="46">
        <v>308</v>
      </c>
      <c r="B28" s="240" t="s">
        <v>33</v>
      </c>
      <c r="C28" s="364">
        <v>28.012731481481499</v>
      </c>
      <c r="D28" s="365">
        <v>4.524084549070844E-4</v>
      </c>
      <c r="E28" s="191">
        <v>0.97499999999999998</v>
      </c>
      <c r="F28" s="191">
        <v>0.91500000000000004</v>
      </c>
      <c r="G28" s="191">
        <v>0.878</v>
      </c>
      <c r="H28" s="191">
        <v>0.81100000000000005</v>
      </c>
      <c r="I28" s="191">
        <v>0.76</v>
      </c>
      <c r="J28" s="191">
        <v>0.69199999999999995</v>
      </c>
      <c r="K28" s="361">
        <v>4.4109824353440728E-4</v>
      </c>
      <c r="L28" s="362">
        <v>4.1395373623998223E-4</v>
      </c>
      <c r="M28" s="362">
        <v>3.9721462340842011E-4</v>
      </c>
      <c r="N28" s="362">
        <v>3.6690325692964549E-4</v>
      </c>
      <c r="O28" s="362">
        <v>3.4383042572938414E-4</v>
      </c>
      <c r="P28" s="363">
        <v>3.130666507957024E-4</v>
      </c>
      <c r="Q28" s="273">
        <v>40.625</v>
      </c>
      <c r="R28" s="273">
        <v>38.046296296296298</v>
      </c>
      <c r="S28" s="273">
        <v>35.954973530519318</v>
      </c>
      <c r="T28" s="273">
        <v>33.925341418838052</v>
      </c>
      <c r="U28" s="273">
        <v>29.675875180698448</v>
      </c>
      <c r="V28" s="273">
        <f t="shared" si="25"/>
        <v>27.31241319444446</v>
      </c>
      <c r="W28" s="273">
        <f t="shared" si="26"/>
        <v>25.631649305555573</v>
      </c>
      <c r="X28" s="273">
        <f t="shared" si="27"/>
        <v>24.595178240740754</v>
      </c>
      <c r="Y28" s="273">
        <f t="shared" si="28"/>
        <v>22.718325231481497</v>
      </c>
      <c r="Z28" s="273">
        <f t="shared" si="29"/>
        <v>21.289675925925938</v>
      </c>
      <c r="AA28" s="273">
        <f t="shared" si="30"/>
        <v>19.384810185185195</v>
      </c>
      <c r="AB28" s="100">
        <v>308</v>
      </c>
      <c r="AC28" s="101" t="s">
        <v>33</v>
      </c>
      <c r="AD28" s="159"/>
      <c r="AE28" s="159"/>
      <c r="AF28" s="164"/>
      <c r="AG28" s="164"/>
      <c r="AH28" s="164"/>
      <c r="AI28" s="159">
        <f t="shared" si="31"/>
        <v>830378.2510993114</v>
      </c>
      <c r="AJ28" s="159">
        <f t="shared" si="20"/>
        <v>788017.60271602869</v>
      </c>
      <c r="AK28" s="159">
        <f t="shared" si="21"/>
        <v>771055.54710058914</v>
      </c>
      <c r="AL28" s="159">
        <f t="shared" si="22"/>
        <v>731705.72273898171</v>
      </c>
      <c r="AM28" s="159">
        <f t="shared" si="23"/>
        <v>706248.5550599905</v>
      </c>
      <c r="AN28" s="159">
        <f t="shared" si="24"/>
        <v>663518.59586876724</v>
      </c>
    </row>
    <row r="29" spans="1:1030" x14ac:dyDescent="0.35">
      <c r="A29" s="46">
        <v>203</v>
      </c>
      <c r="B29" s="240" t="s">
        <v>35</v>
      </c>
      <c r="C29" s="364">
        <v>87</v>
      </c>
      <c r="D29" s="365">
        <v>1.405058824875251E-3</v>
      </c>
      <c r="E29" s="191">
        <v>0.96399999999999997</v>
      </c>
      <c r="F29" s="191">
        <v>0.89100000000000001</v>
      </c>
      <c r="G29" s="191">
        <v>0.83699999999999997</v>
      </c>
      <c r="H29" s="191">
        <v>0.76700000000000002</v>
      </c>
      <c r="I29" s="191">
        <v>0.68300000000000005</v>
      </c>
      <c r="J29" s="191">
        <v>0.63200000000000001</v>
      </c>
      <c r="K29" s="361">
        <v>1.3544767071797419E-3</v>
      </c>
      <c r="L29" s="362">
        <v>1.2519074129638487E-3</v>
      </c>
      <c r="M29" s="362">
        <v>1.176034236420585E-3</v>
      </c>
      <c r="N29" s="362">
        <v>1.0776801186793176E-3</v>
      </c>
      <c r="O29" s="362">
        <v>9.5965517738979655E-4</v>
      </c>
      <c r="P29" s="363">
        <v>8.8799717732115869E-4</v>
      </c>
      <c r="Q29" s="273">
        <v>105.08017478994698</v>
      </c>
      <c r="R29" s="273">
        <v>102.64984502021757</v>
      </c>
      <c r="S29" s="273">
        <v>100.10593889691431</v>
      </c>
      <c r="T29" s="273">
        <v>92.121569924638948</v>
      </c>
      <c r="U29" s="273">
        <v>85.120138557905918</v>
      </c>
      <c r="V29" s="273">
        <f t="shared" si="25"/>
        <v>83.867999999999995</v>
      </c>
      <c r="W29" s="273">
        <f t="shared" si="26"/>
        <v>77.516999999999996</v>
      </c>
      <c r="X29" s="273">
        <f t="shared" si="27"/>
        <v>72.819000000000003</v>
      </c>
      <c r="Y29" s="273">
        <f t="shared" si="28"/>
        <v>66.728999999999999</v>
      </c>
      <c r="Z29" s="273">
        <f t="shared" si="29"/>
        <v>59.421000000000006</v>
      </c>
      <c r="AA29" s="273">
        <f t="shared" si="30"/>
        <v>54.984000000000002</v>
      </c>
      <c r="AB29" s="100">
        <v>203</v>
      </c>
      <c r="AC29" s="101" t="s">
        <v>35</v>
      </c>
      <c r="AD29" s="159"/>
      <c r="AE29" s="159"/>
      <c r="AF29" s="164"/>
      <c r="AG29" s="164"/>
      <c r="AH29" s="164"/>
      <c r="AI29" s="159">
        <f t="shared" si="31"/>
        <v>2549835.588213888</v>
      </c>
      <c r="AJ29" s="159">
        <f t="shared" si="20"/>
        <v>2383177.13314291</v>
      </c>
      <c r="AK29" s="159">
        <f t="shared" si="21"/>
        <v>2282865.9070789786</v>
      </c>
      <c r="AL29" s="159">
        <f t="shared" si="22"/>
        <v>2149189.7257016902</v>
      </c>
      <c r="AM29" s="159">
        <f t="shared" si="23"/>
        <v>1971189.9578102431</v>
      </c>
      <c r="AN29" s="159">
        <f t="shared" si="24"/>
        <v>1882035.7860986583</v>
      </c>
    </row>
    <row r="30" spans="1:1030" x14ac:dyDescent="0.35">
      <c r="A30" s="46">
        <v>888</v>
      </c>
      <c r="B30" s="240" t="s">
        <v>36</v>
      </c>
      <c r="C30" s="364">
        <v>40.032407407407398</v>
      </c>
      <c r="D30" s="365">
        <v>6.4652744033079465E-4</v>
      </c>
      <c r="E30" s="191">
        <v>0.90600000000000003</v>
      </c>
      <c r="F30" s="191">
        <v>0.85899999999999999</v>
      </c>
      <c r="G30" s="191">
        <v>0.77600000000000002</v>
      </c>
      <c r="H30" s="191">
        <v>0.755</v>
      </c>
      <c r="I30" s="191">
        <v>0.69199999999999995</v>
      </c>
      <c r="J30" s="191">
        <v>0.64700000000000002</v>
      </c>
      <c r="K30" s="361">
        <v>5.8575386093970001E-4</v>
      </c>
      <c r="L30" s="362">
        <v>5.5536707124415258E-4</v>
      </c>
      <c r="M30" s="362">
        <v>5.017052936966967E-4</v>
      </c>
      <c r="N30" s="362">
        <v>4.8812821744974999E-4</v>
      </c>
      <c r="O30" s="362">
        <v>4.4739698870890985E-4</v>
      </c>
      <c r="P30" s="363">
        <v>4.1830325389402415E-4</v>
      </c>
      <c r="Q30" s="273">
        <v>67.212962962962948</v>
      </c>
      <c r="R30" s="273">
        <v>61.3611111111111</v>
      </c>
      <c r="S30" s="273">
        <v>49.947595806337119</v>
      </c>
      <c r="T30" s="273">
        <v>43.113219673805936</v>
      </c>
      <c r="U30" s="273">
        <v>40.318532080125721</v>
      </c>
      <c r="V30" s="273">
        <f t="shared" si="25"/>
        <v>36.269361111111103</v>
      </c>
      <c r="W30" s="273">
        <f t="shared" si="26"/>
        <v>34.387837962962955</v>
      </c>
      <c r="X30" s="273">
        <f t="shared" si="27"/>
        <v>31.06514814814814</v>
      </c>
      <c r="Y30" s="273">
        <f t="shared" si="28"/>
        <v>30.224467592592585</v>
      </c>
      <c r="Z30" s="273">
        <f t="shared" si="29"/>
        <v>27.702425925925915</v>
      </c>
      <c r="AA30" s="273">
        <f t="shared" si="30"/>
        <v>25.900967592592586</v>
      </c>
      <c r="AB30" s="100">
        <v>888</v>
      </c>
      <c r="AC30" s="101" t="s">
        <v>36</v>
      </c>
      <c r="AD30" s="159"/>
      <c r="AE30" s="159"/>
      <c r="AF30" s="164"/>
      <c r="AG30" s="164"/>
      <c r="AH30" s="164"/>
      <c r="AI30" s="159">
        <f t="shared" si="31"/>
        <v>1102695.9951696941</v>
      </c>
      <c r="AJ30" s="159">
        <f t="shared" si="20"/>
        <v>1057217.2438504715</v>
      </c>
      <c r="AK30" s="159">
        <f t="shared" si="21"/>
        <v>973888.2380390428</v>
      </c>
      <c r="AL30" s="159">
        <f t="shared" si="22"/>
        <v>973461.54168058396</v>
      </c>
      <c r="AM30" s="159">
        <f t="shared" si="23"/>
        <v>918980.558929794</v>
      </c>
      <c r="AN30" s="159">
        <f t="shared" si="24"/>
        <v>886558.77898735739</v>
      </c>
    </row>
    <row r="31" spans="1:1030" x14ac:dyDescent="0.35">
      <c r="A31" s="46">
        <v>1954</v>
      </c>
      <c r="B31" s="240" t="s">
        <v>37</v>
      </c>
      <c r="C31" s="364">
        <v>172.194444444444</v>
      </c>
      <c r="D31" s="365">
        <v>2.7809577443811172E-3</v>
      </c>
      <c r="E31" s="191">
        <v>0.94699999999999995</v>
      </c>
      <c r="F31" s="191">
        <v>0.90700000000000003</v>
      </c>
      <c r="G31" s="191">
        <v>0.85099999999999998</v>
      </c>
      <c r="H31" s="191">
        <v>0.78200000000000003</v>
      </c>
      <c r="I31" s="191">
        <v>0.71399999999999997</v>
      </c>
      <c r="J31" s="191">
        <v>0.65500000000000003</v>
      </c>
      <c r="K31" s="361">
        <v>2.6335669839289179E-3</v>
      </c>
      <c r="L31" s="362">
        <v>2.5223286741536733E-3</v>
      </c>
      <c r="M31" s="362">
        <v>2.3665950404683305E-3</v>
      </c>
      <c r="N31" s="362">
        <v>2.1747089561060338E-3</v>
      </c>
      <c r="O31" s="362">
        <v>1.9856038294881178E-3</v>
      </c>
      <c r="P31" s="363">
        <v>1.8215273225696319E-3</v>
      </c>
      <c r="Q31" s="273">
        <v>228.13868722753537</v>
      </c>
      <c r="R31" s="273">
        <v>213.41435185185179</v>
      </c>
      <c r="S31" s="273">
        <v>186.6308555218761</v>
      </c>
      <c r="T31" s="273">
        <v>171.11648514427549</v>
      </c>
      <c r="U31" s="273">
        <v>165.28386950749356</v>
      </c>
      <c r="V31" s="273">
        <f t="shared" si="25"/>
        <v>163.06813888888846</v>
      </c>
      <c r="W31" s="273">
        <f t="shared" si="26"/>
        <v>156.18036111111073</v>
      </c>
      <c r="X31" s="273">
        <f t="shared" si="27"/>
        <v>146.53747222222185</v>
      </c>
      <c r="Y31" s="273">
        <f t="shared" si="28"/>
        <v>134.65605555555521</v>
      </c>
      <c r="Z31" s="273">
        <f t="shared" si="29"/>
        <v>122.94683333333302</v>
      </c>
      <c r="AA31" s="273">
        <f t="shared" si="30"/>
        <v>112.78736111111083</v>
      </c>
      <c r="AB31" s="100">
        <v>1954</v>
      </c>
      <c r="AC31" s="101" t="s">
        <v>37</v>
      </c>
      <c r="AD31" s="159"/>
      <c r="AE31" s="159"/>
      <c r="AF31" s="164"/>
      <c r="AG31" s="164"/>
      <c r="AH31" s="164"/>
      <c r="AI31" s="159">
        <f t="shared" si="31"/>
        <v>4957754.3740484202</v>
      </c>
      <c r="AJ31" s="159">
        <f t="shared" si="20"/>
        <v>4801597.9107292769</v>
      </c>
      <c r="AK31" s="159">
        <f t="shared" si="21"/>
        <v>4593930.1479784548</v>
      </c>
      <c r="AL31" s="159">
        <f t="shared" si="22"/>
        <v>4336966.1032461943</v>
      </c>
      <c r="AM31" s="159">
        <f t="shared" si="23"/>
        <v>4078550.7347778678</v>
      </c>
      <c r="AN31" s="159">
        <f t="shared" si="24"/>
        <v>3860574.8914364669</v>
      </c>
    </row>
    <row r="33" spans="1:40" x14ac:dyDescent="0.35">
      <c r="A33" s="46">
        <v>889</v>
      </c>
      <c r="B33" s="240" t="s">
        <v>39</v>
      </c>
      <c r="C33" s="364">
        <v>49.3888888888889</v>
      </c>
      <c r="D33" s="365">
        <v>7.9763556533467327E-4</v>
      </c>
      <c r="E33" s="191">
        <v>0.93200000000000005</v>
      </c>
      <c r="F33" s="191">
        <v>0.89400000000000002</v>
      </c>
      <c r="G33" s="191">
        <v>0.85699999999999998</v>
      </c>
      <c r="H33" s="191">
        <v>0.83599999999999997</v>
      </c>
      <c r="I33" s="191">
        <v>0.81200000000000006</v>
      </c>
      <c r="J33" s="191">
        <v>0.73099999999999998</v>
      </c>
      <c r="K33" s="361">
        <v>7.4339634689191548E-4</v>
      </c>
      <c r="L33" s="362">
        <v>7.1308619540919787E-4</v>
      </c>
      <c r="M33" s="362">
        <v>6.8357367949181496E-4</v>
      </c>
      <c r="N33" s="362">
        <v>6.6682333261978684E-4</v>
      </c>
      <c r="O33" s="362">
        <v>6.476800790517547E-4</v>
      </c>
      <c r="P33" s="363">
        <v>5.8307159825964614E-4</v>
      </c>
      <c r="Q33" s="273">
        <v>65.729166666666657</v>
      </c>
      <c r="R33" s="273">
        <v>62.793981481481502</v>
      </c>
      <c r="S33" s="273">
        <v>57.040074538819525</v>
      </c>
      <c r="T33" s="273">
        <v>53.37136643767488</v>
      </c>
      <c r="U33" s="273">
        <v>50.53571093018968</v>
      </c>
      <c r="V33" s="273">
        <f t="shared" si="25"/>
        <v>46.030444444444456</v>
      </c>
      <c r="W33" s="273">
        <f t="shared" si="26"/>
        <v>44.15366666666668</v>
      </c>
      <c r="X33" s="273">
        <f t="shared" si="27"/>
        <v>42.32627777777779</v>
      </c>
      <c r="Y33" s="273">
        <f t="shared" si="28"/>
        <v>41.289111111111119</v>
      </c>
      <c r="Z33" s="273">
        <f t="shared" si="29"/>
        <v>40.103777777777786</v>
      </c>
      <c r="AA33" s="273">
        <f t="shared" si="30"/>
        <v>36.103277777777784</v>
      </c>
      <c r="AB33" s="100">
        <v>889</v>
      </c>
      <c r="AC33" s="101" t="s">
        <v>39</v>
      </c>
      <c r="AD33" s="159"/>
      <c r="AE33" s="159"/>
      <c r="AF33" s="164"/>
      <c r="AG33" s="164"/>
      <c r="AH33" s="164"/>
      <c r="AI33" s="159">
        <f t="shared" si="31"/>
        <v>1399461.837479691</v>
      </c>
      <c r="AJ33" s="159">
        <f t="shared" ref="AJ33:AJ51" si="39">+W33*AJ$8</f>
        <v>1357457.1867385784</v>
      </c>
      <c r="AK33" s="159">
        <f t="shared" ref="AK33:AK51" si="40">+X33*AK$8</f>
        <v>1326923.145229178</v>
      </c>
      <c r="AL33" s="159">
        <f t="shared" ref="AL33:AL51" si="41">+Y33*AL$8</f>
        <v>1329828.6109990487</v>
      </c>
      <c r="AM33" s="159">
        <f t="shared" ref="AM33:AM51" si="42">+Z33*AM$8</f>
        <v>1330374.1779136863</v>
      </c>
      <c r="AN33" s="159">
        <f t="shared" ref="AN33:AN51" si="43">+AA33*AN$8</f>
        <v>1235771.5112257791</v>
      </c>
    </row>
    <row r="34" spans="1:40" x14ac:dyDescent="0.35">
      <c r="A34" s="46">
        <v>1945</v>
      </c>
      <c r="B34" s="240" t="s">
        <v>40</v>
      </c>
      <c r="C34" s="364">
        <v>135.10185185185199</v>
      </c>
      <c r="D34" s="365">
        <v>2.181908611510729E-3</v>
      </c>
      <c r="E34" s="191">
        <v>0.93300000000000005</v>
      </c>
      <c r="F34" s="191">
        <v>0.86299999999999999</v>
      </c>
      <c r="G34" s="191">
        <v>0.82</v>
      </c>
      <c r="H34" s="191">
        <v>0.73299999999999998</v>
      </c>
      <c r="I34" s="191">
        <v>0.67</v>
      </c>
      <c r="J34" s="191">
        <v>0.60899999999999999</v>
      </c>
      <c r="K34" s="361">
        <v>2.0357207345395104E-3</v>
      </c>
      <c r="L34" s="362">
        <v>1.8829871317337591E-3</v>
      </c>
      <c r="M34" s="362">
        <v>1.7891650614387977E-3</v>
      </c>
      <c r="N34" s="362">
        <v>1.5993390122373643E-3</v>
      </c>
      <c r="O34" s="362">
        <v>1.4618787697121885E-3</v>
      </c>
      <c r="P34" s="363">
        <v>1.3287823444100338E-3</v>
      </c>
      <c r="Q34" s="273">
        <v>179.50790819059344</v>
      </c>
      <c r="R34" s="273">
        <v>171.71181568145292</v>
      </c>
      <c r="S34" s="273">
        <v>159.06443392307887</v>
      </c>
      <c r="T34" s="273">
        <v>148.7512229783151</v>
      </c>
      <c r="U34" s="273">
        <v>135.85118584700842</v>
      </c>
      <c r="V34" s="273">
        <f t="shared" si="25"/>
        <v>126.05002777777791</v>
      </c>
      <c r="W34" s="273">
        <f t="shared" si="26"/>
        <v>116.59289814814827</v>
      </c>
      <c r="X34" s="273">
        <f t="shared" si="27"/>
        <v>110.78351851851862</v>
      </c>
      <c r="Y34" s="273">
        <f t="shared" si="28"/>
        <v>99.029657407407512</v>
      </c>
      <c r="Z34" s="273">
        <f t="shared" si="29"/>
        <v>90.518240740740836</v>
      </c>
      <c r="AA34" s="273">
        <f t="shared" si="30"/>
        <v>82.27702777777786</v>
      </c>
      <c r="AB34" s="100">
        <v>1945</v>
      </c>
      <c r="AC34" s="101" t="s">
        <v>40</v>
      </c>
      <c r="AD34" s="159"/>
      <c r="AE34" s="159"/>
      <c r="AF34" s="164"/>
      <c r="AG34" s="164"/>
      <c r="AH34" s="164"/>
      <c r="AI34" s="159">
        <f t="shared" si="31"/>
        <v>3832294.1613383805</v>
      </c>
      <c r="AJ34" s="159">
        <f t="shared" si="39"/>
        <v>3584523.7658001124</v>
      </c>
      <c r="AK34" s="159">
        <f t="shared" si="40"/>
        <v>3473048.4831181262</v>
      </c>
      <c r="AL34" s="159">
        <f t="shared" si="41"/>
        <v>3189520.6318056397</v>
      </c>
      <c r="AM34" s="159">
        <f t="shared" si="42"/>
        <v>3002787.6869591279</v>
      </c>
      <c r="AN34" s="159">
        <f t="shared" si="43"/>
        <v>2816243.1007495145</v>
      </c>
    </row>
    <row r="35" spans="1:40" x14ac:dyDescent="0.35">
      <c r="A35" s="46">
        <v>1724</v>
      </c>
      <c r="B35" s="240" t="s">
        <v>41</v>
      </c>
      <c r="C35" s="364">
        <v>74.747685185185205</v>
      </c>
      <c r="D35" s="365">
        <v>1.2071826977981786E-3</v>
      </c>
      <c r="E35" s="191">
        <v>0.94399999999999995</v>
      </c>
      <c r="F35" s="191">
        <v>0.90100000000000002</v>
      </c>
      <c r="G35" s="191">
        <v>0.83599999999999997</v>
      </c>
      <c r="H35" s="191">
        <v>0.77300000000000002</v>
      </c>
      <c r="I35" s="191">
        <v>0.71599999999999997</v>
      </c>
      <c r="J35" s="191">
        <v>0.67700000000000005</v>
      </c>
      <c r="K35" s="361">
        <v>1.1395804667214805E-3</v>
      </c>
      <c r="L35" s="362">
        <v>1.087671610716159E-3</v>
      </c>
      <c r="M35" s="362">
        <v>1.0092047353592773E-3</v>
      </c>
      <c r="N35" s="362">
        <v>9.3315222539799207E-4</v>
      </c>
      <c r="O35" s="362">
        <v>8.6434281162349588E-4</v>
      </c>
      <c r="P35" s="363">
        <v>8.1726268640936698E-4</v>
      </c>
      <c r="Q35" s="273">
        <v>108.44242138310084</v>
      </c>
      <c r="R35" s="273">
        <v>102.26404708355878</v>
      </c>
      <c r="S35" s="273">
        <v>92.67213838879178</v>
      </c>
      <c r="T35" s="273">
        <v>82.688719093762018</v>
      </c>
      <c r="U35" s="273">
        <v>76.910594055203745</v>
      </c>
      <c r="V35" s="273">
        <f t="shared" si="25"/>
        <v>70.561814814814824</v>
      </c>
      <c r="W35" s="273">
        <f t="shared" si="26"/>
        <v>67.347664351851876</v>
      </c>
      <c r="X35" s="273">
        <f t="shared" si="27"/>
        <v>62.489064814814832</v>
      </c>
      <c r="Y35" s="273">
        <f t="shared" si="28"/>
        <v>57.779960648148162</v>
      </c>
      <c r="Z35" s="273">
        <f t="shared" si="29"/>
        <v>53.519342592592601</v>
      </c>
      <c r="AA35" s="273">
        <f t="shared" si="30"/>
        <v>50.604182870370387</v>
      </c>
      <c r="AB35" s="100">
        <v>1724</v>
      </c>
      <c r="AC35" s="101" t="s">
        <v>41</v>
      </c>
      <c r="AD35" s="159"/>
      <c r="AE35" s="159"/>
      <c r="AF35" s="164"/>
      <c r="AG35" s="164"/>
      <c r="AH35" s="164"/>
      <c r="AI35" s="159">
        <f t="shared" si="31"/>
        <v>2145288.1502333763</v>
      </c>
      <c r="AJ35" s="159">
        <f t="shared" si="39"/>
        <v>2070531.8014618384</v>
      </c>
      <c r="AK35" s="159">
        <f t="shared" si="40"/>
        <v>1959023.8211317013</v>
      </c>
      <c r="AL35" s="159">
        <f t="shared" si="41"/>
        <v>1860961.4676744447</v>
      </c>
      <c r="AM35" s="159">
        <f t="shared" si="42"/>
        <v>1775412.5758086292</v>
      </c>
      <c r="AN35" s="159">
        <f t="shared" si="43"/>
        <v>1732119.9455899496</v>
      </c>
    </row>
    <row r="36" spans="1:40" x14ac:dyDescent="0.35">
      <c r="A36" s="46">
        <v>893</v>
      </c>
      <c r="B36" s="240" t="s">
        <v>639</v>
      </c>
      <c r="C36" s="364">
        <v>78.7847222222222</v>
      </c>
      <c r="D36" s="365">
        <v>1.2723812554445817E-3</v>
      </c>
      <c r="E36" s="191">
        <v>0.95299999999999996</v>
      </c>
      <c r="F36" s="191">
        <v>0.92900000000000005</v>
      </c>
      <c r="G36" s="191">
        <v>0.84399999999999997</v>
      </c>
      <c r="H36" s="191">
        <v>0.79700000000000004</v>
      </c>
      <c r="I36" s="191">
        <v>0.73399999999999999</v>
      </c>
      <c r="J36" s="191">
        <v>0.67800000000000005</v>
      </c>
      <c r="K36" s="361">
        <v>1.2125793364386862E-3</v>
      </c>
      <c r="L36" s="362">
        <v>1.1820421863080164E-3</v>
      </c>
      <c r="M36" s="362">
        <v>1.0738897795952269E-3</v>
      </c>
      <c r="N36" s="362">
        <v>1.0140878605893317E-3</v>
      </c>
      <c r="O36" s="362">
        <v>9.339278414963229E-4</v>
      </c>
      <c r="P36" s="363">
        <v>8.6267449119142641E-4</v>
      </c>
      <c r="Q36" s="273">
        <v>96.033126533093878</v>
      </c>
      <c r="R36" s="273">
        <v>97.393518518518505</v>
      </c>
      <c r="S36" s="273">
        <v>90.035072915230273</v>
      </c>
      <c r="T36" s="273">
        <v>86.682040567389237</v>
      </c>
      <c r="U36" s="273">
        <v>80.498466200944279</v>
      </c>
      <c r="V36" s="273">
        <f t="shared" si="25"/>
        <v>75.081840277777758</v>
      </c>
      <c r="W36" s="273">
        <f t="shared" si="26"/>
        <v>73.191006944444425</v>
      </c>
      <c r="X36" s="273">
        <f t="shared" si="27"/>
        <v>66.494305555555542</v>
      </c>
      <c r="Y36" s="273">
        <f t="shared" si="28"/>
        <v>62.791423611111099</v>
      </c>
      <c r="Z36" s="273">
        <f t="shared" si="29"/>
        <v>57.827986111111095</v>
      </c>
      <c r="AA36" s="273">
        <f t="shared" si="30"/>
        <v>53.416041666666658</v>
      </c>
      <c r="AB36" s="100">
        <v>893</v>
      </c>
      <c r="AC36" s="101" t="s">
        <v>639</v>
      </c>
      <c r="AD36" s="159"/>
      <c r="AE36" s="159"/>
      <c r="AF36" s="164"/>
      <c r="AG36" s="164"/>
      <c r="AH36" s="164"/>
      <c r="AI36" s="159">
        <f t="shared" si="31"/>
        <v>2282710.3110705949</v>
      </c>
      <c r="AJ36" s="159">
        <f t="shared" si="39"/>
        <v>2250179.1104106698</v>
      </c>
      <c r="AK36" s="159">
        <f t="shared" si="40"/>
        <v>2084587.5824670768</v>
      </c>
      <c r="AL36" s="159">
        <f t="shared" si="41"/>
        <v>2022369.3219916753</v>
      </c>
      <c r="AM36" s="159">
        <f t="shared" si="42"/>
        <v>1918344.44897616</v>
      </c>
      <c r="AN36" s="159">
        <f t="shared" si="43"/>
        <v>1828366.4696712438</v>
      </c>
    </row>
    <row r="37" spans="1:40" x14ac:dyDescent="0.35">
      <c r="A37" s="46">
        <v>373</v>
      </c>
      <c r="B37" s="240" t="s">
        <v>499</v>
      </c>
      <c r="C37" s="364">
        <v>42.939814814814802</v>
      </c>
      <c r="D37" s="365">
        <v>6.9348236487430551E-4</v>
      </c>
      <c r="E37" s="191">
        <v>0.97599999999999998</v>
      </c>
      <c r="F37" s="191">
        <v>0.95099999999999996</v>
      </c>
      <c r="G37" s="191">
        <v>0.86499999999999999</v>
      </c>
      <c r="H37" s="191">
        <v>0.80300000000000005</v>
      </c>
      <c r="I37" s="191">
        <v>0.73299999999999998</v>
      </c>
      <c r="J37" s="191">
        <v>0.67900000000000005</v>
      </c>
      <c r="K37" s="361">
        <v>6.7683878811732219E-4</v>
      </c>
      <c r="L37" s="362">
        <v>6.5950172899546453E-4</v>
      </c>
      <c r="M37" s="362">
        <v>5.9986224561627422E-4</v>
      </c>
      <c r="N37" s="362">
        <v>5.5686633899406735E-4</v>
      </c>
      <c r="O37" s="362">
        <v>5.0832257345286588E-4</v>
      </c>
      <c r="P37" s="363">
        <v>4.7087452574965348E-4</v>
      </c>
      <c r="Q37" s="273">
        <v>58.91666666666665</v>
      </c>
      <c r="R37" s="273">
        <v>57.2708333333333</v>
      </c>
      <c r="S37" s="273">
        <v>51.384972407061497</v>
      </c>
      <c r="T37" s="273">
        <v>45.736145153201221</v>
      </c>
      <c r="U37" s="273">
        <v>44.192502126713357</v>
      </c>
      <c r="V37" s="273">
        <f t="shared" si="25"/>
        <v>41.909259259259244</v>
      </c>
      <c r="W37" s="273">
        <f t="shared" si="26"/>
        <v>40.835763888888877</v>
      </c>
      <c r="X37" s="273">
        <f t="shared" si="27"/>
        <v>37.142939814814802</v>
      </c>
      <c r="Y37" s="273">
        <f t="shared" si="28"/>
        <v>34.480671296296286</v>
      </c>
      <c r="Z37" s="273">
        <f t="shared" si="29"/>
        <v>31.474884259259248</v>
      </c>
      <c r="AA37" s="273">
        <f t="shared" si="30"/>
        <v>29.156134259259254</v>
      </c>
      <c r="AB37" s="100">
        <v>373</v>
      </c>
      <c r="AC37" s="101" t="s">
        <v>499</v>
      </c>
      <c r="AD37" s="159"/>
      <c r="AE37" s="159"/>
      <c r="AF37" s="164"/>
      <c r="AG37" s="164"/>
      <c r="AH37" s="164"/>
      <c r="AI37" s="159">
        <f t="shared" si="31"/>
        <v>1274165.6023148475</v>
      </c>
      <c r="AJ37" s="159">
        <f t="shared" si="39"/>
        <v>1255451.8197869237</v>
      </c>
      <c r="AK37" s="159">
        <f t="shared" si="40"/>
        <v>1164426.1936023168</v>
      </c>
      <c r="AL37" s="159">
        <f t="shared" si="41"/>
        <v>1110544.2084445618</v>
      </c>
      <c r="AM37" s="159">
        <f t="shared" si="42"/>
        <v>1044125.4064235123</v>
      </c>
      <c r="AN37" s="159">
        <f t="shared" si="43"/>
        <v>997979.19504261261</v>
      </c>
    </row>
    <row r="38" spans="1:40" x14ac:dyDescent="0.35">
      <c r="A38" s="46">
        <v>748</v>
      </c>
      <c r="B38" s="240" t="s">
        <v>44</v>
      </c>
      <c r="C38" s="364">
        <v>359.62037037037101</v>
      </c>
      <c r="D38" s="365">
        <v>5.8079054596988046E-3</v>
      </c>
      <c r="E38" s="191">
        <v>0.95199999999999996</v>
      </c>
      <c r="F38" s="191">
        <v>0.91100000000000003</v>
      </c>
      <c r="G38" s="191">
        <v>0.87</v>
      </c>
      <c r="H38" s="191">
        <v>0.81699999999999995</v>
      </c>
      <c r="I38" s="191">
        <v>0.77200000000000002</v>
      </c>
      <c r="J38" s="191">
        <v>0.72899999999999998</v>
      </c>
      <c r="K38" s="361">
        <v>5.5291259976332618E-3</v>
      </c>
      <c r="L38" s="362">
        <v>5.2910018737856107E-3</v>
      </c>
      <c r="M38" s="362">
        <v>5.0528777499379597E-3</v>
      </c>
      <c r="N38" s="362">
        <v>4.7450587605739232E-3</v>
      </c>
      <c r="O38" s="362">
        <v>4.483703014887477E-3</v>
      </c>
      <c r="P38" s="363">
        <v>4.2339630801204288E-3</v>
      </c>
      <c r="Q38" s="273">
        <v>452.56273838402109</v>
      </c>
      <c r="R38" s="273">
        <v>432.77473992706587</v>
      </c>
      <c r="S38" s="273">
        <v>417.1823203747</v>
      </c>
      <c r="T38" s="273">
        <v>395.47676855024753</v>
      </c>
      <c r="U38" s="273">
        <v>371.24692608243441</v>
      </c>
      <c r="V38" s="273">
        <f t="shared" si="25"/>
        <v>342.3585925925932</v>
      </c>
      <c r="W38" s="273">
        <f t="shared" si="26"/>
        <v>327.61415740740802</v>
      </c>
      <c r="X38" s="273">
        <f t="shared" si="27"/>
        <v>312.86972222222278</v>
      </c>
      <c r="Y38" s="273">
        <f t="shared" si="28"/>
        <v>293.8098425925931</v>
      </c>
      <c r="Z38" s="273">
        <f t="shared" si="29"/>
        <v>277.6269259259264</v>
      </c>
      <c r="AA38" s="273">
        <f t="shared" si="30"/>
        <v>262.16325000000046</v>
      </c>
      <c r="AB38" s="100">
        <v>748</v>
      </c>
      <c r="AC38" s="101" t="s">
        <v>44</v>
      </c>
      <c r="AD38" s="159"/>
      <c r="AE38" s="159"/>
      <c r="AF38" s="164"/>
      <c r="AG38" s="164"/>
      <c r="AH38" s="164"/>
      <c r="AI38" s="159">
        <f t="shared" si="31"/>
        <v>10408715.163392637</v>
      </c>
      <c r="AJ38" s="159">
        <f t="shared" si="39"/>
        <v>10072146.347603967</v>
      </c>
      <c r="AK38" s="159">
        <f t="shared" si="40"/>
        <v>9808423.9308200162</v>
      </c>
      <c r="AL38" s="159">
        <f t="shared" si="41"/>
        <v>9462948.5682391766</v>
      </c>
      <c r="AM38" s="159">
        <f t="shared" si="42"/>
        <v>9209798.0243165605</v>
      </c>
      <c r="AN38" s="159">
        <f t="shared" si="43"/>
        <v>8973530.8144174665</v>
      </c>
    </row>
    <row r="39" spans="1:40" x14ac:dyDescent="0.35">
      <c r="A39" s="46">
        <v>1859</v>
      </c>
      <c r="B39" s="240" t="s">
        <v>45</v>
      </c>
      <c r="C39" s="364">
        <v>202.06712962962999</v>
      </c>
      <c r="D39" s="365">
        <v>3.2634046402680796E-3</v>
      </c>
      <c r="E39" s="191">
        <v>0.93700000000000006</v>
      </c>
      <c r="F39" s="191">
        <v>0.89200000000000002</v>
      </c>
      <c r="G39" s="191">
        <v>0.82899999999999996</v>
      </c>
      <c r="H39" s="191">
        <v>0.77900000000000003</v>
      </c>
      <c r="I39" s="191">
        <v>0.72399999999999998</v>
      </c>
      <c r="J39" s="191">
        <v>0.66900000000000004</v>
      </c>
      <c r="K39" s="361">
        <v>3.0578101479311909E-3</v>
      </c>
      <c r="L39" s="362">
        <v>2.9109569391191272E-3</v>
      </c>
      <c r="M39" s="362">
        <v>2.7053624467822377E-3</v>
      </c>
      <c r="N39" s="362">
        <v>2.5421922147688342E-3</v>
      </c>
      <c r="O39" s="362">
        <v>2.3627049595540896E-3</v>
      </c>
      <c r="P39" s="363">
        <v>2.1832177043393454E-3</v>
      </c>
      <c r="Q39" s="273">
        <v>287.93236878115556</v>
      </c>
      <c r="R39" s="273">
        <v>257.73070811155497</v>
      </c>
      <c r="S39" s="273">
        <v>234.73466811110896</v>
      </c>
      <c r="T39" s="273">
        <v>216.77272080835618</v>
      </c>
      <c r="U39" s="273">
        <v>203.24103104458197</v>
      </c>
      <c r="V39" s="273">
        <f t="shared" si="25"/>
        <v>189.33690046296331</v>
      </c>
      <c r="W39" s="273">
        <f t="shared" si="26"/>
        <v>180.24387962962996</v>
      </c>
      <c r="X39" s="273">
        <f t="shared" si="27"/>
        <v>167.51365046296326</v>
      </c>
      <c r="Y39" s="273">
        <f t="shared" si="28"/>
        <v>157.41029398148177</v>
      </c>
      <c r="Z39" s="273">
        <f t="shared" si="29"/>
        <v>146.2966018518521</v>
      </c>
      <c r="AA39" s="273">
        <f t="shared" si="30"/>
        <v>135.18290972222246</v>
      </c>
      <c r="AB39" s="100">
        <v>1859</v>
      </c>
      <c r="AC39" s="101" t="s">
        <v>45</v>
      </c>
      <c r="AD39" s="159"/>
      <c r="AE39" s="159"/>
      <c r="AF39" s="164"/>
      <c r="AG39" s="164"/>
      <c r="AH39" s="164"/>
      <c r="AI39" s="159">
        <f t="shared" si="31"/>
        <v>5756402.5249508088</v>
      </c>
      <c r="AJ39" s="159">
        <f t="shared" si="39"/>
        <v>5541405.0120915063</v>
      </c>
      <c r="AK39" s="159">
        <f t="shared" si="40"/>
        <v>5251530.5292882845</v>
      </c>
      <c r="AL39" s="159">
        <f t="shared" si="41"/>
        <v>5069828.5085147871</v>
      </c>
      <c r="AM39" s="159">
        <f t="shared" si="42"/>
        <v>4853139.3351194737</v>
      </c>
      <c r="AN39" s="159">
        <f t="shared" si="43"/>
        <v>4627147.4204526208</v>
      </c>
    </row>
    <row r="40" spans="1:40" x14ac:dyDescent="0.35">
      <c r="A40" s="46">
        <v>1721</v>
      </c>
      <c r="B40" s="240" t="s">
        <v>46</v>
      </c>
      <c r="C40" s="364">
        <v>145.95949074074099</v>
      </c>
      <c r="D40" s="365">
        <v>2.3572605809146622E-3</v>
      </c>
      <c r="E40" s="191">
        <v>0.94899999999999995</v>
      </c>
      <c r="F40" s="191">
        <v>0.91600000000000004</v>
      </c>
      <c r="G40" s="191">
        <v>0.86099999999999999</v>
      </c>
      <c r="H40" s="191">
        <v>0.81299999999999994</v>
      </c>
      <c r="I40" s="191">
        <v>0.749</v>
      </c>
      <c r="J40" s="191">
        <v>0.69699999999999995</v>
      </c>
      <c r="K40" s="361">
        <v>2.2370402912880141E-3</v>
      </c>
      <c r="L40" s="362">
        <v>2.1592506921178306E-3</v>
      </c>
      <c r="M40" s="362">
        <v>2.0296013601675241E-3</v>
      </c>
      <c r="N40" s="362">
        <v>1.9164528522836203E-3</v>
      </c>
      <c r="O40" s="362">
        <v>1.7655881751050819E-3</v>
      </c>
      <c r="P40" s="363">
        <v>1.6430106248975195E-3</v>
      </c>
      <c r="Q40" s="273">
        <v>188.17276621901831</v>
      </c>
      <c r="R40" s="273">
        <v>173.97770078400009</v>
      </c>
      <c r="S40" s="273">
        <v>171.53578173369985</v>
      </c>
      <c r="T40" s="273">
        <v>158.12550872666563</v>
      </c>
      <c r="U40" s="273">
        <v>147.09271599508205</v>
      </c>
      <c r="V40" s="273">
        <f t="shared" si="25"/>
        <v>138.51555671296319</v>
      </c>
      <c r="W40" s="273">
        <f t="shared" si="26"/>
        <v>133.69889351851876</v>
      </c>
      <c r="X40" s="273">
        <f t="shared" si="27"/>
        <v>125.67112152777798</v>
      </c>
      <c r="Y40" s="273">
        <f t="shared" si="28"/>
        <v>118.66506597222242</v>
      </c>
      <c r="Z40" s="273">
        <f t="shared" si="29"/>
        <v>109.32365856481501</v>
      </c>
      <c r="AA40" s="273">
        <f t="shared" si="30"/>
        <v>101.73376504629647</v>
      </c>
      <c r="AB40" s="100">
        <v>1721</v>
      </c>
      <c r="AC40" s="101" t="s">
        <v>46</v>
      </c>
      <c r="AD40" s="159"/>
      <c r="AE40" s="159"/>
      <c r="AF40" s="164"/>
      <c r="AG40" s="164"/>
      <c r="AH40" s="164"/>
      <c r="AI40" s="159">
        <f t="shared" si="31"/>
        <v>4211283.1595837828</v>
      </c>
      <c r="AJ40" s="159">
        <f t="shared" si="39"/>
        <v>4110429.2704805755</v>
      </c>
      <c r="AK40" s="159">
        <f t="shared" si="40"/>
        <v>3939772.8455505217</v>
      </c>
      <c r="AL40" s="159">
        <f t="shared" si="41"/>
        <v>3821932.6018254985</v>
      </c>
      <c r="AM40" s="159">
        <f t="shared" si="42"/>
        <v>3626625.2320566652</v>
      </c>
      <c r="AN40" s="159">
        <f t="shared" si="43"/>
        <v>3482223.6736447471</v>
      </c>
    </row>
    <row r="41" spans="1:40" x14ac:dyDescent="0.35">
      <c r="A41" s="46">
        <v>753</v>
      </c>
      <c r="B41" s="240" t="s">
        <v>47</v>
      </c>
      <c r="C41" s="364">
        <v>107.818287037037</v>
      </c>
      <c r="D41" s="365">
        <v>1.7412762722335828E-3</v>
      </c>
      <c r="E41" s="191">
        <v>0.93700000000000006</v>
      </c>
      <c r="F41" s="191">
        <v>0.91</v>
      </c>
      <c r="G41" s="191">
        <v>0.85899999999999999</v>
      </c>
      <c r="H41" s="191">
        <v>0.80600000000000005</v>
      </c>
      <c r="I41" s="191">
        <v>0.76500000000000001</v>
      </c>
      <c r="J41" s="191">
        <v>0.70899999999999996</v>
      </c>
      <c r="K41" s="361">
        <v>1.6315758670828672E-3</v>
      </c>
      <c r="L41" s="362">
        <v>1.5845614077325603E-3</v>
      </c>
      <c r="M41" s="362">
        <v>1.4957563178486476E-3</v>
      </c>
      <c r="N41" s="362">
        <v>1.4034686754202678E-3</v>
      </c>
      <c r="O41" s="362">
        <v>1.3320763482586909E-3</v>
      </c>
      <c r="P41" s="363">
        <v>1.2345648770136102E-3</v>
      </c>
      <c r="Q41" s="273">
        <v>125.30553526889294</v>
      </c>
      <c r="R41" s="273">
        <v>122.36280927546214</v>
      </c>
      <c r="S41" s="273">
        <v>120.42795881881311</v>
      </c>
      <c r="T41" s="273">
        <v>111.64864761094933</v>
      </c>
      <c r="U41" s="273">
        <v>105.21466048788766</v>
      </c>
      <c r="V41" s="273">
        <f t="shared" si="25"/>
        <v>101.02573495370368</v>
      </c>
      <c r="W41" s="273">
        <f t="shared" si="26"/>
        <v>98.11464120370367</v>
      </c>
      <c r="X41" s="273">
        <f t="shared" si="27"/>
        <v>92.615908564814774</v>
      </c>
      <c r="Y41" s="273">
        <f t="shared" si="28"/>
        <v>86.901539351851824</v>
      </c>
      <c r="Z41" s="273">
        <f t="shared" si="29"/>
        <v>82.480989583333297</v>
      </c>
      <c r="AA41" s="273">
        <f t="shared" si="30"/>
        <v>76.443165509259231</v>
      </c>
      <c r="AB41" s="100">
        <v>753</v>
      </c>
      <c r="AC41" s="101" t="s">
        <v>47</v>
      </c>
      <c r="AD41" s="159"/>
      <c r="AE41" s="159"/>
      <c r="AF41" s="164"/>
      <c r="AG41" s="164"/>
      <c r="AH41" s="164"/>
      <c r="AI41" s="159">
        <f t="shared" si="31"/>
        <v>3071481.5461250702</v>
      </c>
      <c r="AJ41" s="159">
        <f t="shared" si="39"/>
        <v>3016429.5489142737</v>
      </c>
      <c r="AK41" s="159">
        <f t="shared" si="40"/>
        <v>2903496.3418305609</v>
      </c>
      <c r="AL41" s="159">
        <f t="shared" si="41"/>
        <v>2798901.4599748398</v>
      </c>
      <c r="AM41" s="159">
        <f t="shared" si="42"/>
        <v>2736165.6380222118</v>
      </c>
      <c r="AN41" s="159">
        <f t="shared" si="43"/>
        <v>2616557.0546174985</v>
      </c>
    </row>
    <row r="42" spans="1:40" x14ac:dyDescent="0.35">
      <c r="A42" s="46">
        <v>209</v>
      </c>
      <c r="B42" s="240" t="s">
        <v>48</v>
      </c>
      <c r="C42" s="364">
        <v>89.2916666666666</v>
      </c>
      <c r="D42" s="365">
        <v>1.4420694739979217E-3</v>
      </c>
      <c r="E42" s="191">
        <v>0.95899999999999996</v>
      </c>
      <c r="F42" s="191">
        <v>0.91400000000000003</v>
      </c>
      <c r="G42" s="191">
        <v>0.86299999999999999</v>
      </c>
      <c r="H42" s="191">
        <v>0.81799999999999995</v>
      </c>
      <c r="I42" s="191">
        <v>0.76500000000000001</v>
      </c>
      <c r="J42" s="191">
        <v>0.69199999999999995</v>
      </c>
      <c r="K42" s="361">
        <v>1.3829446255640067E-3</v>
      </c>
      <c r="L42" s="362">
        <v>1.3180514992341004E-3</v>
      </c>
      <c r="M42" s="362">
        <v>1.2445059560602064E-3</v>
      </c>
      <c r="N42" s="362">
        <v>1.1796128297302999E-3</v>
      </c>
      <c r="O42" s="362">
        <v>1.1031831476084101E-3</v>
      </c>
      <c r="P42" s="363">
        <v>9.9791207600656183E-4</v>
      </c>
      <c r="Q42" s="273">
        <v>123.64572995729407</v>
      </c>
      <c r="R42" s="273">
        <v>115.19993512509089</v>
      </c>
      <c r="S42" s="273">
        <v>107.27677507689295</v>
      </c>
      <c r="T42" s="273">
        <v>99.075732206244354</v>
      </c>
      <c r="U42" s="273">
        <v>90.326192333176166</v>
      </c>
      <c r="V42" s="273">
        <f t="shared" si="25"/>
        <v>85.63070833333326</v>
      </c>
      <c r="W42" s="273">
        <f t="shared" si="26"/>
        <v>81.612583333333276</v>
      </c>
      <c r="X42" s="273">
        <f t="shared" si="27"/>
        <v>77.058708333333271</v>
      </c>
      <c r="Y42" s="273">
        <f t="shared" si="28"/>
        <v>73.040583333333274</v>
      </c>
      <c r="Z42" s="273">
        <f t="shared" si="29"/>
        <v>68.308124999999947</v>
      </c>
      <c r="AA42" s="273">
        <f t="shared" si="30"/>
        <v>61.789833333333284</v>
      </c>
      <c r="AB42" s="100">
        <v>209</v>
      </c>
      <c r="AC42" s="101" t="s">
        <v>48</v>
      </c>
      <c r="AD42" s="159"/>
      <c r="AE42" s="159"/>
      <c r="AF42" s="164"/>
      <c r="AG42" s="164"/>
      <c r="AH42" s="164"/>
      <c r="AI42" s="159">
        <f t="shared" si="31"/>
        <v>2603427.1420839499</v>
      </c>
      <c r="AJ42" s="159">
        <f t="shared" si="39"/>
        <v>2509091.4557673805</v>
      </c>
      <c r="AK42" s="159">
        <f t="shared" si="40"/>
        <v>2415780.1960712085</v>
      </c>
      <c r="AL42" s="159">
        <f t="shared" si="41"/>
        <v>2352471.508028863</v>
      </c>
      <c r="AM42" s="159">
        <f t="shared" si="42"/>
        <v>2266005.1166565139</v>
      </c>
      <c r="AN42" s="159">
        <f t="shared" si="43"/>
        <v>2114991.2256366396</v>
      </c>
    </row>
    <row r="43" spans="1:40" x14ac:dyDescent="0.35">
      <c r="A43" s="46">
        <v>375</v>
      </c>
      <c r="B43" s="240" t="s">
        <v>49</v>
      </c>
      <c r="C43" s="364">
        <v>155.77314814814801</v>
      </c>
      <c r="D43" s="365">
        <v>2.5157521434960371E-3</v>
      </c>
      <c r="E43" s="191">
        <v>0.97</v>
      </c>
      <c r="F43" s="191">
        <v>0.94199999999999995</v>
      </c>
      <c r="G43" s="191">
        <v>0.88300000000000001</v>
      </c>
      <c r="H43" s="191">
        <v>0.81200000000000006</v>
      </c>
      <c r="I43" s="191">
        <v>0.77600000000000002</v>
      </c>
      <c r="J43" s="191">
        <v>0.72699999999999998</v>
      </c>
      <c r="K43" s="361">
        <v>2.440279579191156E-3</v>
      </c>
      <c r="L43" s="362">
        <v>2.3698385191732669E-3</v>
      </c>
      <c r="M43" s="362">
        <v>2.2214091427070009E-3</v>
      </c>
      <c r="N43" s="362">
        <v>2.0427907405187822E-3</v>
      </c>
      <c r="O43" s="362">
        <v>1.9522236633529248E-3</v>
      </c>
      <c r="P43" s="363">
        <v>1.8289518083216189E-3</v>
      </c>
      <c r="Q43" s="273">
        <v>189.37341311106039</v>
      </c>
      <c r="R43" s="273">
        <v>182.50793836375468</v>
      </c>
      <c r="S43" s="273">
        <v>175.85744595930282</v>
      </c>
      <c r="T43" s="273">
        <v>162.02830148583809</v>
      </c>
      <c r="U43" s="273">
        <v>153.15724467716004</v>
      </c>
      <c r="V43" s="273">
        <f t="shared" si="25"/>
        <v>151.09995370370356</v>
      </c>
      <c r="W43" s="273">
        <f t="shared" si="26"/>
        <v>146.73830555555543</v>
      </c>
      <c r="X43" s="273">
        <f t="shared" si="27"/>
        <v>137.5476898148147</v>
      </c>
      <c r="Y43" s="273">
        <f t="shared" si="28"/>
        <v>126.4877962962962</v>
      </c>
      <c r="Z43" s="273">
        <f t="shared" si="29"/>
        <v>120.87996296296286</v>
      </c>
      <c r="AA43" s="273">
        <f t="shared" si="30"/>
        <v>113.24707870370359</v>
      </c>
      <c r="AB43" s="100">
        <v>375</v>
      </c>
      <c r="AC43" s="101" t="s">
        <v>49</v>
      </c>
      <c r="AD43" s="159"/>
      <c r="AE43" s="159"/>
      <c r="AF43" s="164"/>
      <c r="AG43" s="164"/>
      <c r="AH43" s="164"/>
      <c r="AI43" s="159">
        <f t="shared" si="31"/>
        <v>4593886.0987644186</v>
      </c>
      <c r="AJ43" s="159">
        <f t="shared" si="39"/>
        <v>4511312.0264733797</v>
      </c>
      <c r="AK43" s="159">
        <f t="shared" si="40"/>
        <v>4312101.6723068841</v>
      </c>
      <c r="AL43" s="159">
        <f t="shared" si="41"/>
        <v>4073885.000923858</v>
      </c>
      <c r="AM43" s="159">
        <f t="shared" si="42"/>
        <v>4009985.848320737</v>
      </c>
      <c r="AN43" s="159">
        <f t="shared" si="43"/>
        <v>3876310.4683453627</v>
      </c>
    </row>
    <row r="44" spans="1:40" x14ac:dyDescent="0.35">
      <c r="A44" s="46">
        <v>1728</v>
      </c>
      <c r="B44" s="240" t="s">
        <v>50</v>
      </c>
      <c r="C44" s="364">
        <v>170.04224537037001</v>
      </c>
      <c r="D44" s="365">
        <v>2.7461995110257607E-3</v>
      </c>
      <c r="E44" s="191">
        <v>0.95299999999999996</v>
      </c>
      <c r="F44" s="191">
        <v>0.90400000000000003</v>
      </c>
      <c r="G44" s="191">
        <v>0.85299999999999998</v>
      </c>
      <c r="H44" s="191">
        <v>0.80600000000000005</v>
      </c>
      <c r="I44" s="191">
        <v>0.76600000000000001</v>
      </c>
      <c r="J44" s="191">
        <v>0.68799999999999994</v>
      </c>
      <c r="K44" s="361">
        <v>2.6171281340075497E-3</v>
      </c>
      <c r="L44" s="362">
        <v>2.4825643579672878E-3</v>
      </c>
      <c r="M44" s="362">
        <v>2.3425081829049738E-3</v>
      </c>
      <c r="N44" s="362">
        <v>2.2134368058867632E-3</v>
      </c>
      <c r="O44" s="362">
        <v>2.1035888254457326E-3</v>
      </c>
      <c r="P44" s="363">
        <v>1.8893852635857233E-3</v>
      </c>
      <c r="Q44" s="273">
        <v>222.87586404120572</v>
      </c>
      <c r="R44" s="273">
        <v>205.69491479463252</v>
      </c>
      <c r="S44" s="273">
        <v>194.50858223442731</v>
      </c>
      <c r="T44" s="273">
        <v>186.47341763938635</v>
      </c>
      <c r="U44" s="273">
        <v>175.08532923431014</v>
      </c>
      <c r="V44" s="273">
        <f t="shared" si="25"/>
        <v>162.05025983796261</v>
      </c>
      <c r="W44" s="273">
        <f t="shared" si="26"/>
        <v>153.71818981481451</v>
      </c>
      <c r="X44" s="273">
        <f t="shared" si="27"/>
        <v>145.04603530092561</v>
      </c>
      <c r="Y44" s="273">
        <f t="shared" si="28"/>
        <v>137.05404976851824</v>
      </c>
      <c r="Z44" s="273">
        <f t="shared" si="29"/>
        <v>130.25235995370343</v>
      </c>
      <c r="AA44" s="273">
        <f t="shared" si="30"/>
        <v>116.98906481481455</v>
      </c>
      <c r="AB44" s="100">
        <v>1728</v>
      </c>
      <c r="AC44" s="101" t="s">
        <v>50</v>
      </c>
      <c r="AD44" s="159"/>
      <c r="AE44" s="159"/>
      <c r="AF44" s="164"/>
      <c r="AG44" s="164"/>
      <c r="AH44" s="164"/>
      <c r="AI44" s="159">
        <f t="shared" si="31"/>
        <v>4926807.836292088</v>
      </c>
      <c r="AJ44" s="159">
        <f t="shared" si="39"/>
        <v>4725901.0915642679</v>
      </c>
      <c r="AK44" s="159">
        <f t="shared" si="40"/>
        <v>4547173.8000447284</v>
      </c>
      <c r="AL44" s="159">
        <f t="shared" si="41"/>
        <v>4414200.057370971</v>
      </c>
      <c r="AM44" s="159">
        <f t="shared" si="42"/>
        <v>4320899.0747686047</v>
      </c>
      <c r="AN44" s="159">
        <f t="shared" si="43"/>
        <v>4004394.1249035429</v>
      </c>
    </row>
    <row r="45" spans="1:40" x14ac:dyDescent="0.35">
      <c r="A45" s="46">
        <v>376</v>
      </c>
      <c r="B45" s="240" t="s">
        <v>51</v>
      </c>
      <c r="C45" s="422">
        <v>6.7083333333333304</v>
      </c>
      <c r="D45" s="162">
        <v>1.0834026379545752E-4</v>
      </c>
      <c r="E45" s="191">
        <v>0.97599999999999998</v>
      </c>
      <c r="F45" s="191">
        <v>0.80700000000000005</v>
      </c>
      <c r="G45" s="191">
        <v>0.78800000000000003</v>
      </c>
      <c r="H45" s="191">
        <v>0.77</v>
      </c>
      <c r="I45" s="191">
        <v>0.621</v>
      </c>
      <c r="J45" s="191">
        <v>0.60799999999999998</v>
      </c>
      <c r="K45" s="361">
        <v>1.0574009746436653E-4</v>
      </c>
      <c r="L45" s="362">
        <v>8.743059288293423E-5</v>
      </c>
      <c r="M45" s="362">
        <v>8.5372127870820535E-5</v>
      </c>
      <c r="N45" s="362">
        <v>8.3422003122502286E-5</v>
      </c>
      <c r="O45" s="362">
        <v>6.727930381697912E-5</v>
      </c>
      <c r="P45" s="363">
        <v>6.5870880387638176E-5</v>
      </c>
      <c r="Q45" s="273">
        <v>8.3055555555555571</v>
      </c>
      <c r="R45" s="273">
        <v>7.0833333333333304</v>
      </c>
      <c r="S45" s="273">
        <v>6.6437302465356201</v>
      </c>
      <c r="T45" s="273">
        <v>4.7375842882670982</v>
      </c>
      <c r="U45" s="273">
        <v>5.1604968050773872</v>
      </c>
      <c r="V45" s="273">
        <f t="shared" si="25"/>
        <v>6.5473333333333299</v>
      </c>
      <c r="W45" s="273">
        <f t="shared" si="26"/>
        <v>5.4136249999999979</v>
      </c>
      <c r="X45" s="273">
        <f t="shared" si="27"/>
        <v>5.2861666666666647</v>
      </c>
      <c r="Y45" s="273">
        <f t="shared" si="28"/>
        <v>5.1654166666666645</v>
      </c>
      <c r="Z45" s="273">
        <f t="shared" si="29"/>
        <v>4.165874999999998</v>
      </c>
      <c r="AA45" s="273">
        <f t="shared" si="30"/>
        <v>4.0786666666666651</v>
      </c>
      <c r="AB45" s="100">
        <v>376</v>
      </c>
      <c r="AC45" s="101" t="s">
        <v>51</v>
      </c>
      <c r="AD45" s="159"/>
      <c r="AE45" s="159"/>
      <c r="AF45" s="164"/>
      <c r="AG45" s="164"/>
      <c r="AH45" s="164"/>
      <c r="AI45" s="159">
        <f t="shared" si="31"/>
        <v>199058.32428616859</v>
      </c>
      <c r="AJ45" s="159">
        <f t="shared" si="39"/>
        <v>166436.101853926</v>
      </c>
      <c r="AK45" s="159">
        <f t="shared" si="40"/>
        <v>165720.61772985975</v>
      </c>
      <c r="AL45" s="159">
        <f t="shared" si="41"/>
        <v>166366.3538936335</v>
      </c>
      <c r="AM45" s="159">
        <f t="shared" si="42"/>
        <v>138195.77195760325</v>
      </c>
      <c r="AN45" s="159">
        <f t="shared" si="43"/>
        <v>139607.8245714097</v>
      </c>
    </row>
    <row r="46" spans="1:40" x14ac:dyDescent="0.35">
      <c r="A46" s="46">
        <v>377</v>
      </c>
      <c r="B46" s="240" t="s">
        <v>52</v>
      </c>
      <c r="C46" s="364">
        <v>25.217592592592599</v>
      </c>
      <c r="D46" s="365">
        <v>4.0726667832564358E-4</v>
      </c>
      <c r="E46" s="191">
        <v>0.91900000000000004</v>
      </c>
      <c r="F46" s="191">
        <v>0.89700000000000002</v>
      </c>
      <c r="G46" s="191">
        <v>0.82099999999999995</v>
      </c>
      <c r="H46" s="191">
        <v>0.74099999999999999</v>
      </c>
      <c r="I46" s="191">
        <v>0.72299999999999998</v>
      </c>
      <c r="J46" s="191">
        <v>0.70499999999999996</v>
      </c>
      <c r="K46" s="361">
        <v>3.7427807738126646E-4</v>
      </c>
      <c r="L46" s="362">
        <v>3.6531821045810228E-4</v>
      </c>
      <c r="M46" s="362">
        <v>3.3436594290535334E-4</v>
      </c>
      <c r="N46" s="362">
        <v>3.0178460863930186E-4</v>
      </c>
      <c r="O46" s="362">
        <v>2.9445380842944027E-4</v>
      </c>
      <c r="P46" s="363">
        <v>2.8712300821957869E-4</v>
      </c>
      <c r="Q46" s="273">
        <v>31.111111111111104</v>
      </c>
      <c r="R46" s="273">
        <v>32.114004629629598</v>
      </c>
      <c r="S46" s="273">
        <v>29.85245065228402</v>
      </c>
      <c r="T46" s="273">
        <v>27.623603457645611</v>
      </c>
      <c r="U46" s="273">
        <v>26.759431571265317</v>
      </c>
      <c r="V46" s="273">
        <f t="shared" si="25"/>
        <v>23.174967592592598</v>
      </c>
      <c r="W46" s="273">
        <f t="shared" si="26"/>
        <v>22.62018055555556</v>
      </c>
      <c r="X46" s="273">
        <f t="shared" si="27"/>
        <v>20.703643518518522</v>
      </c>
      <c r="Y46" s="273">
        <f t="shared" si="28"/>
        <v>18.686236111111114</v>
      </c>
      <c r="Z46" s="273">
        <f t="shared" si="29"/>
        <v>18.23231944444445</v>
      </c>
      <c r="AA46" s="273">
        <f t="shared" si="30"/>
        <v>17.778402777777782</v>
      </c>
      <c r="AB46" s="100">
        <v>377</v>
      </c>
      <c r="AC46" s="101" t="s">
        <v>52</v>
      </c>
      <c r="AD46" s="159"/>
      <c r="AE46" s="159"/>
      <c r="AF46" s="164"/>
      <c r="AG46" s="164"/>
      <c r="AH46" s="164"/>
      <c r="AI46" s="159">
        <f t="shared" si="31"/>
        <v>704587.65111003176</v>
      </c>
      <c r="AJ46" s="159">
        <f t="shared" si="39"/>
        <v>695433.22171348089</v>
      </c>
      <c r="AK46" s="159">
        <f t="shared" si="40"/>
        <v>649056.45423231029</v>
      </c>
      <c r="AL46" s="159">
        <f t="shared" si="41"/>
        <v>601841.27833529527</v>
      </c>
      <c r="AM46" s="159">
        <f t="shared" si="42"/>
        <v>604825.98738623259</v>
      </c>
      <c r="AN46" s="159">
        <f t="shared" si="43"/>
        <v>608533.21416145749</v>
      </c>
    </row>
    <row r="47" spans="1:40" x14ac:dyDescent="0.35">
      <c r="A47" s="46">
        <v>1901</v>
      </c>
      <c r="B47" s="240" t="s">
        <v>53</v>
      </c>
      <c r="C47" s="364">
        <v>37.0902777777778</v>
      </c>
      <c r="D47" s="365">
        <v>5.9901174837633463E-4</v>
      </c>
      <c r="E47" s="191">
        <v>0.97599999999999998</v>
      </c>
      <c r="F47" s="191">
        <v>0.91500000000000004</v>
      </c>
      <c r="G47" s="191">
        <v>0.89200000000000002</v>
      </c>
      <c r="H47" s="191">
        <v>0.82199999999999995</v>
      </c>
      <c r="I47" s="191">
        <v>0.78500000000000003</v>
      </c>
      <c r="J47" s="191">
        <v>0.74299999999999999</v>
      </c>
      <c r="K47" s="361">
        <v>5.8463546641530255E-4</v>
      </c>
      <c r="L47" s="362">
        <v>5.4809574976434617E-4</v>
      </c>
      <c r="M47" s="362">
        <v>5.3431847955169045E-4</v>
      </c>
      <c r="N47" s="362">
        <v>4.9238765716534704E-4</v>
      </c>
      <c r="O47" s="362">
        <v>4.7022422247542273E-4</v>
      </c>
      <c r="P47" s="363">
        <v>4.4506572904361662E-4</v>
      </c>
      <c r="Q47" s="273">
        <v>48.546296296296305</v>
      </c>
      <c r="R47" s="273">
        <v>45.4479166666667</v>
      </c>
      <c r="S47" s="273">
        <v>40.003925693178779</v>
      </c>
      <c r="T47" s="273">
        <v>38.726030788360696</v>
      </c>
      <c r="U47" s="273">
        <v>37.202651843774134</v>
      </c>
      <c r="V47" s="273">
        <f t="shared" si="25"/>
        <v>36.200111111111134</v>
      </c>
      <c r="W47" s="273">
        <f t="shared" si="26"/>
        <v>33.937604166666688</v>
      </c>
      <c r="X47" s="273">
        <f t="shared" si="27"/>
        <v>33.084527777777801</v>
      </c>
      <c r="Y47" s="273">
        <f t="shared" si="28"/>
        <v>30.48820833333335</v>
      </c>
      <c r="Z47" s="273">
        <f t="shared" si="29"/>
        <v>29.115868055555573</v>
      </c>
      <c r="AA47" s="273">
        <f t="shared" si="30"/>
        <v>27.558076388888907</v>
      </c>
      <c r="AB47" s="100">
        <v>1901</v>
      </c>
      <c r="AC47" s="101" t="s">
        <v>53</v>
      </c>
      <c r="AD47" s="159"/>
      <c r="AE47" s="159"/>
      <c r="AF47" s="164"/>
      <c r="AG47" s="164"/>
      <c r="AH47" s="164"/>
      <c r="AI47" s="159">
        <f t="shared" si="31"/>
        <v>1100590.5900749769</v>
      </c>
      <c r="AJ47" s="159">
        <f t="shared" si="39"/>
        <v>1043375.2880485003</v>
      </c>
      <c r="AK47" s="159">
        <f t="shared" si="40"/>
        <v>1037195.5192421811</v>
      </c>
      <c r="AL47" s="159">
        <f t="shared" si="41"/>
        <v>981956.03268522967</v>
      </c>
      <c r="AM47" s="159">
        <f t="shared" si="42"/>
        <v>965869.08204236196</v>
      </c>
      <c r="AN47" s="159">
        <f t="shared" si="43"/>
        <v>943279.60788464663</v>
      </c>
    </row>
    <row r="48" spans="1:40" x14ac:dyDescent="0.35">
      <c r="A48" s="46">
        <v>755</v>
      </c>
      <c r="B48" s="240" t="s">
        <v>54</v>
      </c>
      <c r="C48" s="364">
        <v>39.754629629629598</v>
      </c>
      <c r="D48" s="365">
        <v>6.4204130104319763E-4</v>
      </c>
      <c r="E48" s="191">
        <v>0.97399999999999998</v>
      </c>
      <c r="F48" s="191">
        <v>0.93700000000000006</v>
      </c>
      <c r="G48" s="191">
        <v>0.91300000000000003</v>
      </c>
      <c r="H48" s="191">
        <v>0.84399999999999997</v>
      </c>
      <c r="I48" s="191">
        <v>0.78800000000000003</v>
      </c>
      <c r="J48" s="191">
        <v>0.69499999999999995</v>
      </c>
      <c r="K48" s="361">
        <v>6.2534822721607448E-4</v>
      </c>
      <c r="L48" s="362">
        <v>6.0159269907747621E-4</v>
      </c>
      <c r="M48" s="362">
        <v>5.8618370785243942E-4</v>
      </c>
      <c r="N48" s="362">
        <v>5.4188285808045883E-4</v>
      </c>
      <c r="O48" s="362">
        <v>5.0592854522203972E-4</v>
      </c>
      <c r="P48" s="363">
        <v>4.4621870422502233E-4</v>
      </c>
      <c r="Q48" s="273">
        <v>53.978009259259267</v>
      </c>
      <c r="R48" s="273">
        <v>50.935185185185198</v>
      </c>
      <c r="S48" s="273">
        <v>46.390145713672652</v>
      </c>
      <c r="T48" s="273">
        <v>42.497655467891541</v>
      </c>
      <c r="U48" s="273">
        <v>40.6702297793274</v>
      </c>
      <c r="V48" s="273">
        <f t="shared" si="25"/>
        <v>38.721009259259226</v>
      </c>
      <c r="W48" s="273">
        <f t="shared" si="26"/>
        <v>37.250087962962937</v>
      </c>
      <c r="X48" s="273">
        <f t="shared" si="27"/>
        <v>36.295976851851826</v>
      </c>
      <c r="Y48" s="273">
        <f t="shared" si="28"/>
        <v>33.552907407407382</v>
      </c>
      <c r="Z48" s="273">
        <f t="shared" si="29"/>
        <v>31.326648148148124</v>
      </c>
      <c r="AA48" s="273">
        <f t="shared" si="30"/>
        <v>27.629467592592569</v>
      </c>
      <c r="AB48" s="100">
        <v>755</v>
      </c>
      <c r="AC48" s="101" t="s">
        <v>54</v>
      </c>
      <c r="AD48" s="159"/>
      <c r="AE48" s="159"/>
      <c r="AF48" s="164"/>
      <c r="AG48" s="164"/>
      <c r="AH48" s="164"/>
      <c r="AI48" s="159">
        <f t="shared" si="31"/>
        <v>1177233.359813262</v>
      </c>
      <c r="AJ48" s="159">
        <f t="shared" si="39"/>
        <v>1145214.0542190131</v>
      </c>
      <c r="AK48" s="159">
        <f t="shared" si="40"/>
        <v>1137874.0180340342</v>
      </c>
      <c r="AL48" s="159">
        <f t="shared" si="41"/>
        <v>1080663.0380707053</v>
      </c>
      <c r="AM48" s="159">
        <f t="shared" si="42"/>
        <v>1039207.9271887789</v>
      </c>
      <c r="AN48" s="159">
        <f t="shared" si="43"/>
        <v>945723.24239983188</v>
      </c>
    </row>
    <row r="49" spans="1:40" x14ac:dyDescent="0.35">
      <c r="A49" s="46">
        <v>1681</v>
      </c>
      <c r="B49" s="240" t="s">
        <v>55</v>
      </c>
      <c r="C49" s="364">
        <v>157.46759259259301</v>
      </c>
      <c r="D49" s="365">
        <v>2.5431175931503853E-3</v>
      </c>
      <c r="E49" s="191">
        <v>0.96899999999999997</v>
      </c>
      <c r="F49" s="191">
        <v>0.90800000000000003</v>
      </c>
      <c r="G49" s="191">
        <v>0.86899999999999999</v>
      </c>
      <c r="H49" s="191">
        <v>0.79800000000000004</v>
      </c>
      <c r="I49" s="191">
        <v>0.72699999999999998</v>
      </c>
      <c r="J49" s="191">
        <v>0.69099999999999995</v>
      </c>
      <c r="K49" s="361">
        <v>2.4642809477627235E-3</v>
      </c>
      <c r="L49" s="362">
        <v>2.3091507745805497E-3</v>
      </c>
      <c r="M49" s="362">
        <v>2.209969188447685E-3</v>
      </c>
      <c r="N49" s="362">
        <v>2.0294078393340077E-3</v>
      </c>
      <c r="O49" s="362">
        <v>1.84884649022033E-3</v>
      </c>
      <c r="P49" s="363">
        <v>1.7572942568669161E-3</v>
      </c>
      <c r="Q49" s="273">
        <v>193.46223661967386</v>
      </c>
      <c r="R49" s="273">
        <v>184.52054200794154</v>
      </c>
      <c r="S49" s="273">
        <v>174.21772521465087</v>
      </c>
      <c r="T49" s="273">
        <v>165.05908594996552</v>
      </c>
      <c r="U49" s="273">
        <v>154.05256547485141</v>
      </c>
      <c r="V49" s="273">
        <f t="shared" si="25"/>
        <v>152.58609722222263</v>
      </c>
      <c r="W49" s="273">
        <f t="shared" si="26"/>
        <v>142.98057407407447</v>
      </c>
      <c r="X49" s="273">
        <f t="shared" si="27"/>
        <v>136.83933796296333</v>
      </c>
      <c r="Y49" s="273">
        <f t="shared" si="28"/>
        <v>125.65913888888923</v>
      </c>
      <c r="Z49" s="273">
        <f t="shared" si="29"/>
        <v>114.47893981481511</v>
      </c>
      <c r="AA49" s="273">
        <f t="shared" si="30"/>
        <v>108.81010648148175</v>
      </c>
      <c r="AB49" s="100">
        <v>1681</v>
      </c>
      <c r="AC49" s="101" t="s">
        <v>55</v>
      </c>
      <c r="AD49" s="159"/>
      <c r="AE49" s="159"/>
      <c r="AF49" s="164"/>
      <c r="AG49" s="164"/>
      <c r="AH49" s="164"/>
      <c r="AI49" s="159">
        <f t="shared" si="31"/>
        <v>4639069.2631741259</v>
      </c>
      <c r="AJ49" s="159">
        <f t="shared" si="39"/>
        <v>4395784.5971461786</v>
      </c>
      <c r="AK49" s="159">
        <f t="shared" si="40"/>
        <v>4289894.9365262799</v>
      </c>
      <c r="AL49" s="159">
        <f t="shared" si="41"/>
        <v>4047195.8255109843</v>
      </c>
      <c r="AM49" s="159">
        <f t="shared" si="42"/>
        <v>3797642.8626870424</v>
      </c>
      <c r="AN49" s="159">
        <f t="shared" si="43"/>
        <v>3724438.2781782742</v>
      </c>
    </row>
    <row r="50" spans="1:40" x14ac:dyDescent="0.35">
      <c r="A50" s="46">
        <v>147</v>
      </c>
      <c r="B50" s="240" t="s">
        <v>56</v>
      </c>
      <c r="C50" s="364">
        <v>88.606481481481495</v>
      </c>
      <c r="D50" s="365">
        <v>1.4310036637551848E-3</v>
      </c>
      <c r="E50" s="191">
        <v>0.95</v>
      </c>
      <c r="F50" s="191">
        <v>0.92</v>
      </c>
      <c r="G50" s="191">
        <v>0.83799999999999997</v>
      </c>
      <c r="H50" s="191">
        <v>0.77700000000000002</v>
      </c>
      <c r="I50" s="191">
        <v>0.67200000000000004</v>
      </c>
      <c r="J50" s="191">
        <v>0.60599999999999998</v>
      </c>
      <c r="K50" s="361">
        <v>1.3594534805674255E-3</v>
      </c>
      <c r="L50" s="362">
        <v>1.3165233706547701E-3</v>
      </c>
      <c r="M50" s="362">
        <v>1.1991810702268449E-3</v>
      </c>
      <c r="N50" s="362">
        <v>1.1118898467377787E-3</v>
      </c>
      <c r="O50" s="362">
        <v>9.6163446204348426E-4</v>
      </c>
      <c r="P50" s="363">
        <v>8.6718822023564197E-4</v>
      </c>
      <c r="Q50" s="273">
        <v>119.33530053906837</v>
      </c>
      <c r="R50" s="273">
        <v>106.14147096447371</v>
      </c>
      <c r="S50" s="273">
        <v>100.20124802167192</v>
      </c>
      <c r="T50" s="273">
        <v>93.010276440112008</v>
      </c>
      <c r="U50" s="273">
        <v>88.619809485599347</v>
      </c>
      <c r="V50" s="273">
        <f t="shared" si="25"/>
        <v>84.176157407407416</v>
      </c>
      <c r="W50" s="273">
        <f t="shared" si="26"/>
        <v>81.517962962962983</v>
      </c>
      <c r="X50" s="273">
        <f t="shared" si="27"/>
        <v>74.252231481481488</v>
      </c>
      <c r="Y50" s="273">
        <f t="shared" si="28"/>
        <v>68.84723611111113</v>
      </c>
      <c r="Z50" s="273">
        <f t="shared" si="29"/>
        <v>59.543555555555571</v>
      </c>
      <c r="AA50" s="273">
        <f t="shared" si="30"/>
        <v>53.695527777777784</v>
      </c>
      <c r="AB50" s="100">
        <v>147</v>
      </c>
      <c r="AC50" s="101" t="s">
        <v>56</v>
      </c>
      <c r="AD50" s="159"/>
      <c r="AE50" s="159"/>
      <c r="AF50" s="164"/>
      <c r="AG50" s="164"/>
      <c r="AH50" s="164"/>
      <c r="AI50" s="159">
        <f t="shared" si="31"/>
        <v>2559204.4860554864</v>
      </c>
      <c r="AJ50" s="159">
        <f t="shared" si="39"/>
        <v>2506182.453832373</v>
      </c>
      <c r="AK50" s="159">
        <f t="shared" si="40"/>
        <v>2327797.5222621919</v>
      </c>
      <c r="AL50" s="159">
        <f t="shared" si="41"/>
        <v>2217413.3059533103</v>
      </c>
      <c r="AM50" s="159">
        <f t="shared" si="42"/>
        <v>1975255.5285745352</v>
      </c>
      <c r="AN50" s="159">
        <f t="shared" si="43"/>
        <v>1837932.9410598057</v>
      </c>
    </row>
    <row r="51" spans="1:40" x14ac:dyDescent="0.35">
      <c r="A51" s="46">
        <v>654</v>
      </c>
      <c r="B51" s="240" t="s">
        <v>57</v>
      </c>
      <c r="C51" s="364">
        <v>51.872685185185198</v>
      </c>
      <c r="D51" s="365">
        <v>8.3774912746459947E-4</v>
      </c>
      <c r="E51" s="191">
        <v>0.96699999999999997</v>
      </c>
      <c r="F51" s="191">
        <v>0.92600000000000005</v>
      </c>
      <c r="G51" s="191">
        <v>0.90400000000000003</v>
      </c>
      <c r="H51" s="191">
        <v>0.88200000000000001</v>
      </c>
      <c r="I51" s="191">
        <v>0.84399999999999997</v>
      </c>
      <c r="J51" s="191">
        <v>0.745</v>
      </c>
      <c r="K51" s="361">
        <v>8.1010340625826765E-4</v>
      </c>
      <c r="L51" s="362">
        <v>7.7575569203221912E-4</v>
      </c>
      <c r="M51" s="362">
        <v>7.5732521122799797E-4</v>
      </c>
      <c r="N51" s="362">
        <v>7.3889473042377672E-4</v>
      </c>
      <c r="O51" s="362">
        <v>7.0706026358012194E-4</v>
      </c>
      <c r="P51" s="363">
        <v>6.2412309996112659E-4</v>
      </c>
      <c r="Q51" s="273">
        <v>61.550925925925895</v>
      </c>
      <c r="R51" s="273">
        <v>62.435185185185198</v>
      </c>
      <c r="S51" s="273">
        <v>59.102460897101608</v>
      </c>
      <c r="T51" s="273">
        <v>55.723500437141858</v>
      </c>
      <c r="U51" s="273">
        <v>52.003095317900993</v>
      </c>
      <c r="V51" s="273">
        <f t="shared" si="25"/>
        <v>50.160886574074084</v>
      </c>
      <c r="W51" s="273">
        <f t="shared" si="26"/>
        <v>48.034106481481494</v>
      </c>
      <c r="X51" s="273">
        <f t="shared" si="27"/>
        <v>46.892907407407421</v>
      </c>
      <c r="Y51" s="273">
        <f t="shared" si="28"/>
        <v>45.751708333333347</v>
      </c>
      <c r="Z51" s="273">
        <f t="shared" si="29"/>
        <v>43.780546296296308</v>
      </c>
      <c r="AA51" s="273">
        <f t="shared" si="30"/>
        <v>38.645150462962974</v>
      </c>
      <c r="AB51" s="100">
        <v>654</v>
      </c>
      <c r="AC51" s="101" t="s">
        <v>57</v>
      </c>
      <c r="AD51" s="159"/>
      <c r="AE51" s="159"/>
      <c r="AF51" s="164"/>
      <c r="AG51" s="164"/>
      <c r="AH51" s="164"/>
      <c r="AI51" s="159">
        <f t="shared" si="31"/>
        <v>1525039.5111715351</v>
      </c>
      <c r="AJ51" s="159">
        <f t="shared" si="39"/>
        <v>1476757.1523358533</v>
      </c>
      <c r="AK51" s="159">
        <f t="shared" si="40"/>
        <v>1470086.3731194015</v>
      </c>
      <c r="AL51" s="159">
        <f t="shared" si="41"/>
        <v>1473558.744823097</v>
      </c>
      <c r="AM51" s="159">
        <f t="shared" si="42"/>
        <v>1452344.6796032668</v>
      </c>
      <c r="AN51" s="159">
        <f t="shared" si="43"/>
        <v>1322776.7374229494</v>
      </c>
    </row>
    <row r="53" spans="1:40" x14ac:dyDescent="0.35">
      <c r="A53" s="46">
        <v>757</v>
      </c>
      <c r="B53" s="240" t="s">
        <v>59</v>
      </c>
      <c r="C53" s="364">
        <v>286.87384259259301</v>
      </c>
      <c r="D53" s="365">
        <v>4.6330416570183504E-3</v>
      </c>
      <c r="E53" s="191">
        <v>0.94399999999999995</v>
      </c>
      <c r="F53" s="191">
        <v>0.88300000000000001</v>
      </c>
      <c r="G53" s="191">
        <v>0.83799999999999997</v>
      </c>
      <c r="H53" s="191">
        <v>0.78300000000000003</v>
      </c>
      <c r="I53" s="191">
        <v>0.72</v>
      </c>
      <c r="J53" s="191">
        <v>0.68500000000000005</v>
      </c>
      <c r="K53" s="361">
        <v>4.3735913242253224E-3</v>
      </c>
      <c r="L53" s="362">
        <v>4.0909757831472035E-3</v>
      </c>
      <c r="M53" s="362">
        <v>3.8824889085813776E-3</v>
      </c>
      <c r="N53" s="362">
        <v>3.6276716174453686E-3</v>
      </c>
      <c r="O53" s="362">
        <v>3.3357899930532122E-3</v>
      </c>
      <c r="P53" s="363">
        <v>3.1736335350575702E-3</v>
      </c>
      <c r="Q53" s="273">
        <v>345.54284589749631</v>
      </c>
      <c r="R53" s="273">
        <v>347.93041257259148</v>
      </c>
      <c r="S53" s="273">
        <v>333.68489984050143</v>
      </c>
      <c r="T53" s="273">
        <v>305.87749886902776</v>
      </c>
      <c r="U53" s="273">
        <v>291.81744995102764</v>
      </c>
      <c r="V53" s="273">
        <f t="shared" si="25"/>
        <v>270.80890740740779</v>
      </c>
      <c r="W53" s="273">
        <f t="shared" si="26"/>
        <v>253.30960300925963</v>
      </c>
      <c r="X53" s="273">
        <f t="shared" si="27"/>
        <v>240.40028009259294</v>
      </c>
      <c r="Y53" s="273">
        <f t="shared" si="28"/>
        <v>224.62221875000034</v>
      </c>
      <c r="Z53" s="273">
        <f t="shared" si="29"/>
        <v>206.54916666666696</v>
      </c>
      <c r="AA53" s="273">
        <f t="shared" si="30"/>
        <v>196.50858217592622</v>
      </c>
      <c r="AB53" s="100">
        <v>757</v>
      </c>
      <c r="AC53" s="101" t="s">
        <v>59</v>
      </c>
      <c r="AD53" s="159"/>
      <c r="AE53" s="159"/>
      <c r="AF53" s="164"/>
      <c r="AG53" s="164"/>
      <c r="AH53" s="164"/>
      <c r="AI53" s="159">
        <f t="shared" si="31"/>
        <v>8233392.828167215</v>
      </c>
      <c r="AJ53" s="159">
        <f t="shared" ref="AJ53:AJ64" si="44">+W53*AJ$8</f>
        <v>7787732.4134986661</v>
      </c>
      <c r="AK53" s="159">
        <f t="shared" ref="AK53:AK64" si="45">+X53*AK$8</f>
        <v>7536516.6162075521</v>
      </c>
      <c r="AL53" s="159">
        <f t="shared" ref="AL53:AL64" si="46">+Y53*AL$8</f>
        <v>7234572.1455711657</v>
      </c>
      <c r="AM53" s="159">
        <f t="shared" ref="AM53:AM64" si="47">+Z53*AM$8</f>
        <v>6851915.0321840448</v>
      </c>
      <c r="AN53" s="159">
        <f t="shared" ref="AN53:AN64" si="48">+AA53*AN$8</f>
        <v>6726250.9808417372</v>
      </c>
    </row>
    <row r="54" spans="1:40" x14ac:dyDescent="0.35">
      <c r="A54" s="46">
        <v>758</v>
      </c>
      <c r="B54" s="240" t="s">
        <v>60</v>
      </c>
      <c r="C54" s="364">
        <v>781.15046296296396</v>
      </c>
      <c r="D54" s="365">
        <v>1.2615659213120694E-2</v>
      </c>
      <c r="E54" s="191">
        <v>0.94399999999999995</v>
      </c>
      <c r="F54" s="191">
        <v>0.88500000000000001</v>
      </c>
      <c r="G54" s="191">
        <v>0.83299999999999996</v>
      </c>
      <c r="H54" s="191">
        <v>0.77700000000000002</v>
      </c>
      <c r="I54" s="191">
        <v>0.72499999999999998</v>
      </c>
      <c r="J54" s="191">
        <v>0.67300000000000004</v>
      </c>
      <c r="K54" s="361">
        <v>1.1909182297185935E-2</v>
      </c>
      <c r="L54" s="362">
        <v>1.1164858403611814E-2</v>
      </c>
      <c r="M54" s="362">
        <v>1.0508844124529538E-2</v>
      </c>
      <c r="N54" s="362">
        <v>9.8023672085947797E-3</v>
      </c>
      <c r="O54" s="362">
        <v>9.1463529295125034E-3</v>
      </c>
      <c r="P54" s="363">
        <v>8.4903386504302271E-3</v>
      </c>
      <c r="Q54" s="273">
        <v>1037.9094561393501</v>
      </c>
      <c r="R54" s="273">
        <v>983.22646038642256</v>
      </c>
      <c r="S54" s="273">
        <v>919.27132661862015</v>
      </c>
      <c r="T54" s="273">
        <v>843.59927191023542</v>
      </c>
      <c r="U54" s="273">
        <v>789.06764427286043</v>
      </c>
      <c r="V54" s="273">
        <f t="shared" si="25"/>
        <v>737.40603703703789</v>
      </c>
      <c r="W54" s="273">
        <f t="shared" si="26"/>
        <v>691.31815972222307</v>
      </c>
      <c r="X54" s="273">
        <f t="shared" si="27"/>
        <v>650.69833564814894</v>
      </c>
      <c r="Y54" s="273">
        <f t="shared" si="28"/>
        <v>606.95390972222299</v>
      </c>
      <c r="Z54" s="273">
        <f t="shared" si="29"/>
        <v>566.33408564814886</v>
      </c>
      <c r="AA54" s="273">
        <f t="shared" si="30"/>
        <v>525.71426157407473</v>
      </c>
      <c r="AB54" s="100">
        <v>758</v>
      </c>
      <c r="AC54" s="101" t="s">
        <v>60</v>
      </c>
      <c r="AD54" s="159"/>
      <c r="AE54" s="159"/>
      <c r="AF54" s="164"/>
      <c r="AG54" s="164"/>
      <c r="AH54" s="164"/>
      <c r="AI54" s="159">
        <f t="shared" si="31"/>
        <v>22419327.469366238</v>
      </c>
      <c r="AJ54" s="159">
        <f t="shared" si="44"/>
        <v>21253836.319471084</v>
      </c>
      <c r="AK54" s="159">
        <f t="shared" si="45"/>
        <v>20399305.761466008</v>
      </c>
      <c r="AL54" s="159">
        <f t="shared" si="46"/>
        <v>19548608.652152333</v>
      </c>
      <c r="AM54" s="159">
        <f t="shared" si="47"/>
        <v>18787163.837620996</v>
      </c>
      <c r="AN54" s="159">
        <f t="shared" si="48"/>
        <v>17994563.02824166</v>
      </c>
    </row>
    <row r="55" spans="1:40" x14ac:dyDescent="0.35">
      <c r="A55" s="46">
        <v>1876</v>
      </c>
      <c r="B55" s="240" t="s">
        <v>62</v>
      </c>
      <c r="C55" s="364">
        <v>141.02546296296299</v>
      </c>
      <c r="D55" s="365">
        <v>2.2775755318187245E-3</v>
      </c>
      <c r="E55" s="191">
        <v>0.96299999999999997</v>
      </c>
      <c r="F55" s="191">
        <v>0.91200000000000003</v>
      </c>
      <c r="G55" s="191">
        <v>0.86299999999999999</v>
      </c>
      <c r="H55" s="191">
        <v>0.81799999999999995</v>
      </c>
      <c r="I55" s="191">
        <v>0.78500000000000003</v>
      </c>
      <c r="J55" s="191">
        <v>0.71699999999999997</v>
      </c>
      <c r="K55" s="361">
        <v>2.1933052371414315E-3</v>
      </c>
      <c r="L55" s="362">
        <v>2.0771488850186768E-3</v>
      </c>
      <c r="M55" s="362">
        <v>1.9655476839595593E-3</v>
      </c>
      <c r="N55" s="362">
        <v>1.8630567850277165E-3</v>
      </c>
      <c r="O55" s="362">
        <v>1.7878967924776989E-3</v>
      </c>
      <c r="P55" s="363">
        <v>1.6330216563140254E-3</v>
      </c>
      <c r="Q55" s="273">
        <v>164.01319292593411</v>
      </c>
      <c r="R55" s="273">
        <v>157.90078835307199</v>
      </c>
      <c r="S55" s="273">
        <v>150.21733095079611</v>
      </c>
      <c r="T55" s="273">
        <v>143.81508982588278</v>
      </c>
      <c r="U55" s="273">
        <v>138.00704840274821</v>
      </c>
      <c r="V55" s="273">
        <f t="shared" si="25"/>
        <v>135.80752083333334</v>
      </c>
      <c r="W55" s="273">
        <f t="shared" si="26"/>
        <v>128.61522222222226</v>
      </c>
      <c r="X55" s="273">
        <f t="shared" si="27"/>
        <v>121.70497453703706</v>
      </c>
      <c r="Y55" s="273">
        <f t="shared" si="28"/>
        <v>115.35882870370372</v>
      </c>
      <c r="Z55" s="273">
        <f t="shared" si="29"/>
        <v>110.70498842592595</v>
      </c>
      <c r="AA55" s="273">
        <f t="shared" si="30"/>
        <v>101.11525694444445</v>
      </c>
      <c r="AB55" s="100">
        <v>1876</v>
      </c>
      <c r="AC55" s="101" t="s">
        <v>62</v>
      </c>
      <c r="AD55" s="159"/>
      <c r="AE55" s="159"/>
      <c r="AF55" s="164"/>
      <c r="AG55" s="164"/>
      <c r="AH55" s="164"/>
      <c r="AI55" s="159">
        <f t="shared" si="31"/>
        <v>4128950.8485707585</v>
      </c>
      <c r="AJ55" s="159">
        <f t="shared" si="44"/>
        <v>3954137.2418191358</v>
      </c>
      <c r="AK55" s="159">
        <f t="shared" si="45"/>
        <v>3815434.668047036</v>
      </c>
      <c r="AL55" s="159">
        <f t="shared" si="46"/>
        <v>3715446.1990885716</v>
      </c>
      <c r="AM55" s="159">
        <f t="shared" si="47"/>
        <v>3672448.4856310799</v>
      </c>
      <c r="AN55" s="159">
        <f t="shared" si="48"/>
        <v>3461052.8897498422</v>
      </c>
    </row>
    <row r="56" spans="1:40" x14ac:dyDescent="0.35">
      <c r="A56" s="46">
        <v>213</v>
      </c>
      <c r="B56" s="240" t="s">
        <v>63</v>
      </c>
      <c r="C56" s="364">
        <v>66.560185185185205</v>
      </c>
      <c r="D56" s="365">
        <v>1.0749537422962692E-3</v>
      </c>
      <c r="E56" s="191">
        <v>0.97699999999999998</v>
      </c>
      <c r="F56" s="191">
        <v>0.91400000000000003</v>
      </c>
      <c r="G56" s="191">
        <v>0.879</v>
      </c>
      <c r="H56" s="191">
        <v>0.83299999999999996</v>
      </c>
      <c r="I56" s="191">
        <v>0.76300000000000001</v>
      </c>
      <c r="J56" s="191">
        <v>0.73399999999999999</v>
      </c>
      <c r="K56" s="361">
        <v>1.0502298062234549E-3</v>
      </c>
      <c r="L56" s="362">
        <v>9.8250772045879015E-4</v>
      </c>
      <c r="M56" s="362">
        <v>9.4488433947842064E-4</v>
      </c>
      <c r="N56" s="362">
        <v>8.9543646733279214E-4</v>
      </c>
      <c r="O56" s="362">
        <v>8.2018970537205344E-4</v>
      </c>
      <c r="P56" s="363">
        <v>7.8901604684546156E-4</v>
      </c>
      <c r="Q56" s="273">
        <v>76.462962962962962</v>
      </c>
      <c r="R56" s="273">
        <v>77.8194444444444</v>
      </c>
      <c r="S56" s="273">
        <v>75.98913177256199</v>
      </c>
      <c r="T56" s="273">
        <v>71.290206738796655</v>
      </c>
      <c r="U56" s="273">
        <v>65.3629959934119</v>
      </c>
      <c r="V56" s="273">
        <f t="shared" si="25"/>
        <v>65.029300925925938</v>
      </c>
      <c r="W56" s="273">
        <f t="shared" si="26"/>
        <v>60.836009259259278</v>
      </c>
      <c r="X56" s="273">
        <f t="shared" si="27"/>
        <v>58.506402777777794</v>
      </c>
      <c r="Y56" s="273">
        <f t="shared" si="28"/>
        <v>55.444634259259274</v>
      </c>
      <c r="Z56" s="273">
        <f t="shared" si="29"/>
        <v>50.785421296296313</v>
      </c>
      <c r="AA56" s="273">
        <f t="shared" si="30"/>
        <v>48.855175925925941</v>
      </c>
      <c r="AB56" s="100">
        <v>213</v>
      </c>
      <c r="AC56" s="101" t="s">
        <v>63</v>
      </c>
      <c r="AD56" s="159"/>
      <c r="AE56" s="159"/>
      <c r="AF56" s="164"/>
      <c r="AG56" s="164"/>
      <c r="AH56" s="164"/>
      <c r="AI56" s="159">
        <f t="shared" si="31"/>
        <v>1977083.342605002</v>
      </c>
      <c r="AJ56" s="159">
        <f t="shared" si="44"/>
        <v>1870337.9405593234</v>
      </c>
      <c r="AK56" s="159">
        <f t="shared" si="45"/>
        <v>1834167.8991364862</v>
      </c>
      <c r="AL56" s="159">
        <f t="shared" si="46"/>
        <v>1785745.9020109395</v>
      </c>
      <c r="AM56" s="159">
        <f t="shared" si="47"/>
        <v>1684719.4167452878</v>
      </c>
      <c r="AN56" s="159">
        <f t="shared" si="48"/>
        <v>1672253.5542837603</v>
      </c>
    </row>
    <row r="57" spans="1:40" x14ac:dyDescent="0.35">
      <c r="A57" s="46">
        <v>899</v>
      </c>
      <c r="B57" s="240" t="s">
        <v>64</v>
      </c>
      <c r="C57" s="364">
        <v>326.35185185185202</v>
      </c>
      <c r="D57" s="365">
        <v>5.2706155110209792E-3</v>
      </c>
      <c r="E57" s="191">
        <v>0.95399999999999996</v>
      </c>
      <c r="F57" s="191">
        <v>0.89700000000000002</v>
      </c>
      <c r="G57" s="191">
        <v>0.85199999999999998</v>
      </c>
      <c r="H57" s="191">
        <v>0.78</v>
      </c>
      <c r="I57" s="191">
        <v>0.72499999999999998</v>
      </c>
      <c r="J57" s="191">
        <v>0.65</v>
      </c>
      <c r="K57" s="361">
        <v>5.0281671975140139E-3</v>
      </c>
      <c r="L57" s="362">
        <v>4.7277421133858182E-3</v>
      </c>
      <c r="M57" s="362">
        <v>4.4905644153898742E-3</v>
      </c>
      <c r="N57" s="362">
        <v>4.1110800985963642E-3</v>
      </c>
      <c r="O57" s="362">
        <v>3.82119624549021E-3</v>
      </c>
      <c r="P57" s="363">
        <v>3.4259000821636365E-3</v>
      </c>
      <c r="Q57" s="273">
        <v>430.30796104982244</v>
      </c>
      <c r="R57" s="273">
        <v>414.76532151565345</v>
      </c>
      <c r="S57" s="273">
        <v>392.14467178670924</v>
      </c>
      <c r="T57" s="273">
        <v>367.03310847691489</v>
      </c>
      <c r="U57" s="273">
        <v>331.84311183842539</v>
      </c>
      <c r="V57" s="273">
        <f t="shared" si="25"/>
        <v>311.3396666666668</v>
      </c>
      <c r="W57" s="273">
        <f t="shared" si="26"/>
        <v>292.73761111111128</v>
      </c>
      <c r="X57" s="273">
        <f t="shared" si="27"/>
        <v>278.05177777777789</v>
      </c>
      <c r="Y57" s="273">
        <f t="shared" si="28"/>
        <v>254.55444444444458</v>
      </c>
      <c r="Z57" s="273">
        <f t="shared" si="29"/>
        <v>236.60509259259271</v>
      </c>
      <c r="AA57" s="273">
        <f t="shared" si="30"/>
        <v>212.12870370370382</v>
      </c>
      <c r="AB57" s="100">
        <v>899</v>
      </c>
      <c r="AC57" s="101" t="s">
        <v>64</v>
      </c>
      <c r="AD57" s="159"/>
      <c r="AE57" s="159"/>
      <c r="AF57" s="164"/>
      <c r="AG57" s="164"/>
      <c r="AH57" s="164"/>
      <c r="AI57" s="159">
        <f t="shared" si="31"/>
        <v>9465647.9478384629</v>
      </c>
      <c r="AJ57" s="159">
        <f t="shared" si="44"/>
        <v>8999904.2895220704</v>
      </c>
      <c r="AK57" s="159">
        <f t="shared" si="45"/>
        <v>8716886.0310027543</v>
      </c>
      <c r="AL57" s="159">
        <f t="shared" si="46"/>
        <v>8198621.238617423</v>
      </c>
      <c r="AM57" s="159">
        <f t="shared" si="47"/>
        <v>7848968.924879781</v>
      </c>
      <c r="AN57" s="159">
        <f t="shared" si="48"/>
        <v>7260908.8394640181</v>
      </c>
    </row>
    <row r="58" spans="1:40" x14ac:dyDescent="0.35">
      <c r="A58" s="46">
        <v>312</v>
      </c>
      <c r="B58" s="240" t="s">
        <v>65</v>
      </c>
      <c r="C58" s="364">
        <v>13.398148148148101</v>
      </c>
      <c r="D58" s="365">
        <v>2.1638145163840793E-4</v>
      </c>
      <c r="E58" s="191">
        <v>0.97699999999999998</v>
      </c>
      <c r="F58" s="191">
        <v>0.95299999999999996</v>
      </c>
      <c r="G58" s="191">
        <v>0.93</v>
      </c>
      <c r="H58" s="191">
        <v>0.90600000000000003</v>
      </c>
      <c r="I58" s="191">
        <v>0.84699999999999998</v>
      </c>
      <c r="J58" s="191">
        <v>0.82599999999999996</v>
      </c>
      <c r="K58" s="361">
        <v>2.1140467825072454E-4</v>
      </c>
      <c r="L58" s="362">
        <v>2.0621152341140274E-4</v>
      </c>
      <c r="M58" s="362">
        <v>2.0123475002371938E-4</v>
      </c>
      <c r="N58" s="362">
        <v>1.9604159518439761E-4</v>
      </c>
      <c r="O58" s="362">
        <v>1.8327508953773153E-4</v>
      </c>
      <c r="P58" s="363">
        <v>1.7873107905332496E-4</v>
      </c>
      <c r="Q58" s="273">
        <v>15.666666666666663</v>
      </c>
      <c r="R58" s="273">
        <v>15.6388888888889</v>
      </c>
      <c r="S58" s="273">
        <v>15.334975077901994</v>
      </c>
      <c r="T58" s="273">
        <v>15.129210459624325</v>
      </c>
      <c r="U58" s="273">
        <v>14.051499563017922</v>
      </c>
      <c r="V58" s="273">
        <f t="shared" si="25"/>
        <v>13.089990740740694</v>
      </c>
      <c r="W58" s="273">
        <f t="shared" si="26"/>
        <v>12.76843518518514</v>
      </c>
      <c r="X58" s="273">
        <f t="shared" si="27"/>
        <v>12.460277777777735</v>
      </c>
      <c r="Y58" s="273">
        <f t="shared" si="28"/>
        <v>12.13872222222218</v>
      </c>
      <c r="Z58" s="273">
        <f t="shared" si="29"/>
        <v>11.348231481481442</v>
      </c>
      <c r="AA58" s="273">
        <f t="shared" si="30"/>
        <v>11.066870370370331</v>
      </c>
      <c r="AB58" s="100">
        <v>312</v>
      </c>
      <c r="AC58" s="101" t="s">
        <v>65</v>
      </c>
      <c r="AD58" s="159"/>
      <c r="AE58" s="159"/>
      <c r="AF58" s="164"/>
      <c r="AG58" s="164"/>
      <c r="AH58" s="164"/>
      <c r="AI58" s="159">
        <f t="shared" si="31"/>
        <v>397974.48657570104</v>
      </c>
      <c r="AJ58" s="159">
        <f t="shared" si="44"/>
        <v>392551.86293781473</v>
      </c>
      <c r="AK58" s="159">
        <f t="shared" si="45"/>
        <v>390628.04119285638</v>
      </c>
      <c r="AL58" s="159">
        <f t="shared" si="46"/>
        <v>390960.70798523433</v>
      </c>
      <c r="AM58" s="159">
        <f t="shared" si="47"/>
        <v>376458.15343400941</v>
      </c>
      <c r="AN58" s="159">
        <f t="shared" si="48"/>
        <v>378805.5812082038</v>
      </c>
    </row>
    <row r="59" spans="1:40" x14ac:dyDescent="0.35">
      <c r="A59" s="46">
        <v>313</v>
      </c>
      <c r="B59" s="240" t="s">
        <v>66</v>
      </c>
      <c r="C59" s="364">
        <v>36.259259259259203</v>
      </c>
      <c r="D59" s="365">
        <v>5.8559071500760692E-4</v>
      </c>
      <c r="E59" s="191">
        <v>0.95299999999999996</v>
      </c>
      <c r="F59" s="191">
        <v>0.93</v>
      </c>
      <c r="G59" s="191">
        <v>0.90700000000000003</v>
      </c>
      <c r="H59" s="191">
        <v>0.82</v>
      </c>
      <c r="I59" s="191">
        <v>0.77500000000000002</v>
      </c>
      <c r="J59" s="191">
        <v>0.71</v>
      </c>
      <c r="K59" s="361">
        <v>5.5806795140224939E-4</v>
      </c>
      <c r="L59" s="362">
        <v>5.4459936495707443E-4</v>
      </c>
      <c r="M59" s="362">
        <v>5.3113077851189947E-4</v>
      </c>
      <c r="N59" s="362">
        <v>4.8018438630623763E-4</v>
      </c>
      <c r="O59" s="362">
        <v>4.5383280413089538E-4</v>
      </c>
      <c r="P59" s="363">
        <v>4.1576940765540089E-4</v>
      </c>
      <c r="Q59" s="273">
        <v>41.965277777777771</v>
      </c>
      <c r="R59" s="273">
        <v>40.657407407407398</v>
      </c>
      <c r="S59" s="273">
        <v>35.229315218990443</v>
      </c>
      <c r="T59" s="273">
        <v>34.154367955982302</v>
      </c>
      <c r="U59" s="273">
        <v>34.069176650160649</v>
      </c>
      <c r="V59" s="273">
        <f t="shared" si="25"/>
        <v>34.555074074074021</v>
      </c>
      <c r="W59" s="273">
        <f t="shared" si="26"/>
        <v>33.721111111111057</v>
      </c>
      <c r="X59" s="273">
        <f t="shared" si="27"/>
        <v>32.8871481481481</v>
      </c>
      <c r="Y59" s="273">
        <f t="shared" si="28"/>
        <v>29.732592592592546</v>
      </c>
      <c r="Z59" s="273">
        <f t="shared" si="29"/>
        <v>28.100925925925882</v>
      </c>
      <c r="AA59" s="273">
        <f t="shared" si="30"/>
        <v>25.744074074074032</v>
      </c>
      <c r="AB59" s="100">
        <v>313</v>
      </c>
      <c r="AC59" s="101" t="s">
        <v>66</v>
      </c>
      <c r="AD59" s="159"/>
      <c r="AE59" s="159"/>
      <c r="AF59" s="164"/>
      <c r="AG59" s="164"/>
      <c r="AH59" s="164"/>
      <c r="AI59" s="159">
        <f t="shared" si="31"/>
        <v>1050576.5921142867</v>
      </c>
      <c r="AJ59" s="159">
        <f t="shared" si="44"/>
        <v>1036719.4409506455</v>
      </c>
      <c r="AK59" s="159">
        <f t="shared" si="45"/>
        <v>1031007.6942619765</v>
      </c>
      <c r="AL59" s="159">
        <f t="shared" si="46"/>
        <v>957619.36367207789</v>
      </c>
      <c r="AM59" s="159">
        <f t="shared" si="47"/>
        <v>932200.1142753337</v>
      </c>
      <c r="AN59" s="159">
        <f t="shared" si="48"/>
        <v>881188.50369893073</v>
      </c>
    </row>
    <row r="60" spans="1:40" x14ac:dyDescent="0.35">
      <c r="A60" s="46">
        <v>214</v>
      </c>
      <c r="B60" s="240" t="s">
        <v>67</v>
      </c>
      <c r="C60" s="364">
        <v>66.1388888888889</v>
      </c>
      <c r="D60" s="365">
        <v>1.0681497643767475E-3</v>
      </c>
      <c r="E60" s="191">
        <v>0.91</v>
      </c>
      <c r="F60" s="191">
        <v>0.85699999999999998</v>
      </c>
      <c r="G60" s="191">
        <v>0.83599999999999997</v>
      </c>
      <c r="H60" s="191">
        <v>0.78800000000000003</v>
      </c>
      <c r="I60" s="191">
        <v>0.73399999999999999</v>
      </c>
      <c r="J60" s="191">
        <v>0.70499999999999996</v>
      </c>
      <c r="K60" s="361">
        <v>9.7201628558284017E-4</v>
      </c>
      <c r="L60" s="362">
        <v>9.1540434807087256E-4</v>
      </c>
      <c r="M60" s="362">
        <v>8.9297320301896083E-4</v>
      </c>
      <c r="N60" s="362">
        <v>8.4170201432887701E-4</v>
      </c>
      <c r="O60" s="362">
        <v>7.8402192705253259E-4</v>
      </c>
      <c r="P60" s="363">
        <v>7.5304558388560689E-4</v>
      </c>
      <c r="Q60" s="273">
        <v>95.335648148148138</v>
      </c>
      <c r="R60" s="273">
        <v>86.912037037036995</v>
      </c>
      <c r="S60" s="273">
        <v>80.561613548180759</v>
      </c>
      <c r="T60" s="273">
        <v>72.584576305816071</v>
      </c>
      <c r="U60" s="273">
        <v>66.558656351377365</v>
      </c>
      <c r="V60" s="273">
        <f t="shared" si="25"/>
        <v>60.186388888888899</v>
      </c>
      <c r="W60" s="273">
        <f t="shared" si="26"/>
        <v>56.681027777777786</v>
      </c>
      <c r="X60" s="273">
        <f t="shared" si="27"/>
        <v>55.292111111111119</v>
      </c>
      <c r="Y60" s="273">
        <f t="shared" si="28"/>
        <v>52.117444444444459</v>
      </c>
      <c r="Z60" s="273">
        <f t="shared" si="29"/>
        <v>48.545944444444451</v>
      </c>
      <c r="AA60" s="273">
        <f t="shared" si="30"/>
        <v>46.627916666666671</v>
      </c>
      <c r="AB60" s="100">
        <v>214</v>
      </c>
      <c r="AC60" s="101" t="s">
        <v>67</v>
      </c>
      <c r="AD60" s="159"/>
      <c r="AE60" s="159"/>
      <c r="AF60" s="164"/>
      <c r="AG60" s="164"/>
      <c r="AH60" s="164"/>
      <c r="AI60" s="159">
        <f t="shared" si="31"/>
        <v>1829844.4736367846</v>
      </c>
      <c r="AJ60" s="159">
        <f t="shared" si="44"/>
        <v>1742597.4854939964</v>
      </c>
      <c r="AK60" s="159">
        <f t="shared" si="45"/>
        <v>1733400.2854471821</v>
      </c>
      <c r="AL60" s="159">
        <f t="shared" si="46"/>
        <v>1678584.6652853882</v>
      </c>
      <c r="AM60" s="159">
        <f t="shared" si="47"/>
        <v>1610428.6057337113</v>
      </c>
      <c r="AN60" s="159">
        <f t="shared" si="48"/>
        <v>1596017.1649551278</v>
      </c>
    </row>
    <row r="61" spans="1:40" x14ac:dyDescent="0.35">
      <c r="A61" s="46">
        <v>502</v>
      </c>
      <c r="B61" s="240" t="s">
        <v>68</v>
      </c>
      <c r="C61" s="364">
        <v>197.92129629629599</v>
      </c>
      <c r="D61" s="365">
        <v>3.1964490114006899E-3</v>
      </c>
      <c r="E61" s="191">
        <v>0.93799999999999994</v>
      </c>
      <c r="F61" s="191">
        <v>0.88600000000000001</v>
      </c>
      <c r="G61" s="191">
        <v>0.82699999999999996</v>
      </c>
      <c r="H61" s="191">
        <v>0.78700000000000003</v>
      </c>
      <c r="I61" s="191">
        <v>0.745</v>
      </c>
      <c r="J61" s="191">
        <v>0.68</v>
      </c>
      <c r="K61" s="361">
        <v>2.9982691726938471E-3</v>
      </c>
      <c r="L61" s="362">
        <v>2.8320538241010111E-3</v>
      </c>
      <c r="M61" s="362">
        <v>2.6434633324283704E-3</v>
      </c>
      <c r="N61" s="362">
        <v>2.5156053719723429E-3</v>
      </c>
      <c r="O61" s="362">
        <v>2.3813545134935138E-3</v>
      </c>
      <c r="P61" s="363">
        <v>2.1735853277524693E-3</v>
      </c>
      <c r="Q61" s="273">
        <v>276.65218954287133</v>
      </c>
      <c r="R61" s="273">
        <v>263.19789605745768</v>
      </c>
      <c r="S61" s="273">
        <v>228.82111955316552</v>
      </c>
      <c r="T61" s="273">
        <v>208.15225729185747</v>
      </c>
      <c r="U61" s="273">
        <v>200.90046590923876</v>
      </c>
      <c r="V61" s="273">
        <f t="shared" si="25"/>
        <v>185.65017592592562</v>
      </c>
      <c r="W61" s="273">
        <f t="shared" si="26"/>
        <v>175.35826851851826</v>
      </c>
      <c r="X61" s="273">
        <f t="shared" si="27"/>
        <v>163.68091203703679</v>
      </c>
      <c r="Y61" s="273">
        <f t="shared" si="28"/>
        <v>155.76406018518495</v>
      </c>
      <c r="Z61" s="273">
        <f t="shared" si="29"/>
        <v>147.4513657407405</v>
      </c>
      <c r="AA61" s="273">
        <f t="shared" si="30"/>
        <v>134.58648148148129</v>
      </c>
      <c r="AB61" s="100">
        <v>502</v>
      </c>
      <c r="AC61" s="101" t="s">
        <v>68</v>
      </c>
      <c r="AD61" s="159"/>
      <c r="AE61" s="159"/>
      <c r="AF61" s="164"/>
      <c r="AG61" s="164"/>
      <c r="AH61" s="164"/>
      <c r="AI61" s="159">
        <f t="shared" si="31"/>
        <v>5644315.180212887</v>
      </c>
      <c r="AJ61" s="159">
        <f t="shared" si="44"/>
        <v>5391202.1316726264</v>
      </c>
      <c r="AK61" s="159">
        <f t="shared" si="45"/>
        <v>5131374.6924421443</v>
      </c>
      <c r="AL61" s="159">
        <f t="shared" si="46"/>
        <v>5016807.0521599185</v>
      </c>
      <c r="AM61" s="159">
        <f t="shared" si="47"/>
        <v>4891446.6504022647</v>
      </c>
      <c r="AN61" s="159">
        <f t="shared" si="48"/>
        <v>4606732.403485599</v>
      </c>
    </row>
    <row r="62" spans="1:40" x14ac:dyDescent="0.35">
      <c r="A62" s="46">
        <v>383</v>
      </c>
      <c r="B62" s="240" t="s">
        <v>69</v>
      </c>
      <c r="C62" s="364">
        <v>21.5833333333333</v>
      </c>
      <c r="D62" s="365">
        <v>3.4857302264625425E-4</v>
      </c>
      <c r="E62" s="191">
        <v>0.95299999999999996</v>
      </c>
      <c r="F62" s="191">
        <v>0.93</v>
      </c>
      <c r="G62" s="191">
        <v>0.86299999999999999</v>
      </c>
      <c r="H62" s="191">
        <v>0.84199999999999997</v>
      </c>
      <c r="I62" s="191">
        <v>0.74399999999999999</v>
      </c>
      <c r="J62" s="191">
        <v>0.72699999999999998</v>
      </c>
      <c r="K62" s="361">
        <v>3.3219009058188027E-4</v>
      </c>
      <c r="L62" s="362">
        <v>3.2417291106101646E-4</v>
      </c>
      <c r="M62" s="362">
        <v>3.0081851854371741E-4</v>
      </c>
      <c r="N62" s="362">
        <v>2.9349848506814608E-4</v>
      </c>
      <c r="O62" s="362">
        <v>2.5933832884881316E-4</v>
      </c>
      <c r="P62" s="363">
        <v>2.5341258746382683E-4</v>
      </c>
      <c r="Q62" s="273">
        <v>28.750000000000007</v>
      </c>
      <c r="R62" s="273">
        <v>25.4791666666667</v>
      </c>
      <c r="S62" s="273">
        <v>24.982070158209257</v>
      </c>
      <c r="T62" s="273">
        <v>22.809938113904725</v>
      </c>
      <c r="U62" s="273">
        <v>22.490721720761101</v>
      </c>
      <c r="V62" s="273">
        <f t="shared" si="25"/>
        <v>20.568916666666635</v>
      </c>
      <c r="W62" s="273">
        <f t="shared" si="26"/>
        <v>20.07249999999997</v>
      </c>
      <c r="X62" s="273">
        <f t="shared" si="27"/>
        <v>18.626416666666639</v>
      </c>
      <c r="Y62" s="273">
        <f t="shared" si="28"/>
        <v>18.173166666666638</v>
      </c>
      <c r="Z62" s="273">
        <f t="shared" si="29"/>
        <v>16.057999999999975</v>
      </c>
      <c r="AA62" s="273">
        <f t="shared" si="30"/>
        <v>15.691083333333308</v>
      </c>
      <c r="AB62" s="100">
        <v>383</v>
      </c>
      <c r="AC62" s="101" t="s">
        <v>69</v>
      </c>
      <c r="AD62" s="159"/>
      <c r="AE62" s="159"/>
      <c r="AF62" s="164"/>
      <c r="AG62" s="164"/>
      <c r="AH62" s="164"/>
      <c r="AI62" s="159">
        <f t="shared" si="31"/>
        <v>625355.98473401496</v>
      </c>
      <c r="AJ62" s="159">
        <f t="shared" si="44"/>
        <v>617107.51196525909</v>
      </c>
      <c r="AK62" s="159">
        <f t="shared" si="45"/>
        <v>583935.67035225616</v>
      </c>
      <c r="AL62" s="159">
        <f t="shared" si="46"/>
        <v>585316.47534751566</v>
      </c>
      <c r="AM62" s="159">
        <f t="shared" si="47"/>
        <v>532696.66182859312</v>
      </c>
      <c r="AN62" s="159">
        <f t="shared" si="48"/>
        <v>537086.795358459</v>
      </c>
    </row>
    <row r="63" spans="1:40" x14ac:dyDescent="0.35">
      <c r="A63" s="46">
        <v>109</v>
      </c>
      <c r="B63" s="240" t="s">
        <v>70</v>
      </c>
      <c r="C63" s="364">
        <v>134.934027777778</v>
      </c>
      <c r="D63" s="365">
        <v>2.1791982356911405E-3</v>
      </c>
      <c r="E63" s="191">
        <v>0.95699999999999996</v>
      </c>
      <c r="F63" s="191">
        <v>0.9</v>
      </c>
      <c r="G63" s="191">
        <v>0.86099999999999999</v>
      </c>
      <c r="H63" s="191">
        <v>0.81599999999999995</v>
      </c>
      <c r="I63" s="191">
        <v>0.77700000000000002</v>
      </c>
      <c r="J63" s="191">
        <v>0.71799999999999997</v>
      </c>
      <c r="K63" s="361">
        <v>2.0854927115564214E-3</v>
      </c>
      <c r="L63" s="362">
        <v>1.9612784121220265E-3</v>
      </c>
      <c r="M63" s="362">
        <v>1.8762896809300718E-3</v>
      </c>
      <c r="N63" s="362">
        <v>1.7782257603239705E-3</v>
      </c>
      <c r="O63" s="362">
        <v>1.6932370291320162E-3</v>
      </c>
      <c r="P63" s="363">
        <v>1.5646643332262388E-3</v>
      </c>
      <c r="Q63" s="273">
        <v>168.92306139460072</v>
      </c>
      <c r="R63" s="273">
        <v>161.36129332058556</v>
      </c>
      <c r="S63" s="273">
        <v>156.82176628066605</v>
      </c>
      <c r="T63" s="273">
        <v>144.09328742385648</v>
      </c>
      <c r="U63" s="273">
        <v>137.823731919582</v>
      </c>
      <c r="V63" s="273">
        <f t="shared" si="25"/>
        <v>129.13186458333354</v>
      </c>
      <c r="W63" s="273">
        <f t="shared" si="26"/>
        <v>121.4406250000002</v>
      </c>
      <c r="X63" s="273">
        <f t="shared" si="27"/>
        <v>116.17819791666686</v>
      </c>
      <c r="Y63" s="273">
        <f t="shared" si="28"/>
        <v>110.10616666666684</v>
      </c>
      <c r="Z63" s="273">
        <f t="shared" si="29"/>
        <v>104.8437395833335</v>
      </c>
      <c r="AA63" s="273">
        <f t="shared" si="30"/>
        <v>96.882631944444597</v>
      </c>
      <c r="AB63" s="100">
        <v>109</v>
      </c>
      <c r="AC63" s="101" t="s">
        <v>70</v>
      </c>
      <c r="AD63" s="159"/>
      <c r="AE63" s="159"/>
      <c r="AF63" s="164"/>
      <c r="AG63" s="164"/>
      <c r="AH63" s="164"/>
      <c r="AI63" s="159">
        <f t="shared" si="31"/>
        <v>3925991.127569519</v>
      </c>
      <c r="AJ63" s="159">
        <f t="shared" si="44"/>
        <v>3733561.9352475419</v>
      </c>
      <c r="AK63" s="159">
        <f t="shared" si="45"/>
        <v>3642170.9604613194</v>
      </c>
      <c r="AL63" s="159">
        <f t="shared" si="46"/>
        <v>3546269.8697177884</v>
      </c>
      <c r="AM63" s="159">
        <f t="shared" si="47"/>
        <v>3478011.5885956022</v>
      </c>
      <c r="AN63" s="159">
        <f t="shared" si="48"/>
        <v>3316175.2577271527</v>
      </c>
    </row>
    <row r="64" spans="1:40" x14ac:dyDescent="0.35">
      <c r="A64" s="46">
        <v>1706</v>
      </c>
      <c r="B64" s="240" t="s">
        <v>71</v>
      </c>
      <c r="C64" s="364">
        <v>67.581018518518505</v>
      </c>
      <c r="D64" s="365">
        <v>1.0914403041781861E-3</v>
      </c>
      <c r="E64" s="191">
        <v>0.95799999999999996</v>
      </c>
      <c r="F64" s="191">
        <v>0.92700000000000005</v>
      </c>
      <c r="G64" s="191">
        <v>0.86899999999999999</v>
      </c>
      <c r="H64" s="191">
        <v>0.81599999999999995</v>
      </c>
      <c r="I64" s="191">
        <v>0.74399999999999999</v>
      </c>
      <c r="J64" s="191">
        <v>0.69399999999999995</v>
      </c>
      <c r="K64" s="361">
        <v>1.0455998114027021E-3</v>
      </c>
      <c r="L64" s="362">
        <v>1.0117651619731785E-3</v>
      </c>
      <c r="M64" s="362">
        <v>9.4846162433084369E-4</v>
      </c>
      <c r="N64" s="362">
        <v>8.906152882093998E-4</v>
      </c>
      <c r="O64" s="362">
        <v>8.1203158630857044E-4</v>
      </c>
      <c r="P64" s="363">
        <v>7.5745957109966109E-4</v>
      </c>
      <c r="Q64" s="273">
        <v>86.882523148148167</v>
      </c>
      <c r="R64" s="273">
        <v>81.393518518518505</v>
      </c>
      <c r="S64" s="273">
        <v>72.680498306988795</v>
      </c>
      <c r="T64" s="273">
        <v>69.185267133824254</v>
      </c>
      <c r="U64" s="273">
        <v>67.431098804071794</v>
      </c>
      <c r="V64" s="273">
        <f t="shared" si="25"/>
        <v>64.742615740740732</v>
      </c>
      <c r="W64" s="273">
        <f t="shared" si="26"/>
        <v>62.64760416666666</v>
      </c>
      <c r="X64" s="273">
        <f t="shared" si="27"/>
        <v>58.727905092592579</v>
      </c>
      <c r="Y64" s="273">
        <f t="shared" si="28"/>
        <v>55.146111111111097</v>
      </c>
      <c r="Z64" s="273">
        <f t="shared" si="29"/>
        <v>50.280277777777769</v>
      </c>
      <c r="AA64" s="273">
        <f t="shared" si="30"/>
        <v>46.901226851851838</v>
      </c>
      <c r="AB64" s="100">
        <v>1706</v>
      </c>
      <c r="AC64" s="101" t="s">
        <v>71</v>
      </c>
      <c r="AD64" s="159"/>
      <c r="AE64" s="159"/>
      <c r="AF64" s="164"/>
      <c r="AG64" s="164"/>
      <c r="AH64" s="164"/>
      <c r="AI64" s="159">
        <f t="shared" si="31"/>
        <v>1968367.2639123071</v>
      </c>
      <c r="AJ64" s="159">
        <f t="shared" si="44"/>
        <v>1926033.4855088366</v>
      </c>
      <c r="AK64" s="159">
        <f t="shared" si="45"/>
        <v>1841111.9670697143</v>
      </c>
      <c r="AL64" s="159">
        <f t="shared" si="46"/>
        <v>1776131.1485621512</v>
      </c>
      <c r="AM64" s="159">
        <f t="shared" si="47"/>
        <v>1667962.1452258471</v>
      </c>
      <c r="AN64" s="159">
        <f t="shared" si="48"/>
        <v>1605372.2418724806</v>
      </c>
    </row>
    <row r="66" spans="1:1030" x14ac:dyDescent="0.35">
      <c r="A66" s="46">
        <v>216</v>
      </c>
      <c r="B66" s="240" t="s">
        <v>73</v>
      </c>
      <c r="C66" s="364">
        <v>113.90509259259299</v>
      </c>
      <c r="D66" s="365">
        <v>1.8395787993730501E-3</v>
      </c>
      <c r="E66" s="191">
        <v>0.95699999999999996</v>
      </c>
      <c r="F66" s="191">
        <v>0.92</v>
      </c>
      <c r="G66" s="191">
        <v>0.89</v>
      </c>
      <c r="H66" s="191">
        <v>0.84499999999999997</v>
      </c>
      <c r="I66" s="191">
        <v>0.8</v>
      </c>
      <c r="J66" s="191">
        <v>0.75900000000000001</v>
      </c>
      <c r="K66" s="361">
        <v>1.7604769110000089E-3</v>
      </c>
      <c r="L66" s="362">
        <v>1.6924124954232061E-3</v>
      </c>
      <c r="M66" s="362">
        <v>1.6372251314420146E-3</v>
      </c>
      <c r="N66" s="362">
        <v>1.5544440854702273E-3</v>
      </c>
      <c r="O66" s="362">
        <v>1.4716630394984401E-3</v>
      </c>
      <c r="P66" s="363">
        <v>1.396240308724145E-3</v>
      </c>
      <c r="Q66" s="273">
        <v>140.26008161794104</v>
      </c>
      <c r="R66" s="273">
        <v>136.65689429658187</v>
      </c>
      <c r="S66" s="273">
        <v>123.46630727579374</v>
      </c>
      <c r="T66" s="273">
        <v>118.12345659270525</v>
      </c>
      <c r="U66" s="273">
        <v>113.26609544833453</v>
      </c>
      <c r="V66" s="273">
        <f t="shared" si="25"/>
        <v>109.00717361111148</v>
      </c>
      <c r="W66" s="273">
        <f t="shared" si="26"/>
        <v>104.79268518518556</v>
      </c>
      <c r="X66" s="273">
        <f t="shared" si="27"/>
        <v>101.37553240740776</v>
      </c>
      <c r="Y66" s="273">
        <f t="shared" si="28"/>
        <v>96.249803240741073</v>
      </c>
      <c r="Z66" s="273">
        <f t="shared" si="29"/>
        <v>91.1240740740744</v>
      </c>
      <c r="AA66" s="273">
        <f t="shared" si="30"/>
        <v>86.453965277778082</v>
      </c>
      <c r="AB66" s="100">
        <v>216</v>
      </c>
      <c r="AC66" s="101" t="s">
        <v>73</v>
      </c>
      <c r="AD66" s="159"/>
      <c r="AE66" s="159"/>
      <c r="AF66" s="164"/>
      <c r="AG66" s="164"/>
      <c r="AH66" s="164"/>
      <c r="AI66" s="159">
        <f t="shared" si="31"/>
        <v>3314140.9195905696</v>
      </c>
      <c r="AJ66" s="159">
        <f t="shared" ref="AJ66:AJ97" si="49">+W66*AJ$8</f>
        <v>3221738.8579792567</v>
      </c>
      <c r="AK66" s="159">
        <f t="shared" ref="AK66:AK97" si="50">+X66*AK$8</f>
        <v>3178109.3772895993</v>
      </c>
      <c r="AL66" s="159">
        <f t="shared" ref="AL66:AL97" si="51">+Y66*AL$8</f>
        <v>3099987.8347616475</v>
      </c>
      <c r="AM66" s="159">
        <f t="shared" ref="AM66:AM97" si="52">+Z66*AM$8</f>
        <v>3022885.1707236865</v>
      </c>
      <c r="AN66" s="159">
        <f t="shared" ref="AN66:AN97" si="53">+AA66*AN$8</f>
        <v>2959214.6170323947</v>
      </c>
    </row>
    <row r="67" spans="1:1030" x14ac:dyDescent="0.35">
      <c r="A67" s="46">
        <v>148</v>
      </c>
      <c r="B67" s="240" t="s">
        <v>74</v>
      </c>
      <c r="C67" s="364">
        <v>102.11342592592599</v>
      </c>
      <c r="D67" s="365">
        <v>1.6491421866145696E-3</v>
      </c>
      <c r="E67" s="191">
        <v>0.95199999999999996</v>
      </c>
      <c r="F67" s="191">
        <v>0.90800000000000003</v>
      </c>
      <c r="G67" s="191">
        <v>0.82599999999999996</v>
      </c>
      <c r="H67" s="191">
        <v>0.78100000000000003</v>
      </c>
      <c r="I67" s="191">
        <v>0.72899999999999998</v>
      </c>
      <c r="J67" s="191">
        <v>0.66300000000000003</v>
      </c>
      <c r="K67" s="361">
        <v>1.5699833616570702E-3</v>
      </c>
      <c r="L67" s="362">
        <v>1.4974211054460294E-3</v>
      </c>
      <c r="M67" s="362">
        <v>1.3621914461436344E-3</v>
      </c>
      <c r="N67" s="362">
        <v>1.287980047745979E-3</v>
      </c>
      <c r="O67" s="362">
        <v>1.2022246540420213E-3</v>
      </c>
      <c r="P67" s="363">
        <v>1.0933812697254597E-3</v>
      </c>
      <c r="Q67" s="273">
        <v>120.46753237872366</v>
      </c>
      <c r="R67" s="273">
        <v>114.0896344438049</v>
      </c>
      <c r="S67" s="273">
        <v>111.08409157629309</v>
      </c>
      <c r="T67" s="273">
        <v>106.14757839236748</v>
      </c>
      <c r="U67" s="273">
        <v>100.85845068655908</v>
      </c>
      <c r="V67" s="273">
        <f t="shared" si="25"/>
        <v>97.211981481481544</v>
      </c>
      <c r="W67" s="273">
        <f t="shared" si="26"/>
        <v>92.718990740740807</v>
      </c>
      <c r="X67" s="273">
        <f t="shared" si="27"/>
        <v>84.345689814814861</v>
      </c>
      <c r="Y67" s="273">
        <f t="shared" si="28"/>
        <v>79.750585648148203</v>
      </c>
      <c r="Z67" s="273">
        <f t="shared" si="29"/>
        <v>74.440687500000053</v>
      </c>
      <c r="AA67" s="273">
        <f t="shared" si="30"/>
        <v>67.701201388888933</v>
      </c>
      <c r="AB67" s="100">
        <v>148</v>
      </c>
      <c r="AC67" s="101" t="s">
        <v>74</v>
      </c>
      <c r="AD67" s="159"/>
      <c r="AE67" s="159"/>
      <c r="AF67" s="164"/>
      <c r="AG67" s="164"/>
      <c r="AH67" s="164"/>
      <c r="AI67" s="159">
        <f t="shared" si="31"/>
        <v>2955532.1455414593</v>
      </c>
      <c r="AJ67" s="159">
        <f t="shared" si="49"/>
        <v>2850546.0549482401</v>
      </c>
      <c r="AK67" s="159">
        <f t="shared" si="50"/>
        <v>2644226.0905436701</v>
      </c>
      <c r="AL67" s="159">
        <f t="shared" si="51"/>
        <v>2568585.4619984236</v>
      </c>
      <c r="AM67" s="159">
        <f t="shared" si="52"/>
        <v>2469442.3798403023</v>
      </c>
      <c r="AN67" s="159">
        <f t="shared" si="53"/>
        <v>2317330.2010723329</v>
      </c>
    </row>
    <row r="68" spans="1:1030" x14ac:dyDescent="0.35">
      <c r="A68" s="46">
        <v>1891</v>
      </c>
      <c r="B68" s="240" t="s">
        <v>75</v>
      </c>
      <c r="C68" s="364">
        <v>173.64699074074099</v>
      </c>
      <c r="D68" s="365">
        <v>2.8044165144058518E-3</v>
      </c>
      <c r="E68" s="191">
        <v>0.94899999999999995</v>
      </c>
      <c r="F68" s="191">
        <v>0.877</v>
      </c>
      <c r="G68" s="191">
        <v>0.85099999999999998</v>
      </c>
      <c r="H68" s="191">
        <v>0.80700000000000005</v>
      </c>
      <c r="I68" s="191">
        <v>0.755</v>
      </c>
      <c r="J68" s="191">
        <v>0.71199999999999997</v>
      </c>
      <c r="K68" s="361">
        <v>2.6613912721711532E-3</v>
      </c>
      <c r="L68" s="362">
        <v>2.4594732831339319E-3</v>
      </c>
      <c r="M68" s="362">
        <v>2.3865584537593799E-3</v>
      </c>
      <c r="N68" s="362">
        <v>2.2631641271255226E-3</v>
      </c>
      <c r="O68" s="362">
        <v>2.1173344683764182E-3</v>
      </c>
      <c r="P68" s="363">
        <v>1.9967445582569662E-3</v>
      </c>
      <c r="Q68" s="273">
        <v>209.21681852752602</v>
      </c>
      <c r="R68" s="273">
        <v>201.02247222670238</v>
      </c>
      <c r="S68" s="273">
        <v>196.43218137093891</v>
      </c>
      <c r="T68" s="273">
        <v>187.06811072879577</v>
      </c>
      <c r="U68" s="273">
        <v>172.30782248058685</v>
      </c>
      <c r="V68" s="273">
        <f t="shared" si="25"/>
        <v>164.7909942129632</v>
      </c>
      <c r="W68" s="273">
        <f t="shared" si="26"/>
        <v>152.28841087962985</v>
      </c>
      <c r="X68" s="273">
        <f t="shared" si="27"/>
        <v>147.77358912037059</v>
      </c>
      <c r="Y68" s="273">
        <f t="shared" si="28"/>
        <v>140.13312152777797</v>
      </c>
      <c r="Z68" s="273">
        <f t="shared" si="29"/>
        <v>131.10347800925945</v>
      </c>
      <c r="AA68" s="273">
        <f t="shared" si="30"/>
        <v>123.63665740740758</v>
      </c>
      <c r="AB68" s="100">
        <v>1891</v>
      </c>
      <c r="AC68" s="101" t="s">
        <v>75</v>
      </c>
      <c r="AD68" s="159"/>
      <c r="AE68" s="159"/>
      <c r="AF68" s="164"/>
      <c r="AG68" s="164"/>
      <c r="AH68" s="164"/>
      <c r="AI68" s="159">
        <f t="shared" si="31"/>
        <v>5010134.2784060957</v>
      </c>
      <c r="AJ68" s="159">
        <f t="shared" si="49"/>
        <v>4681944.0697009154</v>
      </c>
      <c r="AK68" s="159">
        <f t="shared" si="50"/>
        <v>4632682.2473474108</v>
      </c>
      <c r="AL68" s="159">
        <f t="shared" si="51"/>
        <v>4513369.9743440896</v>
      </c>
      <c r="AM68" s="159">
        <f t="shared" si="52"/>
        <v>4349133.4593131766</v>
      </c>
      <c r="AN68" s="159">
        <f t="shared" si="53"/>
        <v>4231933.1753666671</v>
      </c>
    </row>
    <row r="69" spans="1:1030" x14ac:dyDescent="0.35">
      <c r="A69" s="46">
        <v>310</v>
      </c>
      <c r="B69" s="240" t="s">
        <v>76</v>
      </c>
      <c r="C69" s="364">
        <v>34.0694444444444</v>
      </c>
      <c r="D69" s="365">
        <v>5.5022498362372065E-4</v>
      </c>
      <c r="E69" s="191">
        <v>0.95199999999999996</v>
      </c>
      <c r="F69" s="191">
        <v>0.873</v>
      </c>
      <c r="G69" s="191">
        <v>0.79700000000000004</v>
      </c>
      <c r="H69" s="191">
        <v>0.754</v>
      </c>
      <c r="I69" s="191">
        <v>0.72199999999999998</v>
      </c>
      <c r="J69" s="191">
        <v>0.68899999999999995</v>
      </c>
      <c r="K69" s="361">
        <v>5.2381418440978198E-4</v>
      </c>
      <c r="L69" s="362">
        <v>4.8034641070350813E-4</v>
      </c>
      <c r="M69" s="362">
        <v>4.3852931194810537E-4</v>
      </c>
      <c r="N69" s="362">
        <v>4.1486963765228536E-4</v>
      </c>
      <c r="O69" s="362">
        <v>3.9726243817632628E-4</v>
      </c>
      <c r="P69" s="363">
        <v>3.7910501371674348E-4</v>
      </c>
      <c r="Q69" s="273">
        <v>43.356481481481474</v>
      </c>
      <c r="R69" s="273">
        <v>44.636574074074097</v>
      </c>
      <c r="S69" s="273">
        <v>41.655398052891165</v>
      </c>
      <c r="T69" s="273">
        <v>39.912018275529931</v>
      </c>
      <c r="U69" s="273">
        <v>36.221750435184909</v>
      </c>
      <c r="V69" s="273">
        <f t="shared" si="25"/>
        <v>32.434111111111065</v>
      </c>
      <c r="W69" s="273">
        <f t="shared" si="26"/>
        <v>29.742624999999961</v>
      </c>
      <c r="X69" s="273">
        <f t="shared" si="27"/>
        <v>27.153347222222187</v>
      </c>
      <c r="Y69" s="273">
        <f t="shared" si="28"/>
        <v>25.688361111111078</v>
      </c>
      <c r="Z69" s="273">
        <f t="shared" si="29"/>
        <v>24.598138888888855</v>
      </c>
      <c r="AA69" s="273">
        <f t="shared" si="30"/>
        <v>23.47384722222219</v>
      </c>
      <c r="AB69" s="100">
        <v>310</v>
      </c>
      <c r="AC69" s="101" t="s">
        <v>76</v>
      </c>
      <c r="AD69" s="159"/>
      <c r="AE69" s="159"/>
      <c r="AF69" s="164"/>
      <c r="AG69" s="164"/>
      <c r="AH69" s="164"/>
      <c r="AI69" s="159">
        <f t="shared" si="31"/>
        <v>986093.03647630184</v>
      </c>
      <c r="AJ69" s="159">
        <f t="shared" si="49"/>
        <v>914405.14699542755</v>
      </c>
      <c r="AK69" s="159">
        <f t="shared" si="50"/>
        <v>851253.80239619769</v>
      </c>
      <c r="AL69" s="159">
        <f t="shared" si="51"/>
        <v>827363.84136005014</v>
      </c>
      <c r="AM69" s="159">
        <f t="shared" si="52"/>
        <v>816001.15041145927</v>
      </c>
      <c r="AN69" s="159">
        <f t="shared" si="53"/>
        <v>803481.38566919009</v>
      </c>
    </row>
    <row r="70" spans="1:1030" x14ac:dyDescent="0.35">
      <c r="A70" s="46">
        <v>1940</v>
      </c>
      <c r="B70" s="240" t="s">
        <v>77</v>
      </c>
      <c r="C70" s="364">
        <v>109.26504629629601</v>
      </c>
      <c r="D70" s="365">
        <v>1.7646415810231445E-3</v>
      </c>
      <c r="E70" s="191">
        <v>0.95899999999999996</v>
      </c>
      <c r="F70" s="191">
        <v>0.89</v>
      </c>
      <c r="G70" s="191">
        <v>0.83399999999999996</v>
      </c>
      <c r="H70" s="191">
        <v>0.76800000000000002</v>
      </c>
      <c r="I70" s="191">
        <v>0.73099999999999998</v>
      </c>
      <c r="J70" s="191">
        <v>0.68400000000000005</v>
      </c>
      <c r="K70" s="361">
        <v>1.6922912762011954E-3</v>
      </c>
      <c r="L70" s="362">
        <v>1.5705310071105986E-3</v>
      </c>
      <c r="M70" s="362">
        <v>1.4717110785733025E-3</v>
      </c>
      <c r="N70" s="362">
        <v>1.355244734225775E-3</v>
      </c>
      <c r="O70" s="362">
        <v>1.2899529957279185E-3</v>
      </c>
      <c r="P70" s="363">
        <v>1.2070148414198309E-3</v>
      </c>
      <c r="Q70" s="273">
        <v>146.15048946597972</v>
      </c>
      <c r="R70" s="273">
        <v>135.55703833041497</v>
      </c>
      <c r="S70" s="273">
        <v>123.54620194353161</v>
      </c>
      <c r="T70" s="273">
        <v>116.23749451191101</v>
      </c>
      <c r="U70" s="273">
        <v>108.92307306967041</v>
      </c>
      <c r="V70" s="273">
        <f t="shared" si="25"/>
        <v>104.78517939814786</v>
      </c>
      <c r="W70" s="273">
        <f t="shared" si="26"/>
        <v>97.245891203703451</v>
      </c>
      <c r="X70" s="273">
        <f t="shared" si="27"/>
        <v>91.127048611110865</v>
      </c>
      <c r="Y70" s="273">
        <f t="shared" si="28"/>
        <v>83.915555555555329</v>
      </c>
      <c r="Z70" s="273">
        <f t="shared" si="29"/>
        <v>79.872748842592372</v>
      </c>
      <c r="AA70" s="273">
        <f t="shared" si="30"/>
        <v>74.737291666666479</v>
      </c>
      <c r="AB70" s="100">
        <v>1940</v>
      </c>
      <c r="AC70" s="101" t="s">
        <v>77</v>
      </c>
      <c r="AD70" s="159"/>
      <c r="AE70" s="159"/>
      <c r="AF70" s="164"/>
      <c r="AG70" s="164"/>
      <c r="AH70" s="164"/>
      <c r="AI70" s="159">
        <f t="shared" si="31"/>
        <v>3185779.7914195419</v>
      </c>
      <c r="AJ70" s="159">
        <f t="shared" si="49"/>
        <v>2989720.7607204784</v>
      </c>
      <c r="AK70" s="159">
        <f t="shared" si="50"/>
        <v>2856820.7814860651</v>
      </c>
      <c r="AL70" s="159">
        <f t="shared" si="51"/>
        <v>2702729.6951332842</v>
      </c>
      <c r="AM70" s="159">
        <f t="shared" si="52"/>
        <v>2649641.7162487637</v>
      </c>
      <c r="AN70" s="159">
        <f t="shared" si="53"/>
        <v>2558167.0571940811</v>
      </c>
    </row>
    <row r="71" spans="1:1030" x14ac:dyDescent="0.35">
      <c r="A71" s="46">
        <v>736</v>
      </c>
      <c r="B71" s="240" t="s">
        <v>78</v>
      </c>
      <c r="C71" s="364">
        <v>54.273148148148202</v>
      </c>
      <c r="D71" s="365">
        <v>8.7651684780824736E-4</v>
      </c>
      <c r="E71" s="191">
        <v>0.93600000000000005</v>
      </c>
      <c r="F71" s="191">
        <v>0.90500000000000003</v>
      </c>
      <c r="G71" s="191">
        <v>0.88300000000000001</v>
      </c>
      <c r="H71" s="191">
        <v>0.84699999999999998</v>
      </c>
      <c r="I71" s="191">
        <v>0.78600000000000003</v>
      </c>
      <c r="J71" s="191">
        <v>0.74</v>
      </c>
      <c r="K71" s="361">
        <v>8.204197695485196E-4</v>
      </c>
      <c r="L71" s="362">
        <v>7.9324774726646384E-4</v>
      </c>
      <c r="M71" s="362">
        <v>7.739643766146824E-4</v>
      </c>
      <c r="N71" s="362">
        <v>7.4240977009358544E-4</v>
      </c>
      <c r="O71" s="362">
        <v>6.8894224237728242E-4</v>
      </c>
      <c r="P71" s="363">
        <v>6.4862246737810308E-4</v>
      </c>
      <c r="Q71" s="273">
        <v>57.368055555555543</v>
      </c>
      <c r="R71" s="273">
        <v>56.125</v>
      </c>
      <c r="S71" s="273">
        <v>56.237590543420254</v>
      </c>
      <c r="T71" s="273">
        <v>53.395327321092104</v>
      </c>
      <c r="U71" s="273">
        <v>53.598972000859774</v>
      </c>
      <c r="V71" s="273">
        <f t="shared" si="25"/>
        <v>50.799666666666717</v>
      </c>
      <c r="W71" s="273">
        <f t="shared" si="26"/>
        <v>49.117199074074122</v>
      </c>
      <c r="X71" s="273">
        <f t="shared" si="27"/>
        <v>47.923189814814862</v>
      </c>
      <c r="Y71" s="273">
        <f t="shared" si="28"/>
        <v>45.969356481481526</v>
      </c>
      <c r="Z71" s="273">
        <f t="shared" si="29"/>
        <v>42.658694444444485</v>
      </c>
      <c r="AA71" s="273">
        <f t="shared" si="30"/>
        <v>40.162129629629668</v>
      </c>
      <c r="AB71" s="100">
        <v>736</v>
      </c>
      <c r="AC71" s="101" t="s">
        <v>78</v>
      </c>
      <c r="AD71" s="159"/>
      <c r="AE71" s="159"/>
      <c r="AF71" s="164"/>
      <c r="AG71" s="164"/>
      <c r="AH71" s="164"/>
      <c r="AI71" s="159">
        <f t="shared" si="31"/>
        <v>1544460.3178336143</v>
      </c>
      <c r="AJ71" s="159">
        <f t="shared" si="49"/>
        <v>1510055.6739471545</v>
      </c>
      <c r="AK71" s="159">
        <f t="shared" si="50"/>
        <v>1502385.5887435339</v>
      </c>
      <c r="AL71" s="159">
        <f t="shared" si="51"/>
        <v>1480568.6979741717</v>
      </c>
      <c r="AM71" s="159">
        <f t="shared" si="52"/>
        <v>1415129.1648101609</v>
      </c>
      <c r="AN71" s="159">
        <f t="shared" si="53"/>
        <v>1374701.0986631799</v>
      </c>
    </row>
    <row r="72" spans="1:1030" x14ac:dyDescent="0.35">
      <c r="A72" s="46">
        <v>1690</v>
      </c>
      <c r="B72" s="240" t="s">
        <v>79</v>
      </c>
      <c r="C72" s="364">
        <v>34.7291666666667</v>
      </c>
      <c r="D72" s="365">
        <v>5.6087956443176383E-4</v>
      </c>
      <c r="E72" s="191">
        <v>0.91900000000000004</v>
      </c>
      <c r="F72" s="191">
        <v>0.82099999999999995</v>
      </c>
      <c r="G72" s="191">
        <v>0.76200000000000001</v>
      </c>
      <c r="H72" s="191">
        <v>0.69599999999999995</v>
      </c>
      <c r="I72" s="191">
        <v>0.63500000000000001</v>
      </c>
      <c r="J72" s="191">
        <v>0.55000000000000004</v>
      </c>
      <c r="K72" s="361">
        <v>5.1544831971279102E-4</v>
      </c>
      <c r="L72" s="362">
        <v>4.6048212239847809E-4</v>
      </c>
      <c r="M72" s="362">
        <v>4.2739022809700405E-4</v>
      </c>
      <c r="N72" s="362">
        <v>3.9037217684450762E-4</v>
      </c>
      <c r="O72" s="362">
        <v>3.5615852341417005E-4</v>
      </c>
      <c r="P72" s="363">
        <v>3.0848376043747012E-4</v>
      </c>
      <c r="Q72" s="273">
        <v>54.032407407407405</v>
      </c>
      <c r="R72" s="273">
        <v>48.949074074074097</v>
      </c>
      <c r="S72" s="273">
        <v>39.760657857974692</v>
      </c>
      <c r="T72" s="273">
        <v>38.731617349600803</v>
      </c>
      <c r="U72" s="273">
        <v>35.313295372433522</v>
      </c>
      <c r="V72" s="273">
        <f t="shared" si="25"/>
        <v>31.916104166666699</v>
      </c>
      <c r="W72" s="273">
        <f t="shared" si="26"/>
        <v>28.512645833333359</v>
      </c>
      <c r="X72" s="273">
        <f t="shared" si="27"/>
        <v>26.463625000000025</v>
      </c>
      <c r="Y72" s="273">
        <f t="shared" si="28"/>
        <v>24.171500000000023</v>
      </c>
      <c r="Z72" s="273">
        <f t="shared" si="29"/>
        <v>22.053020833333356</v>
      </c>
      <c r="AA72" s="273">
        <f t="shared" si="30"/>
        <v>19.101041666666685</v>
      </c>
      <c r="AB72" s="100">
        <v>1690</v>
      </c>
      <c r="AC72" s="101" t="s">
        <v>79</v>
      </c>
      <c r="AD72" s="159"/>
      <c r="AE72" s="159"/>
      <c r="AF72" s="164"/>
      <c r="AG72" s="164"/>
      <c r="AH72" s="164"/>
      <c r="AI72" s="159">
        <f t="shared" si="31"/>
        <v>970344.0912065187</v>
      </c>
      <c r="AJ72" s="159">
        <f t="shared" si="49"/>
        <v>876590.75500087126</v>
      </c>
      <c r="AK72" s="159">
        <f t="shared" si="50"/>
        <v>829631.10301189241</v>
      </c>
      <c r="AL72" s="159">
        <f t="shared" si="51"/>
        <v>778509.18573331623</v>
      </c>
      <c r="AM72" s="159">
        <f t="shared" si="52"/>
        <v>731571.21566528315</v>
      </c>
      <c r="AN72" s="159">
        <f t="shared" si="53"/>
        <v>653805.5428566176</v>
      </c>
    </row>
    <row r="73" spans="1:1030" x14ac:dyDescent="0.35">
      <c r="A73" s="46">
        <v>503</v>
      </c>
      <c r="B73" s="240" t="s">
        <v>80</v>
      </c>
      <c r="C73" s="364">
        <v>390.27662037036998</v>
      </c>
      <c r="D73" s="365">
        <v>6.3030070068261666E-3</v>
      </c>
      <c r="E73" s="191">
        <v>0.94499999999999995</v>
      </c>
      <c r="F73" s="191">
        <v>0.88200000000000001</v>
      </c>
      <c r="G73" s="191">
        <v>0.82499999999999996</v>
      </c>
      <c r="H73" s="191">
        <v>0.78</v>
      </c>
      <c r="I73" s="191">
        <v>0.73</v>
      </c>
      <c r="J73" s="191">
        <v>0.69599999999999995</v>
      </c>
      <c r="K73" s="361">
        <v>5.9563416214507272E-3</v>
      </c>
      <c r="L73" s="362">
        <v>5.5592521800206787E-3</v>
      </c>
      <c r="M73" s="362">
        <v>5.199980780631587E-3</v>
      </c>
      <c r="N73" s="362">
        <v>4.91634546532441E-3</v>
      </c>
      <c r="O73" s="362">
        <v>4.6011951149831018E-3</v>
      </c>
      <c r="P73" s="363">
        <v>4.3868928767510119E-3</v>
      </c>
      <c r="Q73" s="273">
        <v>519.82223347030947</v>
      </c>
      <c r="R73" s="273">
        <v>477.78490976653222</v>
      </c>
      <c r="S73" s="273">
        <v>449.18833313038925</v>
      </c>
      <c r="T73" s="273">
        <v>414.31029608057719</v>
      </c>
      <c r="U73" s="273">
        <v>395.41905555383232</v>
      </c>
      <c r="V73" s="273">
        <f t="shared" si="25"/>
        <v>368.81140624999961</v>
      </c>
      <c r="W73" s="273">
        <f t="shared" si="26"/>
        <v>344.22397916666631</v>
      </c>
      <c r="X73" s="273">
        <f t="shared" si="27"/>
        <v>321.97821180555519</v>
      </c>
      <c r="Y73" s="273">
        <f t="shared" si="28"/>
        <v>304.41576388888859</v>
      </c>
      <c r="Z73" s="273">
        <f t="shared" si="29"/>
        <v>284.9019328703701</v>
      </c>
      <c r="AA73" s="273">
        <f t="shared" si="30"/>
        <v>271.63252777777751</v>
      </c>
      <c r="AB73" s="100">
        <v>503</v>
      </c>
      <c r="AC73" s="101" t="s">
        <v>80</v>
      </c>
      <c r="AD73" s="159"/>
      <c r="AE73" s="159"/>
      <c r="AF73" s="164"/>
      <c r="AG73" s="164"/>
      <c r="AH73" s="164"/>
      <c r="AI73" s="159">
        <f t="shared" si="31"/>
        <v>11212959.04272737</v>
      </c>
      <c r="AJ73" s="159">
        <f t="shared" si="49"/>
        <v>10582797.526084093</v>
      </c>
      <c r="AK73" s="159">
        <f t="shared" si="50"/>
        <v>10093973.860574249</v>
      </c>
      <c r="AL73" s="159">
        <f t="shared" si="51"/>
        <v>9804541.2353194412</v>
      </c>
      <c r="AM73" s="159">
        <f t="shared" si="52"/>
        <v>9451133.9263021741</v>
      </c>
      <c r="AN73" s="159">
        <f t="shared" si="53"/>
        <v>9297652.734362999</v>
      </c>
    </row>
    <row r="74" spans="1:1030" x14ac:dyDescent="0.35">
      <c r="A74" s="46">
        <v>400</v>
      </c>
      <c r="B74" s="240" t="s">
        <v>82</v>
      </c>
      <c r="C74" s="364">
        <v>209.34953703703701</v>
      </c>
      <c r="D74" s="365">
        <v>3.3810162585912306E-3</v>
      </c>
      <c r="E74" s="191">
        <v>0.95199999999999996</v>
      </c>
      <c r="F74" s="191">
        <v>0.90800000000000003</v>
      </c>
      <c r="G74" s="191">
        <v>0.86399999999999999</v>
      </c>
      <c r="H74" s="191">
        <v>0.80900000000000005</v>
      </c>
      <c r="I74" s="191">
        <v>0.76600000000000001</v>
      </c>
      <c r="J74" s="191">
        <v>0.70899999999999996</v>
      </c>
      <c r="K74" s="361">
        <v>3.2187274781788513E-3</v>
      </c>
      <c r="L74" s="362">
        <v>3.0699627628008376E-3</v>
      </c>
      <c r="M74" s="362">
        <v>2.9211980474228233E-3</v>
      </c>
      <c r="N74" s="362">
        <v>2.7352421532003059E-3</v>
      </c>
      <c r="O74" s="362">
        <v>2.5898584540808827E-3</v>
      </c>
      <c r="P74" s="363">
        <v>2.3971405273411823E-3</v>
      </c>
      <c r="Q74" s="273">
        <v>247.37754814654667</v>
      </c>
      <c r="R74" s="273">
        <v>240.01621609570617</v>
      </c>
      <c r="S74" s="273">
        <v>231.28769975810422</v>
      </c>
      <c r="T74" s="273">
        <v>215.70995378111402</v>
      </c>
      <c r="U74" s="273">
        <v>208.63405616991568</v>
      </c>
      <c r="V74" s="273">
        <f t="shared" ref="V74:V139" si="54">+E74*C74</f>
        <v>199.30075925925922</v>
      </c>
      <c r="W74" s="273">
        <f t="shared" ref="W74:W139" si="55">+F74*$C74</f>
        <v>190.0893796296296</v>
      </c>
      <c r="X74" s="273">
        <f t="shared" ref="X74:X139" si="56">+G74*$C74</f>
        <v>180.87799999999999</v>
      </c>
      <c r="Y74" s="273">
        <f t="shared" ref="Y74:Y139" si="57">+H74*$C74</f>
        <v>169.36377546296296</v>
      </c>
      <c r="Z74" s="273">
        <f t="shared" ref="Z74:Z139" si="58">+I74*$C74</f>
        <v>160.36174537037036</v>
      </c>
      <c r="AA74" s="273">
        <f t="shared" ref="AA74:AA139" si="59">+J74*$C74</f>
        <v>148.42882175925922</v>
      </c>
      <c r="AB74" s="100">
        <v>400</v>
      </c>
      <c r="AC74" s="101" t="s">
        <v>82</v>
      </c>
      <c r="AD74" s="159"/>
      <c r="AE74" s="159"/>
      <c r="AF74" s="164"/>
      <c r="AG74" s="164"/>
      <c r="AH74" s="164"/>
      <c r="AI74" s="159">
        <f t="shared" si="31"/>
        <v>6059333.3418861516</v>
      </c>
      <c r="AJ74" s="159">
        <f t="shared" si="49"/>
        <v>5844094.3636448132</v>
      </c>
      <c r="AK74" s="159">
        <f t="shared" si="50"/>
        <v>5670501.0991723519</v>
      </c>
      <c r="AL74" s="159">
        <f t="shared" si="51"/>
        <v>5454823.0324303983</v>
      </c>
      <c r="AM74" s="159">
        <f t="shared" si="52"/>
        <v>5319726.3945574341</v>
      </c>
      <c r="AN74" s="159">
        <f t="shared" si="53"/>
        <v>5080538.9611411514</v>
      </c>
    </row>
    <row r="75" spans="1:1030" x14ac:dyDescent="0.35">
      <c r="A75" s="46">
        <v>762</v>
      </c>
      <c r="B75" s="240" t="s">
        <v>83</v>
      </c>
      <c r="C75" s="364">
        <v>132.133680555556</v>
      </c>
      <c r="D75" s="365">
        <v>2.133972343998061E-3</v>
      </c>
      <c r="E75" s="191">
        <v>0.96099999999999997</v>
      </c>
      <c r="F75" s="191">
        <v>0.93100000000000005</v>
      </c>
      <c r="G75" s="191">
        <v>0.90100000000000002</v>
      </c>
      <c r="H75" s="191">
        <v>0.84599999999999997</v>
      </c>
      <c r="I75" s="191">
        <v>0.79300000000000004</v>
      </c>
      <c r="J75" s="191">
        <v>0.70499999999999996</v>
      </c>
      <c r="K75" s="361">
        <v>2.0507474225821367E-3</v>
      </c>
      <c r="L75" s="362">
        <v>1.9867282522621947E-3</v>
      </c>
      <c r="M75" s="362">
        <v>1.922709081942253E-3</v>
      </c>
      <c r="N75" s="362">
        <v>1.8053406030223596E-3</v>
      </c>
      <c r="O75" s="362">
        <v>1.6922400687904625E-3</v>
      </c>
      <c r="P75" s="363">
        <v>1.5044505025186329E-3</v>
      </c>
      <c r="Q75" s="273">
        <v>175.93920679362492</v>
      </c>
      <c r="R75" s="273">
        <v>170.23587113004908</v>
      </c>
      <c r="S75" s="273">
        <v>161.99549169520569</v>
      </c>
      <c r="T75" s="273">
        <v>148.79555251290586</v>
      </c>
      <c r="U75" s="273">
        <v>139.65068946070488</v>
      </c>
      <c r="V75" s="273">
        <f t="shared" si="54"/>
        <v>126.98046701388931</v>
      </c>
      <c r="W75" s="273">
        <f t="shared" si="55"/>
        <v>123.01645659722264</v>
      </c>
      <c r="X75" s="273">
        <f t="shared" si="56"/>
        <v>119.05244618055596</v>
      </c>
      <c r="Y75" s="273">
        <f t="shared" si="57"/>
        <v>111.78509375000037</v>
      </c>
      <c r="Z75" s="273">
        <f t="shared" si="58"/>
        <v>104.7820086805559</v>
      </c>
      <c r="AA75" s="273">
        <f t="shared" si="59"/>
        <v>93.154244791666969</v>
      </c>
      <c r="AB75" s="100">
        <v>762</v>
      </c>
      <c r="AC75" s="101" t="s">
        <v>83</v>
      </c>
      <c r="AD75" s="159"/>
      <c r="AE75" s="159"/>
      <c r="AF75" s="164"/>
      <c r="AG75" s="164"/>
      <c r="AH75" s="164"/>
      <c r="AI75" s="159">
        <f t="shared" ref="AI75:AI139" si="60">+V75*AI$8</f>
        <v>3860582.2697576508</v>
      </c>
      <c r="AJ75" s="159">
        <f t="shared" si="49"/>
        <v>3782009.1897618365</v>
      </c>
      <c r="AK75" s="159">
        <f t="shared" si="50"/>
        <v>3732278.258970134</v>
      </c>
      <c r="AL75" s="159">
        <f t="shared" si="51"/>
        <v>3600344.3026885018</v>
      </c>
      <c r="AM75" s="159">
        <f t="shared" si="52"/>
        <v>3475963.7715672492</v>
      </c>
      <c r="AN75" s="159">
        <f t="shared" si="53"/>
        <v>3188557.0770571763</v>
      </c>
    </row>
    <row r="76" spans="1:1030" x14ac:dyDescent="0.35">
      <c r="A76" s="46">
        <v>150</v>
      </c>
      <c r="B76" s="240" t="s">
        <v>84</v>
      </c>
      <c r="C76" s="364">
        <v>561.52951388888903</v>
      </c>
      <c r="D76" s="365">
        <v>9.0687586082470496E-3</v>
      </c>
      <c r="E76" s="191">
        <v>0.94799999999999995</v>
      </c>
      <c r="F76" s="191">
        <v>0.89900000000000002</v>
      </c>
      <c r="G76" s="191">
        <v>0.84899999999999998</v>
      </c>
      <c r="H76" s="191">
        <v>0.79900000000000004</v>
      </c>
      <c r="I76" s="191">
        <v>0.75600000000000001</v>
      </c>
      <c r="J76" s="191">
        <v>0.70299999999999996</v>
      </c>
      <c r="K76" s="361">
        <v>8.5971831606182023E-3</v>
      </c>
      <c r="L76" s="362">
        <v>8.1528139888140984E-3</v>
      </c>
      <c r="M76" s="362">
        <v>7.6993760584017452E-3</v>
      </c>
      <c r="N76" s="362">
        <v>7.2459381279893929E-3</v>
      </c>
      <c r="O76" s="362">
        <v>6.8559815078347696E-3</v>
      </c>
      <c r="P76" s="363">
        <v>6.3753373015976757E-3</v>
      </c>
      <c r="Q76" s="273">
        <v>739.31760396239076</v>
      </c>
      <c r="R76" s="273">
        <v>699.97270013507921</v>
      </c>
      <c r="S76" s="273">
        <v>660.82353426113389</v>
      </c>
      <c r="T76" s="273">
        <v>604.53806947768658</v>
      </c>
      <c r="U76" s="273">
        <v>573.51632040243851</v>
      </c>
      <c r="V76" s="273">
        <f t="shared" si="54"/>
        <v>532.32997916666682</v>
      </c>
      <c r="W76" s="273">
        <f t="shared" si="55"/>
        <v>504.81503298611125</v>
      </c>
      <c r="X76" s="273">
        <f t="shared" si="56"/>
        <v>476.73855729166678</v>
      </c>
      <c r="Y76" s="273">
        <f t="shared" si="57"/>
        <v>448.66208159722237</v>
      </c>
      <c r="Z76" s="273">
        <f t="shared" si="58"/>
        <v>424.51631250000008</v>
      </c>
      <c r="AA76" s="273">
        <f t="shared" si="59"/>
        <v>394.75524826388897</v>
      </c>
      <c r="AB76" s="100">
        <v>150</v>
      </c>
      <c r="AC76" s="101" t="s">
        <v>84</v>
      </c>
      <c r="AD76" s="159"/>
      <c r="AE76" s="159"/>
      <c r="AF76" s="164"/>
      <c r="AG76" s="164"/>
      <c r="AH76" s="164"/>
      <c r="AI76" s="159">
        <f t="shared" si="60"/>
        <v>16184407.945251165</v>
      </c>
      <c r="AJ76" s="159">
        <f t="shared" si="49"/>
        <v>15519997.459644778</v>
      </c>
      <c r="AK76" s="159">
        <f t="shared" si="50"/>
        <v>14945689.985184697</v>
      </c>
      <c r="AL76" s="159">
        <f t="shared" si="51"/>
        <v>14450387.928497111</v>
      </c>
      <c r="AM76" s="159">
        <f t="shared" si="52"/>
        <v>14082601.977863636</v>
      </c>
      <c r="AN76" s="159">
        <f t="shared" si="53"/>
        <v>13511994.470807858</v>
      </c>
    </row>
    <row r="77" spans="1:1030" x14ac:dyDescent="0.35">
      <c r="A77" s="46">
        <v>384</v>
      </c>
      <c r="B77" s="240" t="s">
        <v>85</v>
      </c>
      <c r="C77" s="364">
        <v>56.057870370370402</v>
      </c>
      <c r="D77" s="365">
        <v>9.0534029273105503E-4</v>
      </c>
      <c r="E77" s="191">
        <v>0.94399999999999995</v>
      </c>
      <c r="F77" s="191">
        <v>0.90300000000000002</v>
      </c>
      <c r="G77" s="191">
        <v>0.84799999999999998</v>
      </c>
      <c r="H77" s="191">
        <v>0.8</v>
      </c>
      <c r="I77" s="191">
        <v>0.72299999999999998</v>
      </c>
      <c r="J77" s="191">
        <v>0.66</v>
      </c>
      <c r="K77" s="361">
        <v>8.5464123633811591E-4</v>
      </c>
      <c r="L77" s="362">
        <v>8.1752228433614274E-4</v>
      </c>
      <c r="M77" s="362">
        <v>7.6772856823593462E-4</v>
      </c>
      <c r="N77" s="362">
        <v>7.2427223418484402E-4</v>
      </c>
      <c r="O77" s="362">
        <v>6.5456103164455277E-4</v>
      </c>
      <c r="P77" s="363">
        <v>5.9752459320249634E-4</v>
      </c>
      <c r="Q77" s="273">
        <v>77.7083333333333</v>
      </c>
      <c r="R77" s="273">
        <v>74.7083333333333</v>
      </c>
      <c r="S77" s="273">
        <v>67.213197276869579</v>
      </c>
      <c r="T77" s="273">
        <v>64.482963618271555</v>
      </c>
      <c r="U77" s="273">
        <v>61.315423448917542</v>
      </c>
      <c r="V77" s="273">
        <f t="shared" si="54"/>
        <v>52.918629629629656</v>
      </c>
      <c r="W77" s="273">
        <f t="shared" si="55"/>
        <v>50.620256944444478</v>
      </c>
      <c r="X77" s="273">
        <f t="shared" si="56"/>
        <v>47.537074074074098</v>
      </c>
      <c r="Y77" s="273">
        <f t="shared" si="57"/>
        <v>44.846296296296323</v>
      </c>
      <c r="Z77" s="273">
        <f t="shared" si="58"/>
        <v>40.529840277777801</v>
      </c>
      <c r="AA77" s="273">
        <f t="shared" si="59"/>
        <v>36.998194444444465</v>
      </c>
      <c r="AB77" s="100">
        <v>384</v>
      </c>
      <c r="AC77" s="101" t="s">
        <v>85</v>
      </c>
      <c r="AD77" s="159"/>
      <c r="AE77" s="159"/>
      <c r="AF77" s="164"/>
      <c r="AG77" s="164"/>
      <c r="AH77" s="164"/>
      <c r="AI77" s="159">
        <f t="shared" si="60"/>
        <v>1608883.0675482857</v>
      </c>
      <c r="AJ77" s="159">
        <f t="shared" si="49"/>
        <v>1556265.5781805112</v>
      </c>
      <c r="AK77" s="159">
        <f t="shared" si="50"/>
        <v>1490280.9119322123</v>
      </c>
      <c r="AL77" s="159">
        <f t="shared" si="51"/>
        <v>1444397.47689571</v>
      </c>
      <c r="AM77" s="159">
        <f t="shared" si="52"/>
        <v>1344508.0720150908</v>
      </c>
      <c r="AN77" s="159">
        <f t="shared" si="53"/>
        <v>1266403.4258235313</v>
      </c>
    </row>
    <row r="78" spans="1:1030" s="470" customFormat="1" x14ac:dyDescent="0.35">
      <c r="A78" s="46">
        <v>1980</v>
      </c>
      <c r="B78" s="240" t="s">
        <v>1303</v>
      </c>
      <c r="C78" s="364">
        <v>168.66435185185199</v>
      </c>
      <c r="D78" s="365">
        <v>2.7239463909345864E-3</v>
      </c>
      <c r="E78" s="191">
        <v>0.97099999999999997</v>
      </c>
      <c r="F78" s="191">
        <v>0.92600000000000005</v>
      </c>
      <c r="G78" s="191">
        <v>0.90300000000000002</v>
      </c>
      <c r="H78" s="191">
        <v>0.84499999999999997</v>
      </c>
      <c r="I78" s="191">
        <v>0.81100000000000005</v>
      </c>
      <c r="J78" s="191">
        <v>0.745</v>
      </c>
      <c r="K78" s="449">
        <v>2.6449519455974835E-3</v>
      </c>
      <c r="L78" s="450">
        <v>2.5223743580054274E-3</v>
      </c>
      <c r="M78" s="450">
        <v>2.4597235910139318E-3</v>
      </c>
      <c r="N78" s="450">
        <v>2.3017347003397256E-3</v>
      </c>
      <c r="O78" s="450">
        <v>2.2091205230479498E-3</v>
      </c>
      <c r="P78" s="451">
        <v>2.0293400612462669E-3</v>
      </c>
      <c r="Q78" s="273">
        <f>+Q388+Q389</f>
        <v>215.36693824800312</v>
      </c>
      <c r="R78" s="273">
        <f t="shared" ref="R78:T78" si="61">+R388+R389</f>
        <v>208.70715244683092</v>
      </c>
      <c r="S78" s="273">
        <f t="shared" si="61"/>
        <v>201.54414459287182</v>
      </c>
      <c r="T78" s="273">
        <f t="shared" si="61"/>
        <v>185.08062988496866</v>
      </c>
      <c r="U78" s="273">
        <v>172.89296663124273</v>
      </c>
      <c r="V78" s="273">
        <f t="shared" ref="V78" si="62">+E78*C78</f>
        <v>163.77308564814828</v>
      </c>
      <c r="W78" s="273">
        <f t="shared" ref="W78" si="63">+F78*$C78</f>
        <v>156.18318981481494</v>
      </c>
      <c r="X78" s="273">
        <f t="shared" ref="X78" si="64">+G78*$C78</f>
        <v>152.30390972222236</v>
      </c>
      <c r="Y78" s="273">
        <f t="shared" ref="Y78" si="65">+H78*$C78</f>
        <v>142.52137731481491</v>
      </c>
      <c r="Z78" s="273">
        <f t="shared" ref="Z78" si="66">+I78*$C78</f>
        <v>136.78678935185198</v>
      </c>
      <c r="AA78" s="273">
        <f t="shared" ref="AA78" si="67">+J78*$C78</f>
        <v>125.65494212962973</v>
      </c>
      <c r="AB78" s="100">
        <v>1980</v>
      </c>
      <c r="AC78" s="101" t="s">
        <v>1303</v>
      </c>
      <c r="AD78" s="159"/>
      <c r="AE78" s="159"/>
      <c r="AF78" s="164"/>
      <c r="AG78" s="164"/>
      <c r="AH78" s="164"/>
      <c r="AI78" s="159">
        <f t="shared" si="60"/>
        <v>4979186.8433401259</v>
      </c>
      <c r="AJ78" s="159">
        <f t="shared" si="49"/>
        <v>4801684.8761947136</v>
      </c>
      <c r="AK78" s="159">
        <f t="shared" si="50"/>
        <v>4774707.1920748157</v>
      </c>
      <c r="AL78" s="159">
        <f t="shared" si="51"/>
        <v>4590290.275859884</v>
      </c>
      <c r="AM78" s="159">
        <f t="shared" si="52"/>
        <v>4537667.5843805335</v>
      </c>
      <c r="AN78" s="159">
        <f t="shared" si="53"/>
        <v>4301016.6191641046</v>
      </c>
      <c r="AO78" s="460"/>
      <c r="AP78" s="460"/>
      <c r="AQ78" s="460"/>
      <c r="AR78" s="460"/>
      <c r="AS78" s="460"/>
      <c r="AT78" s="460"/>
      <c r="AU78" s="460"/>
      <c r="AV78" s="460"/>
      <c r="AW78" s="460"/>
      <c r="AX78" s="460"/>
      <c r="AY78" s="460"/>
      <c r="AZ78" s="460"/>
      <c r="BA78" s="460"/>
      <c r="BB78" s="460"/>
      <c r="BC78" s="460"/>
      <c r="BD78" s="460"/>
      <c r="BE78" s="460"/>
      <c r="BF78" s="460"/>
      <c r="BG78" s="460"/>
      <c r="BH78" s="460"/>
      <c r="BI78" s="460"/>
      <c r="BJ78" s="460"/>
      <c r="BK78" s="460"/>
      <c r="BL78" s="460"/>
      <c r="BM78" s="460"/>
      <c r="BN78" s="460"/>
      <c r="BO78" s="460"/>
      <c r="BP78" s="460"/>
      <c r="BQ78" s="460"/>
      <c r="BR78" s="460"/>
      <c r="BS78" s="460"/>
      <c r="BT78" s="460"/>
      <c r="BU78" s="460"/>
      <c r="BV78" s="460"/>
      <c r="BW78" s="460"/>
      <c r="BX78" s="460"/>
      <c r="BY78" s="460"/>
      <c r="BZ78" s="460"/>
      <c r="CA78" s="460"/>
      <c r="CB78" s="460"/>
      <c r="CC78" s="460"/>
      <c r="CD78" s="460"/>
      <c r="CE78" s="460"/>
      <c r="CF78" s="460"/>
      <c r="CG78" s="460"/>
      <c r="CH78" s="460"/>
      <c r="CI78" s="460"/>
      <c r="CJ78" s="460"/>
      <c r="CK78" s="460"/>
      <c r="CL78" s="460"/>
      <c r="CM78" s="460"/>
      <c r="CN78" s="460"/>
      <c r="CO78" s="460"/>
      <c r="CP78" s="460"/>
      <c r="CQ78" s="460"/>
      <c r="CR78" s="460"/>
      <c r="CS78" s="460"/>
      <c r="CT78" s="460"/>
      <c r="CU78" s="460"/>
      <c r="CV78" s="460"/>
      <c r="CW78" s="460"/>
      <c r="CX78" s="460"/>
      <c r="CY78" s="460"/>
      <c r="CZ78" s="460"/>
      <c r="DA78" s="460"/>
      <c r="DB78" s="460"/>
      <c r="DC78" s="460"/>
      <c r="DD78" s="460"/>
      <c r="DE78" s="460"/>
      <c r="DF78" s="460"/>
      <c r="DG78" s="460"/>
      <c r="DH78" s="460"/>
      <c r="DI78" s="460"/>
      <c r="DJ78" s="460"/>
      <c r="DK78" s="460"/>
      <c r="DL78" s="460"/>
      <c r="DM78" s="460"/>
      <c r="DN78" s="460"/>
      <c r="DO78" s="460"/>
      <c r="DP78" s="460"/>
      <c r="DQ78" s="460"/>
      <c r="DR78" s="460"/>
      <c r="DS78" s="460"/>
      <c r="DT78" s="460"/>
      <c r="DU78" s="460"/>
      <c r="DV78" s="460"/>
      <c r="DW78" s="460"/>
      <c r="DX78" s="460"/>
      <c r="DY78" s="460"/>
      <c r="DZ78" s="460"/>
      <c r="EA78" s="460"/>
      <c r="EB78" s="460"/>
      <c r="EC78" s="460"/>
      <c r="ED78" s="460"/>
      <c r="EE78" s="460"/>
      <c r="EF78" s="460"/>
      <c r="EG78" s="460"/>
      <c r="EH78" s="460"/>
      <c r="EI78" s="460"/>
      <c r="EJ78" s="460"/>
      <c r="EK78" s="460"/>
      <c r="EL78" s="460"/>
      <c r="EM78" s="460"/>
      <c r="EN78" s="460"/>
      <c r="EO78" s="460"/>
      <c r="EP78" s="460"/>
      <c r="EQ78" s="460"/>
      <c r="ER78" s="460"/>
      <c r="ES78" s="460"/>
      <c r="ET78" s="460"/>
      <c r="EU78" s="460"/>
      <c r="EV78" s="460"/>
      <c r="EW78" s="460"/>
      <c r="EX78" s="460"/>
      <c r="EY78" s="460"/>
      <c r="EZ78" s="460"/>
      <c r="FA78" s="460"/>
      <c r="FB78" s="460"/>
      <c r="FC78" s="460"/>
      <c r="FD78" s="460"/>
      <c r="FE78" s="460"/>
      <c r="FF78" s="460"/>
      <c r="FG78" s="460"/>
      <c r="FH78" s="460"/>
      <c r="FI78" s="460"/>
      <c r="FJ78" s="460"/>
      <c r="FK78" s="460"/>
      <c r="FL78" s="460"/>
      <c r="FM78" s="460"/>
      <c r="FN78" s="460"/>
      <c r="FO78" s="460"/>
      <c r="FP78" s="460"/>
      <c r="FQ78" s="460"/>
      <c r="FR78" s="460"/>
      <c r="FS78" s="460"/>
      <c r="FT78" s="460"/>
      <c r="FU78" s="460"/>
      <c r="FV78" s="460"/>
      <c r="FW78" s="460"/>
      <c r="FX78" s="460"/>
      <c r="FY78" s="460"/>
      <c r="FZ78" s="460"/>
      <c r="GA78" s="460"/>
      <c r="GB78" s="460"/>
      <c r="GC78" s="460"/>
      <c r="GD78" s="460"/>
      <c r="GE78" s="460"/>
      <c r="GF78" s="460"/>
      <c r="GG78" s="460"/>
      <c r="GH78" s="460"/>
      <c r="GI78" s="460"/>
      <c r="GJ78" s="460"/>
      <c r="GK78" s="460"/>
      <c r="GL78" s="460"/>
      <c r="GM78" s="460"/>
      <c r="GN78" s="460"/>
      <c r="GO78" s="460"/>
      <c r="GP78" s="460"/>
      <c r="GQ78" s="460"/>
      <c r="GR78" s="460"/>
      <c r="GS78" s="460"/>
      <c r="GT78" s="460"/>
      <c r="GU78" s="460"/>
      <c r="GV78" s="460"/>
      <c r="GW78" s="460"/>
      <c r="GX78" s="460"/>
      <c r="GY78" s="460"/>
      <c r="GZ78" s="460"/>
      <c r="HA78" s="460"/>
      <c r="HB78" s="460"/>
      <c r="HC78" s="460"/>
      <c r="HD78" s="460"/>
      <c r="HE78" s="460"/>
      <c r="HF78" s="460"/>
      <c r="HG78" s="460"/>
      <c r="HH78" s="460"/>
      <c r="HI78" s="460"/>
      <c r="HJ78" s="460"/>
      <c r="HK78" s="460"/>
      <c r="HL78" s="460"/>
      <c r="HM78" s="460"/>
      <c r="HN78" s="460"/>
      <c r="HO78" s="460"/>
      <c r="HP78" s="460"/>
      <c r="HQ78" s="460"/>
      <c r="HR78" s="460"/>
      <c r="HS78" s="460"/>
      <c r="HT78" s="460"/>
      <c r="HU78" s="460"/>
      <c r="HV78" s="460"/>
      <c r="HW78" s="460"/>
      <c r="HX78" s="460"/>
      <c r="HY78" s="460"/>
      <c r="HZ78" s="460"/>
      <c r="IA78" s="460"/>
      <c r="IB78" s="460"/>
      <c r="IC78" s="460"/>
      <c r="ID78" s="460"/>
      <c r="IE78" s="460"/>
      <c r="IF78" s="460"/>
      <c r="IG78" s="460"/>
      <c r="IH78" s="460"/>
      <c r="II78" s="460"/>
      <c r="IJ78" s="460"/>
      <c r="IK78" s="460"/>
      <c r="IL78" s="460"/>
      <c r="IM78" s="460"/>
      <c r="IN78" s="460"/>
      <c r="IO78" s="460"/>
      <c r="IP78" s="460"/>
      <c r="IQ78" s="460"/>
      <c r="IR78" s="460"/>
      <c r="IS78" s="460"/>
      <c r="IT78" s="460"/>
      <c r="IU78" s="460"/>
      <c r="IV78" s="460"/>
      <c r="IW78" s="460"/>
      <c r="IX78" s="460"/>
      <c r="IY78" s="460"/>
      <c r="IZ78" s="460"/>
      <c r="JA78" s="460"/>
      <c r="JB78" s="460"/>
      <c r="JC78" s="460"/>
      <c r="JD78" s="460"/>
      <c r="JE78" s="460"/>
      <c r="JF78" s="460"/>
      <c r="JG78" s="460"/>
      <c r="JH78" s="460"/>
      <c r="JI78" s="460"/>
      <c r="JJ78" s="460"/>
      <c r="JK78" s="460"/>
      <c r="JL78" s="460"/>
      <c r="JM78" s="460"/>
      <c r="JN78" s="460"/>
      <c r="JO78" s="460"/>
      <c r="JP78" s="460"/>
      <c r="JQ78" s="460"/>
      <c r="JR78" s="460"/>
      <c r="JS78" s="460"/>
      <c r="JT78" s="460"/>
      <c r="JU78" s="460"/>
      <c r="JV78" s="460"/>
      <c r="JW78" s="460"/>
      <c r="JX78" s="460"/>
      <c r="JY78" s="460"/>
      <c r="JZ78" s="460"/>
      <c r="KA78" s="460"/>
      <c r="KB78" s="460"/>
      <c r="KC78" s="460"/>
      <c r="KD78" s="460"/>
      <c r="KE78" s="460"/>
      <c r="KF78" s="460"/>
      <c r="KG78" s="460"/>
      <c r="KH78" s="460"/>
      <c r="KI78" s="460"/>
      <c r="KJ78" s="460"/>
      <c r="KK78" s="460"/>
      <c r="KL78" s="460"/>
      <c r="KM78" s="460"/>
      <c r="KN78" s="460"/>
      <c r="KO78" s="460"/>
      <c r="KP78" s="460"/>
      <c r="KQ78" s="460"/>
      <c r="KR78" s="460"/>
      <c r="KS78" s="460"/>
      <c r="KT78" s="460"/>
      <c r="KU78" s="460"/>
      <c r="KV78" s="460"/>
      <c r="KW78" s="460"/>
      <c r="KX78" s="460"/>
      <c r="KY78" s="460"/>
      <c r="KZ78" s="460"/>
      <c r="LA78" s="460"/>
      <c r="LB78" s="460"/>
      <c r="LC78" s="460"/>
      <c r="LD78" s="460"/>
      <c r="LE78" s="460"/>
      <c r="LF78" s="460"/>
      <c r="LG78" s="460"/>
      <c r="LH78" s="460"/>
      <c r="LI78" s="460"/>
      <c r="LJ78" s="460"/>
      <c r="LK78" s="460"/>
      <c r="LL78" s="460"/>
      <c r="LM78" s="460"/>
      <c r="LN78" s="460"/>
      <c r="LO78" s="460"/>
      <c r="LP78" s="460"/>
      <c r="LQ78" s="460"/>
      <c r="LR78" s="460"/>
      <c r="LS78" s="460"/>
      <c r="LT78" s="460"/>
      <c r="LU78" s="460"/>
      <c r="LV78" s="460"/>
      <c r="LW78" s="460"/>
      <c r="LX78" s="460"/>
      <c r="LY78" s="460"/>
      <c r="LZ78" s="460"/>
      <c r="MA78" s="460"/>
      <c r="MB78" s="460"/>
      <c r="MC78" s="460"/>
      <c r="MD78" s="460"/>
      <c r="ME78" s="460"/>
      <c r="MF78" s="460"/>
      <c r="MG78" s="460"/>
      <c r="MH78" s="460"/>
      <c r="MI78" s="460"/>
      <c r="MJ78" s="460"/>
      <c r="MK78" s="460"/>
      <c r="ML78" s="460"/>
      <c r="MM78" s="460"/>
      <c r="MN78" s="460"/>
      <c r="MO78" s="460"/>
      <c r="MP78" s="460"/>
      <c r="MQ78" s="460"/>
      <c r="MR78" s="460"/>
      <c r="MS78" s="460"/>
      <c r="MT78" s="460"/>
      <c r="MU78" s="460"/>
      <c r="MV78" s="460"/>
      <c r="MW78" s="460"/>
      <c r="MX78" s="460"/>
      <c r="MY78" s="460"/>
      <c r="MZ78" s="460"/>
      <c r="NA78" s="460"/>
      <c r="NB78" s="460"/>
      <c r="NC78" s="460"/>
      <c r="ND78" s="460"/>
      <c r="NE78" s="460"/>
      <c r="NF78" s="460"/>
      <c r="NG78" s="460"/>
      <c r="NH78" s="460"/>
      <c r="NI78" s="460"/>
      <c r="NJ78" s="460"/>
      <c r="NK78" s="460"/>
      <c r="NL78" s="460"/>
      <c r="NM78" s="460"/>
      <c r="NN78" s="460"/>
      <c r="NO78" s="460"/>
      <c r="NP78" s="460"/>
      <c r="NQ78" s="460"/>
      <c r="NR78" s="460"/>
      <c r="NS78" s="460"/>
      <c r="NT78" s="460"/>
      <c r="NU78" s="460"/>
      <c r="NV78" s="460"/>
      <c r="NW78" s="460"/>
      <c r="NX78" s="460"/>
      <c r="NY78" s="460"/>
      <c r="NZ78" s="460"/>
      <c r="OA78" s="460"/>
      <c r="OB78" s="460"/>
      <c r="OC78" s="460"/>
      <c r="OD78" s="460"/>
      <c r="OE78" s="460"/>
      <c r="OF78" s="460"/>
      <c r="OG78" s="460"/>
      <c r="OH78" s="460"/>
      <c r="OI78" s="460"/>
      <c r="OJ78" s="460"/>
      <c r="OK78" s="460"/>
      <c r="OL78" s="460"/>
      <c r="OM78" s="460"/>
      <c r="ON78" s="460"/>
      <c r="OO78" s="460"/>
      <c r="OP78" s="460"/>
      <c r="OQ78" s="460"/>
      <c r="OR78" s="460"/>
      <c r="OS78" s="460"/>
      <c r="OT78" s="460"/>
      <c r="OU78" s="460"/>
      <c r="OV78" s="460"/>
      <c r="OW78" s="460"/>
      <c r="OX78" s="460"/>
      <c r="OY78" s="460"/>
      <c r="OZ78" s="460"/>
      <c r="PA78" s="460"/>
      <c r="PB78" s="460"/>
      <c r="PC78" s="460"/>
      <c r="PD78" s="460"/>
      <c r="PE78" s="460"/>
      <c r="PF78" s="460"/>
      <c r="PG78" s="460"/>
      <c r="PH78" s="460"/>
      <c r="PI78" s="460"/>
      <c r="PJ78" s="460"/>
      <c r="PK78" s="460"/>
      <c r="PL78" s="460"/>
      <c r="PM78" s="460"/>
      <c r="PN78" s="460"/>
      <c r="PO78" s="460"/>
      <c r="PP78" s="460"/>
      <c r="PQ78" s="460"/>
      <c r="PR78" s="460"/>
      <c r="PS78" s="460"/>
      <c r="PT78" s="460"/>
      <c r="PU78" s="460"/>
      <c r="PV78" s="460"/>
      <c r="PW78" s="460"/>
      <c r="PX78" s="460"/>
      <c r="PY78" s="460"/>
      <c r="PZ78" s="460"/>
      <c r="QA78" s="460"/>
      <c r="QB78" s="460"/>
      <c r="QC78" s="460"/>
      <c r="QD78" s="460"/>
      <c r="QE78" s="460"/>
      <c r="QF78" s="460"/>
      <c r="QG78" s="460"/>
      <c r="QH78" s="460"/>
      <c r="QI78" s="460"/>
      <c r="QJ78" s="460"/>
      <c r="QK78" s="460"/>
      <c r="QL78" s="460"/>
      <c r="QM78" s="460"/>
      <c r="QN78" s="460"/>
      <c r="QO78" s="460"/>
      <c r="QP78" s="460"/>
      <c r="QQ78" s="460"/>
      <c r="QR78" s="460"/>
      <c r="QS78" s="460"/>
      <c r="QT78" s="460"/>
      <c r="QU78" s="460"/>
      <c r="QV78" s="460"/>
      <c r="QW78" s="460"/>
      <c r="QX78" s="460"/>
      <c r="QY78" s="460"/>
      <c r="QZ78" s="460"/>
      <c r="RA78" s="460"/>
      <c r="RB78" s="460"/>
      <c r="RC78" s="460"/>
      <c r="RD78" s="460"/>
      <c r="RE78" s="460"/>
      <c r="RF78" s="460"/>
      <c r="RG78" s="460"/>
      <c r="RH78" s="460"/>
      <c r="RI78" s="460"/>
      <c r="RJ78" s="460"/>
      <c r="RK78" s="460"/>
      <c r="RL78" s="460"/>
      <c r="RM78" s="460"/>
      <c r="RN78" s="460"/>
      <c r="RO78" s="460"/>
      <c r="RP78" s="460"/>
      <c r="RQ78" s="460"/>
      <c r="RR78" s="460"/>
      <c r="RS78" s="460"/>
      <c r="RT78" s="460"/>
      <c r="RU78" s="460"/>
      <c r="RV78" s="460"/>
      <c r="RW78" s="460"/>
      <c r="RX78" s="460"/>
      <c r="RY78" s="460"/>
      <c r="RZ78" s="460"/>
      <c r="SA78" s="460"/>
      <c r="SB78" s="460"/>
      <c r="SC78" s="460"/>
      <c r="SD78" s="460"/>
      <c r="SE78" s="460"/>
      <c r="SF78" s="460"/>
      <c r="SG78" s="460"/>
      <c r="SH78" s="460"/>
      <c r="SI78" s="460"/>
      <c r="SJ78" s="460"/>
      <c r="SK78" s="460"/>
      <c r="SL78" s="460"/>
      <c r="SM78" s="460"/>
      <c r="SN78" s="460"/>
      <c r="SO78" s="460"/>
      <c r="SP78" s="460"/>
      <c r="SQ78" s="460"/>
      <c r="SR78" s="460"/>
      <c r="SS78" s="460"/>
      <c r="ST78" s="460"/>
      <c r="SU78" s="460"/>
      <c r="SV78" s="460"/>
      <c r="SW78" s="460"/>
      <c r="SX78" s="460"/>
      <c r="SY78" s="460"/>
      <c r="SZ78" s="460"/>
      <c r="TA78" s="460"/>
      <c r="TB78" s="460"/>
      <c r="TC78" s="460"/>
      <c r="TD78" s="460"/>
      <c r="TE78" s="460"/>
      <c r="TF78" s="460"/>
      <c r="TG78" s="460"/>
      <c r="TH78" s="460"/>
      <c r="TI78" s="460"/>
      <c r="TJ78" s="460"/>
      <c r="TK78" s="460"/>
      <c r="TL78" s="460"/>
      <c r="TM78" s="460"/>
      <c r="TN78" s="460"/>
      <c r="TO78" s="460"/>
      <c r="TP78" s="460"/>
      <c r="TQ78" s="460"/>
      <c r="TR78" s="460"/>
      <c r="TS78" s="460"/>
      <c r="TT78" s="460"/>
      <c r="TU78" s="460"/>
      <c r="TV78" s="460"/>
      <c r="TW78" s="460"/>
      <c r="TX78" s="460"/>
      <c r="TY78" s="460"/>
      <c r="TZ78" s="460"/>
      <c r="UA78" s="460"/>
      <c r="UB78" s="460"/>
      <c r="UC78" s="460"/>
      <c r="UD78" s="460"/>
      <c r="UE78" s="460"/>
      <c r="UF78" s="460"/>
      <c r="UG78" s="460"/>
      <c r="UH78" s="460"/>
      <c r="UI78" s="460"/>
      <c r="UJ78" s="460"/>
      <c r="UK78" s="460"/>
      <c r="UL78" s="460"/>
      <c r="UM78" s="460"/>
      <c r="UN78" s="460"/>
      <c r="UO78" s="460"/>
      <c r="UP78" s="460"/>
      <c r="UQ78" s="460"/>
      <c r="UR78" s="460"/>
      <c r="US78" s="460"/>
      <c r="UT78" s="460"/>
      <c r="UU78" s="460"/>
      <c r="UV78" s="460"/>
      <c r="UW78" s="460"/>
      <c r="UX78" s="460"/>
      <c r="UY78" s="460"/>
      <c r="UZ78" s="460"/>
      <c r="VA78" s="460"/>
      <c r="VB78" s="460"/>
      <c r="VC78" s="460"/>
      <c r="VD78" s="460"/>
      <c r="VE78" s="460"/>
      <c r="VF78" s="460"/>
      <c r="VG78" s="460"/>
      <c r="VH78" s="460"/>
      <c r="VI78" s="460"/>
      <c r="VJ78" s="460"/>
      <c r="VK78" s="460"/>
      <c r="VL78" s="460"/>
      <c r="VM78" s="460"/>
      <c r="VN78" s="460"/>
      <c r="VO78" s="460"/>
      <c r="VP78" s="460"/>
      <c r="VQ78" s="460"/>
      <c r="VR78" s="460"/>
      <c r="VS78" s="460"/>
      <c r="VT78" s="460"/>
      <c r="VU78" s="460"/>
      <c r="VV78" s="460"/>
      <c r="VW78" s="460"/>
      <c r="VX78" s="460"/>
      <c r="VY78" s="460"/>
      <c r="VZ78" s="460"/>
      <c r="WA78" s="460"/>
      <c r="WB78" s="460"/>
      <c r="WC78" s="460"/>
      <c r="WD78" s="460"/>
      <c r="WE78" s="460"/>
      <c r="WF78" s="460"/>
      <c r="WG78" s="460"/>
      <c r="WH78" s="460"/>
      <c r="WI78" s="460"/>
      <c r="WJ78" s="460"/>
      <c r="WK78" s="460"/>
      <c r="WL78" s="460"/>
      <c r="WM78" s="460"/>
      <c r="WN78" s="460"/>
      <c r="WO78" s="460"/>
      <c r="WP78" s="460"/>
      <c r="WQ78" s="460"/>
      <c r="WR78" s="460"/>
      <c r="WS78" s="460"/>
      <c r="WT78" s="460"/>
      <c r="WU78" s="460"/>
      <c r="WV78" s="460"/>
      <c r="WW78" s="460"/>
      <c r="WX78" s="460"/>
      <c r="WY78" s="460"/>
      <c r="WZ78" s="460"/>
      <c r="XA78" s="460"/>
      <c r="XB78" s="460"/>
      <c r="XC78" s="460"/>
      <c r="XD78" s="460"/>
      <c r="XE78" s="460"/>
      <c r="XF78" s="460"/>
      <c r="XG78" s="460"/>
      <c r="XH78" s="460"/>
      <c r="XI78" s="460"/>
      <c r="XJ78" s="460"/>
      <c r="XK78" s="460"/>
      <c r="XL78" s="460"/>
      <c r="XM78" s="460"/>
      <c r="XN78" s="460"/>
      <c r="XO78" s="460"/>
      <c r="XP78" s="460"/>
      <c r="XQ78" s="460"/>
      <c r="XR78" s="460"/>
      <c r="XS78" s="460"/>
      <c r="XT78" s="460"/>
      <c r="XU78" s="460"/>
      <c r="XV78" s="460"/>
      <c r="XW78" s="460"/>
      <c r="XX78" s="460"/>
      <c r="XY78" s="460"/>
      <c r="XZ78" s="460"/>
      <c r="YA78" s="460"/>
      <c r="YB78" s="460"/>
      <c r="YC78" s="460"/>
      <c r="YD78" s="460"/>
      <c r="YE78" s="460"/>
      <c r="YF78" s="460"/>
      <c r="YG78" s="460"/>
      <c r="YH78" s="460"/>
      <c r="YI78" s="460"/>
      <c r="YJ78" s="460"/>
      <c r="YK78" s="460"/>
      <c r="YL78" s="460"/>
      <c r="YM78" s="460"/>
      <c r="YN78" s="460"/>
      <c r="YO78" s="460"/>
      <c r="YP78" s="460"/>
      <c r="YQ78" s="460"/>
      <c r="YR78" s="460"/>
      <c r="YS78" s="460"/>
      <c r="YT78" s="460"/>
      <c r="YU78" s="460"/>
      <c r="YV78" s="460"/>
      <c r="YW78" s="460"/>
      <c r="YX78" s="460"/>
      <c r="YY78" s="460"/>
      <c r="YZ78" s="460"/>
      <c r="ZA78" s="460"/>
      <c r="ZB78" s="460"/>
      <c r="ZC78" s="460"/>
      <c r="ZD78" s="460"/>
      <c r="ZE78" s="460"/>
      <c r="ZF78" s="460"/>
      <c r="ZG78" s="460"/>
      <c r="ZH78" s="460"/>
      <c r="ZI78" s="460"/>
      <c r="ZJ78" s="460"/>
      <c r="ZK78" s="460"/>
      <c r="ZL78" s="460"/>
      <c r="ZM78" s="460"/>
      <c r="ZN78" s="460"/>
      <c r="ZO78" s="460"/>
      <c r="ZP78" s="460"/>
      <c r="ZQ78" s="460"/>
      <c r="ZR78" s="460"/>
      <c r="ZS78" s="460"/>
      <c r="ZT78" s="460"/>
      <c r="ZU78" s="460"/>
      <c r="ZV78" s="460"/>
      <c r="ZW78" s="460"/>
      <c r="ZX78" s="460"/>
      <c r="ZY78" s="460"/>
      <c r="ZZ78" s="460"/>
      <c r="AAA78" s="460"/>
      <c r="AAB78" s="460"/>
      <c r="AAC78" s="460"/>
      <c r="AAD78" s="460"/>
      <c r="AAE78" s="460"/>
      <c r="AAF78" s="460"/>
      <c r="AAG78" s="460"/>
      <c r="AAH78" s="460"/>
      <c r="AAI78" s="460"/>
      <c r="AAJ78" s="460"/>
      <c r="AAK78" s="460"/>
      <c r="AAL78" s="460"/>
      <c r="AAM78" s="460"/>
      <c r="AAN78" s="460"/>
      <c r="AAO78" s="460"/>
      <c r="AAP78" s="460"/>
      <c r="AAQ78" s="460"/>
      <c r="AAR78" s="460"/>
      <c r="AAS78" s="460"/>
      <c r="AAT78" s="460"/>
      <c r="AAU78" s="460"/>
      <c r="AAV78" s="460"/>
      <c r="AAW78" s="460"/>
      <c r="AAX78" s="460"/>
      <c r="AAY78" s="460"/>
      <c r="AAZ78" s="460"/>
      <c r="ABA78" s="460"/>
      <c r="ABB78" s="460"/>
      <c r="ABC78" s="460"/>
      <c r="ABD78" s="460"/>
      <c r="ABE78" s="460"/>
      <c r="ABF78" s="460"/>
      <c r="ABG78" s="460"/>
      <c r="ABH78" s="460"/>
      <c r="ABI78" s="460"/>
      <c r="ABJ78" s="460"/>
      <c r="ABK78" s="460"/>
      <c r="ABL78" s="460"/>
      <c r="ABM78" s="460"/>
      <c r="ABN78" s="460"/>
      <c r="ABO78" s="460"/>
      <c r="ABP78" s="460"/>
      <c r="ABQ78" s="460"/>
      <c r="ABR78" s="460"/>
      <c r="ABS78" s="460"/>
      <c r="ABT78" s="460"/>
      <c r="ABU78" s="460"/>
      <c r="ABV78" s="460"/>
      <c r="ABW78" s="460"/>
      <c r="ABX78" s="460"/>
      <c r="ABY78" s="460"/>
      <c r="ABZ78" s="460"/>
      <c r="ACA78" s="460"/>
      <c r="ACB78" s="460"/>
      <c r="ACC78" s="460"/>
      <c r="ACD78" s="460"/>
      <c r="ACE78" s="460"/>
      <c r="ACF78" s="460"/>
      <c r="ACG78" s="460"/>
      <c r="ACH78" s="460"/>
      <c r="ACI78" s="460"/>
      <c r="ACJ78" s="460"/>
      <c r="ACK78" s="460"/>
      <c r="ACL78" s="460"/>
      <c r="ACM78" s="460"/>
      <c r="ACN78" s="460"/>
      <c r="ACO78" s="460"/>
      <c r="ACP78" s="460"/>
      <c r="ACQ78" s="460"/>
      <c r="ACR78" s="460"/>
      <c r="ACS78" s="460"/>
      <c r="ACT78" s="460"/>
      <c r="ACU78" s="460"/>
      <c r="ACV78" s="460"/>
      <c r="ACW78" s="460"/>
      <c r="ACX78" s="460"/>
      <c r="ACY78" s="460"/>
      <c r="ACZ78" s="460"/>
      <c r="ADA78" s="460"/>
      <c r="ADB78" s="460"/>
      <c r="ADC78" s="460"/>
      <c r="ADD78" s="460"/>
      <c r="ADE78" s="460"/>
      <c r="ADF78" s="460"/>
      <c r="ADG78" s="460"/>
      <c r="ADH78" s="460"/>
      <c r="ADI78" s="460"/>
      <c r="ADJ78" s="460"/>
      <c r="ADK78" s="460"/>
      <c r="ADL78" s="460"/>
      <c r="ADM78" s="460"/>
      <c r="ADN78" s="460"/>
      <c r="ADO78" s="460"/>
      <c r="ADP78" s="460"/>
      <c r="ADQ78" s="460"/>
      <c r="ADR78" s="460"/>
      <c r="ADS78" s="460"/>
      <c r="ADT78" s="460"/>
      <c r="ADU78" s="460"/>
      <c r="ADV78" s="460"/>
      <c r="ADW78" s="460"/>
      <c r="ADX78" s="460"/>
      <c r="ADY78" s="460"/>
      <c r="ADZ78" s="460"/>
      <c r="AEA78" s="460"/>
      <c r="AEB78" s="460"/>
      <c r="AEC78" s="460"/>
      <c r="AED78" s="460"/>
      <c r="AEE78" s="460"/>
      <c r="AEF78" s="460"/>
      <c r="AEG78" s="460"/>
      <c r="AEH78" s="460"/>
      <c r="AEI78" s="460"/>
      <c r="AEJ78" s="460"/>
      <c r="AEK78" s="460"/>
      <c r="AEL78" s="460"/>
      <c r="AEM78" s="460"/>
      <c r="AEN78" s="460"/>
      <c r="AEO78" s="460"/>
      <c r="AEP78" s="460"/>
      <c r="AEQ78" s="460"/>
      <c r="AER78" s="460"/>
      <c r="AES78" s="460"/>
      <c r="AET78" s="460"/>
      <c r="AEU78" s="460"/>
      <c r="AEV78" s="460"/>
      <c r="AEW78" s="460"/>
      <c r="AEX78" s="460"/>
      <c r="AEY78" s="460"/>
      <c r="AEZ78" s="460"/>
      <c r="AFA78" s="460"/>
      <c r="AFB78" s="460"/>
      <c r="AFC78" s="460"/>
      <c r="AFD78" s="460"/>
      <c r="AFE78" s="460"/>
      <c r="AFF78" s="460"/>
      <c r="AFG78" s="460"/>
      <c r="AFH78" s="460"/>
      <c r="AFI78" s="460"/>
      <c r="AFJ78" s="460"/>
      <c r="AFK78" s="460"/>
      <c r="AFL78" s="460"/>
      <c r="AFM78" s="460"/>
      <c r="AFN78" s="460"/>
      <c r="AFO78" s="460"/>
      <c r="AFP78" s="460"/>
      <c r="AFQ78" s="460"/>
      <c r="AFR78" s="460"/>
      <c r="AFS78" s="460"/>
      <c r="AFT78" s="460"/>
      <c r="AFU78" s="460"/>
      <c r="AFV78" s="460"/>
      <c r="AFW78" s="460"/>
      <c r="AFX78" s="460"/>
      <c r="AFY78" s="460"/>
      <c r="AFZ78" s="460"/>
      <c r="AGA78" s="460"/>
      <c r="AGB78" s="460"/>
      <c r="AGC78" s="460"/>
      <c r="AGD78" s="460"/>
      <c r="AGE78" s="460"/>
      <c r="AGF78" s="460"/>
      <c r="AGG78" s="460"/>
      <c r="AGH78" s="460"/>
      <c r="AGI78" s="460"/>
      <c r="AGJ78" s="460"/>
      <c r="AGK78" s="460"/>
      <c r="AGL78" s="460"/>
      <c r="AGM78" s="460"/>
      <c r="AGN78" s="460"/>
      <c r="AGO78" s="460"/>
      <c r="AGP78" s="460"/>
      <c r="AGQ78" s="460"/>
      <c r="AGR78" s="460"/>
      <c r="AGS78" s="460"/>
      <c r="AGT78" s="460"/>
      <c r="AGU78" s="460"/>
      <c r="AGV78" s="460"/>
      <c r="AGW78" s="460"/>
      <c r="AGX78" s="460"/>
      <c r="AGY78" s="460"/>
      <c r="AGZ78" s="460"/>
      <c r="AHA78" s="460"/>
      <c r="AHB78" s="460"/>
      <c r="AHC78" s="460"/>
      <c r="AHD78" s="460"/>
      <c r="AHE78" s="460"/>
      <c r="AHF78" s="460"/>
      <c r="AHG78" s="460"/>
      <c r="AHH78" s="460"/>
      <c r="AHI78" s="460"/>
      <c r="AHJ78" s="460"/>
      <c r="AHK78" s="460"/>
      <c r="AHL78" s="460"/>
      <c r="AHM78" s="460"/>
      <c r="AHN78" s="460"/>
      <c r="AHO78" s="460"/>
      <c r="AHP78" s="460"/>
      <c r="AHQ78" s="460"/>
      <c r="AHR78" s="460"/>
      <c r="AHS78" s="460"/>
      <c r="AHT78" s="460"/>
      <c r="AHU78" s="460"/>
      <c r="AHV78" s="460"/>
      <c r="AHW78" s="460"/>
      <c r="AHX78" s="460"/>
      <c r="AHY78" s="460"/>
      <c r="AHZ78" s="460"/>
      <c r="AIA78" s="460"/>
      <c r="AIB78" s="460"/>
      <c r="AIC78" s="460"/>
      <c r="AID78" s="460"/>
      <c r="AIE78" s="460"/>
      <c r="AIF78" s="460"/>
      <c r="AIG78" s="460"/>
      <c r="AIH78" s="460"/>
      <c r="AII78" s="460"/>
      <c r="AIJ78" s="460"/>
      <c r="AIK78" s="460"/>
      <c r="AIL78" s="460"/>
      <c r="AIM78" s="460"/>
      <c r="AIN78" s="460"/>
      <c r="AIO78" s="460"/>
      <c r="AIP78" s="460"/>
      <c r="AIQ78" s="460"/>
      <c r="AIR78" s="460"/>
      <c r="AIS78" s="460"/>
      <c r="AIT78" s="460"/>
      <c r="AIU78" s="460"/>
      <c r="AIV78" s="460"/>
      <c r="AIW78" s="460"/>
      <c r="AIX78" s="460"/>
      <c r="AIY78" s="460"/>
      <c r="AIZ78" s="460"/>
      <c r="AJA78" s="460"/>
      <c r="AJB78" s="460"/>
      <c r="AJC78" s="460"/>
      <c r="AJD78" s="460"/>
      <c r="AJE78" s="460"/>
      <c r="AJF78" s="460"/>
      <c r="AJG78" s="460"/>
      <c r="AJH78" s="460"/>
      <c r="AJI78" s="460"/>
      <c r="AJJ78" s="460"/>
      <c r="AJK78" s="460"/>
      <c r="AJL78" s="460"/>
      <c r="AJM78" s="460"/>
      <c r="AJN78" s="460"/>
      <c r="AJO78" s="460"/>
      <c r="AJP78" s="460"/>
      <c r="AJQ78" s="460"/>
      <c r="AJR78" s="460"/>
      <c r="AJS78" s="460"/>
      <c r="AJT78" s="460"/>
      <c r="AJU78" s="460"/>
      <c r="AJV78" s="460"/>
      <c r="AJW78" s="460"/>
      <c r="AJX78" s="460"/>
      <c r="AJY78" s="460"/>
      <c r="AJZ78" s="460"/>
      <c r="AKA78" s="460"/>
      <c r="AKB78" s="460"/>
      <c r="AKC78" s="460"/>
      <c r="AKD78" s="460"/>
      <c r="AKE78" s="460"/>
      <c r="AKF78" s="460"/>
      <c r="AKG78" s="460"/>
      <c r="AKH78" s="460"/>
      <c r="AKI78" s="460"/>
      <c r="AKJ78" s="460"/>
      <c r="AKK78" s="460"/>
      <c r="AKL78" s="460"/>
      <c r="AKM78" s="460"/>
      <c r="AKN78" s="460"/>
      <c r="AKO78" s="460"/>
      <c r="AKP78" s="460"/>
      <c r="AKQ78" s="460"/>
      <c r="AKR78" s="460"/>
      <c r="AKS78" s="460"/>
      <c r="AKT78" s="460"/>
      <c r="AKU78" s="460"/>
      <c r="AKV78" s="460"/>
      <c r="AKW78" s="460"/>
      <c r="AKX78" s="460"/>
      <c r="AKY78" s="460"/>
      <c r="AKZ78" s="460"/>
      <c r="ALA78" s="460"/>
      <c r="ALB78" s="460"/>
      <c r="ALC78" s="460"/>
      <c r="ALD78" s="460"/>
      <c r="ALE78" s="460"/>
      <c r="ALF78" s="460"/>
      <c r="ALG78" s="460"/>
      <c r="ALH78" s="460"/>
      <c r="ALI78" s="460"/>
      <c r="ALJ78" s="460"/>
      <c r="ALK78" s="460"/>
      <c r="ALL78" s="460"/>
      <c r="ALM78" s="460"/>
      <c r="ALN78" s="460"/>
      <c r="ALO78" s="460"/>
      <c r="ALP78" s="460"/>
      <c r="ALQ78" s="460"/>
      <c r="ALR78" s="460"/>
      <c r="ALS78" s="460"/>
      <c r="ALT78" s="460"/>
      <c r="ALU78" s="460"/>
      <c r="ALV78" s="460"/>
      <c r="ALW78" s="460"/>
      <c r="ALX78" s="460"/>
      <c r="ALY78" s="460"/>
      <c r="ALZ78" s="460"/>
      <c r="AMA78" s="460"/>
      <c r="AMB78" s="460"/>
      <c r="AMC78" s="460"/>
      <c r="AMD78" s="460"/>
      <c r="AME78" s="460"/>
      <c r="AMF78" s="460"/>
      <c r="AMG78" s="460"/>
      <c r="AMH78" s="460"/>
      <c r="AMI78" s="460"/>
      <c r="AMJ78" s="460"/>
      <c r="AMK78" s="460"/>
      <c r="AML78" s="460"/>
      <c r="AMM78" s="460"/>
      <c r="AMN78" s="460"/>
      <c r="AMO78" s="460"/>
      <c r="AMP78" s="460"/>
    </row>
    <row r="79" spans="1:1030" x14ac:dyDescent="0.35">
      <c r="A79" s="46">
        <v>1774</v>
      </c>
      <c r="B79" s="240" t="s">
        <v>86</v>
      </c>
      <c r="C79" s="364">
        <v>72.3125</v>
      </c>
      <c r="D79" s="365">
        <v>1.1678542100435816E-3</v>
      </c>
      <c r="E79" s="191">
        <v>0.92400000000000004</v>
      </c>
      <c r="F79" s="191">
        <v>0.85099999999999998</v>
      </c>
      <c r="G79" s="191">
        <v>0.78</v>
      </c>
      <c r="H79" s="191">
        <v>0.71299999999999997</v>
      </c>
      <c r="I79" s="191">
        <v>0.68</v>
      </c>
      <c r="J79" s="191">
        <v>0.60599999999999998</v>
      </c>
      <c r="K79" s="361">
        <v>1.0790972900802695E-3</v>
      </c>
      <c r="L79" s="362">
        <v>9.938439327470878E-4</v>
      </c>
      <c r="M79" s="362">
        <v>9.1092628383399369E-4</v>
      </c>
      <c r="N79" s="362">
        <v>8.3268005176107365E-4</v>
      </c>
      <c r="O79" s="362">
        <v>7.9414086282963547E-4</v>
      </c>
      <c r="P79" s="363">
        <v>7.0771965128641043E-4</v>
      </c>
      <c r="Q79" s="273">
        <v>103.29070256217604</v>
      </c>
      <c r="R79" s="273">
        <v>97.608329469016567</v>
      </c>
      <c r="S79" s="273">
        <v>89.778601326729728</v>
      </c>
      <c r="T79" s="273">
        <v>80.619034190181495</v>
      </c>
      <c r="U79" s="273">
        <v>75.149201245882836</v>
      </c>
      <c r="V79" s="273">
        <f t="shared" si="54"/>
        <v>66.816749999999999</v>
      </c>
      <c r="W79" s="273">
        <f t="shared" si="55"/>
        <v>61.537937499999998</v>
      </c>
      <c r="X79" s="273">
        <f t="shared" si="56"/>
        <v>56.403750000000002</v>
      </c>
      <c r="Y79" s="273">
        <f t="shared" si="57"/>
        <v>51.558812499999995</v>
      </c>
      <c r="Z79" s="273">
        <f t="shared" si="58"/>
        <v>49.172500000000007</v>
      </c>
      <c r="AA79" s="273">
        <f t="shared" si="59"/>
        <v>43.821374999999996</v>
      </c>
      <c r="AB79" s="100">
        <v>1774</v>
      </c>
      <c r="AC79" s="101" t="s">
        <v>86</v>
      </c>
      <c r="AD79" s="159"/>
      <c r="AE79" s="159"/>
      <c r="AF79" s="164"/>
      <c r="AG79" s="164"/>
      <c r="AH79" s="164"/>
      <c r="AI79" s="159">
        <f t="shared" si="60"/>
        <v>2031427.0882671615</v>
      </c>
      <c r="AJ79" s="159">
        <f t="shared" si="49"/>
        <v>1891917.9724547851</v>
      </c>
      <c r="AK79" s="159">
        <f t="shared" si="50"/>
        <v>1768250.0158805526</v>
      </c>
      <c r="AL79" s="159">
        <f t="shared" si="51"/>
        <v>1660592.3975240132</v>
      </c>
      <c r="AM79" s="159">
        <f t="shared" si="52"/>
        <v>1631213.5137480721</v>
      </c>
      <c r="AN79" s="159">
        <f t="shared" si="53"/>
        <v>1499952.6397870122</v>
      </c>
    </row>
    <row r="80" spans="1:1030" x14ac:dyDescent="0.35">
      <c r="A80" s="46">
        <v>221</v>
      </c>
      <c r="B80" s="240" t="s">
        <v>87</v>
      </c>
      <c r="C80" s="364">
        <v>48.818287037037003</v>
      </c>
      <c r="D80" s="365">
        <v>7.8842028754806789E-4</v>
      </c>
      <c r="E80" s="191">
        <v>0.93300000000000005</v>
      </c>
      <c r="F80" s="191">
        <v>0.871</v>
      </c>
      <c r="G80" s="191">
        <v>0.85</v>
      </c>
      <c r="H80" s="191">
        <v>0.81</v>
      </c>
      <c r="I80" s="191">
        <v>0.71799999999999997</v>
      </c>
      <c r="J80" s="191">
        <v>0.67600000000000005</v>
      </c>
      <c r="K80" s="361">
        <v>7.3559612828234735E-4</v>
      </c>
      <c r="L80" s="362">
        <v>6.8671407045436711E-4</v>
      </c>
      <c r="M80" s="362">
        <v>6.7015724441585767E-4</v>
      </c>
      <c r="N80" s="362">
        <v>6.3862043291393507E-4</v>
      </c>
      <c r="O80" s="362">
        <v>5.6608576645951275E-4</v>
      </c>
      <c r="P80" s="363">
        <v>5.3297211438249397E-4</v>
      </c>
      <c r="Q80" s="273">
        <v>76.104166666666643</v>
      </c>
      <c r="R80" s="273">
        <v>70.7222222222222</v>
      </c>
      <c r="S80" s="273">
        <v>62.603019268737313</v>
      </c>
      <c r="T80" s="273">
        <v>60.006286951986056</v>
      </c>
      <c r="U80" s="273">
        <v>52.045775701602729</v>
      </c>
      <c r="V80" s="273">
        <f t="shared" si="54"/>
        <v>45.547461805555528</v>
      </c>
      <c r="W80" s="273">
        <f t="shared" si="55"/>
        <v>42.52072800925923</v>
      </c>
      <c r="X80" s="273">
        <f t="shared" si="56"/>
        <v>41.495543981481454</v>
      </c>
      <c r="Y80" s="273">
        <f t="shared" si="57"/>
        <v>39.542812499999975</v>
      </c>
      <c r="Z80" s="273">
        <f t="shared" si="58"/>
        <v>35.051530092592564</v>
      </c>
      <c r="AA80" s="273">
        <f t="shared" si="59"/>
        <v>33.001162037037012</v>
      </c>
      <c r="AB80" s="100">
        <v>221</v>
      </c>
      <c r="AC80" s="101" t="s">
        <v>87</v>
      </c>
      <c r="AD80" s="159"/>
      <c r="AE80" s="159"/>
      <c r="AF80" s="164"/>
      <c r="AG80" s="164"/>
      <c r="AH80" s="164"/>
      <c r="AI80" s="159">
        <f t="shared" si="60"/>
        <v>1384777.7348287581</v>
      </c>
      <c r="AJ80" s="159">
        <f t="shared" si="49"/>
        <v>1307254.2368287712</v>
      </c>
      <c r="AK80" s="159">
        <f t="shared" si="50"/>
        <v>1300879.7518644903</v>
      </c>
      <c r="AL80" s="159">
        <f t="shared" si="51"/>
        <v>1273584.2939403905</v>
      </c>
      <c r="AM80" s="159">
        <f t="shared" si="52"/>
        <v>1162774.5094226284</v>
      </c>
      <c r="AN80" s="159">
        <f t="shared" si="53"/>
        <v>1129589.8431642686</v>
      </c>
    </row>
    <row r="81" spans="1:40" x14ac:dyDescent="0.35">
      <c r="A81" s="46">
        <v>222</v>
      </c>
      <c r="B81" s="240" t="s">
        <v>88</v>
      </c>
      <c r="C81" s="364">
        <v>280.97974537036998</v>
      </c>
      <c r="D81" s="365">
        <v>4.5378513890096473E-3</v>
      </c>
      <c r="E81" s="191">
        <v>0.95</v>
      </c>
      <c r="F81" s="191">
        <v>0.90900000000000003</v>
      </c>
      <c r="G81" s="191">
        <v>0.84399999999999997</v>
      </c>
      <c r="H81" s="191">
        <v>0.79100000000000004</v>
      </c>
      <c r="I81" s="191">
        <v>0.751</v>
      </c>
      <c r="J81" s="191">
        <v>0.70899999999999996</v>
      </c>
      <c r="K81" s="361">
        <v>4.3109588195591646E-3</v>
      </c>
      <c r="L81" s="362">
        <v>4.1249069126097692E-3</v>
      </c>
      <c r="M81" s="362">
        <v>3.8299465723241424E-3</v>
      </c>
      <c r="N81" s="362">
        <v>3.589440448706631E-3</v>
      </c>
      <c r="O81" s="362">
        <v>3.4079263931462451E-3</v>
      </c>
      <c r="P81" s="363">
        <v>3.2173366348078399E-3</v>
      </c>
      <c r="Q81" s="273">
        <v>363.56053925258277</v>
      </c>
      <c r="R81" s="273">
        <v>340.86333816467697</v>
      </c>
      <c r="S81" s="273">
        <v>324.81580242878744</v>
      </c>
      <c r="T81" s="273">
        <v>306.13890081010061</v>
      </c>
      <c r="U81" s="273">
        <v>274.48976861085379</v>
      </c>
      <c r="V81" s="273">
        <f t="shared" si="54"/>
        <v>266.9307581018515</v>
      </c>
      <c r="W81" s="273">
        <f t="shared" si="55"/>
        <v>255.41058854166633</v>
      </c>
      <c r="X81" s="273">
        <f t="shared" si="56"/>
        <v>237.14690509259225</v>
      </c>
      <c r="Y81" s="273">
        <f t="shared" si="57"/>
        <v>222.25497858796265</v>
      </c>
      <c r="Z81" s="273">
        <f t="shared" si="58"/>
        <v>211.01578877314785</v>
      </c>
      <c r="AA81" s="273">
        <f t="shared" si="59"/>
        <v>199.21463946759232</v>
      </c>
      <c r="AB81" s="100">
        <v>222</v>
      </c>
      <c r="AC81" s="101" t="s">
        <v>88</v>
      </c>
      <c r="AD81" s="159"/>
      <c r="AE81" s="159"/>
      <c r="AF81" s="164"/>
      <c r="AG81" s="164"/>
      <c r="AH81" s="164"/>
      <c r="AI81" s="159">
        <f t="shared" si="60"/>
        <v>8115485.6035319027</v>
      </c>
      <c r="AJ81" s="159">
        <f t="shared" si="49"/>
        <v>7852324.9632347971</v>
      </c>
      <c r="AK81" s="159">
        <f t="shared" si="50"/>
        <v>7434523.7452474367</v>
      </c>
      <c r="AL81" s="159">
        <f t="shared" si="51"/>
        <v>7158328.7096659401</v>
      </c>
      <c r="AM81" s="159">
        <f t="shared" si="52"/>
        <v>7000087.5745786242</v>
      </c>
      <c r="AN81" s="159">
        <f t="shared" si="53"/>
        <v>6818876.0474456372</v>
      </c>
    </row>
    <row r="82" spans="1:40" x14ac:dyDescent="0.35">
      <c r="A82" s="46">
        <v>766</v>
      </c>
      <c r="B82" s="240" t="s">
        <v>89</v>
      </c>
      <c r="C82" s="364">
        <v>50.212962962962997</v>
      </c>
      <c r="D82" s="365">
        <v>8.1094444522121023E-4</v>
      </c>
      <c r="E82" s="191">
        <v>0.95599999999999996</v>
      </c>
      <c r="F82" s="191">
        <v>0.89600000000000002</v>
      </c>
      <c r="G82" s="191">
        <v>0.81599999999999995</v>
      </c>
      <c r="H82" s="191">
        <v>0.77400000000000002</v>
      </c>
      <c r="I82" s="191">
        <v>0.72399999999999998</v>
      </c>
      <c r="J82" s="191">
        <v>0.65</v>
      </c>
      <c r="K82" s="361">
        <v>7.7526288963147697E-4</v>
      </c>
      <c r="L82" s="362">
        <v>7.2660622291820438E-4</v>
      </c>
      <c r="M82" s="362">
        <v>6.6173066730050752E-4</v>
      </c>
      <c r="N82" s="362">
        <v>6.2767100060121678E-4</v>
      </c>
      <c r="O82" s="362">
        <v>5.8712377834015616E-4</v>
      </c>
      <c r="P82" s="363">
        <v>5.2711388939378665E-4</v>
      </c>
      <c r="Q82" s="273">
        <v>58.5798611111111</v>
      </c>
      <c r="R82" s="273">
        <v>57.768518518518498</v>
      </c>
      <c r="S82" s="273">
        <v>56.429044526381183</v>
      </c>
      <c r="T82" s="273">
        <v>54.227404903925652</v>
      </c>
      <c r="U82" s="273">
        <v>51.844826483846425</v>
      </c>
      <c r="V82" s="273">
        <f t="shared" si="54"/>
        <v>48.003592592592625</v>
      </c>
      <c r="W82" s="273">
        <f t="shared" si="55"/>
        <v>44.990814814814847</v>
      </c>
      <c r="X82" s="273">
        <f t="shared" si="56"/>
        <v>40.973777777777805</v>
      </c>
      <c r="Y82" s="273">
        <f t="shared" si="57"/>
        <v>38.864833333333358</v>
      </c>
      <c r="Z82" s="273">
        <f t="shared" si="58"/>
        <v>36.354185185185209</v>
      </c>
      <c r="AA82" s="273">
        <f t="shared" si="59"/>
        <v>32.638425925925951</v>
      </c>
      <c r="AB82" s="100">
        <v>766</v>
      </c>
      <c r="AC82" s="101" t="s">
        <v>89</v>
      </c>
      <c r="AD82" s="159"/>
      <c r="AE82" s="159"/>
      <c r="AF82" s="164"/>
      <c r="AG82" s="164"/>
      <c r="AH82" s="164"/>
      <c r="AI82" s="159">
        <f t="shared" si="60"/>
        <v>1459451.3849705879</v>
      </c>
      <c r="AJ82" s="159">
        <f t="shared" si="49"/>
        <v>1383194.4098473112</v>
      </c>
      <c r="AK82" s="159">
        <f t="shared" si="50"/>
        <v>1284522.4511888274</v>
      </c>
      <c r="AL82" s="159">
        <f t="shared" si="51"/>
        <v>1251748.1228717444</v>
      </c>
      <c r="AM82" s="159">
        <f t="shared" si="52"/>
        <v>1205987.8622273437</v>
      </c>
      <c r="AN82" s="159">
        <f t="shared" si="53"/>
        <v>1117173.825013147</v>
      </c>
    </row>
    <row r="83" spans="1:40" x14ac:dyDescent="0.35">
      <c r="A83" s="46">
        <v>505</v>
      </c>
      <c r="B83" s="240" t="s">
        <v>90</v>
      </c>
      <c r="C83" s="364">
        <v>643.23958333333405</v>
      </c>
      <c r="D83" s="365">
        <v>1.0388384518064142E-2</v>
      </c>
      <c r="E83" s="191">
        <v>0.94699999999999995</v>
      </c>
      <c r="F83" s="191">
        <v>0.90800000000000003</v>
      </c>
      <c r="G83" s="191">
        <v>0.86299999999999999</v>
      </c>
      <c r="H83" s="191">
        <v>0.81200000000000006</v>
      </c>
      <c r="I83" s="191">
        <v>0.748</v>
      </c>
      <c r="J83" s="191">
        <v>0.69699999999999995</v>
      </c>
      <c r="K83" s="361">
        <v>9.8378001386067431E-3</v>
      </c>
      <c r="L83" s="362">
        <v>9.432653142402242E-3</v>
      </c>
      <c r="M83" s="362">
        <v>8.9651758390893541E-3</v>
      </c>
      <c r="N83" s="362">
        <v>8.4353682286680848E-3</v>
      </c>
      <c r="O83" s="362">
        <v>7.770511619511979E-3</v>
      </c>
      <c r="P83" s="363">
        <v>7.2407040090907071E-3</v>
      </c>
      <c r="Q83" s="273">
        <v>869.66560761356891</v>
      </c>
      <c r="R83" s="273">
        <v>802.2816395758947</v>
      </c>
      <c r="S83" s="273">
        <v>764.07579872819474</v>
      </c>
      <c r="T83" s="273">
        <v>703.80079746661829</v>
      </c>
      <c r="U83" s="273">
        <v>652.973853896376</v>
      </c>
      <c r="V83" s="273">
        <f t="shared" si="54"/>
        <v>609.14788541666735</v>
      </c>
      <c r="W83" s="273">
        <f t="shared" si="55"/>
        <v>584.06154166666738</v>
      </c>
      <c r="X83" s="273">
        <f t="shared" si="56"/>
        <v>555.11576041666729</v>
      </c>
      <c r="Y83" s="273">
        <f t="shared" si="57"/>
        <v>522.31054166666729</v>
      </c>
      <c r="Z83" s="273">
        <f t="shared" si="58"/>
        <v>481.14320833333386</v>
      </c>
      <c r="AA83" s="273">
        <f t="shared" si="59"/>
        <v>448.33798958333381</v>
      </c>
      <c r="AB83" s="100">
        <v>505</v>
      </c>
      <c r="AC83" s="101" t="s">
        <v>90</v>
      </c>
      <c r="AD83" s="159"/>
      <c r="AE83" s="159"/>
      <c r="AF83" s="164"/>
      <c r="AG83" s="164"/>
      <c r="AH83" s="164"/>
      <c r="AI83" s="159">
        <f t="shared" si="60"/>
        <v>18519899.803508539</v>
      </c>
      <c r="AJ83" s="159">
        <f t="shared" si="49"/>
        <v>17956346.484618817</v>
      </c>
      <c r="AK83" s="159">
        <f t="shared" si="50"/>
        <v>17402804.816564802</v>
      </c>
      <c r="AL83" s="159">
        <f t="shared" si="51"/>
        <v>16822437.767322842</v>
      </c>
      <c r="AM83" s="159">
        <f t="shared" si="52"/>
        <v>15961102.312907379</v>
      </c>
      <c r="AN83" s="159">
        <f t="shared" si="53"/>
        <v>15346066.867877232</v>
      </c>
    </row>
    <row r="84" spans="1:40" x14ac:dyDescent="0.35">
      <c r="A84" s="46">
        <v>498</v>
      </c>
      <c r="B84" s="240" t="s">
        <v>91</v>
      </c>
      <c r="C84" s="364">
        <v>40.207754629629598</v>
      </c>
      <c r="D84" s="365">
        <v>6.4935931575608964E-4</v>
      </c>
      <c r="E84" s="191">
        <v>0.95299999999999996</v>
      </c>
      <c r="F84" s="191">
        <v>0.93</v>
      </c>
      <c r="G84" s="191">
        <v>0.87</v>
      </c>
      <c r="H84" s="191">
        <v>0.84</v>
      </c>
      <c r="I84" s="191">
        <v>0.82</v>
      </c>
      <c r="J84" s="191">
        <v>0.76600000000000001</v>
      </c>
      <c r="K84" s="361">
        <v>6.188394279155534E-4</v>
      </c>
      <c r="L84" s="362">
        <v>6.0390416365316345E-4</v>
      </c>
      <c r="M84" s="362">
        <v>5.6494260470779797E-4</v>
      </c>
      <c r="N84" s="362">
        <v>5.4546182523511528E-4</v>
      </c>
      <c r="O84" s="362">
        <v>5.3247463891999342E-4</v>
      </c>
      <c r="P84" s="363">
        <v>4.9740923586916468E-4</v>
      </c>
      <c r="Q84" s="273">
        <v>49.94675925925926</v>
      </c>
      <c r="R84" s="273">
        <v>48.023148148148103</v>
      </c>
      <c r="S84" s="273">
        <v>45.458415602568657</v>
      </c>
      <c r="T84" s="273">
        <v>39.829089953009621</v>
      </c>
      <c r="U84" s="273">
        <v>39.443083640159095</v>
      </c>
      <c r="V84" s="273">
        <f t="shared" si="54"/>
        <v>38.317990162037006</v>
      </c>
      <c r="W84" s="273">
        <f t="shared" si="55"/>
        <v>37.393211805555531</v>
      </c>
      <c r="X84" s="273">
        <f t="shared" si="56"/>
        <v>34.980746527777747</v>
      </c>
      <c r="Y84" s="273">
        <f t="shared" si="57"/>
        <v>33.774513888888862</v>
      </c>
      <c r="Z84" s="273">
        <f t="shared" si="58"/>
        <v>32.970358796296267</v>
      </c>
      <c r="AA84" s="273">
        <f t="shared" si="59"/>
        <v>30.799140046296273</v>
      </c>
      <c r="AB84" s="100">
        <v>498</v>
      </c>
      <c r="AC84" s="101" t="s">
        <v>91</v>
      </c>
      <c r="AD84" s="159"/>
      <c r="AE84" s="159"/>
      <c r="AF84" s="164"/>
      <c r="AG84" s="164"/>
      <c r="AH84" s="164"/>
      <c r="AI84" s="159">
        <f t="shared" si="60"/>
        <v>1164980.3856535461</v>
      </c>
      <c r="AJ84" s="159">
        <f t="shared" si="49"/>
        <v>1149614.2434533001</v>
      </c>
      <c r="AK84" s="159">
        <f t="shared" si="50"/>
        <v>1096641.7233474117</v>
      </c>
      <c r="AL84" s="159">
        <f t="shared" si="51"/>
        <v>1087800.4801595856</v>
      </c>
      <c r="AM84" s="159">
        <f t="shared" si="52"/>
        <v>1093735.2142282999</v>
      </c>
      <c r="AN84" s="159">
        <f t="shared" si="53"/>
        <v>1054217.2949984337</v>
      </c>
    </row>
    <row r="85" spans="1:40" x14ac:dyDescent="0.35">
      <c r="A85" s="46">
        <v>1719</v>
      </c>
      <c r="B85" s="240" t="s">
        <v>92</v>
      </c>
      <c r="C85" s="364">
        <v>45.9722222222222</v>
      </c>
      <c r="D85" s="365">
        <v>7.4245605209723479E-4</v>
      </c>
      <c r="E85" s="191">
        <v>0.95499999999999996</v>
      </c>
      <c r="F85" s="191">
        <v>0.90500000000000003</v>
      </c>
      <c r="G85" s="191">
        <v>0.88500000000000001</v>
      </c>
      <c r="H85" s="191">
        <v>0.81</v>
      </c>
      <c r="I85" s="191">
        <v>0.77300000000000002</v>
      </c>
      <c r="J85" s="191">
        <v>0.746</v>
      </c>
      <c r="K85" s="361">
        <v>7.0904552975285915E-4</v>
      </c>
      <c r="L85" s="362">
        <v>6.7192272714799756E-4</v>
      </c>
      <c r="M85" s="362">
        <v>6.5707360610605281E-4</v>
      </c>
      <c r="N85" s="362">
        <v>6.0138940219876022E-4</v>
      </c>
      <c r="O85" s="362">
        <v>5.7391852827116247E-4</v>
      </c>
      <c r="P85" s="363">
        <v>5.5387221486453714E-4</v>
      </c>
      <c r="Q85" s="273">
        <v>63.0625</v>
      </c>
      <c r="R85" s="273">
        <v>58.981481481481502</v>
      </c>
      <c r="S85" s="273">
        <v>56.599434594049256</v>
      </c>
      <c r="T85" s="273">
        <v>52.165338978378919</v>
      </c>
      <c r="U85" s="273">
        <v>46.968580470191789</v>
      </c>
      <c r="V85" s="273">
        <f t="shared" si="54"/>
        <v>43.903472222222199</v>
      </c>
      <c r="W85" s="273">
        <f t="shared" si="55"/>
        <v>41.604861111111092</v>
      </c>
      <c r="X85" s="273">
        <f t="shared" si="56"/>
        <v>40.685416666666647</v>
      </c>
      <c r="Y85" s="273">
        <f t="shared" si="57"/>
        <v>37.237499999999983</v>
      </c>
      <c r="Z85" s="273">
        <f t="shared" si="58"/>
        <v>35.536527777777764</v>
      </c>
      <c r="AA85" s="273">
        <f t="shared" si="59"/>
        <v>34.295277777777763</v>
      </c>
      <c r="AB85" s="100">
        <v>1719</v>
      </c>
      <c r="AC85" s="101" t="s">
        <v>92</v>
      </c>
      <c r="AD85" s="159"/>
      <c r="AE85" s="159"/>
      <c r="AF85" s="164"/>
      <c r="AG85" s="164"/>
      <c r="AH85" s="164"/>
      <c r="AI85" s="159">
        <f t="shared" si="60"/>
        <v>1334795.582562861</v>
      </c>
      <c r="AJ85" s="159">
        <f t="shared" si="49"/>
        <v>1279096.8900703934</v>
      </c>
      <c r="AK85" s="159">
        <f t="shared" si="50"/>
        <v>1275482.368937175</v>
      </c>
      <c r="AL85" s="159">
        <f t="shared" si="51"/>
        <v>1199335.4075561848</v>
      </c>
      <c r="AM85" s="159">
        <f t="shared" si="52"/>
        <v>1178863.4774069821</v>
      </c>
      <c r="AN85" s="159">
        <f t="shared" si="53"/>
        <v>1173885.8590130187</v>
      </c>
    </row>
    <row r="86" spans="1:40" x14ac:dyDescent="0.35">
      <c r="A86" s="46">
        <v>303</v>
      </c>
      <c r="B86" s="240" t="s">
        <v>93</v>
      </c>
      <c r="C86" s="364">
        <v>52.0902777777778</v>
      </c>
      <c r="D86" s="365">
        <v>8.4126326990655032E-4</v>
      </c>
      <c r="E86" s="191">
        <v>0.97699999999999998</v>
      </c>
      <c r="F86" s="191">
        <v>0.94099999999999995</v>
      </c>
      <c r="G86" s="191">
        <v>0.91900000000000004</v>
      </c>
      <c r="H86" s="191">
        <v>0.89700000000000002</v>
      </c>
      <c r="I86" s="191">
        <v>0.83199999999999996</v>
      </c>
      <c r="J86" s="191">
        <v>0.77900000000000003</v>
      </c>
      <c r="K86" s="361">
        <v>8.2191421469869966E-4</v>
      </c>
      <c r="L86" s="362">
        <v>7.9162873698206376E-4</v>
      </c>
      <c r="M86" s="362">
        <v>7.7312094504411975E-4</v>
      </c>
      <c r="N86" s="362">
        <v>7.5461315310617564E-4</v>
      </c>
      <c r="O86" s="362">
        <v>6.9993104056224984E-4</v>
      </c>
      <c r="P86" s="363">
        <v>6.5534408725720274E-4</v>
      </c>
      <c r="Q86" s="273">
        <v>58.657407407407412</v>
      </c>
      <c r="R86" s="273">
        <v>56.7013888888889</v>
      </c>
      <c r="S86" s="273">
        <v>53.542579622390427</v>
      </c>
      <c r="T86" s="273">
        <v>52.154844040454961</v>
      </c>
      <c r="U86" s="273">
        <v>50.119679142800848</v>
      </c>
      <c r="V86" s="273">
        <f t="shared" si="54"/>
        <v>50.892201388888907</v>
      </c>
      <c r="W86" s="273">
        <f t="shared" si="55"/>
        <v>49.016951388888906</v>
      </c>
      <c r="X86" s="273">
        <f t="shared" si="56"/>
        <v>47.870965277777799</v>
      </c>
      <c r="Y86" s="273">
        <f t="shared" si="57"/>
        <v>46.724979166666685</v>
      </c>
      <c r="Z86" s="273">
        <f t="shared" si="58"/>
        <v>43.33911111111113</v>
      </c>
      <c r="AA86" s="273">
        <f t="shared" si="59"/>
        <v>40.578326388888911</v>
      </c>
      <c r="AB86" s="100">
        <v>303</v>
      </c>
      <c r="AC86" s="101" t="s">
        <v>93</v>
      </c>
      <c r="AD86" s="159"/>
      <c r="AE86" s="159"/>
      <c r="AF86" s="164"/>
      <c r="AG86" s="164"/>
      <c r="AH86" s="164"/>
      <c r="AI86" s="159">
        <f t="shared" si="60"/>
        <v>1547273.6474452377</v>
      </c>
      <c r="AJ86" s="159">
        <f t="shared" si="49"/>
        <v>1506973.6662458254</v>
      </c>
      <c r="AK86" s="159">
        <f t="shared" si="50"/>
        <v>1500748.356494878</v>
      </c>
      <c r="AL86" s="159">
        <f t="shared" si="51"/>
        <v>1504905.5906521238</v>
      </c>
      <c r="AM86" s="159">
        <f t="shared" si="52"/>
        <v>1437700.8229858903</v>
      </c>
      <c r="AN86" s="159">
        <f t="shared" si="53"/>
        <v>1388947.0101098588</v>
      </c>
    </row>
    <row r="87" spans="1:40" x14ac:dyDescent="0.35">
      <c r="A87" s="46">
        <v>225</v>
      </c>
      <c r="B87" s="240" t="s">
        <v>94</v>
      </c>
      <c r="C87" s="364">
        <v>69.653935185185105</v>
      </c>
      <c r="D87" s="365">
        <v>1.1249181186118746E-3</v>
      </c>
      <c r="E87" s="191">
        <v>0.95599999999999996</v>
      </c>
      <c r="F87" s="191">
        <v>0.90600000000000003</v>
      </c>
      <c r="G87" s="191">
        <v>0.86299999999999999</v>
      </c>
      <c r="H87" s="191">
        <v>0.81100000000000005</v>
      </c>
      <c r="I87" s="191">
        <v>0.68700000000000006</v>
      </c>
      <c r="J87" s="191">
        <v>0.61399999999999999</v>
      </c>
      <c r="K87" s="361">
        <v>1.0754217213929521E-3</v>
      </c>
      <c r="L87" s="362">
        <v>1.0191758154623584E-3</v>
      </c>
      <c r="M87" s="362">
        <v>9.7080433636204772E-4</v>
      </c>
      <c r="N87" s="362">
        <v>9.123085941942303E-4</v>
      </c>
      <c r="O87" s="362">
        <v>7.7281874748635795E-4</v>
      </c>
      <c r="P87" s="363">
        <v>6.9069972482769095E-4</v>
      </c>
      <c r="Q87" s="273">
        <v>95.792824074074048</v>
      </c>
      <c r="R87" s="273">
        <v>93.258101851851805</v>
      </c>
      <c r="S87" s="273">
        <v>84.742781519875791</v>
      </c>
      <c r="T87" s="273">
        <v>73.843272446623544</v>
      </c>
      <c r="U87" s="273">
        <v>66.539630923785865</v>
      </c>
      <c r="V87" s="273">
        <f t="shared" si="54"/>
        <v>66.589162037036957</v>
      </c>
      <c r="W87" s="273">
        <f t="shared" si="55"/>
        <v>63.106465277777708</v>
      </c>
      <c r="X87" s="273">
        <f t="shared" si="56"/>
        <v>60.111346064814747</v>
      </c>
      <c r="Y87" s="273">
        <f t="shared" si="57"/>
        <v>56.489341435185125</v>
      </c>
      <c r="Z87" s="273">
        <f t="shared" si="58"/>
        <v>47.852253472222174</v>
      </c>
      <c r="AA87" s="273">
        <f t="shared" si="59"/>
        <v>42.767516203703657</v>
      </c>
      <c r="AB87" s="100">
        <v>225</v>
      </c>
      <c r="AC87" s="101" t="s">
        <v>94</v>
      </c>
      <c r="AD87" s="159"/>
      <c r="AE87" s="159"/>
      <c r="AF87" s="164"/>
      <c r="AG87" s="164"/>
      <c r="AH87" s="164"/>
      <c r="AI87" s="159">
        <f t="shared" si="60"/>
        <v>2024507.7401556976</v>
      </c>
      <c r="AJ87" s="159">
        <f t="shared" si="49"/>
        <v>1940140.678863693</v>
      </c>
      <c r="AK87" s="159">
        <f t="shared" si="50"/>
        <v>1884482.6564494392</v>
      </c>
      <c r="AL87" s="159">
        <f t="shared" si="51"/>
        <v>1819393.5503927027</v>
      </c>
      <c r="AM87" s="159">
        <f t="shared" si="52"/>
        <v>1587416.5951942021</v>
      </c>
      <c r="AN87" s="159">
        <f t="shared" si="53"/>
        <v>1463880.3284214411</v>
      </c>
    </row>
    <row r="88" spans="1:40" x14ac:dyDescent="0.35">
      <c r="A88" s="46">
        <v>226</v>
      </c>
      <c r="B88" s="240" t="s">
        <v>95</v>
      </c>
      <c r="C88" s="364">
        <v>63.2777777777778</v>
      </c>
      <c r="D88" s="365">
        <v>1.0219425297145028E-3</v>
      </c>
      <c r="E88" s="191">
        <v>0.93899999999999995</v>
      </c>
      <c r="F88" s="191">
        <v>0.88400000000000001</v>
      </c>
      <c r="G88" s="191">
        <v>0.81200000000000006</v>
      </c>
      <c r="H88" s="191">
        <v>0.72299999999999998</v>
      </c>
      <c r="I88" s="191">
        <v>0.65900000000000003</v>
      </c>
      <c r="J88" s="191">
        <v>0.58399999999999996</v>
      </c>
      <c r="K88" s="361">
        <v>9.5960403540191813E-4</v>
      </c>
      <c r="L88" s="362">
        <v>9.0339719626762044E-4</v>
      </c>
      <c r="M88" s="362">
        <v>8.2981733412817635E-4</v>
      </c>
      <c r="N88" s="362">
        <v>7.3886444898358555E-4</v>
      </c>
      <c r="O88" s="362">
        <v>6.7346012708185737E-4</v>
      </c>
      <c r="P88" s="363">
        <v>5.9681443735326958E-4</v>
      </c>
      <c r="Q88" s="273">
        <v>79.472222222222214</v>
      </c>
      <c r="R88" s="273">
        <v>76.071759259259295</v>
      </c>
      <c r="S88" s="273">
        <v>64.146026957379519</v>
      </c>
      <c r="T88" s="273">
        <v>60.682864445946912</v>
      </c>
      <c r="U88" s="273">
        <v>59.733689092599768</v>
      </c>
      <c r="V88" s="273">
        <f t="shared" si="54"/>
        <v>59.417833333333348</v>
      </c>
      <c r="W88" s="273">
        <f t="shared" si="55"/>
        <v>55.937555555555576</v>
      </c>
      <c r="X88" s="273">
        <f t="shared" si="56"/>
        <v>51.381555555555579</v>
      </c>
      <c r="Y88" s="273">
        <f t="shared" si="57"/>
        <v>45.749833333333349</v>
      </c>
      <c r="Z88" s="273">
        <f t="shared" si="58"/>
        <v>41.700055555555572</v>
      </c>
      <c r="AA88" s="273">
        <f t="shared" si="59"/>
        <v>36.954222222222235</v>
      </c>
      <c r="AB88" s="100">
        <v>226</v>
      </c>
      <c r="AC88" s="101" t="s">
        <v>95</v>
      </c>
      <c r="AD88" s="159"/>
      <c r="AE88" s="159"/>
      <c r="AF88" s="164"/>
      <c r="AG88" s="164"/>
      <c r="AH88" s="164"/>
      <c r="AI88" s="159">
        <f t="shared" si="60"/>
        <v>1806478.1085502792</v>
      </c>
      <c r="AJ88" s="159">
        <f t="shared" si="49"/>
        <v>1719740.2283874662</v>
      </c>
      <c r="AK88" s="159">
        <f t="shared" si="50"/>
        <v>1610804.8919988235</v>
      </c>
      <c r="AL88" s="159">
        <f t="shared" si="51"/>
        <v>1473498.3553262413</v>
      </c>
      <c r="AM88" s="159">
        <f t="shared" si="52"/>
        <v>1383327.9606745155</v>
      </c>
      <c r="AN88" s="159">
        <f t="shared" si="53"/>
        <v>1264898.3098658617</v>
      </c>
    </row>
    <row r="89" spans="1:40" x14ac:dyDescent="0.35">
      <c r="A89" s="46">
        <v>1711</v>
      </c>
      <c r="B89" s="240" t="s">
        <v>96</v>
      </c>
      <c r="C89" s="364">
        <v>116.57870370370399</v>
      </c>
      <c r="D89" s="365">
        <v>1.8827578900161655E-3</v>
      </c>
      <c r="E89" s="191">
        <v>0.92500000000000004</v>
      </c>
      <c r="F89" s="191">
        <v>0.86699999999999999</v>
      </c>
      <c r="G89" s="191">
        <v>0.81899999999999995</v>
      </c>
      <c r="H89" s="191">
        <v>0.73</v>
      </c>
      <c r="I89" s="191">
        <v>0.66500000000000004</v>
      </c>
      <c r="J89" s="191">
        <v>0.60499999999999998</v>
      </c>
      <c r="K89" s="361">
        <v>1.7415510482649531E-3</v>
      </c>
      <c r="L89" s="362">
        <v>1.6323510906440155E-3</v>
      </c>
      <c r="M89" s="362">
        <v>1.5419787119232394E-3</v>
      </c>
      <c r="N89" s="362">
        <v>1.3744132597118008E-3</v>
      </c>
      <c r="O89" s="362">
        <v>1.25203399686075E-3</v>
      </c>
      <c r="P89" s="363">
        <v>1.1390685234597801E-3</v>
      </c>
      <c r="Q89" s="273">
        <v>154.91002824925255</v>
      </c>
      <c r="R89" s="273">
        <v>146.58384630509343</v>
      </c>
      <c r="S89" s="273">
        <v>134.91355890054297</v>
      </c>
      <c r="T89" s="273">
        <v>124.68535763494992</v>
      </c>
      <c r="U89" s="273">
        <v>117.15384945170923</v>
      </c>
      <c r="V89" s="273">
        <f t="shared" si="54"/>
        <v>107.83530092592621</v>
      </c>
      <c r="W89" s="273">
        <f t="shared" si="55"/>
        <v>101.07373611111136</v>
      </c>
      <c r="X89" s="273">
        <f t="shared" si="56"/>
        <v>95.477958333333561</v>
      </c>
      <c r="Y89" s="273">
        <f t="shared" si="57"/>
        <v>85.102453703703915</v>
      </c>
      <c r="Z89" s="273">
        <f t="shared" si="58"/>
        <v>77.524837962963161</v>
      </c>
      <c r="AA89" s="273">
        <f t="shared" si="59"/>
        <v>70.530115740740911</v>
      </c>
      <c r="AB89" s="100">
        <v>1711</v>
      </c>
      <c r="AC89" s="101" t="s">
        <v>96</v>
      </c>
      <c r="AD89" s="159"/>
      <c r="AE89" s="159"/>
      <c r="AF89" s="164"/>
      <c r="AG89" s="164"/>
      <c r="AH89" s="164"/>
      <c r="AI89" s="159">
        <f t="shared" si="60"/>
        <v>3278512.51927649</v>
      </c>
      <c r="AJ89" s="159">
        <f t="shared" si="49"/>
        <v>3107403.7522262395</v>
      </c>
      <c r="AK89" s="159">
        <f t="shared" si="50"/>
        <v>2993221.2191416314</v>
      </c>
      <c r="AL89" s="159">
        <f t="shared" si="51"/>
        <v>2740956.9921923634</v>
      </c>
      <c r="AM89" s="159">
        <f t="shared" si="52"/>
        <v>2571753.79198363</v>
      </c>
      <c r="AN89" s="159">
        <f t="shared" si="53"/>
        <v>2414160.516182065</v>
      </c>
    </row>
    <row r="90" spans="1:40" x14ac:dyDescent="0.35">
      <c r="A90" s="46">
        <v>385</v>
      </c>
      <c r="B90" s="240" t="s">
        <v>97</v>
      </c>
      <c r="C90" s="364">
        <v>61.9444444444444</v>
      </c>
      <c r="D90" s="365">
        <v>1.0004090611340382E-3</v>
      </c>
      <c r="E90" s="191">
        <v>0.95</v>
      </c>
      <c r="F90" s="191">
        <v>0.89800000000000002</v>
      </c>
      <c r="G90" s="191">
        <v>0.80300000000000005</v>
      </c>
      <c r="H90" s="191">
        <v>0.70299999999999996</v>
      </c>
      <c r="I90" s="191">
        <v>0.61199999999999999</v>
      </c>
      <c r="J90" s="191">
        <v>0.56599999999999995</v>
      </c>
      <c r="K90" s="361">
        <v>9.5038860807733624E-4</v>
      </c>
      <c r="L90" s="362">
        <v>8.9836733689836637E-4</v>
      </c>
      <c r="M90" s="362">
        <v>8.033284760906327E-4</v>
      </c>
      <c r="N90" s="362">
        <v>7.0328756997722886E-4</v>
      </c>
      <c r="O90" s="362">
        <v>6.1225034541403142E-4</v>
      </c>
      <c r="P90" s="363">
        <v>5.6623152860186556E-4</v>
      </c>
      <c r="Q90" s="273">
        <v>86.009259259259224</v>
      </c>
      <c r="R90" s="273">
        <v>77.0069444444444</v>
      </c>
      <c r="S90" s="273">
        <v>69.845072551996921</v>
      </c>
      <c r="T90" s="273">
        <v>66.088065913007938</v>
      </c>
      <c r="U90" s="273">
        <v>59.887273807960703</v>
      </c>
      <c r="V90" s="273">
        <f t="shared" si="54"/>
        <v>58.847222222222179</v>
      </c>
      <c r="W90" s="273">
        <f t="shared" si="55"/>
        <v>55.626111111111072</v>
      </c>
      <c r="X90" s="273">
        <f t="shared" si="56"/>
        <v>49.741388888888856</v>
      </c>
      <c r="Y90" s="273">
        <f t="shared" si="57"/>
        <v>43.546944444444414</v>
      </c>
      <c r="Z90" s="273">
        <f t="shared" si="58"/>
        <v>37.909999999999975</v>
      </c>
      <c r="AA90" s="273">
        <f t="shared" si="59"/>
        <v>35.060555555555524</v>
      </c>
      <c r="AB90" s="100">
        <v>385</v>
      </c>
      <c r="AC90" s="101" t="s">
        <v>97</v>
      </c>
      <c r="AD90" s="159"/>
      <c r="AE90" s="159"/>
      <c r="AF90" s="164"/>
      <c r="AG90" s="164"/>
      <c r="AH90" s="164"/>
      <c r="AI90" s="159">
        <f t="shared" si="60"/>
        <v>1789129.8408183488</v>
      </c>
      <c r="AJ90" s="159">
        <f t="shared" si="49"/>
        <v>1710165.2025448182</v>
      </c>
      <c r="AK90" s="159">
        <f t="shared" si="50"/>
        <v>1559385.886447239</v>
      </c>
      <c r="AL90" s="159">
        <f t="shared" si="51"/>
        <v>1402548.3011239828</v>
      </c>
      <c r="AM90" s="159">
        <f t="shared" si="52"/>
        <v>1257599.3554565939</v>
      </c>
      <c r="AN90" s="159">
        <f t="shared" si="53"/>
        <v>1200080.3913148483</v>
      </c>
    </row>
    <row r="91" spans="1:40" x14ac:dyDescent="0.35">
      <c r="A91" s="46">
        <v>228</v>
      </c>
      <c r="B91" s="240" t="s">
        <v>98</v>
      </c>
      <c r="C91" s="364">
        <v>271.53356481481501</v>
      </c>
      <c r="D91" s="365">
        <v>4.3852946148608251E-3</v>
      </c>
      <c r="E91" s="191">
        <v>0.94099999999999995</v>
      </c>
      <c r="F91" s="191">
        <v>0.89500000000000002</v>
      </c>
      <c r="G91" s="191">
        <v>0.84299999999999997</v>
      </c>
      <c r="H91" s="191">
        <v>0.76800000000000002</v>
      </c>
      <c r="I91" s="191">
        <v>0.70199999999999996</v>
      </c>
      <c r="J91" s="191">
        <v>0.64700000000000002</v>
      </c>
      <c r="K91" s="361">
        <v>4.1265622325840365E-3</v>
      </c>
      <c r="L91" s="362">
        <v>3.9248386803004383E-3</v>
      </c>
      <c r="M91" s="362">
        <v>3.6968033603276755E-3</v>
      </c>
      <c r="N91" s="362">
        <v>3.3679062642131136E-3</v>
      </c>
      <c r="O91" s="362">
        <v>3.0784768196322992E-3</v>
      </c>
      <c r="P91" s="363">
        <v>2.8372856158149539E-3</v>
      </c>
      <c r="Q91" s="273">
        <v>362.74591559823824</v>
      </c>
      <c r="R91" s="273">
        <v>347.76479800602436</v>
      </c>
      <c r="S91" s="273">
        <v>323.86577208800821</v>
      </c>
      <c r="T91" s="273">
        <v>299.96286932776059</v>
      </c>
      <c r="U91" s="273">
        <v>278.40209890144882</v>
      </c>
      <c r="V91" s="273">
        <f t="shared" si="54"/>
        <v>255.51308449074091</v>
      </c>
      <c r="W91" s="273">
        <f t="shared" si="55"/>
        <v>243.02254050925944</v>
      </c>
      <c r="X91" s="273">
        <f t="shared" si="56"/>
        <v>228.90279513888905</v>
      </c>
      <c r="Y91" s="273">
        <f t="shared" si="57"/>
        <v>208.53777777777793</v>
      </c>
      <c r="Z91" s="273">
        <f t="shared" si="58"/>
        <v>190.61656250000013</v>
      </c>
      <c r="AA91" s="273">
        <f t="shared" si="59"/>
        <v>175.68221643518532</v>
      </c>
      <c r="AB91" s="100">
        <v>228</v>
      </c>
      <c r="AC91" s="101" t="s">
        <v>98</v>
      </c>
      <c r="AD91" s="159"/>
      <c r="AE91" s="159"/>
      <c r="AF91" s="164"/>
      <c r="AG91" s="164"/>
      <c r="AH91" s="164"/>
      <c r="AI91" s="159">
        <f t="shared" si="60"/>
        <v>7768354.5105259838</v>
      </c>
      <c r="AJ91" s="159">
        <f t="shared" si="49"/>
        <v>7471467.6958597945</v>
      </c>
      <c r="AK91" s="159">
        <f t="shared" si="50"/>
        <v>7176072.0012311842</v>
      </c>
      <c r="AL91" s="159">
        <f t="shared" si="51"/>
        <v>6716528.7868941929</v>
      </c>
      <c r="AM91" s="159">
        <f t="shared" si="52"/>
        <v>6323378.1624730118</v>
      </c>
      <c r="AN91" s="159">
        <f t="shared" si="53"/>
        <v>6013389.6826740261</v>
      </c>
    </row>
    <row r="92" spans="1:40" x14ac:dyDescent="0.35">
      <c r="A92" s="46">
        <v>317</v>
      </c>
      <c r="B92" s="240" t="s">
        <v>99</v>
      </c>
      <c r="C92" s="364">
        <v>10.3333333333333</v>
      </c>
      <c r="D92" s="365">
        <v>1.6688438149859249E-4</v>
      </c>
      <c r="E92" s="191">
        <v>0.97199999999999998</v>
      </c>
      <c r="F92" s="191">
        <v>0.94499999999999995</v>
      </c>
      <c r="G92" s="191">
        <v>0.747</v>
      </c>
      <c r="H92" s="191">
        <v>0.72399999999999998</v>
      </c>
      <c r="I92" s="191">
        <v>0.70199999999999996</v>
      </c>
      <c r="J92" s="191">
        <v>0.60299999999999998</v>
      </c>
      <c r="K92" s="361">
        <v>1.6221161881663191E-4</v>
      </c>
      <c r="L92" s="362">
        <v>1.577057405161699E-4</v>
      </c>
      <c r="M92" s="362">
        <v>1.2466263297944858E-4</v>
      </c>
      <c r="N92" s="362">
        <v>1.2082429220498096E-4</v>
      </c>
      <c r="O92" s="362">
        <v>1.1715283581201192E-4</v>
      </c>
      <c r="P92" s="363">
        <v>1.0063128204365127E-4</v>
      </c>
      <c r="Q92" s="273">
        <v>12.240740740740742</v>
      </c>
      <c r="R92" s="273">
        <v>11.9722222222222</v>
      </c>
      <c r="S92" s="273">
        <v>10.471763666741998</v>
      </c>
      <c r="T92" s="273">
        <v>10.72092941594048</v>
      </c>
      <c r="U92" s="273">
        <v>10.232232054072778</v>
      </c>
      <c r="V92" s="273">
        <f t="shared" si="54"/>
        <v>10.043999999999967</v>
      </c>
      <c r="W92" s="273">
        <f t="shared" si="55"/>
        <v>9.7649999999999686</v>
      </c>
      <c r="X92" s="273">
        <f t="shared" si="56"/>
        <v>7.7189999999999754</v>
      </c>
      <c r="Y92" s="273">
        <f t="shared" si="57"/>
        <v>7.4813333333333087</v>
      </c>
      <c r="Z92" s="273">
        <f t="shared" si="58"/>
        <v>7.2539999999999765</v>
      </c>
      <c r="AA92" s="273">
        <f t="shared" si="59"/>
        <v>6.2309999999999794</v>
      </c>
      <c r="AB92" s="100">
        <v>317</v>
      </c>
      <c r="AC92" s="101" t="s">
        <v>99</v>
      </c>
      <c r="AD92" s="159"/>
      <c r="AE92" s="159"/>
      <c r="AF92" s="164"/>
      <c r="AG92" s="164"/>
      <c r="AH92" s="164"/>
      <c r="AI92" s="159">
        <f t="shared" si="60"/>
        <v>305367.34687866893</v>
      </c>
      <c r="AJ92" s="159">
        <f t="shared" si="49"/>
        <v>300214.46528039582</v>
      </c>
      <c r="AK92" s="159">
        <f t="shared" si="50"/>
        <v>241989.61722548484</v>
      </c>
      <c r="AL92" s="159">
        <f t="shared" si="51"/>
        <v>240956.77643227871</v>
      </c>
      <c r="AM92" s="159">
        <f t="shared" si="52"/>
        <v>240639.03256349533</v>
      </c>
      <c r="AN92" s="159">
        <f t="shared" si="53"/>
        <v>213279.59012041142</v>
      </c>
    </row>
    <row r="93" spans="1:40" x14ac:dyDescent="0.35">
      <c r="A93" s="46">
        <v>1979</v>
      </c>
      <c r="B93" s="240" t="s">
        <v>1285</v>
      </c>
      <c r="C93" s="364">
        <v>315.710069444444</v>
      </c>
      <c r="D93" s="365">
        <v>5.0987496456884407E-3</v>
      </c>
      <c r="E93" s="191">
        <v>0.95099999999999996</v>
      </c>
      <c r="F93" s="191">
        <v>0.88500000000000001</v>
      </c>
      <c r="G93" s="191">
        <v>0.83599999999999997</v>
      </c>
      <c r="H93" s="191">
        <v>0.76300000000000001</v>
      </c>
      <c r="I93" s="191">
        <v>0.70199999999999996</v>
      </c>
      <c r="J93" s="191">
        <v>0.64600000000000002</v>
      </c>
      <c r="K93" s="361">
        <v>4.8489109130497067E-3</v>
      </c>
      <c r="L93" s="362">
        <v>4.5123934364342698E-3</v>
      </c>
      <c r="M93" s="362">
        <v>4.2625547037955366E-3</v>
      </c>
      <c r="N93" s="362">
        <v>3.8903459796602803E-3</v>
      </c>
      <c r="O93" s="362">
        <v>3.579322251273285E-3</v>
      </c>
      <c r="P93" s="363">
        <v>3.2937922711147329E-3</v>
      </c>
      <c r="Q93" s="273">
        <f>SUM(Q374:Q376)</f>
        <v>409.6750345347877</v>
      </c>
      <c r="R93" s="273">
        <f t="shared" ref="R93:T93" si="68">SUM(R374:R376)</f>
        <v>390.8948464030525</v>
      </c>
      <c r="S93" s="273">
        <f t="shared" si="68"/>
        <v>363.27088855443276</v>
      </c>
      <c r="T93" s="273">
        <f t="shared" si="68"/>
        <v>340.47886042686679</v>
      </c>
      <c r="U93" s="273">
        <v>322.35852234791724</v>
      </c>
      <c r="V93" s="273">
        <f t="shared" ref="V93" si="69">+E93*C93</f>
        <v>300.24027604166622</v>
      </c>
      <c r="W93" s="273">
        <f t="shared" ref="W93" si="70">+F93*$C93</f>
        <v>279.40341145833293</v>
      </c>
      <c r="X93" s="273">
        <f t="shared" ref="X93" si="71">+G93*$C93</f>
        <v>263.9336180555552</v>
      </c>
      <c r="Y93" s="273">
        <f t="shared" ref="Y93" si="72">+H93*$C93</f>
        <v>240.88678298611077</v>
      </c>
      <c r="Z93" s="273">
        <f t="shared" ref="Z93" si="73">+I93*$C93</f>
        <v>221.62846874999968</v>
      </c>
      <c r="AA93" s="273">
        <f t="shared" ref="AA93" si="74">+J93*$C93</f>
        <v>203.94870486111083</v>
      </c>
      <c r="AB93" s="100">
        <v>1979</v>
      </c>
      <c r="AC93" s="101" t="s">
        <v>1285</v>
      </c>
      <c r="AD93" s="159"/>
      <c r="AE93" s="159"/>
      <c r="AF93" s="164"/>
      <c r="AG93" s="164"/>
      <c r="AH93" s="164"/>
      <c r="AI93" s="159">
        <f t="shared" si="60"/>
        <v>9128193.6002551876</v>
      </c>
      <c r="AJ93" s="159">
        <f t="shared" si="49"/>
        <v>8589958.6040432267</v>
      </c>
      <c r="AK93" s="159">
        <f t="shared" si="50"/>
        <v>8274283.6126702065</v>
      </c>
      <c r="AL93" s="159">
        <f t="shared" si="51"/>
        <v>7758416.8659965238</v>
      </c>
      <c r="AM93" s="159">
        <f t="shared" si="52"/>
        <v>7352145.065967598</v>
      </c>
      <c r="AN93" s="159">
        <f t="shared" si="53"/>
        <v>6980917.3773658508</v>
      </c>
    </row>
    <row r="94" spans="1:40" x14ac:dyDescent="0.35">
      <c r="A94" s="46">
        <v>770</v>
      </c>
      <c r="B94" s="240" t="s">
        <v>100</v>
      </c>
      <c r="C94" s="364">
        <v>89.138310185185205</v>
      </c>
      <c r="D94" s="365">
        <v>1.4395927512662293E-3</v>
      </c>
      <c r="E94" s="191">
        <v>0.96099999999999997</v>
      </c>
      <c r="F94" s="191">
        <v>0.93600000000000005</v>
      </c>
      <c r="G94" s="191">
        <v>0.88600000000000001</v>
      </c>
      <c r="H94" s="191">
        <v>0.8</v>
      </c>
      <c r="I94" s="191">
        <v>0.73499999999999999</v>
      </c>
      <c r="J94" s="191">
        <v>0.69199999999999995</v>
      </c>
      <c r="K94" s="361">
        <v>1.3834486339668463E-3</v>
      </c>
      <c r="L94" s="362">
        <v>1.3474588151851908E-3</v>
      </c>
      <c r="M94" s="362">
        <v>1.2754791776218792E-3</v>
      </c>
      <c r="N94" s="362">
        <v>1.1516742010129835E-3</v>
      </c>
      <c r="O94" s="362">
        <v>1.0581006721806785E-3</v>
      </c>
      <c r="P94" s="363">
        <v>9.9619818387623065E-4</v>
      </c>
      <c r="Q94" s="273">
        <v>126.51477396311961</v>
      </c>
      <c r="R94" s="273">
        <v>124.76618760192517</v>
      </c>
      <c r="S94" s="273">
        <v>111.53407901293102</v>
      </c>
      <c r="T94" s="273">
        <v>97.501333068852986</v>
      </c>
      <c r="U94" s="273">
        <v>88.589555083856439</v>
      </c>
      <c r="V94" s="273">
        <f t="shared" si="54"/>
        <v>85.661916087962979</v>
      </c>
      <c r="W94" s="273">
        <f t="shared" si="55"/>
        <v>83.433458333333363</v>
      </c>
      <c r="X94" s="273">
        <f t="shared" si="56"/>
        <v>78.976542824074087</v>
      </c>
      <c r="Y94" s="273">
        <f t="shared" si="57"/>
        <v>71.310648148148161</v>
      </c>
      <c r="Z94" s="273">
        <f t="shared" si="58"/>
        <v>65.516657986111127</v>
      </c>
      <c r="AA94" s="273">
        <f t="shared" si="59"/>
        <v>61.683710648148157</v>
      </c>
      <c r="AB94" s="100">
        <v>770</v>
      </c>
      <c r="AC94" s="101" t="s">
        <v>100</v>
      </c>
      <c r="AD94" s="159"/>
      <c r="AE94" s="159"/>
      <c r="AF94" s="164"/>
      <c r="AG94" s="164"/>
      <c r="AH94" s="164"/>
      <c r="AI94" s="159">
        <f t="shared" si="60"/>
        <v>2604375.9502513451</v>
      </c>
      <c r="AJ94" s="159">
        <f t="shared" si="49"/>
        <v>2565072.3072233428</v>
      </c>
      <c r="AK94" s="159">
        <f t="shared" si="50"/>
        <v>2475904.0507565564</v>
      </c>
      <c r="AL94" s="159">
        <f t="shared" si="51"/>
        <v>2296754.2198014101</v>
      </c>
      <c r="AM94" s="159">
        <f t="shared" si="52"/>
        <v>2173402.9769191113</v>
      </c>
      <c r="AN94" s="159">
        <f t="shared" si="53"/>
        <v>2111358.7745374963</v>
      </c>
    </row>
    <row r="95" spans="1:40" x14ac:dyDescent="0.35">
      <c r="A95" s="46">
        <v>1903</v>
      </c>
      <c r="B95" s="240" t="s">
        <v>101</v>
      </c>
      <c r="C95" s="364">
        <v>61.233796296296298</v>
      </c>
      <c r="D95" s="365">
        <v>9.8893202145660438E-4</v>
      </c>
      <c r="E95" s="191">
        <v>0.88600000000000001</v>
      </c>
      <c r="F95" s="191">
        <v>0.82899999999999996</v>
      </c>
      <c r="G95" s="191">
        <v>0.755</v>
      </c>
      <c r="H95" s="191">
        <v>0.69299999999999995</v>
      </c>
      <c r="I95" s="191">
        <v>0.64100000000000001</v>
      </c>
      <c r="J95" s="191">
        <v>0.57199999999999995</v>
      </c>
      <c r="K95" s="361">
        <v>8.7619377101055146E-4</v>
      </c>
      <c r="L95" s="362">
        <v>8.1982464578752494E-4</v>
      </c>
      <c r="M95" s="362">
        <v>7.4664367619973636E-4</v>
      </c>
      <c r="N95" s="362">
        <v>6.8532989086942677E-4</v>
      </c>
      <c r="O95" s="362">
        <v>6.3390542575368343E-4</v>
      </c>
      <c r="P95" s="363">
        <v>5.656691162731777E-4</v>
      </c>
      <c r="Q95" s="273">
        <v>85.708333333333343</v>
      </c>
      <c r="R95" s="273">
        <v>78.731481481481495</v>
      </c>
      <c r="S95" s="273">
        <v>70.0843079162523</v>
      </c>
      <c r="T95" s="273">
        <v>66.438970219077277</v>
      </c>
      <c r="U95" s="273">
        <v>60.996715617827903</v>
      </c>
      <c r="V95" s="273">
        <f t="shared" si="54"/>
        <v>54.25314351851852</v>
      </c>
      <c r="W95" s="273">
        <f t="shared" si="55"/>
        <v>50.762817129629632</v>
      </c>
      <c r="X95" s="273">
        <f t="shared" si="56"/>
        <v>46.231516203703706</v>
      </c>
      <c r="Y95" s="273">
        <f t="shared" si="57"/>
        <v>42.435020833333333</v>
      </c>
      <c r="Z95" s="273">
        <f t="shared" si="58"/>
        <v>39.250863425925928</v>
      </c>
      <c r="AA95" s="273">
        <f t="shared" si="59"/>
        <v>35.025731481481479</v>
      </c>
      <c r="AB95" s="100">
        <v>1903</v>
      </c>
      <c r="AC95" s="101" t="s">
        <v>101</v>
      </c>
      <c r="AD95" s="159"/>
      <c r="AE95" s="159"/>
      <c r="AF95" s="164"/>
      <c r="AG95" s="164"/>
      <c r="AH95" s="164"/>
      <c r="AI95" s="159">
        <f t="shared" si="60"/>
        <v>1649456.2421423446</v>
      </c>
      <c r="AJ95" s="159">
        <f t="shared" si="49"/>
        <v>1560648.4383715645</v>
      </c>
      <c r="AK95" s="159">
        <f t="shared" si="50"/>
        <v>1449351.8473750609</v>
      </c>
      <c r="AL95" s="159">
        <f t="shared" si="51"/>
        <v>1366735.7638348721</v>
      </c>
      <c r="AM95" s="159">
        <f t="shared" si="52"/>
        <v>1302080.2043144098</v>
      </c>
      <c r="AN95" s="159">
        <f t="shared" si="53"/>
        <v>1198888.405398489</v>
      </c>
    </row>
    <row r="96" spans="1:40" x14ac:dyDescent="0.35">
      <c r="A96" s="46">
        <v>772</v>
      </c>
      <c r="B96" s="240" t="s">
        <v>102</v>
      </c>
      <c r="C96" s="364">
        <v>1132.2997685185201</v>
      </c>
      <c r="D96" s="365">
        <v>1.8286756116794832E-2</v>
      </c>
      <c r="E96" s="191">
        <v>0.95499999999999996</v>
      </c>
      <c r="F96" s="191">
        <v>0.90300000000000002</v>
      </c>
      <c r="G96" s="191">
        <v>0.86099999999999999</v>
      </c>
      <c r="H96" s="191">
        <v>0.80800000000000005</v>
      </c>
      <c r="I96" s="191">
        <v>0.75700000000000001</v>
      </c>
      <c r="J96" s="191">
        <v>0.71</v>
      </c>
      <c r="K96" s="361">
        <v>1.7463852091539063E-2</v>
      </c>
      <c r="L96" s="362">
        <v>1.6512940773465733E-2</v>
      </c>
      <c r="M96" s="362">
        <v>1.5744897016560351E-2</v>
      </c>
      <c r="N96" s="362">
        <v>1.4775698942370226E-2</v>
      </c>
      <c r="O96" s="362">
        <v>1.3843074380413689E-2</v>
      </c>
      <c r="P96" s="363">
        <v>1.2983596842924329E-2</v>
      </c>
      <c r="Q96" s="273">
        <v>1469.2184644890062</v>
      </c>
      <c r="R96" s="273">
        <v>1378.0342293095307</v>
      </c>
      <c r="S96" s="273">
        <v>1315.8886129632733</v>
      </c>
      <c r="T96" s="273">
        <v>1217.0639955233535</v>
      </c>
      <c r="U96" s="273">
        <v>1155.2181381332691</v>
      </c>
      <c r="V96" s="273">
        <f t="shared" si="54"/>
        <v>1081.3462789351865</v>
      </c>
      <c r="W96" s="273">
        <f t="shared" si="55"/>
        <v>1022.4666909722237</v>
      </c>
      <c r="X96" s="273">
        <f t="shared" si="56"/>
        <v>974.91010069444576</v>
      </c>
      <c r="Y96" s="273">
        <f t="shared" si="57"/>
        <v>914.89821296296429</v>
      </c>
      <c r="Z96" s="273">
        <f t="shared" si="58"/>
        <v>857.15092476851964</v>
      </c>
      <c r="AA96" s="273">
        <f t="shared" si="59"/>
        <v>803.93283564814919</v>
      </c>
      <c r="AB96" s="100">
        <v>772</v>
      </c>
      <c r="AC96" s="101" t="s">
        <v>102</v>
      </c>
      <c r="AD96" s="159"/>
      <c r="AE96" s="159"/>
      <c r="AF96" s="164"/>
      <c r="AG96" s="164"/>
      <c r="AH96" s="164"/>
      <c r="AI96" s="159">
        <f t="shared" si="60"/>
        <v>32876129.455949832</v>
      </c>
      <c r="AJ96" s="159">
        <f t="shared" si="49"/>
        <v>31434643.205042791</v>
      </c>
      <c r="AK96" s="159">
        <f t="shared" si="50"/>
        <v>30563301.217296097</v>
      </c>
      <c r="AL96" s="159">
        <f t="shared" si="51"/>
        <v>29466796.136055388</v>
      </c>
      <c r="AM96" s="159">
        <f t="shared" si="52"/>
        <v>28434514.653598376</v>
      </c>
      <c r="AN96" s="159">
        <f t="shared" si="53"/>
        <v>27517648.157820236</v>
      </c>
    </row>
    <row r="97" spans="1:40" x14ac:dyDescent="0.35">
      <c r="A97" s="46">
        <v>230</v>
      </c>
      <c r="B97" s="240" t="s">
        <v>103</v>
      </c>
      <c r="C97" s="364">
        <v>109.54629629629601</v>
      </c>
      <c r="D97" s="365">
        <v>1.7691837970518359E-3</v>
      </c>
      <c r="E97" s="191">
        <v>0.95199999999999996</v>
      </c>
      <c r="F97" s="191">
        <v>0.91600000000000004</v>
      </c>
      <c r="G97" s="191">
        <v>0.879</v>
      </c>
      <c r="H97" s="191">
        <v>0.82</v>
      </c>
      <c r="I97" s="191">
        <v>0.77300000000000002</v>
      </c>
      <c r="J97" s="191">
        <v>0.71499999999999997</v>
      </c>
      <c r="K97" s="361">
        <v>1.6842629747933478E-3</v>
      </c>
      <c r="L97" s="362">
        <v>1.6205723580994817E-3</v>
      </c>
      <c r="M97" s="362">
        <v>1.5551125576085637E-3</v>
      </c>
      <c r="N97" s="362">
        <v>1.4507307135825053E-3</v>
      </c>
      <c r="O97" s="362">
        <v>1.3675790751210691E-3</v>
      </c>
      <c r="P97" s="363">
        <v>1.2649664148920625E-3</v>
      </c>
      <c r="Q97" s="273">
        <v>135.68502864422294</v>
      </c>
      <c r="R97" s="273">
        <v>127.62839390959338</v>
      </c>
      <c r="S97" s="273">
        <v>122.726631896003</v>
      </c>
      <c r="T97" s="273">
        <v>115.95640122684033</v>
      </c>
      <c r="U97" s="273">
        <v>108.76784460336245</v>
      </c>
      <c r="V97" s="273">
        <f t="shared" si="54"/>
        <v>104.28807407407379</v>
      </c>
      <c r="W97" s="273">
        <f t="shared" si="55"/>
        <v>100.34440740740715</v>
      </c>
      <c r="X97" s="273">
        <f t="shared" si="56"/>
        <v>96.291194444444187</v>
      </c>
      <c r="Y97" s="273">
        <f t="shared" si="57"/>
        <v>89.827962962962715</v>
      </c>
      <c r="Z97" s="273">
        <f t="shared" si="58"/>
        <v>84.679287037036815</v>
      </c>
      <c r="AA97" s="273">
        <f t="shared" si="59"/>
        <v>78.325601851851644</v>
      </c>
      <c r="AB97" s="100">
        <v>230</v>
      </c>
      <c r="AC97" s="101" t="s">
        <v>103</v>
      </c>
      <c r="AD97" s="159"/>
      <c r="AE97" s="159"/>
      <c r="AF97" s="164"/>
      <c r="AG97" s="164"/>
      <c r="AH97" s="164"/>
      <c r="AI97" s="159">
        <f t="shared" si="60"/>
        <v>3170666.3173124371</v>
      </c>
      <c r="AJ97" s="159">
        <f t="shared" si="49"/>
        <v>3084981.3224468022</v>
      </c>
      <c r="AK97" s="159">
        <f t="shared" si="50"/>
        <v>3018716.0624168748</v>
      </c>
      <c r="AL97" s="159">
        <f t="shared" si="51"/>
        <v>2893154.9263545303</v>
      </c>
      <c r="AM97" s="159">
        <f t="shared" si="52"/>
        <v>2809090.3929913342</v>
      </c>
      <c r="AN97" s="159">
        <f t="shared" si="53"/>
        <v>2680990.5727648069</v>
      </c>
    </row>
    <row r="98" spans="1:40" x14ac:dyDescent="0.35">
      <c r="A98" s="46">
        <v>114</v>
      </c>
      <c r="B98" s="240" t="s">
        <v>104</v>
      </c>
      <c r="C98" s="364">
        <v>844.79108796296396</v>
      </c>
      <c r="D98" s="365">
        <v>1.364346176227962E-2</v>
      </c>
      <c r="E98" s="191">
        <v>0.93899999999999995</v>
      </c>
      <c r="F98" s="191">
        <v>0.88700000000000001</v>
      </c>
      <c r="G98" s="191">
        <v>0.82399999999999995</v>
      </c>
      <c r="H98" s="191">
        <v>0.76700000000000002</v>
      </c>
      <c r="I98" s="191">
        <v>0.71</v>
      </c>
      <c r="J98" s="191">
        <v>0.65600000000000003</v>
      </c>
      <c r="K98" s="361">
        <v>1.2811210594780563E-2</v>
      </c>
      <c r="L98" s="362">
        <v>1.2101750583142024E-2</v>
      </c>
      <c r="M98" s="362">
        <v>1.1242212492118406E-2</v>
      </c>
      <c r="N98" s="362">
        <v>1.046453517166847E-2</v>
      </c>
      <c r="O98" s="362">
        <v>9.6868578512185298E-3</v>
      </c>
      <c r="P98" s="363">
        <v>8.9501109160554319E-3</v>
      </c>
      <c r="Q98" s="273">
        <v>1071.9390967349082</v>
      </c>
      <c r="R98" s="273">
        <v>1010.7523633609509</v>
      </c>
      <c r="S98" s="273">
        <v>959.36640816106694</v>
      </c>
      <c r="T98" s="273">
        <v>895.72597166429296</v>
      </c>
      <c r="U98" s="273">
        <v>849.77546407891055</v>
      </c>
      <c r="V98" s="273">
        <f t="shared" si="54"/>
        <v>793.25883159722309</v>
      </c>
      <c r="W98" s="273">
        <f t="shared" si="55"/>
        <v>749.32969502314904</v>
      </c>
      <c r="X98" s="273">
        <f t="shared" si="56"/>
        <v>696.10785648148226</v>
      </c>
      <c r="Y98" s="273">
        <f t="shared" si="57"/>
        <v>647.95476446759335</v>
      </c>
      <c r="Z98" s="273">
        <f t="shared" si="58"/>
        <v>599.80167245370433</v>
      </c>
      <c r="AA98" s="273">
        <f t="shared" si="59"/>
        <v>554.18295370370436</v>
      </c>
      <c r="AB98" s="100">
        <v>114</v>
      </c>
      <c r="AC98" s="101" t="s">
        <v>104</v>
      </c>
      <c r="AD98" s="159"/>
      <c r="AE98" s="159"/>
      <c r="AF98" s="164"/>
      <c r="AG98" s="164"/>
      <c r="AH98" s="164"/>
      <c r="AI98" s="159">
        <f t="shared" si="60"/>
        <v>24117417.84079228</v>
      </c>
      <c r="AJ98" s="159">
        <f t="shared" ref="AJ98:AJ114" si="75">+W98*AJ$8</f>
        <v>23037338.833599333</v>
      </c>
      <c r="AK98" s="159">
        <f t="shared" ref="AK98:AK114" si="76">+X98*AK$8</f>
        <v>21822888.163959991</v>
      </c>
      <c r="AL98" s="159">
        <f t="shared" ref="AL98:AL114" si="77">+Y98*AL$8</f>
        <v>20869153.179475345</v>
      </c>
      <c r="AM98" s="159">
        <f t="shared" ref="AM98:AM114" si="78">+Z98*AM$8</f>
        <v>19897393.739898868</v>
      </c>
      <c r="AN98" s="159">
        <f t="shared" ref="AN98:AN114" si="79">+AA98*AN$8</f>
        <v>18969011.911032803</v>
      </c>
    </row>
    <row r="99" spans="1:40" x14ac:dyDescent="0.35">
      <c r="A99" s="46">
        <v>388</v>
      </c>
      <c r="B99" s="240" t="s">
        <v>105</v>
      </c>
      <c r="C99" s="364">
        <v>55.252314814814802</v>
      </c>
      <c r="D99" s="365">
        <v>8.9233048879702422E-4</v>
      </c>
      <c r="E99" s="191">
        <v>0.97499999999999998</v>
      </c>
      <c r="F99" s="191">
        <v>0.91700000000000004</v>
      </c>
      <c r="G99" s="191">
        <v>0.85099999999999998</v>
      </c>
      <c r="H99" s="191">
        <v>0.78500000000000003</v>
      </c>
      <c r="I99" s="191">
        <v>0.751</v>
      </c>
      <c r="J99" s="191">
        <v>0.68700000000000006</v>
      </c>
      <c r="K99" s="361">
        <v>8.7002222657709858E-4</v>
      </c>
      <c r="L99" s="362">
        <v>8.1826705822687126E-4</v>
      </c>
      <c r="M99" s="362">
        <v>7.5937324596626757E-4</v>
      </c>
      <c r="N99" s="362">
        <v>7.0047943370566399E-4</v>
      </c>
      <c r="O99" s="362">
        <v>6.7014019708656523E-4</v>
      </c>
      <c r="P99" s="363">
        <v>6.1303104580355571E-4</v>
      </c>
      <c r="Q99" s="273">
        <v>70.5763888888889</v>
      </c>
      <c r="R99" s="273">
        <v>65.539351851851805</v>
      </c>
      <c r="S99" s="273">
        <v>58.871029177768861</v>
      </c>
      <c r="T99" s="273">
        <v>56.157532285843118</v>
      </c>
      <c r="U99" s="273">
        <v>55.264114086174743</v>
      </c>
      <c r="V99" s="273">
        <f t="shared" si="54"/>
        <v>53.871006944444431</v>
      </c>
      <c r="W99" s="273">
        <f t="shared" si="55"/>
        <v>50.666372685185173</v>
      </c>
      <c r="X99" s="273">
        <f t="shared" si="56"/>
        <v>47.019719907407392</v>
      </c>
      <c r="Y99" s="273">
        <f t="shared" si="57"/>
        <v>43.373067129629625</v>
      </c>
      <c r="Z99" s="273">
        <f t="shared" si="58"/>
        <v>41.494488425925915</v>
      </c>
      <c r="AA99" s="273">
        <f t="shared" si="59"/>
        <v>37.958340277777772</v>
      </c>
      <c r="AB99" s="100">
        <v>388</v>
      </c>
      <c r="AC99" s="101" t="s">
        <v>105</v>
      </c>
      <c r="AD99" s="159"/>
      <c r="AE99" s="159"/>
      <c r="AF99" s="164"/>
      <c r="AG99" s="164"/>
      <c r="AH99" s="164"/>
      <c r="AI99" s="159">
        <f t="shared" si="60"/>
        <v>1637838.1585331941</v>
      </c>
      <c r="AJ99" s="159">
        <f t="shared" si="75"/>
        <v>1557683.3572329921</v>
      </c>
      <c r="AK99" s="159">
        <f t="shared" si="76"/>
        <v>1474061.928027343</v>
      </c>
      <c r="AL99" s="159">
        <f t="shared" si="77"/>
        <v>1396948.107227288</v>
      </c>
      <c r="AM99" s="159">
        <f t="shared" si="78"/>
        <v>1376508.6230399779</v>
      </c>
      <c r="AN99" s="159">
        <f t="shared" si="79"/>
        <v>1299268.0558651218</v>
      </c>
    </row>
    <row r="100" spans="1:40" x14ac:dyDescent="0.35">
      <c r="A100" s="46">
        <v>153</v>
      </c>
      <c r="B100" s="240" t="s">
        <v>106</v>
      </c>
      <c r="C100" s="364">
        <v>889.46875000000102</v>
      </c>
      <c r="D100" s="365">
        <v>1.4365010536071952E-2</v>
      </c>
      <c r="E100" s="191">
        <v>0.94299999999999995</v>
      </c>
      <c r="F100" s="191">
        <v>0.88500000000000001</v>
      </c>
      <c r="G100" s="191">
        <v>0.81499999999999995</v>
      </c>
      <c r="H100" s="191">
        <v>0.76200000000000001</v>
      </c>
      <c r="I100" s="191">
        <v>0.68899999999999995</v>
      </c>
      <c r="J100" s="191">
        <v>0.63600000000000001</v>
      </c>
      <c r="K100" s="361">
        <v>1.354620493551585E-2</v>
      </c>
      <c r="L100" s="362">
        <v>1.2713034324423677E-2</v>
      </c>
      <c r="M100" s="362">
        <v>1.170748358689864E-2</v>
      </c>
      <c r="N100" s="362">
        <v>1.0946138028486827E-2</v>
      </c>
      <c r="O100" s="362">
        <v>9.8974922593535741E-3</v>
      </c>
      <c r="P100" s="363">
        <v>9.1361467009417607E-3</v>
      </c>
      <c r="Q100" s="273">
        <v>1232.6826794441754</v>
      </c>
      <c r="R100" s="273">
        <v>1155.9386859076469</v>
      </c>
      <c r="S100" s="273">
        <v>1062.6578905476085</v>
      </c>
      <c r="T100" s="273">
        <v>977.36647151748355</v>
      </c>
      <c r="U100" s="273">
        <v>901.84443375319961</v>
      </c>
      <c r="V100" s="273">
        <f t="shared" si="54"/>
        <v>838.76903125000092</v>
      </c>
      <c r="W100" s="273">
        <f t="shared" si="55"/>
        <v>787.17984375000094</v>
      </c>
      <c r="X100" s="273">
        <f t="shared" si="56"/>
        <v>724.91703125000083</v>
      </c>
      <c r="Y100" s="273">
        <f t="shared" si="57"/>
        <v>677.77518750000081</v>
      </c>
      <c r="Z100" s="273">
        <f t="shared" si="58"/>
        <v>612.84396875000061</v>
      </c>
      <c r="AA100" s="273">
        <f t="shared" si="59"/>
        <v>565.70212500000071</v>
      </c>
      <c r="AB100" s="100">
        <v>153</v>
      </c>
      <c r="AC100" s="101" t="s">
        <v>106</v>
      </c>
      <c r="AD100" s="159"/>
      <c r="AE100" s="159"/>
      <c r="AF100" s="164"/>
      <c r="AG100" s="164"/>
      <c r="AH100" s="164"/>
      <c r="AI100" s="159">
        <f t="shared" si="60"/>
        <v>25501062.695818897</v>
      </c>
      <c r="AJ100" s="159">
        <f t="shared" si="75"/>
        <v>24201001.113252722</v>
      </c>
      <c r="AK100" s="159">
        <f t="shared" si="76"/>
        <v>22726051.938388795</v>
      </c>
      <c r="AL100" s="159">
        <f t="shared" si="77"/>
        <v>21829601.362384249</v>
      </c>
      <c r="AM100" s="159">
        <f t="shared" si="78"/>
        <v>20330049.593655031</v>
      </c>
      <c r="AN100" s="159">
        <f t="shared" si="79"/>
        <v>19363299.205624506</v>
      </c>
    </row>
    <row r="101" spans="1:40" x14ac:dyDescent="0.35">
      <c r="A101" s="46">
        <v>232</v>
      </c>
      <c r="B101" s="240" t="s">
        <v>107</v>
      </c>
      <c r="C101" s="364">
        <v>136.76273148148101</v>
      </c>
      <c r="D101" s="365">
        <v>2.2087319860011403E-3</v>
      </c>
      <c r="E101" s="191">
        <v>0.95399999999999996</v>
      </c>
      <c r="F101" s="191">
        <v>0.91200000000000003</v>
      </c>
      <c r="G101" s="191">
        <v>0.81799999999999995</v>
      </c>
      <c r="H101" s="191">
        <v>0.76400000000000001</v>
      </c>
      <c r="I101" s="191">
        <v>0.71799999999999997</v>
      </c>
      <c r="J101" s="191">
        <v>0.67300000000000004</v>
      </c>
      <c r="K101" s="361">
        <v>2.1071303146450878E-3</v>
      </c>
      <c r="L101" s="362">
        <v>2.01436357123304E-3</v>
      </c>
      <c r="M101" s="362">
        <v>1.8067427645489327E-3</v>
      </c>
      <c r="N101" s="362">
        <v>1.6874712373048713E-3</v>
      </c>
      <c r="O101" s="362">
        <v>1.5858695659488188E-3</v>
      </c>
      <c r="P101" s="363">
        <v>1.4864766265787676E-3</v>
      </c>
      <c r="Q101" s="273">
        <v>187.74206419966615</v>
      </c>
      <c r="R101" s="273">
        <v>180.35206595948389</v>
      </c>
      <c r="S101" s="273">
        <v>172.5491500351749</v>
      </c>
      <c r="T101" s="273">
        <v>152.54621235551994</v>
      </c>
      <c r="U101" s="273">
        <v>137.70769889122315</v>
      </c>
      <c r="V101" s="273">
        <f t="shared" si="54"/>
        <v>130.47164583333287</v>
      </c>
      <c r="W101" s="273">
        <f t="shared" si="55"/>
        <v>124.72761111111069</v>
      </c>
      <c r="X101" s="273">
        <f t="shared" si="56"/>
        <v>111.87191435185146</v>
      </c>
      <c r="Y101" s="273">
        <f t="shared" si="57"/>
        <v>104.4867268518515</v>
      </c>
      <c r="Z101" s="273">
        <f t="shared" si="58"/>
        <v>98.19564120370336</v>
      </c>
      <c r="AA101" s="273">
        <f t="shared" si="59"/>
        <v>92.041318287036731</v>
      </c>
      <c r="AB101" s="100">
        <v>232</v>
      </c>
      <c r="AC101" s="101" t="s">
        <v>107</v>
      </c>
      <c r="AD101" s="159"/>
      <c r="AE101" s="159"/>
      <c r="AF101" s="164"/>
      <c r="AG101" s="164"/>
      <c r="AH101" s="164"/>
      <c r="AI101" s="159">
        <f t="shared" si="60"/>
        <v>3966724.4455414508</v>
      </c>
      <c r="AJ101" s="159">
        <f t="shared" si="75"/>
        <v>3834616.8023987068</v>
      </c>
      <c r="AK101" s="159">
        <f t="shared" si="76"/>
        <v>3507169.5468696523</v>
      </c>
      <c r="AL101" s="159">
        <f t="shared" si="77"/>
        <v>3365280.4601027765</v>
      </c>
      <c r="AM101" s="159">
        <f t="shared" si="78"/>
        <v>3257472.3051021993</v>
      </c>
      <c r="AN101" s="159">
        <f t="shared" si="79"/>
        <v>3150462.9495107667</v>
      </c>
    </row>
    <row r="102" spans="1:40" x14ac:dyDescent="0.35">
      <c r="A102" s="46">
        <v>233</v>
      </c>
      <c r="B102" s="240" t="s">
        <v>108</v>
      </c>
      <c r="C102" s="364">
        <v>112.25462962963</v>
      </c>
      <c r="D102" s="365">
        <v>1.8129236551059134E-3</v>
      </c>
      <c r="E102" s="191">
        <v>0.95499999999999996</v>
      </c>
      <c r="F102" s="191">
        <v>0.91600000000000004</v>
      </c>
      <c r="G102" s="191">
        <v>0.87</v>
      </c>
      <c r="H102" s="191">
        <v>0.81</v>
      </c>
      <c r="I102" s="191">
        <v>0.77</v>
      </c>
      <c r="J102" s="191">
        <v>0.71799999999999997</v>
      </c>
      <c r="K102" s="361">
        <v>1.7313420906261473E-3</v>
      </c>
      <c r="L102" s="362">
        <v>1.6606380680770168E-3</v>
      </c>
      <c r="M102" s="362">
        <v>1.5772435799421447E-3</v>
      </c>
      <c r="N102" s="362">
        <v>1.4684681606357899E-3</v>
      </c>
      <c r="O102" s="362">
        <v>1.3959512144315533E-3</v>
      </c>
      <c r="P102" s="363">
        <v>1.3016791843660459E-3</v>
      </c>
      <c r="Q102" s="273">
        <v>139.56569834206184</v>
      </c>
      <c r="R102" s="273">
        <v>132.85702751345406</v>
      </c>
      <c r="S102" s="273">
        <v>130.91517587960104</v>
      </c>
      <c r="T102" s="273">
        <v>122.29132445131154</v>
      </c>
      <c r="U102" s="273">
        <v>116.03350341276006</v>
      </c>
      <c r="V102" s="273">
        <f t="shared" si="54"/>
        <v>107.20317129629665</v>
      </c>
      <c r="W102" s="273">
        <f t="shared" si="55"/>
        <v>102.82524074074108</v>
      </c>
      <c r="X102" s="273">
        <f t="shared" si="56"/>
        <v>97.661527777778105</v>
      </c>
      <c r="Y102" s="273">
        <f t="shared" si="57"/>
        <v>90.926250000000309</v>
      </c>
      <c r="Z102" s="273">
        <f t="shared" si="58"/>
        <v>86.436064814815097</v>
      </c>
      <c r="AA102" s="273">
        <f t="shared" si="59"/>
        <v>80.598824074074344</v>
      </c>
      <c r="AB102" s="100">
        <v>233</v>
      </c>
      <c r="AC102" s="101" t="s">
        <v>108</v>
      </c>
      <c r="AD102" s="159"/>
      <c r="AE102" s="159"/>
      <c r="AF102" s="164"/>
      <c r="AG102" s="164"/>
      <c r="AH102" s="164"/>
      <c r="AI102" s="159">
        <f t="shared" si="60"/>
        <v>3259293.906384876</v>
      </c>
      <c r="AJ102" s="159">
        <f t="shared" si="75"/>
        <v>3161251.8859508093</v>
      </c>
      <c r="AK102" s="159">
        <f t="shared" si="76"/>
        <v>3061675.8290712079</v>
      </c>
      <c r="AL102" s="159">
        <f t="shared" si="77"/>
        <v>2928528.2605251689</v>
      </c>
      <c r="AM102" s="159">
        <f t="shared" si="78"/>
        <v>2867368.48850741</v>
      </c>
      <c r="AN102" s="159">
        <f t="shared" si="79"/>
        <v>2758800.2186977663</v>
      </c>
    </row>
    <row r="103" spans="1:40" x14ac:dyDescent="0.35">
      <c r="A103" s="46">
        <v>777</v>
      </c>
      <c r="B103" s="240" t="s">
        <v>109</v>
      </c>
      <c r="C103" s="364">
        <v>188.50925925925901</v>
      </c>
      <c r="D103" s="365">
        <v>3.044443658539293E-3</v>
      </c>
      <c r="E103" s="191">
        <v>0.93700000000000006</v>
      </c>
      <c r="F103" s="191">
        <v>0.88700000000000001</v>
      </c>
      <c r="G103" s="191">
        <v>0.84199999999999997</v>
      </c>
      <c r="H103" s="191">
        <v>0.80100000000000005</v>
      </c>
      <c r="I103" s="191">
        <v>0.75600000000000001</v>
      </c>
      <c r="J103" s="191">
        <v>0.7</v>
      </c>
      <c r="K103" s="361">
        <v>2.8526437080513179E-3</v>
      </c>
      <c r="L103" s="362">
        <v>2.700421525124353E-3</v>
      </c>
      <c r="M103" s="362">
        <v>2.5634215604900847E-3</v>
      </c>
      <c r="N103" s="362">
        <v>2.4385993704899738E-3</v>
      </c>
      <c r="O103" s="362">
        <v>2.3015994058557055E-3</v>
      </c>
      <c r="P103" s="363">
        <v>2.1311105609775048E-3</v>
      </c>
      <c r="Q103" s="273">
        <v>233.18225110784837</v>
      </c>
      <c r="R103" s="273">
        <v>225.29432008939202</v>
      </c>
      <c r="S103" s="273">
        <v>218.43690257994695</v>
      </c>
      <c r="T103" s="273">
        <v>205.47439080730581</v>
      </c>
      <c r="U103" s="273">
        <v>193.45426204291499</v>
      </c>
      <c r="V103" s="273">
        <f t="shared" si="54"/>
        <v>176.63317592592571</v>
      </c>
      <c r="W103" s="273">
        <f t="shared" si="55"/>
        <v>167.20771296296274</v>
      </c>
      <c r="X103" s="273">
        <f t="shared" si="56"/>
        <v>158.72479629629609</v>
      </c>
      <c r="Y103" s="273">
        <f t="shared" si="57"/>
        <v>150.99591666666649</v>
      </c>
      <c r="Z103" s="273">
        <f t="shared" si="58"/>
        <v>142.51299999999981</v>
      </c>
      <c r="AA103" s="273">
        <f t="shared" si="59"/>
        <v>131.95648148148129</v>
      </c>
      <c r="AB103" s="100">
        <v>777</v>
      </c>
      <c r="AC103" s="101" t="s">
        <v>109</v>
      </c>
      <c r="AD103" s="159"/>
      <c r="AE103" s="159"/>
      <c r="AF103" s="164"/>
      <c r="AG103" s="164"/>
      <c r="AH103" s="164"/>
      <c r="AI103" s="159">
        <f t="shared" si="60"/>
        <v>5370171.6749555254</v>
      </c>
      <c r="AJ103" s="159">
        <f t="shared" si="75"/>
        <v>5140622.0315344529</v>
      </c>
      <c r="AK103" s="159">
        <f t="shared" si="76"/>
        <v>4976001.127080434</v>
      </c>
      <c r="AL103" s="159">
        <f t="shared" si="77"/>
        <v>4863235.9652161468</v>
      </c>
      <c r="AM103" s="159">
        <f t="shared" si="78"/>
        <v>4727624.8204744244</v>
      </c>
      <c r="AN103" s="159">
        <f t="shared" si="79"/>
        <v>4516710.6859415956</v>
      </c>
    </row>
    <row r="104" spans="1:40" x14ac:dyDescent="0.35">
      <c r="A104" s="46">
        <v>779</v>
      </c>
      <c r="B104" s="240" t="s">
        <v>110</v>
      </c>
      <c r="C104" s="364">
        <v>65.1736111111111</v>
      </c>
      <c r="D104" s="365">
        <v>1.0525604303523489E-3</v>
      </c>
      <c r="E104" s="191">
        <v>0.95499999999999996</v>
      </c>
      <c r="F104" s="191">
        <v>0.91200000000000003</v>
      </c>
      <c r="G104" s="191">
        <v>0.88800000000000001</v>
      </c>
      <c r="H104" s="191">
        <v>0.82599999999999996</v>
      </c>
      <c r="I104" s="191">
        <v>0.79100000000000004</v>
      </c>
      <c r="J104" s="191">
        <v>0.7</v>
      </c>
      <c r="K104" s="361">
        <v>1.0051952109864932E-3</v>
      </c>
      <c r="L104" s="362">
        <v>9.5993511248134225E-4</v>
      </c>
      <c r="M104" s="362">
        <v>9.3467366215288592E-4</v>
      </c>
      <c r="N104" s="362">
        <v>8.6941491547104022E-4</v>
      </c>
      <c r="O104" s="362">
        <v>8.32575300408708E-4</v>
      </c>
      <c r="P104" s="363">
        <v>7.3679230124664417E-4</v>
      </c>
      <c r="Q104" s="273">
        <v>80.849537037037038</v>
      </c>
      <c r="R104" s="273">
        <v>76.768518518518505</v>
      </c>
      <c r="S104" s="273">
        <v>72.405682457177505</v>
      </c>
      <c r="T104" s="273">
        <v>66.336520654074974</v>
      </c>
      <c r="U104" s="273">
        <v>64.636086424752591</v>
      </c>
      <c r="V104" s="273">
        <f t="shared" si="54"/>
        <v>62.240798611111096</v>
      </c>
      <c r="W104" s="273">
        <f t="shared" si="55"/>
        <v>59.438333333333325</v>
      </c>
      <c r="X104" s="273">
        <f t="shared" si="56"/>
        <v>57.87416666666666</v>
      </c>
      <c r="Y104" s="273">
        <f t="shared" si="57"/>
        <v>53.833402777777764</v>
      </c>
      <c r="Z104" s="273">
        <f t="shared" si="58"/>
        <v>51.552326388888879</v>
      </c>
      <c r="AA104" s="273">
        <f t="shared" si="59"/>
        <v>45.621527777777764</v>
      </c>
      <c r="AB104" s="100">
        <v>779</v>
      </c>
      <c r="AC104" s="101" t="s">
        <v>110</v>
      </c>
      <c r="AD104" s="159"/>
      <c r="AE104" s="159"/>
      <c r="AF104" s="164"/>
      <c r="AG104" s="164"/>
      <c r="AH104" s="164"/>
      <c r="AI104" s="159">
        <f t="shared" si="60"/>
        <v>1892304.6136484072</v>
      </c>
      <c r="AJ104" s="159">
        <f t="shared" si="75"/>
        <v>1827367.8913286892</v>
      </c>
      <c r="AK104" s="159">
        <f t="shared" si="76"/>
        <v>1814347.3816440762</v>
      </c>
      <c r="AL104" s="159">
        <f t="shared" si="77"/>
        <v>1733851.7908189963</v>
      </c>
      <c r="AM104" s="159">
        <f t="shared" si="78"/>
        <v>1710160.1803997534</v>
      </c>
      <c r="AN104" s="159">
        <f t="shared" si="79"/>
        <v>1561569.6910787092</v>
      </c>
    </row>
    <row r="105" spans="1:40" x14ac:dyDescent="0.35">
      <c r="A105" s="46">
        <v>1771</v>
      </c>
      <c r="B105" s="240" t="s">
        <v>111</v>
      </c>
      <c r="C105" s="364">
        <v>53.3368055555556</v>
      </c>
      <c r="D105" s="365">
        <v>8.6139481995964036E-4</v>
      </c>
      <c r="E105" s="191">
        <v>0.95299999999999996</v>
      </c>
      <c r="F105" s="191">
        <v>0.88900000000000001</v>
      </c>
      <c r="G105" s="191">
        <v>0.79</v>
      </c>
      <c r="H105" s="191">
        <v>0.74299999999999999</v>
      </c>
      <c r="I105" s="191">
        <v>0.69699999999999995</v>
      </c>
      <c r="J105" s="191">
        <v>0.66600000000000004</v>
      </c>
      <c r="K105" s="361">
        <v>8.2090926342153728E-4</v>
      </c>
      <c r="L105" s="362">
        <v>7.6577999494412032E-4</v>
      </c>
      <c r="M105" s="362">
        <v>6.8050190776811591E-4</v>
      </c>
      <c r="N105" s="362">
        <v>6.4001635123001283E-4</v>
      </c>
      <c r="O105" s="362">
        <v>6.0039218951186924E-4</v>
      </c>
      <c r="P105" s="363">
        <v>5.7368895009312054E-4</v>
      </c>
      <c r="Q105" s="273">
        <v>68.287037037037052</v>
      </c>
      <c r="R105" s="273">
        <v>64.841435185185205</v>
      </c>
      <c r="S105" s="273">
        <v>60.926947662643784</v>
      </c>
      <c r="T105" s="273">
        <v>54.351753720811097</v>
      </c>
      <c r="U105" s="273">
        <v>52.181763881033497</v>
      </c>
      <c r="V105" s="273">
        <f t="shared" si="54"/>
        <v>50.829975694444485</v>
      </c>
      <c r="W105" s="273">
        <f t="shared" si="55"/>
        <v>47.416420138888931</v>
      </c>
      <c r="X105" s="273">
        <f t="shared" si="56"/>
        <v>42.136076388888924</v>
      </c>
      <c r="Y105" s="273">
        <f t="shared" si="57"/>
        <v>39.629246527777809</v>
      </c>
      <c r="Z105" s="273">
        <f t="shared" si="58"/>
        <v>37.175753472222247</v>
      </c>
      <c r="AA105" s="273">
        <f t="shared" si="59"/>
        <v>35.522312500000034</v>
      </c>
      <c r="AB105" s="100">
        <v>1771</v>
      </c>
      <c r="AC105" s="101" t="s">
        <v>111</v>
      </c>
      <c r="AD105" s="159"/>
      <c r="AE105" s="159"/>
      <c r="AF105" s="164"/>
      <c r="AG105" s="164"/>
      <c r="AH105" s="164"/>
      <c r="AI105" s="159">
        <f t="shared" si="60"/>
        <v>1545381.80204299</v>
      </c>
      <c r="AJ105" s="159">
        <f t="shared" si="75"/>
        <v>1457767.0473637662</v>
      </c>
      <c r="AK105" s="159">
        <f t="shared" si="76"/>
        <v>1320960.3571357757</v>
      </c>
      <c r="AL105" s="159">
        <f t="shared" si="77"/>
        <v>1276368.1379130431</v>
      </c>
      <c r="AM105" s="159">
        <f t="shared" si="78"/>
        <v>1233241.9837847522</v>
      </c>
      <c r="AN105" s="159">
        <f t="shared" si="79"/>
        <v>1215885.7727698924</v>
      </c>
    </row>
    <row r="106" spans="1:40" x14ac:dyDescent="0.35">
      <c r="A106" s="46">
        <v>1652</v>
      </c>
      <c r="B106" s="240" t="s">
        <v>112</v>
      </c>
      <c r="C106" s="364">
        <v>148.074652777778</v>
      </c>
      <c r="D106" s="365">
        <v>2.3914206623650066E-3</v>
      </c>
      <c r="E106" s="191">
        <v>0.95399999999999996</v>
      </c>
      <c r="F106" s="191">
        <v>0.90900000000000003</v>
      </c>
      <c r="G106" s="191">
        <v>0.874</v>
      </c>
      <c r="H106" s="191">
        <v>0.82899999999999996</v>
      </c>
      <c r="I106" s="191">
        <v>0.76900000000000002</v>
      </c>
      <c r="J106" s="191">
        <v>0.70699999999999996</v>
      </c>
      <c r="K106" s="361">
        <v>2.2814153118962161E-3</v>
      </c>
      <c r="L106" s="362">
        <v>2.1738013820897912E-3</v>
      </c>
      <c r="M106" s="362">
        <v>2.0901016589070158E-3</v>
      </c>
      <c r="N106" s="362">
        <v>1.9824877291005905E-3</v>
      </c>
      <c r="O106" s="362">
        <v>1.83900248935869E-3</v>
      </c>
      <c r="P106" s="363">
        <v>1.6907344082920596E-3</v>
      </c>
      <c r="Q106" s="273">
        <v>190.68821027530981</v>
      </c>
      <c r="R106" s="273">
        <v>178.00788565071659</v>
      </c>
      <c r="S106" s="273">
        <v>178.97023815178676</v>
      </c>
      <c r="T106" s="273">
        <v>169.18498587884537</v>
      </c>
      <c r="U106" s="273">
        <v>155.37926004654986</v>
      </c>
      <c r="V106" s="273">
        <f t="shared" si="54"/>
        <v>141.26321875000019</v>
      </c>
      <c r="W106" s="273">
        <f t="shared" si="55"/>
        <v>134.59985937500019</v>
      </c>
      <c r="X106" s="273">
        <f t="shared" si="56"/>
        <v>129.41724652777796</v>
      </c>
      <c r="Y106" s="273">
        <f t="shared" si="57"/>
        <v>122.75388715277795</v>
      </c>
      <c r="Z106" s="273">
        <f t="shared" si="58"/>
        <v>113.86940798611128</v>
      </c>
      <c r="AA106" s="273">
        <f t="shared" si="59"/>
        <v>104.68877951388905</v>
      </c>
      <c r="AB106" s="100">
        <v>1652</v>
      </c>
      <c r="AC106" s="101" t="s">
        <v>112</v>
      </c>
      <c r="AD106" s="159"/>
      <c r="AE106" s="159"/>
      <c r="AF106" s="164"/>
      <c r="AG106" s="164"/>
      <c r="AH106" s="164"/>
      <c r="AI106" s="159">
        <f t="shared" si="60"/>
        <v>4294820.2231410537</v>
      </c>
      <c r="AJ106" s="159">
        <f t="shared" si="75"/>
        <v>4138128.5006740694</v>
      </c>
      <c r="AK106" s="159">
        <f t="shared" si="76"/>
        <v>4057213.3630824327</v>
      </c>
      <c r="AL106" s="159">
        <f t="shared" si="77"/>
        <v>3953624.2571999445</v>
      </c>
      <c r="AM106" s="159">
        <f t="shared" si="78"/>
        <v>3777422.68766968</v>
      </c>
      <c r="AN106" s="159">
        <f t="shared" si="79"/>
        <v>3583370.2431276604</v>
      </c>
    </row>
    <row r="107" spans="1:40" x14ac:dyDescent="0.35">
      <c r="A107" s="46">
        <v>907</v>
      </c>
      <c r="B107" s="240" t="s">
        <v>113</v>
      </c>
      <c r="C107" s="364">
        <v>166.65740740740699</v>
      </c>
      <c r="D107" s="365">
        <v>2.6915340345816923E-3</v>
      </c>
      <c r="E107" s="191">
        <v>0.92200000000000004</v>
      </c>
      <c r="F107" s="191">
        <v>0.876</v>
      </c>
      <c r="G107" s="191">
        <v>0.83599999999999997</v>
      </c>
      <c r="H107" s="191">
        <v>0.76400000000000001</v>
      </c>
      <c r="I107" s="191">
        <v>0.70699999999999996</v>
      </c>
      <c r="J107" s="191">
        <v>0.64500000000000002</v>
      </c>
      <c r="K107" s="361">
        <v>2.4815943798843203E-3</v>
      </c>
      <c r="L107" s="362">
        <v>2.3577838142935623E-3</v>
      </c>
      <c r="M107" s="362">
        <v>2.2501224529102946E-3</v>
      </c>
      <c r="N107" s="362">
        <v>2.056332002420413E-3</v>
      </c>
      <c r="O107" s="362">
        <v>1.9029145624492563E-3</v>
      </c>
      <c r="P107" s="363">
        <v>1.7360394523051915E-3</v>
      </c>
      <c r="Q107" s="273">
        <v>231.20375915252356</v>
      </c>
      <c r="R107" s="273">
        <v>219.91263178467122</v>
      </c>
      <c r="S107" s="273">
        <v>204.51476984615158</v>
      </c>
      <c r="T107" s="273">
        <v>187.67055724889767</v>
      </c>
      <c r="U107" s="273">
        <v>171.40228309155177</v>
      </c>
      <c r="V107" s="273">
        <f t="shared" si="54"/>
        <v>153.65812962962926</v>
      </c>
      <c r="W107" s="273">
        <f t="shared" si="55"/>
        <v>145.99188888888852</v>
      </c>
      <c r="X107" s="273">
        <f t="shared" si="56"/>
        <v>139.32559259259224</v>
      </c>
      <c r="Y107" s="273">
        <f t="shared" si="57"/>
        <v>127.32625925925895</v>
      </c>
      <c r="Z107" s="273">
        <f t="shared" si="58"/>
        <v>117.82678703703674</v>
      </c>
      <c r="AA107" s="273">
        <f t="shared" si="59"/>
        <v>107.49402777777752</v>
      </c>
      <c r="AB107" s="100">
        <v>907</v>
      </c>
      <c r="AC107" s="101" t="s">
        <v>113</v>
      </c>
      <c r="AD107" s="159"/>
      <c r="AE107" s="159"/>
      <c r="AF107" s="164"/>
      <c r="AG107" s="164"/>
      <c r="AH107" s="164"/>
      <c r="AI107" s="159">
        <f t="shared" si="60"/>
        <v>4671662.2233511182</v>
      </c>
      <c r="AJ107" s="159">
        <f t="shared" si="75"/>
        <v>4488364.2455763202</v>
      </c>
      <c r="AK107" s="159">
        <f t="shared" si="76"/>
        <v>4367838.6865131948</v>
      </c>
      <c r="AL107" s="159">
        <f t="shared" si="77"/>
        <v>4100889.9910388147</v>
      </c>
      <c r="AM107" s="159">
        <f t="shared" si="78"/>
        <v>3908701.9634212307</v>
      </c>
      <c r="AN107" s="159">
        <f t="shared" si="79"/>
        <v>3679390.4966837722</v>
      </c>
    </row>
    <row r="108" spans="1:40" x14ac:dyDescent="0.35">
      <c r="A108" s="46">
        <v>784</v>
      </c>
      <c r="B108" s="240" t="s">
        <v>114</v>
      </c>
      <c r="C108" s="364">
        <v>59.317129629629598</v>
      </c>
      <c r="D108" s="365">
        <v>9.5797766037218732E-4</v>
      </c>
      <c r="E108" s="191">
        <v>0.97599999999999998</v>
      </c>
      <c r="F108" s="191">
        <v>0.95199999999999996</v>
      </c>
      <c r="G108" s="191">
        <v>0.89800000000000002</v>
      </c>
      <c r="H108" s="191">
        <v>0.85099999999999998</v>
      </c>
      <c r="I108" s="191">
        <v>0.8</v>
      </c>
      <c r="J108" s="191">
        <v>0.73799999999999999</v>
      </c>
      <c r="K108" s="361">
        <v>9.3498619652325476E-4</v>
      </c>
      <c r="L108" s="362">
        <v>9.1199473267432232E-4</v>
      </c>
      <c r="M108" s="362">
        <v>8.6026393901422423E-4</v>
      </c>
      <c r="N108" s="362">
        <v>8.1523898897673138E-4</v>
      </c>
      <c r="O108" s="362">
        <v>7.6638212829774994E-4</v>
      </c>
      <c r="P108" s="363">
        <v>7.0698751335467427E-4</v>
      </c>
      <c r="Q108" s="273">
        <v>73.472222222222229</v>
      </c>
      <c r="R108" s="273">
        <v>70.810185185185205</v>
      </c>
      <c r="S108" s="273">
        <v>66.725630095352813</v>
      </c>
      <c r="T108" s="273">
        <v>63.304324754563183</v>
      </c>
      <c r="U108" s="273">
        <v>62.816828804028511</v>
      </c>
      <c r="V108" s="273">
        <f t="shared" si="54"/>
        <v>57.893518518518484</v>
      </c>
      <c r="W108" s="273">
        <f t="shared" si="55"/>
        <v>56.469907407407376</v>
      </c>
      <c r="X108" s="273">
        <f t="shared" si="56"/>
        <v>53.266782407407383</v>
      </c>
      <c r="Y108" s="273">
        <f t="shared" si="57"/>
        <v>50.478877314814788</v>
      </c>
      <c r="Z108" s="273">
        <f t="shared" si="58"/>
        <v>47.453703703703681</v>
      </c>
      <c r="AA108" s="273">
        <f t="shared" si="59"/>
        <v>43.776041666666643</v>
      </c>
      <c r="AB108" s="100">
        <v>784</v>
      </c>
      <c r="AC108" s="101" t="s">
        <v>114</v>
      </c>
      <c r="AD108" s="159"/>
      <c r="AE108" s="159"/>
      <c r="AF108" s="164"/>
      <c r="AG108" s="164"/>
      <c r="AH108" s="164"/>
      <c r="AI108" s="159">
        <f t="shared" si="60"/>
        <v>1760134.4236829088</v>
      </c>
      <c r="AJ108" s="159">
        <f t="shared" si="75"/>
        <v>1736106.8158472425</v>
      </c>
      <c r="AK108" s="159">
        <f t="shared" si="76"/>
        <v>1669906.5015677866</v>
      </c>
      <c r="AL108" s="159">
        <f t="shared" si="77"/>
        <v>1625810.1348732347</v>
      </c>
      <c r="AM108" s="159">
        <f t="shared" si="78"/>
        <v>1574195.3888632543</v>
      </c>
      <c r="AN108" s="159">
        <f t="shared" si="79"/>
        <v>1498400.9346430339</v>
      </c>
    </row>
    <row r="109" spans="1:40" x14ac:dyDescent="0.35">
      <c r="A109" s="46">
        <v>1924</v>
      </c>
      <c r="B109" s="240" t="s">
        <v>115</v>
      </c>
      <c r="C109" s="364">
        <v>174.45370370370401</v>
      </c>
      <c r="D109" s="365">
        <v>2.8174450105869146E-3</v>
      </c>
      <c r="E109" s="191">
        <v>0.93899999999999995</v>
      </c>
      <c r="F109" s="191">
        <v>0.90100000000000002</v>
      </c>
      <c r="G109" s="191">
        <v>0.85899999999999999</v>
      </c>
      <c r="H109" s="191">
        <v>0.79700000000000004</v>
      </c>
      <c r="I109" s="191">
        <v>0.72699999999999998</v>
      </c>
      <c r="J109" s="191">
        <v>0.65500000000000003</v>
      </c>
      <c r="K109" s="361">
        <v>2.6455808649411125E-3</v>
      </c>
      <c r="L109" s="362">
        <v>2.5385179545388101E-3</v>
      </c>
      <c r="M109" s="362">
        <v>2.4201852640941598E-3</v>
      </c>
      <c r="N109" s="362">
        <v>2.2455036734377711E-3</v>
      </c>
      <c r="O109" s="362">
        <v>2.0482825226966869E-3</v>
      </c>
      <c r="P109" s="363">
        <v>1.8454264819344291E-3</v>
      </c>
      <c r="Q109" s="273">
        <v>219.20925893622106</v>
      </c>
      <c r="R109" s="273">
        <v>206.9329159766549</v>
      </c>
      <c r="S109" s="273">
        <v>195.3645977976947</v>
      </c>
      <c r="T109" s="273">
        <v>183.72496999011494</v>
      </c>
      <c r="U109" s="273">
        <v>172.26105737546135</v>
      </c>
      <c r="V109" s="273">
        <f t="shared" si="54"/>
        <v>163.81202777777804</v>
      </c>
      <c r="W109" s="273">
        <f t="shared" si="55"/>
        <v>157.18278703703731</v>
      </c>
      <c r="X109" s="273">
        <f t="shared" si="56"/>
        <v>149.85573148148174</v>
      </c>
      <c r="Y109" s="273">
        <f t="shared" si="57"/>
        <v>139.0396018518521</v>
      </c>
      <c r="Z109" s="273">
        <f t="shared" si="58"/>
        <v>126.82784259259282</v>
      </c>
      <c r="AA109" s="273">
        <f t="shared" si="59"/>
        <v>114.26717592592613</v>
      </c>
      <c r="AB109" s="100">
        <v>1924</v>
      </c>
      <c r="AC109" s="101" t="s">
        <v>115</v>
      </c>
      <c r="AD109" s="159"/>
      <c r="AE109" s="159"/>
      <c r="AF109" s="164"/>
      <c r="AG109" s="164"/>
      <c r="AH109" s="164"/>
      <c r="AI109" s="159">
        <f t="shared" si="60"/>
        <v>4980370.7994140843</v>
      </c>
      <c r="AJ109" s="159">
        <f t="shared" si="75"/>
        <v>4832416.4220795333</v>
      </c>
      <c r="AK109" s="159">
        <f t="shared" si="76"/>
        <v>4697957.1317850659</v>
      </c>
      <c r="AL109" s="159">
        <f t="shared" si="77"/>
        <v>4478150.1860608468</v>
      </c>
      <c r="AM109" s="159">
        <f t="shared" si="78"/>
        <v>4207296.5734211337</v>
      </c>
      <c r="AN109" s="159">
        <f t="shared" si="79"/>
        <v>3911227.1618838944</v>
      </c>
    </row>
    <row r="110" spans="1:40" x14ac:dyDescent="0.35">
      <c r="A110" s="46">
        <v>664</v>
      </c>
      <c r="B110" s="240" t="s">
        <v>116</v>
      </c>
      <c r="C110" s="364">
        <v>189.340277777778</v>
      </c>
      <c r="D110" s="365">
        <v>3.0578646919080269E-3</v>
      </c>
      <c r="E110" s="191">
        <v>0.96299999999999997</v>
      </c>
      <c r="F110" s="191">
        <v>0.93500000000000005</v>
      </c>
      <c r="G110" s="191">
        <v>0.88400000000000001</v>
      </c>
      <c r="H110" s="191">
        <v>0.84499999999999997</v>
      </c>
      <c r="I110" s="191">
        <v>0.81200000000000006</v>
      </c>
      <c r="J110" s="191">
        <v>0.76700000000000002</v>
      </c>
      <c r="K110" s="361">
        <v>2.9447236983074299E-3</v>
      </c>
      <c r="L110" s="362">
        <v>2.8591034869340053E-3</v>
      </c>
      <c r="M110" s="362">
        <v>2.7031523876466959E-3</v>
      </c>
      <c r="N110" s="362">
        <v>2.5838956646622828E-3</v>
      </c>
      <c r="O110" s="362">
        <v>2.4829861298293183E-3</v>
      </c>
      <c r="P110" s="363">
        <v>2.3453822186934566E-3</v>
      </c>
      <c r="Q110" s="273">
        <v>243.53361825486087</v>
      </c>
      <c r="R110" s="273">
        <v>233.10370064009456</v>
      </c>
      <c r="S110" s="273">
        <v>217.53989191261348</v>
      </c>
      <c r="T110" s="273">
        <v>202.20177219650591</v>
      </c>
      <c r="U110" s="273">
        <v>193.91932757852021</v>
      </c>
      <c r="V110" s="273">
        <f t="shared" si="54"/>
        <v>182.3346875000002</v>
      </c>
      <c r="W110" s="273">
        <f t="shared" si="55"/>
        <v>177.03315972222245</v>
      </c>
      <c r="X110" s="273">
        <f t="shared" si="56"/>
        <v>167.37680555555576</v>
      </c>
      <c r="Y110" s="273">
        <f t="shared" si="57"/>
        <v>159.99253472222242</v>
      </c>
      <c r="Z110" s="273">
        <f t="shared" si="58"/>
        <v>153.74430555555574</v>
      </c>
      <c r="AA110" s="273">
        <f t="shared" si="59"/>
        <v>145.22399305555572</v>
      </c>
      <c r="AB110" s="100">
        <v>664</v>
      </c>
      <c r="AC110" s="101" t="s">
        <v>116</v>
      </c>
      <c r="AD110" s="159"/>
      <c r="AE110" s="159"/>
      <c r="AF110" s="164"/>
      <c r="AG110" s="164"/>
      <c r="AH110" s="164"/>
      <c r="AI110" s="159">
        <f t="shared" si="60"/>
        <v>5543514.5127266478</v>
      </c>
      <c r="AJ110" s="159">
        <f t="shared" si="75"/>
        <v>5442694.8676811149</v>
      </c>
      <c r="AK110" s="159">
        <f t="shared" si="76"/>
        <v>5247240.4597504176</v>
      </c>
      <c r="AL110" s="159">
        <f t="shared" si="77"/>
        <v>5152996.625364854</v>
      </c>
      <c r="AM110" s="159">
        <f t="shared" si="78"/>
        <v>5100204.1564702885</v>
      </c>
      <c r="AN110" s="159">
        <f t="shared" si="79"/>
        <v>4970841.5526462048</v>
      </c>
    </row>
    <row r="111" spans="1:40" x14ac:dyDescent="0.35">
      <c r="A111" s="46">
        <v>785</v>
      </c>
      <c r="B111" s="240" t="s">
        <v>117</v>
      </c>
      <c r="C111" s="364">
        <v>88.384259259259196</v>
      </c>
      <c r="D111" s="365">
        <v>1.4274147523251062E-3</v>
      </c>
      <c r="E111" s="191">
        <v>0.95499999999999996</v>
      </c>
      <c r="F111" s="191">
        <v>0.91100000000000003</v>
      </c>
      <c r="G111" s="191">
        <v>0.86</v>
      </c>
      <c r="H111" s="191">
        <v>0.78600000000000003</v>
      </c>
      <c r="I111" s="191">
        <v>0.73399999999999999</v>
      </c>
      <c r="J111" s="191">
        <v>0.69399999999999995</v>
      </c>
      <c r="K111" s="361">
        <v>1.3631810884704764E-3</v>
      </c>
      <c r="L111" s="362">
        <v>1.3003748393681717E-3</v>
      </c>
      <c r="M111" s="362">
        <v>1.2275766869995913E-3</v>
      </c>
      <c r="N111" s="362">
        <v>1.1219479953275336E-3</v>
      </c>
      <c r="O111" s="362">
        <v>1.047722428206628E-3</v>
      </c>
      <c r="P111" s="363">
        <v>9.9062583811362361E-4</v>
      </c>
      <c r="Q111" s="273">
        <v>112.41524164877734</v>
      </c>
      <c r="R111" s="273">
        <v>105.7050521552639</v>
      </c>
      <c r="S111" s="273">
        <v>100.10705655915712</v>
      </c>
      <c r="T111" s="273">
        <v>95.030653624338342</v>
      </c>
      <c r="U111" s="273">
        <v>87.342123794422861</v>
      </c>
      <c r="V111" s="273">
        <f t="shared" si="54"/>
        <v>84.406967592592522</v>
      </c>
      <c r="W111" s="273">
        <f t="shared" si="55"/>
        <v>80.518060185185135</v>
      </c>
      <c r="X111" s="273">
        <f t="shared" si="56"/>
        <v>76.010462962962904</v>
      </c>
      <c r="Y111" s="273">
        <f t="shared" si="57"/>
        <v>69.47002777777773</v>
      </c>
      <c r="Z111" s="273">
        <f t="shared" si="58"/>
        <v>64.874046296296243</v>
      </c>
      <c r="AA111" s="273">
        <f t="shared" si="59"/>
        <v>61.338675925925877</v>
      </c>
      <c r="AB111" s="100">
        <v>785</v>
      </c>
      <c r="AC111" s="101" t="s">
        <v>117</v>
      </c>
      <c r="AD111" s="159"/>
      <c r="AE111" s="159"/>
      <c r="AF111" s="164"/>
      <c r="AG111" s="164"/>
      <c r="AH111" s="164"/>
      <c r="AI111" s="159">
        <f t="shared" si="60"/>
        <v>2566221.7992656166</v>
      </c>
      <c r="AJ111" s="159">
        <f t="shared" si="75"/>
        <v>2475441.5139692947</v>
      </c>
      <c r="AK111" s="159">
        <f t="shared" si="76"/>
        <v>2382917.8439615681</v>
      </c>
      <c r="AL111" s="159">
        <f t="shared" si="77"/>
        <v>2237472.0128311669</v>
      </c>
      <c r="AM111" s="159">
        <f t="shared" si="78"/>
        <v>2152085.434135675</v>
      </c>
      <c r="AN111" s="159">
        <f t="shared" si="79"/>
        <v>2099548.6535083069</v>
      </c>
    </row>
    <row r="112" spans="1:40" x14ac:dyDescent="0.35">
      <c r="A112" s="46">
        <v>1942</v>
      </c>
      <c r="B112" s="240" t="s">
        <v>118</v>
      </c>
      <c r="C112" s="364">
        <v>56.6388888888889</v>
      </c>
      <c r="D112" s="365">
        <v>9.1472380074094424E-4</v>
      </c>
      <c r="E112" s="191">
        <v>0.93100000000000005</v>
      </c>
      <c r="F112" s="191">
        <v>0.86499999999999999</v>
      </c>
      <c r="G112" s="191">
        <v>0.80700000000000005</v>
      </c>
      <c r="H112" s="191">
        <v>0.72099999999999997</v>
      </c>
      <c r="I112" s="191">
        <v>0.69</v>
      </c>
      <c r="J112" s="191">
        <v>0.6</v>
      </c>
      <c r="K112" s="361">
        <v>8.5160785848981916E-4</v>
      </c>
      <c r="L112" s="362">
        <v>7.9123608764091673E-4</v>
      </c>
      <c r="M112" s="362">
        <v>7.3818210719794203E-4</v>
      </c>
      <c r="N112" s="362">
        <v>6.5951586033422081E-4</v>
      </c>
      <c r="O112" s="362">
        <v>6.3115942251125152E-4</v>
      </c>
      <c r="P112" s="363">
        <v>5.4883428044456655E-4</v>
      </c>
      <c r="Q112" s="273">
        <v>81.090277777777729</v>
      </c>
      <c r="R112" s="273">
        <v>77.4513888888888</v>
      </c>
      <c r="S112" s="273">
        <v>69.630619957754618</v>
      </c>
      <c r="T112" s="273">
        <v>67.666337074095779</v>
      </c>
      <c r="U112" s="273">
        <v>61.220886218234476</v>
      </c>
      <c r="V112" s="273">
        <f t="shared" si="54"/>
        <v>52.73080555555557</v>
      </c>
      <c r="W112" s="273">
        <f t="shared" si="55"/>
        <v>48.992638888888898</v>
      </c>
      <c r="X112" s="273">
        <f t="shared" si="56"/>
        <v>45.707583333333346</v>
      </c>
      <c r="Y112" s="273">
        <f t="shared" si="57"/>
        <v>40.836638888888892</v>
      </c>
      <c r="Z112" s="273">
        <f t="shared" si="58"/>
        <v>39.080833333333338</v>
      </c>
      <c r="AA112" s="273">
        <f t="shared" si="59"/>
        <v>33.983333333333341</v>
      </c>
      <c r="AB112" s="100">
        <v>1942</v>
      </c>
      <c r="AC112" s="101" t="s">
        <v>118</v>
      </c>
      <c r="AD112" s="159"/>
      <c r="AE112" s="159"/>
      <c r="AF112" s="164"/>
      <c r="AG112" s="164"/>
      <c r="AH112" s="164"/>
      <c r="AI112" s="159">
        <f t="shared" si="60"/>
        <v>1603172.6594260288</v>
      </c>
      <c r="AJ112" s="159">
        <f t="shared" si="75"/>
        <v>1506226.2044755099</v>
      </c>
      <c r="AK112" s="159">
        <f t="shared" si="76"/>
        <v>1432926.6219892891</v>
      </c>
      <c r="AL112" s="159">
        <f t="shared" si="77"/>
        <v>1315255.5070837282</v>
      </c>
      <c r="AM112" s="159">
        <f t="shared" si="78"/>
        <v>1296439.7470510844</v>
      </c>
      <c r="AN112" s="159">
        <f t="shared" si="79"/>
        <v>1163208.3781509667</v>
      </c>
    </row>
    <row r="113" spans="1:40" x14ac:dyDescent="0.35">
      <c r="A113" s="46">
        <v>512</v>
      </c>
      <c r="B113" s="240" t="s">
        <v>119</v>
      </c>
      <c r="C113" s="364">
        <v>242.298611111111</v>
      </c>
      <c r="D113" s="365">
        <v>3.9131471470883108E-3</v>
      </c>
      <c r="E113" s="191">
        <v>0.95699999999999996</v>
      </c>
      <c r="F113" s="191">
        <v>0.88800000000000001</v>
      </c>
      <c r="G113" s="191">
        <v>0.84099999999999997</v>
      </c>
      <c r="H113" s="191">
        <v>0.79500000000000004</v>
      </c>
      <c r="I113" s="191">
        <v>0.75700000000000001</v>
      </c>
      <c r="J113" s="191">
        <v>0.71599999999999997</v>
      </c>
      <c r="K113" s="361">
        <v>3.7448818197635134E-3</v>
      </c>
      <c r="L113" s="362">
        <v>3.4748746666144201E-3</v>
      </c>
      <c r="M113" s="362">
        <v>3.2909567507012692E-3</v>
      </c>
      <c r="N113" s="362">
        <v>3.1109519819352074E-3</v>
      </c>
      <c r="O113" s="362">
        <v>2.9622523903458514E-3</v>
      </c>
      <c r="P113" s="363">
        <v>2.8018133573152306E-3</v>
      </c>
      <c r="Q113" s="273">
        <v>246.77776037362111</v>
      </c>
      <c r="R113" s="273">
        <v>240.23405122857136</v>
      </c>
      <c r="S113" s="273">
        <v>264.98981987150074</v>
      </c>
      <c r="T113" s="273">
        <v>264.71122284119451</v>
      </c>
      <c r="U113" s="273">
        <v>245.77172667404773</v>
      </c>
      <c r="V113" s="273">
        <f t="shared" si="54"/>
        <v>231.87977083333323</v>
      </c>
      <c r="W113" s="273">
        <f t="shared" si="55"/>
        <v>215.16116666666656</v>
      </c>
      <c r="X113" s="273">
        <f t="shared" si="56"/>
        <v>203.77313194444434</v>
      </c>
      <c r="Y113" s="273">
        <f t="shared" si="57"/>
        <v>192.62739583333325</v>
      </c>
      <c r="Z113" s="273">
        <f t="shared" si="58"/>
        <v>183.42004861111104</v>
      </c>
      <c r="AA113" s="273">
        <f t="shared" si="59"/>
        <v>173.48580555555546</v>
      </c>
      <c r="AB113" s="100">
        <v>512</v>
      </c>
      <c r="AC113" s="101" t="s">
        <v>119</v>
      </c>
      <c r="AD113" s="159"/>
      <c r="AE113" s="159"/>
      <c r="AF113" s="164"/>
      <c r="AG113" s="164"/>
      <c r="AH113" s="164"/>
      <c r="AI113" s="159">
        <f t="shared" si="60"/>
        <v>7049831.7815819355</v>
      </c>
      <c r="AJ113" s="159">
        <f t="shared" si="75"/>
        <v>6614899.6006082576</v>
      </c>
      <c r="AK113" s="159">
        <f t="shared" si="76"/>
        <v>6388260.4223441454</v>
      </c>
      <c r="AL113" s="159">
        <f t="shared" si="77"/>
        <v>6204091.4746762644</v>
      </c>
      <c r="AM113" s="159">
        <f t="shared" si="78"/>
        <v>6084646.1332405834</v>
      </c>
      <c r="AN113" s="159">
        <f t="shared" si="79"/>
        <v>5938209.1960517382</v>
      </c>
    </row>
    <row r="114" spans="1:40" x14ac:dyDescent="0.35">
      <c r="A114" s="46">
        <v>513</v>
      </c>
      <c r="B114" s="240" t="s">
        <v>120</v>
      </c>
      <c r="C114" s="364">
        <v>320.55844907407402</v>
      </c>
      <c r="D114" s="365">
        <v>5.1770514685040396E-3</v>
      </c>
      <c r="E114" s="191">
        <v>0.94899999999999995</v>
      </c>
      <c r="F114" s="191">
        <v>0.90900000000000003</v>
      </c>
      <c r="G114" s="191">
        <v>0.86099999999999999</v>
      </c>
      <c r="H114" s="191">
        <v>0.79900000000000004</v>
      </c>
      <c r="I114" s="191">
        <v>0.751</v>
      </c>
      <c r="J114" s="191">
        <v>0.71699999999999997</v>
      </c>
      <c r="K114" s="361">
        <v>4.9130218436103336E-3</v>
      </c>
      <c r="L114" s="362">
        <v>4.7059397848701725E-3</v>
      </c>
      <c r="M114" s="362">
        <v>4.4574413143819783E-3</v>
      </c>
      <c r="N114" s="362">
        <v>4.1364641233347281E-3</v>
      </c>
      <c r="O114" s="362">
        <v>3.8879656528465339E-3</v>
      </c>
      <c r="P114" s="363">
        <v>3.7119459029173961E-3</v>
      </c>
      <c r="Q114" s="273">
        <v>404.52939228975828</v>
      </c>
      <c r="R114" s="273">
        <v>379.14644852387408</v>
      </c>
      <c r="S114" s="273">
        <v>372.95156654110389</v>
      </c>
      <c r="T114" s="273">
        <v>347.79557201227897</v>
      </c>
      <c r="U114" s="273">
        <v>320.6482856065403</v>
      </c>
      <c r="V114" s="273">
        <f t="shared" si="54"/>
        <v>304.20996817129623</v>
      </c>
      <c r="W114" s="273">
        <f t="shared" si="55"/>
        <v>291.38763020833329</v>
      </c>
      <c r="X114" s="273">
        <f t="shared" si="56"/>
        <v>276.00082465277774</v>
      </c>
      <c r="Y114" s="273">
        <f t="shared" si="57"/>
        <v>256.12620081018514</v>
      </c>
      <c r="Z114" s="273">
        <f t="shared" si="58"/>
        <v>240.73939525462958</v>
      </c>
      <c r="AA114" s="273">
        <f t="shared" si="59"/>
        <v>229.84040798611107</v>
      </c>
      <c r="AB114" s="100">
        <v>513</v>
      </c>
      <c r="AC114" s="101" t="s">
        <v>120</v>
      </c>
      <c r="AD114" s="159"/>
      <c r="AE114" s="159"/>
      <c r="AF114" s="164"/>
      <c r="AG114" s="164"/>
      <c r="AH114" s="164"/>
      <c r="AI114" s="159">
        <f t="shared" si="60"/>
        <v>9248883.9978607483</v>
      </c>
      <c r="AJ114" s="159">
        <f t="shared" si="75"/>
        <v>8958400.572689889</v>
      </c>
      <c r="AK114" s="159">
        <f t="shared" si="76"/>
        <v>8652588.9249441717</v>
      </c>
      <c r="AL114" s="159">
        <f t="shared" si="77"/>
        <v>8249243.9458744749</v>
      </c>
      <c r="AM114" s="159">
        <f t="shared" si="78"/>
        <v>7986117.3385711573</v>
      </c>
      <c r="AN114" s="159">
        <f t="shared" si="79"/>
        <v>7867159.0448380783</v>
      </c>
    </row>
    <row r="116" spans="1:40" x14ac:dyDescent="0.35">
      <c r="A116" s="46">
        <v>14</v>
      </c>
      <c r="B116" s="240" t="s">
        <v>122</v>
      </c>
      <c r="C116" s="364">
        <v>954.65856481481501</v>
      </c>
      <c r="D116" s="365">
        <v>1.541783265788273E-2</v>
      </c>
      <c r="E116" s="191">
        <v>0.95099999999999996</v>
      </c>
      <c r="F116" s="191">
        <v>0.90100000000000002</v>
      </c>
      <c r="G116" s="191">
        <v>0.84199999999999997</v>
      </c>
      <c r="H116" s="191">
        <v>0.77700000000000002</v>
      </c>
      <c r="I116" s="191">
        <v>0.71499999999999997</v>
      </c>
      <c r="J116" s="191">
        <v>0.66</v>
      </c>
      <c r="K116" s="361">
        <v>1.4662358857646475E-2</v>
      </c>
      <c r="L116" s="362">
        <v>1.3891467224752341E-2</v>
      </c>
      <c r="M116" s="362">
        <v>1.2981815097937258E-2</v>
      </c>
      <c r="N116" s="362">
        <v>1.1979655975174882E-2</v>
      </c>
      <c r="O116" s="362">
        <v>1.1023750350386151E-2</v>
      </c>
      <c r="P116" s="363">
        <v>1.0175769554202602E-2</v>
      </c>
      <c r="Q116" s="273">
        <f>1206.35186784384+Q377</f>
        <v>1283.3564974734695</v>
      </c>
      <c r="R116" s="273">
        <f>1140.1430947503+R377</f>
        <v>1212.9382336391889</v>
      </c>
      <c r="S116" s="273">
        <v>1093.1312217388286</v>
      </c>
      <c r="T116" s="273">
        <v>1021.0912538610097</v>
      </c>
      <c r="U116" s="273">
        <v>961.6795820385878</v>
      </c>
      <c r="V116" s="273">
        <f t="shared" si="54"/>
        <v>907.88029513888898</v>
      </c>
      <c r="W116" s="273">
        <f t="shared" si="55"/>
        <v>860.14736689814833</v>
      </c>
      <c r="X116" s="273">
        <f t="shared" si="56"/>
        <v>803.82251157407416</v>
      </c>
      <c r="Y116" s="273">
        <f t="shared" si="57"/>
        <v>741.76970486111134</v>
      </c>
      <c r="Z116" s="273">
        <f t="shared" si="58"/>
        <v>682.58087384259272</v>
      </c>
      <c r="AA116" s="273">
        <f t="shared" si="59"/>
        <v>630.07465277777794</v>
      </c>
      <c r="AB116" s="100">
        <v>14</v>
      </c>
      <c r="AC116" s="101" t="s">
        <v>122</v>
      </c>
      <c r="AD116" s="159"/>
      <c r="AE116" s="159"/>
      <c r="AF116" s="164"/>
      <c r="AG116" s="164"/>
      <c r="AH116" s="164"/>
      <c r="AI116" s="159">
        <f t="shared" si="60"/>
        <v>27602249.801870406</v>
      </c>
      <c r="AJ116" s="159">
        <f t="shared" ref="AJ116:AJ130" si="80">+W116*AJ$8</f>
        <v>26444309.453729533</v>
      </c>
      <c r="AK116" s="159">
        <f t="shared" ref="AK116:AK130" si="81">+X116*AK$8</f>
        <v>25199728.189278234</v>
      </c>
      <c r="AL116" s="159">
        <f t="shared" ref="AL116:AL130" si="82">+Y116*AL$8</f>
        <v>23890719.605033427</v>
      </c>
      <c r="AM116" s="159">
        <f t="shared" ref="AM116:AM130" si="83">+Z116*AM$8</f>
        <v>22643452.044089787</v>
      </c>
      <c r="AN116" s="159">
        <f t="shared" ref="AN116:AN130" si="84">+AA116*AN$8</f>
        <v>21566692.936880991</v>
      </c>
    </row>
    <row r="117" spans="1:40" x14ac:dyDescent="0.35">
      <c r="A117" s="46">
        <v>1729</v>
      </c>
      <c r="B117" s="240" t="s">
        <v>123</v>
      </c>
      <c r="C117" s="364">
        <v>69.893518518518505</v>
      </c>
      <c r="D117" s="365">
        <v>1.1287874137474276E-3</v>
      </c>
      <c r="E117" s="191">
        <v>0.93300000000000005</v>
      </c>
      <c r="F117" s="191">
        <v>0.871</v>
      </c>
      <c r="G117" s="191">
        <v>0.76</v>
      </c>
      <c r="H117" s="191">
        <v>0.72099999999999997</v>
      </c>
      <c r="I117" s="191">
        <v>0.66200000000000003</v>
      </c>
      <c r="J117" s="191">
        <v>0.59199999999999997</v>
      </c>
      <c r="K117" s="361">
        <v>1.05315865702635E-3</v>
      </c>
      <c r="L117" s="362">
        <v>9.8317383737400949E-4</v>
      </c>
      <c r="M117" s="362">
        <v>8.5787843444804499E-4</v>
      </c>
      <c r="N117" s="362">
        <v>8.1385572531189523E-4</v>
      </c>
      <c r="O117" s="362">
        <v>7.4725726790079712E-4</v>
      </c>
      <c r="P117" s="363">
        <v>6.682421489384771E-4</v>
      </c>
      <c r="Q117" s="273">
        <v>99.701388888888872</v>
      </c>
      <c r="R117" s="273">
        <v>94.6527777777778</v>
      </c>
      <c r="S117" s="273">
        <v>81.377428319061153</v>
      </c>
      <c r="T117" s="273">
        <v>74.109451155639491</v>
      </c>
      <c r="U117" s="273">
        <v>72.317455880123021</v>
      </c>
      <c r="V117" s="273">
        <f t="shared" si="54"/>
        <v>65.210652777777767</v>
      </c>
      <c r="W117" s="273">
        <f t="shared" si="55"/>
        <v>60.877254629629618</v>
      </c>
      <c r="X117" s="273">
        <f t="shared" si="56"/>
        <v>53.119074074074064</v>
      </c>
      <c r="Y117" s="273">
        <f t="shared" si="57"/>
        <v>50.393226851851843</v>
      </c>
      <c r="Z117" s="273">
        <f t="shared" si="58"/>
        <v>46.269509259259252</v>
      </c>
      <c r="AA117" s="273">
        <f t="shared" si="59"/>
        <v>41.376962962962956</v>
      </c>
      <c r="AB117" s="100">
        <v>1729</v>
      </c>
      <c r="AC117" s="101" t="s">
        <v>123</v>
      </c>
      <c r="AD117" s="159"/>
      <c r="AE117" s="159"/>
      <c r="AF117" s="164"/>
      <c r="AG117" s="164"/>
      <c r="AH117" s="164"/>
      <c r="AI117" s="159">
        <f t="shared" si="60"/>
        <v>1982596.9760032026</v>
      </c>
      <c r="AJ117" s="159">
        <f t="shared" si="80"/>
        <v>1871605.9852916349</v>
      </c>
      <c r="AK117" s="159">
        <f t="shared" si="81"/>
        <v>1665275.865080632</v>
      </c>
      <c r="AL117" s="159">
        <f t="shared" si="82"/>
        <v>1623051.5277458753</v>
      </c>
      <c r="AM117" s="159">
        <f t="shared" si="83"/>
        <v>1534911.7652792765</v>
      </c>
      <c r="AN117" s="159">
        <f t="shared" si="84"/>
        <v>1416283.373642788</v>
      </c>
    </row>
    <row r="118" spans="1:40" x14ac:dyDescent="0.35">
      <c r="A118" s="46">
        <v>158</v>
      </c>
      <c r="B118" s="240" t="s">
        <v>124</v>
      </c>
      <c r="C118" s="364">
        <v>74.962962962963005</v>
      </c>
      <c r="D118" s="365">
        <v>1.2106594557460663E-3</v>
      </c>
      <c r="E118" s="191">
        <v>0.96599999999999997</v>
      </c>
      <c r="F118" s="191">
        <v>0.9</v>
      </c>
      <c r="G118" s="191">
        <v>0.86699999999999999</v>
      </c>
      <c r="H118" s="191">
        <v>0.80400000000000005</v>
      </c>
      <c r="I118" s="191">
        <v>0.75</v>
      </c>
      <c r="J118" s="191">
        <v>0.67500000000000004</v>
      </c>
      <c r="K118" s="361">
        <v>1.1694970342507E-3</v>
      </c>
      <c r="L118" s="362">
        <v>1.0895935101714598E-3</v>
      </c>
      <c r="M118" s="362">
        <v>1.0496417481318395E-3</v>
      </c>
      <c r="N118" s="362">
        <v>9.7337020241983739E-4</v>
      </c>
      <c r="O118" s="362">
        <v>9.0799459180954979E-4</v>
      </c>
      <c r="P118" s="363">
        <v>8.1719513262859479E-4</v>
      </c>
      <c r="Q118" s="273">
        <v>99.546515271329852</v>
      </c>
      <c r="R118" s="273">
        <v>96.141203703703695</v>
      </c>
      <c r="S118" s="273">
        <v>86.985929815581429</v>
      </c>
      <c r="T118" s="273">
        <v>80.008102371844913</v>
      </c>
      <c r="U118" s="273">
        <v>74.175139416166516</v>
      </c>
      <c r="V118" s="273">
        <f t="shared" si="54"/>
        <v>72.414222222222264</v>
      </c>
      <c r="W118" s="273">
        <f t="shared" si="55"/>
        <v>67.466666666666711</v>
      </c>
      <c r="X118" s="273">
        <f t="shared" si="56"/>
        <v>64.992888888888928</v>
      </c>
      <c r="Y118" s="273">
        <f t="shared" si="57"/>
        <v>60.270222222222259</v>
      </c>
      <c r="Z118" s="273">
        <f t="shared" si="58"/>
        <v>56.222222222222257</v>
      </c>
      <c r="AA118" s="273">
        <f t="shared" si="59"/>
        <v>50.60000000000003</v>
      </c>
      <c r="AB118" s="100">
        <v>158</v>
      </c>
      <c r="AC118" s="101" t="s">
        <v>124</v>
      </c>
      <c r="AD118" s="159"/>
      <c r="AE118" s="159"/>
      <c r="AF118" s="164"/>
      <c r="AG118" s="164"/>
      <c r="AH118" s="164"/>
      <c r="AI118" s="159">
        <f t="shared" si="60"/>
        <v>2201606.821613146</v>
      </c>
      <c r="AJ118" s="159">
        <f t="shared" si="80"/>
        <v>2074190.400162224</v>
      </c>
      <c r="AK118" s="159">
        <f t="shared" si="81"/>
        <v>2037518.3708512434</v>
      </c>
      <c r="AL118" s="159">
        <f t="shared" si="82"/>
        <v>1941167.1442065337</v>
      </c>
      <c r="AM118" s="159">
        <f t="shared" si="83"/>
        <v>1865075.9807175982</v>
      </c>
      <c r="AN118" s="159">
        <f t="shared" si="84"/>
        <v>1731976.7709986935</v>
      </c>
    </row>
    <row r="119" spans="1:40" x14ac:dyDescent="0.35">
      <c r="A119" s="46">
        <v>392</v>
      </c>
      <c r="B119" s="240" t="s">
        <v>126</v>
      </c>
      <c r="C119" s="364">
        <v>533.62037037037101</v>
      </c>
      <c r="D119" s="365">
        <v>8.6180231094493062E-3</v>
      </c>
      <c r="E119" s="191">
        <v>0.95099999999999996</v>
      </c>
      <c r="F119" s="191">
        <v>0.90300000000000002</v>
      </c>
      <c r="G119" s="191">
        <v>0.86</v>
      </c>
      <c r="H119" s="191">
        <v>0.80300000000000005</v>
      </c>
      <c r="I119" s="191">
        <v>0.748</v>
      </c>
      <c r="J119" s="191">
        <v>0.68400000000000005</v>
      </c>
      <c r="K119" s="361">
        <v>8.1957399770862891E-3</v>
      </c>
      <c r="L119" s="362">
        <v>7.782074867832724E-3</v>
      </c>
      <c r="M119" s="362">
        <v>7.4114998741264034E-3</v>
      </c>
      <c r="N119" s="362">
        <v>6.9202725568877936E-3</v>
      </c>
      <c r="O119" s="362">
        <v>6.4462812858680808E-3</v>
      </c>
      <c r="P119" s="363">
        <v>5.8947278068633259E-3</v>
      </c>
      <c r="Q119" s="273">
        <v>663.06443909031475</v>
      </c>
      <c r="R119" s="273">
        <v>632.10829674771981</v>
      </c>
      <c r="S119" s="273">
        <v>601.59704099711428</v>
      </c>
      <c r="T119" s="273">
        <v>561.62578044052111</v>
      </c>
      <c r="U119" s="273">
        <v>535.24541289221236</v>
      </c>
      <c r="V119" s="273">
        <f t="shared" si="54"/>
        <v>507.47297222222278</v>
      </c>
      <c r="W119" s="273">
        <f t="shared" si="55"/>
        <v>481.85919444444505</v>
      </c>
      <c r="X119" s="273">
        <f t="shared" si="56"/>
        <v>458.91351851851908</v>
      </c>
      <c r="Y119" s="273">
        <f t="shared" si="57"/>
        <v>428.49715740740794</v>
      </c>
      <c r="Z119" s="273">
        <f t="shared" si="58"/>
        <v>399.14803703703751</v>
      </c>
      <c r="AA119" s="273">
        <f t="shared" si="59"/>
        <v>364.99633333333378</v>
      </c>
      <c r="AB119" s="100">
        <v>392</v>
      </c>
      <c r="AC119" s="101" t="s">
        <v>126</v>
      </c>
      <c r="AD119" s="159"/>
      <c r="AE119" s="159"/>
      <c r="AF119" s="164"/>
      <c r="AG119" s="164"/>
      <c r="AH119" s="164"/>
      <c r="AI119" s="159">
        <f t="shared" si="60"/>
        <v>15428681.316221938</v>
      </c>
      <c r="AJ119" s="159">
        <f t="shared" si="80"/>
        <v>14814244.79268631</v>
      </c>
      <c r="AK119" s="159">
        <f t="shared" si="81"/>
        <v>14386877.404572774</v>
      </c>
      <c r="AL119" s="159">
        <f t="shared" si="82"/>
        <v>13800921.461319383</v>
      </c>
      <c r="AM119" s="159">
        <f t="shared" si="83"/>
        <v>13241052.864931241</v>
      </c>
      <c r="AN119" s="159">
        <f t="shared" si="84"/>
        <v>12493382.822787153</v>
      </c>
    </row>
    <row r="120" spans="1:40" x14ac:dyDescent="0.35">
      <c r="A120" s="46">
        <v>394</v>
      </c>
      <c r="B120" s="240" t="s">
        <v>127</v>
      </c>
      <c r="C120" s="364">
        <v>178.92129629629599</v>
      </c>
      <c r="D120" s="365">
        <v>2.8895970841290833E-3</v>
      </c>
      <c r="E120" s="191">
        <v>0.96</v>
      </c>
      <c r="F120" s="191">
        <v>0.92200000000000004</v>
      </c>
      <c r="G120" s="191">
        <v>0.88400000000000001</v>
      </c>
      <c r="H120" s="191">
        <v>0.83099999999999996</v>
      </c>
      <c r="I120" s="191">
        <v>0.77300000000000002</v>
      </c>
      <c r="J120" s="191">
        <v>0.74099999999999999</v>
      </c>
      <c r="K120" s="361">
        <v>2.7740132007639199E-3</v>
      </c>
      <c r="L120" s="362">
        <v>2.6642085115670148E-3</v>
      </c>
      <c r="M120" s="362">
        <v>2.5544038223701097E-3</v>
      </c>
      <c r="N120" s="362">
        <v>2.4012551769112679E-3</v>
      </c>
      <c r="O120" s="362">
        <v>2.2336585460317813E-3</v>
      </c>
      <c r="P120" s="363">
        <v>2.1411914393396508E-3</v>
      </c>
      <c r="Q120" s="273">
        <v>236.36094645544955</v>
      </c>
      <c r="R120" s="273">
        <v>230.37186545245814</v>
      </c>
      <c r="S120" s="273">
        <v>210.80432116871987</v>
      </c>
      <c r="T120" s="273">
        <v>193.37622642049544</v>
      </c>
      <c r="U120" s="273">
        <v>185.63638201614108</v>
      </c>
      <c r="V120" s="273">
        <f t="shared" si="54"/>
        <v>171.76444444444414</v>
      </c>
      <c r="W120" s="273">
        <f t="shared" si="55"/>
        <v>164.9654351851849</v>
      </c>
      <c r="X120" s="273">
        <f t="shared" si="56"/>
        <v>158.16642592592567</v>
      </c>
      <c r="Y120" s="273">
        <f t="shared" si="57"/>
        <v>148.68359722222198</v>
      </c>
      <c r="Z120" s="273">
        <f t="shared" si="58"/>
        <v>138.30616203703681</v>
      </c>
      <c r="AA120" s="273">
        <f t="shared" si="59"/>
        <v>132.58068055555532</v>
      </c>
      <c r="AB120" s="100">
        <v>394</v>
      </c>
      <c r="AC120" s="101" t="s">
        <v>127</v>
      </c>
      <c r="AD120" s="159"/>
      <c r="AE120" s="159"/>
      <c r="AF120" s="164"/>
      <c r="AG120" s="164"/>
      <c r="AH120" s="164"/>
      <c r="AI120" s="159">
        <f t="shared" si="60"/>
        <v>5222147.8184078662</v>
      </c>
      <c r="AJ120" s="159">
        <f t="shared" si="80"/>
        <v>5071685.6030587032</v>
      </c>
      <c r="AK120" s="159">
        <f t="shared" si="81"/>
        <v>4958496.2906772736</v>
      </c>
      <c r="AL120" s="159">
        <f t="shared" si="82"/>
        <v>4788761.4010455403</v>
      </c>
      <c r="AM120" s="159">
        <f t="shared" si="83"/>
        <v>4588070.1723411456</v>
      </c>
      <c r="AN120" s="159">
        <f t="shared" si="84"/>
        <v>4538076.2649292462</v>
      </c>
    </row>
    <row r="121" spans="1:40" x14ac:dyDescent="0.35">
      <c r="A121" s="46">
        <v>1655</v>
      </c>
      <c r="B121" s="240" t="s">
        <v>128</v>
      </c>
      <c r="C121" s="364">
        <v>170.465277777778</v>
      </c>
      <c r="D121" s="365">
        <v>2.753031527315839E-3</v>
      </c>
      <c r="E121" s="191">
        <v>0.95899999999999996</v>
      </c>
      <c r="F121" s="191">
        <v>0.88900000000000001</v>
      </c>
      <c r="G121" s="191">
        <v>0.85699999999999998</v>
      </c>
      <c r="H121" s="191">
        <v>0.80400000000000005</v>
      </c>
      <c r="I121" s="191">
        <v>0.74199999999999999</v>
      </c>
      <c r="J121" s="191">
        <v>0.68200000000000005</v>
      </c>
      <c r="K121" s="361">
        <v>2.6401572346958896E-3</v>
      </c>
      <c r="L121" s="362">
        <v>2.4474450277837808E-3</v>
      </c>
      <c r="M121" s="362">
        <v>2.359348018909674E-3</v>
      </c>
      <c r="N121" s="362">
        <v>2.2134373479619348E-3</v>
      </c>
      <c r="O121" s="362">
        <v>2.0427493932683523E-3</v>
      </c>
      <c r="P121" s="363">
        <v>1.8775675016294024E-3</v>
      </c>
      <c r="Q121" s="273">
        <v>208.27333916886286</v>
      </c>
      <c r="R121" s="273">
        <v>204.40019624604489</v>
      </c>
      <c r="S121" s="273">
        <v>198.23589689656015</v>
      </c>
      <c r="T121" s="273">
        <v>184.15773923920332</v>
      </c>
      <c r="U121" s="273">
        <v>168.52003417655999</v>
      </c>
      <c r="V121" s="273">
        <f t="shared" si="54"/>
        <v>163.47620138888908</v>
      </c>
      <c r="W121" s="273">
        <f t="shared" si="55"/>
        <v>151.54363194444466</v>
      </c>
      <c r="X121" s="273">
        <f t="shared" si="56"/>
        <v>146.08874305555574</v>
      </c>
      <c r="Y121" s="273">
        <f t="shared" si="57"/>
        <v>137.05408333333352</v>
      </c>
      <c r="Z121" s="273">
        <f t="shared" si="58"/>
        <v>126.48523611111128</v>
      </c>
      <c r="AA121" s="273">
        <f t="shared" si="59"/>
        <v>116.2573194444446</v>
      </c>
      <c r="AB121" s="100">
        <v>1655</v>
      </c>
      <c r="AC121" s="101" t="s">
        <v>128</v>
      </c>
      <c r="AD121" s="159"/>
      <c r="AE121" s="159"/>
      <c r="AF121" s="164"/>
      <c r="AG121" s="164"/>
      <c r="AH121" s="164"/>
      <c r="AI121" s="159">
        <f t="shared" si="60"/>
        <v>4970160.6825894266</v>
      </c>
      <c r="AJ121" s="159">
        <f t="shared" si="80"/>
        <v>4659046.6391040152</v>
      </c>
      <c r="AK121" s="159">
        <f t="shared" si="81"/>
        <v>4579862.548641826</v>
      </c>
      <c r="AL121" s="159">
        <f t="shared" si="82"/>
        <v>4414201.1384175345</v>
      </c>
      <c r="AM121" s="159">
        <f t="shared" si="83"/>
        <v>4195931.1898736143</v>
      </c>
      <c r="AN121" s="159">
        <f t="shared" si="84"/>
        <v>3979347.3663310804</v>
      </c>
    </row>
    <row r="122" spans="1:40" x14ac:dyDescent="0.35">
      <c r="A122" s="46">
        <v>160</v>
      </c>
      <c r="B122" s="240" t="s">
        <v>129</v>
      </c>
      <c r="C122" s="364">
        <v>293.9375</v>
      </c>
      <c r="D122" s="365">
        <v>4.7471204406525185E-3</v>
      </c>
      <c r="E122" s="191">
        <v>0.95399999999999996</v>
      </c>
      <c r="F122" s="191">
        <v>0.90700000000000003</v>
      </c>
      <c r="G122" s="191">
        <v>0.85499999999999998</v>
      </c>
      <c r="H122" s="191">
        <v>0.80500000000000005</v>
      </c>
      <c r="I122" s="191">
        <v>0.77500000000000002</v>
      </c>
      <c r="J122" s="191">
        <v>0.71499999999999997</v>
      </c>
      <c r="K122" s="361">
        <v>4.5287529003825025E-3</v>
      </c>
      <c r="L122" s="362">
        <v>4.3056382396718341E-3</v>
      </c>
      <c r="M122" s="362">
        <v>4.0587879767579032E-3</v>
      </c>
      <c r="N122" s="362">
        <v>3.8214319547252777E-3</v>
      </c>
      <c r="O122" s="362">
        <v>3.6790183415057018E-3</v>
      </c>
      <c r="P122" s="363">
        <v>3.3941911150665504E-3</v>
      </c>
      <c r="Q122" s="273">
        <v>377.11334089024564</v>
      </c>
      <c r="R122" s="273">
        <v>357.73864433135884</v>
      </c>
      <c r="S122" s="273">
        <v>335.99721531556924</v>
      </c>
      <c r="T122" s="273">
        <v>315.59758301293908</v>
      </c>
      <c r="U122" s="273">
        <v>295.10437366156106</v>
      </c>
      <c r="V122" s="273">
        <f t="shared" si="54"/>
        <v>280.41637500000002</v>
      </c>
      <c r="W122" s="273">
        <f t="shared" si="55"/>
        <v>266.60131250000001</v>
      </c>
      <c r="X122" s="273">
        <f t="shared" si="56"/>
        <v>251.3165625</v>
      </c>
      <c r="Y122" s="273">
        <f t="shared" si="57"/>
        <v>236.61968750000003</v>
      </c>
      <c r="Z122" s="273">
        <f t="shared" si="58"/>
        <v>227.80156250000002</v>
      </c>
      <c r="AA122" s="273">
        <f t="shared" si="59"/>
        <v>210.1653125</v>
      </c>
      <c r="AB122" s="100">
        <v>160</v>
      </c>
      <c r="AC122" s="101" t="s">
        <v>129</v>
      </c>
      <c r="AD122" s="159"/>
      <c r="AE122" s="159"/>
      <c r="AF122" s="164"/>
      <c r="AG122" s="164"/>
      <c r="AH122" s="164"/>
      <c r="AI122" s="159">
        <f t="shared" si="60"/>
        <v>8525488.2970016133</v>
      </c>
      <c r="AJ122" s="159">
        <f t="shared" si="80"/>
        <v>8196371.7844587266</v>
      </c>
      <c r="AK122" s="159">
        <f t="shared" si="81"/>
        <v>7878740.6091203308</v>
      </c>
      <c r="AL122" s="159">
        <f t="shared" si="82"/>
        <v>7620983.3996275198</v>
      </c>
      <c r="AM122" s="159">
        <f t="shared" si="83"/>
        <v>7556926.8839885304</v>
      </c>
      <c r="AN122" s="159">
        <f t="shared" si="84"/>
        <v>7193704.3343810504</v>
      </c>
    </row>
    <row r="123" spans="1:40" x14ac:dyDescent="0.35">
      <c r="A123" s="46">
        <v>243</v>
      </c>
      <c r="B123" s="240" t="s">
        <v>130</v>
      </c>
      <c r="C123" s="364">
        <v>160.90162037037001</v>
      </c>
      <c r="D123" s="365">
        <v>2.5985774900932853E-3</v>
      </c>
      <c r="E123" s="191">
        <v>0.95299999999999996</v>
      </c>
      <c r="F123" s="191">
        <v>0.91200000000000003</v>
      </c>
      <c r="G123" s="191">
        <v>0.88600000000000001</v>
      </c>
      <c r="H123" s="191">
        <v>0.84799999999999998</v>
      </c>
      <c r="I123" s="191">
        <v>0.79800000000000004</v>
      </c>
      <c r="J123" s="191">
        <v>0.73</v>
      </c>
      <c r="K123" s="361">
        <v>2.4764443480589007E-3</v>
      </c>
      <c r="L123" s="362">
        <v>2.3699026709650762E-3</v>
      </c>
      <c r="M123" s="362">
        <v>2.3023396562226509E-3</v>
      </c>
      <c r="N123" s="362">
        <v>2.2035937115991058E-3</v>
      </c>
      <c r="O123" s="362">
        <v>2.0736648370944417E-3</v>
      </c>
      <c r="P123" s="363">
        <v>1.8969615677680983E-3</v>
      </c>
      <c r="Q123" s="273">
        <v>194.12361355987298</v>
      </c>
      <c r="R123" s="273">
        <v>187.91761062663306</v>
      </c>
      <c r="S123" s="273">
        <v>184.11475030555414</v>
      </c>
      <c r="T123" s="273">
        <v>175.79960362846086</v>
      </c>
      <c r="U123" s="273">
        <v>169.61944702530269</v>
      </c>
      <c r="V123" s="273">
        <f t="shared" si="54"/>
        <v>153.33924421296263</v>
      </c>
      <c r="W123" s="273">
        <f t="shared" si="55"/>
        <v>146.74227777777745</v>
      </c>
      <c r="X123" s="273">
        <f t="shared" si="56"/>
        <v>142.55883564814783</v>
      </c>
      <c r="Y123" s="273">
        <f t="shared" si="57"/>
        <v>136.44457407407376</v>
      </c>
      <c r="Z123" s="273">
        <f t="shared" si="58"/>
        <v>128.39949305555527</v>
      </c>
      <c r="AA123" s="273">
        <f t="shared" si="59"/>
        <v>117.45818287037011</v>
      </c>
      <c r="AB123" s="100">
        <v>243</v>
      </c>
      <c r="AC123" s="101" t="s">
        <v>130</v>
      </c>
      <c r="AD123" s="159"/>
      <c r="AE123" s="159"/>
      <c r="AF123" s="164"/>
      <c r="AG123" s="164"/>
      <c r="AH123" s="164"/>
      <c r="AI123" s="159">
        <f t="shared" si="60"/>
        <v>4661967.1622553607</v>
      </c>
      <c r="AJ123" s="159">
        <f t="shared" si="80"/>
        <v>4511434.148190774</v>
      </c>
      <c r="AK123" s="159">
        <f t="shared" si="81"/>
        <v>4469200.4237085385</v>
      </c>
      <c r="AL123" s="159">
        <f t="shared" si="82"/>
        <v>4394570.2277531894</v>
      </c>
      <c r="AM123" s="159">
        <f t="shared" si="83"/>
        <v>4259433.387170135</v>
      </c>
      <c r="AN123" s="159">
        <f t="shared" si="84"/>
        <v>4020451.4682845366</v>
      </c>
    </row>
    <row r="124" spans="1:40" x14ac:dyDescent="0.35">
      <c r="A124" s="248">
        <v>523</v>
      </c>
      <c r="B124" s="249" t="s">
        <v>131</v>
      </c>
      <c r="C124" s="369"/>
      <c r="D124" s="371"/>
      <c r="E124" s="370"/>
      <c r="F124" s="237"/>
      <c r="G124" s="237"/>
      <c r="H124" s="237"/>
      <c r="I124" s="237"/>
      <c r="J124" s="237"/>
      <c r="K124" s="238"/>
      <c r="L124" s="238"/>
      <c r="M124" s="238"/>
      <c r="N124" s="238"/>
      <c r="O124" s="238"/>
      <c r="P124" s="239"/>
      <c r="Q124" s="273">
        <v>39.645833333333343</v>
      </c>
      <c r="R124" s="273">
        <v>39.1041666666667</v>
      </c>
      <c r="S124" s="273"/>
      <c r="T124" s="273"/>
      <c r="U124" s="273"/>
      <c r="V124" s="273"/>
      <c r="W124" s="273"/>
      <c r="X124" s="273"/>
      <c r="Y124" s="273"/>
      <c r="Z124" s="273"/>
      <c r="AA124" s="273"/>
      <c r="AB124" s="100"/>
      <c r="AC124" s="101"/>
      <c r="AD124" s="159"/>
      <c r="AE124" s="159"/>
      <c r="AF124" s="164"/>
      <c r="AG124" s="164"/>
      <c r="AH124" s="164"/>
      <c r="AI124" s="159">
        <f t="shared" si="60"/>
        <v>0</v>
      </c>
      <c r="AJ124" s="159">
        <f t="shared" si="80"/>
        <v>0</v>
      </c>
      <c r="AK124" s="159">
        <f t="shared" si="81"/>
        <v>0</v>
      </c>
      <c r="AL124" s="159">
        <f t="shared" si="82"/>
        <v>0</v>
      </c>
      <c r="AM124" s="159">
        <f t="shared" si="83"/>
        <v>0</v>
      </c>
      <c r="AN124" s="159">
        <f t="shared" si="84"/>
        <v>0</v>
      </c>
    </row>
    <row r="125" spans="1:40" x14ac:dyDescent="0.35">
      <c r="A125" s="46">
        <v>72</v>
      </c>
      <c r="B125" s="240" t="s">
        <v>132</v>
      </c>
      <c r="C125" s="364">
        <v>63.834490740740698</v>
      </c>
      <c r="D125" s="365">
        <v>1.0309335005367266E-3</v>
      </c>
      <c r="E125" s="191">
        <v>0.97599999999999998</v>
      </c>
      <c r="F125" s="191">
        <v>0.91600000000000004</v>
      </c>
      <c r="G125" s="191">
        <v>0.85099999999999998</v>
      </c>
      <c r="H125" s="191">
        <v>0.80800000000000005</v>
      </c>
      <c r="I125" s="191">
        <v>0.749</v>
      </c>
      <c r="J125" s="191">
        <v>0.71799999999999997</v>
      </c>
      <c r="K125" s="361">
        <v>1.0061910965238452E-3</v>
      </c>
      <c r="L125" s="362">
        <v>9.4433508649164157E-4</v>
      </c>
      <c r="M125" s="362">
        <v>8.7732440895675428E-4</v>
      </c>
      <c r="N125" s="362">
        <v>8.3299426843367512E-4</v>
      </c>
      <c r="O125" s="362">
        <v>7.7216919190200824E-4</v>
      </c>
      <c r="P125" s="363">
        <v>7.402102533853697E-4</v>
      </c>
      <c r="Q125" s="273">
        <v>92.374999999999972</v>
      </c>
      <c r="R125" s="273">
        <v>87.3888888888889</v>
      </c>
      <c r="S125" s="273">
        <v>81.683287506506304</v>
      </c>
      <c r="T125" s="273">
        <v>73.549216339259985</v>
      </c>
      <c r="U125" s="273">
        <v>66.950020785734893</v>
      </c>
      <c r="V125" s="273">
        <f t="shared" si="54"/>
        <v>62.30246296296292</v>
      </c>
      <c r="W125" s="273">
        <f t="shared" si="55"/>
        <v>58.47239351851848</v>
      </c>
      <c r="X125" s="273">
        <f t="shared" si="56"/>
        <v>54.323151620370332</v>
      </c>
      <c r="Y125" s="273">
        <f t="shared" si="57"/>
        <v>51.578268518518485</v>
      </c>
      <c r="Z125" s="273">
        <f t="shared" si="58"/>
        <v>47.812033564814783</v>
      </c>
      <c r="AA125" s="273">
        <f t="shared" si="59"/>
        <v>45.833164351851821</v>
      </c>
      <c r="AB125" s="100">
        <v>72</v>
      </c>
      <c r="AC125" s="101" t="s">
        <v>132</v>
      </c>
      <c r="AD125" s="159"/>
      <c r="AE125" s="159"/>
      <c r="AF125" s="164"/>
      <c r="AG125" s="164"/>
      <c r="AH125" s="164"/>
      <c r="AI125" s="159">
        <f t="shared" si="60"/>
        <v>1894179.3925733359</v>
      </c>
      <c r="AJ125" s="159">
        <f t="shared" si="80"/>
        <v>1797671.1063826897</v>
      </c>
      <c r="AK125" s="159">
        <f t="shared" si="81"/>
        <v>1703023.5350557631</v>
      </c>
      <c r="AL125" s="159">
        <f t="shared" si="82"/>
        <v>1661219.0317475591</v>
      </c>
      <c r="AM125" s="159">
        <f t="shared" si="83"/>
        <v>1586082.3686146173</v>
      </c>
      <c r="AN125" s="159">
        <f t="shared" si="84"/>
        <v>1568813.7549164565</v>
      </c>
    </row>
    <row r="126" spans="1:40" x14ac:dyDescent="0.35">
      <c r="A126" s="46">
        <v>244</v>
      </c>
      <c r="B126" s="240" t="s">
        <v>133</v>
      </c>
      <c r="C126" s="364">
        <v>26.386574074074101</v>
      </c>
      <c r="D126" s="365">
        <v>4.2614584782761286E-4</v>
      </c>
      <c r="E126" s="191">
        <v>0.88300000000000001</v>
      </c>
      <c r="F126" s="191">
        <v>0.83299999999999996</v>
      </c>
      <c r="G126" s="191">
        <v>0.78500000000000003</v>
      </c>
      <c r="H126" s="191">
        <v>0.73299999999999998</v>
      </c>
      <c r="I126" s="191">
        <v>0.70299999999999996</v>
      </c>
      <c r="J126" s="191">
        <v>0.68400000000000005</v>
      </c>
      <c r="K126" s="361">
        <v>3.7628678363178217E-4</v>
      </c>
      <c r="L126" s="362">
        <v>3.549794912404015E-4</v>
      </c>
      <c r="M126" s="362">
        <v>3.3452449054467611E-4</v>
      </c>
      <c r="N126" s="362">
        <v>3.1236490645764021E-4</v>
      </c>
      <c r="O126" s="362">
        <v>2.9958053102281185E-4</v>
      </c>
      <c r="P126" s="363">
        <v>2.9148375991408721E-4</v>
      </c>
      <c r="Q126" s="273">
        <v>38.99305555555555</v>
      </c>
      <c r="R126" s="273">
        <v>35.560185185185198</v>
      </c>
      <c r="S126" s="273">
        <v>30.621559736452809</v>
      </c>
      <c r="T126" s="273">
        <v>28.896923143863305</v>
      </c>
      <c r="U126" s="273">
        <v>26.617228672553246</v>
      </c>
      <c r="V126" s="273">
        <f t="shared" si="54"/>
        <v>23.299344907407431</v>
      </c>
      <c r="W126" s="273">
        <f t="shared" si="55"/>
        <v>21.980016203703727</v>
      </c>
      <c r="X126" s="273">
        <f t="shared" si="56"/>
        <v>20.713460648148171</v>
      </c>
      <c r="Y126" s="273">
        <f t="shared" si="57"/>
        <v>19.341358796296316</v>
      </c>
      <c r="Z126" s="273">
        <f t="shared" si="58"/>
        <v>18.549761574074093</v>
      </c>
      <c r="AA126" s="273">
        <f t="shared" si="59"/>
        <v>18.048416666666686</v>
      </c>
      <c r="AB126" s="100">
        <v>244</v>
      </c>
      <c r="AC126" s="101" t="s">
        <v>133</v>
      </c>
      <c r="AD126" s="159"/>
      <c r="AE126" s="159"/>
      <c r="AF126" s="164"/>
      <c r="AG126" s="164"/>
      <c r="AH126" s="164"/>
      <c r="AI126" s="159">
        <f t="shared" si="60"/>
        <v>708369.08984329528</v>
      </c>
      <c r="AJ126" s="159">
        <f t="shared" si="80"/>
        <v>675752.05442389881</v>
      </c>
      <c r="AK126" s="159">
        <f t="shared" si="81"/>
        <v>649364.21993270307</v>
      </c>
      <c r="AL126" s="159">
        <f t="shared" si="82"/>
        <v>622941.29398177785</v>
      </c>
      <c r="AM126" s="159">
        <f t="shared" si="83"/>
        <v>615356.58663753862</v>
      </c>
      <c r="AN126" s="159">
        <f t="shared" si="84"/>
        <v>617775.46284530335</v>
      </c>
    </row>
    <row r="127" spans="1:40" x14ac:dyDescent="0.35">
      <c r="A127" s="46">
        <v>396</v>
      </c>
      <c r="B127" s="240" t="s">
        <v>134</v>
      </c>
      <c r="C127" s="364">
        <v>130.01504629629599</v>
      </c>
      <c r="D127" s="365">
        <v>2.0997561858066092E-3</v>
      </c>
      <c r="E127" s="191">
        <v>0.96399999999999997</v>
      </c>
      <c r="F127" s="191">
        <v>0.92</v>
      </c>
      <c r="G127" s="191">
        <v>0.87</v>
      </c>
      <c r="H127" s="191">
        <v>0.83</v>
      </c>
      <c r="I127" s="191">
        <v>0.79</v>
      </c>
      <c r="J127" s="191">
        <v>0.71599999999999997</v>
      </c>
      <c r="K127" s="361">
        <v>2.0241649631175711E-3</v>
      </c>
      <c r="L127" s="362">
        <v>1.9317756909420806E-3</v>
      </c>
      <c r="M127" s="362">
        <v>1.8267878816517499E-3</v>
      </c>
      <c r="N127" s="362">
        <v>1.7427976342194854E-3</v>
      </c>
      <c r="O127" s="362">
        <v>1.6588073867872214E-3</v>
      </c>
      <c r="P127" s="363">
        <v>1.5034254290375321E-3</v>
      </c>
      <c r="Q127" s="273">
        <v>152.79965559604307</v>
      </c>
      <c r="R127" s="273">
        <v>150.7529535794861</v>
      </c>
      <c r="S127" s="273">
        <v>147.34764536503363</v>
      </c>
      <c r="T127" s="273">
        <v>139.22497217522204</v>
      </c>
      <c r="U127" s="273">
        <v>131.02956382647278</v>
      </c>
      <c r="V127" s="273">
        <f t="shared" si="54"/>
        <v>125.33450462962934</v>
      </c>
      <c r="W127" s="273">
        <f t="shared" si="55"/>
        <v>119.61384259259232</v>
      </c>
      <c r="X127" s="273">
        <f t="shared" si="56"/>
        <v>113.11309027777752</v>
      </c>
      <c r="Y127" s="273">
        <f t="shared" si="57"/>
        <v>107.91248842592567</v>
      </c>
      <c r="Z127" s="273">
        <f t="shared" si="58"/>
        <v>102.71188657407384</v>
      </c>
      <c r="AA127" s="273">
        <f t="shared" si="59"/>
        <v>93.090773148147932</v>
      </c>
      <c r="AB127" s="100">
        <v>396</v>
      </c>
      <c r="AC127" s="101" t="s">
        <v>134</v>
      </c>
      <c r="AD127" s="159"/>
      <c r="AE127" s="159"/>
      <c r="AF127" s="164"/>
      <c r="AG127" s="164"/>
      <c r="AH127" s="164"/>
      <c r="AI127" s="159">
        <f t="shared" si="60"/>
        <v>3810540.138500825</v>
      </c>
      <c r="AJ127" s="159">
        <f t="shared" si="80"/>
        <v>3677399.4668785105</v>
      </c>
      <c r="AK127" s="159">
        <f t="shared" si="81"/>
        <v>3546080.2460825467</v>
      </c>
      <c r="AL127" s="159">
        <f t="shared" si="82"/>
        <v>3475616.4695994551</v>
      </c>
      <c r="AM127" s="159">
        <f t="shared" si="83"/>
        <v>3407291.014330945</v>
      </c>
      <c r="AN127" s="159">
        <f t="shared" si="84"/>
        <v>3186384.5195039734</v>
      </c>
    </row>
    <row r="128" spans="1:40" x14ac:dyDescent="0.35">
      <c r="A128" s="46">
        <v>397</v>
      </c>
      <c r="B128" s="240" t="s">
        <v>135</v>
      </c>
      <c r="C128" s="364">
        <v>46.837962962962997</v>
      </c>
      <c r="D128" s="365">
        <v>7.5643785287691167E-4</v>
      </c>
      <c r="E128" s="191">
        <v>0.89</v>
      </c>
      <c r="F128" s="191">
        <v>0.84699999999999998</v>
      </c>
      <c r="G128" s="191">
        <v>0.79400000000000004</v>
      </c>
      <c r="H128" s="191">
        <v>0.70299999999999996</v>
      </c>
      <c r="I128" s="191">
        <v>0.624</v>
      </c>
      <c r="J128" s="191">
        <v>0.57199999999999995</v>
      </c>
      <c r="K128" s="361">
        <v>6.732296890604514E-4</v>
      </c>
      <c r="L128" s="362">
        <v>6.4070286138674421E-4</v>
      </c>
      <c r="M128" s="362">
        <v>6.0061165518426787E-4</v>
      </c>
      <c r="N128" s="362">
        <v>5.3177581057246891E-4</v>
      </c>
      <c r="O128" s="362">
        <v>4.7201722019519289E-4</v>
      </c>
      <c r="P128" s="363">
        <v>4.3268245184559343E-4</v>
      </c>
      <c r="Q128" s="273">
        <v>64.145833333333329</v>
      </c>
      <c r="R128" s="273">
        <v>61.884259259259302</v>
      </c>
      <c r="S128" s="273">
        <v>57.688663004338402</v>
      </c>
      <c r="T128" s="273">
        <v>54.00451369525981</v>
      </c>
      <c r="U128" s="273">
        <v>48.830192225656816</v>
      </c>
      <c r="V128" s="273">
        <f t="shared" si="54"/>
        <v>41.685787037037066</v>
      </c>
      <c r="W128" s="273">
        <f t="shared" si="55"/>
        <v>39.67175462962966</v>
      </c>
      <c r="X128" s="273">
        <f t="shared" si="56"/>
        <v>37.189342592592624</v>
      </c>
      <c r="Y128" s="273">
        <f t="shared" si="57"/>
        <v>32.927087962962986</v>
      </c>
      <c r="Z128" s="273">
        <f t="shared" si="58"/>
        <v>29.226888888888912</v>
      </c>
      <c r="AA128" s="273">
        <f t="shared" si="59"/>
        <v>26.791314814814832</v>
      </c>
      <c r="AB128" s="100">
        <v>397</v>
      </c>
      <c r="AC128" s="101" t="s">
        <v>135</v>
      </c>
      <c r="AD128" s="159"/>
      <c r="AE128" s="159"/>
      <c r="AF128" s="164"/>
      <c r="AG128" s="164"/>
      <c r="AH128" s="164"/>
      <c r="AI128" s="159">
        <f t="shared" si="60"/>
        <v>1267371.3849113164</v>
      </c>
      <c r="AJ128" s="159">
        <f t="shared" si="80"/>
        <v>1219665.6019323475</v>
      </c>
      <c r="AK128" s="159">
        <f t="shared" si="81"/>
        <v>1165880.9144771262</v>
      </c>
      <c r="AL128" s="159">
        <f t="shared" si="82"/>
        <v>1060506.813338666</v>
      </c>
      <c r="AM128" s="159">
        <f t="shared" si="83"/>
        <v>969552.0081421315</v>
      </c>
      <c r="AN128" s="159">
        <f t="shared" si="84"/>
        <v>917034.28703107568</v>
      </c>
    </row>
    <row r="129" spans="1:40" x14ac:dyDescent="0.35">
      <c r="A129" s="46">
        <v>246</v>
      </c>
      <c r="B129" s="240" t="s">
        <v>136</v>
      </c>
      <c r="C129" s="364">
        <v>73.782407407407405</v>
      </c>
      <c r="D129" s="365">
        <v>1.1915933637737801E-3</v>
      </c>
      <c r="E129" s="191">
        <v>0.94899999999999995</v>
      </c>
      <c r="F129" s="191">
        <v>0.88700000000000001</v>
      </c>
      <c r="G129" s="191">
        <v>0.84799999999999998</v>
      </c>
      <c r="H129" s="191">
        <v>0.75</v>
      </c>
      <c r="I129" s="191">
        <v>0.71399999999999997</v>
      </c>
      <c r="J129" s="191">
        <v>0.64600000000000002</v>
      </c>
      <c r="K129" s="361">
        <v>1.1308221022213172E-3</v>
      </c>
      <c r="L129" s="362">
        <v>1.056943313667343E-3</v>
      </c>
      <c r="M129" s="362">
        <v>1.0104711724801655E-3</v>
      </c>
      <c r="N129" s="362">
        <v>8.9369502283033508E-4</v>
      </c>
      <c r="O129" s="362">
        <v>8.5079766173447899E-4</v>
      </c>
      <c r="P129" s="363">
        <v>7.6976931299786201E-4</v>
      </c>
      <c r="Q129" s="273">
        <v>93.659722222222214</v>
      </c>
      <c r="R129" s="273">
        <v>87.879629629629605</v>
      </c>
      <c r="S129" s="273">
        <v>79.899539117327791</v>
      </c>
      <c r="T129" s="273">
        <v>76.985551344863481</v>
      </c>
      <c r="U129" s="273">
        <v>72.30668197548782</v>
      </c>
      <c r="V129" s="273">
        <f t="shared" si="54"/>
        <v>70.019504629629623</v>
      </c>
      <c r="W129" s="273">
        <f t="shared" si="55"/>
        <v>65.444995370370364</v>
      </c>
      <c r="X129" s="273">
        <f t="shared" si="56"/>
        <v>62.567481481481479</v>
      </c>
      <c r="Y129" s="273">
        <f t="shared" si="57"/>
        <v>55.336805555555557</v>
      </c>
      <c r="Z129" s="273">
        <f t="shared" si="58"/>
        <v>52.680638888888886</v>
      </c>
      <c r="AA129" s="273">
        <f t="shared" si="59"/>
        <v>47.663435185185186</v>
      </c>
      <c r="AB129" s="100">
        <v>246</v>
      </c>
      <c r="AC129" s="101" t="s">
        <v>136</v>
      </c>
      <c r="AD129" s="159"/>
      <c r="AE129" s="159"/>
      <c r="AF129" s="164"/>
      <c r="AG129" s="164"/>
      <c r="AH129" s="164"/>
      <c r="AI129" s="159">
        <f t="shared" si="60"/>
        <v>2128800.3144672187</v>
      </c>
      <c r="AJ129" s="159">
        <f t="shared" si="80"/>
        <v>2012036.2816583496</v>
      </c>
      <c r="AK129" s="159">
        <f t="shared" si="81"/>
        <v>1961482.173139832</v>
      </c>
      <c r="AL129" s="159">
        <f t="shared" si="82"/>
        <v>1782272.9840571899</v>
      </c>
      <c r="AM129" s="159">
        <f t="shared" si="83"/>
        <v>1747590.0161358027</v>
      </c>
      <c r="AN129" s="159">
        <f t="shared" si="84"/>
        <v>1631461.7108051879</v>
      </c>
    </row>
    <row r="130" spans="1:40" x14ac:dyDescent="0.35">
      <c r="A130" s="46">
        <v>74</v>
      </c>
      <c r="B130" s="240" t="s">
        <v>137</v>
      </c>
      <c r="C130" s="364">
        <v>276.04456018518499</v>
      </c>
      <c r="D130" s="365">
        <v>4.4581476476666842E-3</v>
      </c>
      <c r="E130" s="191">
        <v>0.93100000000000005</v>
      </c>
      <c r="F130" s="191">
        <v>0.88800000000000001</v>
      </c>
      <c r="G130" s="191">
        <v>0.84299999999999997</v>
      </c>
      <c r="H130" s="191">
        <v>0.79700000000000004</v>
      </c>
      <c r="I130" s="191">
        <v>0.75900000000000001</v>
      </c>
      <c r="J130" s="191">
        <v>0.72099999999999997</v>
      </c>
      <c r="K130" s="361">
        <v>4.150535459977683E-3</v>
      </c>
      <c r="L130" s="362">
        <v>3.9588351111280156E-3</v>
      </c>
      <c r="M130" s="362">
        <v>3.7582184669830146E-3</v>
      </c>
      <c r="N130" s="362">
        <v>3.5531436751903476E-3</v>
      </c>
      <c r="O130" s="362">
        <v>3.3837340645790134E-3</v>
      </c>
      <c r="P130" s="363">
        <v>3.2143244539676792E-3</v>
      </c>
      <c r="Q130" s="273">
        <v>336.89419521918467</v>
      </c>
      <c r="R130" s="273">
        <v>324.90563472082215</v>
      </c>
      <c r="S130" s="273">
        <v>312.64034945554585</v>
      </c>
      <c r="T130" s="273">
        <v>297.28934522082341</v>
      </c>
      <c r="U130" s="273">
        <v>277.26781445705132</v>
      </c>
      <c r="V130" s="273">
        <f t="shared" si="54"/>
        <v>256.99748553240727</v>
      </c>
      <c r="W130" s="273">
        <f t="shared" si="55"/>
        <v>245.12756944444428</v>
      </c>
      <c r="X130" s="273">
        <f t="shared" si="56"/>
        <v>232.70556423611094</v>
      </c>
      <c r="Y130" s="273">
        <f t="shared" si="57"/>
        <v>220.00751446759244</v>
      </c>
      <c r="Z130" s="273">
        <f t="shared" si="58"/>
        <v>209.51782118055542</v>
      </c>
      <c r="AA130" s="273">
        <f t="shared" si="59"/>
        <v>199.02812789351836</v>
      </c>
      <c r="AB130" s="100">
        <v>74</v>
      </c>
      <c r="AC130" s="101" t="s">
        <v>137</v>
      </c>
      <c r="AD130" s="159"/>
      <c r="AE130" s="159"/>
      <c r="AF130" s="164"/>
      <c r="AG130" s="164"/>
      <c r="AH130" s="164"/>
      <c r="AI130" s="159">
        <f t="shared" si="60"/>
        <v>7813484.6984787509</v>
      </c>
      <c r="AJ130" s="159">
        <f t="shared" si="80"/>
        <v>7536184.5556832738</v>
      </c>
      <c r="AK130" s="159">
        <f t="shared" si="81"/>
        <v>7295288.3036322249</v>
      </c>
      <c r="AL130" s="159">
        <f t="shared" si="82"/>
        <v>7085942.9883696092</v>
      </c>
      <c r="AM130" s="159">
        <f t="shared" si="83"/>
        <v>6950395.063923412</v>
      </c>
      <c r="AN130" s="159">
        <f t="shared" si="84"/>
        <v>6812491.9819551529</v>
      </c>
    </row>
    <row r="132" spans="1:40" x14ac:dyDescent="0.35">
      <c r="A132" s="46">
        <v>917</v>
      </c>
      <c r="B132" s="240" t="s">
        <v>139</v>
      </c>
      <c r="C132" s="364">
        <v>947.19502314814895</v>
      </c>
      <c r="D132" s="365">
        <v>1.529729570289913E-2</v>
      </c>
      <c r="E132" s="191">
        <v>0.95399999999999996</v>
      </c>
      <c r="F132" s="191">
        <v>0.9</v>
      </c>
      <c r="G132" s="191">
        <v>0.85899999999999999</v>
      </c>
      <c r="H132" s="191">
        <v>0.80500000000000005</v>
      </c>
      <c r="I132" s="191">
        <v>0.751</v>
      </c>
      <c r="J132" s="191">
        <v>0.69099999999999995</v>
      </c>
      <c r="K132" s="361">
        <v>1.4593620100565769E-2</v>
      </c>
      <c r="L132" s="362">
        <v>1.3767566132609217E-2</v>
      </c>
      <c r="M132" s="362">
        <v>1.3140377008790352E-2</v>
      </c>
      <c r="N132" s="362">
        <v>1.23143230408338E-2</v>
      </c>
      <c r="O132" s="362">
        <v>1.1488269072877247E-2</v>
      </c>
      <c r="P132" s="363">
        <v>1.0570431330703298E-2</v>
      </c>
      <c r="Q132" s="273">
        <v>1212.4146577227805</v>
      </c>
      <c r="R132" s="273">
        <v>1149.5584514938216</v>
      </c>
      <c r="S132" s="273">
        <v>1078.5595049735359</v>
      </c>
      <c r="T132" s="273">
        <v>1035.8363589231487</v>
      </c>
      <c r="U132" s="273">
        <v>958.16900260497346</v>
      </c>
      <c r="V132" s="273">
        <f t="shared" si="54"/>
        <v>903.62405208333405</v>
      </c>
      <c r="W132" s="273">
        <f t="shared" si="55"/>
        <v>852.47552083333403</v>
      </c>
      <c r="X132" s="273">
        <f t="shared" si="56"/>
        <v>813.64052488425989</v>
      </c>
      <c r="Y132" s="273">
        <f t="shared" si="57"/>
        <v>762.49199363425998</v>
      </c>
      <c r="Z132" s="273">
        <f t="shared" si="58"/>
        <v>711.34346238425985</v>
      </c>
      <c r="AA132" s="273">
        <f t="shared" si="59"/>
        <v>654.51176099537088</v>
      </c>
      <c r="AB132" s="100">
        <v>917</v>
      </c>
      <c r="AC132" s="101" t="s">
        <v>139</v>
      </c>
      <c r="AD132" s="159"/>
      <c r="AE132" s="159"/>
      <c r="AF132" s="164"/>
      <c r="AG132" s="164"/>
      <c r="AH132" s="164"/>
      <c r="AI132" s="159">
        <f t="shared" si="60"/>
        <v>27472847.407451294</v>
      </c>
      <c r="AJ132" s="159">
        <f t="shared" ref="AJ132:AJ162" si="85">+W132*AJ$8</f>
        <v>26208446.764117476</v>
      </c>
      <c r="AK132" s="159">
        <f t="shared" ref="AK132:AK162" si="86">+X132*AK$8</f>
        <v>25507521.592937589</v>
      </c>
      <c r="AL132" s="159">
        <f t="shared" ref="AL132:AL162" si="87">+Y132*AL$8</f>
        <v>24558137.521145981</v>
      </c>
      <c r="AM132" s="159">
        <f t="shared" ref="AM132:AM162" si="88">+Z132*AM$8</f>
        <v>23597601.683004685</v>
      </c>
      <c r="AN132" s="159">
        <f t="shared" ref="AN132:AN162" si="89">+AA132*AN$8</f>
        <v>22403145.580818783</v>
      </c>
    </row>
    <row r="133" spans="1:40" x14ac:dyDescent="0.35">
      <c r="A133" s="46">
        <v>1658</v>
      </c>
      <c r="B133" s="240" t="s">
        <v>140</v>
      </c>
      <c r="C133" s="364">
        <v>33.171296296296298</v>
      </c>
      <c r="D133" s="365">
        <v>5.3571979992715906E-4</v>
      </c>
      <c r="E133" s="191">
        <v>0.95</v>
      </c>
      <c r="F133" s="191">
        <v>0.89900000000000002</v>
      </c>
      <c r="G133" s="191">
        <v>0.877</v>
      </c>
      <c r="H133" s="191">
        <v>0.85599999999999998</v>
      </c>
      <c r="I133" s="191">
        <v>0.83399999999999996</v>
      </c>
      <c r="J133" s="191">
        <v>0.74199999999999999</v>
      </c>
      <c r="K133" s="361">
        <v>5.0893380993080107E-4</v>
      </c>
      <c r="L133" s="362">
        <v>4.8161210013451599E-4</v>
      </c>
      <c r="M133" s="362">
        <v>4.698262645361185E-4</v>
      </c>
      <c r="N133" s="362">
        <v>4.5857614873764816E-4</v>
      </c>
      <c r="O133" s="362">
        <v>4.4679031313925061E-4</v>
      </c>
      <c r="P133" s="363">
        <v>3.9750409154595199E-4</v>
      </c>
      <c r="Q133" s="273">
        <v>45.474537037037038</v>
      </c>
      <c r="R133" s="273">
        <v>42.4930555555555</v>
      </c>
      <c r="S133" s="273">
        <v>37.711623088518564</v>
      </c>
      <c r="T133" s="273">
        <v>36.039838519280956</v>
      </c>
      <c r="U133" s="273">
        <v>35.179315599237192</v>
      </c>
      <c r="V133" s="273">
        <f t="shared" si="54"/>
        <v>31.512731481481481</v>
      </c>
      <c r="W133" s="273">
        <f t="shared" si="55"/>
        <v>29.820995370370373</v>
      </c>
      <c r="X133" s="273">
        <f t="shared" si="56"/>
        <v>29.091226851851854</v>
      </c>
      <c r="Y133" s="273">
        <f t="shared" si="57"/>
        <v>28.39462962962963</v>
      </c>
      <c r="Z133" s="273">
        <f t="shared" si="58"/>
        <v>27.664861111111112</v>
      </c>
      <c r="AA133" s="273">
        <f t="shared" si="59"/>
        <v>24.613101851851852</v>
      </c>
      <c r="AB133" s="100">
        <v>1658</v>
      </c>
      <c r="AC133" s="101" t="s">
        <v>140</v>
      </c>
      <c r="AD133" s="159"/>
      <c r="AE133" s="159"/>
      <c r="AF133" s="164"/>
      <c r="AG133" s="164"/>
      <c r="AH133" s="164"/>
      <c r="AI133" s="159">
        <f t="shared" si="60"/>
        <v>958080.36692552152</v>
      </c>
      <c r="AJ133" s="159">
        <f t="shared" si="85"/>
        <v>916814.56008652633</v>
      </c>
      <c r="AK133" s="159">
        <f t="shared" si="86"/>
        <v>912006.0695037439</v>
      </c>
      <c r="AL133" s="159">
        <f t="shared" si="87"/>
        <v>914526.61159473087</v>
      </c>
      <c r="AM133" s="159">
        <f t="shared" si="88"/>
        <v>917734.41050196637</v>
      </c>
      <c r="AN133" s="159">
        <f t="shared" si="89"/>
        <v>842476.69307573733</v>
      </c>
    </row>
    <row r="134" spans="1:40" x14ac:dyDescent="0.35">
      <c r="A134" s="46">
        <v>399</v>
      </c>
      <c r="B134" s="240" t="s">
        <v>141</v>
      </c>
      <c r="C134" s="364">
        <v>31.8072916666667</v>
      </c>
      <c r="D134" s="365">
        <v>5.1369098680035716E-4</v>
      </c>
      <c r="E134" s="191">
        <v>0.97599999999999998</v>
      </c>
      <c r="F134" s="191">
        <v>0.85899999999999999</v>
      </c>
      <c r="G134" s="191">
        <v>0.81599999999999995</v>
      </c>
      <c r="H134" s="191">
        <v>0.79700000000000004</v>
      </c>
      <c r="I134" s="191">
        <v>0.72799999999999998</v>
      </c>
      <c r="J134" s="191">
        <v>0.71099999999999997</v>
      </c>
      <c r="K134" s="361">
        <v>5.0136240311714859E-4</v>
      </c>
      <c r="L134" s="362">
        <v>4.4126055766150678E-4</v>
      </c>
      <c r="M134" s="362">
        <v>4.1917184522909144E-4</v>
      </c>
      <c r="N134" s="362">
        <v>4.0941171647988469E-4</v>
      </c>
      <c r="O134" s="362">
        <v>3.7396703839066001E-4</v>
      </c>
      <c r="P134" s="363">
        <v>3.6523429161505392E-4</v>
      </c>
      <c r="Q134" s="273">
        <v>43.638888888888893</v>
      </c>
      <c r="R134" s="273">
        <v>41.0173611111111</v>
      </c>
      <c r="S134" s="273">
        <v>36.686812889629302</v>
      </c>
      <c r="T134" s="273">
        <v>34.191920882585293</v>
      </c>
      <c r="U134" s="273">
        <v>32.415583243742006</v>
      </c>
      <c r="V134" s="273">
        <f t="shared" si="54"/>
        <v>31.0439166666667</v>
      </c>
      <c r="W134" s="273">
        <f t="shared" si="55"/>
        <v>27.322463541666696</v>
      </c>
      <c r="X134" s="273">
        <f t="shared" si="56"/>
        <v>25.954750000000026</v>
      </c>
      <c r="Y134" s="273">
        <f t="shared" si="57"/>
        <v>25.350411458333362</v>
      </c>
      <c r="Z134" s="273">
        <f t="shared" si="58"/>
        <v>23.155708333333358</v>
      </c>
      <c r="AA134" s="273">
        <f t="shared" si="59"/>
        <v>22.614984375000024</v>
      </c>
      <c r="AB134" s="100">
        <v>399</v>
      </c>
      <c r="AC134" s="101" t="s">
        <v>141</v>
      </c>
      <c r="AD134" s="159"/>
      <c r="AE134" s="159"/>
      <c r="AF134" s="164"/>
      <c r="AG134" s="164"/>
      <c r="AH134" s="164"/>
      <c r="AI134" s="159">
        <f t="shared" si="60"/>
        <v>943827.00808667205</v>
      </c>
      <c r="AJ134" s="159">
        <f t="shared" si="85"/>
        <v>839999.87530001067</v>
      </c>
      <c r="AK134" s="159">
        <f t="shared" si="86"/>
        <v>813677.93984754232</v>
      </c>
      <c r="AL134" s="159">
        <f t="shared" si="87"/>
        <v>816479.24963000289</v>
      </c>
      <c r="AM134" s="159">
        <f t="shared" si="88"/>
        <v>768150.98589134612</v>
      </c>
      <c r="AN134" s="159">
        <f t="shared" si="89"/>
        <v>774083.54968376341</v>
      </c>
    </row>
    <row r="135" spans="1:40" x14ac:dyDescent="0.35">
      <c r="A135" s="46">
        <v>163</v>
      </c>
      <c r="B135" s="240" t="s">
        <v>142</v>
      </c>
      <c r="C135" s="364">
        <v>119.775462962963</v>
      </c>
      <c r="D135" s="365">
        <v>1.9343858763175856E-3</v>
      </c>
      <c r="E135" s="191">
        <v>0.93600000000000005</v>
      </c>
      <c r="F135" s="191">
        <v>0.89700000000000002</v>
      </c>
      <c r="G135" s="191">
        <v>0.85399999999999998</v>
      </c>
      <c r="H135" s="191">
        <v>0.79500000000000004</v>
      </c>
      <c r="I135" s="191">
        <v>0.71099999999999997</v>
      </c>
      <c r="J135" s="191">
        <v>0.64400000000000002</v>
      </c>
      <c r="K135" s="361">
        <v>1.8105851802332601E-3</v>
      </c>
      <c r="L135" s="362">
        <v>1.7351441310568744E-3</v>
      </c>
      <c r="M135" s="362">
        <v>1.6519655383752181E-3</v>
      </c>
      <c r="N135" s="362">
        <v>1.5378367716724806E-3</v>
      </c>
      <c r="O135" s="362">
        <v>1.3753483580618033E-3</v>
      </c>
      <c r="P135" s="363">
        <v>1.2457445043485252E-3</v>
      </c>
      <c r="Q135" s="273">
        <v>153.51201265307677</v>
      </c>
      <c r="R135" s="273">
        <v>145.76834957991744</v>
      </c>
      <c r="S135" s="273">
        <v>136.12896074732856</v>
      </c>
      <c r="T135" s="273">
        <v>126.79575019949776</v>
      </c>
      <c r="U135" s="273">
        <v>122.16822107066317</v>
      </c>
      <c r="V135" s="273">
        <f t="shared" si="54"/>
        <v>112.10983333333338</v>
      </c>
      <c r="W135" s="273">
        <f t="shared" si="55"/>
        <v>107.43859027777782</v>
      </c>
      <c r="X135" s="273">
        <f t="shared" si="56"/>
        <v>102.2882453703704</v>
      </c>
      <c r="Y135" s="273">
        <f t="shared" si="57"/>
        <v>95.221493055555598</v>
      </c>
      <c r="Z135" s="273">
        <f t="shared" si="58"/>
        <v>85.160354166666693</v>
      </c>
      <c r="AA135" s="273">
        <f t="shared" si="59"/>
        <v>77.135398148148184</v>
      </c>
      <c r="AB135" s="100">
        <v>163</v>
      </c>
      <c r="AC135" s="101" t="s">
        <v>142</v>
      </c>
      <c r="AD135" s="159"/>
      <c r="AE135" s="159"/>
      <c r="AF135" s="164"/>
      <c r="AG135" s="164"/>
      <c r="AH135" s="164"/>
      <c r="AI135" s="159">
        <f t="shared" si="60"/>
        <v>3408470.964158691</v>
      </c>
      <c r="AJ135" s="159">
        <f t="shared" si="85"/>
        <v>3303084.3759060632</v>
      </c>
      <c r="AK135" s="159">
        <f t="shared" si="86"/>
        <v>3206722.8065607571</v>
      </c>
      <c r="AL135" s="159">
        <f t="shared" si="87"/>
        <v>3066868.2962576235</v>
      </c>
      <c r="AM135" s="159">
        <f t="shared" si="88"/>
        <v>2825048.9715234861</v>
      </c>
      <c r="AN135" s="159">
        <f t="shared" si="89"/>
        <v>2640251.340204115</v>
      </c>
    </row>
    <row r="136" spans="1:40" x14ac:dyDescent="0.35">
      <c r="A136" s="46">
        <v>794</v>
      </c>
      <c r="B136" s="240" t="s">
        <v>144</v>
      </c>
      <c r="C136" s="364">
        <v>577.92824074074099</v>
      </c>
      <c r="D136" s="365">
        <v>9.3335997103150201E-3</v>
      </c>
      <c r="E136" s="191">
        <v>0.95699999999999996</v>
      </c>
      <c r="F136" s="191">
        <v>0.90800000000000003</v>
      </c>
      <c r="G136" s="191">
        <v>0.873</v>
      </c>
      <c r="H136" s="191">
        <v>0.81399999999999995</v>
      </c>
      <c r="I136" s="191">
        <v>0.77200000000000002</v>
      </c>
      <c r="J136" s="191">
        <v>0.72599999999999998</v>
      </c>
      <c r="K136" s="361">
        <v>8.9322549227714744E-3</v>
      </c>
      <c r="L136" s="362">
        <v>8.4749085369660391E-3</v>
      </c>
      <c r="M136" s="362">
        <v>8.1482325471050124E-3</v>
      </c>
      <c r="N136" s="362">
        <v>7.5975501641964262E-3</v>
      </c>
      <c r="O136" s="362">
        <v>7.2055389763631961E-3</v>
      </c>
      <c r="P136" s="363">
        <v>6.7761933896887047E-3</v>
      </c>
      <c r="Q136" s="273">
        <v>763.1388209903954</v>
      </c>
      <c r="R136" s="273">
        <v>729.42558323495768</v>
      </c>
      <c r="S136" s="273">
        <v>681.55530776995101</v>
      </c>
      <c r="T136" s="273">
        <v>630.87150972181712</v>
      </c>
      <c r="U136" s="273">
        <v>583.02408122998577</v>
      </c>
      <c r="V136" s="273">
        <f t="shared" si="54"/>
        <v>553.07732638888911</v>
      </c>
      <c r="W136" s="273">
        <f t="shared" si="55"/>
        <v>524.75884259259283</v>
      </c>
      <c r="X136" s="273">
        <f t="shared" si="56"/>
        <v>504.53135416666686</v>
      </c>
      <c r="Y136" s="273">
        <f t="shared" si="57"/>
        <v>470.43358796296314</v>
      </c>
      <c r="Z136" s="273">
        <f t="shared" si="58"/>
        <v>446.16060185185205</v>
      </c>
      <c r="AA136" s="273">
        <f t="shared" si="59"/>
        <v>419.57590277777797</v>
      </c>
      <c r="AB136" s="100">
        <v>794</v>
      </c>
      <c r="AC136" s="101" t="s">
        <v>144</v>
      </c>
      <c r="AD136" s="159"/>
      <c r="AE136" s="159"/>
      <c r="AF136" s="164"/>
      <c r="AG136" s="164"/>
      <c r="AH136" s="164"/>
      <c r="AI136" s="159">
        <f t="shared" si="60"/>
        <v>16815188.747324102</v>
      </c>
      <c r="AJ136" s="159">
        <f t="shared" si="85"/>
        <v>16133148.523307236</v>
      </c>
      <c r="AK136" s="159">
        <f t="shared" si="86"/>
        <v>15816990.448639413</v>
      </c>
      <c r="AL136" s="159">
        <f t="shared" si="87"/>
        <v>15151598.763281073</v>
      </c>
      <c r="AM136" s="159">
        <f t="shared" si="88"/>
        <v>14800614.226299539</v>
      </c>
      <c r="AN136" s="159">
        <f t="shared" si="89"/>
        <v>14361575.440354096</v>
      </c>
    </row>
    <row r="137" spans="1:40" x14ac:dyDescent="0.35">
      <c r="A137" s="46">
        <v>531</v>
      </c>
      <c r="B137" s="240" t="s">
        <v>145</v>
      </c>
      <c r="C137" s="364">
        <v>30.939814814814799</v>
      </c>
      <c r="D137" s="365">
        <v>4.9968114765013287E-4</v>
      </c>
      <c r="E137" s="191">
        <v>0.94499999999999995</v>
      </c>
      <c r="F137" s="191">
        <v>0.92300000000000004</v>
      </c>
      <c r="G137" s="191">
        <v>0.9</v>
      </c>
      <c r="H137" s="191">
        <v>0.86099999999999999</v>
      </c>
      <c r="I137" s="191">
        <v>0.81100000000000005</v>
      </c>
      <c r="J137" s="191">
        <v>0.76300000000000001</v>
      </c>
      <c r="K137" s="361">
        <v>4.7219868452937552E-4</v>
      </c>
      <c r="L137" s="362">
        <v>4.6120569928107268E-4</v>
      </c>
      <c r="M137" s="362">
        <v>4.4971303288511962E-4</v>
      </c>
      <c r="N137" s="362">
        <v>4.3022546812676441E-4</v>
      </c>
      <c r="O137" s="362">
        <v>4.0524141074425781E-4</v>
      </c>
      <c r="P137" s="363">
        <v>3.8125671565705137E-4</v>
      </c>
      <c r="Q137" s="273">
        <v>36.712962962962955</v>
      </c>
      <c r="R137" s="273">
        <v>37.456018518518498</v>
      </c>
      <c r="S137" s="273">
        <v>35.79107887213091</v>
      </c>
      <c r="T137" s="273">
        <v>32.888653425481955</v>
      </c>
      <c r="U137" s="273">
        <v>29.441025428512866</v>
      </c>
      <c r="V137" s="273">
        <f t="shared" si="54"/>
        <v>29.238124999999982</v>
      </c>
      <c r="W137" s="273">
        <f t="shared" si="55"/>
        <v>28.557449074074061</v>
      </c>
      <c r="X137" s="273">
        <f t="shared" si="56"/>
        <v>27.845833333333321</v>
      </c>
      <c r="Y137" s="273">
        <f t="shared" si="57"/>
        <v>26.639180555555541</v>
      </c>
      <c r="Z137" s="273">
        <f t="shared" si="58"/>
        <v>25.092189814814805</v>
      </c>
      <c r="AA137" s="273">
        <f t="shared" si="59"/>
        <v>23.607078703703692</v>
      </c>
      <c r="AB137" s="100">
        <v>531</v>
      </c>
      <c r="AC137" s="101" t="s">
        <v>145</v>
      </c>
      <c r="AD137" s="159"/>
      <c r="AE137" s="159"/>
      <c r="AF137" s="164"/>
      <c r="AG137" s="164"/>
      <c r="AH137" s="164"/>
      <c r="AI137" s="159">
        <f t="shared" si="60"/>
        <v>888925.59328523569</v>
      </c>
      <c r="AJ137" s="159">
        <f t="shared" si="85"/>
        <v>877968.18264672882</v>
      </c>
      <c r="AK137" s="159">
        <f t="shared" si="86"/>
        <v>872963.14932737383</v>
      </c>
      <c r="AL137" s="159">
        <f t="shared" si="87"/>
        <v>857987.57888043008</v>
      </c>
      <c r="AM137" s="159">
        <f t="shared" si="88"/>
        <v>832390.44416000077</v>
      </c>
      <c r="AN137" s="159">
        <f t="shared" si="89"/>
        <v>808041.73806230677</v>
      </c>
    </row>
    <row r="138" spans="1:40" x14ac:dyDescent="0.35">
      <c r="A138" s="46">
        <v>164</v>
      </c>
      <c r="B138" s="240" t="s">
        <v>419</v>
      </c>
      <c r="C138" s="364">
        <v>426.38888888888903</v>
      </c>
      <c r="D138" s="365">
        <v>6.8862238064607631E-3</v>
      </c>
      <c r="E138" s="191">
        <v>0.95399999999999996</v>
      </c>
      <c r="F138" s="191">
        <v>0.90600000000000003</v>
      </c>
      <c r="G138" s="191">
        <v>0.85899999999999999</v>
      </c>
      <c r="H138" s="191">
        <v>0.80100000000000005</v>
      </c>
      <c r="I138" s="191">
        <v>0.73799999999999999</v>
      </c>
      <c r="J138" s="191">
        <v>0.66700000000000004</v>
      </c>
      <c r="K138" s="361">
        <v>6.5694575113635677E-3</v>
      </c>
      <c r="L138" s="362">
        <v>6.2389187686534512E-3</v>
      </c>
      <c r="M138" s="362">
        <v>5.9152662497497953E-3</v>
      </c>
      <c r="N138" s="362">
        <v>5.5158652689750714E-3</v>
      </c>
      <c r="O138" s="362">
        <v>5.082033169168043E-3</v>
      </c>
      <c r="P138" s="363">
        <v>4.5931112789093292E-3</v>
      </c>
      <c r="Q138" s="273">
        <v>517.62203209155507</v>
      </c>
      <c r="R138" s="273">
        <v>492.55631351833489</v>
      </c>
      <c r="S138" s="273">
        <v>473.9200070650943</v>
      </c>
      <c r="T138" s="273">
        <v>447.40740396838339</v>
      </c>
      <c r="U138" s="273">
        <v>426.32035857730961</v>
      </c>
      <c r="V138" s="273">
        <f t="shared" si="54"/>
        <v>406.77500000000009</v>
      </c>
      <c r="W138" s="273">
        <f t="shared" si="55"/>
        <v>386.30833333333345</v>
      </c>
      <c r="X138" s="273">
        <f t="shared" si="56"/>
        <v>366.26805555555569</v>
      </c>
      <c r="Y138" s="273">
        <f t="shared" si="57"/>
        <v>341.53750000000014</v>
      </c>
      <c r="Z138" s="273">
        <f t="shared" si="58"/>
        <v>314.67500000000013</v>
      </c>
      <c r="AA138" s="273">
        <f t="shared" si="59"/>
        <v>284.40138888888902</v>
      </c>
      <c r="AB138" s="100">
        <v>164</v>
      </c>
      <c r="AC138" s="101" t="s">
        <v>419</v>
      </c>
      <c r="AD138" s="159"/>
      <c r="AE138" s="159"/>
      <c r="AF138" s="164"/>
      <c r="AG138" s="164"/>
      <c r="AH138" s="164"/>
      <c r="AI138" s="159">
        <f t="shared" si="60"/>
        <v>12367164.727854541</v>
      </c>
      <c r="AJ138" s="159">
        <f t="shared" si="85"/>
        <v>11876635.916541524</v>
      </c>
      <c r="AK138" s="159">
        <f t="shared" si="86"/>
        <v>11482454.536314525</v>
      </c>
      <c r="AL138" s="159">
        <f t="shared" si="87"/>
        <v>11000148.150606804</v>
      </c>
      <c r="AM138" s="159">
        <f t="shared" si="88"/>
        <v>10438804.46263002</v>
      </c>
      <c r="AN138" s="159">
        <f t="shared" si="89"/>
        <v>9734715.3991170246</v>
      </c>
    </row>
    <row r="139" spans="1:40" x14ac:dyDescent="0.35">
      <c r="A139" s="46">
        <v>1966</v>
      </c>
      <c r="B139" s="240" t="s">
        <v>147</v>
      </c>
      <c r="C139" s="364">
        <v>271.72164351851802</v>
      </c>
      <c r="D139" s="365">
        <v>4.3883321050034573E-3</v>
      </c>
      <c r="E139" s="191">
        <v>0.95499999999999996</v>
      </c>
      <c r="F139" s="191">
        <v>0.89900000000000002</v>
      </c>
      <c r="G139" s="191">
        <v>0.82299999999999995</v>
      </c>
      <c r="H139" s="191">
        <v>0.76</v>
      </c>
      <c r="I139" s="191">
        <v>0.70299999999999996</v>
      </c>
      <c r="J139" s="191">
        <v>0.65700000000000003</v>
      </c>
      <c r="K139" s="361">
        <v>4.1908571602783011E-3</v>
      </c>
      <c r="L139" s="362">
        <v>3.9451105623981081E-3</v>
      </c>
      <c r="M139" s="362">
        <v>3.6115973224178453E-3</v>
      </c>
      <c r="N139" s="362">
        <v>3.3351323998026274E-3</v>
      </c>
      <c r="O139" s="362">
        <v>3.0849974698174301E-3</v>
      </c>
      <c r="P139" s="363">
        <v>2.8831341929872714E-3</v>
      </c>
      <c r="Q139" s="273">
        <v>359.0628463720397</v>
      </c>
      <c r="R139" s="273">
        <v>340.87067232607581</v>
      </c>
      <c r="S139" s="273">
        <v>317.36385529647436</v>
      </c>
      <c r="T139" s="273">
        <v>294.29311831419722</v>
      </c>
      <c r="U139" s="273">
        <v>272.07011557582388</v>
      </c>
      <c r="V139" s="273">
        <f t="shared" si="54"/>
        <v>259.49416956018467</v>
      </c>
      <c r="W139" s="273">
        <f t="shared" si="55"/>
        <v>244.2777575231477</v>
      </c>
      <c r="X139" s="273">
        <f t="shared" si="56"/>
        <v>223.62691261574031</v>
      </c>
      <c r="Y139" s="273">
        <f t="shared" si="57"/>
        <v>206.5084490740737</v>
      </c>
      <c r="Z139" s="273">
        <f t="shared" si="58"/>
        <v>191.02031539351816</v>
      </c>
      <c r="AA139" s="273">
        <f t="shared" si="59"/>
        <v>178.52111979166634</v>
      </c>
      <c r="AB139" s="100">
        <v>1966</v>
      </c>
      <c r="AC139" s="101" t="s">
        <v>147</v>
      </c>
      <c r="AD139" s="159"/>
      <c r="AE139" s="159"/>
      <c r="AF139" s="164"/>
      <c r="AG139" s="164"/>
      <c r="AH139" s="164"/>
      <c r="AI139" s="159">
        <f t="shared" si="60"/>
        <v>7889391.287243858</v>
      </c>
      <c r="AJ139" s="159">
        <f t="shared" si="85"/>
        <v>7510057.9984338162</v>
      </c>
      <c r="AK139" s="159">
        <f t="shared" si="86"/>
        <v>7010673.7900246298</v>
      </c>
      <c r="AL139" s="159">
        <f t="shared" si="87"/>
        <v>6651168.7125626029</v>
      </c>
      <c r="AM139" s="159">
        <f t="shared" si="88"/>
        <v>6336771.9735690812</v>
      </c>
      <c r="AN139" s="159">
        <f t="shared" si="89"/>
        <v>6110561.9093249217</v>
      </c>
    </row>
    <row r="140" spans="1:40" x14ac:dyDescent="0.35">
      <c r="A140" s="46">
        <v>252</v>
      </c>
      <c r="B140" s="240" t="s">
        <v>148</v>
      </c>
      <c r="C140" s="364">
        <v>43.3611111111111</v>
      </c>
      <c r="D140" s="365">
        <v>7.0028634279382701E-4</v>
      </c>
      <c r="E140" s="191">
        <v>0.97599999999999998</v>
      </c>
      <c r="F140" s="191">
        <v>0.93100000000000005</v>
      </c>
      <c r="G140" s="191">
        <v>0.78500000000000003</v>
      </c>
      <c r="H140" s="191">
        <v>0.76600000000000001</v>
      </c>
      <c r="I140" s="191">
        <v>0.747</v>
      </c>
      <c r="J140" s="191">
        <v>0.69699999999999995</v>
      </c>
      <c r="K140" s="361">
        <v>6.8347947056677518E-4</v>
      </c>
      <c r="L140" s="362">
        <v>6.5196658514105293E-4</v>
      </c>
      <c r="M140" s="362">
        <v>5.4972477909315427E-4</v>
      </c>
      <c r="N140" s="362">
        <v>5.3641933858007153E-4</v>
      </c>
      <c r="O140" s="362">
        <v>5.2311389806698879E-4</v>
      </c>
      <c r="P140" s="363">
        <v>4.880995809272974E-4</v>
      </c>
      <c r="Q140" s="273">
        <v>60.84953703703701</v>
      </c>
      <c r="R140" s="273">
        <v>58.2777777777778</v>
      </c>
      <c r="S140" s="273">
        <v>51.622742966239059</v>
      </c>
      <c r="T140" s="273">
        <v>47.157268435698647</v>
      </c>
      <c r="U140" s="273">
        <v>43.292988099330749</v>
      </c>
      <c r="V140" s="273">
        <f t="shared" ref="V140:V204" si="90">+E140*C140</f>
        <v>42.320444444444433</v>
      </c>
      <c r="W140" s="273">
        <f t="shared" ref="W140:W204" si="91">+F140*$C140</f>
        <v>40.369194444444439</v>
      </c>
      <c r="X140" s="273">
        <f t="shared" ref="X140:X204" si="92">+G140*$C140</f>
        <v>34.038472222222218</v>
      </c>
      <c r="Y140" s="273">
        <f t="shared" ref="Y140:Y204" si="93">+H140*$C140</f>
        <v>33.214611111111104</v>
      </c>
      <c r="Z140" s="273">
        <f t="shared" ref="Z140:Z204" si="94">+I140*$C140</f>
        <v>32.39074999999999</v>
      </c>
      <c r="AA140" s="273">
        <f t="shared" ref="AA140:AA204" si="95">+J140*$C140</f>
        <v>30.222694444444436</v>
      </c>
      <c r="AB140" s="100">
        <v>252</v>
      </c>
      <c r="AC140" s="101" t="s">
        <v>148</v>
      </c>
      <c r="AD140" s="159"/>
      <c r="AE140" s="159"/>
      <c r="AF140" s="164"/>
      <c r="AG140" s="164"/>
      <c r="AH140" s="164"/>
      <c r="AI140" s="159">
        <f t="shared" ref="AI140:AI204" si="96">+V140*AI$8</f>
        <v>1286666.8497337857</v>
      </c>
      <c r="AJ140" s="159">
        <f t="shared" si="85"/>
        <v>1241107.6419804662</v>
      </c>
      <c r="AK140" s="159">
        <f t="shared" si="86"/>
        <v>1067101.5499411684</v>
      </c>
      <c r="AL140" s="159">
        <f t="shared" si="87"/>
        <v>1069767.2817392317</v>
      </c>
      <c r="AM140" s="159">
        <f t="shared" si="88"/>
        <v>1074507.6845886488</v>
      </c>
      <c r="AN140" s="159">
        <f t="shared" si="89"/>
        <v>1034486.259580415</v>
      </c>
    </row>
    <row r="141" spans="1:40" x14ac:dyDescent="0.35">
      <c r="A141" s="46">
        <v>797</v>
      </c>
      <c r="B141" s="240" t="s">
        <v>149</v>
      </c>
      <c r="C141" s="364">
        <v>112.534722222222</v>
      </c>
      <c r="D141" s="365">
        <v>1.8174471788875636E-3</v>
      </c>
      <c r="E141" s="191">
        <v>0.95499999999999996</v>
      </c>
      <c r="F141" s="191">
        <v>0.89800000000000002</v>
      </c>
      <c r="G141" s="191">
        <v>0.85699999999999998</v>
      </c>
      <c r="H141" s="191">
        <v>0.79800000000000004</v>
      </c>
      <c r="I141" s="191">
        <v>0.77100000000000002</v>
      </c>
      <c r="J141" s="191">
        <v>0.70899999999999996</v>
      </c>
      <c r="K141" s="361">
        <v>1.7356620558376232E-3</v>
      </c>
      <c r="L141" s="362">
        <v>1.6320675666410321E-3</v>
      </c>
      <c r="M141" s="362">
        <v>1.557552232306642E-3</v>
      </c>
      <c r="N141" s="362">
        <v>1.4503228487522759E-3</v>
      </c>
      <c r="O141" s="362">
        <v>1.4012517749223117E-3</v>
      </c>
      <c r="P141" s="363">
        <v>1.2885700498312825E-3</v>
      </c>
      <c r="Q141" s="273">
        <v>153.42112033758772</v>
      </c>
      <c r="R141" s="273">
        <v>144.95042704883224</v>
      </c>
      <c r="S141" s="273">
        <v>138.48224625027873</v>
      </c>
      <c r="T141" s="273">
        <v>127.61441374293034</v>
      </c>
      <c r="U141" s="273">
        <v>115.47499017759095</v>
      </c>
      <c r="V141" s="273">
        <f t="shared" si="90"/>
        <v>107.47065972222201</v>
      </c>
      <c r="W141" s="273">
        <f t="shared" si="91"/>
        <v>101.05618055555536</v>
      </c>
      <c r="X141" s="273">
        <f t="shared" si="92"/>
        <v>96.442256944444253</v>
      </c>
      <c r="Y141" s="273">
        <f t="shared" si="93"/>
        <v>89.802708333333157</v>
      </c>
      <c r="Z141" s="273">
        <f t="shared" si="94"/>
        <v>86.764270833333171</v>
      </c>
      <c r="AA141" s="273">
        <f t="shared" si="95"/>
        <v>79.787118055555396</v>
      </c>
      <c r="AB141" s="100">
        <v>797</v>
      </c>
      <c r="AC141" s="101" t="s">
        <v>149</v>
      </c>
      <c r="AD141" s="159"/>
      <c r="AE141" s="159"/>
      <c r="AF141" s="164"/>
      <c r="AG141" s="164"/>
      <c r="AH141" s="164"/>
      <c r="AI141" s="159">
        <f t="shared" si="96"/>
        <v>3267426.3467418631</v>
      </c>
      <c r="AJ141" s="159">
        <f t="shared" si="85"/>
        <v>3106864.0254751956</v>
      </c>
      <c r="AK141" s="159">
        <f t="shared" si="86"/>
        <v>3023451.8515802561</v>
      </c>
      <c r="AL141" s="159">
        <f t="shared" si="87"/>
        <v>2892341.5320203388</v>
      </c>
      <c r="AM141" s="159">
        <f t="shared" si="88"/>
        <v>2878256.1613469063</v>
      </c>
      <c r="AN141" s="159">
        <f t="shared" si="89"/>
        <v>2731016.5038962909</v>
      </c>
    </row>
    <row r="142" spans="1:40" x14ac:dyDescent="0.35">
      <c r="A142" s="46">
        <v>534</v>
      </c>
      <c r="B142" s="240" t="s">
        <v>150</v>
      </c>
      <c r="C142" s="364">
        <v>56.0538194444444</v>
      </c>
      <c r="D142" s="365">
        <v>9.0527486986644306E-4</v>
      </c>
      <c r="E142" s="191">
        <v>0.97699999999999998</v>
      </c>
      <c r="F142" s="191">
        <v>0.93600000000000005</v>
      </c>
      <c r="G142" s="191">
        <v>0.91400000000000003</v>
      </c>
      <c r="H142" s="191">
        <v>0.87</v>
      </c>
      <c r="I142" s="191">
        <v>0.83799999999999997</v>
      </c>
      <c r="J142" s="191">
        <v>0.77400000000000002</v>
      </c>
      <c r="K142" s="361">
        <v>8.844535478595148E-4</v>
      </c>
      <c r="L142" s="362">
        <v>8.4733727819499079E-4</v>
      </c>
      <c r="M142" s="362">
        <v>8.2742123105792903E-4</v>
      </c>
      <c r="N142" s="362">
        <v>7.8758913678380542E-4</v>
      </c>
      <c r="O142" s="362">
        <v>7.5862034094807923E-4</v>
      </c>
      <c r="P142" s="363">
        <v>7.0068274927662696E-4</v>
      </c>
      <c r="Q142" s="273">
        <v>66.0972222222222</v>
      </c>
      <c r="R142" s="273">
        <v>64.310185185185205</v>
      </c>
      <c r="S142" s="273">
        <v>59.218857359552921</v>
      </c>
      <c r="T142" s="273">
        <v>59.042247532855818</v>
      </c>
      <c r="U142" s="273">
        <v>56.8121249218012</v>
      </c>
      <c r="V142" s="273">
        <f t="shared" si="90"/>
        <v>54.764581597222175</v>
      </c>
      <c r="W142" s="273">
        <f t="shared" si="91"/>
        <v>52.466374999999964</v>
      </c>
      <c r="X142" s="273">
        <f t="shared" si="92"/>
        <v>51.233190972222182</v>
      </c>
      <c r="Y142" s="273">
        <f t="shared" si="93"/>
        <v>48.766822916666626</v>
      </c>
      <c r="Z142" s="273">
        <f t="shared" si="94"/>
        <v>46.973100694444405</v>
      </c>
      <c r="AA142" s="273">
        <f t="shared" si="95"/>
        <v>43.385656249999968</v>
      </c>
      <c r="AB142" s="100">
        <v>534</v>
      </c>
      <c r="AC142" s="101" t="s">
        <v>150</v>
      </c>
      <c r="AD142" s="159"/>
      <c r="AE142" s="159"/>
      <c r="AF142" s="164"/>
      <c r="AG142" s="164"/>
      <c r="AH142" s="164"/>
      <c r="AI142" s="159">
        <f t="shared" si="96"/>
        <v>1665005.4744388859</v>
      </c>
      <c r="AJ142" s="159">
        <f t="shared" si="85"/>
        <v>1613022.5003405805</v>
      </c>
      <c r="AK142" s="159">
        <f t="shared" si="86"/>
        <v>1606153.6821619705</v>
      </c>
      <c r="AL142" s="159">
        <f t="shared" si="87"/>
        <v>1570668.7462364738</v>
      </c>
      <c r="AM142" s="159">
        <f t="shared" si="88"/>
        <v>1558252.2067299131</v>
      </c>
      <c r="AN142" s="159">
        <f t="shared" si="89"/>
        <v>1485038.5142200433</v>
      </c>
    </row>
    <row r="143" spans="1:40" x14ac:dyDescent="0.35">
      <c r="A143" s="46">
        <v>798</v>
      </c>
      <c r="B143" s="240" t="s">
        <v>151</v>
      </c>
      <c r="C143" s="364">
        <v>43.637731481481502</v>
      </c>
      <c r="D143" s="365">
        <v>7.0475378983439246E-4</v>
      </c>
      <c r="E143" s="191">
        <v>0.90400000000000003</v>
      </c>
      <c r="F143" s="191">
        <v>0.871</v>
      </c>
      <c r="G143" s="191">
        <v>0.84899999999999998</v>
      </c>
      <c r="H143" s="191">
        <v>0.82899999999999996</v>
      </c>
      <c r="I143" s="191">
        <v>0.76900000000000002</v>
      </c>
      <c r="J143" s="191">
        <v>0.70899999999999996</v>
      </c>
      <c r="K143" s="361">
        <v>6.3709742601029083E-4</v>
      </c>
      <c r="L143" s="362">
        <v>6.1384055094575586E-4</v>
      </c>
      <c r="M143" s="362">
        <v>5.9833596756939914E-4</v>
      </c>
      <c r="N143" s="362">
        <v>5.8424089177271132E-4</v>
      </c>
      <c r="O143" s="362">
        <v>5.4195566438264785E-4</v>
      </c>
      <c r="P143" s="363">
        <v>4.9967043699258428E-4</v>
      </c>
      <c r="Q143" s="273">
        <v>72.7222222222222</v>
      </c>
      <c r="R143" s="273">
        <v>67.7638888888889</v>
      </c>
      <c r="S143" s="273">
        <v>57.905833283007397</v>
      </c>
      <c r="T143" s="273">
        <v>50.142309483481078</v>
      </c>
      <c r="U143" s="273">
        <v>44.576047220707153</v>
      </c>
      <c r="V143" s="273">
        <f t="shared" si="90"/>
        <v>39.448509259259282</v>
      </c>
      <c r="W143" s="273">
        <f t="shared" si="91"/>
        <v>38.008464120370391</v>
      </c>
      <c r="X143" s="273">
        <f t="shared" si="92"/>
        <v>37.048434027777795</v>
      </c>
      <c r="Y143" s="273">
        <f t="shared" si="93"/>
        <v>36.175679398148162</v>
      </c>
      <c r="Z143" s="273">
        <f t="shared" si="94"/>
        <v>33.557415509259279</v>
      </c>
      <c r="AA143" s="273">
        <f t="shared" si="95"/>
        <v>30.939151620370385</v>
      </c>
      <c r="AB143" s="100">
        <v>798</v>
      </c>
      <c r="AC143" s="101" t="s">
        <v>151</v>
      </c>
      <c r="AD143" s="159"/>
      <c r="AE143" s="159"/>
      <c r="AF143" s="164"/>
      <c r="AG143" s="164"/>
      <c r="AH143" s="164"/>
      <c r="AI143" s="159">
        <f t="shared" si="96"/>
        <v>1199351.5144184243</v>
      </c>
      <c r="AJ143" s="159">
        <f t="shared" si="85"/>
        <v>1168529.5168485555</v>
      </c>
      <c r="AK143" s="159">
        <f t="shared" si="86"/>
        <v>1161463.4498232419</v>
      </c>
      <c r="AL143" s="159">
        <f t="shared" si="87"/>
        <v>1165136.5745444761</v>
      </c>
      <c r="AM143" s="159">
        <f t="shared" si="88"/>
        <v>1113209.8157539859</v>
      </c>
      <c r="AN143" s="159">
        <f t="shared" si="89"/>
        <v>1059009.7217566811</v>
      </c>
    </row>
    <row r="144" spans="1:40" x14ac:dyDescent="0.35">
      <c r="A144" s="46">
        <v>402</v>
      </c>
      <c r="B144" s="240" t="s">
        <v>152</v>
      </c>
      <c r="C144" s="364">
        <v>226.972222222222</v>
      </c>
      <c r="D144" s="365">
        <v>3.6656244118951674E-3</v>
      </c>
      <c r="E144" s="191">
        <v>0.94799999999999995</v>
      </c>
      <c r="F144" s="191">
        <v>0.90700000000000003</v>
      </c>
      <c r="G144" s="191">
        <v>0.84899999999999998</v>
      </c>
      <c r="H144" s="191">
        <v>0.80200000000000005</v>
      </c>
      <c r="I144" s="191">
        <v>0.73299999999999998</v>
      </c>
      <c r="J144" s="191">
        <v>0.67800000000000005</v>
      </c>
      <c r="K144" s="361">
        <v>3.4750119424766185E-3</v>
      </c>
      <c r="L144" s="362">
        <v>3.324721341588917E-3</v>
      </c>
      <c r="M144" s="362">
        <v>3.1121151256989972E-3</v>
      </c>
      <c r="N144" s="362">
        <v>2.9398307783399242E-3</v>
      </c>
      <c r="O144" s="362">
        <v>2.6869026939191575E-3</v>
      </c>
      <c r="P144" s="363">
        <v>2.4852933512649238E-3</v>
      </c>
      <c r="Q144" s="273">
        <v>304.61059075610007</v>
      </c>
      <c r="R144" s="273">
        <v>294.31703797142552</v>
      </c>
      <c r="S144" s="273">
        <v>273.87460136441183</v>
      </c>
      <c r="T144" s="273">
        <v>248.27369535945309</v>
      </c>
      <c r="U144" s="273">
        <v>235.79845865440026</v>
      </c>
      <c r="V144" s="273">
        <f t="shared" si="90"/>
        <v>215.16966666666644</v>
      </c>
      <c r="W144" s="273">
        <f t="shared" si="91"/>
        <v>205.86380555555536</v>
      </c>
      <c r="X144" s="273">
        <f t="shared" si="92"/>
        <v>192.69941666666648</v>
      </c>
      <c r="Y144" s="273">
        <f t="shared" si="93"/>
        <v>182.03172222222204</v>
      </c>
      <c r="Z144" s="273">
        <f t="shared" si="94"/>
        <v>166.37063888888872</v>
      </c>
      <c r="AA144" s="273">
        <f t="shared" si="95"/>
        <v>153.88716666666653</v>
      </c>
      <c r="AB144" s="100">
        <v>402</v>
      </c>
      <c r="AC144" s="101" t="s">
        <v>152</v>
      </c>
      <c r="AD144" s="159"/>
      <c r="AE144" s="159"/>
      <c r="AF144" s="164"/>
      <c r="AG144" s="164"/>
      <c r="AH144" s="164"/>
      <c r="AI144" s="159">
        <f t="shared" si="96"/>
        <v>6541795.1253253408</v>
      </c>
      <c r="AJ144" s="159">
        <f t="shared" si="85"/>
        <v>6329062.1920582317</v>
      </c>
      <c r="AK144" s="159">
        <f t="shared" si="86"/>
        <v>6041100.9300091956</v>
      </c>
      <c r="AL144" s="159">
        <f t="shared" si="87"/>
        <v>5862828.8622905137</v>
      </c>
      <c r="AM144" s="159">
        <f t="shared" si="88"/>
        <v>5519061.1509777978</v>
      </c>
      <c r="AN144" s="159">
        <f t="shared" si="89"/>
        <v>5267371.5024006069</v>
      </c>
    </row>
    <row r="145" spans="1:40" x14ac:dyDescent="0.35">
      <c r="A145" s="46">
        <v>1963</v>
      </c>
      <c r="B145" s="240" t="s">
        <v>153</v>
      </c>
      <c r="C145" s="364">
        <v>146.809027777778</v>
      </c>
      <c r="D145" s="365">
        <v>2.3709806902358944E-3</v>
      </c>
      <c r="E145" s="191">
        <v>0.96699999999999997</v>
      </c>
      <c r="F145" s="191">
        <v>0.93899999999999995</v>
      </c>
      <c r="G145" s="191">
        <v>0.91100000000000003</v>
      </c>
      <c r="H145" s="191">
        <v>0.86799999999999999</v>
      </c>
      <c r="I145" s="191">
        <v>0.83599999999999997</v>
      </c>
      <c r="J145" s="191">
        <v>0.80800000000000005</v>
      </c>
      <c r="K145" s="361">
        <v>2.29273832745811E-3</v>
      </c>
      <c r="L145" s="362">
        <v>2.2263508681315048E-3</v>
      </c>
      <c r="M145" s="362">
        <v>2.1599634088049001E-3</v>
      </c>
      <c r="N145" s="362">
        <v>2.0580112391247562E-3</v>
      </c>
      <c r="O145" s="362">
        <v>1.9821398570372076E-3</v>
      </c>
      <c r="P145" s="363">
        <v>1.9157523977106029E-3</v>
      </c>
      <c r="Q145" s="273">
        <v>168.07638888888886</v>
      </c>
      <c r="R145" s="273">
        <v>163.96759259259261</v>
      </c>
      <c r="S145" s="273">
        <v>154.98604340872313</v>
      </c>
      <c r="T145" s="273">
        <v>148.73078689850448</v>
      </c>
      <c r="U145" s="273">
        <v>145.40144333223088</v>
      </c>
      <c r="V145" s="273">
        <f t="shared" si="90"/>
        <v>141.96432986111131</v>
      </c>
      <c r="W145" s="273">
        <f t="shared" si="91"/>
        <v>137.85367708333354</v>
      </c>
      <c r="X145" s="273">
        <f t="shared" si="92"/>
        <v>133.74302430555576</v>
      </c>
      <c r="Y145" s="273">
        <f t="shared" si="93"/>
        <v>127.4302361111113</v>
      </c>
      <c r="Z145" s="273">
        <f t="shared" si="94"/>
        <v>122.7323472222224</v>
      </c>
      <c r="AA145" s="273">
        <f t="shared" si="95"/>
        <v>118.62169444444463</v>
      </c>
      <c r="AB145" s="100">
        <v>1963</v>
      </c>
      <c r="AC145" s="101" t="s">
        <v>153</v>
      </c>
      <c r="AD145" s="159"/>
      <c r="AE145" s="159"/>
      <c r="AF145" s="164"/>
      <c r="AG145" s="164"/>
      <c r="AH145" s="164"/>
      <c r="AI145" s="159">
        <f t="shared" si="96"/>
        <v>4316136.0773691656</v>
      </c>
      <c r="AJ145" s="159">
        <f t="shared" si="85"/>
        <v>4238163.6408099812</v>
      </c>
      <c r="AK145" s="159">
        <f t="shared" si="86"/>
        <v>4192825.9176422153</v>
      </c>
      <c r="AL145" s="159">
        <f t="shared" si="87"/>
        <v>4104238.8495817552</v>
      </c>
      <c r="AM145" s="159">
        <f t="shared" si="88"/>
        <v>4071435.5252002603</v>
      </c>
      <c r="AN145" s="159">
        <f t="shared" si="89"/>
        <v>4060277.0615470898</v>
      </c>
    </row>
    <row r="146" spans="1:40" x14ac:dyDescent="0.35">
      <c r="A146" s="46">
        <v>1735</v>
      </c>
      <c r="B146" s="240" t="s">
        <v>154</v>
      </c>
      <c r="C146" s="364">
        <v>85.842592592592595</v>
      </c>
      <c r="D146" s="365">
        <v>1.3863665778435985E-3</v>
      </c>
      <c r="E146" s="191">
        <v>0.97599999999999998</v>
      </c>
      <c r="F146" s="191">
        <v>0.93100000000000005</v>
      </c>
      <c r="G146" s="191">
        <v>0.86599999999999999</v>
      </c>
      <c r="H146" s="191">
        <v>0.81599999999999995</v>
      </c>
      <c r="I146" s="191">
        <v>0.75</v>
      </c>
      <c r="J146" s="191">
        <v>0.70399999999999996</v>
      </c>
      <c r="K146" s="361">
        <v>1.3530937799753522E-3</v>
      </c>
      <c r="L146" s="362">
        <v>1.2907072839723902E-3</v>
      </c>
      <c r="M146" s="362">
        <v>1.2005934564125562E-3</v>
      </c>
      <c r="N146" s="362">
        <v>1.1312751275203764E-3</v>
      </c>
      <c r="O146" s="362">
        <v>1.0397749333826989E-3</v>
      </c>
      <c r="P146" s="363">
        <v>9.7600207080189322E-4</v>
      </c>
      <c r="Q146" s="273">
        <v>103.47415645099406</v>
      </c>
      <c r="R146" s="273">
        <v>99.692666549009374</v>
      </c>
      <c r="S146" s="273">
        <v>96.816508480090747</v>
      </c>
      <c r="T146" s="273">
        <v>91.641725959606532</v>
      </c>
      <c r="U146" s="273">
        <v>85.61143039156245</v>
      </c>
      <c r="V146" s="273">
        <f t="shared" si="90"/>
        <v>83.782370370370373</v>
      </c>
      <c r="W146" s="273">
        <f t="shared" si="91"/>
        <v>79.919453703703709</v>
      </c>
      <c r="X146" s="273">
        <f t="shared" si="92"/>
        <v>74.339685185185189</v>
      </c>
      <c r="Y146" s="273">
        <f t="shared" si="93"/>
        <v>70.047555555555547</v>
      </c>
      <c r="Z146" s="273">
        <f t="shared" si="94"/>
        <v>64.381944444444443</v>
      </c>
      <c r="AA146" s="273">
        <f t="shared" si="95"/>
        <v>60.433185185185181</v>
      </c>
      <c r="AB146" s="100">
        <v>1735</v>
      </c>
      <c r="AC146" s="101" t="s">
        <v>154</v>
      </c>
      <c r="AD146" s="159"/>
      <c r="AE146" s="159"/>
      <c r="AF146" s="164"/>
      <c r="AG146" s="164"/>
      <c r="AH146" s="164"/>
      <c r="AI146" s="159">
        <f t="shared" si="96"/>
        <v>2547232.1938675917</v>
      </c>
      <c r="AJ146" s="159">
        <f t="shared" si="85"/>
        <v>2457037.9988897936</v>
      </c>
      <c r="AK146" s="159">
        <f t="shared" si="86"/>
        <v>2330539.1841723109</v>
      </c>
      <c r="AL146" s="159">
        <f t="shared" si="87"/>
        <v>2256072.8725219672</v>
      </c>
      <c r="AM146" s="159">
        <f t="shared" si="88"/>
        <v>2135760.7975831078</v>
      </c>
      <c r="AN146" s="159">
        <f t="shared" si="89"/>
        <v>2068554.8011502579</v>
      </c>
    </row>
    <row r="147" spans="1:40" x14ac:dyDescent="0.35">
      <c r="A147" s="46">
        <v>1911</v>
      </c>
      <c r="B147" s="240" t="s">
        <v>155</v>
      </c>
      <c r="C147" s="364">
        <v>95.2326388888889</v>
      </c>
      <c r="D147" s="365">
        <v>1.538016778011395E-3</v>
      </c>
      <c r="E147" s="191">
        <v>0.94799999999999995</v>
      </c>
      <c r="F147" s="191">
        <v>0.89700000000000002</v>
      </c>
      <c r="G147" s="191">
        <v>0.86399999999999999</v>
      </c>
      <c r="H147" s="191">
        <v>0.82</v>
      </c>
      <c r="I147" s="191">
        <v>0.77600000000000002</v>
      </c>
      <c r="J147" s="191">
        <v>0.74099999999999999</v>
      </c>
      <c r="K147" s="361">
        <v>1.4580399055548023E-3</v>
      </c>
      <c r="L147" s="362">
        <v>1.3796010498762213E-3</v>
      </c>
      <c r="M147" s="362">
        <v>1.3288464962018453E-3</v>
      </c>
      <c r="N147" s="362">
        <v>1.2611737579693437E-3</v>
      </c>
      <c r="O147" s="362">
        <v>1.1935010197368426E-3</v>
      </c>
      <c r="P147" s="363">
        <v>1.1396704325064436E-3</v>
      </c>
      <c r="Q147" s="273">
        <v>122.50175024600475</v>
      </c>
      <c r="R147" s="273">
        <v>115.61224072861569</v>
      </c>
      <c r="S147" s="273">
        <v>107.16741206578486</v>
      </c>
      <c r="T147" s="273">
        <v>98.49250869312975</v>
      </c>
      <c r="U147" s="273">
        <v>96.216300069297148</v>
      </c>
      <c r="V147" s="273">
        <f t="shared" si="90"/>
        <v>90.280541666666679</v>
      </c>
      <c r="W147" s="273">
        <f t="shared" si="91"/>
        <v>85.423677083333345</v>
      </c>
      <c r="X147" s="273">
        <f t="shared" si="92"/>
        <v>82.281000000000006</v>
      </c>
      <c r="Y147" s="273">
        <f t="shared" si="93"/>
        <v>78.090763888888887</v>
      </c>
      <c r="Z147" s="273">
        <f t="shared" si="94"/>
        <v>73.900527777777782</v>
      </c>
      <c r="AA147" s="273">
        <f t="shared" si="95"/>
        <v>70.567385416666667</v>
      </c>
      <c r="AB147" s="100">
        <v>1911</v>
      </c>
      <c r="AC147" s="101" t="s">
        <v>155</v>
      </c>
      <c r="AD147" s="159"/>
      <c r="AE147" s="159"/>
      <c r="AF147" s="164"/>
      <c r="AG147" s="164"/>
      <c r="AH147" s="164"/>
      <c r="AI147" s="159">
        <f t="shared" si="96"/>
        <v>2744795.8466267642</v>
      </c>
      <c r="AJ147" s="159">
        <f t="shared" si="85"/>
        <v>2626259.4508815366</v>
      </c>
      <c r="AK147" s="159">
        <f t="shared" si="86"/>
        <v>2579498.3410973162</v>
      </c>
      <c r="AL147" s="159">
        <f t="shared" si="87"/>
        <v>2515126.3681787015</v>
      </c>
      <c r="AM147" s="159">
        <f t="shared" si="88"/>
        <v>2451523.5057039172</v>
      </c>
      <c r="AN147" s="159">
        <f t="shared" si="89"/>
        <v>2415436.2120904853</v>
      </c>
    </row>
    <row r="148" spans="1:40" x14ac:dyDescent="0.35">
      <c r="A148" s="46">
        <v>118</v>
      </c>
      <c r="B148" s="240" t="s">
        <v>156</v>
      </c>
      <c r="C148" s="364">
        <v>646.72916666666697</v>
      </c>
      <c r="D148" s="365">
        <v>1.0444741642864568E-2</v>
      </c>
      <c r="E148" s="191">
        <v>0.95199999999999996</v>
      </c>
      <c r="F148" s="191">
        <v>0.89800000000000002</v>
      </c>
      <c r="G148" s="191">
        <v>0.84699999999999998</v>
      </c>
      <c r="H148" s="191">
        <v>0.79700000000000004</v>
      </c>
      <c r="I148" s="191">
        <v>0.74099999999999999</v>
      </c>
      <c r="J148" s="191">
        <v>0.68200000000000005</v>
      </c>
      <c r="K148" s="361">
        <v>9.9433940440070683E-3</v>
      </c>
      <c r="L148" s="362">
        <v>9.3793779952923827E-3</v>
      </c>
      <c r="M148" s="362">
        <v>8.8466961715062877E-3</v>
      </c>
      <c r="N148" s="362">
        <v>8.3244590893630614E-3</v>
      </c>
      <c r="O148" s="362">
        <v>7.7395535573626445E-3</v>
      </c>
      <c r="P148" s="363">
        <v>7.1233138004336352E-3</v>
      </c>
      <c r="Q148" s="273">
        <v>1597.0200494180683</v>
      </c>
      <c r="R148" s="273">
        <v>1519.0003242488553</v>
      </c>
      <c r="S148" s="273">
        <v>737.34394289433487</v>
      </c>
      <c r="T148" s="273">
        <v>691.86334369636484</v>
      </c>
      <c r="U148" s="273">
        <v>657.72042670530334</v>
      </c>
      <c r="V148" s="273">
        <f t="shared" si="90"/>
        <v>615.68616666666696</v>
      </c>
      <c r="W148" s="273">
        <f t="shared" si="91"/>
        <v>580.762791666667</v>
      </c>
      <c r="X148" s="273">
        <f t="shared" si="92"/>
        <v>547.7796041666669</v>
      </c>
      <c r="Y148" s="273">
        <f t="shared" si="93"/>
        <v>515.44314583333357</v>
      </c>
      <c r="Z148" s="273">
        <f t="shared" si="94"/>
        <v>479.22631250000023</v>
      </c>
      <c r="AA148" s="273">
        <f t="shared" si="95"/>
        <v>441.06929166666691</v>
      </c>
      <c r="AB148" s="100">
        <v>118</v>
      </c>
      <c r="AC148" s="101" t="s">
        <v>156</v>
      </c>
      <c r="AD148" s="159"/>
      <c r="AE148" s="159"/>
      <c r="AF148" s="164"/>
      <c r="AG148" s="164"/>
      <c r="AH148" s="164"/>
      <c r="AI148" s="159">
        <f t="shared" si="96"/>
        <v>18718682.917652201</v>
      </c>
      <c r="AJ148" s="159">
        <f t="shared" si="85"/>
        <v>17854929.949304547</v>
      </c>
      <c r="AK148" s="159">
        <f t="shared" si="86"/>
        <v>17172817.299678683</v>
      </c>
      <c r="AL148" s="159">
        <f t="shared" si="87"/>
        <v>16601254.525144368</v>
      </c>
      <c r="AM148" s="159">
        <f t="shared" si="88"/>
        <v>15897512.574989209</v>
      </c>
      <c r="AN148" s="159">
        <f t="shared" si="89"/>
        <v>15097268.133745342</v>
      </c>
    </row>
    <row r="149" spans="1:40" x14ac:dyDescent="0.35">
      <c r="A149" s="46">
        <v>405</v>
      </c>
      <c r="B149" s="240" t="s">
        <v>157</v>
      </c>
      <c r="C149" s="364">
        <v>179.9375</v>
      </c>
      <c r="D149" s="365">
        <v>2.9060088770228791E-3</v>
      </c>
      <c r="E149" s="191">
        <v>0.96499999999999997</v>
      </c>
      <c r="F149" s="191">
        <v>0.91800000000000004</v>
      </c>
      <c r="G149" s="191">
        <v>0.88400000000000001</v>
      </c>
      <c r="H149" s="191">
        <v>0.81499999999999995</v>
      </c>
      <c r="I149" s="191">
        <v>0.77800000000000002</v>
      </c>
      <c r="J149" s="191">
        <v>0.73799999999999999</v>
      </c>
      <c r="K149" s="361">
        <v>2.8042985663270783E-3</v>
      </c>
      <c r="L149" s="362">
        <v>2.6677161491070033E-3</v>
      </c>
      <c r="M149" s="362">
        <v>2.5689118472882249E-3</v>
      </c>
      <c r="N149" s="362">
        <v>2.3683972347736462E-3</v>
      </c>
      <c r="O149" s="362">
        <v>2.2608749063237998E-3</v>
      </c>
      <c r="P149" s="363">
        <v>2.1446345512428845E-3</v>
      </c>
      <c r="Q149" s="273">
        <v>224.66873671756792</v>
      </c>
      <c r="R149" s="273">
        <v>212.74302129390117</v>
      </c>
      <c r="S149" s="273">
        <v>201.09043182926436</v>
      </c>
      <c r="T149" s="273">
        <v>188.88940872600938</v>
      </c>
      <c r="U149" s="273">
        <v>179.4776331018509</v>
      </c>
      <c r="V149" s="273">
        <f t="shared" si="90"/>
        <v>173.63968750000001</v>
      </c>
      <c r="W149" s="273">
        <f t="shared" si="91"/>
        <v>165.182625</v>
      </c>
      <c r="X149" s="273">
        <f t="shared" si="92"/>
        <v>159.06475</v>
      </c>
      <c r="Y149" s="273">
        <f t="shared" si="93"/>
        <v>146.64906249999999</v>
      </c>
      <c r="Z149" s="273">
        <f t="shared" si="94"/>
        <v>139.99137500000001</v>
      </c>
      <c r="AA149" s="273">
        <f t="shared" si="95"/>
        <v>132.79387499999999</v>
      </c>
      <c r="AB149" s="100">
        <v>405</v>
      </c>
      <c r="AC149" s="101" t="s">
        <v>157</v>
      </c>
      <c r="AD149" s="159"/>
      <c r="AE149" s="159"/>
      <c r="AF149" s="164"/>
      <c r="AG149" s="164"/>
      <c r="AH149" s="164"/>
      <c r="AI149" s="159">
        <f t="shared" si="96"/>
        <v>5279160.7611226952</v>
      </c>
      <c r="AJ149" s="159">
        <f t="shared" si="85"/>
        <v>5078362.871273661</v>
      </c>
      <c r="AK149" s="159">
        <f t="shared" si="86"/>
        <v>4986658.6302069649</v>
      </c>
      <c r="AL149" s="159">
        <f t="shared" si="87"/>
        <v>4723233.6526665324</v>
      </c>
      <c r="AM149" s="159">
        <f t="shared" si="88"/>
        <v>4643974.2276307689</v>
      </c>
      <c r="AN149" s="159">
        <f t="shared" si="89"/>
        <v>4545373.6527846633</v>
      </c>
    </row>
    <row r="150" spans="1:40" x14ac:dyDescent="0.35">
      <c r="A150" s="46">
        <v>1507</v>
      </c>
      <c r="B150" s="240" t="s">
        <v>158</v>
      </c>
      <c r="C150" s="364">
        <v>139.425347222222</v>
      </c>
      <c r="D150" s="365">
        <v>2.2517335002974607E-3</v>
      </c>
      <c r="E150" s="191">
        <v>0.93500000000000005</v>
      </c>
      <c r="F150" s="191">
        <v>0.876</v>
      </c>
      <c r="G150" s="191">
        <v>0.79800000000000004</v>
      </c>
      <c r="H150" s="191">
        <v>0.751</v>
      </c>
      <c r="I150" s="191">
        <v>0.70399999999999996</v>
      </c>
      <c r="J150" s="191">
        <v>0.66900000000000004</v>
      </c>
      <c r="K150" s="361">
        <v>2.1053708227781261E-3</v>
      </c>
      <c r="L150" s="362">
        <v>1.9725185462605758E-3</v>
      </c>
      <c r="M150" s="362">
        <v>1.7968833332373737E-3</v>
      </c>
      <c r="N150" s="362">
        <v>1.691051858723393E-3</v>
      </c>
      <c r="O150" s="362">
        <v>1.5852203842094121E-3</v>
      </c>
      <c r="P150" s="363">
        <v>1.5064097116990014E-3</v>
      </c>
      <c r="Q150" s="273">
        <v>179.15147544010361</v>
      </c>
      <c r="R150" s="273">
        <v>165.29138850327993</v>
      </c>
      <c r="S150" s="273">
        <v>158.26959297751375</v>
      </c>
      <c r="T150" s="273">
        <v>150.83509432808688</v>
      </c>
      <c r="U150" s="273">
        <v>142.0300890101378</v>
      </c>
      <c r="V150" s="273">
        <f t="shared" si="90"/>
        <v>130.36269965277756</v>
      </c>
      <c r="W150" s="273">
        <f t="shared" si="91"/>
        <v>122.13660416666647</v>
      </c>
      <c r="X150" s="273">
        <f t="shared" si="92"/>
        <v>111.26142708333316</v>
      </c>
      <c r="Y150" s="273">
        <f t="shared" si="93"/>
        <v>104.70843576388873</v>
      </c>
      <c r="Z150" s="273">
        <f t="shared" si="94"/>
        <v>98.155444444444285</v>
      </c>
      <c r="AA150" s="273">
        <f t="shared" si="95"/>
        <v>93.27555729166653</v>
      </c>
      <c r="AB150" s="100">
        <v>1507</v>
      </c>
      <c r="AC150" s="101" t="s">
        <v>158</v>
      </c>
      <c r="AD150" s="159"/>
      <c r="AE150" s="159"/>
      <c r="AF150" s="164"/>
      <c r="AG150" s="164"/>
      <c r="AH150" s="164"/>
      <c r="AI150" s="159">
        <f t="shared" si="96"/>
        <v>3963412.1589913974</v>
      </c>
      <c r="AJ150" s="159">
        <f t="shared" si="85"/>
        <v>3754959.0692328988</v>
      </c>
      <c r="AK150" s="159">
        <f t="shared" si="86"/>
        <v>3488030.8526826105</v>
      </c>
      <c r="AL150" s="159">
        <f t="shared" si="87"/>
        <v>3372421.20124751</v>
      </c>
      <c r="AM150" s="159">
        <f t="shared" si="88"/>
        <v>3256138.8464228096</v>
      </c>
      <c r="AN150" s="159">
        <f t="shared" si="89"/>
        <v>3192709.457136841</v>
      </c>
    </row>
    <row r="151" spans="1:40" x14ac:dyDescent="0.35">
      <c r="A151" s="46">
        <v>321</v>
      </c>
      <c r="B151" s="240" t="s">
        <v>159</v>
      </c>
      <c r="C151" s="364">
        <v>18.648148148148199</v>
      </c>
      <c r="D151" s="365">
        <v>3.0116948417398503E-4</v>
      </c>
      <c r="E151" s="191">
        <v>0.97799999999999998</v>
      </c>
      <c r="F151" s="191">
        <v>0.93100000000000005</v>
      </c>
      <c r="G151" s="191">
        <v>0.91200000000000003</v>
      </c>
      <c r="H151" s="191">
        <v>0.89300000000000002</v>
      </c>
      <c r="I151" s="191">
        <v>0.876</v>
      </c>
      <c r="J151" s="191">
        <v>0.85799999999999998</v>
      </c>
      <c r="K151" s="361">
        <v>2.9454375552215734E-4</v>
      </c>
      <c r="L151" s="362">
        <v>2.8038878976598006E-4</v>
      </c>
      <c r="M151" s="362">
        <v>2.7466656956667439E-4</v>
      </c>
      <c r="N151" s="362">
        <v>2.6894434936736866E-4</v>
      </c>
      <c r="O151" s="362">
        <v>2.6382446813641089E-4</v>
      </c>
      <c r="P151" s="363">
        <v>2.5840341742127917E-4</v>
      </c>
      <c r="Q151" s="273">
        <v>25.222222222222218</v>
      </c>
      <c r="R151" s="273">
        <v>24.0138888888889</v>
      </c>
      <c r="S151" s="273">
        <v>21.114103497249001</v>
      </c>
      <c r="T151" s="273">
        <v>19.937693956295441</v>
      </c>
      <c r="U151" s="273">
        <v>20.02454250180611</v>
      </c>
      <c r="V151" s="273">
        <f t="shared" si="90"/>
        <v>18.237888888888939</v>
      </c>
      <c r="W151" s="273">
        <f t="shared" si="91"/>
        <v>17.361425925925975</v>
      </c>
      <c r="X151" s="273">
        <f t="shared" si="92"/>
        <v>17.007111111111158</v>
      </c>
      <c r="Y151" s="273">
        <f t="shared" si="93"/>
        <v>16.652796296296341</v>
      </c>
      <c r="Z151" s="273">
        <f t="shared" si="94"/>
        <v>16.335777777777821</v>
      </c>
      <c r="AA151" s="273">
        <f t="shared" si="95"/>
        <v>16.000111111111153</v>
      </c>
      <c r="AB151" s="100">
        <v>321</v>
      </c>
      <c r="AC151" s="101" t="s">
        <v>159</v>
      </c>
      <c r="AD151" s="159"/>
      <c r="AE151" s="159"/>
      <c r="AF151" s="164"/>
      <c r="AG151" s="164"/>
      <c r="AH151" s="164"/>
      <c r="AI151" s="159">
        <f t="shared" si="96"/>
        <v>554485.83658582135</v>
      </c>
      <c r="AJ151" s="159">
        <f t="shared" si="85"/>
        <v>533758.44350814994</v>
      </c>
      <c r="AK151" s="159">
        <f t="shared" si="86"/>
        <v>533170.65784286731</v>
      </c>
      <c r="AL151" s="159">
        <f t="shared" si="87"/>
        <v>536348.79444024723</v>
      </c>
      <c r="AM151" s="159">
        <f t="shared" si="88"/>
        <v>541911.46410486812</v>
      </c>
      <c r="AN151" s="159">
        <f t="shared" si="89"/>
        <v>547664.44224985375</v>
      </c>
    </row>
    <row r="152" spans="1:40" x14ac:dyDescent="0.35">
      <c r="A152" s="46">
        <v>406</v>
      </c>
      <c r="B152" s="240" t="s">
        <v>160</v>
      </c>
      <c r="C152" s="364">
        <v>58.344907407407398</v>
      </c>
      <c r="D152" s="365">
        <v>9.4227617286559958E-4</v>
      </c>
      <c r="E152" s="191">
        <v>0.96899999999999997</v>
      </c>
      <c r="F152" s="191">
        <v>0.90500000000000003</v>
      </c>
      <c r="G152" s="191">
        <v>0.82899999999999996</v>
      </c>
      <c r="H152" s="191">
        <v>0.81</v>
      </c>
      <c r="I152" s="191">
        <v>0.77600000000000002</v>
      </c>
      <c r="J152" s="191">
        <v>0.72</v>
      </c>
      <c r="K152" s="361">
        <v>9.1306561150676592E-4</v>
      </c>
      <c r="L152" s="362">
        <v>8.5275993644336765E-4</v>
      </c>
      <c r="M152" s="362">
        <v>7.8114694730558199E-4</v>
      </c>
      <c r="N152" s="362">
        <v>7.6324370002113571E-4</v>
      </c>
      <c r="O152" s="362">
        <v>7.3120631014370529E-4</v>
      </c>
      <c r="P152" s="363">
        <v>6.7843884446323172E-4</v>
      </c>
      <c r="Q152" s="273">
        <v>88.777777777777743</v>
      </c>
      <c r="R152" s="273">
        <v>81.215856481481495</v>
      </c>
      <c r="S152" s="273">
        <v>71.175066892144301</v>
      </c>
      <c r="T152" s="273">
        <v>64.110005058530703</v>
      </c>
      <c r="U152" s="273">
        <v>61.474919396910224</v>
      </c>
      <c r="V152" s="273">
        <f t="shared" si="90"/>
        <v>56.536215277777764</v>
      </c>
      <c r="W152" s="273">
        <f t="shared" si="91"/>
        <v>52.802141203703698</v>
      </c>
      <c r="X152" s="273">
        <f t="shared" si="92"/>
        <v>48.367928240740731</v>
      </c>
      <c r="Y152" s="273">
        <f t="shared" si="93"/>
        <v>47.259374999999999</v>
      </c>
      <c r="Z152" s="273">
        <f t="shared" si="94"/>
        <v>45.275648148148143</v>
      </c>
      <c r="AA152" s="273">
        <f t="shared" si="95"/>
        <v>42.008333333333326</v>
      </c>
      <c r="AB152" s="100">
        <v>406</v>
      </c>
      <c r="AC152" s="101" t="s">
        <v>160</v>
      </c>
      <c r="AD152" s="159"/>
      <c r="AE152" s="159"/>
      <c r="AF152" s="164"/>
      <c r="AG152" s="164"/>
      <c r="AH152" s="164"/>
      <c r="AI152" s="159">
        <f t="shared" si="96"/>
        <v>1718868.3852983196</v>
      </c>
      <c r="AJ152" s="159">
        <f t="shared" si="85"/>
        <v>1623345.2726195508</v>
      </c>
      <c r="AK152" s="159">
        <f t="shared" si="86"/>
        <v>1516328.0788919039</v>
      </c>
      <c r="AL152" s="159">
        <f t="shared" si="87"/>
        <v>1522117.2682504356</v>
      </c>
      <c r="AM152" s="159">
        <f t="shared" si="88"/>
        <v>1501942.1242150005</v>
      </c>
      <c r="AN152" s="159">
        <f t="shared" si="89"/>
        <v>1437894.4174249682</v>
      </c>
    </row>
    <row r="153" spans="1:40" x14ac:dyDescent="0.35">
      <c r="A153" s="46">
        <v>677</v>
      </c>
      <c r="B153" s="240" t="s">
        <v>161</v>
      </c>
      <c r="C153" s="364">
        <v>131.55092592592601</v>
      </c>
      <c r="D153" s="365">
        <v>2.1245607976176184E-3</v>
      </c>
      <c r="E153" s="191">
        <v>0.95499999999999996</v>
      </c>
      <c r="F153" s="191">
        <v>0.92500000000000004</v>
      </c>
      <c r="G153" s="191">
        <v>0.85699999999999998</v>
      </c>
      <c r="H153" s="191">
        <v>0.81200000000000006</v>
      </c>
      <c r="I153" s="191">
        <v>0.76500000000000001</v>
      </c>
      <c r="J153" s="191">
        <v>0.73099999999999998</v>
      </c>
      <c r="K153" s="361">
        <v>2.0289555617248253E-3</v>
      </c>
      <c r="L153" s="362">
        <v>1.9652187377962971E-3</v>
      </c>
      <c r="M153" s="362">
        <v>1.8207486035582989E-3</v>
      </c>
      <c r="N153" s="362">
        <v>1.7251433676655063E-3</v>
      </c>
      <c r="O153" s="362">
        <v>1.625289010177478E-3</v>
      </c>
      <c r="P153" s="363">
        <v>1.553053943058479E-3</v>
      </c>
      <c r="Q153" s="273">
        <v>164.51434215099979</v>
      </c>
      <c r="R153" s="273">
        <v>159.56718300714365</v>
      </c>
      <c r="S153" s="273">
        <v>152.90733405106573</v>
      </c>
      <c r="T153" s="273">
        <v>140.50325260335748</v>
      </c>
      <c r="U153" s="273">
        <v>134.26644164159356</v>
      </c>
      <c r="V153" s="273">
        <f t="shared" si="90"/>
        <v>125.63113425925934</v>
      </c>
      <c r="W153" s="273">
        <f t="shared" si="91"/>
        <v>121.68460648148157</v>
      </c>
      <c r="X153" s="273">
        <f t="shared" si="92"/>
        <v>112.73914351851859</v>
      </c>
      <c r="Y153" s="273">
        <f t="shared" si="93"/>
        <v>106.81935185185192</v>
      </c>
      <c r="Z153" s="273">
        <f t="shared" si="94"/>
        <v>100.63645833333339</v>
      </c>
      <c r="AA153" s="273">
        <f t="shared" si="95"/>
        <v>96.163726851851905</v>
      </c>
      <c r="AB153" s="100">
        <v>677</v>
      </c>
      <c r="AC153" s="101" t="s">
        <v>161</v>
      </c>
      <c r="AD153" s="159"/>
      <c r="AE153" s="159"/>
      <c r="AF153" s="164"/>
      <c r="AG153" s="164"/>
      <c r="AH153" s="164"/>
      <c r="AI153" s="159">
        <f t="shared" si="96"/>
        <v>3819558.5577566712</v>
      </c>
      <c r="AJ153" s="159">
        <f t="shared" si="85"/>
        <v>3741062.8845564253</v>
      </c>
      <c r="AK153" s="159">
        <f t="shared" si="86"/>
        <v>3534357.0652125147</v>
      </c>
      <c r="AL153" s="159">
        <f t="shared" si="87"/>
        <v>3440409.020157862</v>
      </c>
      <c r="AM153" s="159">
        <f t="shared" si="88"/>
        <v>3338442.2351736883</v>
      </c>
      <c r="AN153" s="159">
        <f t="shared" si="89"/>
        <v>3291568.0063255085</v>
      </c>
    </row>
    <row r="154" spans="1:40" x14ac:dyDescent="0.35">
      <c r="A154" s="46">
        <v>353</v>
      </c>
      <c r="B154" s="240" t="s">
        <v>162</v>
      </c>
      <c r="C154" s="364">
        <v>78.859953703703695</v>
      </c>
      <c r="D154" s="365">
        <v>1.2735962515016393E-3</v>
      </c>
      <c r="E154" s="191">
        <v>0.96299999999999997</v>
      </c>
      <c r="F154" s="191">
        <v>0.92900000000000005</v>
      </c>
      <c r="G154" s="191">
        <v>0.89500000000000002</v>
      </c>
      <c r="H154" s="191">
        <v>0.83399999999999996</v>
      </c>
      <c r="I154" s="191">
        <v>0.79600000000000004</v>
      </c>
      <c r="J154" s="191">
        <v>0.73799999999999999</v>
      </c>
      <c r="K154" s="361">
        <v>1.2264731901960786E-3</v>
      </c>
      <c r="L154" s="362">
        <v>1.183170917645023E-3</v>
      </c>
      <c r="M154" s="362">
        <v>1.1398686450939672E-3</v>
      </c>
      <c r="N154" s="362">
        <v>1.062179273752367E-3</v>
      </c>
      <c r="O154" s="362">
        <v>1.0137826161953048E-3</v>
      </c>
      <c r="P154" s="363">
        <v>9.3991403360820978E-4</v>
      </c>
      <c r="Q154" s="273">
        <v>104.10547504757146</v>
      </c>
      <c r="R154" s="273">
        <v>94.828703703703695</v>
      </c>
      <c r="S154" s="273">
        <v>88.21535742233921</v>
      </c>
      <c r="T154" s="273">
        <v>83.519239011722462</v>
      </c>
      <c r="U154" s="273">
        <v>80.952422175381145</v>
      </c>
      <c r="V154" s="273">
        <f t="shared" si="90"/>
        <v>75.942135416666659</v>
      </c>
      <c r="W154" s="273">
        <f t="shared" si="91"/>
        <v>73.260896990740733</v>
      </c>
      <c r="X154" s="273">
        <f t="shared" si="92"/>
        <v>70.579658564814807</v>
      </c>
      <c r="Y154" s="273">
        <f t="shared" si="93"/>
        <v>65.769201388888874</v>
      </c>
      <c r="Z154" s="273">
        <f t="shared" si="94"/>
        <v>62.772523148148146</v>
      </c>
      <c r="AA154" s="273">
        <f t="shared" si="95"/>
        <v>58.198645833333323</v>
      </c>
      <c r="AB154" s="100">
        <v>353</v>
      </c>
      <c r="AC154" s="101" t="s">
        <v>162</v>
      </c>
      <c r="AD154" s="159"/>
      <c r="AE154" s="159"/>
      <c r="AF154" s="164"/>
      <c r="AG154" s="164"/>
      <c r="AH154" s="164"/>
      <c r="AI154" s="159">
        <f t="shared" si="96"/>
        <v>2308865.8311915747</v>
      </c>
      <c r="AJ154" s="159">
        <f t="shared" si="85"/>
        <v>2252327.8050217573</v>
      </c>
      <c r="AK154" s="159">
        <f t="shared" si="86"/>
        <v>2212662.8527017753</v>
      </c>
      <c r="AL154" s="159">
        <f t="shared" si="87"/>
        <v>2118276.7895908123</v>
      </c>
      <c r="AM154" s="159">
        <f t="shared" si="88"/>
        <v>2082371.0010945734</v>
      </c>
      <c r="AN154" s="159">
        <f t="shared" si="89"/>
        <v>1992069.2230615248</v>
      </c>
    </row>
    <row r="155" spans="1:40" x14ac:dyDescent="0.35">
      <c r="A155" s="46">
        <v>166</v>
      </c>
      <c r="B155" s="240" t="s">
        <v>164</v>
      </c>
      <c r="C155" s="364">
        <v>189.34259259259301</v>
      </c>
      <c r="D155" s="365">
        <v>3.0579020764020933E-3</v>
      </c>
      <c r="E155" s="191">
        <v>0.94599999999999995</v>
      </c>
      <c r="F155" s="191">
        <v>0.9</v>
      </c>
      <c r="G155" s="191">
        <v>0.84099999999999997</v>
      </c>
      <c r="H155" s="191">
        <v>0.79700000000000004</v>
      </c>
      <c r="I155" s="191">
        <v>0.75700000000000001</v>
      </c>
      <c r="J155" s="191">
        <v>0.71499999999999997</v>
      </c>
      <c r="K155" s="361">
        <v>2.8927753642763801E-3</v>
      </c>
      <c r="L155" s="362">
        <v>2.7521118687618843E-3</v>
      </c>
      <c r="M155" s="362">
        <v>2.5716956462541606E-3</v>
      </c>
      <c r="N155" s="362">
        <v>2.4371479548924687E-3</v>
      </c>
      <c r="O155" s="362">
        <v>2.3148318718363846E-3</v>
      </c>
      <c r="P155" s="363">
        <v>2.1863999846274966E-3</v>
      </c>
      <c r="Q155" s="273">
        <v>236.90956882284166</v>
      </c>
      <c r="R155" s="273">
        <v>229.59663045323975</v>
      </c>
      <c r="S155" s="273">
        <v>217.22322496238326</v>
      </c>
      <c r="T155" s="273">
        <v>201.29848636501305</v>
      </c>
      <c r="U155" s="273">
        <v>189.1015881285287</v>
      </c>
      <c r="V155" s="273">
        <f t="shared" si="90"/>
        <v>179.11809259259297</v>
      </c>
      <c r="W155" s="273">
        <f t="shared" si="91"/>
        <v>170.4083333333337</v>
      </c>
      <c r="X155" s="273">
        <f t="shared" si="92"/>
        <v>159.23712037037072</v>
      </c>
      <c r="Y155" s="273">
        <f t="shared" si="93"/>
        <v>150.90604629629664</v>
      </c>
      <c r="Z155" s="273">
        <f t="shared" si="94"/>
        <v>143.33234259259291</v>
      </c>
      <c r="AA155" s="273">
        <f t="shared" si="95"/>
        <v>135.37995370370399</v>
      </c>
      <c r="AB155" s="100">
        <v>166</v>
      </c>
      <c r="AC155" s="101" t="s">
        <v>164</v>
      </c>
      <c r="AD155" s="159"/>
      <c r="AE155" s="159"/>
      <c r="AF155" s="164"/>
      <c r="AG155" s="164"/>
      <c r="AH155" s="164"/>
      <c r="AI155" s="159">
        <f t="shared" si="96"/>
        <v>5445720.5010920018</v>
      </c>
      <c r="AJ155" s="159">
        <f t="shared" si="85"/>
        <v>5239021.6764967125</v>
      </c>
      <c r="AK155" s="159">
        <f t="shared" si="86"/>
        <v>4992062.4182555499</v>
      </c>
      <c r="AL155" s="159">
        <f t="shared" si="87"/>
        <v>4860341.4444434112</v>
      </c>
      <c r="AM155" s="159">
        <f t="shared" si="88"/>
        <v>4754805.1084286114</v>
      </c>
      <c r="AN155" s="159">
        <f t="shared" si="89"/>
        <v>4633891.9975038283</v>
      </c>
    </row>
    <row r="156" spans="1:40" x14ac:dyDescent="0.35">
      <c r="A156" s="46">
        <v>678</v>
      </c>
      <c r="B156" s="240" t="s">
        <v>165</v>
      </c>
      <c r="C156" s="364">
        <v>15.175925925925901</v>
      </c>
      <c r="D156" s="365">
        <v>2.4509274307902646E-4</v>
      </c>
      <c r="E156" s="191">
        <v>0.78600000000000003</v>
      </c>
      <c r="F156" s="191">
        <v>0.76800000000000002</v>
      </c>
      <c r="G156" s="191">
        <v>0.749</v>
      </c>
      <c r="H156" s="191">
        <v>0.68200000000000005</v>
      </c>
      <c r="I156" s="191">
        <v>0.66500000000000004</v>
      </c>
      <c r="J156" s="191">
        <v>0.64800000000000002</v>
      </c>
      <c r="K156" s="361">
        <v>1.9264289606011481E-4</v>
      </c>
      <c r="L156" s="362">
        <v>1.8823122668469233E-4</v>
      </c>
      <c r="M156" s="362">
        <v>1.8357446456619082E-4</v>
      </c>
      <c r="N156" s="362">
        <v>1.6715325077989605E-4</v>
      </c>
      <c r="O156" s="362">
        <v>1.6298667414755259E-4</v>
      </c>
      <c r="P156" s="363">
        <v>1.5882009751520915E-4</v>
      </c>
      <c r="Q156" s="273">
        <v>23.444444444444454</v>
      </c>
      <c r="R156" s="273">
        <v>22.699074074074101</v>
      </c>
      <c r="S156" s="273">
        <v>22.597283337771376</v>
      </c>
      <c r="T156" s="273">
        <v>19.090398592096928</v>
      </c>
      <c r="U156" s="273">
        <v>18.083258599748607</v>
      </c>
      <c r="V156" s="273">
        <f t="shared" si="90"/>
        <v>11.928277777777758</v>
      </c>
      <c r="W156" s="273">
        <f t="shared" si="91"/>
        <v>11.655111111111092</v>
      </c>
      <c r="X156" s="273">
        <f t="shared" si="92"/>
        <v>11.3667685185185</v>
      </c>
      <c r="Y156" s="273">
        <f t="shared" si="93"/>
        <v>10.349981481481466</v>
      </c>
      <c r="Z156" s="273">
        <f t="shared" si="94"/>
        <v>10.091990740740725</v>
      </c>
      <c r="AA156" s="273">
        <f t="shared" si="95"/>
        <v>9.8339999999999836</v>
      </c>
      <c r="AB156" s="100">
        <v>678</v>
      </c>
      <c r="AC156" s="101" t="s">
        <v>165</v>
      </c>
      <c r="AD156" s="159"/>
      <c r="AE156" s="159"/>
      <c r="AF156" s="164"/>
      <c r="AG156" s="164"/>
      <c r="AH156" s="164"/>
      <c r="AI156" s="159">
        <f t="shared" si="96"/>
        <v>362654.97190678923</v>
      </c>
      <c r="AJ156" s="159">
        <f t="shared" si="85"/>
        <v>358323.90681063262</v>
      </c>
      <c r="AK156" s="159">
        <f t="shared" si="86"/>
        <v>356346.67222269619</v>
      </c>
      <c r="AL156" s="159">
        <f t="shared" si="87"/>
        <v>333349.42620453966</v>
      </c>
      <c r="AM156" s="159">
        <f t="shared" si="88"/>
        <v>334784.51729964279</v>
      </c>
      <c r="AN156" s="159">
        <f t="shared" si="89"/>
        <v>336605.92027670186</v>
      </c>
    </row>
    <row r="157" spans="1:40" x14ac:dyDescent="0.35">
      <c r="A157" s="46">
        <v>537</v>
      </c>
      <c r="B157" s="240" t="s">
        <v>166</v>
      </c>
      <c r="C157" s="364">
        <v>216.86574074074099</v>
      </c>
      <c r="D157" s="365">
        <v>3.5024037108147858E-3</v>
      </c>
      <c r="E157" s="191">
        <v>0.94799999999999995</v>
      </c>
      <c r="F157" s="191">
        <v>0.89200000000000002</v>
      </c>
      <c r="G157" s="191">
        <v>0.85599999999999998</v>
      </c>
      <c r="H157" s="191">
        <v>0.80900000000000005</v>
      </c>
      <c r="I157" s="191">
        <v>0.75900000000000001</v>
      </c>
      <c r="J157" s="191">
        <v>0.72399999999999998</v>
      </c>
      <c r="K157" s="361">
        <v>3.3202787178524167E-3</v>
      </c>
      <c r="L157" s="362">
        <v>3.1241441100467891E-3</v>
      </c>
      <c r="M157" s="362">
        <v>2.9980575764574566E-3</v>
      </c>
      <c r="N157" s="362">
        <v>2.8334446020491619E-3</v>
      </c>
      <c r="O157" s="362">
        <v>2.6583244165084225E-3</v>
      </c>
      <c r="P157" s="363">
        <v>2.535740286629905E-3</v>
      </c>
      <c r="Q157" s="273">
        <v>254.42375246316712</v>
      </c>
      <c r="R157" s="273">
        <v>247.59225476956783</v>
      </c>
      <c r="S157" s="273">
        <v>237.78371667462801</v>
      </c>
      <c r="T157" s="273">
        <v>226.20985197071531</v>
      </c>
      <c r="U157" s="273">
        <v>214.28969529210133</v>
      </c>
      <c r="V157" s="273">
        <f t="shared" si="90"/>
        <v>205.58872222222246</v>
      </c>
      <c r="W157" s="273">
        <f t="shared" si="91"/>
        <v>193.44424074074095</v>
      </c>
      <c r="X157" s="273">
        <f t="shared" si="92"/>
        <v>185.63707407407429</v>
      </c>
      <c r="Y157" s="273">
        <f t="shared" si="93"/>
        <v>175.44438425925946</v>
      </c>
      <c r="Z157" s="273">
        <f t="shared" si="94"/>
        <v>164.60109722222242</v>
      </c>
      <c r="AA157" s="273">
        <f t="shared" si="95"/>
        <v>157.01079629629646</v>
      </c>
      <c r="AB157" s="100">
        <v>537</v>
      </c>
      <c r="AC157" s="101" t="s">
        <v>166</v>
      </c>
      <c r="AD157" s="159"/>
      <c r="AE157" s="159"/>
      <c r="AF157" s="164"/>
      <c r="AG157" s="164"/>
      <c r="AH157" s="164"/>
      <c r="AI157" s="159">
        <f t="shared" si="96"/>
        <v>6250506.0387471057</v>
      </c>
      <c r="AJ157" s="159">
        <f t="shared" si="85"/>
        <v>5947235.9749671165</v>
      </c>
      <c r="AK157" s="159">
        <f t="shared" si="86"/>
        <v>5819697.4346475396</v>
      </c>
      <c r="AL157" s="159">
        <f t="shared" si="87"/>
        <v>5650665.6488492228</v>
      </c>
      <c r="AM157" s="159">
        <f t="shared" si="88"/>
        <v>5460359.6352971559</v>
      </c>
      <c r="AN157" s="159">
        <f t="shared" si="89"/>
        <v>5374289.5648457119</v>
      </c>
    </row>
    <row r="158" spans="1:40" x14ac:dyDescent="0.35">
      <c r="A158" s="46">
        <v>928</v>
      </c>
      <c r="B158" s="240" t="s">
        <v>167</v>
      </c>
      <c r="C158" s="364">
        <v>637.50231481481501</v>
      </c>
      <c r="D158" s="365">
        <v>1.0295727049528233E-2</v>
      </c>
      <c r="E158" s="191">
        <v>0.94399999999999995</v>
      </c>
      <c r="F158" s="191">
        <v>0.88400000000000001</v>
      </c>
      <c r="G158" s="191">
        <v>0.82299999999999995</v>
      </c>
      <c r="H158" s="191">
        <v>0.76300000000000001</v>
      </c>
      <c r="I158" s="191">
        <v>0.69099999999999995</v>
      </c>
      <c r="J158" s="191">
        <v>0.63500000000000001</v>
      </c>
      <c r="K158" s="361">
        <v>9.7191663347546524E-3</v>
      </c>
      <c r="L158" s="362">
        <v>9.1014227117829586E-3</v>
      </c>
      <c r="M158" s="362">
        <v>8.4733833617617361E-3</v>
      </c>
      <c r="N158" s="362">
        <v>7.8556397387900424E-3</v>
      </c>
      <c r="O158" s="362">
        <v>7.1143473912240089E-3</v>
      </c>
      <c r="P158" s="363">
        <v>6.5377866764504281E-3</v>
      </c>
      <c r="Q158" s="273">
        <v>886.95191067647272</v>
      </c>
      <c r="R158" s="273">
        <v>822.67289032206872</v>
      </c>
      <c r="S158" s="273">
        <v>760.43091327771833</v>
      </c>
      <c r="T158" s="273">
        <v>699.02030262116875</v>
      </c>
      <c r="U158" s="273">
        <v>641.74544275656194</v>
      </c>
      <c r="V158" s="273">
        <f t="shared" si="90"/>
        <v>601.80218518518529</v>
      </c>
      <c r="W158" s="273">
        <f t="shared" si="91"/>
        <v>563.55204629629645</v>
      </c>
      <c r="X158" s="273">
        <f t="shared" si="92"/>
        <v>524.66440509259269</v>
      </c>
      <c r="Y158" s="273">
        <f t="shared" si="93"/>
        <v>486.41426620370385</v>
      </c>
      <c r="Z158" s="273">
        <f t="shared" si="94"/>
        <v>440.51409953703711</v>
      </c>
      <c r="AA158" s="273">
        <f t="shared" si="95"/>
        <v>404.81396990740751</v>
      </c>
      <c r="AB158" s="100">
        <v>928</v>
      </c>
      <c r="AC158" s="101" t="s">
        <v>167</v>
      </c>
      <c r="AD158" s="159"/>
      <c r="AE158" s="159"/>
      <c r="AF158" s="164"/>
      <c r="AG158" s="164"/>
      <c r="AH158" s="164"/>
      <c r="AI158" s="159">
        <f t="shared" si="96"/>
        <v>18296568.761030074</v>
      </c>
      <c r="AJ158" s="159">
        <f t="shared" si="85"/>
        <v>17325804.018076401</v>
      </c>
      <c r="AK158" s="159">
        <f t="shared" si="86"/>
        <v>16448158.901437184</v>
      </c>
      <c r="AL158" s="159">
        <f t="shared" si="87"/>
        <v>15666300.159746546</v>
      </c>
      <c r="AM158" s="159">
        <f t="shared" si="88"/>
        <v>14613301.177718809</v>
      </c>
      <c r="AN158" s="159">
        <f t="shared" si="89"/>
        <v>13856292.341015683</v>
      </c>
    </row>
    <row r="159" spans="1:40" x14ac:dyDescent="0.35">
      <c r="A159" s="46">
        <v>1598</v>
      </c>
      <c r="B159" s="240" t="s">
        <v>168</v>
      </c>
      <c r="C159" s="364">
        <v>20.0590277777778</v>
      </c>
      <c r="D159" s="365">
        <v>3.2395533330556887E-4</v>
      </c>
      <c r="E159" s="191">
        <v>0.93400000000000005</v>
      </c>
      <c r="F159" s="191">
        <v>0.86599999999999999</v>
      </c>
      <c r="G159" s="191">
        <v>0.84399999999999997</v>
      </c>
      <c r="H159" s="191">
        <v>0.77900000000000003</v>
      </c>
      <c r="I159" s="191">
        <v>0.76</v>
      </c>
      <c r="J159" s="191">
        <v>0.72399999999999998</v>
      </c>
      <c r="K159" s="361">
        <v>3.0257428130740132E-4</v>
      </c>
      <c r="L159" s="362">
        <v>2.8054531864262264E-4</v>
      </c>
      <c r="M159" s="362">
        <v>2.7341830130990009E-4</v>
      </c>
      <c r="N159" s="362">
        <v>2.5236120464503816E-4</v>
      </c>
      <c r="O159" s="362">
        <v>2.4620605331223235E-4</v>
      </c>
      <c r="P159" s="363">
        <v>2.3454366131323186E-4</v>
      </c>
      <c r="Q159" s="273">
        <v>33.726851851851855</v>
      </c>
      <c r="R159" s="273">
        <v>30.0972222222222</v>
      </c>
      <c r="S159" s="273">
        <v>26.397638843710894</v>
      </c>
      <c r="T159" s="273">
        <v>22.96488613529413</v>
      </c>
      <c r="U159" s="273">
        <v>22.087559097116017</v>
      </c>
      <c r="V159" s="273">
        <f t="shared" si="90"/>
        <v>18.735131944444465</v>
      </c>
      <c r="W159" s="273">
        <f t="shared" si="91"/>
        <v>17.371118055555574</v>
      </c>
      <c r="X159" s="273">
        <f t="shared" si="92"/>
        <v>16.929819444444462</v>
      </c>
      <c r="Y159" s="273">
        <f t="shared" si="93"/>
        <v>15.625982638888907</v>
      </c>
      <c r="Z159" s="273">
        <f t="shared" si="94"/>
        <v>15.244861111111128</v>
      </c>
      <c r="AA159" s="273">
        <f t="shared" si="95"/>
        <v>14.522736111111127</v>
      </c>
      <c r="AB159" s="100">
        <v>1598</v>
      </c>
      <c r="AC159" s="101" t="s">
        <v>168</v>
      </c>
      <c r="AD159" s="159"/>
      <c r="AE159" s="159"/>
      <c r="AF159" s="164"/>
      <c r="AG159" s="164"/>
      <c r="AH159" s="164"/>
      <c r="AI159" s="159">
        <f t="shared" si="96"/>
        <v>569603.49813787569</v>
      </c>
      <c r="AJ159" s="159">
        <f t="shared" si="85"/>
        <v>534056.41765194701</v>
      </c>
      <c r="AK159" s="159">
        <f t="shared" si="86"/>
        <v>530747.57443421416</v>
      </c>
      <c r="AL159" s="159">
        <f t="shared" si="87"/>
        <v>503277.45570131467</v>
      </c>
      <c r="AM159" s="159">
        <f t="shared" si="88"/>
        <v>505722.1711252614</v>
      </c>
      <c r="AN159" s="159">
        <f t="shared" si="89"/>
        <v>497095.68371123238</v>
      </c>
    </row>
    <row r="160" spans="1:40" x14ac:dyDescent="0.35">
      <c r="A160" s="46">
        <v>542</v>
      </c>
      <c r="B160" s="240" t="s">
        <v>169</v>
      </c>
      <c r="C160" s="364">
        <v>72.844907407407405</v>
      </c>
      <c r="D160" s="365">
        <v>1.1764526436781415E-3</v>
      </c>
      <c r="E160" s="191">
        <v>0.91400000000000003</v>
      </c>
      <c r="F160" s="191">
        <v>0.86099999999999999</v>
      </c>
      <c r="G160" s="191">
        <v>0.82899999999999996</v>
      </c>
      <c r="H160" s="191">
        <v>0.79600000000000004</v>
      </c>
      <c r="I160" s="191">
        <v>0.72899999999999998</v>
      </c>
      <c r="J160" s="191">
        <v>0.68400000000000005</v>
      </c>
      <c r="K160" s="361">
        <v>1.0752777163218214E-3</v>
      </c>
      <c r="L160" s="362">
        <v>1.0129257262068798E-3</v>
      </c>
      <c r="M160" s="362">
        <v>9.7527924160917929E-4</v>
      </c>
      <c r="N160" s="362">
        <v>9.3645630436780072E-4</v>
      </c>
      <c r="O160" s="362">
        <v>8.576339772413652E-4</v>
      </c>
      <c r="P160" s="363">
        <v>8.0469360827584884E-4</v>
      </c>
      <c r="Q160" s="273">
        <v>96.143055555555563</v>
      </c>
      <c r="R160" s="273">
        <v>93.625</v>
      </c>
      <c r="S160" s="273">
        <v>84.644308743893845</v>
      </c>
      <c r="T160" s="273">
        <v>80.727511900865238</v>
      </c>
      <c r="U160" s="273">
        <v>76.08672258126866</v>
      </c>
      <c r="V160" s="273">
        <f t="shared" si="90"/>
        <v>66.580245370370363</v>
      </c>
      <c r="W160" s="273">
        <f t="shared" si="91"/>
        <v>62.719465277777772</v>
      </c>
      <c r="X160" s="273">
        <f t="shared" si="92"/>
        <v>60.388428240740737</v>
      </c>
      <c r="Y160" s="273">
        <f t="shared" si="93"/>
        <v>57.984546296296294</v>
      </c>
      <c r="Z160" s="273">
        <f t="shared" si="94"/>
        <v>53.103937499999994</v>
      </c>
      <c r="AA160" s="273">
        <f t="shared" si="95"/>
        <v>49.825916666666672</v>
      </c>
      <c r="AB160" s="100">
        <v>542</v>
      </c>
      <c r="AC160" s="101" t="s">
        <v>169</v>
      </c>
      <c r="AD160" s="159"/>
      <c r="AE160" s="159"/>
      <c r="AF160" s="164"/>
      <c r="AG160" s="164"/>
      <c r="AH160" s="164"/>
      <c r="AI160" s="159">
        <f t="shared" si="96"/>
        <v>2024236.6470809286</v>
      </c>
      <c r="AJ160" s="159">
        <f t="shared" si="85"/>
        <v>1928242.7783963613</v>
      </c>
      <c r="AK160" s="159">
        <f t="shared" si="86"/>
        <v>1893169.1455921177</v>
      </c>
      <c r="AL160" s="159">
        <f t="shared" si="87"/>
        <v>1867550.7073307557</v>
      </c>
      <c r="AM160" s="159">
        <f t="shared" si="88"/>
        <v>1761632.2229545577</v>
      </c>
      <c r="AN160" s="159">
        <f t="shared" si="89"/>
        <v>1705480.8351854403</v>
      </c>
    </row>
    <row r="161" spans="1:40" x14ac:dyDescent="0.35">
      <c r="A161" s="46">
        <v>1931</v>
      </c>
      <c r="B161" s="240" t="s">
        <v>170</v>
      </c>
      <c r="C161" s="364">
        <v>105.696759259259</v>
      </c>
      <c r="D161" s="365">
        <v>1.7070133834245604E-3</v>
      </c>
      <c r="E161" s="191">
        <v>0.95099999999999996</v>
      </c>
      <c r="F161" s="191">
        <v>0.90700000000000003</v>
      </c>
      <c r="G161" s="191">
        <v>0.86699999999999999</v>
      </c>
      <c r="H161" s="191">
        <v>0.82199999999999995</v>
      </c>
      <c r="I161" s="191">
        <v>0.76900000000000002</v>
      </c>
      <c r="J161" s="191">
        <v>0.73799999999999999</v>
      </c>
      <c r="K161" s="361">
        <v>1.6233697276367568E-3</v>
      </c>
      <c r="L161" s="362">
        <v>1.5482611387660763E-3</v>
      </c>
      <c r="M161" s="362">
        <v>1.4799806034290939E-3</v>
      </c>
      <c r="N161" s="362">
        <v>1.4031650011749885E-3</v>
      </c>
      <c r="O161" s="362">
        <v>1.3126932918534869E-3</v>
      </c>
      <c r="P161" s="363">
        <v>1.2597758769673255E-3</v>
      </c>
      <c r="Q161" s="273">
        <v>126.85167851209665</v>
      </c>
      <c r="R161" s="273">
        <v>121.55294781753638</v>
      </c>
      <c r="S161" s="273">
        <v>119.44866672474198</v>
      </c>
      <c r="T161" s="273">
        <v>116.49166322305962</v>
      </c>
      <c r="U161" s="273">
        <v>107.85832481206094</v>
      </c>
      <c r="V161" s="273">
        <f t="shared" si="90"/>
        <v>100.5176180555553</v>
      </c>
      <c r="W161" s="273">
        <f t="shared" si="91"/>
        <v>95.866960648147909</v>
      </c>
      <c r="X161" s="273">
        <f t="shared" si="92"/>
        <v>91.639090277777555</v>
      </c>
      <c r="Y161" s="273">
        <f t="shared" si="93"/>
        <v>86.882736111110887</v>
      </c>
      <c r="Z161" s="273">
        <f t="shared" si="94"/>
        <v>81.280807870370168</v>
      </c>
      <c r="AA161" s="273">
        <f t="shared" si="95"/>
        <v>78.004208333333139</v>
      </c>
      <c r="AB161" s="100">
        <v>1931</v>
      </c>
      <c r="AC161" s="101" t="s">
        <v>170</v>
      </c>
      <c r="AD161" s="159"/>
      <c r="AE161" s="159"/>
      <c r="AF161" s="164"/>
      <c r="AG161" s="164"/>
      <c r="AH161" s="164"/>
      <c r="AI161" s="159">
        <f t="shared" si="96"/>
        <v>3056033.2875536056</v>
      </c>
      <c r="AJ161" s="159">
        <f t="shared" si="85"/>
        <v>2947327.0178228947</v>
      </c>
      <c r="AK161" s="159">
        <f t="shared" si="86"/>
        <v>2872873.2192267277</v>
      </c>
      <c r="AL161" s="159">
        <f t="shared" si="87"/>
        <v>2798295.8502427842</v>
      </c>
      <c r="AM161" s="159">
        <f t="shared" si="88"/>
        <v>2696351.6641722191</v>
      </c>
      <c r="AN161" s="159">
        <f t="shared" si="89"/>
        <v>2669989.6615311392</v>
      </c>
    </row>
    <row r="162" spans="1:40" x14ac:dyDescent="0.35">
      <c r="A162" s="46">
        <v>1659</v>
      </c>
      <c r="B162" s="240" t="s">
        <v>171</v>
      </c>
      <c r="C162" s="364">
        <v>92.170717592592595</v>
      </c>
      <c r="D162" s="365">
        <v>1.4885664384891584E-3</v>
      </c>
      <c r="E162" s="191">
        <v>0.92500000000000004</v>
      </c>
      <c r="F162" s="191">
        <v>0.88100000000000001</v>
      </c>
      <c r="G162" s="191">
        <v>0.84499999999999997</v>
      </c>
      <c r="H162" s="191">
        <v>0.76700000000000002</v>
      </c>
      <c r="I162" s="191">
        <v>0.71699999999999997</v>
      </c>
      <c r="J162" s="191">
        <v>0.66</v>
      </c>
      <c r="K162" s="361">
        <v>1.3769239556024717E-3</v>
      </c>
      <c r="L162" s="362">
        <v>1.3114270323089485E-3</v>
      </c>
      <c r="M162" s="362">
        <v>1.2578386405233389E-3</v>
      </c>
      <c r="N162" s="362">
        <v>1.1417304583211845E-3</v>
      </c>
      <c r="O162" s="362">
        <v>1.0673021363967266E-3</v>
      </c>
      <c r="P162" s="363">
        <v>9.824538494028446E-4</v>
      </c>
      <c r="Q162" s="273">
        <v>111.55944043420743</v>
      </c>
      <c r="R162" s="273">
        <v>105.3157189782051</v>
      </c>
      <c r="S162" s="273">
        <v>100.64636741883517</v>
      </c>
      <c r="T162" s="273">
        <v>92.703435130282514</v>
      </c>
      <c r="U162" s="273">
        <v>86.275054589754021</v>
      </c>
      <c r="V162" s="273">
        <f t="shared" si="90"/>
        <v>85.257913773148161</v>
      </c>
      <c r="W162" s="273">
        <f t="shared" si="91"/>
        <v>81.202402199074072</v>
      </c>
      <c r="X162" s="273">
        <f t="shared" si="92"/>
        <v>77.88425636574074</v>
      </c>
      <c r="Y162" s="273">
        <f t="shared" si="93"/>
        <v>70.694940393518522</v>
      </c>
      <c r="Z162" s="273">
        <f t="shared" si="94"/>
        <v>66.086404513888894</v>
      </c>
      <c r="AA162" s="273">
        <f t="shared" si="95"/>
        <v>60.832673611111119</v>
      </c>
      <c r="AB162" s="100">
        <v>1659</v>
      </c>
      <c r="AC162" s="101" t="s">
        <v>171</v>
      </c>
      <c r="AD162" s="159"/>
      <c r="AE162" s="159"/>
      <c r="AF162" s="164"/>
      <c r="AG162" s="164"/>
      <c r="AH162" s="164"/>
      <c r="AI162" s="159">
        <f t="shared" si="96"/>
        <v>2592093.0833648616</v>
      </c>
      <c r="AJ162" s="159">
        <f t="shared" si="85"/>
        <v>2496480.8761575771</v>
      </c>
      <c r="AK162" s="159">
        <f t="shared" si="86"/>
        <v>2441661.0164318169</v>
      </c>
      <c r="AL162" s="159">
        <f t="shared" si="87"/>
        <v>2276923.6696615177</v>
      </c>
      <c r="AM162" s="159">
        <f t="shared" si="88"/>
        <v>2192303.3426829455</v>
      </c>
      <c r="AN162" s="159">
        <f t="shared" si="89"/>
        <v>2082228.8065650121</v>
      </c>
    </row>
    <row r="164" spans="1:40" x14ac:dyDescent="0.35">
      <c r="A164" s="46">
        <v>1982</v>
      </c>
      <c r="B164" s="240" t="s">
        <v>1302</v>
      </c>
      <c r="C164" s="364">
        <v>498.88831018518499</v>
      </c>
      <c r="D164" s="365">
        <v>8.0570968143999517E-3</v>
      </c>
      <c r="E164" s="191">
        <v>0.94</v>
      </c>
      <c r="F164" s="191">
        <v>0.90300000000000002</v>
      </c>
      <c r="G164" s="191">
        <v>0.84799999999999998</v>
      </c>
      <c r="H164" s="191">
        <v>0.77900000000000003</v>
      </c>
      <c r="I164" s="191">
        <v>0.72699999999999998</v>
      </c>
      <c r="J164" s="191">
        <v>0.65600000000000003</v>
      </c>
      <c r="K164" s="449">
        <v>7.5736710055359542E-3</v>
      </c>
      <c r="L164" s="450">
        <v>7.2755584234031568E-3</v>
      </c>
      <c r="M164" s="450">
        <v>6.832418098611159E-3</v>
      </c>
      <c r="N164" s="450">
        <v>6.2764784184175621E-3</v>
      </c>
      <c r="O164" s="450">
        <v>5.857509384068765E-3</v>
      </c>
      <c r="P164" s="451">
        <v>5.2854555102463683E-3</v>
      </c>
      <c r="Q164" s="273">
        <f>+Q382+Q383+Q384+Q385+Q386</f>
        <v>653.03668128805361</v>
      </c>
      <c r="R164" s="273">
        <f>+R382+R383+R384+R385+R386</f>
        <v>617.79329698157244</v>
      </c>
      <c r="S164" s="273">
        <f>+S382+S383+S384+S385+S386</f>
        <v>569.99373308771419</v>
      </c>
      <c r="T164" s="273">
        <f>+T382+T383+T384+T385+T386</f>
        <v>532.26130386205068</v>
      </c>
      <c r="U164" s="273">
        <v>503.48962724256</v>
      </c>
      <c r="V164" s="273">
        <f t="shared" ref="V164" si="97">+E164*C164</f>
        <v>468.95501157407386</v>
      </c>
      <c r="W164" s="273">
        <f t="shared" ref="W164" si="98">+F164*$C164</f>
        <v>450.49614409722204</v>
      </c>
      <c r="X164" s="273">
        <f t="shared" ref="X164" si="99">+G164*$C164</f>
        <v>423.05728703703687</v>
      </c>
      <c r="Y164" s="273">
        <f t="shared" ref="Y164" si="100">+H164*$C164</f>
        <v>388.63399363425913</v>
      </c>
      <c r="Z164" s="273">
        <f t="shared" ref="Z164" si="101">+I164*$C164</f>
        <v>362.6918015046295</v>
      </c>
      <c r="AA164" s="273">
        <f t="shared" ref="AA164" si="102">+J164*$C164</f>
        <v>327.27073148148139</v>
      </c>
      <c r="AB164" s="100">
        <v>1982</v>
      </c>
      <c r="AC164" s="101" t="s">
        <v>1302</v>
      </c>
      <c r="AD164" s="159"/>
      <c r="AE164" s="159"/>
      <c r="AF164" s="164"/>
      <c r="AG164" s="164"/>
      <c r="AH164" s="164"/>
      <c r="AI164" s="159">
        <f t="shared" si="96"/>
        <v>14257621.235546684</v>
      </c>
      <c r="AJ164" s="159">
        <f t="shared" ref="AJ164:AJ191" si="103">+W164*AJ$8</f>
        <v>13850021.40409914</v>
      </c>
      <c r="AK164" s="159">
        <f t="shared" ref="AK164:AK191" si="104">+X164*AK$8</f>
        <v>13262789.345063472</v>
      </c>
      <c r="AL164" s="159">
        <f t="shared" ref="AL164:AL191" si="105">+Y164*AL$8</f>
        <v>12517019.37953762</v>
      </c>
      <c r="AM164" s="159">
        <f t="shared" ref="AM164:AM191" si="106">+Z164*AM$8</f>
        <v>12031679.657125119</v>
      </c>
      <c r="AN164" s="159">
        <f t="shared" ref="AN164:AN191" si="107">+AA164*AN$8</f>
        <v>11202081.121614156</v>
      </c>
    </row>
    <row r="165" spans="1:40" x14ac:dyDescent="0.35">
      <c r="A165" s="46">
        <v>882</v>
      </c>
      <c r="B165" s="240" t="s">
        <v>173</v>
      </c>
      <c r="C165" s="364">
        <v>347.22685185185202</v>
      </c>
      <c r="D165" s="365">
        <v>5.607748878483863E-3</v>
      </c>
      <c r="E165" s="191">
        <v>0.93500000000000005</v>
      </c>
      <c r="F165" s="191">
        <v>0.877</v>
      </c>
      <c r="G165" s="191">
        <v>0.82199999999999995</v>
      </c>
      <c r="H165" s="191">
        <v>0.752</v>
      </c>
      <c r="I165" s="191">
        <v>0.67700000000000005</v>
      </c>
      <c r="J165" s="191">
        <v>0.62</v>
      </c>
      <c r="K165" s="361">
        <v>5.2432452013824122E-3</v>
      </c>
      <c r="L165" s="362">
        <v>4.9179957664303477E-3</v>
      </c>
      <c r="M165" s="362">
        <v>4.6095695781137348E-3</v>
      </c>
      <c r="N165" s="362">
        <v>4.2170271566198646E-3</v>
      </c>
      <c r="O165" s="362">
        <v>3.7964459907335753E-3</v>
      </c>
      <c r="P165" s="363">
        <v>3.4768043046599952E-3</v>
      </c>
      <c r="Q165" s="273">
        <v>476.04642568674865</v>
      </c>
      <c r="R165" s="273">
        <v>448.99197644423623</v>
      </c>
      <c r="S165" s="273">
        <v>420.62658923699405</v>
      </c>
      <c r="T165" s="273">
        <v>384.75541614946087</v>
      </c>
      <c r="U165" s="273">
        <v>351.32886387956415</v>
      </c>
      <c r="V165" s="273">
        <f t="shared" si="90"/>
        <v>324.65710648148166</v>
      </c>
      <c r="W165" s="273">
        <f t="shared" si="91"/>
        <v>304.51794907407424</v>
      </c>
      <c r="X165" s="273">
        <f t="shared" si="92"/>
        <v>285.42047222222232</v>
      </c>
      <c r="Y165" s="273">
        <f t="shared" si="93"/>
        <v>261.11459259259271</v>
      </c>
      <c r="Z165" s="273">
        <f t="shared" si="94"/>
        <v>235.07257870370384</v>
      </c>
      <c r="AA165" s="273">
        <f t="shared" si="95"/>
        <v>215.28064814814826</v>
      </c>
      <c r="AB165" s="100">
        <v>882</v>
      </c>
      <c r="AC165" s="101" t="s">
        <v>173</v>
      </c>
      <c r="AD165" s="159"/>
      <c r="AE165" s="159"/>
      <c r="AF165" s="164"/>
      <c r="AG165" s="164"/>
      <c r="AH165" s="164"/>
      <c r="AI165" s="159">
        <f t="shared" si="96"/>
        <v>9870537.5598920658</v>
      </c>
      <c r="AJ165" s="159">
        <f t="shared" si="103"/>
        <v>9362078.1617569178</v>
      </c>
      <c r="AK165" s="159">
        <f t="shared" si="104"/>
        <v>8947893.6159311999</v>
      </c>
      <c r="AL165" s="159">
        <f t="shared" si="105"/>
        <v>8409908.7297993824</v>
      </c>
      <c r="AM165" s="159">
        <f t="shared" si="106"/>
        <v>7798130.3999814717</v>
      </c>
      <c r="AN165" s="159">
        <f t="shared" si="107"/>
        <v>7368796.0837576184</v>
      </c>
    </row>
    <row r="166" spans="1:40" x14ac:dyDescent="0.35">
      <c r="A166" s="46">
        <v>415</v>
      </c>
      <c r="B166" s="240" t="s">
        <v>174</v>
      </c>
      <c r="C166" s="364">
        <v>6.3888888888888902</v>
      </c>
      <c r="D166" s="365">
        <v>1.0318120361472152E-4</v>
      </c>
      <c r="E166" s="191">
        <v>0.97499999999999998</v>
      </c>
      <c r="F166" s="191">
        <v>0.94899999999999995</v>
      </c>
      <c r="G166" s="191">
        <v>0.80200000000000005</v>
      </c>
      <c r="H166" s="191">
        <v>0.78</v>
      </c>
      <c r="I166" s="191">
        <v>0.75700000000000001</v>
      </c>
      <c r="J166" s="191">
        <v>0.73299999999999998</v>
      </c>
      <c r="K166" s="361">
        <v>1.0060167352435348E-4</v>
      </c>
      <c r="L166" s="362">
        <v>9.791896223037072E-5</v>
      </c>
      <c r="M166" s="362">
        <v>8.2751325299006666E-5</v>
      </c>
      <c r="N166" s="362">
        <v>8.0481338819482783E-5</v>
      </c>
      <c r="O166" s="362">
        <v>7.8108171136344196E-5</v>
      </c>
      <c r="P166" s="363">
        <v>7.5631822249590879E-5</v>
      </c>
      <c r="Q166" s="273">
        <v>7.5555555555555562</v>
      </c>
      <c r="R166" s="273">
        <v>7.5555555555555598</v>
      </c>
      <c r="S166" s="273">
        <v>7.351351892602092</v>
      </c>
      <c r="T166" s="273">
        <v>7.2621550706275002</v>
      </c>
      <c r="U166" s="273">
        <v>7.2581237218188104</v>
      </c>
      <c r="V166" s="273">
        <f t="shared" si="90"/>
        <v>6.2291666666666679</v>
      </c>
      <c r="W166" s="273">
        <f t="shared" si="91"/>
        <v>6.0630555555555565</v>
      </c>
      <c r="X166" s="273">
        <f t="shared" si="92"/>
        <v>5.1238888888888905</v>
      </c>
      <c r="Y166" s="273">
        <f t="shared" si="93"/>
        <v>4.9833333333333343</v>
      </c>
      <c r="Z166" s="273">
        <f t="shared" si="94"/>
        <v>4.83638888888889</v>
      </c>
      <c r="AA166" s="273">
        <f t="shared" si="95"/>
        <v>4.6830555555555566</v>
      </c>
      <c r="AB166" s="100">
        <v>415</v>
      </c>
      <c r="AC166" s="101" t="s">
        <v>174</v>
      </c>
      <c r="AD166" s="159"/>
      <c r="AE166" s="159"/>
      <c r="AF166" s="164"/>
      <c r="AG166" s="164"/>
      <c r="AH166" s="164"/>
      <c r="AI166" s="159">
        <f t="shared" si="96"/>
        <v>189385.11531910082</v>
      </c>
      <c r="AJ166" s="159">
        <f t="shared" si="103"/>
        <v>186402.1486509422</v>
      </c>
      <c r="AK166" s="159">
        <f t="shared" si="104"/>
        <v>160633.23110871116</v>
      </c>
      <c r="AL166" s="159">
        <f t="shared" si="105"/>
        <v>160501.86275452591</v>
      </c>
      <c r="AM166" s="159">
        <f t="shared" si="106"/>
        <v>160438.92243218422</v>
      </c>
      <c r="AN166" s="159">
        <f t="shared" si="107"/>
        <v>160295.32489167195</v>
      </c>
    </row>
    <row r="167" spans="1:40" x14ac:dyDescent="0.35">
      <c r="A167" s="46">
        <v>1621</v>
      </c>
      <c r="B167" s="240" t="s">
        <v>176</v>
      </c>
      <c r="C167" s="364">
        <v>1</v>
      </c>
      <c r="D167" s="365">
        <v>1.6150101435347714E-5</v>
      </c>
      <c r="E167" s="191">
        <v>0.98199999999999998</v>
      </c>
      <c r="F167" s="191">
        <v>0.96199999999999997</v>
      </c>
      <c r="G167" s="191">
        <v>0.94299999999999995</v>
      </c>
      <c r="H167" s="191">
        <v>0.92400000000000004</v>
      </c>
      <c r="I167" s="191">
        <v>0.90400000000000003</v>
      </c>
      <c r="J167" s="191">
        <v>0.88300000000000001</v>
      </c>
      <c r="K167" s="361">
        <v>1.5859399609511454E-5</v>
      </c>
      <c r="L167" s="362">
        <v>1.5536397580804499E-5</v>
      </c>
      <c r="M167" s="362">
        <v>1.5229545653532894E-5</v>
      </c>
      <c r="N167" s="362">
        <v>1.4922693726261288E-5</v>
      </c>
      <c r="O167" s="362">
        <v>1.4599691697554333E-5</v>
      </c>
      <c r="P167" s="363">
        <v>1.4260539567412032E-5</v>
      </c>
      <c r="Q167" s="273">
        <v>2.5462962962962972</v>
      </c>
      <c r="R167" s="273">
        <v>2.7777777777777799</v>
      </c>
      <c r="S167" s="273">
        <v>2.7422662970536549</v>
      </c>
      <c r="T167" s="273">
        <v>0.98376460362800899</v>
      </c>
      <c r="U167" s="273">
        <v>0.98035107926495302</v>
      </c>
      <c r="V167" s="273">
        <f t="shared" si="90"/>
        <v>0.98199999999999998</v>
      </c>
      <c r="W167" s="273">
        <f t="shared" si="91"/>
        <v>0.96199999999999997</v>
      </c>
      <c r="X167" s="273">
        <f t="shared" si="92"/>
        <v>0.94299999999999995</v>
      </c>
      <c r="Y167" s="273">
        <f t="shared" si="93"/>
        <v>0.92400000000000004</v>
      </c>
      <c r="Z167" s="273">
        <f t="shared" si="94"/>
        <v>0.90400000000000003</v>
      </c>
      <c r="AA167" s="273">
        <f t="shared" si="95"/>
        <v>0.88300000000000001</v>
      </c>
      <c r="AB167" s="100">
        <v>1621</v>
      </c>
      <c r="AC167" s="101" t="s">
        <v>176</v>
      </c>
      <c r="AD167" s="159"/>
      <c r="AE167" s="159"/>
      <c r="AF167" s="164"/>
      <c r="AG167" s="164"/>
      <c r="AH167" s="164"/>
      <c r="AI167" s="159">
        <f t="shared" si="96"/>
        <v>29855.708346759646</v>
      </c>
      <c r="AJ167" s="159">
        <f t="shared" si="103"/>
        <v>29575.659559625368</v>
      </c>
      <c r="AK167" s="159">
        <f t="shared" si="104"/>
        <v>29562.923829982243</v>
      </c>
      <c r="AL167" s="159">
        <f t="shared" si="105"/>
        <v>29759.944050538175</v>
      </c>
      <c r="AM167" s="159">
        <f t="shared" si="106"/>
        <v>29988.652527901915</v>
      </c>
      <c r="AN167" s="159">
        <f t="shared" si="107"/>
        <v>30224.021517625406</v>
      </c>
    </row>
    <row r="168" spans="1:40" x14ac:dyDescent="0.35">
      <c r="A168" s="46">
        <v>417</v>
      </c>
      <c r="B168" s="240" t="s">
        <v>177</v>
      </c>
      <c r="C168" s="364">
        <v>8.9722222222222197</v>
      </c>
      <c r="D168" s="365">
        <v>1.4490229898936972E-4</v>
      </c>
      <c r="E168" s="191">
        <v>0.97099999999999997</v>
      </c>
      <c r="F168" s="191">
        <v>0.94399999999999995</v>
      </c>
      <c r="G168" s="191">
        <v>0.81599999999999995</v>
      </c>
      <c r="H168" s="191">
        <v>0.64600000000000002</v>
      </c>
      <c r="I168" s="191">
        <v>0.59099999999999997</v>
      </c>
      <c r="J168" s="191">
        <v>0.39200000000000002</v>
      </c>
      <c r="K168" s="361">
        <v>1.4070013231867799E-4</v>
      </c>
      <c r="L168" s="362">
        <v>1.3678777024596502E-4</v>
      </c>
      <c r="M168" s="362">
        <v>1.1824027597532569E-4</v>
      </c>
      <c r="N168" s="362">
        <v>9.3606885147132847E-5</v>
      </c>
      <c r="O168" s="362">
        <v>8.5637258702717499E-5</v>
      </c>
      <c r="P168" s="363">
        <v>5.6801701203832934E-5</v>
      </c>
      <c r="Q168" s="273">
        <v>12.923611111111116</v>
      </c>
      <c r="R168" s="273">
        <v>12.6736111111111</v>
      </c>
      <c r="S168" s="273">
        <v>11.738657763168002</v>
      </c>
      <c r="T168" s="273">
        <v>10.757736346039124</v>
      </c>
      <c r="U168" s="273">
        <v>10.110901867926412</v>
      </c>
      <c r="V168" s="273">
        <f t="shared" si="90"/>
        <v>8.7120277777777755</v>
      </c>
      <c r="W168" s="273">
        <f t="shared" si="91"/>
        <v>8.4697777777777752</v>
      </c>
      <c r="X168" s="273">
        <f t="shared" si="92"/>
        <v>7.3213333333333308</v>
      </c>
      <c r="Y168" s="273">
        <f t="shared" si="93"/>
        <v>5.7960555555555544</v>
      </c>
      <c r="Z168" s="273">
        <f t="shared" si="94"/>
        <v>5.3025833333333319</v>
      </c>
      <c r="AA168" s="273">
        <f t="shared" si="95"/>
        <v>3.5171111111111104</v>
      </c>
      <c r="AB168" s="100">
        <v>417</v>
      </c>
      <c r="AC168" s="101" t="s">
        <v>177</v>
      </c>
      <c r="AD168" s="159"/>
      <c r="AE168" s="159"/>
      <c r="AF168" s="164"/>
      <c r="AG168" s="164"/>
      <c r="AH168" s="164"/>
      <c r="AI168" s="159">
        <f t="shared" si="96"/>
        <v>264871.44647882058</v>
      </c>
      <c r="AJ168" s="159">
        <f t="shared" si="103"/>
        <v>260394.24542748</v>
      </c>
      <c r="AK168" s="159">
        <f t="shared" si="104"/>
        <v>229522.82043185923</v>
      </c>
      <c r="AL168" s="159">
        <f t="shared" si="105"/>
        <v>186677.80199907388</v>
      </c>
      <c r="AM168" s="159">
        <f t="shared" si="106"/>
        <v>175904.12509245262</v>
      </c>
      <c r="AN168" s="159">
        <f t="shared" si="107"/>
        <v>120386.45742027361</v>
      </c>
    </row>
    <row r="169" spans="1:40" x14ac:dyDescent="0.35">
      <c r="A169" s="46">
        <v>80</v>
      </c>
      <c r="B169" s="240" t="s">
        <v>178</v>
      </c>
      <c r="C169" s="364">
        <v>443.07638888888903</v>
      </c>
      <c r="D169" s="365">
        <v>7.1557286241631275E-3</v>
      </c>
      <c r="E169" s="191">
        <v>0.95299999999999996</v>
      </c>
      <c r="F169" s="191">
        <v>0.90900000000000003</v>
      </c>
      <c r="G169" s="191">
        <v>0.86799999999999999</v>
      </c>
      <c r="H169" s="191">
        <v>0.80900000000000005</v>
      </c>
      <c r="I169" s="191">
        <v>0.751</v>
      </c>
      <c r="J169" s="191">
        <v>0.70199999999999996</v>
      </c>
      <c r="K169" s="361">
        <v>6.8194093788274601E-3</v>
      </c>
      <c r="L169" s="362">
        <v>6.5045573193642835E-3</v>
      </c>
      <c r="M169" s="362">
        <v>6.2111724457735943E-3</v>
      </c>
      <c r="N169" s="362">
        <v>5.7889844569479704E-3</v>
      </c>
      <c r="O169" s="362">
        <v>5.3739521967465084E-3</v>
      </c>
      <c r="P169" s="363">
        <v>5.0233214941625155E-3</v>
      </c>
      <c r="Q169" s="273">
        <v>541.39849770900287</v>
      </c>
      <c r="R169" s="273">
        <v>535.10741804949271</v>
      </c>
      <c r="S169" s="273">
        <v>490.8244956078284</v>
      </c>
      <c r="T169" s="273">
        <v>468.80561111365921</v>
      </c>
      <c r="U169" s="273">
        <v>444.74568812045567</v>
      </c>
      <c r="V169" s="273">
        <f t="shared" si="90"/>
        <v>422.25179861111121</v>
      </c>
      <c r="W169" s="273">
        <f t="shared" si="91"/>
        <v>402.75643750000012</v>
      </c>
      <c r="X169" s="273">
        <f t="shared" si="92"/>
        <v>384.59030555555569</v>
      </c>
      <c r="Y169" s="273">
        <f t="shared" si="93"/>
        <v>358.44879861111127</v>
      </c>
      <c r="Z169" s="273">
        <f t="shared" si="94"/>
        <v>332.75036805555567</v>
      </c>
      <c r="AA169" s="273">
        <f t="shared" si="95"/>
        <v>311.03962500000006</v>
      </c>
      <c r="AB169" s="100">
        <v>80</v>
      </c>
      <c r="AC169" s="101" t="s">
        <v>178</v>
      </c>
      <c r="AD169" s="159"/>
      <c r="AE169" s="159"/>
      <c r="AF169" s="164"/>
      <c r="AG169" s="164"/>
      <c r="AH169" s="164"/>
      <c r="AI169" s="159">
        <f t="shared" si="96"/>
        <v>12837705.242594732</v>
      </c>
      <c r="AJ169" s="159">
        <f t="shared" si="103"/>
        <v>12382315.260860223</v>
      </c>
      <c r="AK169" s="159">
        <f t="shared" si="104"/>
        <v>12056854.622363191</v>
      </c>
      <c r="AL169" s="159">
        <f t="shared" si="105"/>
        <v>11544822.71823517</v>
      </c>
      <c r="AM169" s="159">
        <f t="shared" si="106"/>
        <v>11038423.856360102</v>
      </c>
      <c r="AN169" s="159">
        <f t="shared" si="107"/>
        <v>10646509.987354631</v>
      </c>
    </row>
    <row r="170" spans="1:40" x14ac:dyDescent="0.35">
      <c r="A170" s="46">
        <v>546</v>
      </c>
      <c r="B170" s="240" t="s">
        <v>179</v>
      </c>
      <c r="C170" s="364">
        <v>661.57638888889005</v>
      </c>
      <c r="D170" s="365">
        <v>1.0684525787786619E-2</v>
      </c>
      <c r="E170" s="191">
        <v>0.94899999999999995</v>
      </c>
      <c r="F170" s="191">
        <v>0.89800000000000002</v>
      </c>
      <c r="G170" s="191">
        <v>0.85</v>
      </c>
      <c r="H170" s="191">
        <v>0.80200000000000005</v>
      </c>
      <c r="I170" s="191">
        <v>0.751</v>
      </c>
      <c r="J170" s="191">
        <v>0.70099999999999996</v>
      </c>
      <c r="K170" s="361">
        <v>1.0139614972609502E-2</v>
      </c>
      <c r="L170" s="362">
        <v>9.5947041574323839E-3</v>
      </c>
      <c r="M170" s="362">
        <v>9.0818469196186254E-3</v>
      </c>
      <c r="N170" s="362">
        <v>8.5689896818048686E-3</v>
      </c>
      <c r="O170" s="362">
        <v>8.0240788666277509E-3</v>
      </c>
      <c r="P170" s="363">
        <v>7.4898525772384194E-3</v>
      </c>
      <c r="Q170" s="273">
        <v>857.3915322191782</v>
      </c>
      <c r="R170" s="273">
        <v>814.31645759512662</v>
      </c>
      <c r="S170" s="273">
        <v>766.41435576528181</v>
      </c>
      <c r="T170" s="273">
        <v>712.92598819242721</v>
      </c>
      <c r="U170" s="273">
        <v>665.35245163996251</v>
      </c>
      <c r="V170" s="273">
        <f t="shared" si="90"/>
        <v>627.83599305555663</v>
      </c>
      <c r="W170" s="273">
        <f t="shared" si="91"/>
        <v>594.09559722222332</v>
      </c>
      <c r="X170" s="273">
        <f t="shared" si="92"/>
        <v>562.33993055555652</v>
      </c>
      <c r="Y170" s="273">
        <f t="shared" si="93"/>
        <v>530.58426388888984</v>
      </c>
      <c r="Z170" s="273">
        <f t="shared" si="94"/>
        <v>496.84386805555641</v>
      </c>
      <c r="AA170" s="273">
        <f t="shared" si="95"/>
        <v>463.76504861111192</v>
      </c>
      <c r="AB170" s="100">
        <v>546</v>
      </c>
      <c r="AC170" s="101" t="s">
        <v>179</v>
      </c>
      <c r="AD170" s="159"/>
      <c r="AE170" s="159"/>
      <c r="AF170" s="164"/>
      <c r="AG170" s="164"/>
      <c r="AH170" s="164"/>
      <c r="AI170" s="159">
        <f t="shared" si="96"/>
        <v>19088073.623487692</v>
      </c>
      <c r="AJ170" s="159">
        <f t="shared" si="103"/>
        <v>18264832.774757579</v>
      </c>
      <c r="AK170" s="159">
        <f t="shared" si="104"/>
        <v>17629281.583850924</v>
      </c>
      <c r="AL170" s="159">
        <f t="shared" si="105"/>
        <v>17088915.592456002</v>
      </c>
      <c r="AM170" s="159">
        <f t="shared" si="106"/>
        <v>16481944.82271773</v>
      </c>
      <c r="AN170" s="159">
        <f t="shared" si="107"/>
        <v>15874116.430741606</v>
      </c>
    </row>
    <row r="171" spans="1:40" x14ac:dyDescent="0.35">
      <c r="A171" s="46">
        <v>1916</v>
      </c>
      <c r="B171" s="240" t="s">
        <v>181</v>
      </c>
      <c r="C171" s="364">
        <v>89.2447916666667</v>
      </c>
      <c r="D171" s="365">
        <v>1.4413124379931415E-3</v>
      </c>
      <c r="E171" s="191">
        <v>0.89900000000000002</v>
      </c>
      <c r="F171" s="191">
        <v>0.872</v>
      </c>
      <c r="G171" s="191">
        <v>0.80100000000000005</v>
      </c>
      <c r="H171" s="191">
        <v>0.747</v>
      </c>
      <c r="I171" s="191">
        <v>0.72299999999999998</v>
      </c>
      <c r="J171" s="191">
        <v>0.63800000000000001</v>
      </c>
      <c r="K171" s="361">
        <v>1.2957398817558341E-3</v>
      </c>
      <c r="L171" s="362">
        <v>1.2568244459300194E-3</v>
      </c>
      <c r="M171" s="362">
        <v>1.1544912628325063E-3</v>
      </c>
      <c r="N171" s="362">
        <v>1.0766603911808767E-3</v>
      </c>
      <c r="O171" s="362">
        <v>1.0420688926690413E-3</v>
      </c>
      <c r="P171" s="363">
        <v>9.1955733543962431E-4</v>
      </c>
      <c r="Q171" s="273">
        <v>113.4746336241957</v>
      </c>
      <c r="R171" s="273">
        <v>110.3963916267563</v>
      </c>
      <c r="S171" s="273">
        <v>103.63860303739891</v>
      </c>
      <c r="T171" s="273">
        <v>95.644038148410502</v>
      </c>
      <c r="U171" s="273">
        <v>91.899327406232032</v>
      </c>
      <c r="V171" s="273">
        <f t="shared" si="90"/>
        <v>80.23106770833337</v>
      </c>
      <c r="W171" s="273">
        <f t="shared" si="91"/>
        <v>77.821458333333368</v>
      </c>
      <c r="X171" s="273">
        <f t="shared" si="92"/>
        <v>71.48507812500003</v>
      </c>
      <c r="Y171" s="273">
        <f t="shared" si="93"/>
        <v>66.665859375000025</v>
      </c>
      <c r="Z171" s="273">
        <f t="shared" si="94"/>
        <v>64.523984375000026</v>
      </c>
      <c r="AA171" s="273">
        <f t="shared" si="95"/>
        <v>56.938177083333358</v>
      </c>
      <c r="AB171" s="100">
        <v>1916</v>
      </c>
      <c r="AC171" s="101" t="s">
        <v>181</v>
      </c>
      <c r="AD171" s="159"/>
      <c r="AE171" s="159"/>
      <c r="AF171" s="164"/>
      <c r="AG171" s="164"/>
      <c r="AH171" s="164"/>
      <c r="AI171" s="159">
        <f t="shared" si="96"/>
        <v>2439262.0752027771</v>
      </c>
      <c r="AJ171" s="159">
        <f t="shared" si="103"/>
        <v>2392537.378482576</v>
      </c>
      <c r="AK171" s="159">
        <f t="shared" si="104"/>
        <v>2241047.6347716921</v>
      </c>
      <c r="AL171" s="159">
        <f t="shared" si="105"/>
        <v>2147156.1093950723</v>
      </c>
      <c r="AM171" s="159">
        <f t="shared" si="106"/>
        <v>2140472.7291345666</v>
      </c>
      <c r="AN171" s="159">
        <f t="shared" si="107"/>
        <v>1948924.9029909775</v>
      </c>
    </row>
    <row r="172" spans="1:40" x14ac:dyDescent="0.35">
      <c r="A172" s="46">
        <v>995</v>
      </c>
      <c r="B172" s="240" t="s">
        <v>182</v>
      </c>
      <c r="C172" s="364">
        <v>215.517361111111</v>
      </c>
      <c r="D172" s="365">
        <v>3.4806272430229052E-3</v>
      </c>
      <c r="E172" s="191">
        <v>0.96299999999999997</v>
      </c>
      <c r="F172" s="191">
        <v>0.92700000000000005</v>
      </c>
      <c r="G172" s="191">
        <v>0.88300000000000001</v>
      </c>
      <c r="H172" s="191">
        <v>0.81499999999999995</v>
      </c>
      <c r="I172" s="191">
        <v>0.75700000000000001</v>
      </c>
      <c r="J172" s="191">
        <v>0.70499999999999996</v>
      </c>
      <c r="K172" s="361">
        <v>3.3518440350310576E-3</v>
      </c>
      <c r="L172" s="362">
        <v>3.2265414542822332E-3</v>
      </c>
      <c r="M172" s="362">
        <v>3.0733938555892251E-3</v>
      </c>
      <c r="N172" s="362">
        <v>2.8367112030636675E-3</v>
      </c>
      <c r="O172" s="362">
        <v>2.6348348229683393E-3</v>
      </c>
      <c r="P172" s="363">
        <v>2.4538422063311478E-3</v>
      </c>
      <c r="Q172" s="273">
        <v>276.60439261739123</v>
      </c>
      <c r="R172" s="273">
        <v>264.74383627160046</v>
      </c>
      <c r="S172" s="273">
        <v>250.50794584897352</v>
      </c>
      <c r="T172" s="273">
        <v>236.97367552156817</v>
      </c>
      <c r="U172" s="273">
        <v>220.2023233531126</v>
      </c>
      <c r="V172" s="273">
        <f t="shared" si="90"/>
        <v>207.54321874999988</v>
      </c>
      <c r="W172" s="273">
        <f t="shared" si="91"/>
        <v>199.78459374999991</v>
      </c>
      <c r="X172" s="273">
        <f t="shared" si="92"/>
        <v>190.301829861111</v>
      </c>
      <c r="Y172" s="273">
        <f t="shared" si="93"/>
        <v>175.64664930555546</v>
      </c>
      <c r="Z172" s="273">
        <f t="shared" si="94"/>
        <v>163.14664236111102</v>
      </c>
      <c r="AA172" s="273">
        <f t="shared" si="95"/>
        <v>151.93973958333325</v>
      </c>
      <c r="AB172" s="100">
        <v>995</v>
      </c>
      <c r="AC172" s="101" t="s">
        <v>182</v>
      </c>
      <c r="AD172" s="159"/>
      <c r="AE172" s="159"/>
      <c r="AF172" s="164"/>
      <c r="AG172" s="164"/>
      <c r="AH172" s="164"/>
      <c r="AI172" s="159">
        <f t="shared" si="96"/>
        <v>6309928.5217390377</v>
      </c>
      <c r="AJ172" s="159">
        <f t="shared" si="103"/>
        <v>6142163.3368067108</v>
      </c>
      <c r="AK172" s="159">
        <f t="shared" si="104"/>
        <v>5965936.9044435471</v>
      </c>
      <c r="AL172" s="159">
        <f t="shared" si="105"/>
        <v>5657180.1471837992</v>
      </c>
      <c r="AM172" s="159">
        <f t="shared" si="106"/>
        <v>5412110.5850234972</v>
      </c>
      <c r="AN172" s="159">
        <f t="shared" si="107"/>
        <v>5200713.4298403906</v>
      </c>
    </row>
    <row r="173" spans="1:40" x14ac:dyDescent="0.35">
      <c r="A173" s="46">
        <v>1640</v>
      </c>
      <c r="B173" s="240" t="s">
        <v>183</v>
      </c>
      <c r="C173" s="364">
        <v>99.502314814814795</v>
      </c>
      <c r="D173" s="365">
        <v>1.6069724773111603E-3</v>
      </c>
      <c r="E173" s="191">
        <v>0.94399999999999995</v>
      </c>
      <c r="F173" s="191">
        <v>0.90300000000000002</v>
      </c>
      <c r="G173" s="191">
        <v>0.86</v>
      </c>
      <c r="H173" s="191">
        <v>0.79900000000000004</v>
      </c>
      <c r="I173" s="191">
        <v>0.73399999999999999</v>
      </c>
      <c r="J173" s="191">
        <v>0.67600000000000005</v>
      </c>
      <c r="K173" s="361">
        <v>1.5169820185817354E-3</v>
      </c>
      <c r="L173" s="362">
        <v>1.4510961470119779E-3</v>
      </c>
      <c r="M173" s="362">
        <v>1.3819963304875979E-3</v>
      </c>
      <c r="N173" s="362">
        <v>1.2839710093716173E-3</v>
      </c>
      <c r="O173" s="362">
        <v>1.1795177983463918E-3</v>
      </c>
      <c r="P173" s="363">
        <v>1.0863133946623445E-3</v>
      </c>
      <c r="Q173" s="273">
        <v>127.69788944482271</v>
      </c>
      <c r="R173" s="273">
        <v>119.28532545602457</v>
      </c>
      <c r="S173" s="273">
        <v>110.4732705381053</v>
      </c>
      <c r="T173" s="273">
        <v>100.65304010560921</v>
      </c>
      <c r="U173" s="273">
        <v>99.211260090998309</v>
      </c>
      <c r="V173" s="273">
        <f t="shared" si="90"/>
        <v>93.930185185185167</v>
      </c>
      <c r="W173" s="273">
        <f t="shared" si="91"/>
        <v>89.850590277777769</v>
      </c>
      <c r="X173" s="273">
        <f t="shared" si="92"/>
        <v>85.571990740740716</v>
      </c>
      <c r="Y173" s="273">
        <f t="shared" si="93"/>
        <v>79.50234953703702</v>
      </c>
      <c r="Z173" s="273">
        <f t="shared" si="94"/>
        <v>73.034699074074055</v>
      </c>
      <c r="AA173" s="273">
        <f t="shared" si="95"/>
        <v>67.263564814814799</v>
      </c>
      <c r="AB173" s="100">
        <v>1640</v>
      </c>
      <c r="AC173" s="101" t="s">
        <v>183</v>
      </c>
      <c r="AD173" s="159"/>
      <c r="AE173" s="159"/>
      <c r="AF173" s="164"/>
      <c r="AG173" s="164"/>
      <c r="AH173" s="164"/>
      <c r="AI173" s="159">
        <f t="shared" si="96"/>
        <v>2855755.8185804603</v>
      </c>
      <c r="AJ173" s="159">
        <f t="shared" si="103"/>
        <v>2762360.1551839295</v>
      </c>
      <c r="AK173" s="159">
        <f t="shared" si="104"/>
        <v>2682670.46049678</v>
      </c>
      <c r="AL173" s="159">
        <f t="shared" si="105"/>
        <v>2560590.3399443198</v>
      </c>
      <c r="AM173" s="159">
        <f t="shared" si="106"/>
        <v>2422801.1205888125</v>
      </c>
      <c r="AN173" s="159">
        <f t="shared" si="107"/>
        <v>2302350.4307079883</v>
      </c>
    </row>
    <row r="174" spans="1:40" x14ac:dyDescent="0.35">
      <c r="A174" s="46">
        <v>327</v>
      </c>
      <c r="B174" s="240" t="s">
        <v>184</v>
      </c>
      <c r="C174" s="364">
        <v>49.532407407407398</v>
      </c>
      <c r="D174" s="365">
        <v>7.9995340396659786E-4</v>
      </c>
      <c r="E174" s="191">
        <v>0.95599999999999996</v>
      </c>
      <c r="F174" s="191">
        <v>0.86599999999999999</v>
      </c>
      <c r="G174" s="191">
        <v>0.84499999999999997</v>
      </c>
      <c r="H174" s="191">
        <v>0.79300000000000004</v>
      </c>
      <c r="I174" s="191">
        <v>0.75600000000000001</v>
      </c>
      <c r="J174" s="191">
        <v>0.70699999999999996</v>
      </c>
      <c r="K174" s="361">
        <v>7.6475545419206752E-4</v>
      </c>
      <c r="L174" s="362">
        <v>6.9275964783507371E-4</v>
      </c>
      <c r="M174" s="362">
        <v>6.7596062635177521E-4</v>
      </c>
      <c r="N174" s="362">
        <v>6.3436304934551214E-4</v>
      </c>
      <c r="O174" s="362">
        <v>6.0476477339874797E-4</v>
      </c>
      <c r="P174" s="363">
        <v>5.655670566043847E-4</v>
      </c>
      <c r="Q174" s="273">
        <v>66.708333333333286</v>
      </c>
      <c r="R174" s="273">
        <v>64.092592592592595</v>
      </c>
      <c r="S174" s="273">
        <v>55.749573837817131</v>
      </c>
      <c r="T174" s="273">
        <v>54.168471725248416</v>
      </c>
      <c r="U174" s="273">
        <v>48.802736775411013</v>
      </c>
      <c r="V174" s="273">
        <f t="shared" si="90"/>
        <v>47.352981481481471</v>
      </c>
      <c r="W174" s="273">
        <f t="shared" si="91"/>
        <v>42.895064814814809</v>
      </c>
      <c r="X174" s="273">
        <f t="shared" si="92"/>
        <v>41.854884259259251</v>
      </c>
      <c r="Y174" s="273">
        <f t="shared" si="93"/>
        <v>39.279199074074072</v>
      </c>
      <c r="Z174" s="273">
        <f t="shared" si="94"/>
        <v>37.446499999999993</v>
      </c>
      <c r="AA174" s="273">
        <f t="shared" si="95"/>
        <v>35.019412037037029</v>
      </c>
      <c r="AB174" s="100">
        <v>327</v>
      </c>
      <c r="AC174" s="101" t="s">
        <v>184</v>
      </c>
      <c r="AD174" s="159"/>
      <c r="AE174" s="159"/>
      <c r="AF174" s="164"/>
      <c r="AG174" s="164"/>
      <c r="AH174" s="164"/>
      <c r="AI174" s="159">
        <f t="shared" si="96"/>
        <v>1439670.8803061317</v>
      </c>
      <c r="AJ174" s="159">
        <f t="shared" si="103"/>
        <v>1318762.8209470138</v>
      </c>
      <c r="AK174" s="159">
        <f t="shared" si="104"/>
        <v>1312145.0214943839</v>
      </c>
      <c r="AL174" s="159">
        <f t="shared" si="105"/>
        <v>1265093.9034571378</v>
      </c>
      <c r="AM174" s="159">
        <f t="shared" si="106"/>
        <v>1242223.5363784058</v>
      </c>
      <c r="AN174" s="159">
        <f t="shared" si="107"/>
        <v>1198672.098462058</v>
      </c>
    </row>
    <row r="175" spans="1:40" x14ac:dyDescent="0.35">
      <c r="A175" s="46">
        <v>1705</v>
      </c>
      <c r="B175" s="240" t="s">
        <v>185</v>
      </c>
      <c r="C175" s="364">
        <v>132.836805555556</v>
      </c>
      <c r="D175" s="365">
        <v>2.1453278840697899E-3</v>
      </c>
      <c r="E175" s="191">
        <v>0.94199999999999995</v>
      </c>
      <c r="F175" s="191">
        <v>0.86399999999999999</v>
      </c>
      <c r="G175" s="191">
        <v>0.82599999999999996</v>
      </c>
      <c r="H175" s="191">
        <v>0.77900000000000003</v>
      </c>
      <c r="I175" s="191">
        <v>0.71799999999999997</v>
      </c>
      <c r="J175" s="191">
        <v>0.66700000000000004</v>
      </c>
      <c r="K175" s="361">
        <v>2.020898866793742E-3</v>
      </c>
      <c r="L175" s="362">
        <v>1.8535632918362983E-3</v>
      </c>
      <c r="M175" s="362">
        <v>1.7720408322416464E-3</v>
      </c>
      <c r="N175" s="362">
        <v>1.6712104216903664E-3</v>
      </c>
      <c r="O175" s="362">
        <v>1.540345420762109E-3</v>
      </c>
      <c r="P175" s="363">
        <v>1.43093369867455E-3</v>
      </c>
      <c r="Q175" s="273">
        <v>188.8336657306007</v>
      </c>
      <c r="R175" s="273">
        <v>177.80939351502039</v>
      </c>
      <c r="S175" s="273">
        <v>162.64081159583989</v>
      </c>
      <c r="T175" s="273">
        <v>149.25438908031677</v>
      </c>
      <c r="U175" s="273">
        <v>135.86864209272923</v>
      </c>
      <c r="V175" s="273">
        <f t="shared" si="90"/>
        <v>125.13227083333375</v>
      </c>
      <c r="W175" s="273">
        <f t="shared" si="91"/>
        <v>114.77100000000038</v>
      </c>
      <c r="X175" s="273">
        <f t="shared" si="92"/>
        <v>109.72320138888925</v>
      </c>
      <c r="Y175" s="273">
        <f t="shared" si="93"/>
        <v>103.47987152777813</v>
      </c>
      <c r="Z175" s="273">
        <f t="shared" si="94"/>
        <v>95.376826388889199</v>
      </c>
      <c r="AA175" s="273">
        <f t="shared" si="95"/>
        <v>88.602149305555855</v>
      </c>
      <c r="AB175" s="100">
        <v>1705</v>
      </c>
      <c r="AC175" s="101" t="s">
        <v>185</v>
      </c>
      <c r="AD175" s="159"/>
      <c r="AE175" s="159"/>
      <c r="AF175" s="164"/>
      <c r="AG175" s="164"/>
      <c r="AH175" s="164"/>
      <c r="AI175" s="159">
        <f t="shared" si="96"/>
        <v>3804391.632146386</v>
      </c>
      <c r="AJ175" s="159">
        <f t="shared" si="103"/>
        <v>3528511.4587502852</v>
      </c>
      <c r="AK175" s="159">
        <f t="shared" si="104"/>
        <v>3439807.6829708745</v>
      </c>
      <c r="AL175" s="159">
        <f t="shared" si="105"/>
        <v>3332851.9340081769</v>
      </c>
      <c r="AM175" s="159">
        <f t="shared" si="106"/>
        <v>3163962.9488832126</v>
      </c>
      <c r="AN175" s="159">
        <f t="shared" si="107"/>
        <v>3032744.356873136</v>
      </c>
    </row>
    <row r="176" spans="1:40" x14ac:dyDescent="0.35">
      <c r="A176" s="46">
        <v>553</v>
      </c>
      <c r="B176" s="240" t="s">
        <v>186</v>
      </c>
      <c r="C176" s="364">
        <v>57.081018518518498</v>
      </c>
      <c r="D176" s="365">
        <v>9.2186423910703495E-4</v>
      </c>
      <c r="E176" s="191">
        <v>0.95799999999999996</v>
      </c>
      <c r="F176" s="191">
        <v>0.89100000000000001</v>
      </c>
      <c r="G176" s="191">
        <v>0.83299999999999996</v>
      </c>
      <c r="H176" s="191">
        <v>0.8</v>
      </c>
      <c r="I176" s="191">
        <v>0.73699999999999999</v>
      </c>
      <c r="J176" s="191">
        <v>0.69799999999999995</v>
      </c>
      <c r="K176" s="361">
        <v>8.8314594106453945E-4</v>
      </c>
      <c r="L176" s="362">
        <v>8.2138103704436816E-4</v>
      </c>
      <c r="M176" s="362">
        <v>7.6791291117616007E-4</v>
      </c>
      <c r="N176" s="362">
        <v>7.3749139128562798E-4</v>
      </c>
      <c r="O176" s="362">
        <v>6.7941394422188473E-4</v>
      </c>
      <c r="P176" s="363">
        <v>6.4346123889671037E-4</v>
      </c>
      <c r="Q176" s="273">
        <v>68.888888888888843</v>
      </c>
      <c r="R176" s="273">
        <v>68.557870370370296</v>
      </c>
      <c r="S176" s="273">
        <v>64.662551168820485</v>
      </c>
      <c r="T176" s="273">
        <v>60.415001443909638</v>
      </c>
      <c r="U176" s="273">
        <v>55.580041466893746</v>
      </c>
      <c r="V176" s="273">
        <f t="shared" si="90"/>
        <v>54.68361574074072</v>
      </c>
      <c r="W176" s="273">
        <f t="shared" si="91"/>
        <v>50.859187499999983</v>
      </c>
      <c r="X176" s="273">
        <f t="shared" si="92"/>
        <v>47.548488425925903</v>
      </c>
      <c r="Y176" s="273">
        <f t="shared" si="93"/>
        <v>45.664814814814804</v>
      </c>
      <c r="Z176" s="273">
        <f t="shared" si="94"/>
        <v>42.068710648148134</v>
      </c>
      <c r="AA176" s="273">
        <f t="shared" si="95"/>
        <v>39.842550925925906</v>
      </c>
      <c r="AB176" s="100">
        <v>553</v>
      </c>
      <c r="AC176" s="101" t="s">
        <v>186</v>
      </c>
      <c r="AD176" s="159"/>
      <c r="AE176" s="159"/>
      <c r="AF176" s="164"/>
      <c r="AG176" s="164"/>
      <c r="AH176" s="164"/>
      <c r="AI176" s="159">
        <f t="shared" si="96"/>
        <v>1662543.8726087881</v>
      </c>
      <c r="AJ176" s="159">
        <f t="shared" si="103"/>
        <v>1563611.2421820723</v>
      </c>
      <c r="AK176" s="159">
        <f t="shared" si="104"/>
        <v>1490638.7503355672</v>
      </c>
      <c r="AL176" s="159">
        <f t="shared" si="105"/>
        <v>1470760.101695969</v>
      </c>
      <c r="AM176" s="159">
        <f t="shared" si="106"/>
        <v>1395557.4623054888</v>
      </c>
      <c r="AN176" s="159">
        <f t="shared" si="107"/>
        <v>1363762.3063445874</v>
      </c>
    </row>
    <row r="177" spans="1:1030" x14ac:dyDescent="0.35">
      <c r="A177" s="46">
        <v>262</v>
      </c>
      <c r="B177" s="240" t="s">
        <v>187</v>
      </c>
      <c r="C177" s="364">
        <v>83.9166666666667</v>
      </c>
      <c r="D177" s="365">
        <v>1.3552626787829295E-3</v>
      </c>
      <c r="E177" s="191">
        <v>0.96899999999999997</v>
      </c>
      <c r="F177" s="191">
        <v>0.94499999999999995</v>
      </c>
      <c r="G177" s="191">
        <v>0.90500000000000003</v>
      </c>
      <c r="H177" s="191">
        <v>0.84699999999999998</v>
      </c>
      <c r="I177" s="191">
        <v>0.79500000000000004</v>
      </c>
      <c r="J177" s="191">
        <v>0.76</v>
      </c>
      <c r="K177" s="361">
        <v>1.3132495357406587E-3</v>
      </c>
      <c r="L177" s="362">
        <v>1.2807232314498683E-3</v>
      </c>
      <c r="M177" s="362">
        <v>1.2265127242985512E-3</v>
      </c>
      <c r="N177" s="362">
        <v>1.1479074889291412E-3</v>
      </c>
      <c r="O177" s="362">
        <v>1.077433829632429E-3</v>
      </c>
      <c r="P177" s="363">
        <v>1.0299996358750264E-3</v>
      </c>
      <c r="Q177" s="273">
        <v>100.57587910786646</v>
      </c>
      <c r="R177" s="273">
        <v>98.078703703703695</v>
      </c>
      <c r="S177" s="273">
        <v>94.254338329066911</v>
      </c>
      <c r="T177" s="273">
        <v>87.908362589437104</v>
      </c>
      <c r="U177" s="273">
        <v>85.039653060472446</v>
      </c>
      <c r="V177" s="273">
        <f t="shared" si="90"/>
        <v>81.315250000000034</v>
      </c>
      <c r="W177" s="273">
        <f t="shared" si="91"/>
        <v>79.301250000000024</v>
      </c>
      <c r="X177" s="273">
        <f t="shared" si="92"/>
        <v>75.94458333333337</v>
      </c>
      <c r="Y177" s="273">
        <f t="shared" si="93"/>
        <v>71.077416666666693</v>
      </c>
      <c r="Z177" s="273">
        <f t="shared" si="94"/>
        <v>66.713750000000033</v>
      </c>
      <c r="AA177" s="273">
        <f t="shared" si="95"/>
        <v>63.776666666666692</v>
      </c>
      <c r="AB177" s="100">
        <v>262</v>
      </c>
      <c r="AC177" s="101" t="s">
        <v>187</v>
      </c>
      <c r="AD177" s="159"/>
      <c r="AE177" s="159"/>
      <c r="AF177" s="164"/>
      <c r="AG177" s="164"/>
      <c r="AH177" s="164"/>
      <c r="AI177" s="159">
        <f t="shared" si="96"/>
        <v>2472224.4278450594</v>
      </c>
      <c r="AJ177" s="159">
        <f t="shared" si="103"/>
        <v>2438031.9882045132</v>
      </c>
      <c r="AK177" s="159">
        <f t="shared" si="104"/>
        <v>2380852.5263871402</v>
      </c>
      <c r="AL177" s="159">
        <f t="shared" si="105"/>
        <v>2289242.3628320242</v>
      </c>
      <c r="AM177" s="159">
        <f t="shared" si="106"/>
        <v>2213114.4552912801</v>
      </c>
      <c r="AN177" s="159">
        <f t="shared" si="107"/>
        <v>2182998.1264504609</v>
      </c>
    </row>
    <row r="178" spans="1:1030" x14ac:dyDescent="0.35">
      <c r="A178" s="46">
        <v>809</v>
      </c>
      <c r="B178" s="240" t="s">
        <v>188</v>
      </c>
      <c r="C178" s="364">
        <v>99.287615740740705</v>
      </c>
      <c r="D178" s="365">
        <v>1.6035050654867886E-3</v>
      </c>
      <c r="E178" s="191">
        <v>0.96599999999999997</v>
      </c>
      <c r="F178" s="191">
        <v>0.91300000000000003</v>
      </c>
      <c r="G178" s="191">
        <v>0.85799999999999998</v>
      </c>
      <c r="H178" s="191">
        <v>0.80500000000000005</v>
      </c>
      <c r="I178" s="191">
        <v>0.77600000000000002</v>
      </c>
      <c r="J178" s="191">
        <v>0.72399999999999998</v>
      </c>
      <c r="K178" s="361">
        <v>1.5489858932602378E-3</v>
      </c>
      <c r="L178" s="362">
        <v>1.4640001247894381E-3</v>
      </c>
      <c r="M178" s="362">
        <v>1.3758073461876646E-3</v>
      </c>
      <c r="N178" s="362">
        <v>1.290821577716865E-3</v>
      </c>
      <c r="O178" s="362">
        <v>1.244319930817748E-3</v>
      </c>
      <c r="P178" s="363">
        <v>1.1609376674124349E-3</v>
      </c>
      <c r="Q178" s="273">
        <v>121.8710157449687</v>
      </c>
      <c r="R178" s="273">
        <v>118.36448999856847</v>
      </c>
      <c r="S178" s="273">
        <v>113.86974444819482</v>
      </c>
      <c r="T178" s="273">
        <v>107.01213105080122</v>
      </c>
      <c r="U178" s="273">
        <v>99.86329046433697</v>
      </c>
      <c r="V178" s="273">
        <f t="shared" si="90"/>
        <v>95.911836805555524</v>
      </c>
      <c r="W178" s="273">
        <f t="shared" si="91"/>
        <v>90.64959317129626</v>
      </c>
      <c r="X178" s="273">
        <f t="shared" si="92"/>
        <v>85.188774305555526</v>
      </c>
      <c r="Y178" s="273">
        <f t="shared" si="93"/>
        <v>79.926530671296277</v>
      </c>
      <c r="Z178" s="273">
        <f t="shared" si="94"/>
        <v>77.047189814814786</v>
      </c>
      <c r="AA178" s="273">
        <f t="shared" si="95"/>
        <v>71.884233796296272</v>
      </c>
      <c r="AB178" s="100">
        <v>809</v>
      </c>
      <c r="AC178" s="101" t="s">
        <v>188</v>
      </c>
      <c r="AD178" s="159"/>
      <c r="AE178" s="159"/>
      <c r="AF178" s="164"/>
      <c r="AG178" s="164"/>
      <c r="AH178" s="164"/>
      <c r="AI178" s="159">
        <f t="shared" si="96"/>
        <v>2916003.8968112762</v>
      </c>
      <c r="AJ178" s="159">
        <f t="shared" si="103"/>
        <v>2786924.6432981277</v>
      </c>
      <c r="AK178" s="159">
        <f t="shared" si="104"/>
        <v>2670656.676526709</v>
      </c>
      <c r="AL178" s="159">
        <f t="shared" si="105"/>
        <v>2574252.2520902604</v>
      </c>
      <c r="AM178" s="159">
        <f t="shared" si="106"/>
        <v>2555908.6323094955</v>
      </c>
      <c r="AN178" s="159">
        <f t="shared" si="107"/>
        <v>2460510.3386605592</v>
      </c>
    </row>
    <row r="179" spans="1:1030" x14ac:dyDescent="0.35">
      <c r="A179" s="46">
        <v>331</v>
      </c>
      <c r="B179" s="240" t="s">
        <v>189</v>
      </c>
      <c r="C179" s="364">
        <v>26.374421296296301</v>
      </c>
      <c r="D179" s="365">
        <v>4.2594957923378015E-4</v>
      </c>
      <c r="E179" s="191">
        <v>0.97599999999999998</v>
      </c>
      <c r="F179" s="191">
        <v>0.92400000000000004</v>
      </c>
      <c r="G179" s="191">
        <v>0.90100000000000002</v>
      </c>
      <c r="H179" s="191">
        <v>0.83</v>
      </c>
      <c r="I179" s="191">
        <v>0.78400000000000003</v>
      </c>
      <c r="J179" s="191">
        <v>0.70799999999999996</v>
      </c>
      <c r="K179" s="361">
        <v>4.1572678933216939E-4</v>
      </c>
      <c r="L179" s="362">
        <v>3.9357741121201289E-4</v>
      </c>
      <c r="M179" s="362">
        <v>3.8378057088963593E-4</v>
      </c>
      <c r="N179" s="362">
        <v>3.5353815076403751E-4</v>
      </c>
      <c r="O179" s="362">
        <v>3.3394447011928364E-4</v>
      </c>
      <c r="P179" s="363">
        <v>3.0157230209751633E-4</v>
      </c>
      <c r="Q179" s="273">
        <v>27.06018518518518</v>
      </c>
      <c r="R179" s="273">
        <v>28.9444444444444</v>
      </c>
      <c r="S179" s="273">
        <v>28.70717607456265</v>
      </c>
      <c r="T179" s="273">
        <v>25.567420857836183</v>
      </c>
      <c r="U179" s="273">
        <v>24.564837117126579</v>
      </c>
      <c r="V179" s="273">
        <f t="shared" si="90"/>
        <v>25.741435185185189</v>
      </c>
      <c r="W179" s="273">
        <f t="shared" si="91"/>
        <v>24.369965277777784</v>
      </c>
      <c r="X179" s="273">
        <f t="shared" si="92"/>
        <v>23.763353587962968</v>
      </c>
      <c r="Y179" s="273">
        <f t="shared" si="93"/>
        <v>21.890769675925927</v>
      </c>
      <c r="Z179" s="273">
        <f t="shared" si="94"/>
        <v>20.677546296296303</v>
      </c>
      <c r="AA179" s="273">
        <f t="shared" si="95"/>
        <v>18.673090277777781</v>
      </c>
      <c r="AB179" s="100">
        <v>331</v>
      </c>
      <c r="AC179" s="101" t="s">
        <v>189</v>
      </c>
      <c r="AD179" s="159"/>
      <c r="AE179" s="159"/>
      <c r="AF179" s="164"/>
      <c r="AG179" s="164"/>
      <c r="AH179" s="164"/>
      <c r="AI179" s="159">
        <f t="shared" si="96"/>
        <v>782615.86692047445</v>
      </c>
      <c r="AJ179" s="159">
        <f t="shared" si="103"/>
        <v>749228.47872707562</v>
      </c>
      <c r="AK179" s="159">
        <f t="shared" si="104"/>
        <v>744977.95553116058</v>
      </c>
      <c r="AL179" s="159">
        <f t="shared" si="105"/>
        <v>705052.0354748629</v>
      </c>
      <c r="AM179" s="159">
        <f t="shared" si="106"/>
        <v>685942.20244384406</v>
      </c>
      <c r="AN179" s="159">
        <f t="shared" si="107"/>
        <v>639157.28466151468</v>
      </c>
    </row>
    <row r="180" spans="1:1030" x14ac:dyDescent="0.35">
      <c r="A180" s="46">
        <v>168</v>
      </c>
      <c r="B180" s="240" t="s">
        <v>191</v>
      </c>
      <c r="C180" s="364">
        <v>103.81712962963</v>
      </c>
      <c r="D180" s="365">
        <v>1.6766571742451671E-3</v>
      </c>
      <c r="E180" s="191">
        <v>0.96299999999999997</v>
      </c>
      <c r="F180" s="191">
        <v>0.88900000000000001</v>
      </c>
      <c r="G180" s="191">
        <v>0.82699999999999996</v>
      </c>
      <c r="H180" s="191">
        <v>0.78700000000000003</v>
      </c>
      <c r="I180" s="191">
        <v>0.70399999999999996</v>
      </c>
      <c r="J180" s="191">
        <v>0.64600000000000002</v>
      </c>
      <c r="K180" s="361">
        <v>1.614620858798096E-3</v>
      </c>
      <c r="L180" s="362">
        <v>1.4905482279039537E-3</v>
      </c>
      <c r="M180" s="362">
        <v>1.3865954831007532E-3</v>
      </c>
      <c r="N180" s="362">
        <v>1.3195291961309466E-3</v>
      </c>
      <c r="O180" s="362">
        <v>1.1803666506685975E-3</v>
      </c>
      <c r="P180" s="363">
        <v>1.083120534562378E-3</v>
      </c>
      <c r="Q180" s="273">
        <v>147.25546820710656</v>
      </c>
      <c r="R180" s="273">
        <v>138.55485749342441</v>
      </c>
      <c r="S180" s="273">
        <v>126.96779079751772</v>
      </c>
      <c r="T180" s="273">
        <v>114.88251407011499</v>
      </c>
      <c r="U180" s="273">
        <v>102.73161153388334</v>
      </c>
      <c r="V180" s="273">
        <f t="shared" si="90"/>
        <v>99.975895833333695</v>
      </c>
      <c r="W180" s="273">
        <f t="shared" si="91"/>
        <v>92.293428240741079</v>
      </c>
      <c r="X180" s="273">
        <f t="shared" si="92"/>
        <v>85.856766203704012</v>
      </c>
      <c r="Y180" s="273">
        <f t="shared" si="93"/>
        <v>81.704081018518821</v>
      </c>
      <c r="Z180" s="273">
        <f t="shared" si="94"/>
        <v>73.087259259259511</v>
      </c>
      <c r="AA180" s="273">
        <f t="shared" si="95"/>
        <v>67.065865740740989</v>
      </c>
      <c r="AB180" s="100">
        <v>168</v>
      </c>
      <c r="AC180" s="101" t="s">
        <v>191</v>
      </c>
      <c r="AD180" s="159"/>
      <c r="AE180" s="159"/>
      <c r="AF180" s="164"/>
      <c r="AG180" s="164"/>
      <c r="AH180" s="164"/>
      <c r="AI180" s="159">
        <f t="shared" si="96"/>
        <v>3039563.3276028857</v>
      </c>
      <c r="AJ180" s="159">
        <f t="shared" si="103"/>
        <v>2837462.591724399</v>
      </c>
      <c r="AK180" s="159">
        <f t="shared" si="104"/>
        <v>2691598.1331587438</v>
      </c>
      <c r="AL180" s="159">
        <f t="shared" si="105"/>
        <v>2631503.1166793918</v>
      </c>
      <c r="AM180" s="159">
        <f t="shared" si="106"/>
        <v>2424544.7147595305</v>
      </c>
      <c r="AN180" s="159">
        <f t="shared" si="107"/>
        <v>2295583.4306300478</v>
      </c>
    </row>
    <row r="181" spans="1:1030" x14ac:dyDescent="0.35">
      <c r="A181" s="46">
        <v>263</v>
      </c>
      <c r="B181" s="240" t="s">
        <v>192</v>
      </c>
      <c r="C181" s="364">
        <v>54.412037037037102</v>
      </c>
      <c r="D181" s="365">
        <v>8.7875991745204577E-4</v>
      </c>
      <c r="E181" s="191">
        <v>0.92900000000000005</v>
      </c>
      <c r="F181" s="191">
        <v>0.89500000000000002</v>
      </c>
      <c r="G181" s="191">
        <v>0.82799999999999996</v>
      </c>
      <c r="H181" s="191">
        <v>0.75600000000000001</v>
      </c>
      <c r="I181" s="191">
        <v>0.73799999999999999</v>
      </c>
      <c r="J181" s="191">
        <v>0.69099999999999995</v>
      </c>
      <c r="K181" s="361">
        <v>8.1636796331295059E-4</v>
      </c>
      <c r="L181" s="362">
        <v>7.8649012611958097E-4</v>
      </c>
      <c r="M181" s="362">
        <v>7.2761321165029386E-4</v>
      </c>
      <c r="N181" s="362">
        <v>6.6434249759374665E-4</v>
      </c>
      <c r="O181" s="362">
        <v>6.4852481907960973E-4</v>
      </c>
      <c r="P181" s="363">
        <v>6.0722310295936353E-4</v>
      </c>
      <c r="Q181" s="273">
        <v>92.854166666666686</v>
      </c>
      <c r="R181" s="273">
        <v>84.090509259259306</v>
      </c>
      <c r="S181" s="273">
        <v>74.280358054581285</v>
      </c>
      <c r="T181" s="273">
        <v>61.461653395183703</v>
      </c>
      <c r="U181" s="273">
        <v>57.584545616941242</v>
      </c>
      <c r="V181" s="273">
        <f t="shared" si="90"/>
        <v>50.548782407407472</v>
      </c>
      <c r="W181" s="273">
        <f t="shared" si="91"/>
        <v>48.698773148148206</v>
      </c>
      <c r="X181" s="273">
        <f t="shared" si="92"/>
        <v>45.053166666666719</v>
      </c>
      <c r="Y181" s="273">
        <f t="shared" si="93"/>
        <v>41.13550000000005</v>
      </c>
      <c r="Z181" s="273">
        <f t="shared" si="94"/>
        <v>40.156083333333378</v>
      </c>
      <c r="AA181" s="273">
        <f t="shared" si="95"/>
        <v>37.598717592592635</v>
      </c>
      <c r="AB181" s="100">
        <v>263</v>
      </c>
      <c r="AC181" s="101" t="s">
        <v>192</v>
      </c>
      <c r="AD181" s="159"/>
      <c r="AE181" s="159"/>
      <c r="AF181" s="164"/>
      <c r="AG181" s="164"/>
      <c r="AH181" s="164"/>
      <c r="AI181" s="159">
        <f t="shared" si="96"/>
        <v>1536832.6933191165</v>
      </c>
      <c r="AJ181" s="159">
        <f t="shared" si="103"/>
        <v>1497191.6170489155</v>
      </c>
      <c r="AK181" s="159">
        <f t="shared" si="104"/>
        <v>1412410.747047893</v>
      </c>
      <c r="AL181" s="159">
        <f t="shared" si="105"/>
        <v>1324881.1455529379</v>
      </c>
      <c r="AM181" s="159">
        <f t="shared" si="106"/>
        <v>1332109.3251823096</v>
      </c>
      <c r="AN181" s="159">
        <f t="shared" si="107"/>
        <v>1286958.6065160143</v>
      </c>
    </row>
    <row r="182" spans="1:1030" x14ac:dyDescent="0.35">
      <c r="A182" s="46">
        <v>1641</v>
      </c>
      <c r="B182" s="240" t="s">
        <v>193</v>
      </c>
      <c r="C182" s="364">
        <v>78.1527777777778</v>
      </c>
      <c r="D182" s="365">
        <v>1.2621752885653001E-3</v>
      </c>
      <c r="E182" s="191">
        <v>0.97</v>
      </c>
      <c r="F182" s="191">
        <v>0.90800000000000003</v>
      </c>
      <c r="G182" s="191">
        <v>0.86499999999999999</v>
      </c>
      <c r="H182" s="191">
        <v>0.81599999999999995</v>
      </c>
      <c r="I182" s="191">
        <v>0.77800000000000002</v>
      </c>
      <c r="J182" s="191">
        <v>0.74199999999999999</v>
      </c>
      <c r="K182" s="361">
        <v>1.2243100299083409E-3</v>
      </c>
      <c r="L182" s="362">
        <v>1.1460551620172926E-3</v>
      </c>
      <c r="M182" s="362">
        <v>1.0917816246089845E-3</v>
      </c>
      <c r="N182" s="362">
        <v>1.0299350354692847E-3</v>
      </c>
      <c r="O182" s="362">
        <v>9.8197237450380341E-4</v>
      </c>
      <c r="P182" s="363">
        <v>9.3653406411545268E-4</v>
      </c>
      <c r="Q182" s="273">
        <v>99.630651409331236</v>
      </c>
      <c r="R182" s="273">
        <v>99.206018518518505</v>
      </c>
      <c r="S182" s="273">
        <v>88.942265681415861</v>
      </c>
      <c r="T182" s="273">
        <v>82.834942615416722</v>
      </c>
      <c r="U182" s="273">
        <v>80.614916963642756</v>
      </c>
      <c r="V182" s="273">
        <f t="shared" si="90"/>
        <v>75.808194444444467</v>
      </c>
      <c r="W182" s="273">
        <f t="shared" si="91"/>
        <v>70.96272222222224</v>
      </c>
      <c r="X182" s="273">
        <f t="shared" si="92"/>
        <v>67.602152777777803</v>
      </c>
      <c r="Y182" s="273">
        <f t="shared" si="93"/>
        <v>63.77266666666668</v>
      </c>
      <c r="Z182" s="273">
        <f t="shared" si="94"/>
        <v>60.802861111111127</v>
      </c>
      <c r="AA182" s="273">
        <f t="shared" si="95"/>
        <v>57.98936111111113</v>
      </c>
      <c r="AB182" s="100">
        <v>1641</v>
      </c>
      <c r="AC182" s="101" t="s">
        <v>193</v>
      </c>
      <c r="AD182" s="159"/>
      <c r="AE182" s="159"/>
      <c r="AF182" s="164"/>
      <c r="AG182" s="164"/>
      <c r="AH182" s="164"/>
      <c r="AI182" s="159">
        <f t="shared" si="96"/>
        <v>2304793.6289488585</v>
      </c>
      <c r="AJ182" s="159">
        <f t="shared" si="103"/>
        <v>2181672.883439404</v>
      </c>
      <c r="AK182" s="159">
        <f t="shared" si="104"/>
        <v>2119318.4446577602</v>
      </c>
      <c r="AL182" s="159">
        <f t="shared" si="105"/>
        <v>2053972.9350147417</v>
      </c>
      <c r="AM182" s="159">
        <f t="shared" si="106"/>
        <v>2017030.8346940174</v>
      </c>
      <c r="AN182" s="159">
        <f t="shared" si="107"/>
        <v>1984905.6602667868</v>
      </c>
    </row>
    <row r="183" spans="1:1030" s="470" customFormat="1" x14ac:dyDescent="0.35">
      <c r="A183" s="46">
        <v>1991</v>
      </c>
      <c r="B183" s="240" t="s">
        <v>1301</v>
      </c>
      <c r="C183" s="364">
        <v>325.25520833333297</v>
      </c>
      <c r="D183" s="365">
        <v>5.2529046069584801E-3</v>
      </c>
      <c r="E183" s="191">
        <v>0.94099999999999995</v>
      </c>
      <c r="F183" s="191">
        <v>0.88</v>
      </c>
      <c r="G183" s="191">
        <v>0.82199999999999995</v>
      </c>
      <c r="H183" s="191">
        <v>0.76500000000000001</v>
      </c>
      <c r="I183" s="191">
        <v>0.71</v>
      </c>
      <c r="J183" s="191">
        <v>0.63100000000000001</v>
      </c>
      <c r="K183" s="449">
        <v>4.9429832351479295E-3</v>
      </c>
      <c r="L183" s="450">
        <v>4.6225560541234625E-3</v>
      </c>
      <c r="M183" s="450">
        <v>4.3178875869198706E-3</v>
      </c>
      <c r="N183" s="450">
        <v>4.0184720243232374E-3</v>
      </c>
      <c r="O183" s="450">
        <v>3.7295622709405205E-3</v>
      </c>
      <c r="P183" s="451">
        <v>3.314582806990801E-3</v>
      </c>
      <c r="Q183" s="273">
        <f t="shared" ref="Q183:T183" si="108">+Q379+Q380</f>
        <v>420.45699620986176</v>
      </c>
      <c r="R183" s="273">
        <f t="shared" si="108"/>
        <v>398.4743997269091</v>
      </c>
      <c r="S183" s="273">
        <f t="shared" si="108"/>
        <v>372.21261665815115</v>
      </c>
      <c r="T183" s="273">
        <f t="shared" si="108"/>
        <v>349.64068042502083</v>
      </c>
      <c r="U183" s="273">
        <v>325.27878703676612</v>
      </c>
      <c r="V183" s="273">
        <f t="shared" ref="V183" si="109">+E183*C183</f>
        <v>306.0651510416663</v>
      </c>
      <c r="W183" s="273">
        <f t="shared" ref="W183" si="110">+F183*$C183</f>
        <v>286.22458333333304</v>
      </c>
      <c r="X183" s="273">
        <f t="shared" ref="X183" si="111">+G183*$C183</f>
        <v>267.35978124999968</v>
      </c>
      <c r="Y183" s="273">
        <f t="shared" ref="Y183" si="112">+H183*$C183</f>
        <v>248.82023437499973</v>
      </c>
      <c r="Z183" s="273">
        <f t="shared" ref="Z183" si="113">+I183*$C183</f>
        <v>230.93119791666641</v>
      </c>
      <c r="AA183" s="273">
        <f t="shared" ref="AA183" si="114">+J183*$C183</f>
        <v>205.2360364583331</v>
      </c>
      <c r="AB183" s="100"/>
      <c r="AC183" s="101"/>
      <c r="AD183" s="159"/>
      <c r="AE183" s="159"/>
      <c r="AF183" s="164"/>
      <c r="AG183" s="164"/>
      <c r="AH183" s="164"/>
      <c r="AI183" s="159">
        <f t="shared" si="96"/>
        <v>9305287.0515345503</v>
      </c>
      <c r="AJ183" s="159">
        <f t="shared" si="103"/>
        <v>8799668.2268838659</v>
      </c>
      <c r="AK183" s="159">
        <f t="shared" si="104"/>
        <v>8381693.370407694</v>
      </c>
      <c r="AL183" s="159">
        <f t="shared" si="105"/>
        <v>8013935.3394391639</v>
      </c>
      <c r="AM183" s="159">
        <f t="shared" si="106"/>
        <v>7660747.1816095747</v>
      </c>
      <c r="AN183" s="159">
        <f t="shared" si="107"/>
        <v>7024981.1801911797</v>
      </c>
      <c r="AO183" s="460"/>
      <c r="AP183" s="460"/>
      <c r="AQ183" s="460"/>
      <c r="AR183" s="460"/>
      <c r="AS183" s="460"/>
      <c r="AT183" s="460"/>
      <c r="AU183" s="460"/>
      <c r="AV183" s="460"/>
      <c r="AW183" s="460"/>
      <c r="AX183" s="460"/>
      <c r="AY183" s="460"/>
      <c r="AZ183" s="460"/>
      <c r="BA183" s="460"/>
      <c r="BB183" s="460"/>
      <c r="BC183" s="460"/>
      <c r="BD183" s="460"/>
      <c r="BE183" s="460"/>
      <c r="BF183" s="460"/>
      <c r="BG183" s="460"/>
      <c r="BH183" s="460"/>
      <c r="BI183" s="460"/>
      <c r="BJ183" s="460"/>
      <c r="BK183" s="460"/>
      <c r="BL183" s="460"/>
      <c r="BM183" s="460"/>
      <c r="BN183" s="460"/>
      <c r="BO183" s="460"/>
      <c r="BP183" s="460"/>
      <c r="BQ183" s="460"/>
      <c r="BR183" s="460"/>
      <c r="BS183" s="460"/>
      <c r="BT183" s="460"/>
      <c r="BU183" s="460"/>
      <c r="BV183" s="460"/>
      <c r="BW183" s="460"/>
      <c r="BX183" s="460"/>
      <c r="BY183" s="460"/>
      <c r="BZ183" s="460"/>
      <c r="CA183" s="460"/>
      <c r="CB183" s="460"/>
      <c r="CC183" s="460"/>
      <c r="CD183" s="460"/>
      <c r="CE183" s="460"/>
      <c r="CF183" s="460"/>
      <c r="CG183" s="460"/>
      <c r="CH183" s="460"/>
      <c r="CI183" s="460"/>
      <c r="CJ183" s="460"/>
      <c r="CK183" s="460"/>
      <c r="CL183" s="460"/>
      <c r="CM183" s="460"/>
      <c r="CN183" s="460"/>
      <c r="CO183" s="460"/>
      <c r="CP183" s="460"/>
      <c r="CQ183" s="460"/>
      <c r="CR183" s="460"/>
      <c r="CS183" s="460"/>
      <c r="CT183" s="460"/>
      <c r="CU183" s="460"/>
      <c r="CV183" s="460"/>
      <c r="CW183" s="460"/>
      <c r="CX183" s="460"/>
      <c r="CY183" s="460"/>
      <c r="CZ183" s="460"/>
      <c r="DA183" s="460"/>
      <c r="DB183" s="460"/>
      <c r="DC183" s="460"/>
      <c r="DD183" s="460"/>
      <c r="DE183" s="460"/>
      <c r="DF183" s="460"/>
      <c r="DG183" s="460"/>
      <c r="DH183" s="460"/>
      <c r="DI183" s="460"/>
      <c r="DJ183" s="460"/>
      <c r="DK183" s="460"/>
      <c r="DL183" s="460"/>
      <c r="DM183" s="460"/>
      <c r="DN183" s="460"/>
      <c r="DO183" s="460"/>
      <c r="DP183" s="460"/>
      <c r="DQ183" s="460"/>
      <c r="DR183" s="460"/>
      <c r="DS183" s="460"/>
      <c r="DT183" s="460"/>
      <c r="DU183" s="460"/>
      <c r="DV183" s="460"/>
      <c r="DW183" s="460"/>
      <c r="DX183" s="460"/>
      <c r="DY183" s="460"/>
      <c r="DZ183" s="460"/>
      <c r="EA183" s="460"/>
      <c r="EB183" s="460"/>
      <c r="EC183" s="460"/>
      <c r="ED183" s="460"/>
      <c r="EE183" s="460"/>
      <c r="EF183" s="460"/>
      <c r="EG183" s="460"/>
      <c r="EH183" s="460"/>
      <c r="EI183" s="460"/>
      <c r="EJ183" s="460"/>
      <c r="EK183" s="460"/>
      <c r="EL183" s="460"/>
      <c r="EM183" s="460"/>
      <c r="EN183" s="460"/>
      <c r="EO183" s="460"/>
      <c r="EP183" s="460"/>
      <c r="EQ183" s="460"/>
      <c r="ER183" s="460"/>
      <c r="ES183" s="460"/>
      <c r="ET183" s="460"/>
      <c r="EU183" s="460"/>
      <c r="EV183" s="460"/>
      <c r="EW183" s="460"/>
      <c r="EX183" s="460"/>
      <c r="EY183" s="460"/>
      <c r="EZ183" s="460"/>
      <c r="FA183" s="460"/>
      <c r="FB183" s="460"/>
      <c r="FC183" s="460"/>
      <c r="FD183" s="460"/>
      <c r="FE183" s="460"/>
      <c r="FF183" s="460"/>
      <c r="FG183" s="460"/>
      <c r="FH183" s="460"/>
      <c r="FI183" s="460"/>
      <c r="FJ183" s="460"/>
      <c r="FK183" s="460"/>
      <c r="FL183" s="460"/>
      <c r="FM183" s="460"/>
      <c r="FN183" s="460"/>
      <c r="FO183" s="460"/>
      <c r="FP183" s="460"/>
      <c r="FQ183" s="460"/>
      <c r="FR183" s="460"/>
      <c r="FS183" s="460"/>
      <c r="FT183" s="460"/>
      <c r="FU183" s="460"/>
      <c r="FV183" s="460"/>
      <c r="FW183" s="460"/>
      <c r="FX183" s="460"/>
      <c r="FY183" s="460"/>
      <c r="FZ183" s="460"/>
      <c r="GA183" s="460"/>
      <c r="GB183" s="460"/>
      <c r="GC183" s="460"/>
      <c r="GD183" s="460"/>
      <c r="GE183" s="460"/>
      <c r="GF183" s="460"/>
      <c r="GG183" s="460"/>
      <c r="GH183" s="460"/>
      <c r="GI183" s="460"/>
      <c r="GJ183" s="460"/>
      <c r="GK183" s="460"/>
      <c r="GL183" s="460"/>
      <c r="GM183" s="460"/>
      <c r="GN183" s="460"/>
      <c r="GO183" s="460"/>
      <c r="GP183" s="460"/>
      <c r="GQ183" s="460"/>
      <c r="GR183" s="460"/>
      <c r="GS183" s="460"/>
      <c r="GT183" s="460"/>
      <c r="GU183" s="460"/>
      <c r="GV183" s="460"/>
      <c r="GW183" s="460"/>
      <c r="GX183" s="460"/>
      <c r="GY183" s="460"/>
      <c r="GZ183" s="460"/>
      <c r="HA183" s="460"/>
      <c r="HB183" s="460"/>
      <c r="HC183" s="460"/>
      <c r="HD183" s="460"/>
      <c r="HE183" s="460"/>
      <c r="HF183" s="460"/>
      <c r="HG183" s="460"/>
      <c r="HH183" s="460"/>
      <c r="HI183" s="460"/>
      <c r="HJ183" s="460"/>
      <c r="HK183" s="460"/>
      <c r="HL183" s="460"/>
      <c r="HM183" s="460"/>
      <c r="HN183" s="460"/>
      <c r="HO183" s="460"/>
      <c r="HP183" s="460"/>
      <c r="HQ183" s="460"/>
      <c r="HR183" s="460"/>
      <c r="HS183" s="460"/>
      <c r="HT183" s="460"/>
      <c r="HU183" s="460"/>
      <c r="HV183" s="460"/>
      <c r="HW183" s="460"/>
      <c r="HX183" s="460"/>
      <c r="HY183" s="460"/>
      <c r="HZ183" s="460"/>
      <c r="IA183" s="460"/>
      <c r="IB183" s="460"/>
      <c r="IC183" s="460"/>
      <c r="ID183" s="460"/>
      <c r="IE183" s="460"/>
      <c r="IF183" s="460"/>
      <c r="IG183" s="460"/>
      <c r="IH183" s="460"/>
      <c r="II183" s="460"/>
      <c r="IJ183" s="460"/>
      <c r="IK183" s="460"/>
      <c r="IL183" s="460"/>
      <c r="IM183" s="460"/>
      <c r="IN183" s="460"/>
      <c r="IO183" s="460"/>
      <c r="IP183" s="460"/>
      <c r="IQ183" s="460"/>
      <c r="IR183" s="460"/>
      <c r="IS183" s="460"/>
      <c r="IT183" s="460"/>
      <c r="IU183" s="460"/>
      <c r="IV183" s="460"/>
      <c r="IW183" s="460"/>
      <c r="IX183" s="460"/>
      <c r="IY183" s="460"/>
      <c r="IZ183" s="460"/>
      <c r="JA183" s="460"/>
      <c r="JB183" s="460"/>
      <c r="JC183" s="460"/>
      <c r="JD183" s="460"/>
      <c r="JE183" s="460"/>
      <c r="JF183" s="460"/>
      <c r="JG183" s="460"/>
      <c r="JH183" s="460"/>
      <c r="JI183" s="460"/>
      <c r="JJ183" s="460"/>
      <c r="JK183" s="460"/>
      <c r="JL183" s="460"/>
      <c r="JM183" s="460"/>
      <c r="JN183" s="460"/>
      <c r="JO183" s="460"/>
      <c r="JP183" s="460"/>
      <c r="JQ183" s="460"/>
      <c r="JR183" s="460"/>
      <c r="JS183" s="460"/>
      <c r="JT183" s="460"/>
      <c r="JU183" s="460"/>
      <c r="JV183" s="460"/>
      <c r="JW183" s="460"/>
      <c r="JX183" s="460"/>
      <c r="JY183" s="460"/>
      <c r="JZ183" s="460"/>
      <c r="KA183" s="460"/>
      <c r="KB183" s="460"/>
      <c r="KC183" s="460"/>
      <c r="KD183" s="460"/>
      <c r="KE183" s="460"/>
      <c r="KF183" s="460"/>
      <c r="KG183" s="460"/>
      <c r="KH183" s="460"/>
      <c r="KI183" s="460"/>
      <c r="KJ183" s="460"/>
      <c r="KK183" s="460"/>
      <c r="KL183" s="460"/>
      <c r="KM183" s="460"/>
      <c r="KN183" s="460"/>
      <c r="KO183" s="460"/>
      <c r="KP183" s="460"/>
      <c r="KQ183" s="460"/>
      <c r="KR183" s="460"/>
      <c r="KS183" s="460"/>
      <c r="KT183" s="460"/>
      <c r="KU183" s="460"/>
      <c r="KV183" s="460"/>
      <c r="KW183" s="460"/>
      <c r="KX183" s="460"/>
      <c r="KY183" s="460"/>
      <c r="KZ183" s="460"/>
      <c r="LA183" s="460"/>
      <c r="LB183" s="460"/>
      <c r="LC183" s="460"/>
      <c r="LD183" s="460"/>
      <c r="LE183" s="460"/>
      <c r="LF183" s="460"/>
      <c r="LG183" s="460"/>
      <c r="LH183" s="460"/>
      <c r="LI183" s="460"/>
      <c r="LJ183" s="460"/>
      <c r="LK183" s="460"/>
      <c r="LL183" s="460"/>
      <c r="LM183" s="460"/>
      <c r="LN183" s="460"/>
      <c r="LO183" s="460"/>
      <c r="LP183" s="460"/>
      <c r="LQ183" s="460"/>
      <c r="LR183" s="460"/>
      <c r="LS183" s="460"/>
      <c r="LT183" s="460"/>
      <c r="LU183" s="460"/>
      <c r="LV183" s="460"/>
      <c r="LW183" s="460"/>
      <c r="LX183" s="460"/>
      <c r="LY183" s="460"/>
      <c r="LZ183" s="460"/>
      <c r="MA183" s="460"/>
      <c r="MB183" s="460"/>
      <c r="MC183" s="460"/>
      <c r="MD183" s="460"/>
      <c r="ME183" s="460"/>
      <c r="MF183" s="460"/>
      <c r="MG183" s="460"/>
      <c r="MH183" s="460"/>
      <c r="MI183" s="460"/>
      <c r="MJ183" s="460"/>
      <c r="MK183" s="460"/>
      <c r="ML183" s="460"/>
      <c r="MM183" s="460"/>
      <c r="MN183" s="460"/>
      <c r="MO183" s="460"/>
      <c r="MP183" s="460"/>
      <c r="MQ183" s="460"/>
      <c r="MR183" s="460"/>
      <c r="MS183" s="460"/>
      <c r="MT183" s="460"/>
      <c r="MU183" s="460"/>
      <c r="MV183" s="460"/>
      <c r="MW183" s="460"/>
      <c r="MX183" s="460"/>
      <c r="MY183" s="460"/>
      <c r="MZ183" s="460"/>
      <c r="NA183" s="460"/>
      <c r="NB183" s="460"/>
      <c r="NC183" s="460"/>
      <c r="ND183" s="460"/>
      <c r="NE183" s="460"/>
      <c r="NF183" s="460"/>
      <c r="NG183" s="460"/>
      <c r="NH183" s="460"/>
      <c r="NI183" s="460"/>
      <c r="NJ183" s="460"/>
      <c r="NK183" s="460"/>
      <c r="NL183" s="460"/>
      <c r="NM183" s="460"/>
      <c r="NN183" s="460"/>
      <c r="NO183" s="460"/>
      <c r="NP183" s="460"/>
      <c r="NQ183" s="460"/>
      <c r="NR183" s="460"/>
      <c r="NS183" s="460"/>
      <c r="NT183" s="460"/>
      <c r="NU183" s="460"/>
      <c r="NV183" s="460"/>
      <c r="NW183" s="460"/>
      <c r="NX183" s="460"/>
      <c r="NY183" s="460"/>
      <c r="NZ183" s="460"/>
      <c r="OA183" s="460"/>
      <c r="OB183" s="460"/>
      <c r="OC183" s="460"/>
      <c r="OD183" s="460"/>
      <c r="OE183" s="460"/>
      <c r="OF183" s="460"/>
      <c r="OG183" s="460"/>
      <c r="OH183" s="460"/>
      <c r="OI183" s="460"/>
      <c r="OJ183" s="460"/>
      <c r="OK183" s="460"/>
      <c r="OL183" s="460"/>
      <c r="OM183" s="460"/>
      <c r="ON183" s="460"/>
      <c r="OO183" s="460"/>
      <c r="OP183" s="460"/>
      <c r="OQ183" s="460"/>
      <c r="OR183" s="460"/>
      <c r="OS183" s="460"/>
      <c r="OT183" s="460"/>
      <c r="OU183" s="460"/>
      <c r="OV183" s="460"/>
      <c r="OW183" s="460"/>
      <c r="OX183" s="460"/>
      <c r="OY183" s="460"/>
      <c r="OZ183" s="460"/>
      <c r="PA183" s="460"/>
      <c r="PB183" s="460"/>
      <c r="PC183" s="460"/>
      <c r="PD183" s="460"/>
      <c r="PE183" s="460"/>
      <c r="PF183" s="460"/>
      <c r="PG183" s="460"/>
      <c r="PH183" s="460"/>
      <c r="PI183" s="460"/>
      <c r="PJ183" s="460"/>
      <c r="PK183" s="460"/>
      <c r="PL183" s="460"/>
      <c r="PM183" s="460"/>
      <c r="PN183" s="460"/>
      <c r="PO183" s="460"/>
      <c r="PP183" s="460"/>
      <c r="PQ183" s="460"/>
      <c r="PR183" s="460"/>
      <c r="PS183" s="460"/>
      <c r="PT183" s="460"/>
      <c r="PU183" s="460"/>
      <c r="PV183" s="460"/>
      <c r="PW183" s="460"/>
      <c r="PX183" s="460"/>
      <c r="PY183" s="460"/>
      <c r="PZ183" s="460"/>
      <c r="QA183" s="460"/>
      <c r="QB183" s="460"/>
      <c r="QC183" s="460"/>
      <c r="QD183" s="460"/>
      <c r="QE183" s="460"/>
      <c r="QF183" s="460"/>
      <c r="QG183" s="460"/>
      <c r="QH183" s="460"/>
      <c r="QI183" s="460"/>
      <c r="QJ183" s="460"/>
      <c r="QK183" s="460"/>
      <c r="QL183" s="460"/>
      <c r="QM183" s="460"/>
      <c r="QN183" s="460"/>
      <c r="QO183" s="460"/>
      <c r="QP183" s="460"/>
      <c r="QQ183" s="460"/>
      <c r="QR183" s="460"/>
      <c r="QS183" s="460"/>
      <c r="QT183" s="460"/>
      <c r="QU183" s="460"/>
      <c r="QV183" s="460"/>
      <c r="QW183" s="460"/>
      <c r="QX183" s="460"/>
      <c r="QY183" s="460"/>
      <c r="QZ183" s="460"/>
      <c r="RA183" s="460"/>
      <c r="RB183" s="460"/>
      <c r="RC183" s="460"/>
      <c r="RD183" s="460"/>
      <c r="RE183" s="460"/>
      <c r="RF183" s="460"/>
      <c r="RG183" s="460"/>
      <c r="RH183" s="460"/>
      <c r="RI183" s="460"/>
      <c r="RJ183" s="460"/>
      <c r="RK183" s="460"/>
      <c r="RL183" s="460"/>
      <c r="RM183" s="460"/>
      <c r="RN183" s="460"/>
      <c r="RO183" s="460"/>
      <c r="RP183" s="460"/>
      <c r="RQ183" s="460"/>
      <c r="RR183" s="460"/>
      <c r="RS183" s="460"/>
      <c r="RT183" s="460"/>
      <c r="RU183" s="460"/>
      <c r="RV183" s="460"/>
      <c r="RW183" s="460"/>
      <c r="RX183" s="460"/>
      <c r="RY183" s="460"/>
      <c r="RZ183" s="460"/>
      <c r="SA183" s="460"/>
      <c r="SB183" s="460"/>
      <c r="SC183" s="460"/>
      <c r="SD183" s="460"/>
      <c r="SE183" s="460"/>
      <c r="SF183" s="460"/>
      <c r="SG183" s="460"/>
      <c r="SH183" s="460"/>
      <c r="SI183" s="460"/>
      <c r="SJ183" s="460"/>
      <c r="SK183" s="460"/>
      <c r="SL183" s="460"/>
      <c r="SM183" s="460"/>
      <c r="SN183" s="460"/>
      <c r="SO183" s="460"/>
      <c r="SP183" s="460"/>
      <c r="SQ183" s="460"/>
      <c r="SR183" s="460"/>
      <c r="SS183" s="460"/>
      <c r="ST183" s="460"/>
      <c r="SU183" s="460"/>
      <c r="SV183" s="460"/>
      <c r="SW183" s="460"/>
      <c r="SX183" s="460"/>
      <c r="SY183" s="460"/>
      <c r="SZ183" s="460"/>
      <c r="TA183" s="460"/>
      <c r="TB183" s="460"/>
      <c r="TC183" s="460"/>
      <c r="TD183" s="460"/>
      <c r="TE183" s="460"/>
      <c r="TF183" s="460"/>
      <c r="TG183" s="460"/>
      <c r="TH183" s="460"/>
      <c r="TI183" s="460"/>
      <c r="TJ183" s="460"/>
      <c r="TK183" s="460"/>
      <c r="TL183" s="460"/>
      <c r="TM183" s="460"/>
      <c r="TN183" s="460"/>
      <c r="TO183" s="460"/>
      <c r="TP183" s="460"/>
      <c r="TQ183" s="460"/>
      <c r="TR183" s="460"/>
      <c r="TS183" s="460"/>
      <c r="TT183" s="460"/>
      <c r="TU183" s="460"/>
      <c r="TV183" s="460"/>
      <c r="TW183" s="460"/>
      <c r="TX183" s="460"/>
      <c r="TY183" s="460"/>
      <c r="TZ183" s="460"/>
      <c r="UA183" s="460"/>
      <c r="UB183" s="460"/>
      <c r="UC183" s="460"/>
      <c r="UD183" s="460"/>
      <c r="UE183" s="460"/>
      <c r="UF183" s="460"/>
      <c r="UG183" s="460"/>
      <c r="UH183" s="460"/>
      <c r="UI183" s="460"/>
      <c r="UJ183" s="460"/>
      <c r="UK183" s="460"/>
      <c r="UL183" s="460"/>
      <c r="UM183" s="460"/>
      <c r="UN183" s="460"/>
      <c r="UO183" s="460"/>
      <c r="UP183" s="460"/>
      <c r="UQ183" s="460"/>
      <c r="UR183" s="460"/>
      <c r="US183" s="460"/>
      <c r="UT183" s="460"/>
      <c r="UU183" s="460"/>
      <c r="UV183" s="460"/>
      <c r="UW183" s="460"/>
      <c r="UX183" s="460"/>
      <c r="UY183" s="460"/>
      <c r="UZ183" s="460"/>
      <c r="VA183" s="460"/>
      <c r="VB183" s="460"/>
      <c r="VC183" s="460"/>
      <c r="VD183" s="460"/>
      <c r="VE183" s="460"/>
      <c r="VF183" s="460"/>
      <c r="VG183" s="460"/>
      <c r="VH183" s="460"/>
      <c r="VI183" s="460"/>
      <c r="VJ183" s="460"/>
      <c r="VK183" s="460"/>
      <c r="VL183" s="460"/>
      <c r="VM183" s="460"/>
      <c r="VN183" s="460"/>
      <c r="VO183" s="460"/>
      <c r="VP183" s="460"/>
      <c r="VQ183" s="460"/>
      <c r="VR183" s="460"/>
      <c r="VS183" s="460"/>
      <c r="VT183" s="460"/>
      <c r="VU183" s="460"/>
      <c r="VV183" s="460"/>
      <c r="VW183" s="460"/>
      <c r="VX183" s="460"/>
      <c r="VY183" s="460"/>
      <c r="VZ183" s="460"/>
      <c r="WA183" s="460"/>
      <c r="WB183" s="460"/>
      <c r="WC183" s="460"/>
      <c r="WD183" s="460"/>
      <c r="WE183" s="460"/>
      <c r="WF183" s="460"/>
      <c r="WG183" s="460"/>
      <c r="WH183" s="460"/>
      <c r="WI183" s="460"/>
      <c r="WJ183" s="460"/>
      <c r="WK183" s="460"/>
      <c r="WL183" s="460"/>
      <c r="WM183" s="460"/>
      <c r="WN183" s="460"/>
      <c r="WO183" s="460"/>
      <c r="WP183" s="460"/>
      <c r="WQ183" s="460"/>
      <c r="WR183" s="460"/>
      <c r="WS183" s="460"/>
      <c r="WT183" s="460"/>
      <c r="WU183" s="460"/>
      <c r="WV183" s="460"/>
      <c r="WW183" s="460"/>
      <c r="WX183" s="460"/>
      <c r="WY183" s="460"/>
      <c r="WZ183" s="460"/>
      <c r="XA183" s="460"/>
      <c r="XB183" s="460"/>
      <c r="XC183" s="460"/>
      <c r="XD183" s="460"/>
      <c r="XE183" s="460"/>
      <c r="XF183" s="460"/>
      <c r="XG183" s="460"/>
      <c r="XH183" s="460"/>
      <c r="XI183" s="460"/>
      <c r="XJ183" s="460"/>
      <c r="XK183" s="460"/>
      <c r="XL183" s="460"/>
      <c r="XM183" s="460"/>
      <c r="XN183" s="460"/>
      <c r="XO183" s="460"/>
      <c r="XP183" s="460"/>
      <c r="XQ183" s="460"/>
      <c r="XR183" s="460"/>
      <c r="XS183" s="460"/>
      <c r="XT183" s="460"/>
      <c r="XU183" s="460"/>
      <c r="XV183" s="460"/>
      <c r="XW183" s="460"/>
      <c r="XX183" s="460"/>
      <c r="XY183" s="460"/>
      <c r="XZ183" s="460"/>
      <c r="YA183" s="460"/>
      <c r="YB183" s="460"/>
      <c r="YC183" s="460"/>
      <c r="YD183" s="460"/>
      <c r="YE183" s="460"/>
      <c r="YF183" s="460"/>
      <c r="YG183" s="460"/>
      <c r="YH183" s="460"/>
      <c r="YI183" s="460"/>
      <c r="YJ183" s="460"/>
      <c r="YK183" s="460"/>
      <c r="YL183" s="460"/>
      <c r="YM183" s="460"/>
      <c r="YN183" s="460"/>
      <c r="YO183" s="460"/>
      <c r="YP183" s="460"/>
      <c r="YQ183" s="460"/>
      <c r="YR183" s="460"/>
      <c r="YS183" s="460"/>
      <c r="YT183" s="460"/>
      <c r="YU183" s="460"/>
      <c r="YV183" s="460"/>
      <c r="YW183" s="460"/>
      <c r="YX183" s="460"/>
      <c r="YY183" s="460"/>
      <c r="YZ183" s="460"/>
      <c r="ZA183" s="460"/>
      <c r="ZB183" s="460"/>
      <c r="ZC183" s="460"/>
      <c r="ZD183" s="460"/>
      <c r="ZE183" s="460"/>
      <c r="ZF183" s="460"/>
      <c r="ZG183" s="460"/>
      <c r="ZH183" s="460"/>
      <c r="ZI183" s="460"/>
      <c r="ZJ183" s="460"/>
      <c r="ZK183" s="460"/>
      <c r="ZL183" s="460"/>
      <c r="ZM183" s="460"/>
      <c r="ZN183" s="460"/>
      <c r="ZO183" s="460"/>
      <c r="ZP183" s="460"/>
      <c r="ZQ183" s="460"/>
      <c r="ZR183" s="460"/>
      <c r="ZS183" s="460"/>
      <c r="ZT183" s="460"/>
      <c r="ZU183" s="460"/>
      <c r="ZV183" s="460"/>
      <c r="ZW183" s="460"/>
      <c r="ZX183" s="460"/>
      <c r="ZY183" s="460"/>
      <c r="ZZ183" s="460"/>
      <c r="AAA183" s="460"/>
      <c r="AAB183" s="460"/>
      <c r="AAC183" s="460"/>
      <c r="AAD183" s="460"/>
      <c r="AAE183" s="460"/>
      <c r="AAF183" s="460"/>
      <c r="AAG183" s="460"/>
      <c r="AAH183" s="460"/>
      <c r="AAI183" s="460"/>
      <c r="AAJ183" s="460"/>
      <c r="AAK183" s="460"/>
      <c r="AAL183" s="460"/>
      <c r="AAM183" s="460"/>
      <c r="AAN183" s="460"/>
      <c r="AAO183" s="460"/>
      <c r="AAP183" s="460"/>
      <c r="AAQ183" s="460"/>
      <c r="AAR183" s="460"/>
      <c r="AAS183" s="460"/>
      <c r="AAT183" s="460"/>
      <c r="AAU183" s="460"/>
      <c r="AAV183" s="460"/>
      <c r="AAW183" s="460"/>
      <c r="AAX183" s="460"/>
      <c r="AAY183" s="460"/>
      <c r="AAZ183" s="460"/>
      <c r="ABA183" s="460"/>
      <c r="ABB183" s="460"/>
      <c r="ABC183" s="460"/>
      <c r="ABD183" s="460"/>
      <c r="ABE183" s="460"/>
      <c r="ABF183" s="460"/>
      <c r="ABG183" s="460"/>
      <c r="ABH183" s="460"/>
      <c r="ABI183" s="460"/>
      <c r="ABJ183" s="460"/>
      <c r="ABK183" s="460"/>
      <c r="ABL183" s="460"/>
      <c r="ABM183" s="460"/>
      <c r="ABN183" s="460"/>
      <c r="ABO183" s="460"/>
      <c r="ABP183" s="460"/>
      <c r="ABQ183" s="460"/>
      <c r="ABR183" s="460"/>
      <c r="ABS183" s="460"/>
      <c r="ABT183" s="460"/>
      <c r="ABU183" s="460"/>
      <c r="ABV183" s="460"/>
      <c r="ABW183" s="460"/>
      <c r="ABX183" s="460"/>
      <c r="ABY183" s="460"/>
      <c r="ABZ183" s="460"/>
      <c r="ACA183" s="460"/>
      <c r="ACB183" s="460"/>
      <c r="ACC183" s="460"/>
      <c r="ACD183" s="460"/>
      <c r="ACE183" s="460"/>
      <c r="ACF183" s="460"/>
      <c r="ACG183" s="460"/>
      <c r="ACH183" s="460"/>
      <c r="ACI183" s="460"/>
      <c r="ACJ183" s="460"/>
      <c r="ACK183" s="460"/>
      <c r="ACL183" s="460"/>
      <c r="ACM183" s="460"/>
      <c r="ACN183" s="460"/>
      <c r="ACO183" s="460"/>
      <c r="ACP183" s="460"/>
      <c r="ACQ183" s="460"/>
      <c r="ACR183" s="460"/>
      <c r="ACS183" s="460"/>
      <c r="ACT183" s="460"/>
      <c r="ACU183" s="460"/>
      <c r="ACV183" s="460"/>
      <c r="ACW183" s="460"/>
      <c r="ACX183" s="460"/>
      <c r="ACY183" s="460"/>
      <c r="ACZ183" s="460"/>
      <c r="ADA183" s="460"/>
      <c r="ADB183" s="460"/>
      <c r="ADC183" s="460"/>
      <c r="ADD183" s="460"/>
      <c r="ADE183" s="460"/>
      <c r="ADF183" s="460"/>
      <c r="ADG183" s="460"/>
      <c r="ADH183" s="460"/>
      <c r="ADI183" s="460"/>
      <c r="ADJ183" s="460"/>
      <c r="ADK183" s="460"/>
      <c r="ADL183" s="460"/>
      <c r="ADM183" s="460"/>
      <c r="ADN183" s="460"/>
      <c r="ADO183" s="460"/>
      <c r="ADP183" s="460"/>
      <c r="ADQ183" s="460"/>
      <c r="ADR183" s="460"/>
      <c r="ADS183" s="460"/>
      <c r="ADT183" s="460"/>
      <c r="ADU183" s="460"/>
      <c r="ADV183" s="460"/>
      <c r="ADW183" s="460"/>
      <c r="ADX183" s="460"/>
      <c r="ADY183" s="460"/>
      <c r="ADZ183" s="460"/>
      <c r="AEA183" s="460"/>
      <c r="AEB183" s="460"/>
      <c r="AEC183" s="460"/>
      <c r="AED183" s="460"/>
      <c r="AEE183" s="460"/>
      <c r="AEF183" s="460"/>
      <c r="AEG183" s="460"/>
      <c r="AEH183" s="460"/>
      <c r="AEI183" s="460"/>
      <c r="AEJ183" s="460"/>
      <c r="AEK183" s="460"/>
      <c r="AEL183" s="460"/>
      <c r="AEM183" s="460"/>
      <c r="AEN183" s="460"/>
      <c r="AEO183" s="460"/>
      <c r="AEP183" s="460"/>
      <c r="AEQ183" s="460"/>
      <c r="AER183" s="460"/>
      <c r="AES183" s="460"/>
      <c r="AET183" s="460"/>
      <c r="AEU183" s="460"/>
      <c r="AEV183" s="460"/>
      <c r="AEW183" s="460"/>
      <c r="AEX183" s="460"/>
      <c r="AEY183" s="460"/>
      <c r="AEZ183" s="460"/>
      <c r="AFA183" s="460"/>
      <c r="AFB183" s="460"/>
      <c r="AFC183" s="460"/>
      <c r="AFD183" s="460"/>
      <c r="AFE183" s="460"/>
      <c r="AFF183" s="460"/>
      <c r="AFG183" s="460"/>
      <c r="AFH183" s="460"/>
      <c r="AFI183" s="460"/>
      <c r="AFJ183" s="460"/>
      <c r="AFK183" s="460"/>
      <c r="AFL183" s="460"/>
      <c r="AFM183" s="460"/>
      <c r="AFN183" s="460"/>
      <c r="AFO183" s="460"/>
      <c r="AFP183" s="460"/>
      <c r="AFQ183" s="460"/>
      <c r="AFR183" s="460"/>
      <c r="AFS183" s="460"/>
      <c r="AFT183" s="460"/>
      <c r="AFU183" s="460"/>
      <c r="AFV183" s="460"/>
      <c r="AFW183" s="460"/>
      <c r="AFX183" s="460"/>
      <c r="AFY183" s="460"/>
      <c r="AFZ183" s="460"/>
      <c r="AGA183" s="460"/>
      <c r="AGB183" s="460"/>
      <c r="AGC183" s="460"/>
      <c r="AGD183" s="460"/>
      <c r="AGE183" s="460"/>
      <c r="AGF183" s="460"/>
      <c r="AGG183" s="460"/>
      <c r="AGH183" s="460"/>
      <c r="AGI183" s="460"/>
      <c r="AGJ183" s="460"/>
      <c r="AGK183" s="460"/>
      <c r="AGL183" s="460"/>
      <c r="AGM183" s="460"/>
      <c r="AGN183" s="460"/>
      <c r="AGO183" s="460"/>
      <c r="AGP183" s="460"/>
      <c r="AGQ183" s="460"/>
      <c r="AGR183" s="460"/>
      <c r="AGS183" s="460"/>
      <c r="AGT183" s="460"/>
      <c r="AGU183" s="460"/>
      <c r="AGV183" s="460"/>
      <c r="AGW183" s="460"/>
      <c r="AGX183" s="460"/>
      <c r="AGY183" s="460"/>
      <c r="AGZ183" s="460"/>
      <c r="AHA183" s="460"/>
      <c r="AHB183" s="460"/>
      <c r="AHC183" s="460"/>
      <c r="AHD183" s="460"/>
      <c r="AHE183" s="460"/>
      <c r="AHF183" s="460"/>
      <c r="AHG183" s="460"/>
      <c r="AHH183" s="460"/>
      <c r="AHI183" s="460"/>
      <c r="AHJ183" s="460"/>
      <c r="AHK183" s="460"/>
      <c r="AHL183" s="460"/>
      <c r="AHM183" s="460"/>
      <c r="AHN183" s="460"/>
      <c r="AHO183" s="460"/>
      <c r="AHP183" s="460"/>
      <c r="AHQ183" s="460"/>
      <c r="AHR183" s="460"/>
      <c r="AHS183" s="460"/>
      <c r="AHT183" s="460"/>
      <c r="AHU183" s="460"/>
      <c r="AHV183" s="460"/>
      <c r="AHW183" s="460"/>
      <c r="AHX183" s="460"/>
      <c r="AHY183" s="460"/>
      <c r="AHZ183" s="460"/>
      <c r="AIA183" s="460"/>
      <c r="AIB183" s="460"/>
      <c r="AIC183" s="460"/>
      <c r="AID183" s="460"/>
      <c r="AIE183" s="460"/>
      <c r="AIF183" s="460"/>
      <c r="AIG183" s="460"/>
      <c r="AIH183" s="460"/>
      <c r="AII183" s="460"/>
      <c r="AIJ183" s="460"/>
      <c r="AIK183" s="460"/>
      <c r="AIL183" s="460"/>
      <c r="AIM183" s="460"/>
      <c r="AIN183" s="460"/>
      <c r="AIO183" s="460"/>
      <c r="AIP183" s="460"/>
      <c r="AIQ183" s="460"/>
      <c r="AIR183" s="460"/>
      <c r="AIS183" s="460"/>
      <c r="AIT183" s="460"/>
      <c r="AIU183" s="460"/>
      <c r="AIV183" s="460"/>
      <c r="AIW183" s="460"/>
      <c r="AIX183" s="460"/>
      <c r="AIY183" s="460"/>
      <c r="AIZ183" s="460"/>
      <c r="AJA183" s="460"/>
      <c r="AJB183" s="460"/>
      <c r="AJC183" s="460"/>
      <c r="AJD183" s="460"/>
      <c r="AJE183" s="460"/>
      <c r="AJF183" s="460"/>
      <c r="AJG183" s="460"/>
      <c r="AJH183" s="460"/>
      <c r="AJI183" s="460"/>
      <c r="AJJ183" s="460"/>
      <c r="AJK183" s="460"/>
      <c r="AJL183" s="460"/>
      <c r="AJM183" s="460"/>
      <c r="AJN183" s="460"/>
      <c r="AJO183" s="460"/>
      <c r="AJP183" s="460"/>
      <c r="AJQ183" s="460"/>
      <c r="AJR183" s="460"/>
      <c r="AJS183" s="460"/>
      <c r="AJT183" s="460"/>
      <c r="AJU183" s="460"/>
      <c r="AJV183" s="460"/>
      <c r="AJW183" s="460"/>
      <c r="AJX183" s="460"/>
      <c r="AJY183" s="460"/>
      <c r="AJZ183" s="460"/>
      <c r="AKA183" s="460"/>
      <c r="AKB183" s="460"/>
      <c r="AKC183" s="460"/>
      <c r="AKD183" s="460"/>
      <c r="AKE183" s="460"/>
      <c r="AKF183" s="460"/>
      <c r="AKG183" s="460"/>
      <c r="AKH183" s="460"/>
      <c r="AKI183" s="460"/>
      <c r="AKJ183" s="460"/>
      <c r="AKK183" s="460"/>
      <c r="AKL183" s="460"/>
      <c r="AKM183" s="460"/>
      <c r="AKN183" s="460"/>
      <c r="AKO183" s="460"/>
      <c r="AKP183" s="460"/>
      <c r="AKQ183" s="460"/>
      <c r="AKR183" s="460"/>
      <c r="AKS183" s="460"/>
      <c r="AKT183" s="460"/>
      <c r="AKU183" s="460"/>
      <c r="AKV183" s="460"/>
      <c r="AKW183" s="460"/>
      <c r="AKX183" s="460"/>
      <c r="AKY183" s="460"/>
      <c r="AKZ183" s="460"/>
      <c r="ALA183" s="460"/>
      <c r="ALB183" s="460"/>
      <c r="ALC183" s="460"/>
      <c r="ALD183" s="460"/>
      <c r="ALE183" s="460"/>
      <c r="ALF183" s="460"/>
      <c r="ALG183" s="460"/>
      <c r="ALH183" s="460"/>
      <c r="ALI183" s="460"/>
      <c r="ALJ183" s="460"/>
      <c r="ALK183" s="460"/>
      <c r="ALL183" s="460"/>
      <c r="ALM183" s="460"/>
      <c r="ALN183" s="460"/>
      <c r="ALO183" s="460"/>
      <c r="ALP183" s="460"/>
      <c r="ALQ183" s="460"/>
      <c r="ALR183" s="460"/>
      <c r="ALS183" s="460"/>
      <c r="ALT183" s="460"/>
      <c r="ALU183" s="460"/>
      <c r="ALV183" s="460"/>
      <c r="ALW183" s="460"/>
      <c r="ALX183" s="460"/>
      <c r="ALY183" s="460"/>
      <c r="ALZ183" s="460"/>
      <c r="AMA183" s="460"/>
      <c r="AMB183" s="460"/>
      <c r="AMC183" s="460"/>
      <c r="AMD183" s="460"/>
      <c r="AME183" s="460"/>
      <c r="AMF183" s="460"/>
      <c r="AMG183" s="460"/>
      <c r="AMH183" s="460"/>
      <c r="AMI183" s="460"/>
      <c r="AMJ183" s="460"/>
      <c r="AMK183" s="460"/>
      <c r="AML183" s="460"/>
      <c r="AMM183" s="460"/>
      <c r="AMN183" s="460"/>
      <c r="AMO183" s="460"/>
      <c r="AMP183" s="460"/>
    </row>
    <row r="184" spans="1:1030" x14ac:dyDescent="0.35">
      <c r="A184" s="46">
        <v>556</v>
      </c>
      <c r="B184" s="240" t="s">
        <v>194</v>
      </c>
      <c r="C184" s="364">
        <v>142.555555555556</v>
      </c>
      <c r="D184" s="365">
        <v>2.3022866823945755E-3</v>
      </c>
      <c r="E184" s="191">
        <v>0.94899999999999995</v>
      </c>
      <c r="F184" s="191">
        <v>0.89200000000000002</v>
      </c>
      <c r="G184" s="191">
        <v>0.84399999999999997</v>
      </c>
      <c r="H184" s="191">
        <v>0.78300000000000003</v>
      </c>
      <c r="I184" s="191">
        <v>0.75600000000000001</v>
      </c>
      <c r="J184" s="191">
        <v>0.71499999999999997</v>
      </c>
      <c r="K184" s="361">
        <v>2.1848700615924518E-3</v>
      </c>
      <c r="L184" s="362">
        <v>2.0536397206959616E-3</v>
      </c>
      <c r="M184" s="362">
        <v>1.9431299599410217E-3</v>
      </c>
      <c r="N184" s="362">
        <v>1.8026904723149526E-3</v>
      </c>
      <c r="O184" s="362">
        <v>1.7405287318902991E-3</v>
      </c>
      <c r="P184" s="363">
        <v>1.6461349779121213E-3</v>
      </c>
      <c r="Q184" s="273">
        <v>174.47932421039818</v>
      </c>
      <c r="R184" s="273">
        <v>167.08867306295127</v>
      </c>
      <c r="S184" s="273">
        <v>159.14712616928711</v>
      </c>
      <c r="T184" s="273">
        <v>151.42085980545161</v>
      </c>
      <c r="U184" s="273">
        <v>141.07653008076144</v>
      </c>
      <c r="V184" s="273">
        <f t="shared" si="90"/>
        <v>135.28522222222264</v>
      </c>
      <c r="W184" s="273">
        <f t="shared" si="91"/>
        <v>127.15955555555595</v>
      </c>
      <c r="X184" s="273">
        <f t="shared" si="92"/>
        <v>120.31688888888925</v>
      </c>
      <c r="Y184" s="273">
        <f t="shared" si="93"/>
        <v>111.62100000000035</v>
      </c>
      <c r="Z184" s="273">
        <f t="shared" si="94"/>
        <v>107.77200000000033</v>
      </c>
      <c r="AA184" s="273">
        <f t="shared" si="95"/>
        <v>101.92722222222254</v>
      </c>
      <c r="AB184" s="100">
        <v>556</v>
      </c>
      <c r="AC184" s="101" t="s">
        <v>194</v>
      </c>
      <c r="AD184" s="159"/>
      <c r="AE184" s="159"/>
      <c r="AF184" s="164"/>
      <c r="AG184" s="164"/>
      <c r="AH184" s="164"/>
      <c r="AI184" s="159">
        <f t="shared" si="96"/>
        <v>4113071.4239238761</v>
      </c>
      <c r="AJ184" s="159">
        <f t="shared" si="103"/>
        <v>3909384.3293808643</v>
      </c>
      <c r="AK184" s="159">
        <f t="shared" si="104"/>
        <v>3771918.3686984833</v>
      </c>
      <c r="AL184" s="159">
        <f t="shared" si="105"/>
        <v>3595059.2152220043</v>
      </c>
      <c r="AM184" s="159">
        <f t="shared" si="106"/>
        <v>3575151.6153064771</v>
      </c>
      <c r="AN184" s="159">
        <f t="shared" si="107"/>
        <v>3488845.4786820388</v>
      </c>
    </row>
    <row r="185" spans="1:1030" x14ac:dyDescent="0.35">
      <c r="A185" s="46">
        <v>935</v>
      </c>
      <c r="B185" s="240" t="s">
        <v>195</v>
      </c>
      <c r="C185" s="364">
        <v>633.21527777777806</v>
      </c>
      <c r="D185" s="365">
        <v>1.0226490966522993E-2</v>
      </c>
      <c r="E185" s="191">
        <v>0.94599999999999995</v>
      </c>
      <c r="F185" s="191">
        <v>0.878</v>
      </c>
      <c r="G185" s="191">
        <v>0.82099999999999995</v>
      </c>
      <c r="H185" s="191">
        <v>0.75800000000000001</v>
      </c>
      <c r="I185" s="191">
        <v>0.69599999999999995</v>
      </c>
      <c r="J185" s="191">
        <v>0.65300000000000002</v>
      </c>
      <c r="K185" s="361">
        <v>9.6742604543307506E-3</v>
      </c>
      <c r="L185" s="362">
        <v>8.9788590686071881E-3</v>
      </c>
      <c r="M185" s="362">
        <v>8.3959490835153767E-3</v>
      </c>
      <c r="N185" s="362">
        <v>7.7516801526244291E-3</v>
      </c>
      <c r="O185" s="362">
        <v>7.1176377127000028E-3</v>
      </c>
      <c r="P185" s="363">
        <v>6.6778986011395147E-3</v>
      </c>
      <c r="Q185" s="273">
        <v>891.81923953187481</v>
      </c>
      <c r="R185" s="273">
        <v>820.16552833818196</v>
      </c>
      <c r="S185" s="273">
        <v>764.02400199249894</v>
      </c>
      <c r="T185" s="273">
        <v>693.49979961613076</v>
      </c>
      <c r="U185" s="273">
        <v>648.25744727771723</v>
      </c>
      <c r="V185" s="273">
        <f t="shared" si="90"/>
        <v>599.02165277777806</v>
      </c>
      <c r="W185" s="273">
        <f t="shared" si="91"/>
        <v>555.96301388888912</v>
      </c>
      <c r="X185" s="273">
        <f t="shared" si="92"/>
        <v>519.86974305555577</v>
      </c>
      <c r="Y185" s="273">
        <f t="shared" si="93"/>
        <v>479.97718055555578</v>
      </c>
      <c r="Z185" s="273">
        <f t="shared" si="94"/>
        <v>440.71783333333349</v>
      </c>
      <c r="AA185" s="273">
        <f t="shared" si="95"/>
        <v>413.48957638888908</v>
      </c>
      <c r="AB185" s="100">
        <v>935</v>
      </c>
      <c r="AC185" s="101" t="s">
        <v>195</v>
      </c>
      <c r="AD185" s="159"/>
      <c r="AE185" s="159"/>
      <c r="AF185" s="164"/>
      <c r="AG185" s="164"/>
      <c r="AH185" s="164"/>
      <c r="AI185" s="159">
        <f t="shared" si="96"/>
        <v>18212032.340862799</v>
      </c>
      <c r="AJ185" s="159">
        <f t="shared" si="103"/>
        <v>17092487.345655981</v>
      </c>
      <c r="AK185" s="159">
        <f t="shared" si="104"/>
        <v>16297846.888084661</v>
      </c>
      <c r="AL185" s="159">
        <f t="shared" si="105"/>
        <v>15458976.232541557</v>
      </c>
      <c r="AM185" s="159">
        <f t="shared" si="106"/>
        <v>14620059.697658325</v>
      </c>
      <c r="AN185" s="159">
        <f t="shared" si="107"/>
        <v>14153247.852878366</v>
      </c>
    </row>
    <row r="186" spans="1:1030" x14ac:dyDescent="0.35">
      <c r="A186" s="46">
        <v>420</v>
      </c>
      <c r="B186" s="240" t="s">
        <v>196</v>
      </c>
      <c r="C186" s="364">
        <v>78.741898148148195</v>
      </c>
      <c r="D186" s="365">
        <v>1.2716896423044116E-3</v>
      </c>
      <c r="E186" s="191">
        <v>0.97599999999999998</v>
      </c>
      <c r="F186" s="191">
        <v>0.93100000000000005</v>
      </c>
      <c r="G186" s="191">
        <v>0.85799999999999998</v>
      </c>
      <c r="H186" s="191">
        <v>0.79300000000000004</v>
      </c>
      <c r="I186" s="191">
        <v>0.752</v>
      </c>
      <c r="J186" s="191">
        <v>0.69499999999999995</v>
      </c>
      <c r="K186" s="361">
        <v>1.2411690908891058E-3</v>
      </c>
      <c r="L186" s="362">
        <v>1.1839430569854073E-3</v>
      </c>
      <c r="M186" s="362">
        <v>1.0911097130971851E-3</v>
      </c>
      <c r="N186" s="362">
        <v>1.0084498863473985E-3</v>
      </c>
      <c r="O186" s="362">
        <v>9.5631061101291749E-4</v>
      </c>
      <c r="P186" s="363">
        <v>8.8382430140156599E-4</v>
      </c>
      <c r="Q186" s="273">
        <v>97.97209143870333</v>
      </c>
      <c r="R186" s="273">
        <v>95.921296296296305</v>
      </c>
      <c r="S186" s="273">
        <v>90.615588071721064</v>
      </c>
      <c r="T186" s="273">
        <v>85.860835687578231</v>
      </c>
      <c r="U186" s="273">
        <v>79.125614677372056</v>
      </c>
      <c r="V186" s="273">
        <f t="shared" si="90"/>
        <v>76.852092592592641</v>
      </c>
      <c r="W186" s="273">
        <f t="shared" si="91"/>
        <v>73.308707175925974</v>
      </c>
      <c r="X186" s="273">
        <f t="shared" si="92"/>
        <v>67.560548611111145</v>
      </c>
      <c r="Y186" s="273">
        <f t="shared" si="93"/>
        <v>62.442325231481519</v>
      </c>
      <c r="Z186" s="273">
        <f t="shared" si="94"/>
        <v>59.21390740740744</v>
      </c>
      <c r="AA186" s="273">
        <f t="shared" si="95"/>
        <v>54.725619212962989</v>
      </c>
      <c r="AB186" s="100">
        <v>420</v>
      </c>
      <c r="AC186" s="101" t="s">
        <v>196</v>
      </c>
      <c r="AD186" s="159"/>
      <c r="AE186" s="159"/>
      <c r="AF186" s="164"/>
      <c r="AG186" s="164"/>
      <c r="AH186" s="164"/>
      <c r="AI186" s="159">
        <f t="shared" si="96"/>
        <v>2336531.22432038</v>
      </c>
      <c r="AJ186" s="159">
        <f t="shared" si="103"/>
        <v>2253797.6779536922</v>
      </c>
      <c r="AK186" s="159">
        <f t="shared" si="104"/>
        <v>2118014.1595992483</v>
      </c>
      <c r="AL186" s="159">
        <f t="shared" si="105"/>
        <v>2011125.6550588724</v>
      </c>
      <c r="AM186" s="159">
        <f t="shared" si="106"/>
        <v>1964320.0155532069</v>
      </c>
      <c r="AN186" s="159">
        <f t="shared" si="107"/>
        <v>1873191.7244144594</v>
      </c>
    </row>
    <row r="187" spans="1:1030" x14ac:dyDescent="0.35">
      <c r="A187" s="46">
        <v>938</v>
      </c>
      <c r="B187" s="240" t="s">
        <v>197</v>
      </c>
      <c r="C187" s="364">
        <v>59.460648148148103</v>
      </c>
      <c r="D187" s="365">
        <v>9.6029549900411202E-4</v>
      </c>
      <c r="E187" s="191">
        <v>0.97599999999999998</v>
      </c>
      <c r="F187" s="191">
        <v>0.90900000000000003</v>
      </c>
      <c r="G187" s="191">
        <v>0.872</v>
      </c>
      <c r="H187" s="191">
        <v>0.84899999999999998</v>
      </c>
      <c r="I187" s="191">
        <v>0.79900000000000004</v>
      </c>
      <c r="J187" s="191">
        <v>0.73</v>
      </c>
      <c r="K187" s="361">
        <v>9.372484070280133E-4</v>
      </c>
      <c r="L187" s="362">
        <v>8.729086085947379E-4</v>
      </c>
      <c r="M187" s="362">
        <v>8.3737767513158566E-4</v>
      </c>
      <c r="N187" s="362">
        <v>8.1529087865449105E-4</v>
      </c>
      <c r="O187" s="362">
        <v>7.6727610370428551E-4</v>
      </c>
      <c r="P187" s="363">
        <v>7.0101571427300178E-4</v>
      </c>
      <c r="Q187" s="273">
        <v>75.807291666666657</v>
      </c>
      <c r="R187" s="273">
        <v>71.231481481481495</v>
      </c>
      <c r="S187" s="273">
        <v>66.429972047409422</v>
      </c>
      <c r="T187" s="273">
        <v>62.560984592541537</v>
      </c>
      <c r="U187" s="273">
        <v>60.242874387977047</v>
      </c>
      <c r="V187" s="273">
        <f t="shared" si="90"/>
        <v>58.033592592592548</v>
      </c>
      <c r="W187" s="273">
        <f t="shared" si="91"/>
        <v>54.04972916666663</v>
      </c>
      <c r="X187" s="273">
        <f t="shared" si="92"/>
        <v>51.849685185185145</v>
      </c>
      <c r="Y187" s="273">
        <f t="shared" si="93"/>
        <v>50.482090277777736</v>
      </c>
      <c r="Z187" s="273">
        <f t="shared" si="94"/>
        <v>47.509057870370334</v>
      </c>
      <c r="AA187" s="273">
        <f t="shared" si="95"/>
        <v>43.406273148148117</v>
      </c>
      <c r="AB187" s="100">
        <v>938</v>
      </c>
      <c r="AC187" s="101" t="s">
        <v>197</v>
      </c>
      <c r="AD187" s="159"/>
      <c r="AE187" s="159"/>
      <c r="AF187" s="164"/>
      <c r="AG187" s="164"/>
      <c r="AH187" s="164"/>
      <c r="AI187" s="159">
        <f t="shared" si="96"/>
        <v>1764393.0903860633</v>
      </c>
      <c r="AJ187" s="159">
        <f t="shared" si="103"/>
        <v>1661701.0281946841</v>
      </c>
      <c r="AK187" s="159">
        <f t="shared" si="104"/>
        <v>1625480.693253645</v>
      </c>
      <c r="AL187" s="159">
        <f t="shared" si="105"/>
        <v>1625913.6171221673</v>
      </c>
      <c r="AM187" s="159">
        <f t="shared" si="106"/>
        <v>1576031.6685868581</v>
      </c>
      <c r="AN187" s="159">
        <f t="shared" si="107"/>
        <v>1485744.2056959847</v>
      </c>
    </row>
    <row r="188" spans="1:1030" x14ac:dyDescent="0.35">
      <c r="A188" s="46">
        <v>1948</v>
      </c>
      <c r="B188" s="240" t="s">
        <v>198</v>
      </c>
      <c r="C188" s="364">
        <v>505.621527777778</v>
      </c>
      <c r="D188" s="365">
        <v>8.1658389615065965E-3</v>
      </c>
      <c r="E188" s="191">
        <v>0.94399999999999995</v>
      </c>
      <c r="F188" s="191">
        <v>0.89700000000000002</v>
      </c>
      <c r="G188" s="191">
        <v>0.85399999999999998</v>
      </c>
      <c r="H188" s="191">
        <v>0.79900000000000004</v>
      </c>
      <c r="I188" s="191">
        <v>0.753</v>
      </c>
      <c r="J188" s="191">
        <v>0.70299999999999996</v>
      </c>
      <c r="K188" s="361">
        <v>7.7085519796622265E-3</v>
      </c>
      <c r="L188" s="362">
        <v>7.324757548471417E-3</v>
      </c>
      <c r="M188" s="362">
        <v>6.9736264731266335E-3</v>
      </c>
      <c r="N188" s="362">
        <v>6.5245053302437706E-3</v>
      </c>
      <c r="O188" s="362">
        <v>6.1488767380144674E-3</v>
      </c>
      <c r="P188" s="363">
        <v>5.7405847899391366E-3</v>
      </c>
      <c r="Q188" s="273">
        <v>618.44887858412017</v>
      </c>
      <c r="R188" s="273">
        <v>601.11846229269599</v>
      </c>
      <c r="S188" s="273">
        <v>577.41726314669393</v>
      </c>
      <c r="T188" s="273">
        <v>529.83843735743824</v>
      </c>
      <c r="U188" s="273">
        <v>501.78224696488309</v>
      </c>
      <c r="V188" s="273">
        <f t="shared" si="90"/>
        <v>477.30672222222239</v>
      </c>
      <c r="W188" s="273">
        <f t="shared" si="91"/>
        <v>453.54251041666686</v>
      </c>
      <c r="X188" s="273">
        <f t="shared" si="92"/>
        <v>431.80078472222237</v>
      </c>
      <c r="Y188" s="273">
        <f t="shared" si="93"/>
        <v>403.99160069444463</v>
      </c>
      <c r="Z188" s="273">
        <f t="shared" si="94"/>
        <v>380.73301041666684</v>
      </c>
      <c r="AA188" s="273">
        <f t="shared" si="95"/>
        <v>355.4519340277779</v>
      </c>
      <c r="AB188" s="100">
        <v>1948</v>
      </c>
      <c r="AC188" s="101" t="s">
        <v>198</v>
      </c>
      <c r="AD188" s="159"/>
      <c r="AE188" s="159"/>
      <c r="AF188" s="164"/>
      <c r="AG188" s="164"/>
      <c r="AH188" s="164"/>
      <c r="AI188" s="159">
        <f t="shared" si="96"/>
        <v>14511537.974149179</v>
      </c>
      <c r="AJ188" s="159">
        <f t="shared" si="103"/>
        <v>13943678.673493952</v>
      </c>
      <c r="AK188" s="159">
        <f t="shared" si="104"/>
        <v>13536896.827645408</v>
      </c>
      <c r="AL188" s="159">
        <f t="shared" si="105"/>
        <v>13011653.066616917</v>
      </c>
      <c r="AM188" s="159">
        <f t="shared" si="106"/>
        <v>12630165.87974279</v>
      </c>
      <c r="AN188" s="159">
        <f t="shared" si="107"/>
        <v>12166689.583847255</v>
      </c>
    </row>
    <row r="189" spans="1:1030" x14ac:dyDescent="0.35">
      <c r="A189" s="46">
        <v>119</v>
      </c>
      <c r="B189" s="240" t="s">
        <v>199</v>
      </c>
      <c r="C189" s="364">
        <v>242.26851851851799</v>
      </c>
      <c r="D189" s="365">
        <v>3.9126611486654814E-3</v>
      </c>
      <c r="E189" s="191">
        <v>0.94</v>
      </c>
      <c r="F189" s="191">
        <v>0.89900000000000002</v>
      </c>
      <c r="G189" s="191">
        <v>0.85099999999999998</v>
      </c>
      <c r="H189" s="191">
        <v>0.80100000000000005</v>
      </c>
      <c r="I189" s="191">
        <v>0.76</v>
      </c>
      <c r="J189" s="191">
        <v>0.71</v>
      </c>
      <c r="K189" s="361">
        <v>3.6779014797455522E-3</v>
      </c>
      <c r="L189" s="362">
        <v>3.517482372650268E-3</v>
      </c>
      <c r="M189" s="362">
        <v>3.3296746375143247E-3</v>
      </c>
      <c r="N189" s="362">
        <v>3.1340415800810506E-3</v>
      </c>
      <c r="O189" s="362">
        <v>2.973622472985766E-3</v>
      </c>
      <c r="P189" s="363">
        <v>2.7779894155524915E-3</v>
      </c>
      <c r="Q189" s="273">
        <v>286.99743595862191</v>
      </c>
      <c r="R189" s="273">
        <v>276.25087699094655</v>
      </c>
      <c r="S189" s="273">
        <v>262.20165663778687</v>
      </c>
      <c r="T189" s="273">
        <v>246.39377745692968</v>
      </c>
      <c r="U189" s="273">
        <v>241.05678640194571</v>
      </c>
      <c r="V189" s="273">
        <f t="shared" si="90"/>
        <v>227.7324074074069</v>
      </c>
      <c r="W189" s="273">
        <f t="shared" si="91"/>
        <v>217.79939814814767</v>
      </c>
      <c r="X189" s="273">
        <f t="shared" si="92"/>
        <v>206.17050925925881</v>
      </c>
      <c r="Y189" s="273">
        <f t="shared" si="93"/>
        <v>194.05708333333291</v>
      </c>
      <c r="Z189" s="273">
        <f t="shared" si="94"/>
        <v>184.12407407407369</v>
      </c>
      <c r="AA189" s="273">
        <f t="shared" si="95"/>
        <v>172.01064814814777</v>
      </c>
      <c r="AB189" s="100">
        <v>119</v>
      </c>
      <c r="AC189" s="101" t="s">
        <v>199</v>
      </c>
      <c r="AD189" s="159"/>
      <c r="AE189" s="159"/>
      <c r="AF189" s="164"/>
      <c r="AG189" s="164"/>
      <c r="AH189" s="164"/>
      <c r="AI189" s="159">
        <f t="shared" si="96"/>
        <v>6923739.6503676036</v>
      </c>
      <c r="AJ189" s="159">
        <f t="shared" si="103"/>
        <v>6696009.2015809929</v>
      </c>
      <c r="AK189" s="159">
        <f t="shared" si="104"/>
        <v>6463417.8804030931</v>
      </c>
      <c r="AL189" s="159">
        <f t="shared" si="105"/>
        <v>6250138.4660288002</v>
      </c>
      <c r="AM189" s="159">
        <f t="shared" si="106"/>
        <v>6108000.972819767</v>
      </c>
      <c r="AN189" s="159">
        <f t="shared" si="107"/>
        <v>5887716.3430241346</v>
      </c>
    </row>
    <row r="190" spans="1:1030" x14ac:dyDescent="0.35">
      <c r="A190" s="46">
        <v>687</v>
      </c>
      <c r="B190" s="240" t="s">
        <v>200</v>
      </c>
      <c r="C190" s="364">
        <v>195.184027777778</v>
      </c>
      <c r="D190" s="365">
        <v>3.1522418471708401E-3</v>
      </c>
      <c r="E190" s="191">
        <v>0.94599999999999995</v>
      </c>
      <c r="F190" s="191">
        <v>0.89600000000000002</v>
      </c>
      <c r="G190" s="191">
        <v>0.82199999999999995</v>
      </c>
      <c r="H190" s="191">
        <v>0.751</v>
      </c>
      <c r="I190" s="191">
        <v>0.69299999999999995</v>
      </c>
      <c r="J190" s="191">
        <v>0.65500000000000003</v>
      </c>
      <c r="K190" s="361">
        <v>2.9820207874236148E-3</v>
      </c>
      <c r="L190" s="362">
        <v>2.8244086950650728E-3</v>
      </c>
      <c r="M190" s="362">
        <v>2.5911427983744302E-3</v>
      </c>
      <c r="N190" s="362">
        <v>2.3673336272253009E-3</v>
      </c>
      <c r="O190" s="362">
        <v>2.1845036000893922E-3</v>
      </c>
      <c r="P190" s="363">
        <v>2.0647184098969004E-3</v>
      </c>
      <c r="Q190" s="273">
        <v>251.11787016701021</v>
      </c>
      <c r="R190" s="273">
        <v>234.9120865980118</v>
      </c>
      <c r="S190" s="273">
        <v>215.66102287893952</v>
      </c>
      <c r="T190" s="273">
        <v>205.2293910571411</v>
      </c>
      <c r="U190" s="273">
        <v>195.74604462868496</v>
      </c>
      <c r="V190" s="273">
        <f t="shared" si="90"/>
        <v>184.64409027777799</v>
      </c>
      <c r="W190" s="273">
        <f t="shared" si="91"/>
        <v>174.88488888888909</v>
      </c>
      <c r="X190" s="273">
        <f t="shared" si="92"/>
        <v>160.4412708333335</v>
      </c>
      <c r="Y190" s="273">
        <f t="shared" si="93"/>
        <v>146.58320486111128</v>
      </c>
      <c r="Z190" s="273">
        <f t="shared" si="94"/>
        <v>135.26253125000014</v>
      </c>
      <c r="AA190" s="273">
        <f t="shared" si="95"/>
        <v>127.8455381944446</v>
      </c>
      <c r="AB190" s="100">
        <v>687</v>
      </c>
      <c r="AC190" s="101" t="s">
        <v>200</v>
      </c>
      <c r="AD190" s="159"/>
      <c r="AE190" s="159"/>
      <c r="AF190" s="164"/>
      <c r="AG190" s="164"/>
      <c r="AH190" s="164"/>
      <c r="AI190" s="159">
        <f t="shared" si="96"/>
        <v>5613727.196829021</v>
      </c>
      <c r="AJ190" s="159">
        <f t="shared" si="103"/>
        <v>5376648.5820173528</v>
      </c>
      <c r="AK190" s="159">
        <f t="shared" si="104"/>
        <v>5029812.3741584197</v>
      </c>
      <c r="AL190" s="159">
        <f t="shared" si="105"/>
        <v>4721112.5275056791</v>
      </c>
      <c r="AM190" s="159">
        <f t="shared" si="106"/>
        <v>4487102.9310848769</v>
      </c>
      <c r="AN190" s="159">
        <f t="shared" si="107"/>
        <v>4375998.0717115449</v>
      </c>
    </row>
    <row r="191" spans="1:1030" x14ac:dyDescent="0.35">
      <c r="A191" s="46">
        <v>1952</v>
      </c>
      <c r="B191" s="240" t="s">
        <v>203</v>
      </c>
      <c r="C191" s="364">
        <v>374.39120370370398</v>
      </c>
      <c r="D191" s="365">
        <v>6.0464559163167474E-3</v>
      </c>
      <c r="E191" s="191">
        <v>0.95499999999999996</v>
      </c>
      <c r="F191" s="191">
        <v>0.91500000000000004</v>
      </c>
      <c r="G191" s="191">
        <v>0.86199999999999999</v>
      </c>
      <c r="H191" s="191">
        <v>0.82299999999999995</v>
      </c>
      <c r="I191" s="191">
        <v>0.77800000000000002</v>
      </c>
      <c r="J191" s="191">
        <v>0.72499999999999998</v>
      </c>
      <c r="K191" s="361">
        <v>5.7743654000824932E-3</v>
      </c>
      <c r="L191" s="362">
        <v>5.5325071634298242E-3</v>
      </c>
      <c r="M191" s="362">
        <v>5.2120449998650361E-3</v>
      </c>
      <c r="N191" s="362">
        <v>4.9762332191286831E-3</v>
      </c>
      <c r="O191" s="362">
        <v>4.7041427028944299E-3</v>
      </c>
      <c r="P191" s="363">
        <v>4.3836805393296418E-3</v>
      </c>
      <c r="Q191" s="273">
        <v>434.18857905004904</v>
      </c>
      <c r="R191" s="273">
        <v>417.22683885764724</v>
      </c>
      <c r="S191" s="273">
        <v>409.67175186877307</v>
      </c>
      <c r="T191" s="273">
        <v>391.3581995983285</v>
      </c>
      <c r="U191" s="273">
        <v>371.28564499994508</v>
      </c>
      <c r="V191" s="273">
        <f t="shared" si="90"/>
        <v>357.54359953703727</v>
      </c>
      <c r="W191" s="273">
        <f t="shared" si="91"/>
        <v>342.56795138888913</v>
      </c>
      <c r="X191" s="273">
        <f t="shared" si="92"/>
        <v>322.7252175925928</v>
      </c>
      <c r="Y191" s="273">
        <f t="shared" si="93"/>
        <v>308.12396064814834</v>
      </c>
      <c r="Z191" s="273">
        <f t="shared" si="94"/>
        <v>291.27635648148168</v>
      </c>
      <c r="AA191" s="273">
        <f t="shared" si="95"/>
        <v>271.43362268518536</v>
      </c>
      <c r="AB191" s="100">
        <v>1952</v>
      </c>
      <c r="AC191" s="101" t="s">
        <v>203</v>
      </c>
      <c r="AD191" s="159"/>
      <c r="AE191" s="159"/>
      <c r="AF191" s="164"/>
      <c r="AG191" s="164"/>
      <c r="AH191" s="164"/>
      <c r="AI191" s="159">
        <f t="shared" si="96"/>
        <v>10870384.347279442</v>
      </c>
      <c r="AJ191" s="159">
        <f t="shared" si="103"/>
        <v>10531884.725900289</v>
      </c>
      <c r="AK191" s="159">
        <f t="shared" si="104"/>
        <v>10117392.392051185</v>
      </c>
      <c r="AL191" s="159">
        <f t="shared" si="105"/>
        <v>9923973.8414709102</v>
      </c>
      <c r="AM191" s="159">
        <f t="shared" si="106"/>
        <v>9662594.5178279262</v>
      </c>
      <c r="AN191" s="159">
        <f t="shared" si="107"/>
        <v>9290844.4537305292</v>
      </c>
    </row>
    <row r="193" spans="1:40" x14ac:dyDescent="0.35">
      <c r="A193" s="46">
        <v>1709</v>
      </c>
      <c r="B193" s="240" t="s">
        <v>205</v>
      </c>
      <c r="C193" s="364">
        <v>88.564814814814795</v>
      </c>
      <c r="D193" s="365">
        <v>1.4303307428620447E-3</v>
      </c>
      <c r="E193" s="191">
        <v>0.96699999999999997</v>
      </c>
      <c r="F193" s="191">
        <v>0.89</v>
      </c>
      <c r="G193" s="191">
        <v>0.83799999999999997</v>
      </c>
      <c r="H193" s="191">
        <v>0.79800000000000004</v>
      </c>
      <c r="I193" s="191">
        <v>0.74</v>
      </c>
      <c r="J193" s="191">
        <v>0.66600000000000004</v>
      </c>
      <c r="K193" s="361">
        <v>1.3831298283475972E-3</v>
      </c>
      <c r="L193" s="362">
        <v>1.2729943611472197E-3</v>
      </c>
      <c r="M193" s="362">
        <v>1.1986171625183934E-3</v>
      </c>
      <c r="N193" s="362">
        <v>1.1414039328039118E-3</v>
      </c>
      <c r="O193" s="362">
        <v>1.0584447497179131E-3</v>
      </c>
      <c r="P193" s="363">
        <v>9.5260027474612186E-4</v>
      </c>
      <c r="Q193" s="273">
        <v>116.2400863861497</v>
      </c>
      <c r="R193" s="273">
        <v>109.39885291928704</v>
      </c>
      <c r="S193" s="273">
        <v>101.96458021475</v>
      </c>
      <c r="T193" s="273">
        <v>97.28262036235715</v>
      </c>
      <c r="U193" s="273">
        <v>88.830994712067167</v>
      </c>
      <c r="V193" s="273">
        <f t="shared" si="90"/>
        <v>85.642175925925898</v>
      </c>
      <c r="W193" s="273">
        <f t="shared" si="91"/>
        <v>78.822685185185165</v>
      </c>
      <c r="X193" s="273">
        <f t="shared" si="92"/>
        <v>74.217314814814799</v>
      </c>
      <c r="Y193" s="273">
        <f t="shared" si="93"/>
        <v>70.674722222222215</v>
      </c>
      <c r="Z193" s="273">
        <f t="shared" si="94"/>
        <v>65.537962962962951</v>
      </c>
      <c r="AA193" s="273">
        <f t="shared" si="95"/>
        <v>58.98416666666666</v>
      </c>
      <c r="AB193" s="100">
        <v>1709</v>
      </c>
      <c r="AC193" s="101" t="s">
        <v>205</v>
      </c>
      <c r="AD193" s="159"/>
      <c r="AE193" s="159"/>
      <c r="AF193" s="164"/>
      <c r="AG193" s="164"/>
      <c r="AH193" s="164"/>
      <c r="AI193" s="159">
        <f t="shared" si="96"/>
        <v>2603775.7908618371</v>
      </c>
      <c r="AJ193" s="159">
        <f t="shared" ref="AJ193:AJ224" si="115">+W193*AJ$8</f>
        <v>2423319.0255847843</v>
      </c>
      <c r="AK193" s="159">
        <f t="shared" ref="AK193:AK224" si="116">+X193*AK$8</f>
        <v>2326702.8894339157</v>
      </c>
      <c r="AL193" s="159">
        <f t="shared" ref="AL193:AL224" si="117">+Y193*AL$8</f>
        <v>2276272.4882258228</v>
      </c>
      <c r="AM193" s="159">
        <f t="shared" ref="AM193:AM224" si="118">+Z193*AM$8</f>
        <v>2174109.7330561955</v>
      </c>
      <c r="AN193" s="159">
        <f t="shared" ref="AN193:AN224" si="119">+AA193*AN$8</f>
        <v>2018956.6506597239</v>
      </c>
    </row>
    <row r="194" spans="1:40" x14ac:dyDescent="0.35">
      <c r="A194" s="46">
        <v>1978</v>
      </c>
      <c r="B194" s="240" t="s">
        <v>206</v>
      </c>
      <c r="C194" s="364">
        <v>38.851851851851897</v>
      </c>
      <c r="D194" s="365">
        <v>6.2746134835851006E-4</v>
      </c>
      <c r="E194" s="191">
        <v>0.97599999999999998</v>
      </c>
      <c r="F194" s="191">
        <v>0.92500000000000004</v>
      </c>
      <c r="G194" s="191">
        <v>0.86099999999999999</v>
      </c>
      <c r="H194" s="191">
        <v>0.78</v>
      </c>
      <c r="I194" s="191">
        <v>0.74</v>
      </c>
      <c r="J194" s="191">
        <v>0.68899999999999995</v>
      </c>
      <c r="K194" s="361">
        <v>6.124022759979058E-4</v>
      </c>
      <c r="L194" s="362">
        <v>5.8040174723162188E-4</v>
      </c>
      <c r="M194" s="362">
        <v>5.4024422093667721E-4</v>
      </c>
      <c r="N194" s="362">
        <v>4.894198517196379E-4</v>
      </c>
      <c r="O194" s="362">
        <v>4.6432139778529745E-4</v>
      </c>
      <c r="P194" s="363">
        <v>4.3232086901901341E-4</v>
      </c>
      <c r="Q194" s="273">
        <v>48.824074074074076</v>
      </c>
      <c r="R194" s="273">
        <v>46.5555555555556</v>
      </c>
      <c r="S194" s="273">
        <v>45.120968547483031</v>
      </c>
      <c r="T194" s="273">
        <v>40.689471840772839</v>
      </c>
      <c r="U194" s="273">
        <v>38.743652925564255</v>
      </c>
      <c r="V194" s="273">
        <f t="shared" si="90"/>
        <v>37.919407407407448</v>
      </c>
      <c r="W194" s="273">
        <f t="shared" si="91"/>
        <v>35.937962962963006</v>
      </c>
      <c r="X194" s="273">
        <f t="shared" si="92"/>
        <v>33.451444444444483</v>
      </c>
      <c r="Y194" s="273">
        <f t="shared" si="93"/>
        <v>30.304444444444481</v>
      </c>
      <c r="Z194" s="273">
        <f t="shared" si="94"/>
        <v>28.750370370370405</v>
      </c>
      <c r="AA194" s="273">
        <f t="shared" si="95"/>
        <v>26.768925925925956</v>
      </c>
      <c r="AB194" s="100">
        <v>1978</v>
      </c>
      <c r="AC194" s="101" t="s">
        <v>206</v>
      </c>
      <c r="AD194" s="159"/>
      <c r="AE194" s="159"/>
      <c r="AF194" s="164"/>
      <c r="AG194" s="164"/>
      <c r="AH194" s="164"/>
      <c r="AI194" s="159">
        <f t="shared" si="96"/>
        <v>1152862.2894475705</v>
      </c>
      <c r="AJ194" s="159">
        <f t="shared" si="115"/>
        <v>1104874.1765686271</v>
      </c>
      <c r="AK194" s="159">
        <f t="shared" si="116"/>
        <v>1048698.3076500476</v>
      </c>
      <c r="AL194" s="159">
        <f t="shared" si="117"/>
        <v>976037.41466375568</v>
      </c>
      <c r="AM194" s="159">
        <f t="shared" si="118"/>
        <v>953744.32199726196</v>
      </c>
      <c r="AN194" s="159">
        <f t="shared" si="119"/>
        <v>916267.94245629292</v>
      </c>
    </row>
    <row r="195" spans="1:40" x14ac:dyDescent="0.35">
      <c r="A195" s="46">
        <v>1955</v>
      </c>
      <c r="B195" s="240" t="s">
        <v>207</v>
      </c>
      <c r="C195" s="364">
        <v>148.40740740740699</v>
      </c>
      <c r="D195" s="365">
        <v>2.3967946833865963E-3</v>
      </c>
      <c r="E195" s="191">
        <v>0.92400000000000004</v>
      </c>
      <c r="F195" s="191">
        <v>0.873</v>
      </c>
      <c r="G195" s="191">
        <v>0.82699999999999996</v>
      </c>
      <c r="H195" s="191">
        <v>0.77300000000000002</v>
      </c>
      <c r="I195" s="191">
        <v>0.72299999999999998</v>
      </c>
      <c r="J195" s="191">
        <v>0.65800000000000003</v>
      </c>
      <c r="K195" s="361">
        <v>2.2146382874492151E-3</v>
      </c>
      <c r="L195" s="362">
        <v>2.0924017585964984E-3</v>
      </c>
      <c r="M195" s="362">
        <v>1.9821492031607151E-3</v>
      </c>
      <c r="N195" s="362">
        <v>1.852722290257839E-3</v>
      </c>
      <c r="O195" s="362">
        <v>1.7328825560885091E-3</v>
      </c>
      <c r="P195" s="363">
        <v>1.5770909016683803E-3</v>
      </c>
      <c r="Q195" s="273">
        <v>162.55238172818073</v>
      </c>
      <c r="R195" s="273">
        <v>193.56974872645429</v>
      </c>
      <c r="S195" s="273">
        <v>185.82786898495087</v>
      </c>
      <c r="T195" s="273">
        <v>165.60879409352052</v>
      </c>
      <c r="U195" s="273">
        <v>151.20586266572428</v>
      </c>
      <c r="V195" s="273">
        <f t="shared" si="90"/>
        <v>137.12844444444406</v>
      </c>
      <c r="W195" s="273">
        <f t="shared" si="91"/>
        <v>129.55966666666632</v>
      </c>
      <c r="X195" s="273">
        <f t="shared" si="92"/>
        <v>122.73292592592557</v>
      </c>
      <c r="Y195" s="273">
        <f t="shared" si="93"/>
        <v>114.7189259259256</v>
      </c>
      <c r="Z195" s="273">
        <f t="shared" si="94"/>
        <v>107.29855555555525</v>
      </c>
      <c r="AA195" s="273">
        <f t="shared" si="95"/>
        <v>97.652074074073809</v>
      </c>
      <c r="AB195" s="100">
        <v>1955</v>
      </c>
      <c r="AC195" s="101" t="s">
        <v>207</v>
      </c>
      <c r="AD195" s="159"/>
      <c r="AE195" s="159"/>
      <c r="AF195" s="164"/>
      <c r="AG195" s="164"/>
      <c r="AH195" s="164"/>
      <c r="AI195" s="159">
        <f t="shared" si="96"/>
        <v>4169110.8384706262</v>
      </c>
      <c r="AJ195" s="159">
        <f t="shared" si="115"/>
        <v>3983173.174627719</v>
      </c>
      <c r="AK195" s="159">
        <f t="shared" si="116"/>
        <v>3847660.8065524818</v>
      </c>
      <c r="AL195" s="159">
        <f t="shared" si="117"/>
        <v>3694836.3821356921</v>
      </c>
      <c r="AM195" s="159">
        <f t="shared" si="118"/>
        <v>3559445.9063067767</v>
      </c>
      <c r="AN195" s="159">
        <f t="shared" si="119"/>
        <v>3342512.330753745</v>
      </c>
    </row>
    <row r="196" spans="1:40" x14ac:dyDescent="0.35">
      <c r="A196" s="46">
        <v>335</v>
      </c>
      <c r="B196" s="240" t="s">
        <v>482</v>
      </c>
      <c r="C196" s="364">
        <v>15.0590277777778</v>
      </c>
      <c r="D196" s="365">
        <v>2.4320482612883031E-4</v>
      </c>
      <c r="E196" s="191">
        <v>0.95</v>
      </c>
      <c r="F196" s="191">
        <v>0.92900000000000005</v>
      </c>
      <c r="G196" s="191">
        <v>0.86499999999999999</v>
      </c>
      <c r="H196" s="191">
        <v>0.84299999999999997</v>
      </c>
      <c r="I196" s="191">
        <v>0.82099999999999995</v>
      </c>
      <c r="J196" s="191">
        <v>0.79900000000000004</v>
      </c>
      <c r="K196" s="361">
        <v>2.3104458482238878E-4</v>
      </c>
      <c r="L196" s="362">
        <v>2.2593728347368339E-4</v>
      </c>
      <c r="M196" s="362">
        <v>2.1037217460143822E-4</v>
      </c>
      <c r="N196" s="362">
        <v>2.0502166842660394E-4</v>
      </c>
      <c r="O196" s="362">
        <v>1.9967116225176967E-4</v>
      </c>
      <c r="P196" s="363">
        <v>1.9432065607693542E-4</v>
      </c>
      <c r="Q196" s="273">
        <v>18.638888888888893</v>
      </c>
      <c r="R196" s="273">
        <v>18.7222222222222</v>
      </c>
      <c r="S196" s="273">
        <v>17.821010124980305</v>
      </c>
      <c r="T196" s="273">
        <v>17.363653889773119</v>
      </c>
      <c r="U196" s="273">
        <v>15.469124929417427</v>
      </c>
      <c r="V196" s="273">
        <f t="shared" si="90"/>
        <v>14.30607638888891</v>
      </c>
      <c r="W196" s="273">
        <f t="shared" si="91"/>
        <v>13.989836805555576</v>
      </c>
      <c r="X196" s="273">
        <f t="shared" si="92"/>
        <v>13.026059027777796</v>
      </c>
      <c r="Y196" s="273">
        <f t="shared" si="93"/>
        <v>12.694760416666686</v>
      </c>
      <c r="Z196" s="273">
        <f t="shared" si="94"/>
        <v>12.363461805555573</v>
      </c>
      <c r="AA196" s="273">
        <f t="shared" si="95"/>
        <v>12.032163194444463</v>
      </c>
      <c r="AB196" s="100">
        <v>335</v>
      </c>
      <c r="AC196" s="101" t="s">
        <v>482</v>
      </c>
      <c r="AD196" s="159"/>
      <c r="AE196" s="159"/>
      <c r="AF196" s="164"/>
      <c r="AG196" s="164"/>
      <c r="AH196" s="164"/>
      <c r="AI196" s="159">
        <f t="shared" si="96"/>
        <v>434947.09190746612</v>
      </c>
      <c r="AJ196" s="159">
        <f t="shared" si="115"/>
        <v>430102.54745928128</v>
      </c>
      <c r="AK196" s="159">
        <f t="shared" si="116"/>
        <v>408365.20768085634</v>
      </c>
      <c r="AL196" s="159">
        <f t="shared" si="117"/>
        <v>408869.4369426269</v>
      </c>
      <c r="AM196" s="159">
        <f t="shared" si="118"/>
        <v>410136.68155839923</v>
      </c>
      <c r="AN196" s="159">
        <f t="shared" si="119"/>
        <v>411846.38651468843</v>
      </c>
    </row>
    <row r="197" spans="1:40" x14ac:dyDescent="0.35">
      <c r="A197" s="46">
        <v>944</v>
      </c>
      <c r="B197" s="240" t="s">
        <v>209</v>
      </c>
      <c r="C197" s="364">
        <v>14.5451388888889</v>
      </c>
      <c r="D197" s="365">
        <v>2.3490546844677645E-4</v>
      </c>
      <c r="E197" s="191">
        <v>0.93500000000000005</v>
      </c>
      <c r="F197" s="191">
        <v>0.91300000000000003</v>
      </c>
      <c r="G197" s="191">
        <v>0.89</v>
      </c>
      <c r="H197" s="191">
        <v>0.86699999999999999</v>
      </c>
      <c r="I197" s="191">
        <v>0.78600000000000003</v>
      </c>
      <c r="J197" s="191">
        <v>0.76400000000000001</v>
      </c>
      <c r="K197" s="361">
        <v>2.1963661299773598E-4</v>
      </c>
      <c r="L197" s="362">
        <v>2.1446869269190689E-4</v>
      </c>
      <c r="M197" s="362">
        <v>2.0906586691763103E-4</v>
      </c>
      <c r="N197" s="362">
        <v>2.0366304114335517E-4</v>
      </c>
      <c r="O197" s="362">
        <v>1.8463569819916629E-4</v>
      </c>
      <c r="P197" s="363">
        <v>1.794677778933372E-4</v>
      </c>
      <c r="Q197" s="273">
        <v>23.708333333333332</v>
      </c>
      <c r="R197" s="273">
        <v>21.2638888888889</v>
      </c>
      <c r="S197" s="273">
        <v>17.991150805415128</v>
      </c>
      <c r="T197" s="273">
        <v>15.352480396538835</v>
      </c>
      <c r="U197" s="273">
        <v>14.852084388952308</v>
      </c>
      <c r="V197" s="273">
        <f t="shared" si="90"/>
        <v>13.599704861111123</v>
      </c>
      <c r="W197" s="273">
        <f t="shared" si="91"/>
        <v>13.279711805555566</v>
      </c>
      <c r="X197" s="273">
        <f t="shared" si="92"/>
        <v>12.945173611111121</v>
      </c>
      <c r="Y197" s="273">
        <f t="shared" si="93"/>
        <v>12.610635416666677</v>
      </c>
      <c r="Z197" s="273">
        <f t="shared" si="94"/>
        <v>11.432479166666676</v>
      </c>
      <c r="AA197" s="273">
        <f t="shared" si="95"/>
        <v>11.112486111111119</v>
      </c>
      <c r="AB197" s="100">
        <v>944</v>
      </c>
      <c r="AC197" s="101" t="s">
        <v>209</v>
      </c>
      <c r="AD197" s="159"/>
      <c r="AE197" s="159"/>
      <c r="AF197" s="164"/>
      <c r="AG197" s="164"/>
      <c r="AH197" s="164"/>
      <c r="AI197" s="159">
        <f t="shared" si="96"/>
        <v>413471.30543313961</v>
      </c>
      <c r="AJ197" s="159">
        <f t="shared" si="115"/>
        <v>408270.51498030074</v>
      </c>
      <c r="AK197" s="159">
        <f t="shared" si="116"/>
        <v>405829.46069053473</v>
      </c>
      <c r="AL197" s="159">
        <f t="shared" si="117"/>
        <v>406159.96151702973</v>
      </c>
      <c r="AM197" s="159">
        <f t="shared" si="118"/>
        <v>379252.92617438559</v>
      </c>
      <c r="AN197" s="159">
        <f t="shared" si="119"/>
        <v>380366.952816009</v>
      </c>
    </row>
    <row r="198" spans="1:40" x14ac:dyDescent="0.35">
      <c r="A198" s="46">
        <v>1740</v>
      </c>
      <c r="B198" s="240" t="s">
        <v>210</v>
      </c>
      <c r="C198" s="364">
        <v>38.483796296296298</v>
      </c>
      <c r="D198" s="365">
        <v>6.2151721380244377E-4</v>
      </c>
      <c r="E198" s="191">
        <v>0.95499999999999996</v>
      </c>
      <c r="F198" s="191">
        <v>0.90800000000000003</v>
      </c>
      <c r="G198" s="191">
        <v>0.84</v>
      </c>
      <c r="H198" s="191">
        <v>0.80300000000000005</v>
      </c>
      <c r="I198" s="191">
        <v>0.73</v>
      </c>
      <c r="J198" s="191">
        <v>0.71299999999999997</v>
      </c>
      <c r="K198" s="361">
        <v>5.9354893918133378E-4</v>
      </c>
      <c r="L198" s="362">
        <v>5.6433763013261898E-4</v>
      </c>
      <c r="M198" s="362">
        <v>5.2207445959405279E-4</v>
      </c>
      <c r="N198" s="362">
        <v>4.9907832268336237E-4</v>
      </c>
      <c r="O198" s="362">
        <v>4.5370756607578393E-4</v>
      </c>
      <c r="P198" s="363">
        <v>4.4314177344114238E-4</v>
      </c>
      <c r="Q198" s="273">
        <v>60.986111111111128</v>
      </c>
      <c r="R198" s="273">
        <v>55.1527777777778</v>
      </c>
      <c r="S198" s="273">
        <v>48.019387031721806</v>
      </c>
      <c r="T198" s="273">
        <v>44.177099403889777</v>
      </c>
      <c r="U198" s="273">
        <v>37.839736029974851</v>
      </c>
      <c r="V198" s="273">
        <f t="shared" si="90"/>
        <v>36.752025462962962</v>
      </c>
      <c r="W198" s="273">
        <f t="shared" si="91"/>
        <v>34.943287037037038</v>
      </c>
      <c r="X198" s="273">
        <f t="shared" si="92"/>
        <v>32.326388888888886</v>
      </c>
      <c r="Y198" s="273">
        <f t="shared" si="93"/>
        <v>30.902488425925927</v>
      </c>
      <c r="Z198" s="273">
        <f t="shared" si="94"/>
        <v>28.093171296296298</v>
      </c>
      <c r="AA198" s="273">
        <f t="shared" si="95"/>
        <v>27.43894675925926</v>
      </c>
      <c r="AB198" s="100">
        <v>1740</v>
      </c>
      <c r="AC198" s="101" t="s">
        <v>210</v>
      </c>
      <c r="AD198" s="159"/>
      <c r="AE198" s="159"/>
      <c r="AF198" s="164"/>
      <c r="AG198" s="164"/>
      <c r="AH198" s="164"/>
      <c r="AI198" s="159">
        <f t="shared" si="96"/>
        <v>1117370.4209520433</v>
      </c>
      <c r="AJ198" s="159">
        <f t="shared" si="115"/>
        <v>1074293.9306670246</v>
      </c>
      <c r="AK198" s="159">
        <f t="shared" si="116"/>
        <v>1013427.9665117777</v>
      </c>
      <c r="AL198" s="159">
        <f t="shared" si="117"/>
        <v>995299.05473805103</v>
      </c>
      <c r="AM198" s="159">
        <f t="shared" si="118"/>
        <v>931942.86771178921</v>
      </c>
      <c r="AN198" s="159">
        <f t="shared" si="119"/>
        <v>939201.94481634174</v>
      </c>
    </row>
    <row r="199" spans="1:40" x14ac:dyDescent="0.35">
      <c r="A199" s="46">
        <v>946</v>
      </c>
      <c r="B199" s="240" t="s">
        <v>211</v>
      </c>
      <c r="C199" s="364">
        <v>81.7569444444445</v>
      </c>
      <c r="D199" s="365">
        <v>1.3203829458218663E-3</v>
      </c>
      <c r="E199" s="191">
        <v>0.95199999999999996</v>
      </c>
      <c r="F199" s="191">
        <v>0.90100000000000002</v>
      </c>
      <c r="G199" s="191">
        <v>0.872</v>
      </c>
      <c r="H199" s="191">
        <v>0.83199999999999996</v>
      </c>
      <c r="I199" s="191">
        <v>0.75800000000000001</v>
      </c>
      <c r="J199" s="191">
        <v>0.68500000000000005</v>
      </c>
      <c r="K199" s="361">
        <v>1.2570045644224167E-3</v>
      </c>
      <c r="L199" s="362">
        <v>1.1896650341855016E-3</v>
      </c>
      <c r="M199" s="362">
        <v>1.1513739287566673E-3</v>
      </c>
      <c r="N199" s="362">
        <v>1.0985586109237928E-3</v>
      </c>
      <c r="O199" s="362">
        <v>1.0008502729329746E-3</v>
      </c>
      <c r="P199" s="363">
        <v>9.044623178879785E-4</v>
      </c>
      <c r="Q199" s="273">
        <v>106.86220910238391</v>
      </c>
      <c r="R199" s="273">
        <v>98.575631988914466</v>
      </c>
      <c r="S199" s="273">
        <v>93.801833328350597</v>
      </c>
      <c r="T199" s="273">
        <v>88.055757267533693</v>
      </c>
      <c r="U199" s="273">
        <v>80.529914925252285</v>
      </c>
      <c r="V199" s="273">
        <f t="shared" si="90"/>
        <v>77.832611111111163</v>
      </c>
      <c r="W199" s="273">
        <f t="shared" si="91"/>
        <v>73.66300694444449</v>
      </c>
      <c r="X199" s="273">
        <f t="shared" si="92"/>
        <v>71.292055555555606</v>
      </c>
      <c r="Y199" s="273">
        <f t="shared" si="93"/>
        <v>68.021777777777814</v>
      </c>
      <c r="Z199" s="273">
        <f t="shared" si="94"/>
        <v>61.97176388888893</v>
      </c>
      <c r="AA199" s="273">
        <f t="shared" si="95"/>
        <v>56.003506944444489</v>
      </c>
      <c r="AB199" s="100">
        <v>946</v>
      </c>
      <c r="AC199" s="101" t="s">
        <v>211</v>
      </c>
      <c r="AD199" s="159"/>
      <c r="AE199" s="159"/>
      <c r="AF199" s="164"/>
      <c r="AG199" s="164"/>
      <c r="AH199" s="164"/>
      <c r="AI199" s="159">
        <f t="shared" si="96"/>
        <v>2366341.8912424636</v>
      </c>
      <c r="AJ199" s="159">
        <f t="shared" si="115"/>
        <v>2264690.2448307793</v>
      </c>
      <c r="AK199" s="159">
        <f t="shared" si="116"/>
        <v>2234996.4030453372</v>
      </c>
      <c r="AL199" s="159">
        <f t="shared" si="117"/>
        <v>2190827.1654597498</v>
      </c>
      <c r="AM199" s="159">
        <f t="shared" si="118"/>
        <v>2055807.1834126876</v>
      </c>
      <c r="AN199" s="159">
        <f t="shared" si="119"/>
        <v>1916932.275143119</v>
      </c>
    </row>
    <row r="200" spans="1:40" x14ac:dyDescent="0.35">
      <c r="A200" s="46">
        <v>356</v>
      </c>
      <c r="B200" s="240" t="s">
        <v>212</v>
      </c>
      <c r="C200" s="364">
        <v>95.313078703703695</v>
      </c>
      <c r="D200" s="365">
        <v>1.5393158891800944E-3</v>
      </c>
      <c r="E200" s="191">
        <v>0.94599999999999995</v>
      </c>
      <c r="F200" s="191">
        <v>0.89700000000000002</v>
      </c>
      <c r="G200" s="191">
        <v>0.85299999999999998</v>
      </c>
      <c r="H200" s="191">
        <v>0.80500000000000005</v>
      </c>
      <c r="I200" s="191">
        <v>0.75800000000000001</v>
      </c>
      <c r="J200" s="191">
        <v>0.71399999999999997</v>
      </c>
      <c r="K200" s="361">
        <v>1.4561928311643694E-3</v>
      </c>
      <c r="L200" s="362">
        <v>1.3807663525945448E-3</v>
      </c>
      <c r="M200" s="362">
        <v>1.3130364534706205E-3</v>
      </c>
      <c r="N200" s="362">
        <v>1.239149290789976E-3</v>
      </c>
      <c r="O200" s="362">
        <v>1.1668014439985116E-3</v>
      </c>
      <c r="P200" s="363">
        <v>1.0990715448745874E-3</v>
      </c>
      <c r="Q200" s="273">
        <v>108.2279799955153</v>
      </c>
      <c r="R200" s="273">
        <v>112.77048276227941</v>
      </c>
      <c r="S200" s="273">
        <v>106.46803399363485</v>
      </c>
      <c r="T200" s="273">
        <v>101.76989051150166</v>
      </c>
      <c r="U200" s="273">
        <v>97.590533797010252</v>
      </c>
      <c r="V200" s="273">
        <f t="shared" si="90"/>
        <v>90.166172453703695</v>
      </c>
      <c r="W200" s="273">
        <f t="shared" si="91"/>
        <v>85.495831597222221</v>
      </c>
      <c r="X200" s="273">
        <f t="shared" si="92"/>
        <v>81.302056134259246</v>
      </c>
      <c r="Y200" s="273">
        <f t="shared" si="93"/>
        <v>76.727028356481483</v>
      </c>
      <c r="Z200" s="273">
        <f t="shared" si="94"/>
        <v>72.247313657407403</v>
      </c>
      <c r="AA200" s="273">
        <f t="shared" si="95"/>
        <v>68.053538194444442</v>
      </c>
      <c r="AB200" s="100">
        <v>356</v>
      </c>
      <c r="AC200" s="101" t="s">
        <v>212</v>
      </c>
      <c r="AD200" s="159"/>
      <c r="AE200" s="159"/>
      <c r="AF200" s="164"/>
      <c r="AG200" s="164"/>
      <c r="AH200" s="164"/>
      <c r="AI200" s="159">
        <f t="shared" si="96"/>
        <v>2741318.6838303576</v>
      </c>
      <c r="AJ200" s="159">
        <f t="shared" si="115"/>
        <v>2628477.7641231869</v>
      </c>
      <c r="AK200" s="159">
        <f t="shared" si="116"/>
        <v>2548808.5818855213</v>
      </c>
      <c r="AL200" s="159">
        <f t="shared" si="117"/>
        <v>2471203.5401005899</v>
      </c>
      <c r="AM200" s="159">
        <f t="shared" si="118"/>
        <v>2396680.9572415189</v>
      </c>
      <c r="AN200" s="159">
        <f t="shared" si="119"/>
        <v>2329390.2635780647</v>
      </c>
    </row>
    <row r="201" spans="1:40" x14ac:dyDescent="0.35">
      <c r="A201" s="248">
        <v>569</v>
      </c>
      <c r="B201" s="249" t="s">
        <v>213</v>
      </c>
      <c r="C201" s="369"/>
      <c r="D201" s="371"/>
      <c r="E201" s="370"/>
      <c r="F201" s="237"/>
      <c r="G201" s="237"/>
      <c r="H201" s="237"/>
      <c r="I201" s="237"/>
      <c r="J201" s="237"/>
      <c r="K201" s="238"/>
      <c r="L201" s="238"/>
      <c r="M201" s="238"/>
      <c r="N201" s="238"/>
      <c r="O201" s="238"/>
      <c r="P201" s="239"/>
      <c r="Q201" s="273">
        <v>54.391203703703702</v>
      </c>
      <c r="R201" s="273">
        <v>8.3333333333332996E-2</v>
      </c>
      <c r="S201" s="273"/>
      <c r="T201" s="273"/>
      <c r="U201" s="273"/>
      <c r="V201" s="273"/>
      <c r="W201" s="273"/>
      <c r="X201" s="273"/>
      <c r="Y201" s="273"/>
      <c r="Z201" s="273"/>
      <c r="AA201" s="273"/>
      <c r="AB201" s="100"/>
      <c r="AC201" s="101"/>
      <c r="AD201" s="159"/>
      <c r="AE201" s="159"/>
      <c r="AF201" s="164"/>
      <c r="AG201" s="164"/>
      <c r="AH201" s="164"/>
      <c r="AI201" s="159">
        <f t="shared" si="96"/>
        <v>0</v>
      </c>
      <c r="AJ201" s="159">
        <f t="shared" si="115"/>
        <v>0</v>
      </c>
      <c r="AK201" s="159">
        <f t="shared" si="116"/>
        <v>0</v>
      </c>
      <c r="AL201" s="159">
        <f t="shared" si="117"/>
        <v>0</v>
      </c>
      <c r="AM201" s="159">
        <f t="shared" si="118"/>
        <v>0</v>
      </c>
      <c r="AN201" s="159">
        <f t="shared" si="119"/>
        <v>0</v>
      </c>
    </row>
    <row r="202" spans="1:40" x14ac:dyDescent="0.35">
      <c r="A202" s="46">
        <v>267</v>
      </c>
      <c r="B202" s="240" t="s">
        <v>214</v>
      </c>
      <c r="C202" s="364">
        <v>61.2569444444444</v>
      </c>
      <c r="D202" s="365">
        <v>9.8930586639723651E-4</v>
      </c>
      <c r="E202" s="191">
        <v>0.96899999999999997</v>
      </c>
      <c r="F202" s="191">
        <v>0.94599999999999995</v>
      </c>
      <c r="G202" s="191">
        <v>0.89400000000000002</v>
      </c>
      <c r="H202" s="191">
        <v>0.85799999999999998</v>
      </c>
      <c r="I202" s="191">
        <v>0.81100000000000005</v>
      </c>
      <c r="J202" s="191">
        <v>0.75700000000000001</v>
      </c>
      <c r="K202" s="361">
        <v>9.5863738453892211E-4</v>
      </c>
      <c r="L202" s="362">
        <v>9.3588334961178569E-4</v>
      </c>
      <c r="M202" s="362">
        <v>8.8443944455912941E-4</v>
      </c>
      <c r="N202" s="362">
        <v>8.4882443336882886E-4</v>
      </c>
      <c r="O202" s="362">
        <v>8.0232705764815885E-4</v>
      </c>
      <c r="P202" s="363">
        <v>7.4890454086270803E-4</v>
      </c>
      <c r="Q202" s="273">
        <v>77.280092592592581</v>
      </c>
      <c r="R202" s="273">
        <v>72.650462962963005</v>
      </c>
      <c r="S202" s="273">
        <v>71.633317439635306</v>
      </c>
      <c r="T202" s="273">
        <v>69.291419732402346</v>
      </c>
      <c r="U202" s="273">
        <v>66.442738957105064</v>
      </c>
      <c r="V202" s="273">
        <f t="shared" si="90"/>
        <v>59.357979166666624</v>
      </c>
      <c r="W202" s="273">
        <f t="shared" si="91"/>
        <v>57.949069444444397</v>
      </c>
      <c r="X202" s="273">
        <f t="shared" si="92"/>
        <v>54.763708333333298</v>
      </c>
      <c r="Y202" s="273">
        <f t="shared" si="93"/>
        <v>52.558458333333292</v>
      </c>
      <c r="Z202" s="273">
        <f t="shared" si="94"/>
        <v>49.679381944444415</v>
      </c>
      <c r="AA202" s="273">
        <f t="shared" si="95"/>
        <v>46.371506944444413</v>
      </c>
      <c r="AB202" s="100">
        <v>267</v>
      </c>
      <c r="AC202" s="101" t="s">
        <v>214</v>
      </c>
      <c r="AD202" s="159"/>
      <c r="AE202" s="159"/>
      <c r="AF202" s="164"/>
      <c r="AG202" s="164"/>
      <c r="AH202" s="164"/>
      <c r="AI202" s="159">
        <f t="shared" si="96"/>
        <v>1804658.3646161242</v>
      </c>
      <c r="AJ202" s="159">
        <f t="shared" si="115"/>
        <v>1781582.0682806405</v>
      </c>
      <c r="AK202" s="159">
        <f t="shared" si="116"/>
        <v>1716834.929062244</v>
      </c>
      <c r="AL202" s="159">
        <f t="shared" si="117"/>
        <v>1692788.7222754769</v>
      </c>
      <c r="AM202" s="159">
        <f t="shared" si="118"/>
        <v>1648028.4545717563</v>
      </c>
      <c r="AN202" s="159">
        <f t="shared" si="119"/>
        <v>1587240.5704344325</v>
      </c>
    </row>
    <row r="203" spans="1:40" x14ac:dyDescent="0.35">
      <c r="A203" s="46">
        <v>268</v>
      </c>
      <c r="B203" s="240" t="s">
        <v>215</v>
      </c>
      <c r="C203" s="364">
        <v>743.83564814814997</v>
      </c>
      <c r="D203" s="365">
        <v>1.2013021168820233E-2</v>
      </c>
      <c r="E203" s="191">
        <v>0.95299999999999996</v>
      </c>
      <c r="F203" s="191">
        <v>0.90500000000000003</v>
      </c>
      <c r="G203" s="191">
        <v>0.85099999999999998</v>
      </c>
      <c r="H203" s="191">
        <v>0.78900000000000003</v>
      </c>
      <c r="I203" s="191">
        <v>0.73499999999999999</v>
      </c>
      <c r="J203" s="191">
        <v>0.67600000000000005</v>
      </c>
      <c r="K203" s="361">
        <v>1.1448409173885682E-2</v>
      </c>
      <c r="L203" s="362">
        <v>1.087178415778231E-2</v>
      </c>
      <c r="M203" s="362">
        <v>1.0223081014666017E-2</v>
      </c>
      <c r="N203" s="362">
        <v>9.478273702199164E-3</v>
      </c>
      <c r="O203" s="362">
        <v>8.8295705590828704E-3</v>
      </c>
      <c r="P203" s="363">
        <v>8.1208023101224779E-3</v>
      </c>
      <c r="Q203" s="273">
        <v>970.60487531858882</v>
      </c>
      <c r="R203" s="273">
        <v>904.87743326547684</v>
      </c>
      <c r="S203" s="273">
        <v>852.47322761427313</v>
      </c>
      <c r="T203" s="273">
        <v>808.47548024606203</v>
      </c>
      <c r="U203" s="273">
        <v>759.72156089828979</v>
      </c>
      <c r="V203" s="273">
        <f t="shared" si="90"/>
        <v>708.8753726851869</v>
      </c>
      <c r="W203" s="273">
        <f t="shared" si="91"/>
        <v>673.17126157407574</v>
      </c>
      <c r="X203" s="273">
        <f t="shared" si="92"/>
        <v>633.00413657407557</v>
      </c>
      <c r="Y203" s="273">
        <f t="shared" si="93"/>
        <v>586.88632638889032</v>
      </c>
      <c r="Z203" s="273">
        <f t="shared" si="94"/>
        <v>546.71920138889027</v>
      </c>
      <c r="AA203" s="273">
        <f t="shared" si="95"/>
        <v>502.83289814814941</v>
      </c>
      <c r="AB203" s="100">
        <v>268</v>
      </c>
      <c r="AC203" s="101" t="s">
        <v>215</v>
      </c>
      <c r="AD203" s="159"/>
      <c r="AE203" s="159"/>
      <c r="AF203" s="164"/>
      <c r="AG203" s="164"/>
      <c r="AH203" s="164"/>
      <c r="AI203" s="159">
        <f t="shared" si="96"/>
        <v>21551910.775040213</v>
      </c>
      <c r="AJ203" s="159">
        <f t="shared" si="115"/>
        <v>20695929.373844471</v>
      </c>
      <c r="AK203" s="159">
        <f t="shared" si="116"/>
        <v>19844594.987914182</v>
      </c>
      <c r="AL203" s="159">
        <f t="shared" si="117"/>
        <v>18902277.313159376</v>
      </c>
      <c r="AM203" s="159">
        <f t="shared" si="118"/>
        <v>18136473.629185244</v>
      </c>
      <c r="AN203" s="159">
        <f t="shared" si="119"/>
        <v>17211361.645979173</v>
      </c>
    </row>
    <row r="204" spans="1:40" x14ac:dyDescent="0.35">
      <c r="A204" s="46">
        <v>1930</v>
      </c>
      <c r="B204" s="240" t="s">
        <v>216</v>
      </c>
      <c r="C204" s="364">
        <v>289.49710648148101</v>
      </c>
      <c r="D204" s="365">
        <v>4.6754076349155762E-3</v>
      </c>
      <c r="E204" s="191">
        <v>0.96499999999999997</v>
      </c>
      <c r="F204" s="191">
        <v>0.93300000000000005</v>
      </c>
      <c r="G204" s="191">
        <v>0.89200000000000002</v>
      </c>
      <c r="H204" s="191">
        <v>0.83799999999999997</v>
      </c>
      <c r="I204" s="191">
        <v>0.78900000000000003</v>
      </c>
      <c r="J204" s="191">
        <v>0.72799999999999998</v>
      </c>
      <c r="K204" s="361">
        <v>4.5117683676935312E-3</v>
      </c>
      <c r="L204" s="362">
        <v>4.3621553233762324E-3</v>
      </c>
      <c r="M204" s="362">
        <v>4.1704636103446942E-3</v>
      </c>
      <c r="N204" s="362">
        <v>3.9179915980592523E-3</v>
      </c>
      <c r="O204" s="362">
        <v>3.6888966239483896E-3</v>
      </c>
      <c r="P204" s="363">
        <v>3.4036967582185395E-3</v>
      </c>
      <c r="Q204" s="273">
        <v>363.11595053180969</v>
      </c>
      <c r="R204" s="273">
        <v>344.9451866949637</v>
      </c>
      <c r="S204" s="273">
        <v>330.16267259778442</v>
      </c>
      <c r="T204" s="273">
        <v>310.05018693512773</v>
      </c>
      <c r="U204" s="273">
        <v>292.22628392365169</v>
      </c>
      <c r="V204" s="273">
        <f t="shared" si="90"/>
        <v>279.36470775462919</v>
      </c>
      <c r="W204" s="273">
        <f t="shared" si="91"/>
        <v>270.10080034722182</v>
      </c>
      <c r="X204" s="273">
        <f t="shared" si="92"/>
        <v>258.23141898148106</v>
      </c>
      <c r="Y204" s="273">
        <f t="shared" si="93"/>
        <v>242.59857523148108</v>
      </c>
      <c r="Z204" s="273">
        <f t="shared" si="94"/>
        <v>228.41321701388853</v>
      </c>
      <c r="AA204" s="273">
        <f t="shared" si="95"/>
        <v>210.75389351851817</v>
      </c>
      <c r="AB204" s="100">
        <v>1930</v>
      </c>
      <c r="AC204" s="101" t="s">
        <v>216</v>
      </c>
      <c r="AD204" s="159"/>
      <c r="AE204" s="159"/>
      <c r="AF204" s="164"/>
      <c r="AG204" s="164"/>
      <c r="AH204" s="164"/>
      <c r="AI204" s="159">
        <f t="shared" si="96"/>
        <v>8493514.4980651252</v>
      </c>
      <c r="AJ204" s="159">
        <f t="shared" si="115"/>
        <v>8303959.7898667092</v>
      </c>
      <c r="AK204" s="159">
        <f t="shared" si="116"/>
        <v>8095520.4346317658</v>
      </c>
      <c r="AL204" s="159">
        <f t="shared" si="117"/>
        <v>7813549.8112869626</v>
      </c>
      <c r="AM204" s="159">
        <f t="shared" si="118"/>
        <v>7577217.4754532706</v>
      </c>
      <c r="AN204" s="159">
        <f t="shared" si="119"/>
        <v>7213850.7504269835</v>
      </c>
    </row>
    <row r="205" spans="1:40" x14ac:dyDescent="0.35">
      <c r="A205" s="46">
        <v>1970</v>
      </c>
      <c r="B205" s="240" t="s">
        <v>217</v>
      </c>
      <c r="C205" s="364">
        <v>350.81365740740699</v>
      </c>
      <c r="D205" s="365">
        <v>5.6656761520349442E-3</v>
      </c>
      <c r="E205" s="191">
        <v>0.96299999999999997</v>
      </c>
      <c r="F205" s="191">
        <v>0.91200000000000003</v>
      </c>
      <c r="G205" s="191">
        <v>0.874</v>
      </c>
      <c r="H205" s="191">
        <v>0.82399999999999995</v>
      </c>
      <c r="I205" s="191">
        <v>0.78100000000000003</v>
      </c>
      <c r="J205" s="191">
        <v>0.74</v>
      </c>
      <c r="K205" s="361">
        <v>5.4560461344096509E-3</v>
      </c>
      <c r="L205" s="362">
        <v>5.167096650655869E-3</v>
      </c>
      <c r="M205" s="362">
        <v>4.9518009568785409E-3</v>
      </c>
      <c r="N205" s="362">
        <v>4.6685171492767937E-3</v>
      </c>
      <c r="O205" s="362">
        <v>4.4248930747392912E-3</v>
      </c>
      <c r="P205" s="363">
        <v>4.192600352505859E-3</v>
      </c>
      <c r="Q205" s="273">
        <v>423.17291021532384</v>
      </c>
      <c r="R205" s="273">
        <v>412.77940571222211</v>
      </c>
      <c r="S205" s="273">
        <v>387.7023337801906</v>
      </c>
      <c r="T205" s="273">
        <v>369.4238979189177</v>
      </c>
      <c r="U205" s="273">
        <v>350.43806266859144</v>
      </c>
      <c r="V205" s="273">
        <f t="shared" ref="V205:V268" si="120">+E205*C205</f>
        <v>337.8335520833329</v>
      </c>
      <c r="W205" s="273">
        <f t="shared" ref="W205:W268" si="121">+F205*$C205</f>
        <v>319.94205555555521</v>
      </c>
      <c r="X205" s="273">
        <f t="shared" ref="X205:X268" si="122">+G205*$C205</f>
        <v>306.61113657407373</v>
      </c>
      <c r="Y205" s="273">
        <f t="shared" ref="Y205:Y268" si="123">+H205*$C205</f>
        <v>289.07045370370332</v>
      </c>
      <c r="Z205" s="273">
        <f t="shared" ref="Z205:Z268" si="124">+I205*$C205</f>
        <v>273.98546643518489</v>
      </c>
      <c r="AA205" s="273">
        <f t="shared" ref="AA205:AA268" si="125">+J205*$C205</f>
        <v>259.60210648148114</v>
      </c>
      <c r="AB205" s="100">
        <v>1970</v>
      </c>
      <c r="AC205" s="101" t="s">
        <v>217</v>
      </c>
      <c r="AD205" s="159"/>
      <c r="AE205" s="159"/>
      <c r="AF205" s="164"/>
      <c r="AG205" s="164"/>
      <c r="AH205" s="164"/>
      <c r="AI205" s="159">
        <f t="shared" ref="AI205:AI268" si="126">+V205*AI$8</f>
        <v>10271140.530295135</v>
      </c>
      <c r="AJ205" s="159">
        <f t="shared" si="115"/>
        <v>9836275.7940933965</v>
      </c>
      <c r="AK205" s="159">
        <f t="shared" si="116"/>
        <v>9612218.1081268545</v>
      </c>
      <c r="AL205" s="159">
        <f t="shared" si="117"/>
        <v>9310303.6026903652</v>
      </c>
      <c r="AM205" s="159">
        <f t="shared" si="118"/>
        <v>9088998.8391812965</v>
      </c>
      <c r="AN205" s="159">
        <f t="shared" si="119"/>
        <v>8885865.9709141199</v>
      </c>
    </row>
    <row r="206" spans="1:40" x14ac:dyDescent="0.35">
      <c r="A206" s="46">
        <v>1695</v>
      </c>
      <c r="B206" s="240" t="s">
        <v>218</v>
      </c>
      <c r="C206" s="364">
        <v>17.5833333333333</v>
      </c>
      <c r="D206" s="365">
        <v>2.8397261690486341E-4</v>
      </c>
      <c r="E206" s="191">
        <v>0.97599999999999998</v>
      </c>
      <c r="F206" s="191">
        <v>0.90100000000000002</v>
      </c>
      <c r="G206" s="191">
        <v>0.82899999999999996</v>
      </c>
      <c r="H206" s="191">
        <v>0.81</v>
      </c>
      <c r="I206" s="191">
        <v>0.79</v>
      </c>
      <c r="J206" s="191">
        <v>0.77</v>
      </c>
      <c r="K206" s="361">
        <v>2.7715727409914669E-4</v>
      </c>
      <c r="L206" s="362">
        <v>2.5585932783128197E-4</v>
      </c>
      <c r="M206" s="362">
        <v>2.3541329941413177E-4</v>
      </c>
      <c r="N206" s="362">
        <v>2.3001781969293937E-4</v>
      </c>
      <c r="O206" s="362">
        <v>2.2433836735484211E-4</v>
      </c>
      <c r="P206" s="363">
        <v>2.1865891501674482E-4</v>
      </c>
      <c r="Q206" s="273">
        <v>24.833333333333332</v>
      </c>
      <c r="R206" s="273">
        <v>23.087962962963001</v>
      </c>
      <c r="S206" s="273">
        <v>21.801215717540753</v>
      </c>
      <c r="T206" s="273">
        <v>18.641171322286613</v>
      </c>
      <c r="U206" s="273">
        <v>17.957538797233671</v>
      </c>
      <c r="V206" s="273">
        <f t="shared" si="120"/>
        <v>17.1613333333333</v>
      </c>
      <c r="W206" s="273">
        <f t="shared" si="121"/>
        <v>15.842583333333303</v>
      </c>
      <c r="X206" s="273">
        <f t="shared" si="122"/>
        <v>14.576583333333305</v>
      </c>
      <c r="Y206" s="273">
        <f t="shared" si="123"/>
        <v>14.242499999999975</v>
      </c>
      <c r="Z206" s="273">
        <f t="shared" si="124"/>
        <v>13.890833333333308</v>
      </c>
      <c r="AA206" s="273">
        <f t="shared" si="125"/>
        <v>13.539166666666642</v>
      </c>
      <c r="AB206" s="100">
        <v>1695</v>
      </c>
      <c r="AC206" s="101" t="s">
        <v>218</v>
      </c>
      <c r="AD206" s="159"/>
      <c r="AE206" s="159"/>
      <c r="AF206" s="164"/>
      <c r="AG206" s="164"/>
      <c r="AH206" s="164"/>
      <c r="AI206" s="159">
        <f t="shared" si="126"/>
        <v>521755.3593090871</v>
      </c>
      <c r="AJ206" s="159">
        <f t="shared" si="115"/>
        <v>487063.25489777612</v>
      </c>
      <c r="AK206" s="159">
        <f t="shared" si="116"/>
        <v>456973.9372054307</v>
      </c>
      <c r="AL206" s="159">
        <f t="shared" si="117"/>
        <v>458718.61811665498</v>
      </c>
      <c r="AM206" s="159">
        <f t="shared" si="118"/>
        <v>460804.61742956872</v>
      </c>
      <c r="AN206" s="159">
        <f t="shared" si="119"/>
        <v>463429.29180526524</v>
      </c>
    </row>
    <row r="207" spans="1:40" x14ac:dyDescent="0.35">
      <c r="A207" s="46">
        <v>1699</v>
      </c>
      <c r="B207" s="240" t="s">
        <v>219</v>
      </c>
      <c r="C207" s="364">
        <v>103.664351851852</v>
      </c>
      <c r="D207" s="365">
        <v>1.6741897976369853E-3</v>
      </c>
      <c r="E207" s="191">
        <v>0.95199999999999996</v>
      </c>
      <c r="F207" s="191">
        <v>0.91200000000000003</v>
      </c>
      <c r="G207" s="191">
        <v>0.872</v>
      </c>
      <c r="H207" s="191">
        <v>0.80500000000000005</v>
      </c>
      <c r="I207" s="191">
        <v>0.77400000000000002</v>
      </c>
      <c r="J207" s="191">
        <v>0.70599999999999996</v>
      </c>
      <c r="K207" s="361">
        <v>1.5938286873504099E-3</v>
      </c>
      <c r="L207" s="362">
        <v>1.5268610954449306E-3</v>
      </c>
      <c r="M207" s="362">
        <v>1.4598935035394511E-3</v>
      </c>
      <c r="N207" s="362">
        <v>1.3477227870977732E-3</v>
      </c>
      <c r="O207" s="362">
        <v>1.2958229033710267E-3</v>
      </c>
      <c r="P207" s="363">
        <v>1.1819779971317115E-3</v>
      </c>
      <c r="Q207" s="273">
        <v>133.59735859929341</v>
      </c>
      <c r="R207" s="273">
        <v>122.56422893908025</v>
      </c>
      <c r="S207" s="273">
        <v>117.657294143535</v>
      </c>
      <c r="T207" s="273">
        <v>104.85041996585423</v>
      </c>
      <c r="U207" s="273">
        <v>104.25320497827586</v>
      </c>
      <c r="V207" s="273">
        <f t="shared" si="120"/>
        <v>98.688462962963101</v>
      </c>
      <c r="W207" s="273">
        <f t="shared" si="121"/>
        <v>94.541888888889034</v>
      </c>
      <c r="X207" s="273">
        <f t="shared" si="122"/>
        <v>90.395314814814952</v>
      </c>
      <c r="Y207" s="273">
        <f t="shared" si="123"/>
        <v>83.449803240740863</v>
      </c>
      <c r="Z207" s="273">
        <f t="shared" si="124"/>
        <v>80.236208333333451</v>
      </c>
      <c r="AA207" s="273">
        <f t="shared" si="125"/>
        <v>73.187032407407514</v>
      </c>
      <c r="AB207" s="100">
        <v>1699</v>
      </c>
      <c r="AC207" s="101" t="s">
        <v>219</v>
      </c>
      <c r="AD207" s="159"/>
      <c r="AE207" s="159"/>
      <c r="AF207" s="164"/>
      <c r="AG207" s="164"/>
      <c r="AH207" s="164"/>
      <c r="AI207" s="159">
        <f t="shared" si="126"/>
        <v>3000421.5554095902</v>
      </c>
      <c r="AJ207" s="159">
        <f t="shared" si="115"/>
        <v>2906589.1059269337</v>
      </c>
      <c r="AK207" s="159">
        <f t="shared" si="116"/>
        <v>2833881.0248755459</v>
      </c>
      <c r="AL207" s="159">
        <f t="shared" si="117"/>
        <v>2687728.8695593802</v>
      </c>
      <c r="AM207" s="159">
        <f t="shared" si="118"/>
        <v>2661698.8626821735</v>
      </c>
      <c r="AN207" s="159">
        <f t="shared" si="119"/>
        <v>2505103.558655303</v>
      </c>
    </row>
    <row r="208" spans="1:40" x14ac:dyDescent="0.35">
      <c r="A208" s="46">
        <v>171</v>
      </c>
      <c r="B208" s="240" t="s">
        <v>220</v>
      </c>
      <c r="C208" s="364">
        <v>180.555555555556</v>
      </c>
      <c r="D208" s="365">
        <v>2.9159905369377888E-3</v>
      </c>
      <c r="E208" s="191">
        <v>0.95899999999999996</v>
      </c>
      <c r="F208" s="191">
        <v>0.90500000000000003</v>
      </c>
      <c r="G208" s="191">
        <v>0.878</v>
      </c>
      <c r="H208" s="191">
        <v>0.83099999999999996</v>
      </c>
      <c r="I208" s="191">
        <v>0.755</v>
      </c>
      <c r="J208" s="191">
        <v>0.68600000000000005</v>
      </c>
      <c r="K208" s="361">
        <v>2.7964349249233393E-3</v>
      </c>
      <c r="L208" s="362">
        <v>2.6389714359286989E-3</v>
      </c>
      <c r="M208" s="362">
        <v>2.5602396914313785E-3</v>
      </c>
      <c r="N208" s="362">
        <v>2.4231881361953022E-3</v>
      </c>
      <c r="O208" s="362">
        <v>2.2015728553880305E-3</v>
      </c>
      <c r="P208" s="363">
        <v>2.0003695083393234E-3</v>
      </c>
      <c r="Q208" s="273">
        <v>226.4600455418624</v>
      </c>
      <c r="R208" s="273">
        <v>215.22606773484381</v>
      </c>
      <c r="S208" s="273">
        <v>202.21255847164113</v>
      </c>
      <c r="T208" s="273">
        <v>188.79663036129099</v>
      </c>
      <c r="U208" s="273">
        <v>179.92088330672681</v>
      </c>
      <c r="V208" s="273">
        <f t="shared" si="120"/>
        <v>173.1527777777782</v>
      </c>
      <c r="W208" s="273">
        <f t="shared" si="121"/>
        <v>163.40277777777817</v>
      </c>
      <c r="X208" s="273">
        <f t="shared" si="122"/>
        <v>158.52777777777817</v>
      </c>
      <c r="Y208" s="273">
        <f t="shared" si="123"/>
        <v>150.04166666666703</v>
      </c>
      <c r="Z208" s="273">
        <f t="shared" si="124"/>
        <v>136.31944444444477</v>
      </c>
      <c r="AA208" s="273">
        <f t="shared" si="125"/>
        <v>123.86111111111143</v>
      </c>
      <c r="AB208" s="100">
        <v>171</v>
      </c>
      <c r="AC208" s="101" t="s">
        <v>220</v>
      </c>
      <c r="AD208" s="159"/>
      <c r="AE208" s="159"/>
      <c r="AF208" s="164"/>
      <c r="AG208" s="164"/>
      <c r="AH208" s="164"/>
      <c r="AI208" s="159">
        <f t="shared" si="126"/>
        <v>5264357.2635077704</v>
      </c>
      <c r="AJ208" s="159">
        <f t="shared" si="115"/>
        <v>5023643.3748988407</v>
      </c>
      <c r="AK208" s="159">
        <f t="shared" si="116"/>
        <v>4969824.6228852682</v>
      </c>
      <c r="AL208" s="159">
        <f t="shared" si="117"/>
        <v>4832501.7372830184</v>
      </c>
      <c r="AM208" s="159">
        <f t="shared" si="118"/>
        <v>4522164.2170808446</v>
      </c>
      <c r="AN208" s="159">
        <f t="shared" si="119"/>
        <v>4239615.9540421553</v>
      </c>
    </row>
    <row r="209" spans="1:40" x14ac:dyDescent="0.35">
      <c r="A209" s="46">
        <v>575</v>
      </c>
      <c r="B209" s="240" t="s">
        <v>221</v>
      </c>
      <c r="C209" s="364">
        <v>84.6527777777778</v>
      </c>
      <c r="D209" s="365">
        <v>1.3671509478950601E-3</v>
      </c>
      <c r="E209" s="191">
        <v>0.91100000000000003</v>
      </c>
      <c r="F209" s="191">
        <v>0.87</v>
      </c>
      <c r="G209" s="191">
        <v>0.82699999999999996</v>
      </c>
      <c r="H209" s="191">
        <v>0.79500000000000004</v>
      </c>
      <c r="I209" s="191">
        <v>0.754</v>
      </c>
      <c r="J209" s="191">
        <v>0.71599999999999997</v>
      </c>
      <c r="K209" s="361">
        <v>1.2454745135323999E-3</v>
      </c>
      <c r="L209" s="362">
        <v>1.1894213246687023E-3</v>
      </c>
      <c r="M209" s="362">
        <v>1.1306338339092147E-3</v>
      </c>
      <c r="N209" s="362">
        <v>1.0868850035765727E-3</v>
      </c>
      <c r="O209" s="362">
        <v>1.0308318147128754E-3</v>
      </c>
      <c r="P209" s="363">
        <v>9.7888007869286289E-4</v>
      </c>
      <c r="Q209" s="273">
        <v>114.11342592592587</v>
      </c>
      <c r="R209" s="273">
        <v>107.9108796296296</v>
      </c>
      <c r="S209" s="273">
        <v>100.86018098141376</v>
      </c>
      <c r="T209" s="273">
        <v>92.762640992097587</v>
      </c>
      <c r="U209" s="273">
        <v>88.249803436130563</v>
      </c>
      <c r="V209" s="273">
        <f t="shared" si="120"/>
        <v>77.118680555555585</v>
      </c>
      <c r="W209" s="273">
        <f t="shared" si="121"/>
        <v>73.647916666666688</v>
      </c>
      <c r="X209" s="273">
        <f t="shared" si="122"/>
        <v>70.007847222222239</v>
      </c>
      <c r="Y209" s="273">
        <f t="shared" si="123"/>
        <v>67.29895833333336</v>
      </c>
      <c r="Z209" s="273">
        <f t="shared" si="124"/>
        <v>63.828194444444463</v>
      </c>
      <c r="AA209" s="273">
        <f t="shared" si="125"/>
        <v>60.611388888888904</v>
      </c>
      <c r="AB209" s="100">
        <v>575</v>
      </c>
      <c r="AC209" s="101" t="s">
        <v>221</v>
      </c>
      <c r="AD209" s="159"/>
      <c r="AE209" s="159"/>
      <c r="AF209" s="164"/>
      <c r="AG209" s="164"/>
      <c r="AH209" s="164"/>
      <c r="AI209" s="159">
        <f t="shared" si="126"/>
        <v>2344636.2879364477</v>
      </c>
      <c r="AJ209" s="159">
        <f t="shared" si="115"/>
        <v>2264226.3104043589</v>
      </c>
      <c r="AK209" s="159">
        <f t="shared" si="116"/>
        <v>2194736.6436178046</v>
      </c>
      <c r="AL209" s="159">
        <f t="shared" si="117"/>
        <v>2167546.7907570354</v>
      </c>
      <c r="AM209" s="159">
        <f t="shared" si="118"/>
        <v>2117391.0892453589</v>
      </c>
      <c r="AN209" s="159">
        <f t="shared" si="119"/>
        <v>2074654.4982909849</v>
      </c>
    </row>
    <row r="210" spans="1:40" x14ac:dyDescent="0.35">
      <c r="A210" s="46">
        <v>820</v>
      </c>
      <c r="B210" s="240" t="s">
        <v>614</v>
      </c>
      <c r="C210" s="364">
        <v>46.0381944444444</v>
      </c>
      <c r="D210" s="365">
        <v>7.4352151017803862E-4</v>
      </c>
      <c r="E210" s="191">
        <v>0.96599999999999997</v>
      </c>
      <c r="F210" s="191">
        <v>0.91800000000000004</v>
      </c>
      <c r="G210" s="191">
        <v>0.878</v>
      </c>
      <c r="H210" s="191">
        <v>0.83399999999999996</v>
      </c>
      <c r="I210" s="191">
        <v>0.81499999999999995</v>
      </c>
      <c r="J210" s="191">
        <v>0.78400000000000003</v>
      </c>
      <c r="K210" s="361">
        <v>7.1824177883198534E-4</v>
      </c>
      <c r="L210" s="362">
        <v>6.8255274634343953E-4</v>
      </c>
      <c r="M210" s="362">
        <v>6.528118859363179E-4</v>
      </c>
      <c r="N210" s="362">
        <v>6.2009693948848418E-4</v>
      </c>
      <c r="O210" s="362">
        <v>6.0597003079510144E-4</v>
      </c>
      <c r="P210" s="363">
        <v>5.8292086397958233E-4</v>
      </c>
      <c r="Q210" s="273">
        <v>60.586805555555543</v>
      </c>
      <c r="R210" s="273">
        <v>58.054398148148103</v>
      </c>
      <c r="S210" s="273">
        <v>55.315070164323785</v>
      </c>
      <c r="T210" s="273">
        <v>50.458791544765539</v>
      </c>
      <c r="U210" s="273">
        <v>48.412195735335231</v>
      </c>
      <c r="V210" s="273">
        <f t="shared" si="120"/>
        <v>44.47289583333329</v>
      </c>
      <c r="W210" s="273">
        <f t="shared" si="121"/>
        <v>42.263062499999961</v>
      </c>
      <c r="X210" s="273">
        <f t="shared" si="122"/>
        <v>40.421534722222184</v>
      </c>
      <c r="Y210" s="273">
        <f t="shared" si="123"/>
        <v>38.395854166666631</v>
      </c>
      <c r="Z210" s="273">
        <f t="shared" si="124"/>
        <v>37.521128472222181</v>
      </c>
      <c r="AA210" s="273">
        <f t="shared" si="125"/>
        <v>36.093944444444411</v>
      </c>
      <c r="AB210" s="100">
        <v>820</v>
      </c>
      <c r="AC210" s="101" t="s">
        <v>614</v>
      </c>
      <c r="AD210" s="159"/>
      <c r="AE210" s="159"/>
      <c r="AF210" s="164"/>
      <c r="AG210" s="164"/>
      <c r="AH210" s="164"/>
      <c r="AI210" s="159">
        <f t="shared" si="126"/>
        <v>1352107.7467778218</v>
      </c>
      <c r="AJ210" s="159">
        <f t="shared" si="115"/>
        <v>1299332.5867434181</v>
      </c>
      <c r="AK210" s="159">
        <f t="shared" si="116"/>
        <v>1267209.7052852989</v>
      </c>
      <c r="AL210" s="159">
        <f t="shared" si="117"/>
        <v>1236643.367719288</v>
      </c>
      <c r="AM210" s="159">
        <f t="shared" si="118"/>
        <v>1244699.2081949539</v>
      </c>
      <c r="AN210" s="159">
        <f t="shared" si="119"/>
        <v>1235452.0425196646</v>
      </c>
    </row>
    <row r="211" spans="1:40" x14ac:dyDescent="0.35">
      <c r="A211" s="46">
        <v>302</v>
      </c>
      <c r="B211" s="240" t="s">
        <v>223</v>
      </c>
      <c r="C211" s="364">
        <v>121.934027777778</v>
      </c>
      <c r="D211" s="365">
        <v>1.9692469170316204E-3</v>
      </c>
      <c r="E211" s="191">
        <v>0.95699999999999996</v>
      </c>
      <c r="F211" s="191">
        <v>0.91400000000000003</v>
      </c>
      <c r="G211" s="191">
        <v>0.878</v>
      </c>
      <c r="H211" s="191">
        <v>0.82</v>
      </c>
      <c r="I211" s="191">
        <v>0.73099999999999998</v>
      </c>
      <c r="J211" s="191">
        <v>0.68799999999999994</v>
      </c>
      <c r="K211" s="361">
        <v>1.8845692995992605E-3</v>
      </c>
      <c r="L211" s="362">
        <v>1.7998916821669012E-3</v>
      </c>
      <c r="M211" s="362">
        <v>1.7289987931537628E-3</v>
      </c>
      <c r="N211" s="362">
        <v>1.6147824719659285E-3</v>
      </c>
      <c r="O211" s="362">
        <v>1.4395194963501144E-3</v>
      </c>
      <c r="P211" s="363">
        <v>1.3548418789177546E-3</v>
      </c>
      <c r="Q211" s="273">
        <v>153.28342853182053</v>
      </c>
      <c r="R211" s="273">
        <v>147.57532566921202</v>
      </c>
      <c r="S211" s="273">
        <v>142.84497455246097</v>
      </c>
      <c r="T211" s="273">
        <v>137.45661733230557</v>
      </c>
      <c r="U211" s="273">
        <v>125.49635401855683</v>
      </c>
      <c r="V211" s="273">
        <f t="shared" si="120"/>
        <v>116.69086458333354</v>
      </c>
      <c r="W211" s="273">
        <f t="shared" si="121"/>
        <v>111.4477013888891</v>
      </c>
      <c r="X211" s="273">
        <f t="shared" si="122"/>
        <v>107.05807638888908</v>
      </c>
      <c r="Y211" s="273">
        <f t="shared" si="123"/>
        <v>99.985902777777952</v>
      </c>
      <c r="Z211" s="273">
        <f t="shared" si="124"/>
        <v>89.133774305555718</v>
      </c>
      <c r="AA211" s="273">
        <f t="shared" si="125"/>
        <v>83.890611111111255</v>
      </c>
      <c r="AB211" s="100">
        <v>302</v>
      </c>
      <c r="AC211" s="101" t="s">
        <v>223</v>
      </c>
      <c r="AD211" s="159"/>
      <c r="AE211" s="159"/>
      <c r="AF211" s="164"/>
      <c r="AG211" s="164"/>
      <c r="AH211" s="164"/>
      <c r="AI211" s="159">
        <f t="shared" si="126"/>
        <v>3547747.8816000312</v>
      </c>
      <c r="AJ211" s="159">
        <f t="shared" si="115"/>
        <v>3426340.2026825068</v>
      </c>
      <c r="AK211" s="159">
        <f t="shared" si="116"/>
        <v>3356256.3708050353</v>
      </c>
      <c r="AL211" s="159">
        <f t="shared" si="117"/>
        <v>3220319.1260922309</v>
      </c>
      <c r="AM211" s="159">
        <f t="shared" si="118"/>
        <v>2956860.3829090069</v>
      </c>
      <c r="AN211" s="159">
        <f t="shared" si="119"/>
        <v>2871474.1057179747</v>
      </c>
    </row>
    <row r="212" spans="1:40" x14ac:dyDescent="0.35">
      <c r="A212" s="46">
        <v>579</v>
      </c>
      <c r="B212" s="240" t="s">
        <v>224</v>
      </c>
      <c r="C212" s="364">
        <v>21.935185185185201</v>
      </c>
      <c r="D212" s="365">
        <v>3.5425546574387737E-4</v>
      </c>
      <c r="E212" s="191">
        <v>0.97599999999999998</v>
      </c>
      <c r="F212" s="191">
        <v>0.91</v>
      </c>
      <c r="G212" s="191">
        <v>0.88900000000000001</v>
      </c>
      <c r="H212" s="191">
        <v>0.82799999999999996</v>
      </c>
      <c r="I212" s="191">
        <v>0.76900000000000002</v>
      </c>
      <c r="J212" s="191">
        <v>0.71399999999999997</v>
      </c>
      <c r="K212" s="361">
        <v>3.4575333456602432E-4</v>
      </c>
      <c r="L212" s="362">
        <v>3.223724738269284E-4</v>
      </c>
      <c r="M212" s="362">
        <v>3.1493310904630697E-4</v>
      </c>
      <c r="N212" s="362">
        <v>2.9332352563593046E-4</v>
      </c>
      <c r="O212" s="362">
        <v>2.724224531570417E-4</v>
      </c>
      <c r="P212" s="363">
        <v>2.5293840254112844E-4</v>
      </c>
      <c r="Q212" s="273">
        <v>28.641203703703706</v>
      </c>
      <c r="R212" s="273">
        <v>27.8333333333333</v>
      </c>
      <c r="S212" s="273">
        <v>25.018205797647372</v>
      </c>
      <c r="T212" s="273">
        <v>21.029014325714094</v>
      </c>
      <c r="U212" s="273">
        <v>21.66993398370618</v>
      </c>
      <c r="V212" s="273">
        <f t="shared" si="120"/>
        <v>21.408740740740758</v>
      </c>
      <c r="W212" s="273">
        <f t="shared" si="121"/>
        <v>19.961018518518532</v>
      </c>
      <c r="X212" s="273">
        <f t="shared" si="122"/>
        <v>19.500379629629645</v>
      </c>
      <c r="Y212" s="273">
        <f t="shared" si="123"/>
        <v>18.162333333333347</v>
      </c>
      <c r="Z212" s="273">
        <f t="shared" si="124"/>
        <v>16.86815740740742</v>
      </c>
      <c r="AA212" s="273">
        <f t="shared" si="125"/>
        <v>15.661722222222233</v>
      </c>
      <c r="AB212" s="100">
        <v>579</v>
      </c>
      <c r="AC212" s="101" t="s">
        <v>224</v>
      </c>
      <c r="AD212" s="159"/>
      <c r="AE212" s="159"/>
      <c r="AF212" s="164"/>
      <c r="AG212" s="164"/>
      <c r="AH212" s="164"/>
      <c r="AI212" s="159">
        <f t="shared" si="126"/>
        <v>650889.12385636161</v>
      </c>
      <c r="AJ212" s="159">
        <f t="shared" si="115"/>
        <v>613680.13322981459</v>
      </c>
      <c r="AK212" s="159">
        <f t="shared" si="116"/>
        <v>611334.29230803659</v>
      </c>
      <c r="AL212" s="159">
        <f t="shared" si="117"/>
        <v>584967.55825457245</v>
      </c>
      <c r="AM212" s="159">
        <f t="shared" si="118"/>
        <v>559572.24698749545</v>
      </c>
      <c r="AN212" s="159">
        <f t="shared" si="119"/>
        <v>536081.8000538128</v>
      </c>
    </row>
    <row r="213" spans="1:40" x14ac:dyDescent="0.35">
      <c r="A213" s="46">
        <v>823</v>
      </c>
      <c r="B213" s="240" t="s">
        <v>225</v>
      </c>
      <c r="C213" s="364">
        <v>81.1336805555555</v>
      </c>
      <c r="D213" s="365">
        <v>1.3103171707953196E-3</v>
      </c>
      <c r="E213" s="191">
        <v>0.96</v>
      </c>
      <c r="F213" s="191">
        <v>0.91900000000000004</v>
      </c>
      <c r="G213" s="191">
        <v>0.879</v>
      </c>
      <c r="H213" s="191">
        <v>0.82299999999999995</v>
      </c>
      <c r="I213" s="191">
        <v>0.72899999999999998</v>
      </c>
      <c r="J213" s="191">
        <v>0.65400000000000003</v>
      </c>
      <c r="K213" s="361">
        <v>1.2579044839635069E-3</v>
      </c>
      <c r="L213" s="362">
        <v>1.2041814799608988E-3</v>
      </c>
      <c r="M213" s="362">
        <v>1.1517687931290859E-3</v>
      </c>
      <c r="N213" s="362">
        <v>1.078391031564548E-3</v>
      </c>
      <c r="O213" s="362">
        <v>9.5522121750978798E-4</v>
      </c>
      <c r="P213" s="363">
        <v>8.5694742970013902E-4</v>
      </c>
      <c r="Q213" s="273">
        <v>114.477471045906</v>
      </c>
      <c r="R213" s="273">
        <v>106.1914033263965</v>
      </c>
      <c r="S213" s="273">
        <v>101.49836448761813</v>
      </c>
      <c r="T213" s="273">
        <v>90.077470156042153</v>
      </c>
      <c r="U213" s="273">
        <v>80.889562147008249</v>
      </c>
      <c r="V213" s="273">
        <f t="shared" si="120"/>
        <v>77.888333333333279</v>
      </c>
      <c r="W213" s="273">
        <f t="shared" si="121"/>
        <v>74.561852430555504</v>
      </c>
      <c r="X213" s="273">
        <f t="shared" si="122"/>
        <v>71.316505208333282</v>
      </c>
      <c r="Y213" s="273">
        <f t="shared" si="123"/>
        <v>66.773019097222175</v>
      </c>
      <c r="Z213" s="273">
        <f t="shared" si="124"/>
        <v>59.146453124999958</v>
      </c>
      <c r="AA213" s="273">
        <f t="shared" si="125"/>
        <v>53.061427083333299</v>
      </c>
      <c r="AB213" s="100">
        <v>823</v>
      </c>
      <c r="AC213" s="101" t="s">
        <v>225</v>
      </c>
      <c r="AD213" s="159"/>
      <c r="AE213" s="159"/>
      <c r="AF213" s="164"/>
      <c r="AG213" s="164"/>
      <c r="AH213" s="164"/>
      <c r="AI213" s="159">
        <f t="shared" si="126"/>
        <v>2368036.0118281017</v>
      </c>
      <c r="AJ213" s="159">
        <f t="shared" si="115"/>
        <v>2292324.2865084563</v>
      </c>
      <c r="AK213" s="159">
        <f t="shared" si="116"/>
        <v>2235762.8963886411</v>
      </c>
      <c r="AL213" s="159">
        <f t="shared" si="117"/>
        <v>2150607.4809727804</v>
      </c>
      <c r="AM213" s="159">
        <f t="shared" si="118"/>
        <v>1962082.3352029449</v>
      </c>
      <c r="AN213" s="159">
        <f t="shared" si="119"/>
        <v>1816228.4415884225</v>
      </c>
    </row>
    <row r="214" spans="1:40" x14ac:dyDescent="0.35">
      <c r="A214" s="46">
        <v>824</v>
      </c>
      <c r="B214" s="240" t="s">
        <v>226</v>
      </c>
      <c r="C214" s="364">
        <v>140.692708333333</v>
      </c>
      <c r="D214" s="365">
        <v>2.2722015107971183E-3</v>
      </c>
      <c r="E214" s="191">
        <v>0.93799999999999994</v>
      </c>
      <c r="F214" s="191">
        <v>0.88600000000000001</v>
      </c>
      <c r="G214" s="191">
        <v>0.83799999999999997</v>
      </c>
      <c r="H214" s="191">
        <v>0.78600000000000003</v>
      </c>
      <c r="I214" s="191">
        <v>0.69299999999999995</v>
      </c>
      <c r="J214" s="191">
        <v>0.64700000000000002</v>
      </c>
      <c r="K214" s="361">
        <v>2.1313250171276967E-3</v>
      </c>
      <c r="L214" s="362">
        <v>2.013170538566247E-3</v>
      </c>
      <c r="M214" s="362">
        <v>1.9041048660479851E-3</v>
      </c>
      <c r="N214" s="362">
        <v>1.7859503874865352E-3</v>
      </c>
      <c r="O214" s="362">
        <v>1.5746356469824028E-3</v>
      </c>
      <c r="P214" s="363">
        <v>1.4701143774857356E-3</v>
      </c>
      <c r="Q214" s="273">
        <v>144.72416361266673</v>
      </c>
      <c r="R214" s="273">
        <v>138.04575819699437</v>
      </c>
      <c r="S214" s="273">
        <v>131.91291912014995</v>
      </c>
      <c r="T214" s="273">
        <v>118.36441257398681</v>
      </c>
      <c r="U214" s="273">
        <v>134.4936794164154</v>
      </c>
      <c r="V214" s="273">
        <f t="shared" si="120"/>
        <v>131.96976041666636</v>
      </c>
      <c r="W214" s="273">
        <f t="shared" si="121"/>
        <v>124.65373958333304</v>
      </c>
      <c r="X214" s="273">
        <f t="shared" si="122"/>
        <v>117.90048958333306</v>
      </c>
      <c r="Y214" s="273">
        <f t="shared" si="123"/>
        <v>110.58446874999974</v>
      </c>
      <c r="Z214" s="273">
        <f t="shared" si="124"/>
        <v>97.500046874999768</v>
      </c>
      <c r="AA214" s="273">
        <f t="shared" si="125"/>
        <v>91.028182291666454</v>
      </c>
      <c r="AB214" s="100">
        <v>824</v>
      </c>
      <c r="AC214" s="101" t="s">
        <v>226</v>
      </c>
      <c r="AD214" s="159"/>
      <c r="AE214" s="159"/>
      <c r="AF214" s="164"/>
      <c r="AG214" s="164"/>
      <c r="AH214" s="164"/>
      <c r="AI214" s="159">
        <f t="shared" si="126"/>
        <v>4012271.5657756994</v>
      </c>
      <c r="AJ214" s="159">
        <f t="shared" si="115"/>
        <v>3832345.7014042148</v>
      </c>
      <c r="AK214" s="159">
        <f t="shared" si="116"/>
        <v>3696164.573774857</v>
      </c>
      <c r="AL214" s="159">
        <f t="shared" si="117"/>
        <v>3561674.8948684842</v>
      </c>
      <c r="AM214" s="159">
        <f t="shared" si="118"/>
        <v>3234397.1539695985</v>
      </c>
      <c r="AN214" s="159">
        <f t="shared" si="119"/>
        <v>3115784.5303438897</v>
      </c>
    </row>
    <row r="215" spans="1:40" x14ac:dyDescent="0.35">
      <c r="A215" s="46">
        <v>1895</v>
      </c>
      <c r="B215" s="240" t="s">
        <v>227</v>
      </c>
      <c r="C215" s="364">
        <v>467.37384259259301</v>
      </c>
      <c r="D215" s="365">
        <v>7.5481349660986123E-3</v>
      </c>
      <c r="E215" s="191">
        <v>0.93400000000000005</v>
      </c>
      <c r="F215" s="191">
        <v>0.875</v>
      </c>
      <c r="G215" s="191">
        <v>0.82</v>
      </c>
      <c r="H215" s="191">
        <v>0.75</v>
      </c>
      <c r="I215" s="191">
        <v>0.68200000000000005</v>
      </c>
      <c r="J215" s="191">
        <v>0.64100000000000001</v>
      </c>
      <c r="K215" s="361">
        <v>7.0499580583361044E-3</v>
      </c>
      <c r="L215" s="362">
        <v>6.6046180953362853E-3</v>
      </c>
      <c r="M215" s="362">
        <v>6.1894706722008617E-3</v>
      </c>
      <c r="N215" s="362">
        <v>5.6611012245739592E-3</v>
      </c>
      <c r="O215" s="362">
        <v>5.1478280468792541E-3</v>
      </c>
      <c r="P215" s="363">
        <v>4.8383545132692106E-3</v>
      </c>
      <c r="Q215" s="273">
        <v>626.31421754558994</v>
      </c>
      <c r="R215" s="273">
        <v>592.23955836615335</v>
      </c>
      <c r="S215" s="273">
        <v>544.65475278447707</v>
      </c>
      <c r="T215" s="273">
        <v>495.83942660362925</v>
      </c>
      <c r="U215" s="273">
        <v>475.87757384076025</v>
      </c>
      <c r="V215" s="273">
        <f t="shared" si="120"/>
        <v>436.52716898148191</v>
      </c>
      <c r="W215" s="273">
        <f t="shared" si="121"/>
        <v>408.95211226851887</v>
      </c>
      <c r="X215" s="273">
        <f t="shared" si="122"/>
        <v>383.24655092592621</v>
      </c>
      <c r="Y215" s="273">
        <f t="shared" si="123"/>
        <v>350.53038194444474</v>
      </c>
      <c r="Z215" s="273">
        <f t="shared" si="124"/>
        <v>318.74896064814845</v>
      </c>
      <c r="AA215" s="273">
        <f t="shared" si="125"/>
        <v>299.5866331018521</v>
      </c>
      <c r="AB215" s="100">
        <v>1895</v>
      </c>
      <c r="AC215" s="101" t="s">
        <v>227</v>
      </c>
      <c r="AD215" s="159"/>
      <c r="AE215" s="159"/>
      <c r="AF215" s="164"/>
      <c r="AG215" s="164"/>
      <c r="AH215" s="164"/>
      <c r="AI215" s="159">
        <f t="shared" si="126"/>
        <v>13271718.780598562</v>
      </c>
      <c r="AJ215" s="159">
        <f t="shared" si="115"/>
        <v>12572794.645159466</v>
      </c>
      <c r="AK215" s="159">
        <f t="shared" si="116"/>
        <v>12014728.094513858</v>
      </c>
      <c r="AL215" s="159">
        <f t="shared" si="117"/>
        <v>11289788.479091398</v>
      </c>
      <c r="AM215" s="159">
        <f t="shared" si="118"/>
        <v>10573951.13330443</v>
      </c>
      <c r="AN215" s="159">
        <f t="shared" si="119"/>
        <v>10254487.93348055</v>
      </c>
    </row>
    <row r="216" spans="1:40" x14ac:dyDescent="0.35">
      <c r="A216" s="46">
        <v>269</v>
      </c>
      <c r="B216" s="240" t="s">
        <v>228</v>
      </c>
      <c r="C216" s="364">
        <v>69.070601851851904</v>
      </c>
      <c r="D216" s="365">
        <v>1.1154972261079239E-3</v>
      </c>
      <c r="E216" s="191">
        <v>0.96399999999999997</v>
      </c>
      <c r="F216" s="191">
        <v>0.89500000000000002</v>
      </c>
      <c r="G216" s="191">
        <v>0.85199999999999998</v>
      </c>
      <c r="H216" s="191">
        <v>0.748</v>
      </c>
      <c r="I216" s="191">
        <v>0.69699999999999995</v>
      </c>
      <c r="J216" s="191">
        <v>0.64</v>
      </c>
      <c r="K216" s="361">
        <v>1.0753393259680386E-3</v>
      </c>
      <c r="L216" s="362">
        <v>9.9837001736659183E-4</v>
      </c>
      <c r="M216" s="362">
        <v>9.5040363664395105E-4</v>
      </c>
      <c r="N216" s="362">
        <v>8.3439192512872707E-4</v>
      </c>
      <c r="O216" s="362">
        <v>7.7750156659722291E-4</v>
      </c>
      <c r="P216" s="363">
        <v>7.1391822470907125E-4</v>
      </c>
      <c r="Q216" s="273">
        <v>98.859953703703738</v>
      </c>
      <c r="R216" s="273">
        <v>93.112268518518505</v>
      </c>
      <c r="S216" s="273">
        <v>80.582006540124226</v>
      </c>
      <c r="T216" s="273">
        <v>75.657206611877555</v>
      </c>
      <c r="U216" s="273">
        <v>70.553088019837048</v>
      </c>
      <c r="V216" s="273">
        <f t="shared" si="120"/>
        <v>66.584060185185237</v>
      </c>
      <c r="W216" s="273">
        <f t="shared" si="121"/>
        <v>61.818188657407454</v>
      </c>
      <c r="X216" s="273">
        <f t="shared" si="122"/>
        <v>58.84815277777782</v>
      </c>
      <c r="Y216" s="273">
        <f t="shared" si="123"/>
        <v>51.664810185185225</v>
      </c>
      <c r="Z216" s="273">
        <f t="shared" si="124"/>
        <v>48.142209490740775</v>
      </c>
      <c r="AA216" s="273">
        <f t="shared" si="125"/>
        <v>44.205185185185222</v>
      </c>
      <c r="AB216" s="100">
        <v>269</v>
      </c>
      <c r="AC216" s="101" t="s">
        <v>228</v>
      </c>
      <c r="AD216" s="159"/>
      <c r="AE216" s="159"/>
      <c r="AF216" s="164"/>
      <c r="AG216" s="164"/>
      <c r="AH216" s="164"/>
      <c r="AI216" s="159">
        <f t="shared" si="126"/>
        <v>2024352.6287494721</v>
      </c>
      <c r="AJ216" s="159">
        <f t="shared" si="115"/>
        <v>1900533.9940999763</v>
      </c>
      <c r="AK216" s="159">
        <f t="shared" si="116"/>
        <v>1844881.7159115628</v>
      </c>
      <c r="AL216" s="159">
        <f t="shared" si="117"/>
        <v>1664006.3425246614</v>
      </c>
      <c r="AM216" s="159">
        <f t="shared" si="118"/>
        <v>1597035.389760273</v>
      </c>
      <c r="AN216" s="159">
        <f t="shared" si="119"/>
        <v>1513089.9979928131</v>
      </c>
    </row>
    <row r="217" spans="1:40" x14ac:dyDescent="0.35">
      <c r="A217" s="46">
        <v>173</v>
      </c>
      <c r="B217" s="240" t="s">
        <v>229</v>
      </c>
      <c r="C217" s="364">
        <v>216.24074074074099</v>
      </c>
      <c r="D217" s="365">
        <v>3.4923098974176934E-3</v>
      </c>
      <c r="E217" s="191">
        <v>0.94599999999999995</v>
      </c>
      <c r="F217" s="191">
        <v>0.90100000000000002</v>
      </c>
      <c r="G217" s="191">
        <v>0.83</v>
      </c>
      <c r="H217" s="191">
        <v>0.77900000000000003</v>
      </c>
      <c r="I217" s="191">
        <v>0.68300000000000005</v>
      </c>
      <c r="J217" s="191">
        <v>0.64</v>
      </c>
      <c r="K217" s="361">
        <v>3.3037251629571378E-3</v>
      </c>
      <c r="L217" s="362">
        <v>3.1465712175733416E-3</v>
      </c>
      <c r="M217" s="362">
        <v>2.8986172148566854E-3</v>
      </c>
      <c r="N217" s="362">
        <v>2.7205094100883833E-3</v>
      </c>
      <c r="O217" s="362">
        <v>2.3852476599362849E-3</v>
      </c>
      <c r="P217" s="363">
        <v>2.2350783343473239E-3</v>
      </c>
      <c r="Q217" s="273">
        <v>278.85485304664718</v>
      </c>
      <c r="R217" s="273">
        <v>265.49602123638357</v>
      </c>
      <c r="S217" s="273">
        <v>249.77263228283621</v>
      </c>
      <c r="T217" s="273">
        <v>235.26172778892004</v>
      </c>
      <c r="U217" s="273">
        <v>215.31097039920189</v>
      </c>
      <c r="V217" s="273">
        <f t="shared" si="120"/>
        <v>204.56374074074097</v>
      </c>
      <c r="W217" s="273">
        <f t="shared" si="121"/>
        <v>194.83290740740765</v>
      </c>
      <c r="X217" s="273">
        <f t="shared" si="122"/>
        <v>179.479814814815</v>
      </c>
      <c r="Y217" s="273">
        <f t="shared" si="123"/>
        <v>168.45153703703724</v>
      </c>
      <c r="Z217" s="273">
        <f t="shared" si="124"/>
        <v>147.6924259259261</v>
      </c>
      <c r="AA217" s="273">
        <f t="shared" si="125"/>
        <v>138.39407407407424</v>
      </c>
      <c r="AB217" s="100">
        <v>173</v>
      </c>
      <c r="AC217" s="101" t="s">
        <v>229</v>
      </c>
      <c r="AD217" s="159"/>
      <c r="AE217" s="159"/>
      <c r="AF217" s="164"/>
      <c r="AG217" s="164"/>
      <c r="AH217" s="164"/>
      <c r="AI217" s="159">
        <f t="shared" si="126"/>
        <v>6219343.5660669217</v>
      </c>
      <c r="AJ217" s="159">
        <f t="shared" si="115"/>
        <v>5989929.0441720374</v>
      </c>
      <c r="AK217" s="159">
        <f t="shared" si="116"/>
        <v>5626668.1806889651</v>
      </c>
      <c r="AL217" s="159">
        <f t="shared" si="117"/>
        <v>5425441.902001502</v>
      </c>
      <c r="AM217" s="159">
        <f t="shared" si="118"/>
        <v>4899443.4093976663</v>
      </c>
      <c r="AN217" s="159">
        <f t="shared" si="119"/>
        <v>4737061.6905171731</v>
      </c>
    </row>
    <row r="218" spans="1:40" x14ac:dyDescent="0.35">
      <c r="A218" s="46">
        <v>1773</v>
      </c>
      <c r="B218" s="240" t="s">
        <v>230</v>
      </c>
      <c r="C218" s="364">
        <v>69.7222222222222</v>
      </c>
      <c r="D218" s="365">
        <v>1.126020961186743E-3</v>
      </c>
      <c r="E218" s="191">
        <v>0.94299999999999995</v>
      </c>
      <c r="F218" s="191">
        <v>0.89200000000000002</v>
      </c>
      <c r="G218" s="191">
        <v>0.83099999999999996</v>
      </c>
      <c r="H218" s="191">
        <v>0.75800000000000001</v>
      </c>
      <c r="I218" s="191">
        <v>0.66300000000000003</v>
      </c>
      <c r="J218" s="191">
        <v>0.63500000000000001</v>
      </c>
      <c r="K218" s="361">
        <v>1.0618377663990986E-3</v>
      </c>
      <c r="L218" s="362">
        <v>1.0044106973785747E-3</v>
      </c>
      <c r="M218" s="362">
        <v>9.3572341874618341E-4</v>
      </c>
      <c r="N218" s="362">
        <v>8.5352388857955121E-4</v>
      </c>
      <c r="O218" s="362">
        <v>7.4655189726681058E-4</v>
      </c>
      <c r="P218" s="363">
        <v>7.1502331035358177E-4</v>
      </c>
      <c r="Q218" s="273">
        <v>84.692129629629619</v>
      </c>
      <c r="R218" s="273">
        <v>84.2569444444444</v>
      </c>
      <c r="S218" s="273">
        <v>76.69910063355438</v>
      </c>
      <c r="T218" s="273">
        <v>68.795230651888488</v>
      </c>
      <c r="U218" s="273">
        <v>68.856357108469652</v>
      </c>
      <c r="V218" s="273">
        <f t="shared" si="120"/>
        <v>65.748055555555524</v>
      </c>
      <c r="W218" s="273">
        <f t="shared" si="121"/>
        <v>62.192222222222206</v>
      </c>
      <c r="X218" s="273">
        <f t="shared" si="122"/>
        <v>57.939166666666644</v>
      </c>
      <c r="Y218" s="273">
        <f t="shared" si="123"/>
        <v>52.84944444444443</v>
      </c>
      <c r="Z218" s="273">
        <f t="shared" si="124"/>
        <v>46.22583333333332</v>
      </c>
      <c r="AA218" s="273">
        <f t="shared" si="125"/>
        <v>44.273611111111094</v>
      </c>
      <c r="AB218" s="100">
        <v>1773</v>
      </c>
      <c r="AC218" s="101" t="s">
        <v>230</v>
      </c>
      <c r="AD218" s="159"/>
      <c r="AE218" s="159"/>
      <c r="AF218" s="164"/>
      <c r="AG218" s="164"/>
      <c r="AH218" s="164"/>
      <c r="AI218" s="159">
        <f t="shared" si="126"/>
        <v>1998935.6120501182</v>
      </c>
      <c r="AJ218" s="159">
        <f t="shared" si="115"/>
        <v>1912033.2554064568</v>
      </c>
      <c r="AK218" s="159">
        <f t="shared" si="116"/>
        <v>1816385.1229473087</v>
      </c>
      <c r="AL218" s="159">
        <f t="shared" si="117"/>
        <v>1702160.7248578917</v>
      </c>
      <c r="AM218" s="159">
        <f t="shared" si="118"/>
        <v>1533462.8912013704</v>
      </c>
      <c r="AN218" s="159">
        <f t="shared" si="119"/>
        <v>1515432.1346378266</v>
      </c>
    </row>
    <row r="219" spans="1:40" x14ac:dyDescent="0.35">
      <c r="A219" s="46">
        <v>175</v>
      </c>
      <c r="B219" s="240" t="s">
        <v>231</v>
      </c>
      <c r="C219" s="364">
        <v>96.678240740740705</v>
      </c>
      <c r="D219" s="365">
        <v>1.5613633945539282E-3</v>
      </c>
      <c r="E219" s="191">
        <v>0.94</v>
      </c>
      <c r="F219" s="191">
        <v>0.84399999999999997</v>
      </c>
      <c r="G219" s="191">
        <v>0.82299999999999995</v>
      </c>
      <c r="H219" s="191">
        <v>0.76400000000000001</v>
      </c>
      <c r="I219" s="191">
        <v>0.70799999999999996</v>
      </c>
      <c r="J219" s="191">
        <v>0.66500000000000004</v>
      </c>
      <c r="K219" s="361">
        <v>1.4676815908806924E-3</v>
      </c>
      <c r="L219" s="362">
        <v>1.3177907050035153E-3</v>
      </c>
      <c r="M219" s="362">
        <v>1.2850020737178829E-3</v>
      </c>
      <c r="N219" s="362">
        <v>1.1928816334392013E-3</v>
      </c>
      <c r="O219" s="362">
        <v>1.1054452833441811E-3</v>
      </c>
      <c r="P219" s="363">
        <v>1.0383066573783624E-3</v>
      </c>
      <c r="Q219" s="273">
        <v>124.82553292642032</v>
      </c>
      <c r="R219" s="273">
        <v>117.6477108725685</v>
      </c>
      <c r="S219" s="273">
        <v>111.69032161560268</v>
      </c>
      <c r="T219" s="273">
        <v>104.77529109043665</v>
      </c>
      <c r="U219" s="273">
        <v>95.605631810457709</v>
      </c>
      <c r="V219" s="273">
        <f t="shared" si="120"/>
        <v>90.877546296296259</v>
      </c>
      <c r="W219" s="273">
        <f t="shared" si="121"/>
        <v>81.596435185185157</v>
      </c>
      <c r="X219" s="273">
        <f t="shared" si="122"/>
        <v>79.566192129629599</v>
      </c>
      <c r="Y219" s="273">
        <f t="shared" si="123"/>
        <v>73.862175925925897</v>
      </c>
      <c r="Z219" s="273">
        <f t="shared" si="124"/>
        <v>68.448194444444411</v>
      </c>
      <c r="AA219" s="273">
        <f t="shared" si="125"/>
        <v>64.291030092592578</v>
      </c>
      <c r="AB219" s="100">
        <v>175</v>
      </c>
      <c r="AC219" s="101" t="s">
        <v>231</v>
      </c>
      <c r="AD219" s="159"/>
      <c r="AE219" s="159"/>
      <c r="AF219" s="164"/>
      <c r="AG219" s="164"/>
      <c r="AH219" s="164"/>
      <c r="AI219" s="159">
        <f t="shared" si="126"/>
        <v>2762946.555490192</v>
      </c>
      <c r="AJ219" s="159">
        <f t="shared" si="115"/>
        <v>2508594.9982495564</v>
      </c>
      <c r="AK219" s="159">
        <f t="shared" si="116"/>
        <v>2494389.4775927598</v>
      </c>
      <c r="AL219" s="159">
        <f t="shared" si="117"/>
        <v>2378933.1417819941</v>
      </c>
      <c r="AM219" s="159">
        <f t="shared" si="118"/>
        <v>2270651.680704325</v>
      </c>
      <c r="AN219" s="159">
        <f t="shared" si="119"/>
        <v>2200604.1641096496</v>
      </c>
    </row>
    <row r="220" spans="1:40" x14ac:dyDescent="0.35">
      <c r="A220" s="46">
        <v>1586</v>
      </c>
      <c r="B220" s="240" t="s">
        <v>232</v>
      </c>
      <c r="C220" s="364">
        <v>204.72974537037001</v>
      </c>
      <c r="D220" s="365">
        <v>3.3064061545643843E-3</v>
      </c>
      <c r="E220" s="191">
        <v>0.94799999999999995</v>
      </c>
      <c r="F220" s="191">
        <v>0.88700000000000001</v>
      </c>
      <c r="G220" s="191">
        <v>0.83599999999999997</v>
      </c>
      <c r="H220" s="191">
        <v>0.79200000000000004</v>
      </c>
      <c r="I220" s="191">
        <v>0.746</v>
      </c>
      <c r="J220" s="191">
        <v>0.67800000000000005</v>
      </c>
      <c r="K220" s="361">
        <v>3.1344730345270362E-3</v>
      </c>
      <c r="L220" s="362">
        <v>2.932782259098609E-3</v>
      </c>
      <c r="M220" s="362">
        <v>2.7641555452158251E-3</v>
      </c>
      <c r="N220" s="362">
        <v>2.6186736744149923E-3</v>
      </c>
      <c r="O220" s="362">
        <v>2.4665789913050308E-3</v>
      </c>
      <c r="P220" s="363">
        <v>2.2417433727946528E-3</v>
      </c>
      <c r="Q220" s="273">
        <v>269.49717058665726</v>
      </c>
      <c r="R220" s="273">
        <v>258.67075818645912</v>
      </c>
      <c r="S220" s="273">
        <v>238.45234465692053</v>
      </c>
      <c r="T220" s="273">
        <v>220.15403571655807</v>
      </c>
      <c r="U220" s="273">
        <v>204.96042011674754</v>
      </c>
      <c r="V220" s="273">
        <f t="shared" si="120"/>
        <v>194.08379861111075</v>
      </c>
      <c r="W220" s="273">
        <f t="shared" si="121"/>
        <v>181.5952841435182</v>
      </c>
      <c r="X220" s="273">
        <f t="shared" si="122"/>
        <v>171.15406712962931</v>
      </c>
      <c r="Y220" s="273">
        <f t="shared" si="123"/>
        <v>162.14595833333306</v>
      </c>
      <c r="Z220" s="273">
        <f t="shared" si="124"/>
        <v>152.72839004629603</v>
      </c>
      <c r="AA220" s="273">
        <f t="shared" si="125"/>
        <v>138.80676736111087</v>
      </c>
      <c r="AB220" s="100">
        <v>1586</v>
      </c>
      <c r="AC220" s="101" t="s">
        <v>232</v>
      </c>
      <c r="AD220" s="159"/>
      <c r="AE220" s="159"/>
      <c r="AF220" s="164"/>
      <c r="AG220" s="164"/>
      <c r="AH220" s="164"/>
      <c r="AI220" s="159">
        <f t="shared" si="126"/>
        <v>5900722.2873366168</v>
      </c>
      <c r="AJ220" s="159">
        <f t="shared" si="115"/>
        <v>5582952.4963223794</v>
      </c>
      <c r="AK220" s="159">
        <f t="shared" si="116"/>
        <v>5365657.1047135722</v>
      </c>
      <c r="AL220" s="159">
        <f t="shared" si="117"/>
        <v>5222353.5151741188</v>
      </c>
      <c r="AM220" s="159">
        <f t="shared" si="118"/>
        <v>5066502.8985002711</v>
      </c>
      <c r="AN220" s="159">
        <f t="shared" si="119"/>
        <v>4751187.6823490812</v>
      </c>
    </row>
    <row r="221" spans="1:40" x14ac:dyDescent="0.35">
      <c r="A221" s="46">
        <v>826</v>
      </c>
      <c r="B221" s="240" t="s">
        <v>233</v>
      </c>
      <c r="C221" s="364">
        <v>194.19328703703701</v>
      </c>
      <c r="D221" s="365">
        <v>3.1362412837117417E-3</v>
      </c>
      <c r="E221" s="191">
        <v>0.95499999999999996</v>
      </c>
      <c r="F221" s="191">
        <v>0.92400000000000004</v>
      </c>
      <c r="G221" s="191">
        <v>0.89700000000000002</v>
      </c>
      <c r="H221" s="191">
        <v>0.84199999999999997</v>
      </c>
      <c r="I221" s="191">
        <v>0.77600000000000002</v>
      </c>
      <c r="J221" s="191">
        <v>0.72899999999999998</v>
      </c>
      <c r="K221" s="361">
        <v>2.9951104259447131E-3</v>
      </c>
      <c r="L221" s="362">
        <v>2.8978869461496496E-3</v>
      </c>
      <c r="M221" s="362">
        <v>2.8132084314894325E-3</v>
      </c>
      <c r="N221" s="362">
        <v>2.6407151608852865E-3</v>
      </c>
      <c r="O221" s="362">
        <v>2.4337232361603118E-3</v>
      </c>
      <c r="P221" s="363">
        <v>2.2863198958258594E-3</v>
      </c>
      <c r="Q221" s="273">
        <v>251.16997261387348</v>
      </c>
      <c r="R221" s="273">
        <v>237.70066089967028</v>
      </c>
      <c r="S221" s="273">
        <v>223.15408321154604</v>
      </c>
      <c r="T221" s="273">
        <v>211.239129460025</v>
      </c>
      <c r="U221" s="273">
        <v>201.65903343977342</v>
      </c>
      <c r="V221" s="273">
        <f t="shared" si="120"/>
        <v>185.45458912037034</v>
      </c>
      <c r="W221" s="273">
        <f t="shared" si="121"/>
        <v>179.43459722222221</v>
      </c>
      <c r="X221" s="273">
        <f t="shared" si="122"/>
        <v>174.1913784722222</v>
      </c>
      <c r="Y221" s="273">
        <f t="shared" si="123"/>
        <v>163.51074768518515</v>
      </c>
      <c r="Z221" s="273">
        <f t="shared" si="124"/>
        <v>150.69399074074073</v>
      </c>
      <c r="AA221" s="273">
        <f t="shared" si="125"/>
        <v>141.56690624999999</v>
      </c>
      <c r="AB221" s="100">
        <v>826</v>
      </c>
      <c r="AC221" s="101" t="s">
        <v>233</v>
      </c>
      <c r="AD221" s="159"/>
      <c r="AE221" s="159"/>
      <c r="AF221" s="164"/>
      <c r="AG221" s="164"/>
      <c r="AH221" s="164"/>
      <c r="AI221" s="159">
        <f t="shared" si="126"/>
        <v>5638368.7620630572</v>
      </c>
      <c r="AJ221" s="159">
        <f t="shared" si="115"/>
        <v>5516524.4913336216</v>
      </c>
      <c r="AK221" s="159">
        <f t="shared" si="116"/>
        <v>5460876.4089224953</v>
      </c>
      <c r="AL221" s="159">
        <f t="shared" si="117"/>
        <v>5266310.2843861198</v>
      </c>
      <c r="AM221" s="159">
        <f t="shared" si="118"/>
        <v>4999015.1840342283</v>
      </c>
      <c r="AN221" s="159">
        <f t="shared" si="119"/>
        <v>4845663.8965839846</v>
      </c>
    </row>
    <row r="222" spans="1:40" x14ac:dyDescent="0.35">
      <c r="A222" s="46">
        <v>85</v>
      </c>
      <c r="B222" s="240" t="s">
        <v>234</v>
      </c>
      <c r="C222" s="364">
        <v>102.340277777778</v>
      </c>
      <c r="D222" s="365">
        <v>1.6528058670327761E-3</v>
      </c>
      <c r="E222" s="191">
        <v>0.97</v>
      </c>
      <c r="F222" s="191">
        <v>0.89500000000000002</v>
      </c>
      <c r="G222" s="191">
        <v>0.81699999999999995</v>
      </c>
      <c r="H222" s="191">
        <v>0.74</v>
      </c>
      <c r="I222" s="191">
        <v>0.68400000000000005</v>
      </c>
      <c r="J222" s="191">
        <v>0.60699999999999998</v>
      </c>
      <c r="K222" s="361">
        <v>1.6032216910217927E-3</v>
      </c>
      <c r="L222" s="362">
        <v>1.4792612509943346E-3</v>
      </c>
      <c r="M222" s="362">
        <v>1.3503423933657779E-3</v>
      </c>
      <c r="N222" s="362">
        <v>1.2230763416042542E-3</v>
      </c>
      <c r="O222" s="362">
        <v>1.1305192130504189E-3</v>
      </c>
      <c r="P222" s="363">
        <v>1.0032531612888952E-3</v>
      </c>
      <c r="Q222" s="273">
        <v>142.18347238140925</v>
      </c>
      <c r="R222" s="273">
        <v>128.35187152711086</v>
      </c>
      <c r="S222" s="273">
        <v>118.84573286620294</v>
      </c>
      <c r="T222" s="273">
        <v>106.97649048541565</v>
      </c>
      <c r="U222" s="273">
        <v>102.86725424398257</v>
      </c>
      <c r="V222" s="273">
        <f t="shared" si="120"/>
        <v>99.270069444444658</v>
      </c>
      <c r="W222" s="273">
        <f t="shared" si="121"/>
        <v>91.594548611111307</v>
      </c>
      <c r="X222" s="273">
        <f t="shared" si="122"/>
        <v>83.612006944444616</v>
      </c>
      <c r="Y222" s="273">
        <f t="shared" si="123"/>
        <v>75.731805555555724</v>
      </c>
      <c r="Z222" s="273">
        <f t="shared" si="124"/>
        <v>70.000750000000153</v>
      </c>
      <c r="AA222" s="273">
        <f t="shared" si="125"/>
        <v>62.120548611111246</v>
      </c>
      <c r="AB222" s="100">
        <v>85</v>
      </c>
      <c r="AC222" s="101" t="s">
        <v>234</v>
      </c>
      <c r="AD222" s="159"/>
      <c r="AE222" s="159"/>
      <c r="AF222" s="164"/>
      <c r="AG222" s="164"/>
      <c r="AH222" s="164"/>
      <c r="AI222" s="159">
        <f t="shared" si="126"/>
        <v>3018104.1149652917</v>
      </c>
      <c r="AJ222" s="159">
        <f t="shared" si="115"/>
        <v>2815976.2861120421</v>
      </c>
      <c r="AK222" s="159">
        <f t="shared" si="116"/>
        <v>2621225.2307216995</v>
      </c>
      <c r="AL222" s="159">
        <f t="shared" si="117"/>
        <v>2439149.6711900155</v>
      </c>
      <c r="AM222" s="159">
        <f t="shared" si="118"/>
        <v>2322155.0535868746</v>
      </c>
      <c r="AN222" s="159">
        <f t="shared" si="119"/>
        <v>2126311.2094098767</v>
      </c>
    </row>
    <row r="223" spans="1:40" x14ac:dyDescent="0.35">
      <c r="A223" s="435">
        <v>431</v>
      </c>
      <c r="B223" s="405" t="s">
        <v>235</v>
      </c>
      <c r="C223" s="438"/>
      <c r="D223" s="439"/>
      <c r="E223" s="440"/>
      <c r="F223" s="440"/>
      <c r="G223" s="440"/>
      <c r="H223" s="440"/>
      <c r="I223" s="440"/>
      <c r="J223" s="440"/>
      <c r="K223" s="441"/>
      <c r="L223" s="442"/>
      <c r="M223" s="442"/>
      <c r="N223" s="442"/>
      <c r="O223" s="442"/>
      <c r="P223" s="443"/>
      <c r="Q223" s="444">
        <v>8.2777777777777768</v>
      </c>
      <c r="R223" s="444">
        <v>7.6944444444444402</v>
      </c>
      <c r="S223" s="444">
        <v>6.9565613902569359</v>
      </c>
      <c r="T223" s="444">
        <v>6.8966131654392715</v>
      </c>
      <c r="U223" s="444">
        <v>0</v>
      </c>
      <c r="V223" s="444">
        <f t="shared" si="120"/>
        <v>0</v>
      </c>
      <c r="W223" s="444">
        <f t="shared" si="121"/>
        <v>0</v>
      </c>
      <c r="X223" s="444">
        <f t="shared" si="122"/>
        <v>0</v>
      </c>
      <c r="Y223" s="444">
        <f t="shared" si="123"/>
        <v>0</v>
      </c>
      <c r="Z223" s="444">
        <f t="shared" si="124"/>
        <v>0</v>
      </c>
      <c r="AA223" s="444">
        <f t="shared" si="125"/>
        <v>0</v>
      </c>
      <c r="AB223" s="435">
        <v>431</v>
      </c>
      <c r="AC223" s="405" t="s">
        <v>235</v>
      </c>
      <c r="AD223" s="436"/>
      <c r="AE223" s="436"/>
      <c r="AF223" s="437"/>
      <c r="AG223" s="437"/>
      <c r="AH223" s="437"/>
      <c r="AI223" s="159">
        <f t="shared" si="126"/>
        <v>0</v>
      </c>
      <c r="AJ223" s="159">
        <f t="shared" si="115"/>
        <v>0</v>
      </c>
      <c r="AK223" s="159">
        <f t="shared" si="116"/>
        <v>0</v>
      </c>
      <c r="AL223" s="159">
        <f t="shared" si="117"/>
        <v>0</v>
      </c>
      <c r="AM223" s="159">
        <f t="shared" si="118"/>
        <v>0</v>
      </c>
      <c r="AN223" s="159">
        <f t="shared" si="119"/>
        <v>0</v>
      </c>
    </row>
    <row r="224" spans="1:40" x14ac:dyDescent="0.35">
      <c r="A224" s="46">
        <v>432</v>
      </c>
      <c r="B224" s="240" t="s">
        <v>236</v>
      </c>
      <c r="C224" s="364">
        <v>11.8888888888889</v>
      </c>
      <c r="D224" s="365">
        <v>1.9200676150913409E-4</v>
      </c>
      <c r="E224" s="191">
        <v>0.85199999999999998</v>
      </c>
      <c r="F224" s="191">
        <v>0.73699999999999999</v>
      </c>
      <c r="G224" s="191">
        <v>0.71799999999999997</v>
      </c>
      <c r="H224" s="191">
        <v>0.63600000000000001</v>
      </c>
      <c r="I224" s="191">
        <v>0.55700000000000005</v>
      </c>
      <c r="J224" s="191">
        <v>0.43099999999999999</v>
      </c>
      <c r="K224" s="361">
        <v>1.6358976080578223E-4</v>
      </c>
      <c r="L224" s="362">
        <v>1.4150898323223181E-4</v>
      </c>
      <c r="M224" s="362">
        <v>1.3786085476355826E-4</v>
      </c>
      <c r="N224" s="362">
        <v>1.2211630031980927E-4</v>
      </c>
      <c r="O224" s="362">
        <v>1.069477661605877E-4</v>
      </c>
      <c r="P224" s="363">
        <v>8.2754914210436792E-5</v>
      </c>
      <c r="Q224" s="273">
        <v>16.180555555555561</v>
      </c>
      <c r="R224" s="273">
        <v>16.1805555555556</v>
      </c>
      <c r="S224" s="273">
        <v>14.796243891193601</v>
      </c>
      <c r="T224" s="273">
        <v>12.690718487714019</v>
      </c>
      <c r="U224" s="273">
        <v>12.574434106638131</v>
      </c>
      <c r="V224" s="273">
        <f t="shared" si="120"/>
        <v>10.129333333333342</v>
      </c>
      <c r="W224" s="273">
        <f t="shared" si="121"/>
        <v>8.7621111111111194</v>
      </c>
      <c r="X224" s="273">
        <f t="shared" si="122"/>
        <v>8.5362222222222304</v>
      </c>
      <c r="Y224" s="273">
        <f t="shared" si="123"/>
        <v>7.5613333333333408</v>
      </c>
      <c r="Z224" s="273">
        <f t="shared" si="124"/>
        <v>6.6221111111111179</v>
      </c>
      <c r="AA224" s="273">
        <f t="shared" si="125"/>
        <v>5.1241111111111159</v>
      </c>
      <c r="AB224" s="100">
        <v>432</v>
      </c>
      <c r="AC224" s="101" t="s">
        <v>236</v>
      </c>
      <c r="AD224" s="159"/>
      <c r="AE224" s="159"/>
      <c r="AF224" s="164"/>
      <c r="AG224" s="164"/>
      <c r="AH224" s="164"/>
      <c r="AI224" s="159">
        <f t="shared" si="126"/>
        <v>307961.73294003156</v>
      </c>
      <c r="AJ224" s="159">
        <f t="shared" si="115"/>
        <v>269381.72062976426</v>
      </c>
      <c r="AK224" s="159">
        <f t="shared" si="116"/>
        <v>267609.42455075029</v>
      </c>
      <c r="AL224" s="159">
        <f t="shared" si="117"/>
        <v>243533.39496479387</v>
      </c>
      <c r="AM224" s="159">
        <f t="shared" si="118"/>
        <v>219677.20034543119</v>
      </c>
      <c r="AN224" s="159">
        <f t="shared" si="119"/>
        <v>175392.12285495561</v>
      </c>
    </row>
    <row r="225" spans="1:1030" x14ac:dyDescent="0.35">
      <c r="A225" s="46">
        <v>86</v>
      </c>
      <c r="B225" s="240" t="s">
        <v>237</v>
      </c>
      <c r="C225" s="364">
        <v>111.178819444444</v>
      </c>
      <c r="D225" s="365">
        <v>1.7955492114899792E-3</v>
      </c>
      <c r="E225" s="191">
        <v>0.95899999999999996</v>
      </c>
      <c r="F225" s="191">
        <v>0.873</v>
      </c>
      <c r="G225" s="191">
        <v>0.81899999999999995</v>
      </c>
      <c r="H225" s="191">
        <v>0.73499999999999999</v>
      </c>
      <c r="I225" s="191">
        <v>0.65300000000000002</v>
      </c>
      <c r="J225" s="191">
        <v>0.60899999999999999</v>
      </c>
      <c r="K225" s="361">
        <v>1.72193169381889E-3</v>
      </c>
      <c r="L225" s="362">
        <v>1.5675144616307517E-3</v>
      </c>
      <c r="M225" s="362">
        <v>1.4705548042102928E-3</v>
      </c>
      <c r="N225" s="362">
        <v>1.3197286704451348E-3</v>
      </c>
      <c r="O225" s="362">
        <v>1.1724936351029565E-3</v>
      </c>
      <c r="P225" s="363">
        <v>1.0934894697973974E-3</v>
      </c>
      <c r="Q225" s="273">
        <v>140.66719123810486</v>
      </c>
      <c r="R225" s="273">
        <v>134.43456301747983</v>
      </c>
      <c r="S225" s="273">
        <v>124.69275158862109</v>
      </c>
      <c r="T225" s="273">
        <v>119.84748890477957</v>
      </c>
      <c r="U225" s="273">
        <v>110.05465306111849</v>
      </c>
      <c r="V225" s="273">
        <f t="shared" si="120"/>
        <v>106.6204878472218</v>
      </c>
      <c r="W225" s="273">
        <f t="shared" si="121"/>
        <v>97.059109374999608</v>
      </c>
      <c r="X225" s="273">
        <f t="shared" si="122"/>
        <v>91.05545312499963</v>
      </c>
      <c r="Y225" s="273">
        <f t="shared" si="123"/>
        <v>81.716432291666337</v>
      </c>
      <c r="Z225" s="273">
        <f t="shared" si="124"/>
        <v>72.599769097221937</v>
      </c>
      <c r="AA225" s="273">
        <f t="shared" si="125"/>
        <v>67.707901041666389</v>
      </c>
      <c r="AB225" s="100">
        <v>86</v>
      </c>
      <c r="AC225" s="101" t="s">
        <v>237</v>
      </c>
      <c r="AD225" s="159"/>
      <c r="AE225" s="159"/>
      <c r="AF225" s="164"/>
      <c r="AG225" s="164"/>
      <c r="AH225" s="164"/>
      <c r="AI225" s="159">
        <f t="shared" si="126"/>
        <v>3241578.6038247305</v>
      </c>
      <c r="AJ225" s="159">
        <f t="shared" ref="AJ225:AJ257" si="127">+W225*AJ$8</f>
        <v>2983978.3534671841</v>
      </c>
      <c r="AK225" s="159">
        <f t="shared" ref="AK225:AK257" si="128">+X225*AK$8</f>
        <v>2854576.2725756974</v>
      </c>
      <c r="AL225" s="159">
        <f t="shared" ref="AL225:AL257" si="129">+Y225*AL$8</f>
        <v>2631900.9231705423</v>
      </c>
      <c r="AM225" s="159">
        <f t="shared" ref="AM225:AM257" si="130">+Z225*AM$8</f>
        <v>2408373.0631222343</v>
      </c>
      <c r="AN225" s="159">
        <f t="shared" ref="AN225:AN257" si="131">+AA225*AN$8</f>
        <v>2317559.5220799283</v>
      </c>
    </row>
    <row r="226" spans="1:1030" x14ac:dyDescent="0.35">
      <c r="A226" s="46">
        <v>828</v>
      </c>
      <c r="B226" s="240" t="s">
        <v>238</v>
      </c>
      <c r="C226" s="364">
        <v>599.98379629629596</v>
      </c>
      <c r="D226" s="365">
        <v>9.6897991697501799E-3</v>
      </c>
      <c r="E226" s="191">
        <v>0.94399999999999995</v>
      </c>
      <c r="F226" s="191">
        <v>0.89800000000000002</v>
      </c>
      <c r="G226" s="191">
        <v>0.83599999999999997</v>
      </c>
      <c r="H226" s="191">
        <v>0.78500000000000003</v>
      </c>
      <c r="I226" s="191">
        <v>0.72299999999999998</v>
      </c>
      <c r="J226" s="191">
        <v>0.66</v>
      </c>
      <c r="K226" s="361">
        <v>9.1471704162441689E-3</v>
      </c>
      <c r="L226" s="362">
        <v>8.701439654435662E-3</v>
      </c>
      <c r="M226" s="362">
        <v>8.1006721059111494E-3</v>
      </c>
      <c r="N226" s="362">
        <v>7.6064923482538913E-3</v>
      </c>
      <c r="O226" s="362">
        <v>7.0057247997293796E-3</v>
      </c>
      <c r="P226" s="363">
        <v>6.395267452035119E-3</v>
      </c>
      <c r="Q226" s="273">
        <v>806.45099857299306</v>
      </c>
      <c r="R226" s="273">
        <v>770.02776311380569</v>
      </c>
      <c r="S226" s="273">
        <v>715.05728093950665</v>
      </c>
      <c r="T226" s="273">
        <v>663.038152282125</v>
      </c>
      <c r="U226" s="273">
        <v>611.24369927461089</v>
      </c>
      <c r="V226" s="273">
        <f t="shared" si="120"/>
        <v>566.38470370370339</v>
      </c>
      <c r="W226" s="273">
        <f t="shared" si="121"/>
        <v>538.78544907407377</v>
      </c>
      <c r="X226" s="273">
        <f t="shared" si="122"/>
        <v>501.5864537037034</v>
      </c>
      <c r="Y226" s="273">
        <f t="shared" si="123"/>
        <v>470.98728009259236</v>
      </c>
      <c r="Z226" s="273">
        <f t="shared" si="124"/>
        <v>433.78828472222199</v>
      </c>
      <c r="AA226" s="273">
        <f t="shared" si="125"/>
        <v>395.98930555555535</v>
      </c>
      <c r="AB226" s="100">
        <v>828</v>
      </c>
      <c r="AC226" s="101" t="s">
        <v>238</v>
      </c>
      <c r="AD226" s="159"/>
      <c r="AE226" s="159"/>
      <c r="AF226" s="164"/>
      <c r="AG226" s="164"/>
      <c r="AH226" s="164"/>
      <c r="AI226" s="159">
        <f t="shared" si="126"/>
        <v>17219772.429576017</v>
      </c>
      <c r="AJ226" s="159">
        <f t="shared" si="127"/>
        <v>16564381.515067231</v>
      </c>
      <c r="AK226" s="159">
        <f t="shared" si="128"/>
        <v>15724668.213142628</v>
      </c>
      <c r="AL226" s="159">
        <f t="shared" si="129"/>
        <v>15169431.930812446</v>
      </c>
      <c r="AM226" s="159">
        <f t="shared" si="130"/>
        <v>14390183.78452356</v>
      </c>
      <c r="AN226" s="159">
        <f t="shared" si="131"/>
        <v>13554234.758619078</v>
      </c>
    </row>
    <row r="227" spans="1:1030" x14ac:dyDescent="0.35">
      <c r="A227" s="46">
        <v>1509</v>
      </c>
      <c r="B227" s="240" t="s">
        <v>239</v>
      </c>
      <c r="C227" s="364">
        <v>168.67592592592601</v>
      </c>
      <c r="D227" s="365">
        <v>2.724133313404902E-3</v>
      </c>
      <c r="E227" s="191">
        <v>0.93100000000000005</v>
      </c>
      <c r="F227" s="191">
        <v>0.88100000000000001</v>
      </c>
      <c r="G227" s="191">
        <v>0.82899999999999996</v>
      </c>
      <c r="H227" s="191">
        <v>0.77800000000000002</v>
      </c>
      <c r="I227" s="191">
        <v>0.74299999999999999</v>
      </c>
      <c r="J227" s="191">
        <v>0.69199999999999995</v>
      </c>
      <c r="K227" s="361">
        <v>2.5361681147799638E-3</v>
      </c>
      <c r="L227" s="362">
        <v>2.3999614491097185E-3</v>
      </c>
      <c r="M227" s="362">
        <v>2.2583065168126637E-3</v>
      </c>
      <c r="N227" s="362">
        <v>2.1193757178290138E-3</v>
      </c>
      <c r="O227" s="362">
        <v>2.0240310518598423E-3</v>
      </c>
      <c r="P227" s="363">
        <v>1.885100252876192E-3</v>
      </c>
      <c r="Q227" s="273">
        <v>195.62843721072397</v>
      </c>
      <c r="R227" s="273">
        <v>194.1831104180431</v>
      </c>
      <c r="S227" s="273">
        <v>194.12742176119727</v>
      </c>
      <c r="T227" s="273">
        <v>181.7514905781058</v>
      </c>
      <c r="U227" s="273">
        <v>174.57210806847931</v>
      </c>
      <c r="V227" s="273">
        <f t="shared" si="120"/>
        <v>157.03728703703712</v>
      </c>
      <c r="W227" s="273">
        <f t="shared" si="121"/>
        <v>148.60349074074082</v>
      </c>
      <c r="X227" s="273">
        <f t="shared" si="122"/>
        <v>139.83234259259265</v>
      </c>
      <c r="Y227" s="273">
        <f t="shared" si="123"/>
        <v>131.22987037037043</v>
      </c>
      <c r="Z227" s="273">
        <f t="shared" si="124"/>
        <v>125.32621296296303</v>
      </c>
      <c r="AA227" s="273">
        <f t="shared" si="125"/>
        <v>116.72374074074079</v>
      </c>
      <c r="AB227" s="100">
        <v>1509</v>
      </c>
      <c r="AC227" s="101" t="s">
        <v>239</v>
      </c>
      <c r="AD227" s="159"/>
      <c r="AE227" s="159"/>
      <c r="AF227" s="164"/>
      <c r="AG227" s="164"/>
      <c r="AH227" s="164"/>
      <c r="AI227" s="159">
        <f t="shared" si="126"/>
        <v>4774398.616440081</v>
      </c>
      <c r="AJ227" s="159">
        <f t="shared" si="127"/>
        <v>4568655.1471102815</v>
      </c>
      <c r="AK227" s="159">
        <f t="shared" si="128"/>
        <v>4383725.2312118756</v>
      </c>
      <c r="AL227" s="159">
        <f t="shared" si="129"/>
        <v>4226616.4501965381</v>
      </c>
      <c r="AM227" s="159">
        <f t="shared" si="130"/>
        <v>4157482.5809559016</v>
      </c>
      <c r="AN227" s="159">
        <f t="shared" si="131"/>
        <v>3995312.4029058651</v>
      </c>
    </row>
    <row r="228" spans="1:1030" x14ac:dyDescent="0.35">
      <c r="A228" s="46">
        <v>437</v>
      </c>
      <c r="B228" s="240" t="s">
        <v>240</v>
      </c>
      <c r="C228" s="364">
        <v>6.8611111111111098</v>
      </c>
      <c r="D228" s="365">
        <v>1.1080764040363568E-4</v>
      </c>
      <c r="E228" s="191">
        <v>0.97799999999999998</v>
      </c>
      <c r="F228" s="191">
        <v>0.88100000000000001</v>
      </c>
      <c r="G228" s="191">
        <v>0.86</v>
      </c>
      <c r="H228" s="191">
        <v>0.84</v>
      </c>
      <c r="I228" s="191">
        <v>0.81799999999999995</v>
      </c>
      <c r="J228" s="191">
        <v>0.79800000000000004</v>
      </c>
      <c r="K228" s="361">
        <v>1.0836987231475569E-4</v>
      </c>
      <c r="L228" s="362">
        <v>9.7621531195603027E-5</v>
      </c>
      <c r="M228" s="362">
        <v>9.5294570747126684E-5</v>
      </c>
      <c r="N228" s="362">
        <v>9.3078417939053963E-5</v>
      </c>
      <c r="O228" s="362">
        <v>9.0640649850173984E-5</v>
      </c>
      <c r="P228" s="363">
        <v>8.8424497042101277E-5</v>
      </c>
      <c r="Q228" s="273">
        <v>9.3611111111111107</v>
      </c>
      <c r="R228" s="273">
        <v>7.6388888888888902</v>
      </c>
      <c r="S228" s="273">
        <v>6.2450363360114336</v>
      </c>
      <c r="T228" s="273">
        <v>5.8168976290010104</v>
      </c>
      <c r="U228" s="273">
        <v>6.7976547046570515</v>
      </c>
      <c r="V228" s="273">
        <f t="shared" si="120"/>
        <v>6.7101666666666651</v>
      </c>
      <c r="W228" s="273">
        <f t="shared" si="121"/>
        <v>6.0446388888888878</v>
      </c>
      <c r="X228" s="273">
        <f t="shared" si="122"/>
        <v>5.9005555555555542</v>
      </c>
      <c r="Y228" s="273">
        <f t="shared" si="123"/>
        <v>5.7633333333333319</v>
      </c>
      <c r="Z228" s="273">
        <f t="shared" si="124"/>
        <v>5.6123888888888871</v>
      </c>
      <c r="AA228" s="273">
        <f t="shared" si="125"/>
        <v>5.4751666666666656</v>
      </c>
      <c r="AB228" s="100">
        <v>437</v>
      </c>
      <c r="AC228" s="101" t="s">
        <v>240</v>
      </c>
      <c r="AD228" s="159"/>
      <c r="AE228" s="159"/>
      <c r="AF228" s="164"/>
      <c r="AG228" s="164"/>
      <c r="AH228" s="164"/>
      <c r="AI228" s="159">
        <f t="shared" si="126"/>
        <v>204008.93987591477</v>
      </c>
      <c r="AJ228" s="159">
        <f t="shared" si="127"/>
        <v>185835.94796117453</v>
      </c>
      <c r="AK228" s="159">
        <f t="shared" si="128"/>
        <v>184981.62719349671</v>
      </c>
      <c r="AL228" s="159">
        <f t="shared" si="129"/>
        <v>185623.89344653857</v>
      </c>
      <c r="AM228" s="159">
        <f t="shared" si="130"/>
        <v>186181.39407117959</v>
      </c>
      <c r="AN228" s="159">
        <f t="shared" si="131"/>
        <v>187408.32972357719</v>
      </c>
    </row>
    <row r="229" spans="1:1030" x14ac:dyDescent="0.35">
      <c r="A229" s="46">
        <v>589</v>
      </c>
      <c r="B229" s="240" t="s">
        <v>241</v>
      </c>
      <c r="C229" s="364">
        <v>17.25</v>
      </c>
      <c r="D229" s="365">
        <v>2.7858924975974802E-4</v>
      </c>
      <c r="E229" s="191">
        <v>0.92100000000000004</v>
      </c>
      <c r="F229" s="191">
        <v>0.9</v>
      </c>
      <c r="G229" s="191">
        <v>0.82699999999999996</v>
      </c>
      <c r="H229" s="191">
        <v>0.80800000000000005</v>
      </c>
      <c r="I229" s="191">
        <v>0.74</v>
      </c>
      <c r="J229" s="191">
        <v>0.72199999999999998</v>
      </c>
      <c r="K229" s="361">
        <v>2.5658069902872793E-4</v>
      </c>
      <c r="L229" s="362">
        <v>2.5073032478377323E-4</v>
      </c>
      <c r="M229" s="362">
        <v>2.303933095513116E-4</v>
      </c>
      <c r="N229" s="362">
        <v>2.2510011380587642E-4</v>
      </c>
      <c r="O229" s="362">
        <v>2.0615604482221352E-4</v>
      </c>
      <c r="P229" s="363">
        <v>2.0114143832653807E-4</v>
      </c>
      <c r="Q229" s="273">
        <v>20.018518518518512</v>
      </c>
      <c r="R229" s="273">
        <v>20.564814814814799</v>
      </c>
      <c r="S229" s="273">
        <v>18.748196955008954</v>
      </c>
      <c r="T229" s="273">
        <v>18.06561760352119</v>
      </c>
      <c r="U229" s="273">
        <v>17.910563725858196</v>
      </c>
      <c r="V229" s="273">
        <f t="shared" si="120"/>
        <v>15.88725</v>
      </c>
      <c r="W229" s="273">
        <f t="shared" si="121"/>
        <v>15.525</v>
      </c>
      <c r="X229" s="273">
        <f t="shared" si="122"/>
        <v>14.265749999999999</v>
      </c>
      <c r="Y229" s="273">
        <f t="shared" si="123"/>
        <v>13.938000000000001</v>
      </c>
      <c r="Z229" s="273">
        <f t="shared" si="124"/>
        <v>12.765000000000001</v>
      </c>
      <c r="AA229" s="273">
        <f t="shared" si="125"/>
        <v>12.454499999999999</v>
      </c>
      <c r="AB229" s="100">
        <v>589</v>
      </c>
      <c r="AC229" s="101" t="s">
        <v>241</v>
      </c>
      <c r="AD229" s="159"/>
      <c r="AE229" s="159"/>
      <c r="AF229" s="164"/>
      <c r="AG229" s="164"/>
      <c r="AH229" s="164"/>
      <c r="AI229" s="159">
        <f t="shared" si="126"/>
        <v>483019.45257846965</v>
      </c>
      <c r="AJ229" s="159">
        <f t="shared" si="127"/>
        <v>477299.4954918751</v>
      </c>
      <c r="AK229" s="159">
        <f t="shared" si="128"/>
        <v>447229.3537938167</v>
      </c>
      <c r="AL229" s="159">
        <f t="shared" si="129"/>
        <v>448911.36382727395</v>
      </c>
      <c r="AM229" s="159">
        <f t="shared" si="130"/>
        <v>423457.02380383626</v>
      </c>
      <c r="AN229" s="159">
        <f t="shared" si="131"/>
        <v>426302.46431626909</v>
      </c>
    </row>
    <row r="230" spans="1:1030" x14ac:dyDescent="0.35">
      <c r="A230" s="46">
        <v>1734</v>
      </c>
      <c r="B230" s="240" t="s">
        <v>242</v>
      </c>
      <c r="C230" s="364">
        <v>116.52719907407401</v>
      </c>
      <c r="D230" s="365">
        <v>1.8819260850232512E-3</v>
      </c>
      <c r="E230" s="191">
        <v>0.95299999999999996</v>
      </c>
      <c r="F230" s="191">
        <v>0.89600000000000002</v>
      </c>
      <c r="G230" s="191">
        <v>0.83699999999999997</v>
      </c>
      <c r="H230" s="191">
        <v>0.79300000000000004</v>
      </c>
      <c r="I230" s="191">
        <v>0.74</v>
      </c>
      <c r="J230" s="191">
        <v>0.70899999999999996</v>
      </c>
      <c r="K230" s="361">
        <v>1.7934755590271582E-3</v>
      </c>
      <c r="L230" s="362">
        <v>1.686205772180833E-3</v>
      </c>
      <c r="M230" s="362">
        <v>1.5751721331644611E-3</v>
      </c>
      <c r="N230" s="362">
        <v>1.4923673854234383E-3</v>
      </c>
      <c r="O230" s="362">
        <v>1.3926253029172058E-3</v>
      </c>
      <c r="P230" s="363">
        <v>1.3342855942814851E-3</v>
      </c>
      <c r="Q230" s="273">
        <v>150.32577836550541</v>
      </c>
      <c r="R230" s="273">
        <v>144.81892485667785</v>
      </c>
      <c r="S230" s="273">
        <v>135.94937206898399</v>
      </c>
      <c r="T230" s="273">
        <v>126.91418527901872</v>
      </c>
      <c r="U230" s="273">
        <v>120.06509511386062</v>
      </c>
      <c r="V230" s="273">
        <f t="shared" si="120"/>
        <v>111.05042071759252</v>
      </c>
      <c r="W230" s="273">
        <f t="shared" si="121"/>
        <v>104.40837037037031</v>
      </c>
      <c r="X230" s="273">
        <f t="shared" si="122"/>
        <v>97.533265624999942</v>
      </c>
      <c r="Y230" s="273">
        <f t="shared" si="123"/>
        <v>92.406068865740693</v>
      </c>
      <c r="Z230" s="273">
        <f t="shared" si="124"/>
        <v>86.230127314814766</v>
      </c>
      <c r="AA230" s="273">
        <f t="shared" si="125"/>
        <v>82.617784143518463</v>
      </c>
      <c r="AB230" s="100">
        <v>1734</v>
      </c>
      <c r="AC230" s="101" t="s">
        <v>242</v>
      </c>
      <c r="AD230" s="159"/>
      <c r="AE230" s="159"/>
      <c r="AF230" s="164"/>
      <c r="AG230" s="164"/>
      <c r="AH230" s="164"/>
      <c r="AI230" s="159">
        <f t="shared" si="126"/>
        <v>3376261.6830238262</v>
      </c>
      <c r="AJ230" s="159">
        <f t="shared" si="127"/>
        <v>3209923.5106542083</v>
      </c>
      <c r="AK230" s="159">
        <f t="shared" si="128"/>
        <v>3057654.8277426288</v>
      </c>
      <c r="AL230" s="159">
        <f t="shared" si="129"/>
        <v>2976189.8694530525</v>
      </c>
      <c r="AM230" s="159">
        <f t="shared" si="130"/>
        <v>2860536.8644698272</v>
      </c>
      <c r="AN230" s="159">
        <f t="shared" si="131"/>
        <v>2827906.7788134008</v>
      </c>
    </row>
    <row r="231" spans="1:1030" x14ac:dyDescent="0.35">
      <c r="A231" s="46">
        <v>590</v>
      </c>
      <c r="B231" s="240" t="s">
        <v>243</v>
      </c>
      <c r="C231" s="364">
        <v>57.453703703703702</v>
      </c>
      <c r="D231" s="365">
        <v>9.2788314265122732E-4</v>
      </c>
      <c r="E231" s="191">
        <v>0.94099999999999995</v>
      </c>
      <c r="F231" s="191">
        <v>0.91700000000000004</v>
      </c>
      <c r="G231" s="191">
        <v>0.877</v>
      </c>
      <c r="H231" s="191">
        <v>0.81299999999999994</v>
      </c>
      <c r="I231" s="191">
        <v>0.73399999999999999</v>
      </c>
      <c r="J231" s="191">
        <v>0.64</v>
      </c>
      <c r="K231" s="361">
        <v>8.7313803723480484E-4</v>
      </c>
      <c r="L231" s="362">
        <v>8.5086884181117552E-4</v>
      </c>
      <c r="M231" s="362">
        <v>8.1375351610512637E-4</v>
      </c>
      <c r="N231" s="362">
        <v>7.5436899497544779E-4</v>
      </c>
      <c r="O231" s="362">
        <v>6.8106622670600079E-4</v>
      </c>
      <c r="P231" s="363">
        <v>5.9384521129678548E-4</v>
      </c>
      <c r="Q231" s="273">
        <v>84.328703703703709</v>
      </c>
      <c r="R231" s="273">
        <v>80.074074074074105</v>
      </c>
      <c r="S231" s="273">
        <v>69.802598164445271</v>
      </c>
      <c r="T231" s="273">
        <v>62.116132989310614</v>
      </c>
      <c r="U231" s="273">
        <v>59.833817619517184</v>
      </c>
      <c r="V231" s="273">
        <f t="shared" si="120"/>
        <v>54.06393518518518</v>
      </c>
      <c r="W231" s="273">
        <f t="shared" si="121"/>
        <v>52.685046296296299</v>
      </c>
      <c r="X231" s="273">
        <f t="shared" si="122"/>
        <v>50.386898148148148</v>
      </c>
      <c r="Y231" s="273">
        <f t="shared" si="123"/>
        <v>46.70986111111111</v>
      </c>
      <c r="Z231" s="273">
        <f t="shared" si="124"/>
        <v>42.171018518518515</v>
      </c>
      <c r="AA231" s="273">
        <f t="shared" si="125"/>
        <v>36.770370370370372</v>
      </c>
      <c r="AB231" s="100">
        <v>590</v>
      </c>
      <c r="AC231" s="101" t="s">
        <v>243</v>
      </c>
      <c r="AD231" s="159"/>
      <c r="AE231" s="159"/>
      <c r="AF231" s="164"/>
      <c r="AG231" s="164"/>
      <c r="AH231" s="164"/>
      <c r="AI231" s="159">
        <f t="shared" si="126"/>
        <v>1643703.7484389062</v>
      </c>
      <c r="AJ231" s="159">
        <f t="shared" si="127"/>
        <v>1619745.315116799</v>
      </c>
      <c r="AK231" s="159">
        <f t="shared" si="128"/>
        <v>1579622.515358194</v>
      </c>
      <c r="AL231" s="159">
        <f t="shared" si="129"/>
        <v>1504418.6723756229</v>
      </c>
      <c r="AM231" s="159">
        <f t="shared" si="130"/>
        <v>1398951.3507738593</v>
      </c>
      <c r="AN231" s="159">
        <f t="shared" si="131"/>
        <v>1258605.2834486181</v>
      </c>
    </row>
    <row r="232" spans="1:1030" x14ac:dyDescent="0.35">
      <c r="A232" s="46">
        <v>1894</v>
      </c>
      <c r="B232" s="240" t="s">
        <v>244</v>
      </c>
      <c r="C232" s="364">
        <v>201.37037037037001</v>
      </c>
      <c r="D232" s="365">
        <v>3.2521519075550133E-3</v>
      </c>
      <c r="E232" s="191">
        <v>0.95499999999999996</v>
      </c>
      <c r="F232" s="191">
        <v>0.90700000000000003</v>
      </c>
      <c r="G232" s="191">
        <v>0.85399999999999998</v>
      </c>
      <c r="H232" s="191">
        <v>0.8</v>
      </c>
      <c r="I232" s="191">
        <v>0.72699999999999998</v>
      </c>
      <c r="J232" s="191">
        <v>0.67200000000000004</v>
      </c>
      <c r="K232" s="361">
        <v>3.1058050717150377E-3</v>
      </c>
      <c r="L232" s="362">
        <v>2.949701780152397E-3</v>
      </c>
      <c r="M232" s="362">
        <v>2.7773377290519815E-3</v>
      </c>
      <c r="N232" s="362">
        <v>2.6017215260440109E-3</v>
      </c>
      <c r="O232" s="362">
        <v>2.3643144367924947E-3</v>
      </c>
      <c r="P232" s="363">
        <v>2.1854460818769689E-3</v>
      </c>
      <c r="Q232" s="273">
        <v>249.16721116577179</v>
      </c>
      <c r="R232" s="273">
        <v>237.09846325234952</v>
      </c>
      <c r="S232" s="273">
        <v>228.26788060936707</v>
      </c>
      <c r="T232" s="273">
        <v>214.73191866000391</v>
      </c>
      <c r="U232" s="273">
        <v>200.81651999183273</v>
      </c>
      <c r="V232" s="273">
        <f t="shared" si="120"/>
        <v>192.30870370370334</v>
      </c>
      <c r="W232" s="273">
        <f t="shared" si="121"/>
        <v>182.6429259259256</v>
      </c>
      <c r="X232" s="273">
        <f t="shared" si="122"/>
        <v>171.970296296296</v>
      </c>
      <c r="Y232" s="273">
        <f t="shared" si="123"/>
        <v>161.09629629629603</v>
      </c>
      <c r="Z232" s="273">
        <f t="shared" si="124"/>
        <v>146.39625925925898</v>
      </c>
      <c r="AA232" s="273">
        <f t="shared" si="125"/>
        <v>135.32088888888865</v>
      </c>
      <c r="AB232" s="100">
        <v>1894</v>
      </c>
      <c r="AC232" s="101" t="s">
        <v>244</v>
      </c>
      <c r="AD232" s="159"/>
      <c r="AE232" s="159"/>
      <c r="AF232" s="164"/>
      <c r="AG232" s="164"/>
      <c r="AH232" s="164"/>
      <c r="AI232" s="159">
        <f t="shared" si="126"/>
        <v>5846754.1449299222</v>
      </c>
      <c r="AJ232" s="159">
        <f t="shared" si="127"/>
        <v>5615161.1207474526</v>
      </c>
      <c r="AK232" s="159">
        <f t="shared" si="128"/>
        <v>5391245.7798800385</v>
      </c>
      <c r="AL232" s="159">
        <f t="shared" si="129"/>
        <v>5188546.2819552924</v>
      </c>
      <c r="AM232" s="159">
        <f t="shared" si="130"/>
        <v>4856445.2990161069</v>
      </c>
      <c r="AN232" s="159">
        <f t="shared" si="131"/>
        <v>4631870.2803646289</v>
      </c>
    </row>
    <row r="233" spans="1:1030" x14ac:dyDescent="0.35">
      <c r="A233" s="46">
        <v>765</v>
      </c>
      <c r="B233" s="240" t="s">
        <v>245</v>
      </c>
      <c r="C233" s="364">
        <v>170.743055555556</v>
      </c>
      <c r="D233" s="365">
        <v>2.7575176666034392E-3</v>
      </c>
      <c r="E233" s="191">
        <v>0.96</v>
      </c>
      <c r="F233" s="191">
        <v>0.88600000000000001</v>
      </c>
      <c r="G233" s="191">
        <v>0.83</v>
      </c>
      <c r="H233" s="191">
        <v>0.76800000000000002</v>
      </c>
      <c r="I233" s="191">
        <v>0.71299999999999997</v>
      </c>
      <c r="J233" s="191">
        <v>0.66</v>
      </c>
      <c r="K233" s="361">
        <v>2.6472169599393016E-3</v>
      </c>
      <c r="L233" s="362">
        <v>2.4431606526106472E-3</v>
      </c>
      <c r="M233" s="362">
        <v>2.2887396632808544E-3</v>
      </c>
      <c r="N233" s="362">
        <v>2.1177735679514414E-3</v>
      </c>
      <c r="O233" s="362">
        <v>1.9661100962882522E-3</v>
      </c>
      <c r="P233" s="363">
        <v>1.81996165995827E-3</v>
      </c>
      <c r="Q233" s="273">
        <v>214.68322155944188</v>
      </c>
      <c r="R233" s="273">
        <v>204.90337249784017</v>
      </c>
      <c r="S233" s="273">
        <v>195.72647218365316</v>
      </c>
      <c r="T233" s="273">
        <v>184.2222243925969</v>
      </c>
      <c r="U233" s="273">
        <v>167.90952362877738</v>
      </c>
      <c r="V233" s="273">
        <f t="shared" si="120"/>
        <v>163.91333333333375</v>
      </c>
      <c r="W233" s="273">
        <f t="shared" si="121"/>
        <v>151.27834722222261</v>
      </c>
      <c r="X233" s="273">
        <f t="shared" si="122"/>
        <v>141.71673611111146</v>
      </c>
      <c r="Y233" s="273">
        <f t="shared" si="123"/>
        <v>131.130666666667</v>
      </c>
      <c r="Z233" s="273">
        <f t="shared" si="124"/>
        <v>121.73979861111142</v>
      </c>
      <c r="AA233" s="273">
        <f t="shared" si="125"/>
        <v>112.69041666666696</v>
      </c>
      <c r="AB233" s="100">
        <v>765</v>
      </c>
      <c r="AC233" s="101" t="s">
        <v>245</v>
      </c>
      <c r="AD233" s="159"/>
      <c r="AE233" s="159"/>
      <c r="AF233" s="164"/>
      <c r="AG233" s="164"/>
      <c r="AH233" s="164"/>
      <c r="AI233" s="159">
        <f t="shared" si="126"/>
        <v>4983450.7883352432</v>
      </c>
      <c r="AJ233" s="159">
        <f t="shared" si="127"/>
        <v>4650890.744477395</v>
      </c>
      <c r="AK233" s="159">
        <f t="shared" si="128"/>
        <v>4442800.7158923456</v>
      </c>
      <c r="AL233" s="159">
        <f t="shared" si="129"/>
        <v>4223421.3239283348</v>
      </c>
      <c r="AM233" s="159">
        <f t="shared" si="130"/>
        <v>4038509.4240767439</v>
      </c>
      <c r="AN233" s="159">
        <f t="shared" si="131"/>
        <v>3857256.6004116815</v>
      </c>
    </row>
    <row r="234" spans="1:1030" s="470" customFormat="1" x14ac:dyDescent="0.35">
      <c r="A234" s="46">
        <v>439</v>
      </c>
      <c r="B234" s="240" t="s">
        <v>247</v>
      </c>
      <c r="C234" s="364">
        <v>198.51504629629599</v>
      </c>
      <c r="D234" s="365">
        <v>3.2060381341279275E-3</v>
      </c>
      <c r="E234" s="191">
        <v>0.96799999999999997</v>
      </c>
      <c r="F234" s="191">
        <v>0.9</v>
      </c>
      <c r="G234" s="191">
        <v>0.84</v>
      </c>
      <c r="H234" s="191">
        <v>0.80500000000000005</v>
      </c>
      <c r="I234" s="191">
        <v>0.74199999999999999</v>
      </c>
      <c r="J234" s="191">
        <v>0.68100000000000005</v>
      </c>
      <c r="K234" s="449">
        <v>3.1034449138358337E-3</v>
      </c>
      <c r="L234" s="450">
        <v>2.8854343207151347E-3</v>
      </c>
      <c r="M234" s="450">
        <v>2.6930720326674589E-3</v>
      </c>
      <c r="N234" s="450">
        <v>2.5808606979729819E-3</v>
      </c>
      <c r="O234" s="450">
        <v>2.3788802955229224E-3</v>
      </c>
      <c r="P234" s="451">
        <v>2.1833119693411189E-3</v>
      </c>
      <c r="Q234" s="273">
        <f t="shared" ref="Q234:T234" si="132">+Q391+Q392</f>
        <v>249.5549219439518</v>
      </c>
      <c r="R234" s="273">
        <f t="shared" si="132"/>
        <v>234.96623732703065</v>
      </c>
      <c r="S234" s="273">
        <f t="shared" si="132"/>
        <v>222.19215460196168</v>
      </c>
      <c r="T234" s="273">
        <f t="shared" si="132"/>
        <v>208.08012166091771</v>
      </c>
      <c r="U234" s="273">
        <v>198.32552285264561</v>
      </c>
      <c r="V234" s="273">
        <f t="shared" ref="V234" si="133">+E234*C234</f>
        <v>192.16256481481452</v>
      </c>
      <c r="W234" s="273">
        <f t="shared" ref="W234" si="134">+F234*$C234</f>
        <v>178.66354166666639</v>
      </c>
      <c r="X234" s="273">
        <f t="shared" ref="X234" si="135">+G234*$C234</f>
        <v>166.75263888888864</v>
      </c>
      <c r="Y234" s="273">
        <f t="shared" ref="Y234" si="136">+H234*$C234</f>
        <v>159.80461226851827</v>
      </c>
      <c r="Z234" s="273">
        <f t="shared" ref="Z234" si="137">+I234*$C234</f>
        <v>147.29816435185163</v>
      </c>
      <c r="AA234" s="273">
        <f t="shared" ref="AA234" si="138">+J234*$C234</f>
        <v>135.18874652777757</v>
      </c>
      <c r="AB234" s="100">
        <v>439</v>
      </c>
      <c r="AC234" s="101" t="s">
        <v>247</v>
      </c>
      <c r="AD234" s="159"/>
      <c r="AE234" s="159"/>
      <c r="AF234" s="164"/>
      <c r="AG234" s="164"/>
      <c r="AH234" s="164"/>
      <c r="AI234" s="159">
        <f t="shared" si="126"/>
        <v>5842311.0898945006</v>
      </c>
      <c r="AJ234" s="159">
        <f t="shared" si="127"/>
        <v>5492819.214189467</v>
      </c>
      <c r="AK234" s="159">
        <f t="shared" si="128"/>
        <v>5227672.9182616649</v>
      </c>
      <c r="AL234" s="159">
        <f t="shared" si="129"/>
        <v>5146944.0694037341</v>
      </c>
      <c r="AM234" s="159">
        <f t="shared" si="130"/>
        <v>4886364.4565768437</v>
      </c>
      <c r="AN234" s="159">
        <f t="shared" si="131"/>
        <v>4627347.2072438914</v>
      </c>
      <c r="AO234" s="460"/>
      <c r="AP234" s="460"/>
      <c r="AQ234" s="460"/>
      <c r="AR234" s="460"/>
      <c r="AS234" s="460"/>
      <c r="AT234" s="460"/>
      <c r="AU234" s="460"/>
      <c r="AV234" s="460"/>
      <c r="AW234" s="460"/>
      <c r="AX234" s="460"/>
      <c r="AY234" s="460"/>
      <c r="AZ234" s="460"/>
      <c r="BA234" s="460"/>
      <c r="BB234" s="460"/>
      <c r="BC234" s="460"/>
      <c r="BD234" s="460"/>
      <c r="BE234" s="460"/>
      <c r="BF234" s="460"/>
      <c r="BG234" s="460"/>
      <c r="BH234" s="460"/>
      <c r="BI234" s="460"/>
      <c r="BJ234" s="460"/>
      <c r="BK234" s="460"/>
      <c r="BL234" s="460"/>
      <c r="BM234" s="460"/>
      <c r="BN234" s="460"/>
      <c r="BO234" s="460"/>
      <c r="BP234" s="460"/>
      <c r="BQ234" s="460"/>
      <c r="BR234" s="460"/>
      <c r="BS234" s="460"/>
      <c r="BT234" s="460"/>
      <c r="BU234" s="460"/>
      <c r="BV234" s="460"/>
      <c r="BW234" s="460"/>
      <c r="BX234" s="460"/>
      <c r="BY234" s="460"/>
      <c r="BZ234" s="460"/>
      <c r="CA234" s="460"/>
      <c r="CB234" s="460"/>
      <c r="CC234" s="460"/>
      <c r="CD234" s="460"/>
      <c r="CE234" s="460"/>
      <c r="CF234" s="460"/>
      <c r="CG234" s="460"/>
      <c r="CH234" s="460"/>
      <c r="CI234" s="460"/>
      <c r="CJ234" s="460"/>
      <c r="CK234" s="460"/>
      <c r="CL234" s="460"/>
      <c r="CM234" s="460"/>
      <c r="CN234" s="460"/>
      <c r="CO234" s="460"/>
      <c r="CP234" s="460"/>
      <c r="CQ234" s="460"/>
      <c r="CR234" s="460"/>
      <c r="CS234" s="460"/>
      <c r="CT234" s="460"/>
      <c r="CU234" s="460"/>
      <c r="CV234" s="460"/>
      <c r="CW234" s="460"/>
      <c r="CX234" s="460"/>
      <c r="CY234" s="460"/>
      <c r="CZ234" s="460"/>
      <c r="DA234" s="460"/>
      <c r="DB234" s="460"/>
      <c r="DC234" s="460"/>
      <c r="DD234" s="460"/>
      <c r="DE234" s="460"/>
      <c r="DF234" s="460"/>
      <c r="DG234" s="460"/>
      <c r="DH234" s="460"/>
      <c r="DI234" s="460"/>
      <c r="DJ234" s="460"/>
      <c r="DK234" s="460"/>
      <c r="DL234" s="460"/>
      <c r="DM234" s="460"/>
      <c r="DN234" s="460"/>
      <c r="DO234" s="460"/>
      <c r="DP234" s="460"/>
      <c r="DQ234" s="460"/>
      <c r="DR234" s="460"/>
      <c r="DS234" s="460"/>
      <c r="DT234" s="460"/>
      <c r="DU234" s="460"/>
      <c r="DV234" s="460"/>
      <c r="DW234" s="460"/>
      <c r="DX234" s="460"/>
      <c r="DY234" s="460"/>
      <c r="DZ234" s="460"/>
      <c r="EA234" s="460"/>
      <c r="EB234" s="460"/>
      <c r="EC234" s="460"/>
      <c r="ED234" s="460"/>
      <c r="EE234" s="460"/>
      <c r="EF234" s="460"/>
      <c r="EG234" s="460"/>
      <c r="EH234" s="460"/>
      <c r="EI234" s="460"/>
      <c r="EJ234" s="460"/>
      <c r="EK234" s="460"/>
      <c r="EL234" s="460"/>
      <c r="EM234" s="460"/>
      <c r="EN234" s="460"/>
      <c r="EO234" s="460"/>
      <c r="EP234" s="460"/>
      <c r="EQ234" s="460"/>
      <c r="ER234" s="460"/>
      <c r="ES234" s="460"/>
      <c r="ET234" s="460"/>
      <c r="EU234" s="460"/>
      <c r="EV234" s="460"/>
      <c r="EW234" s="460"/>
      <c r="EX234" s="460"/>
      <c r="EY234" s="460"/>
      <c r="EZ234" s="460"/>
      <c r="FA234" s="460"/>
      <c r="FB234" s="460"/>
      <c r="FC234" s="460"/>
      <c r="FD234" s="460"/>
      <c r="FE234" s="460"/>
      <c r="FF234" s="460"/>
      <c r="FG234" s="460"/>
      <c r="FH234" s="460"/>
      <c r="FI234" s="460"/>
      <c r="FJ234" s="460"/>
      <c r="FK234" s="460"/>
      <c r="FL234" s="460"/>
      <c r="FM234" s="460"/>
      <c r="FN234" s="460"/>
      <c r="FO234" s="460"/>
      <c r="FP234" s="460"/>
      <c r="FQ234" s="460"/>
      <c r="FR234" s="460"/>
      <c r="FS234" s="460"/>
      <c r="FT234" s="460"/>
      <c r="FU234" s="460"/>
      <c r="FV234" s="460"/>
      <c r="FW234" s="460"/>
      <c r="FX234" s="460"/>
      <c r="FY234" s="460"/>
      <c r="FZ234" s="460"/>
      <c r="GA234" s="460"/>
      <c r="GB234" s="460"/>
      <c r="GC234" s="460"/>
      <c r="GD234" s="460"/>
      <c r="GE234" s="460"/>
      <c r="GF234" s="460"/>
      <c r="GG234" s="460"/>
      <c r="GH234" s="460"/>
      <c r="GI234" s="460"/>
      <c r="GJ234" s="460"/>
      <c r="GK234" s="460"/>
      <c r="GL234" s="460"/>
      <c r="GM234" s="460"/>
      <c r="GN234" s="460"/>
      <c r="GO234" s="460"/>
      <c r="GP234" s="460"/>
      <c r="GQ234" s="460"/>
      <c r="GR234" s="460"/>
      <c r="GS234" s="460"/>
      <c r="GT234" s="460"/>
      <c r="GU234" s="460"/>
      <c r="GV234" s="460"/>
      <c r="GW234" s="460"/>
      <c r="GX234" s="460"/>
      <c r="GY234" s="460"/>
      <c r="GZ234" s="460"/>
      <c r="HA234" s="460"/>
      <c r="HB234" s="460"/>
      <c r="HC234" s="460"/>
      <c r="HD234" s="460"/>
      <c r="HE234" s="460"/>
      <c r="HF234" s="460"/>
      <c r="HG234" s="460"/>
      <c r="HH234" s="460"/>
      <c r="HI234" s="460"/>
      <c r="HJ234" s="460"/>
      <c r="HK234" s="460"/>
      <c r="HL234" s="460"/>
      <c r="HM234" s="460"/>
      <c r="HN234" s="460"/>
      <c r="HO234" s="460"/>
      <c r="HP234" s="460"/>
      <c r="HQ234" s="460"/>
      <c r="HR234" s="460"/>
      <c r="HS234" s="460"/>
      <c r="HT234" s="460"/>
      <c r="HU234" s="460"/>
      <c r="HV234" s="460"/>
      <c r="HW234" s="460"/>
      <c r="HX234" s="460"/>
      <c r="HY234" s="460"/>
      <c r="HZ234" s="460"/>
      <c r="IA234" s="460"/>
      <c r="IB234" s="460"/>
      <c r="IC234" s="460"/>
      <c r="ID234" s="460"/>
      <c r="IE234" s="460"/>
      <c r="IF234" s="460"/>
      <c r="IG234" s="460"/>
      <c r="IH234" s="460"/>
      <c r="II234" s="460"/>
      <c r="IJ234" s="460"/>
      <c r="IK234" s="460"/>
      <c r="IL234" s="460"/>
      <c r="IM234" s="460"/>
      <c r="IN234" s="460"/>
      <c r="IO234" s="460"/>
      <c r="IP234" s="460"/>
      <c r="IQ234" s="460"/>
      <c r="IR234" s="460"/>
      <c r="IS234" s="460"/>
      <c r="IT234" s="460"/>
      <c r="IU234" s="460"/>
      <c r="IV234" s="460"/>
      <c r="IW234" s="460"/>
      <c r="IX234" s="460"/>
      <c r="IY234" s="460"/>
      <c r="IZ234" s="460"/>
      <c r="JA234" s="460"/>
      <c r="JB234" s="460"/>
      <c r="JC234" s="460"/>
      <c r="JD234" s="460"/>
      <c r="JE234" s="460"/>
      <c r="JF234" s="460"/>
      <c r="JG234" s="460"/>
      <c r="JH234" s="460"/>
      <c r="JI234" s="460"/>
      <c r="JJ234" s="460"/>
      <c r="JK234" s="460"/>
      <c r="JL234" s="460"/>
      <c r="JM234" s="460"/>
      <c r="JN234" s="460"/>
      <c r="JO234" s="460"/>
      <c r="JP234" s="460"/>
      <c r="JQ234" s="460"/>
      <c r="JR234" s="460"/>
      <c r="JS234" s="460"/>
      <c r="JT234" s="460"/>
      <c r="JU234" s="460"/>
      <c r="JV234" s="460"/>
      <c r="JW234" s="460"/>
      <c r="JX234" s="460"/>
      <c r="JY234" s="460"/>
      <c r="JZ234" s="460"/>
      <c r="KA234" s="460"/>
      <c r="KB234" s="460"/>
      <c r="KC234" s="460"/>
      <c r="KD234" s="460"/>
      <c r="KE234" s="460"/>
      <c r="KF234" s="460"/>
      <c r="KG234" s="460"/>
      <c r="KH234" s="460"/>
      <c r="KI234" s="460"/>
      <c r="KJ234" s="460"/>
      <c r="KK234" s="460"/>
      <c r="KL234" s="460"/>
      <c r="KM234" s="460"/>
      <c r="KN234" s="460"/>
      <c r="KO234" s="460"/>
      <c r="KP234" s="460"/>
      <c r="KQ234" s="460"/>
      <c r="KR234" s="460"/>
      <c r="KS234" s="460"/>
      <c r="KT234" s="460"/>
      <c r="KU234" s="460"/>
      <c r="KV234" s="460"/>
      <c r="KW234" s="460"/>
      <c r="KX234" s="460"/>
      <c r="KY234" s="460"/>
      <c r="KZ234" s="460"/>
      <c r="LA234" s="460"/>
      <c r="LB234" s="460"/>
      <c r="LC234" s="460"/>
      <c r="LD234" s="460"/>
      <c r="LE234" s="460"/>
      <c r="LF234" s="460"/>
      <c r="LG234" s="460"/>
      <c r="LH234" s="460"/>
      <c r="LI234" s="460"/>
      <c r="LJ234" s="460"/>
      <c r="LK234" s="460"/>
      <c r="LL234" s="460"/>
      <c r="LM234" s="460"/>
      <c r="LN234" s="460"/>
      <c r="LO234" s="460"/>
      <c r="LP234" s="460"/>
      <c r="LQ234" s="460"/>
      <c r="LR234" s="460"/>
      <c r="LS234" s="460"/>
      <c r="LT234" s="460"/>
      <c r="LU234" s="460"/>
      <c r="LV234" s="460"/>
      <c r="LW234" s="460"/>
      <c r="LX234" s="460"/>
      <c r="LY234" s="460"/>
      <c r="LZ234" s="460"/>
      <c r="MA234" s="460"/>
      <c r="MB234" s="460"/>
      <c r="MC234" s="460"/>
      <c r="MD234" s="460"/>
      <c r="ME234" s="460"/>
      <c r="MF234" s="460"/>
      <c r="MG234" s="460"/>
      <c r="MH234" s="460"/>
      <c r="MI234" s="460"/>
      <c r="MJ234" s="460"/>
      <c r="MK234" s="460"/>
      <c r="ML234" s="460"/>
      <c r="MM234" s="460"/>
      <c r="MN234" s="460"/>
      <c r="MO234" s="460"/>
      <c r="MP234" s="460"/>
      <c r="MQ234" s="460"/>
      <c r="MR234" s="460"/>
      <c r="MS234" s="460"/>
      <c r="MT234" s="460"/>
      <c r="MU234" s="460"/>
      <c r="MV234" s="460"/>
      <c r="MW234" s="460"/>
      <c r="MX234" s="460"/>
      <c r="MY234" s="460"/>
      <c r="MZ234" s="460"/>
      <c r="NA234" s="460"/>
      <c r="NB234" s="460"/>
      <c r="NC234" s="460"/>
      <c r="ND234" s="460"/>
      <c r="NE234" s="460"/>
      <c r="NF234" s="460"/>
      <c r="NG234" s="460"/>
      <c r="NH234" s="460"/>
      <c r="NI234" s="460"/>
      <c r="NJ234" s="460"/>
      <c r="NK234" s="460"/>
      <c r="NL234" s="460"/>
      <c r="NM234" s="460"/>
      <c r="NN234" s="460"/>
      <c r="NO234" s="460"/>
      <c r="NP234" s="460"/>
      <c r="NQ234" s="460"/>
      <c r="NR234" s="460"/>
      <c r="NS234" s="460"/>
      <c r="NT234" s="460"/>
      <c r="NU234" s="460"/>
      <c r="NV234" s="460"/>
      <c r="NW234" s="460"/>
      <c r="NX234" s="460"/>
      <c r="NY234" s="460"/>
      <c r="NZ234" s="460"/>
      <c r="OA234" s="460"/>
      <c r="OB234" s="460"/>
      <c r="OC234" s="460"/>
      <c r="OD234" s="460"/>
      <c r="OE234" s="460"/>
      <c r="OF234" s="460"/>
      <c r="OG234" s="460"/>
      <c r="OH234" s="460"/>
      <c r="OI234" s="460"/>
      <c r="OJ234" s="460"/>
      <c r="OK234" s="460"/>
      <c r="OL234" s="460"/>
      <c r="OM234" s="460"/>
      <c r="ON234" s="460"/>
      <c r="OO234" s="460"/>
      <c r="OP234" s="460"/>
      <c r="OQ234" s="460"/>
      <c r="OR234" s="460"/>
      <c r="OS234" s="460"/>
      <c r="OT234" s="460"/>
      <c r="OU234" s="460"/>
      <c r="OV234" s="460"/>
      <c r="OW234" s="460"/>
      <c r="OX234" s="460"/>
      <c r="OY234" s="460"/>
      <c r="OZ234" s="460"/>
      <c r="PA234" s="460"/>
      <c r="PB234" s="460"/>
      <c r="PC234" s="460"/>
      <c r="PD234" s="460"/>
      <c r="PE234" s="460"/>
      <c r="PF234" s="460"/>
      <c r="PG234" s="460"/>
      <c r="PH234" s="460"/>
      <c r="PI234" s="460"/>
      <c r="PJ234" s="460"/>
      <c r="PK234" s="460"/>
      <c r="PL234" s="460"/>
      <c r="PM234" s="460"/>
      <c r="PN234" s="460"/>
      <c r="PO234" s="460"/>
      <c r="PP234" s="460"/>
      <c r="PQ234" s="460"/>
      <c r="PR234" s="460"/>
      <c r="PS234" s="460"/>
      <c r="PT234" s="460"/>
      <c r="PU234" s="460"/>
      <c r="PV234" s="460"/>
      <c r="PW234" s="460"/>
      <c r="PX234" s="460"/>
      <c r="PY234" s="460"/>
      <c r="PZ234" s="460"/>
      <c r="QA234" s="460"/>
      <c r="QB234" s="460"/>
      <c r="QC234" s="460"/>
      <c r="QD234" s="460"/>
      <c r="QE234" s="460"/>
      <c r="QF234" s="460"/>
      <c r="QG234" s="460"/>
      <c r="QH234" s="460"/>
      <c r="QI234" s="460"/>
      <c r="QJ234" s="460"/>
      <c r="QK234" s="460"/>
      <c r="QL234" s="460"/>
      <c r="QM234" s="460"/>
      <c r="QN234" s="460"/>
      <c r="QO234" s="460"/>
      <c r="QP234" s="460"/>
      <c r="QQ234" s="460"/>
      <c r="QR234" s="460"/>
      <c r="QS234" s="460"/>
      <c r="QT234" s="460"/>
      <c r="QU234" s="460"/>
      <c r="QV234" s="460"/>
      <c r="QW234" s="460"/>
      <c r="QX234" s="460"/>
      <c r="QY234" s="460"/>
      <c r="QZ234" s="460"/>
      <c r="RA234" s="460"/>
      <c r="RB234" s="460"/>
      <c r="RC234" s="460"/>
      <c r="RD234" s="460"/>
      <c r="RE234" s="460"/>
      <c r="RF234" s="460"/>
      <c r="RG234" s="460"/>
      <c r="RH234" s="460"/>
      <c r="RI234" s="460"/>
      <c r="RJ234" s="460"/>
      <c r="RK234" s="460"/>
      <c r="RL234" s="460"/>
      <c r="RM234" s="460"/>
      <c r="RN234" s="460"/>
      <c r="RO234" s="460"/>
      <c r="RP234" s="460"/>
      <c r="RQ234" s="460"/>
      <c r="RR234" s="460"/>
      <c r="RS234" s="460"/>
      <c r="RT234" s="460"/>
      <c r="RU234" s="460"/>
      <c r="RV234" s="460"/>
      <c r="RW234" s="460"/>
      <c r="RX234" s="460"/>
      <c r="RY234" s="460"/>
      <c r="RZ234" s="460"/>
      <c r="SA234" s="460"/>
      <c r="SB234" s="460"/>
      <c r="SC234" s="460"/>
      <c r="SD234" s="460"/>
      <c r="SE234" s="460"/>
      <c r="SF234" s="460"/>
      <c r="SG234" s="460"/>
      <c r="SH234" s="460"/>
      <c r="SI234" s="460"/>
      <c r="SJ234" s="460"/>
      <c r="SK234" s="460"/>
      <c r="SL234" s="460"/>
      <c r="SM234" s="460"/>
      <c r="SN234" s="460"/>
      <c r="SO234" s="460"/>
      <c r="SP234" s="460"/>
      <c r="SQ234" s="460"/>
      <c r="SR234" s="460"/>
      <c r="SS234" s="460"/>
      <c r="ST234" s="460"/>
      <c r="SU234" s="460"/>
      <c r="SV234" s="460"/>
      <c r="SW234" s="460"/>
      <c r="SX234" s="460"/>
      <c r="SY234" s="460"/>
      <c r="SZ234" s="460"/>
      <c r="TA234" s="460"/>
      <c r="TB234" s="460"/>
      <c r="TC234" s="460"/>
      <c r="TD234" s="460"/>
      <c r="TE234" s="460"/>
      <c r="TF234" s="460"/>
      <c r="TG234" s="460"/>
      <c r="TH234" s="460"/>
      <c r="TI234" s="460"/>
      <c r="TJ234" s="460"/>
      <c r="TK234" s="460"/>
      <c r="TL234" s="460"/>
      <c r="TM234" s="460"/>
      <c r="TN234" s="460"/>
      <c r="TO234" s="460"/>
      <c r="TP234" s="460"/>
      <c r="TQ234" s="460"/>
      <c r="TR234" s="460"/>
      <c r="TS234" s="460"/>
      <c r="TT234" s="460"/>
      <c r="TU234" s="460"/>
      <c r="TV234" s="460"/>
      <c r="TW234" s="460"/>
      <c r="TX234" s="460"/>
      <c r="TY234" s="460"/>
      <c r="TZ234" s="460"/>
      <c r="UA234" s="460"/>
      <c r="UB234" s="460"/>
      <c r="UC234" s="460"/>
      <c r="UD234" s="460"/>
      <c r="UE234" s="460"/>
      <c r="UF234" s="460"/>
      <c r="UG234" s="460"/>
      <c r="UH234" s="460"/>
      <c r="UI234" s="460"/>
      <c r="UJ234" s="460"/>
      <c r="UK234" s="460"/>
      <c r="UL234" s="460"/>
      <c r="UM234" s="460"/>
      <c r="UN234" s="460"/>
      <c r="UO234" s="460"/>
      <c r="UP234" s="460"/>
      <c r="UQ234" s="460"/>
      <c r="UR234" s="460"/>
      <c r="US234" s="460"/>
      <c r="UT234" s="460"/>
      <c r="UU234" s="460"/>
      <c r="UV234" s="460"/>
      <c r="UW234" s="460"/>
      <c r="UX234" s="460"/>
      <c r="UY234" s="460"/>
      <c r="UZ234" s="460"/>
      <c r="VA234" s="460"/>
      <c r="VB234" s="460"/>
      <c r="VC234" s="460"/>
      <c r="VD234" s="460"/>
      <c r="VE234" s="460"/>
      <c r="VF234" s="460"/>
      <c r="VG234" s="460"/>
      <c r="VH234" s="460"/>
      <c r="VI234" s="460"/>
      <c r="VJ234" s="460"/>
      <c r="VK234" s="460"/>
      <c r="VL234" s="460"/>
      <c r="VM234" s="460"/>
      <c r="VN234" s="460"/>
      <c r="VO234" s="460"/>
      <c r="VP234" s="460"/>
      <c r="VQ234" s="460"/>
      <c r="VR234" s="460"/>
      <c r="VS234" s="460"/>
      <c r="VT234" s="460"/>
      <c r="VU234" s="460"/>
      <c r="VV234" s="460"/>
      <c r="VW234" s="460"/>
      <c r="VX234" s="460"/>
      <c r="VY234" s="460"/>
      <c r="VZ234" s="460"/>
      <c r="WA234" s="460"/>
      <c r="WB234" s="460"/>
      <c r="WC234" s="460"/>
      <c r="WD234" s="460"/>
      <c r="WE234" s="460"/>
      <c r="WF234" s="460"/>
      <c r="WG234" s="460"/>
      <c r="WH234" s="460"/>
      <c r="WI234" s="460"/>
      <c r="WJ234" s="460"/>
      <c r="WK234" s="460"/>
      <c r="WL234" s="460"/>
      <c r="WM234" s="460"/>
      <c r="WN234" s="460"/>
      <c r="WO234" s="460"/>
      <c r="WP234" s="460"/>
      <c r="WQ234" s="460"/>
      <c r="WR234" s="460"/>
      <c r="WS234" s="460"/>
      <c r="WT234" s="460"/>
      <c r="WU234" s="460"/>
      <c r="WV234" s="460"/>
      <c r="WW234" s="460"/>
      <c r="WX234" s="460"/>
      <c r="WY234" s="460"/>
      <c r="WZ234" s="460"/>
      <c r="XA234" s="460"/>
      <c r="XB234" s="460"/>
      <c r="XC234" s="460"/>
      <c r="XD234" s="460"/>
      <c r="XE234" s="460"/>
      <c r="XF234" s="460"/>
      <c r="XG234" s="460"/>
      <c r="XH234" s="460"/>
      <c r="XI234" s="460"/>
      <c r="XJ234" s="460"/>
      <c r="XK234" s="460"/>
      <c r="XL234" s="460"/>
      <c r="XM234" s="460"/>
      <c r="XN234" s="460"/>
      <c r="XO234" s="460"/>
      <c r="XP234" s="460"/>
      <c r="XQ234" s="460"/>
      <c r="XR234" s="460"/>
      <c r="XS234" s="460"/>
      <c r="XT234" s="460"/>
      <c r="XU234" s="460"/>
      <c r="XV234" s="460"/>
      <c r="XW234" s="460"/>
      <c r="XX234" s="460"/>
      <c r="XY234" s="460"/>
      <c r="XZ234" s="460"/>
      <c r="YA234" s="460"/>
      <c r="YB234" s="460"/>
      <c r="YC234" s="460"/>
      <c r="YD234" s="460"/>
      <c r="YE234" s="460"/>
      <c r="YF234" s="460"/>
      <c r="YG234" s="460"/>
      <c r="YH234" s="460"/>
      <c r="YI234" s="460"/>
      <c r="YJ234" s="460"/>
      <c r="YK234" s="460"/>
      <c r="YL234" s="460"/>
      <c r="YM234" s="460"/>
      <c r="YN234" s="460"/>
      <c r="YO234" s="460"/>
      <c r="YP234" s="460"/>
      <c r="YQ234" s="460"/>
      <c r="YR234" s="460"/>
      <c r="YS234" s="460"/>
      <c r="YT234" s="460"/>
      <c r="YU234" s="460"/>
      <c r="YV234" s="460"/>
      <c r="YW234" s="460"/>
      <c r="YX234" s="460"/>
      <c r="YY234" s="460"/>
      <c r="YZ234" s="460"/>
      <c r="ZA234" s="460"/>
      <c r="ZB234" s="460"/>
      <c r="ZC234" s="460"/>
      <c r="ZD234" s="460"/>
      <c r="ZE234" s="460"/>
      <c r="ZF234" s="460"/>
      <c r="ZG234" s="460"/>
      <c r="ZH234" s="460"/>
      <c r="ZI234" s="460"/>
      <c r="ZJ234" s="460"/>
      <c r="ZK234" s="460"/>
      <c r="ZL234" s="460"/>
      <c r="ZM234" s="460"/>
      <c r="ZN234" s="460"/>
      <c r="ZO234" s="460"/>
      <c r="ZP234" s="460"/>
      <c r="ZQ234" s="460"/>
      <c r="ZR234" s="460"/>
      <c r="ZS234" s="460"/>
      <c r="ZT234" s="460"/>
      <c r="ZU234" s="460"/>
      <c r="ZV234" s="460"/>
      <c r="ZW234" s="460"/>
      <c r="ZX234" s="460"/>
      <c r="ZY234" s="460"/>
      <c r="ZZ234" s="460"/>
      <c r="AAA234" s="460"/>
      <c r="AAB234" s="460"/>
      <c r="AAC234" s="460"/>
      <c r="AAD234" s="460"/>
      <c r="AAE234" s="460"/>
      <c r="AAF234" s="460"/>
      <c r="AAG234" s="460"/>
      <c r="AAH234" s="460"/>
      <c r="AAI234" s="460"/>
      <c r="AAJ234" s="460"/>
      <c r="AAK234" s="460"/>
      <c r="AAL234" s="460"/>
      <c r="AAM234" s="460"/>
      <c r="AAN234" s="460"/>
      <c r="AAO234" s="460"/>
      <c r="AAP234" s="460"/>
      <c r="AAQ234" s="460"/>
      <c r="AAR234" s="460"/>
      <c r="AAS234" s="460"/>
      <c r="AAT234" s="460"/>
      <c r="AAU234" s="460"/>
      <c r="AAV234" s="460"/>
      <c r="AAW234" s="460"/>
      <c r="AAX234" s="460"/>
      <c r="AAY234" s="460"/>
      <c r="AAZ234" s="460"/>
      <c r="ABA234" s="460"/>
      <c r="ABB234" s="460"/>
      <c r="ABC234" s="460"/>
      <c r="ABD234" s="460"/>
      <c r="ABE234" s="460"/>
      <c r="ABF234" s="460"/>
      <c r="ABG234" s="460"/>
      <c r="ABH234" s="460"/>
      <c r="ABI234" s="460"/>
      <c r="ABJ234" s="460"/>
      <c r="ABK234" s="460"/>
      <c r="ABL234" s="460"/>
      <c r="ABM234" s="460"/>
      <c r="ABN234" s="460"/>
      <c r="ABO234" s="460"/>
      <c r="ABP234" s="460"/>
      <c r="ABQ234" s="460"/>
      <c r="ABR234" s="460"/>
      <c r="ABS234" s="460"/>
      <c r="ABT234" s="460"/>
      <c r="ABU234" s="460"/>
      <c r="ABV234" s="460"/>
      <c r="ABW234" s="460"/>
      <c r="ABX234" s="460"/>
      <c r="ABY234" s="460"/>
      <c r="ABZ234" s="460"/>
      <c r="ACA234" s="460"/>
      <c r="ACB234" s="460"/>
      <c r="ACC234" s="460"/>
      <c r="ACD234" s="460"/>
      <c r="ACE234" s="460"/>
      <c r="ACF234" s="460"/>
      <c r="ACG234" s="460"/>
      <c r="ACH234" s="460"/>
      <c r="ACI234" s="460"/>
      <c r="ACJ234" s="460"/>
      <c r="ACK234" s="460"/>
      <c r="ACL234" s="460"/>
      <c r="ACM234" s="460"/>
      <c r="ACN234" s="460"/>
      <c r="ACO234" s="460"/>
      <c r="ACP234" s="460"/>
      <c r="ACQ234" s="460"/>
      <c r="ACR234" s="460"/>
      <c r="ACS234" s="460"/>
      <c r="ACT234" s="460"/>
      <c r="ACU234" s="460"/>
      <c r="ACV234" s="460"/>
      <c r="ACW234" s="460"/>
      <c r="ACX234" s="460"/>
      <c r="ACY234" s="460"/>
      <c r="ACZ234" s="460"/>
      <c r="ADA234" s="460"/>
      <c r="ADB234" s="460"/>
      <c r="ADC234" s="460"/>
      <c r="ADD234" s="460"/>
      <c r="ADE234" s="460"/>
      <c r="ADF234" s="460"/>
      <c r="ADG234" s="460"/>
      <c r="ADH234" s="460"/>
      <c r="ADI234" s="460"/>
      <c r="ADJ234" s="460"/>
      <c r="ADK234" s="460"/>
      <c r="ADL234" s="460"/>
      <c r="ADM234" s="460"/>
      <c r="ADN234" s="460"/>
      <c r="ADO234" s="460"/>
      <c r="ADP234" s="460"/>
      <c r="ADQ234" s="460"/>
      <c r="ADR234" s="460"/>
      <c r="ADS234" s="460"/>
      <c r="ADT234" s="460"/>
      <c r="ADU234" s="460"/>
      <c r="ADV234" s="460"/>
      <c r="ADW234" s="460"/>
      <c r="ADX234" s="460"/>
      <c r="ADY234" s="460"/>
      <c r="ADZ234" s="460"/>
      <c r="AEA234" s="460"/>
      <c r="AEB234" s="460"/>
      <c r="AEC234" s="460"/>
      <c r="AED234" s="460"/>
      <c r="AEE234" s="460"/>
      <c r="AEF234" s="460"/>
      <c r="AEG234" s="460"/>
      <c r="AEH234" s="460"/>
      <c r="AEI234" s="460"/>
      <c r="AEJ234" s="460"/>
      <c r="AEK234" s="460"/>
      <c r="AEL234" s="460"/>
      <c r="AEM234" s="460"/>
      <c r="AEN234" s="460"/>
      <c r="AEO234" s="460"/>
      <c r="AEP234" s="460"/>
      <c r="AEQ234" s="460"/>
      <c r="AER234" s="460"/>
      <c r="AES234" s="460"/>
      <c r="AET234" s="460"/>
      <c r="AEU234" s="460"/>
      <c r="AEV234" s="460"/>
      <c r="AEW234" s="460"/>
      <c r="AEX234" s="460"/>
      <c r="AEY234" s="460"/>
      <c r="AEZ234" s="460"/>
      <c r="AFA234" s="460"/>
      <c r="AFB234" s="460"/>
      <c r="AFC234" s="460"/>
      <c r="AFD234" s="460"/>
      <c r="AFE234" s="460"/>
      <c r="AFF234" s="460"/>
      <c r="AFG234" s="460"/>
      <c r="AFH234" s="460"/>
      <c r="AFI234" s="460"/>
      <c r="AFJ234" s="460"/>
      <c r="AFK234" s="460"/>
      <c r="AFL234" s="460"/>
      <c r="AFM234" s="460"/>
      <c r="AFN234" s="460"/>
      <c r="AFO234" s="460"/>
      <c r="AFP234" s="460"/>
      <c r="AFQ234" s="460"/>
      <c r="AFR234" s="460"/>
      <c r="AFS234" s="460"/>
      <c r="AFT234" s="460"/>
      <c r="AFU234" s="460"/>
      <c r="AFV234" s="460"/>
      <c r="AFW234" s="460"/>
      <c r="AFX234" s="460"/>
      <c r="AFY234" s="460"/>
      <c r="AFZ234" s="460"/>
      <c r="AGA234" s="460"/>
      <c r="AGB234" s="460"/>
      <c r="AGC234" s="460"/>
      <c r="AGD234" s="460"/>
      <c r="AGE234" s="460"/>
      <c r="AGF234" s="460"/>
      <c r="AGG234" s="460"/>
      <c r="AGH234" s="460"/>
      <c r="AGI234" s="460"/>
      <c r="AGJ234" s="460"/>
      <c r="AGK234" s="460"/>
      <c r="AGL234" s="460"/>
      <c r="AGM234" s="460"/>
      <c r="AGN234" s="460"/>
      <c r="AGO234" s="460"/>
      <c r="AGP234" s="460"/>
      <c r="AGQ234" s="460"/>
      <c r="AGR234" s="460"/>
      <c r="AGS234" s="460"/>
      <c r="AGT234" s="460"/>
      <c r="AGU234" s="460"/>
      <c r="AGV234" s="460"/>
      <c r="AGW234" s="460"/>
      <c r="AGX234" s="460"/>
      <c r="AGY234" s="460"/>
      <c r="AGZ234" s="460"/>
      <c r="AHA234" s="460"/>
      <c r="AHB234" s="460"/>
      <c r="AHC234" s="460"/>
      <c r="AHD234" s="460"/>
      <c r="AHE234" s="460"/>
      <c r="AHF234" s="460"/>
      <c r="AHG234" s="460"/>
      <c r="AHH234" s="460"/>
      <c r="AHI234" s="460"/>
      <c r="AHJ234" s="460"/>
      <c r="AHK234" s="460"/>
      <c r="AHL234" s="460"/>
      <c r="AHM234" s="460"/>
      <c r="AHN234" s="460"/>
      <c r="AHO234" s="460"/>
      <c r="AHP234" s="460"/>
      <c r="AHQ234" s="460"/>
      <c r="AHR234" s="460"/>
      <c r="AHS234" s="460"/>
      <c r="AHT234" s="460"/>
      <c r="AHU234" s="460"/>
      <c r="AHV234" s="460"/>
      <c r="AHW234" s="460"/>
      <c r="AHX234" s="460"/>
      <c r="AHY234" s="460"/>
      <c r="AHZ234" s="460"/>
      <c r="AIA234" s="460"/>
      <c r="AIB234" s="460"/>
      <c r="AIC234" s="460"/>
      <c r="AID234" s="460"/>
      <c r="AIE234" s="460"/>
      <c r="AIF234" s="460"/>
      <c r="AIG234" s="460"/>
      <c r="AIH234" s="460"/>
      <c r="AII234" s="460"/>
      <c r="AIJ234" s="460"/>
      <c r="AIK234" s="460"/>
      <c r="AIL234" s="460"/>
      <c r="AIM234" s="460"/>
      <c r="AIN234" s="460"/>
      <c r="AIO234" s="460"/>
      <c r="AIP234" s="460"/>
      <c r="AIQ234" s="460"/>
      <c r="AIR234" s="460"/>
      <c r="AIS234" s="460"/>
      <c r="AIT234" s="460"/>
      <c r="AIU234" s="460"/>
      <c r="AIV234" s="460"/>
      <c r="AIW234" s="460"/>
      <c r="AIX234" s="460"/>
      <c r="AIY234" s="460"/>
      <c r="AIZ234" s="460"/>
      <c r="AJA234" s="460"/>
      <c r="AJB234" s="460"/>
      <c r="AJC234" s="460"/>
      <c r="AJD234" s="460"/>
      <c r="AJE234" s="460"/>
      <c r="AJF234" s="460"/>
      <c r="AJG234" s="460"/>
      <c r="AJH234" s="460"/>
      <c r="AJI234" s="460"/>
      <c r="AJJ234" s="460"/>
      <c r="AJK234" s="460"/>
      <c r="AJL234" s="460"/>
      <c r="AJM234" s="460"/>
      <c r="AJN234" s="460"/>
      <c r="AJO234" s="460"/>
      <c r="AJP234" s="460"/>
      <c r="AJQ234" s="460"/>
      <c r="AJR234" s="460"/>
      <c r="AJS234" s="460"/>
      <c r="AJT234" s="460"/>
      <c r="AJU234" s="460"/>
      <c r="AJV234" s="460"/>
      <c r="AJW234" s="460"/>
      <c r="AJX234" s="460"/>
      <c r="AJY234" s="460"/>
      <c r="AJZ234" s="460"/>
      <c r="AKA234" s="460"/>
      <c r="AKB234" s="460"/>
      <c r="AKC234" s="460"/>
      <c r="AKD234" s="460"/>
      <c r="AKE234" s="460"/>
      <c r="AKF234" s="460"/>
      <c r="AKG234" s="460"/>
      <c r="AKH234" s="460"/>
      <c r="AKI234" s="460"/>
      <c r="AKJ234" s="460"/>
      <c r="AKK234" s="460"/>
      <c r="AKL234" s="460"/>
      <c r="AKM234" s="460"/>
      <c r="AKN234" s="460"/>
      <c r="AKO234" s="460"/>
      <c r="AKP234" s="460"/>
      <c r="AKQ234" s="460"/>
      <c r="AKR234" s="460"/>
      <c r="AKS234" s="460"/>
      <c r="AKT234" s="460"/>
      <c r="AKU234" s="460"/>
      <c r="AKV234" s="460"/>
      <c r="AKW234" s="460"/>
      <c r="AKX234" s="460"/>
      <c r="AKY234" s="460"/>
      <c r="AKZ234" s="460"/>
      <c r="ALA234" s="460"/>
      <c r="ALB234" s="460"/>
      <c r="ALC234" s="460"/>
      <c r="ALD234" s="460"/>
      <c r="ALE234" s="460"/>
      <c r="ALF234" s="460"/>
      <c r="ALG234" s="460"/>
      <c r="ALH234" s="460"/>
      <c r="ALI234" s="460"/>
      <c r="ALJ234" s="460"/>
      <c r="ALK234" s="460"/>
      <c r="ALL234" s="460"/>
      <c r="ALM234" s="460"/>
      <c r="ALN234" s="460"/>
      <c r="ALO234" s="460"/>
      <c r="ALP234" s="460"/>
      <c r="ALQ234" s="460"/>
      <c r="ALR234" s="460"/>
      <c r="ALS234" s="460"/>
      <c r="ALT234" s="460"/>
      <c r="ALU234" s="460"/>
      <c r="ALV234" s="460"/>
      <c r="ALW234" s="460"/>
      <c r="ALX234" s="460"/>
      <c r="ALY234" s="460"/>
      <c r="ALZ234" s="460"/>
      <c r="AMA234" s="460"/>
      <c r="AMB234" s="460"/>
      <c r="AMC234" s="460"/>
      <c r="AMD234" s="460"/>
      <c r="AME234" s="460"/>
      <c r="AMF234" s="460"/>
      <c r="AMG234" s="460"/>
      <c r="AMH234" s="460"/>
      <c r="AMI234" s="460"/>
      <c r="AMJ234" s="460"/>
      <c r="AMK234" s="460"/>
      <c r="AML234" s="460"/>
      <c r="AMM234" s="460"/>
      <c r="AMN234" s="460"/>
      <c r="AMO234" s="460"/>
      <c r="AMP234" s="460"/>
    </row>
    <row r="235" spans="1:1030" x14ac:dyDescent="0.35">
      <c r="A235" s="46">
        <v>273</v>
      </c>
      <c r="B235" s="240" t="s">
        <v>248</v>
      </c>
      <c r="C235" s="364">
        <v>65.675925925925895</v>
      </c>
      <c r="D235" s="365">
        <v>1.0606728655640858E-3</v>
      </c>
      <c r="E235" s="191">
        <v>0.95099999999999996</v>
      </c>
      <c r="F235" s="191">
        <v>0.92700000000000005</v>
      </c>
      <c r="G235" s="191">
        <v>0.84699999999999998</v>
      </c>
      <c r="H235" s="191">
        <v>0.78600000000000003</v>
      </c>
      <c r="I235" s="191">
        <v>0.72</v>
      </c>
      <c r="J235" s="191">
        <v>0.64400000000000002</v>
      </c>
      <c r="K235" s="361">
        <v>1.0086998951514456E-3</v>
      </c>
      <c r="L235" s="362">
        <v>9.8324374637790758E-4</v>
      </c>
      <c r="M235" s="362">
        <v>8.9838991713278062E-4</v>
      </c>
      <c r="N235" s="362">
        <v>8.3368887233337152E-4</v>
      </c>
      <c r="O235" s="362">
        <v>7.6368446320614178E-4</v>
      </c>
      <c r="P235" s="363">
        <v>6.8307332542327131E-4</v>
      </c>
      <c r="Q235" s="273">
        <v>86.252893518518519</v>
      </c>
      <c r="R235" s="273">
        <v>85.817129629629605</v>
      </c>
      <c r="S235" s="273">
        <v>76.528554588557043</v>
      </c>
      <c r="T235" s="273">
        <v>72.619962121917084</v>
      </c>
      <c r="U235" s="273">
        <v>67.32337883772226</v>
      </c>
      <c r="V235" s="273">
        <f t="shared" si="120"/>
        <v>62.457805555555524</v>
      </c>
      <c r="W235" s="273">
        <f t="shared" si="121"/>
        <v>60.88158333333331</v>
      </c>
      <c r="X235" s="273">
        <f t="shared" si="122"/>
        <v>55.627509259259234</v>
      </c>
      <c r="Y235" s="273">
        <f t="shared" si="123"/>
        <v>51.621277777777756</v>
      </c>
      <c r="Z235" s="273">
        <f t="shared" si="124"/>
        <v>47.28666666666664</v>
      </c>
      <c r="AA235" s="273">
        <f t="shared" si="125"/>
        <v>42.295296296296279</v>
      </c>
      <c r="AB235" s="100">
        <v>273</v>
      </c>
      <c r="AC235" s="101" t="s">
        <v>248</v>
      </c>
      <c r="AD235" s="159"/>
      <c r="AE235" s="159"/>
      <c r="AF235" s="164"/>
      <c r="AG235" s="164"/>
      <c r="AH235" s="164"/>
      <c r="AI235" s="159">
        <f t="shared" si="126"/>
        <v>1898902.2674595623</v>
      </c>
      <c r="AJ235" s="159">
        <f t="shared" si="127"/>
        <v>1871739.0666503408</v>
      </c>
      <c r="AK235" s="159">
        <f t="shared" si="128"/>
        <v>1743914.9725165565</v>
      </c>
      <c r="AL235" s="159">
        <f t="shared" si="129"/>
        <v>1662604.2624285235</v>
      </c>
      <c r="AM235" s="159">
        <f t="shared" si="130"/>
        <v>1568654.2210944556</v>
      </c>
      <c r="AN235" s="159">
        <f t="shared" si="131"/>
        <v>1447716.8124049839</v>
      </c>
    </row>
    <row r="236" spans="1:1030" x14ac:dyDescent="0.35">
      <c r="A236" s="46">
        <v>177</v>
      </c>
      <c r="B236" s="240" t="s">
        <v>249</v>
      </c>
      <c r="C236" s="364">
        <v>140.935763888889</v>
      </c>
      <c r="D236" s="365">
        <v>2.2761268826737725E-3</v>
      </c>
      <c r="E236" s="191">
        <v>0.95199999999999996</v>
      </c>
      <c r="F236" s="191">
        <v>0.91</v>
      </c>
      <c r="G236" s="191">
        <v>0.83799999999999997</v>
      </c>
      <c r="H236" s="191">
        <v>0.75700000000000001</v>
      </c>
      <c r="I236" s="191">
        <v>0.68400000000000005</v>
      </c>
      <c r="J236" s="191">
        <v>0.60699999999999998</v>
      </c>
      <c r="K236" s="361">
        <v>2.1668727923054311E-3</v>
      </c>
      <c r="L236" s="362">
        <v>2.0712754632331329E-3</v>
      </c>
      <c r="M236" s="362">
        <v>1.9073943276806213E-3</v>
      </c>
      <c r="N236" s="362">
        <v>1.7230280501840459E-3</v>
      </c>
      <c r="O236" s="362">
        <v>1.5568707877488604E-3</v>
      </c>
      <c r="P236" s="363">
        <v>1.3816090177829797E-3</v>
      </c>
      <c r="Q236" s="273">
        <v>172.74992858828853</v>
      </c>
      <c r="R236" s="273">
        <v>179.19619661299984</v>
      </c>
      <c r="S236" s="273">
        <v>165.28914365423938</v>
      </c>
      <c r="T236" s="273">
        <v>155.14247359109376</v>
      </c>
      <c r="U236" s="273">
        <v>141.48974314332617</v>
      </c>
      <c r="V236" s="273">
        <f t="shared" si="120"/>
        <v>134.17084722222233</v>
      </c>
      <c r="W236" s="273">
        <f t="shared" si="121"/>
        <v>128.25154513888899</v>
      </c>
      <c r="X236" s="273">
        <f t="shared" si="122"/>
        <v>118.10417013888897</v>
      </c>
      <c r="Y236" s="273">
        <f t="shared" si="123"/>
        <v>106.68837326388898</v>
      </c>
      <c r="Z236" s="273">
        <f t="shared" si="124"/>
        <v>96.400062500000089</v>
      </c>
      <c r="AA236" s="273">
        <f t="shared" si="125"/>
        <v>85.548008680555625</v>
      </c>
      <c r="AB236" s="100">
        <v>177</v>
      </c>
      <c r="AC236" s="101" t="s">
        <v>249</v>
      </c>
      <c r="AD236" s="159"/>
      <c r="AE236" s="159"/>
      <c r="AF236" s="164"/>
      <c r="AG236" s="164"/>
      <c r="AH236" s="164"/>
      <c r="AI236" s="159">
        <f t="shared" si="126"/>
        <v>4079191.1235278174</v>
      </c>
      <c r="AJ236" s="159">
        <f t="shared" si="127"/>
        <v>3942956.3794425223</v>
      </c>
      <c r="AK236" s="159">
        <f t="shared" si="128"/>
        <v>3702549.9319398073</v>
      </c>
      <c r="AL236" s="159">
        <f t="shared" si="129"/>
        <v>3436190.496944014</v>
      </c>
      <c r="AM236" s="159">
        <f t="shared" si="130"/>
        <v>3197907.055288197</v>
      </c>
      <c r="AN236" s="159">
        <f t="shared" si="131"/>
        <v>2928204.8189706886</v>
      </c>
    </row>
    <row r="237" spans="1:1030" x14ac:dyDescent="0.35">
      <c r="A237" s="46">
        <v>703</v>
      </c>
      <c r="B237" s="240" t="s">
        <v>250</v>
      </c>
      <c r="C237" s="364">
        <v>40.808449074074097</v>
      </c>
      <c r="D237" s="365">
        <v>6.590605919655181E-4</v>
      </c>
      <c r="E237" s="191">
        <v>0.95199999999999996</v>
      </c>
      <c r="F237" s="191">
        <v>0.92800000000000005</v>
      </c>
      <c r="G237" s="191">
        <v>0.89200000000000002</v>
      </c>
      <c r="H237" s="191">
        <v>0.79600000000000004</v>
      </c>
      <c r="I237" s="191">
        <v>0.74399999999999999</v>
      </c>
      <c r="J237" s="191">
        <v>0.70299999999999996</v>
      </c>
      <c r="K237" s="361">
        <v>6.2742568355117316E-4</v>
      </c>
      <c r="L237" s="362">
        <v>6.1160822934400085E-4</v>
      </c>
      <c r="M237" s="362">
        <v>5.8788204803324217E-4</v>
      </c>
      <c r="N237" s="362">
        <v>5.246122312045524E-4</v>
      </c>
      <c r="O237" s="362">
        <v>4.9034108042234547E-4</v>
      </c>
      <c r="P237" s="363">
        <v>4.6331959615175921E-4</v>
      </c>
      <c r="Q237" s="273">
        <v>53.655092592592567</v>
      </c>
      <c r="R237" s="273">
        <v>54.136574074074097</v>
      </c>
      <c r="S237" s="273">
        <v>48.051772450933626</v>
      </c>
      <c r="T237" s="273">
        <v>46.670087036005164</v>
      </c>
      <c r="U237" s="273">
        <v>40.691780795354973</v>
      </c>
      <c r="V237" s="273">
        <f t="shared" si="120"/>
        <v>38.84964351851854</v>
      </c>
      <c r="W237" s="273">
        <f t="shared" si="121"/>
        <v>37.870240740740762</v>
      </c>
      <c r="X237" s="273">
        <f t="shared" si="122"/>
        <v>36.401136574074094</v>
      </c>
      <c r="Y237" s="273">
        <f t="shared" si="123"/>
        <v>32.48352546296298</v>
      </c>
      <c r="Z237" s="273">
        <f t="shared" si="124"/>
        <v>30.361486111111127</v>
      </c>
      <c r="AA237" s="273">
        <f t="shared" si="125"/>
        <v>28.688339699074088</v>
      </c>
      <c r="AB237" s="100">
        <v>703</v>
      </c>
      <c r="AC237" s="101" t="s">
        <v>250</v>
      </c>
      <c r="AD237" s="159"/>
      <c r="AE237" s="159"/>
      <c r="AF237" s="164"/>
      <c r="AG237" s="164"/>
      <c r="AH237" s="164"/>
      <c r="AI237" s="159">
        <f t="shared" si="126"/>
        <v>1181144.2222652452</v>
      </c>
      <c r="AJ237" s="159">
        <f t="shared" si="127"/>
        <v>1164279.9870989642</v>
      </c>
      <c r="AK237" s="159">
        <f t="shared" si="128"/>
        <v>1141170.7612557085</v>
      </c>
      <c r="AL237" s="159">
        <f t="shared" si="129"/>
        <v>1046220.6713658122</v>
      </c>
      <c r="AM237" s="159">
        <f t="shared" si="130"/>
        <v>1007190.3287796809</v>
      </c>
      <c r="AN237" s="159">
        <f t="shared" si="131"/>
        <v>981967.15330663917</v>
      </c>
    </row>
    <row r="238" spans="1:1030" x14ac:dyDescent="0.35">
      <c r="A238" s="46">
        <v>274</v>
      </c>
      <c r="B238" s="240" t="s">
        <v>251</v>
      </c>
      <c r="C238" s="364">
        <v>70.0555555555556</v>
      </c>
      <c r="D238" s="365">
        <v>1.1314043283318599E-3</v>
      </c>
      <c r="E238" s="191">
        <v>0.92300000000000004</v>
      </c>
      <c r="F238" s="191">
        <v>0.88100000000000001</v>
      </c>
      <c r="G238" s="191">
        <v>0.83899999999999997</v>
      </c>
      <c r="H238" s="191">
        <v>0.79700000000000004</v>
      </c>
      <c r="I238" s="191">
        <v>0.72899999999999998</v>
      </c>
      <c r="J238" s="191">
        <v>0.67600000000000005</v>
      </c>
      <c r="K238" s="361">
        <v>1.0442861950503068E-3</v>
      </c>
      <c r="L238" s="362">
        <v>9.9676721326036853E-4</v>
      </c>
      <c r="M238" s="362">
        <v>9.4924823147043036E-4</v>
      </c>
      <c r="N238" s="362">
        <v>9.0172924968049241E-4</v>
      </c>
      <c r="O238" s="362">
        <v>8.2479375535392588E-4</v>
      </c>
      <c r="P238" s="363">
        <v>7.6482932595233735E-4</v>
      </c>
      <c r="Q238" s="273">
        <v>95.533564814814852</v>
      </c>
      <c r="R238" s="273">
        <v>88.224537037036995</v>
      </c>
      <c r="S238" s="273">
        <v>79.599554806338745</v>
      </c>
      <c r="T238" s="273">
        <v>72.500086390997879</v>
      </c>
      <c r="U238" s="273">
        <v>69.326031130095501</v>
      </c>
      <c r="V238" s="273">
        <f t="shared" si="120"/>
        <v>64.661277777777826</v>
      </c>
      <c r="W238" s="273">
        <f t="shared" si="121"/>
        <v>61.718944444444482</v>
      </c>
      <c r="X238" s="273">
        <f t="shared" si="122"/>
        <v>58.776611111111144</v>
      </c>
      <c r="Y238" s="273">
        <f t="shared" si="123"/>
        <v>55.834277777777814</v>
      </c>
      <c r="Z238" s="273">
        <f t="shared" si="124"/>
        <v>51.070500000000031</v>
      </c>
      <c r="AA238" s="273">
        <f t="shared" si="125"/>
        <v>47.357555555555585</v>
      </c>
      <c r="AB238" s="100">
        <v>274</v>
      </c>
      <c r="AC238" s="101" t="s">
        <v>251</v>
      </c>
      <c r="AD238" s="159"/>
      <c r="AE238" s="159"/>
      <c r="AF238" s="164"/>
      <c r="AG238" s="164"/>
      <c r="AH238" s="164"/>
      <c r="AI238" s="159">
        <f t="shared" si="126"/>
        <v>1965894.3489431217</v>
      </c>
      <c r="AJ238" s="159">
        <f t="shared" si="127"/>
        <v>1897482.8370772572</v>
      </c>
      <c r="AK238" s="159">
        <f t="shared" si="128"/>
        <v>1842638.8942335809</v>
      </c>
      <c r="AL238" s="159">
        <f t="shared" si="129"/>
        <v>1798295.4358970507</v>
      </c>
      <c r="AM238" s="159">
        <f t="shared" si="130"/>
        <v>1694176.414741389</v>
      </c>
      <c r="AN238" s="159">
        <f t="shared" si="131"/>
        <v>1620991.8212154615</v>
      </c>
    </row>
    <row r="239" spans="1:1030" x14ac:dyDescent="0.35">
      <c r="A239" s="46">
        <v>339</v>
      </c>
      <c r="B239" s="240" t="s">
        <v>252</v>
      </c>
      <c r="C239" s="364">
        <v>7.8888888888888902</v>
      </c>
      <c r="D239" s="365">
        <v>1.2740635576774308E-4</v>
      </c>
      <c r="E239" s="191">
        <v>0.97599999999999998</v>
      </c>
      <c r="F239" s="191">
        <v>0.95099999999999996</v>
      </c>
      <c r="G239" s="191">
        <v>0.92700000000000005</v>
      </c>
      <c r="H239" s="191">
        <v>0.90200000000000002</v>
      </c>
      <c r="I239" s="191">
        <v>0.76900000000000002</v>
      </c>
      <c r="J239" s="191">
        <v>0.748</v>
      </c>
      <c r="K239" s="361">
        <v>1.2434860322931726E-4</v>
      </c>
      <c r="L239" s="362">
        <v>1.2116344433512367E-4</v>
      </c>
      <c r="M239" s="362">
        <v>1.1810569179669784E-4</v>
      </c>
      <c r="N239" s="362">
        <v>1.1492053290250426E-4</v>
      </c>
      <c r="O239" s="362">
        <v>9.7975487585394433E-5</v>
      </c>
      <c r="P239" s="363">
        <v>9.5299954114271826E-5</v>
      </c>
      <c r="Q239" s="273">
        <v>9.7407407407407423</v>
      </c>
      <c r="R239" s="273">
        <v>8.7222222222222197</v>
      </c>
      <c r="S239" s="273">
        <v>8.5951358087125804</v>
      </c>
      <c r="T239" s="273">
        <v>8.5343514171643342</v>
      </c>
      <c r="U239" s="273">
        <v>8.050011664601735</v>
      </c>
      <c r="V239" s="273">
        <f t="shared" si="120"/>
        <v>7.6995555555555564</v>
      </c>
      <c r="W239" s="273">
        <f t="shared" si="121"/>
        <v>7.5023333333333344</v>
      </c>
      <c r="X239" s="273">
        <f t="shared" si="122"/>
        <v>7.3130000000000015</v>
      </c>
      <c r="Y239" s="273">
        <f t="shared" si="123"/>
        <v>7.1157777777777795</v>
      </c>
      <c r="Z239" s="273">
        <f t="shared" si="124"/>
        <v>6.0665555555555564</v>
      </c>
      <c r="AA239" s="273">
        <f t="shared" si="125"/>
        <v>5.9008888888888897</v>
      </c>
      <c r="AB239" s="100">
        <v>339</v>
      </c>
      <c r="AC239" s="101" t="s">
        <v>252</v>
      </c>
      <c r="AD239" s="159"/>
      <c r="AE239" s="159"/>
      <c r="AF239" s="164"/>
      <c r="AG239" s="164"/>
      <c r="AH239" s="164"/>
      <c r="AI239" s="159">
        <f t="shared" si="126"/>
        <v>234089.29232824809</v>
      </c>
      <c r="AJ239" s="159">
        <f t="shared" si="127"/>
        <v>230651.20225519344</v>
      </c>
      <c r="AK239" s="159">
        <f t="shared" si="128"/>
        <v>229261.57154682945</v>
      </c>
      <c r="AL239" s="159">
        <f t="shared" si="129"/>
        <v>229183.0611934303</v>
      </c>
      <c r="AM239" s="159">
        <f t="shared" si="130"/>
        <v>201247.59579288555</v>
      </c>
      <c r="AN239" s="159">
        <f t="shared" si="131"/>
        <v>201980.2862411036</v>
      </c>
    </row>
    <row r="240" spans="1:1030" x14ac:dyDescent="0.35">
      <c r="A240" s="46">
        <v>1667</v>
      </c>
      <c r="B240" s="240" t="s">
        <v>253</v>
      </c>
      <c r="C240" s="364">
        <v>89.675925925925895</v>
      </c>
      <c r="D240" s="365">
        <v>1.4482753000124309E-3</v>
      </c>
      <c r="E240" s="191">
        <v>0.95799999999999996</v>
      </c>
      <c r="F240" s="191">
        <v>0.89800000000000002</v>
      </c>
      <c r="G240" s="191">
        <v>0.83299999999999996</v>
      </c>
      <c r="H240" s="191">
        <v>0.78500000000000003</v>
      </c>
      <c r="I240" s="191">
        <v>0.73699999999999999</v>
      </c>
      <c r="J240" s="191">
        <v>0.69799999999999995</v>
      </c>
      <c r="K240" s="361">
        <v>1.3874477374119086E-3</v>
      </c>
      <c r="L240" s="362">
        <v>1.3005512194111629E-3</v>
      </c>
      <c r="M240" s="362">
        <v>1.2064133249103548E-3</v>
      </c>
      <c r="N240" s="362">
        <v>1.1368961105097583E-3</v>
      </c>
      <c r="O240" s="362">
        <v>1.0673788961091616E-3</v>
      </c>
      <c r="P240" s="363">
        <v>1.0108961594086766E-3</v>
      </c>
      <c r="Q240" s="273">
        <v>116.34824111717323</v>
      </c>
      <c r="R240" s="273">
        <v>109.55663890766111</v>
      </c>
      <c r="S240" s="273">
        <v>99.3322112871179</v>
      </c>
      <c r="T240" s="273">
        <v>91.321979133824414</v>
      </c>
      <c r="U240" s="273">
        <v>87.560603088651675</v>
      </c>
      <c r="V240" s="273">
        <f t="shared" si="120"/>
        <v>85.909537037036998</v>
      </c>
      <c r="W240" s="273">
        <f t="shared" si="121"/>
        <v>80.528981481481452</v>
      </c>
      <c r="X240" s="273">
        <f t="shared" si="122"/>
        <v>74.700046296296264</v>
      </c>
      <c r="Y240" s="273">
        <f t="shared" si="123"/>
        <v>70.395601851851836</v>
      </c>
      <c r="Z240" s="273">
        <f t="shared" si="124"/>
        <v>66.09115740740738</v>
      </c>
      <c r="AA240" s="273">
        <f t="shared" si="125"/>
        <v>62.593796296296269</v>
      </c>
      <c r="AB240" s="100">
        <v>1667</v>
      </c>
      <c r="AC240" s="101" t="s">
        <v>253</v>
      </c>
      <c r="AD240" s="159"/>
      <c r="AE240" s="159"/>
      <c r="AF240" s="164"/>
      <c r="AG240" s="164"/>
      <c r="AH240" s="164"/>
      <c r="AI240" s="159">
        <f t="shared" si="126"/>
        <v>2611904.3604714079</v>
      </c>
      <c r="AJ240" s="159">
        <f t="shared" si="127"/>
        <v>2475777.2775256457</v>
      </c>
      <c r="AK240" s="159">
        <f t="shared" si="128"/>
        <v>2341836.4567906191</v>
      </c>
      <c r="AL240" s="159">
        <f t="shared" si="129"/>
        <v>2267282.6542370911</v>
      </c>
      <c r="AM240" s="159">
        <f t="shared" si="130"/>
        <v>2192461.0117893922</v>
      </c>
      <c r="AN240" s="159">
        <f t="shared" si="131"/>
        <v>2142509.9050159906</v>
      </c>
    </row>
    <row r="241" spans="1:40" x14ac:dyDescent="0.35">
      <c r="A241" s="46">
        <v>275</v>
      </c>
      <c r="B241" s="240" t="s">
        <v>254</v>
      </c>
      <c r="C241" s="364">
        <v>200.78935185185199</v>
      </c>
      <c r="D241" s="365">
        <v>3.2427683995451318E-3</v>
      </c>
      <c r="E241" s="191">
        <v>0.94799999999999995</v>
      </c>
      <c r="F241" s="191">
        <v>0.91300000000000003</v>
      </c>
      <c r="G241" s="191">
        <v>0.85299999999999998</v>
      </c>
      <c r="H241" s="191">
        <v>0.78700000000000003</v>
      </c>
      <c r="I241" s="191">
        <v>0.73299999999999998</v>
      </c>
      <c r="J241" s="191">
        <v>0.67400000000000004</v>
      </c>
      <c r="K241" s="361">
        <v>3.0741444427687848E-3</v>
      </c>
      <c r="L241" s="362">
        <v>2.9606475487847055E-3</v>
      </c>
      <c r="M241" s="362">
        <v>2.7660814448119972E-3</v>
      </c>
      <c r="N241" s="362">
        <v>2.5520587304420188E-3</v>
      </c>
      <c r="O241" s="362">
        <v>2.3769492368665816E-3</v>
      </c>
      <c r="P241" s="363">
        <v>2.1856259012934189E-3</v>
      </c>
      <c r="Q241" s="273">
        <v>261.45449786277038</v>
      </c>
      <c r="R241" s="273">
        <v>248.61118919014604</v>
      </c>
      <c r="S241" s="273">
        <v>229.80620820288746</v>
      </c>
      <c r="T241" s="273">
        <v>212.08887517138933</v>
      </c>
      <c r="U241" s="273">
        <v>201.16611315506927</v>
      </c>
      <c r="V241" s="273">
        <f t="shared" si="120"/>
        <v>190.34830555555567</v>
      </c>
      <c r="W241" s="273">
        <f t="shared" si="121"/>
        <v>183.32067824074088</v>
      </c>
      <c r="X241" s="273">
        <f t="shared" si="122"/>
        <v>171.27331712962973</v>
      </c>
      <c r="Y241" s="273">
        <f t="shared" si="123"/>
        <v>158.02121990740753</v>
      </c>
      <c r="Z241" s="273">
        <f t="shared" si="124"/>
        <v>147.1785949074075</v>
      </c>
      <c r="AA241" s="273">
        <f t="shared" si="125"/>
        <v>135.33202314814824</v>
      </c>
      <c r="AB241" s="100">
        <v>275</v>
      </c>
      <c r="AC241" s="101" t="s">
        <v>254</v>
      </c>
      <c r="AD241" s="159"/>
      <c r="AE241" s="159"/>
      <c r="AF241" s="164"/>
      <c r="AG241" s="164"/>
      <c r="AH241" s="164"/>
      <c r="AI241" s="159">
        <f t="shared" si="126"/>
        <v>5787152.235200162</v>
      </c>
      <c r="AJ241" s="159">
        <f t="shared" si="127"/>
        <v>5635997.8896962311</v>
      </c>
      <c r="AK241" s="159">
        <f t="shared" si="128"/>
        <v>5369395.5762583632</v>
      </c>
      <c r="AL241" s="159">
        <f t="shared" si="129"/>
        <v>5089505.0467989584</v>
      </c>
      <c r="AM241" s="159">
        <f t="shared" si="130"/>
        <v>4882397.9449370326</v>
      </c>
      <c r="AN241" s="159">
        <f t="shared" si="131"/>
        <v>4632251.3925859705</v>
      </c>
    </row>
    <row r="242" spans="1:40" x14ac:dyDescent="0.35">
      <c r="A242" s="46">
        <v>340</v>
      </c>
      <c r="B242" s="240" t="s">
        <v>255</v>
      </c>
      <c r="C242" s="364">
        <v>47.986689814814802</v>
      </c>
      <c r="D242" s="365">
        <v>7.7498990805582597E-4</v>
      </c>
      <c r="E242" s="191">
        <v>0.93500000000000005</v>
      </c>
      <c r="F242" s="191">
        <v>0.89200000000000002</v>
      </c>
      <c r="G242" s="191">
        <v>0.82</v>
      </c>
      <c r="H242" s="191">
        <v>0.78</v>
      </c>
      <c r="I242" s="191">
        <v>0.63800000000000001</v>
      </c>
      <c r="J242" s="191">
        <v>0.61599999999999999</v>
      </c>
      <c r="K242" s="361">
        <v>7.2461556403219732E-4</v>
      </c>
      <c r="L242" s="362">
        <v>6.9129099798579676E-4</v>
      </c>
      <c r="M242" s="362">
        <v>6.3549172460577725E-4</v>
      </c>
      <c r="N242" s="362">
        <v>6.0449212828354425E-4</v>
      </c>
      <c r="O242" s="362">
        <v>4.9444356133961694E-4</v>
      </c>
      <c r="P242" s="363">
        <v>4.7739378336238879E-4</v>
      </c>
      <c r="Q242" s="273">
        <v>62.500000000000021</v>
      </c>
      <c r="R242" s="273">
        <v>56.122685185185198</v>
      </c>
      <c r="S242" s="273">
        <v>51.472841857400773</v>
      </c>
      <c r="T242" s="273">
        <v>49.41477992466745</v>
      </c>
      <c r="U242" s="273">
        <v>47.536579245887665</v>
      </c>
      <c r="V242" s="273">
        <f t="shared" si="120"/>
        <v>44.867554976851842</v>
      </c>
      <c r="W242" s="273">
        <f t="shared" si="121"/>
        <v>42.804127314814806</v>
      </c>
      <c r="X242" s="273">
        <f t="shared" si="122"/>
        <v>39.349085648148133</v>
      </c>
      <c r="Y242" s="273">
        <f t="shared" si="123"/>
        <v>37.429618055555544</v>
      </c>
      <c r="Z242" s="273">
        <f t="shared" si="124"/>
        <v>30.615508101851844</v>
      </c>
      <c r="AA242" s="273">
        <f t="shared" si="125"/>
        <v>29.559800925925916</v>
      </c>
      <c r="AB242" s="100">
        <v>340</v>
      </c>
      <c r="AC242" s="101" t="s">
        <v>255</v>
      </c>
      <c r="AD242" s="159"/>
      <c r="AE242" s="159"/>
      <c r="AF242" s="164"/>
      <c r="AG242" s="164"/>
      <c r="AH242" s="164"/>
      <c r="AI242" s="159">
        <f t="shared" si="126"/>
        <v>1364106.5535856343</v>
      </c>
      <c r="AJ242" s="159">
        <f t="shared" si="127"/>
        <v>1315967.0449166568</v>
      </c>
      <c r="AK242" s="159">
        <f t="shared" si="128"/>
        <v>1233588.5703029169</v>
      </c>
      <c r="AL242" s="159">
        <f t="shared" si="129"/>
        <v>1205523.0943358729</v>
      </c>
      <c r="AM242" s="159">
        <f t="shared" si="130"/>
        <v>1015617.0734862841</v>
      </c>
      <c r="AN242" s="159">
        <f t="shared" si="131"/>
        <v>1011796.2165820026</v>
      </c>
    </row>
    <row r="243" spans="1:40" x14ac:dyDescent="0.35">
      <c r="A243" s="46">
        <v>1742</v>
      </c>
      <c r="B243" s="240" t="s">
        <v>257</v>
      </c>
      <c r="C243" s="364">
        <v>98.5347222222222</v>
      </c>
      <c r="D243" s="365">
        <v>1.5913457587926989E-3</v>
      </c>
      <c r="E243" s="191">
        <v>0.92300000000000004</v>
      </c>
      <c r="F243" s="191">
        <v>0.88800000000000001</v>
      </c>
      <c r="G243" s="191">
        <v>0.82399999999999995</v>
      </c>
      <c r="H243" s="191">
        <v>0.75600000000000001</v>
      </c>
      <c r="I243" s="191">
        <v>0.69399999999999995</v>
      </c>
      <c r="J243" s="191">
        <v>0.65500000000000003</v>
      </c>
      <c r="K243" s="361">
        <v>1.4688121353656611E-3</v>
      </c>
      <c r="L243" s="362">
        <v>1.4131150338079167E-3</v>
      </c>
      <c r="M243" s="362">
        <v>1.3112689052451839E-3</v>
      </c>
      <c r="N243" s="362">
        <v>1.2030573936472804E-3</v>
      </c>
      <c r="O243" s="362">
        <v>1.104393956602133E-3</v>
      </c>
      <c r="P243" s="363">
        <v>1.0423314720092178E-3</v>
      </c>
      <c r="Q243" s="273">
        <v>149.33444855067276</v>
      </c>
      <c r="R243" s="273">
        <v>140.66270966812888</v>
      </c>
      <c r="S243" s="273">
        <v>130.41702458593187</v>
      </c>
      <c r="T243" s="273">
        <v>116.58461497205728</v>
      </c>
      <c r="U243" s="273">
        <v>99.9183160137095</v>
      </c>
      <c r="V243" s="273">
        <f t="shared" si="120"/>
        <v>90.947548611111088</v>
      </c>
      <c r="W243" s="273">
        <f t="shared" si="121"/>
        <v>87.498833333333309</v>
      </c>
      <c r="X243" s="273">
        <f t="shared" si="122"/>
        <v>81.192611111111091</v>
      </c>
      <c r="Y243" s="273">
        <f t="shared" si="123"/>
        <v>74.492249999999984</v>
      </c>
      <c r="Z243" s="273">
        <f t="shared" si="124"/>
        <v>68.383097222222204</v>
      </c>
      <c r="AA243" s="273">
        <f t="shared" si="125"/>
        <v>64.54024305555555</v>
      </c>
      <c r="AB243" s="100">
        <v>1742</v>
      </c>
      <c r="AC243" s="101" t="s">
        <v>257</v>
      </c>
      <c r="AD243" s="159"/>
      <c r="AE243" s="159"/>
      <c r="AF243" s="164"/>
      <c r="AG243" s="164"/>
      <c r="AH243" s="164"/>
      <c r="AI243" s="159">
        <f t="shared" si="126"/>
        <v>2765074.8331833789</v>
      </c>
      <c r="AJ243" s="159">
        <f t="shared" si="127"/>
        <v>2690057.90699695</v>
      </c>
      <c r="AK243" s="159">
        <f t="shared" si="128"/>
        <v>2545377.4950531782</v>
      </c>
      <c r="AL243" s="159">
        <f t="shared" si="129"/>
        <v>2399226.3984834435</v>
      </c>
      <c r="AM243" s="159">
        <f t="shared" si="130"/>
        <v>2268492.1917908811</v>
      </c>
      <c r="AN243" s="159">
        <f t="shared" si="131"/>
        <v>2209134.4222694049</v>
      </c>
    </row>
    <row r="244" spans="1:40" x14ac:dyDescent="0.35">
      <c r="A244" s="46">
        <v>603</v>
      </c>
      <c r="B244" s="240" t="s">
        <v>258</v>
      </c>
      <c r="C244" s="364">
        <v>66.5</v>
      </c>
      <c r="D244" s="365">
        <v>1.0739817454506228E-3</v>
      </c>
      <c r="E244" s="191">
        <v>0.90300000000000002</v>
      </c>
      <c r="F244" s="191">
        <v>0.85399999999999998</v>
      </c>
      <c r="G244" s="191">
        <v>0.83199999999999996</v>
      </c>
      <c r="H244" s="191">
        <v>0.78</v>
      </c>
      <c r="I244" s="191">
        <v>0.73399999999999999</v>
      </c>
      <c r="J244" s="191">
        <v>0.64200000000000002</v>
      </c>
      <c r="K244" s="361">
        <v>9.6980551614191243E-4</v>
      </c>
      <c r="L244" s="362">
        <v>9.1718041061483182E-4</v>
      </c>
      <c r="M244" s="362">
        <v>8.9355281221491808E-4</v>
      </c>
      <c r="N244" s="362">
        <v>8.3770576145148585E-4</v>
      </c>
      <c r="O244" s="362">
        <v>7.8830260116075708E-4</v>
      </c>
      <c r="P244" s="363">
        <v>6.8949628057929987E-4</v>
      </c>
      <c r="Q244" s="273">
        <v>85.421296296296305</v>
      </c>
      <c r="R244" s="273">
        <v>82.074074074074105</v>
      </c>
      <c r="S244" s="273">
        <v>74.502055987526063</v>
      </c>
      <c r="T244" s="273">
        <v>70.203149644110667</v>
      </c>
      <c r="U244" s="273">
        <v>66.38974848424202</v>
      </c>
      <c r="V244" s="273">
        <f t="shared" si="120"/>
        <v>60.049500000000002</v>
      </c>
      <c r="W244" s="273">
        <f t="shared" si="121"/>
        <v>56.790999999999997</v>
      </c>
      <c r="X244" s="273">
        <f t="shared" si="122"/>
        <v>55.327999999999996</v>
      </c>
      <c r="Y244" s="273">
        <f t="shared" si="123"/>
        <v>51.870000000000005</v>
      </c>
      <c r="Z244" s="273">
        <f t="shared" si="124"/>
        <v>48.811</v>
      </c>
      <c r="AA244" s="273">
        <f t="shared" si="125"/>
        <v>42.692999999999998</v>
      </c>
      <c r="AB244" s="100">
        <v>603</v>
      </c>
      <c r="AC244" s="101" t="s">
        <v>258</v>
      </c>
      <c r="AD244" s="159"/>
      <c r="AE244" s="159"/>
      <c r="AF244" s="164"/>
      <c r="AG244" s="164"/>
      <c r="AH244" s="164"/>
      <c r="AI244" s="159">
        <f t="shared" si="126"/>
        <v>1825682.6459966837</v>
      </c>
      <c r="AJ244" s="159">
        <f t="shared" si="127"/>
        <v>1745978.4636701499</v>
      </c>
      <c r="AK244" s="159">
        <f t="shared" si="128"/>
        <v>1734525.3973120439</v>
      </c>
      <c r="AL244" s="159">
        <f t="shared" si="129"/>
        <v>1670615.0410188476</v>
      </c>
      <c r="AM244" s="159">
        <f t="shared" si="130"/>
        <v>1619221.3700657305</v>
      </c>
      <c r="AN244" s="159">
        <f t="shared" si="131"/>
        <v>1461329.7289376913</v>
      </c>
    </row>
    <row r="245" spans="1:40" x14ac:dyDescent="0.35">
      <c r="A245" s="46">
        <v>1669</v>
      </c>
      <c r="B245" s="240" t="s">
        <v>259</v>
      </c>
      <c r="C245" s="364">
        <v>93.0486111111111</v>
      </c>
      <c r="D245" s="365">
        <v>1.5027445078626665E-3</v>
      </c>
      <c r="E245" s="191">
        <v>0.95099999999999996</v>
      </c>
      <c r="F245" s="191">
        <v>0.90200000000000002</v>
      </c>
      <c r="G245" s="191">
        <v>0.84399999999999997</v>
      </c>
      <c r="H245" s="191">
        <v>0.77300000000000002</v>
      </c>
      <c r="I245" s="191">
        <v>0.71299999999999997</v>
      </c>
      <c r="J245" s="191">
        <v>0.66300000000000003</v>
      </c>
      <c r="K245" s="361">
        <v>1.4291100269773957E-3</v>
      </c>
      <c r="L245" s="362">
        <v>1.3554755460921252E-3</v>
      </c>
      <c r="M245" s="362">
        <v>1.2683163646360904E-3</v>
      </c>
      <c r="N245" s="362">
        <v>1.1616215045778411E-3</v>
      </c>
      <c r="O245" s="362">
        <v>1.0714568341060812E-3</v>
      </c>
      <c r="P245" s="363">
        <v>9.9631960871294795E-4</v>
      </c>
      <c r="Q245" s="273">
        <v>127.51932279536436</v>
      </c>
      <c r="R245" s="273">
        <v>120.58728777469632</v>
      </c>
      <c r="S245" s="273">
        <v>111.81841691414733</v>
      </c>
      <c r="T245" s="273">
        <v>100.43185073408327</v>
      </c>
      <c r="U245" s="273">
        <v>90.686979165483422</v>
      </c>
      <c r="V245" s="273">
        <f t="shared" si="120"/>
        <v>88.489229166666647</v>
      </c>
      <c r="W245" s="273">
        <f t="shared" si="121"/>
        <v>83.929847222222207</v>
      </c>
      <c r="X245" s="273">
        <f t="shared" si="122"/>
        <v>78.533027777777761</v>
      </c>
      <c r="Y245" s="273">
        <f t="shared" si="123"/>
        <v>71.926576388888876</v>
      </c>
      <c r="Z245" s="273">
        <f t="shared" si="124"/>
        <v>66.343659722222213</v>
      </c>
      <c r="AA245" s="273">
        <f t="shared" si="125"/>
        <v>61.691229166666659</v>
      </c>
      <c r="AB245" s="100">
        <v>1669</v>
      </c>
      <c r="AC245" s="101" t="s">
        <v>259</v>
      </c>
      <c r="AD245" s="159"/>
      <c r="AE245" s="159"/>
      <c r="AF245" s="164"/>
      <c r="AG245" s="164"/>
      <c r="AH245" s="164"/>
      <c r="AI245" s="159">
        <f t="shared" si="126"/>
        <v>2690334.6413743142</v>
      </c>
      <c r="AJ245" s="159">
        <f t="shared" si="127"/>
        <v>2580333.2519083293</v>
      </c>
      <c r="AK245" s="159">
        <f t="shared" si="128"/>
        <v>2461999.9133958891</v>
      </c>
      <c r="AL245" s="159">
        <f t="shared" si="129"/>
        <v>2316591.8712988021</v>
      </c>
      <c r="AM245" s="159">
        <f t="shared" si="130"/>
        <v>2200837.3438485437</v>
      </c>
      <c r="AN245" s="159">
        <f t="shared" si="131"/>
        <v>2111616.1243285313</v>
      </c>
    </row>
    <row r="246" spans="1:40" x14ac:dyDescent="0.35">
      <c r="A246" s="46">
        <v>957</v>
      </c>
      <c r="B246" s="240" t="s">
        <v>260</v>
      </c>
      <c r="C246" s="364">
        <v>368.20428240740802</v>
      </c>
      <c r="D246" s="365">
        <v>5.9465365098090549E-3</v>
      </c>
      <c r="E246" s="191">
        <v>0.93799999999999994</v>
      </c>
      <c r="F246" s="191">
        <v>0.89200000000000002</v>
      </c>
      <c r="G246" s="191">
        <v>0.83599999999999997</v>
      </c>
      <c r="H246" s="191">
        <v>0.77100000000000002</v>
      </c>
      <c r="I246" s="191">
        <v>0.69199999999999995</v>
      </c>
      <c r="J246" s="191">
        <v>0.63300000000000001</v>
      </c>
      <c r="K246" s="361">
        <v>5.577851246200893E-3</v>
      </c>
      <c r="L246" s="362">
        <v>5.3043105667496772E-3</v>
      </c>
      <c r="M246" s="362">
        <v>4.9713045222003699E-3</v>
      </c>
      <c r="N246" s="362">
        <v>4.5847796490627816E-3</v>
      </c>
      <c r="O246" s="362">
        <v>4.115003264787866E-3</v>
      </c>
      <c r="P246" s="363">
        <v>3.7641576107091319E-3</v>
      </c>
      <c r="Q246" s="273">
        <v>489.90298886027887</v>
      </c>
      <c r="R246" s="273">
        <v>467.11921486898194</v>
      </c>
      <c r="S246" s="273">
        <v>439.93909459538168</v>
      </c>
      <c r="T246" s="273">
        <v>407.19647909133118</v>
      </c>
      <c r="U246" s="273">
        <v>377.16511958495062</v>
      </c>
      <c r="V246" s="273">
        <f t="shared" si="120"/>
        <v>345.37561689814868</v>
      </c>
      <c r="W246" s="273">
        <f t="shared" si="121"/>
        <v>328.43821990740798</v>
      </c>
      <c r="X246" s="273">
        <f t="shared" si="122"/>
        <v>307.8187800925931</v>
      </c>
      <c r="Y246" s="273">
        <f t="shared" si="123"/>
        <v>283.88550173611156</v>
      </c>
      <c r="Z246" s="273">
        <f t="shared" si="124"/>
        <v>254.79736342592633</v>
      </c>
      <c r="AA246" s="273">
        <f t="shared" si="125"/>
        <v>233.07331076388928</v>
      </c>
      <c r="AB246" s="100">
        <v>957</v>
      </c>
      <c r="AC246" s="101" t="s">
        <v>260</v>
      </c>
      <c r="AD246" s="159"/>
      <c r="AE246" s="159"/>
      <c r="AF246" s="164"/>
      <c r="AG246" s="164"/>
      <c r="AH246" s="164"/>
      <c r="AI246" s="159">
        <f t="shared" si="126"/>
        <v>10500441.637671405</v>
      </c>
      <c r="AJ246" s="159">
        <f t="shared" si="127"/>
        <v>10097481.266476996</v>
      </c>
      <c r="AK246" s="159">
        <f t="shared" si="128"/>
        <v>9650077.5708540659</v>
      </c>
      <c r="AL246" s="159">
        <f t="shared" si="129"/>
        <v>9143308.0610667076</v>
      </c>
      <c r="AM246" s="159">
        <f t="shared" si="130"/>
        <v>8452466.3681478407</v>
      </c>
      <c r="AN246" s="159">
        <f t="shared" si="131"/>
        <v>7977817.3949173074</v>
      </c>
    </row>
    <row r="247" spans="1:40" x14ac:dyDescent="0.35">
      <c r="A247" s="46">
        <v>1674</v>
      </c>
      <c r="B247" s="240" t="s">
        <v>261</v>
      </c>
      <c r="C247" s="364">
        <v>480.95370370370398</v>
      </c>
      <c r="D247" s="365">
        <v>7.7674511005209881E-3</v>
      </c>
      <c r="E247" s="191">
        <v>0.95899999999999996</v>
      </c>
      <c r="F247" s="191">
        <v>0.91400000000000003</v>
      </c>
      <c r="G247" s="191">
        <v>0.874</v>
      </c>
      <c r="H247" s="191">
        <v>0.82399999999999995</v>
      </c>
      <c r="I247" s="191">
        <v>0.77300000000000002</v>
      </c>
      <c r="J247" s="191">
        <v>0.72</v>
      </c>
      <c r="K247" s="361">
        <v>7.4489856053996271E-3</v>
      </c>
      <c r="L247" s="362">
        <v>7.0994503058761831E-3</v>
      </c>
      <c r="M247" s="362">
        <v>6.7887522618553433E-3</v>
      </c>
      <c r="N247" s="362">
        <v>6.4003797068292942E-3</v>
      </c>
      <c r="O247" s="362">
        <v>6.0042397007027239E-3</v>
      </c>
      <c r="P247" s="363">
        <v>5.5925647923751112E-3</v>
      </c>
      <c r="Q247" s="273">
        <v>595.49967203557878</v>
      </c>
      <c r="R247" s="273">
        <v>568.55903236193808</v>
      </c>
      <c r="S247" s="273">
        <v>541.5356870525228</v>
      </c>
      <c r="T247" s="273">
        <v>506.2899509862832</v>
      </c>
      <c r="U247" s="273">
        <v>487.19131640781887</v>
      </c>
      <c r="V247" s="273">
        <f t="shared" si="120"/>
        <v>461.23460185185212</v>
      </c>
      <c r="W247" s="273">
        <f t="shared" si="121"/>
        <v>439.59168518518544</v>
      </c>
      <c r="X247" s="273">
        <f t="shared" si="122"/>
        <v>420.35353703703726</v>
      </c>
      <c r="Y247" s="273">
        <f t="shared" si="123"/>
        <v>396.30585185185208</v>
      </c>
      <c r="Z247" s="273">
        <f t="shared" si="124"/>
        <v>371.77721296296318</v>
      </c>
      <c r="AA247" s="273">
        <f t="shared" si="125"/>
        <v>346.28666666666686</v>
      </c>
      <c r="AB247" s="100">
        <v>1674</v>
      </c>
      <c r="AC247" s="101" t="s">
        <v>261</v>
      </c>
      <c r="AD247" s="159"/>
      <c r="AE247" s="159"/>
      <c r="AF247" s="164"/>
      <c r="AG247" s="164"/>
      <c r="AH247" s="164"/>
      <c r="AI247" s="159">
        <f t="shared" si="126"/>
        <v>14022897.914788904</v>
      </c>
      <c r="AJ247" s="159">
        <f t="shared" si="127"/>
        <v>13514775.495092573</v>
      </c>
      <c r="AK247" s="159">
        <f t="shared" si="128"/>
        <v>13178027.144315537</v>
      </c>
      <c r="AL247" s="159">
        <f t="shared" si="129"/>
        <v>12764112.530316005</v>
      </c>
      <c r="AM247" s="159">
        <f t="shared" si="130"/>
        <v>12333072.629798777</v>
      </c>
      <c r="AN247" s="159">
        <f t="shared" si="131"/>
        <v>11852973.572593562</v>
      </c>
    </row>
    <row r="248" spans="1:40" x14ac:dyDescent="0.35">
      <c r="A248" s="46">
        <v>599</v>
      </c>
      <c r="B248" s="240" t="s">
        <v>262</v>
      </c>
      <c r="C248" s="364">
        <v>1654.6793981481501</v>
      </c>
      <c r="D248" s="365">
        <v>2.6723240123072728E-2</v>
      </c>
      <c r="E248" s="191">
        <v>0.95</v>
      </c>
      <c r="F248" s="191">
        <v>0.89400000000000002</v>
      </c>
      <c r="G248" s="191">
        <v>0.83199999999999996</v>
      </c>
      <c r="H248" s="191">
        <v>0.76800000000000002</v>
      </c>
      <c r="I248" s="191">
        <v>0.71099999999999997</v>
      </c>
      <c r="J248" s="191">
        <v>0.65200000000000002</v>
      </c>
      <c r="K248" s="361">
        <v>2.5387078116919089E-2</v>
      </c>
      <c r="L248" s="362">
        <v>2.389057667002702E-2</v>
      </c>
      <c r="M248" s="362">
        <v>2.223373578239651E-2</v>
      </c>
      <c r="N248" s="362">
        <v>2.0523448414519856E-2</v>
      </c>
      <c r="O248" s="362">
        <v>1.9000223727504709E-2</v>
      </c>
      <c r="P248" s="363">
        <v>1.742355256024342E-2</v>
      </c>
      <c r="Q248" s="273">
        <v>2155.1984578527076</v>
      </c>
      <c r="R248" s="273">
        <v>2031.0774713950034</v>
      </c>
      <c r="S248" s="273">
        <v>1914.7132101761383</v>
      </c>
      <c r="T248" s="273">
        <v>1779.322091645359</v>
      </c>
      <c r="U248" s="273">
        <v>1657.0015092068106</v>
      </c>
      <c r="V248" s="273">
        <f t="shared" si="120"/>
        <v>1571.9454282407426</v>
      </c>
      <c r="W248" s="273">
        <f t="shared" si="121"/>
        <v>1479.2833819444461</v>
      </c>
      <c r="X248" s="273">
        <f t="shared" si="122"/>
        <v>1376.6932592592609</v>
      </c>
      <c r="Y248" s="273">
        <f t="shared" si="123"/>
        <v>1270.7937777777793</v>
      </c>
      <c r="Z248" s="273">
        <f t="shared" si="124"/>
        <v>1176.4770520833347</v>
      </c>
      <c r="AA248" s="273">
        <f t="shared" si="125"/>
        <v>1078.8509675925939</v>
      </c>
      <c r="AB248" s="100">
        <v>599</v>
      </c>
      <c r="AC248" s="101" t="s">
        <v>262</v>
      </c>
      <c r="AD248" s="159"/>
      <c r="AE248" s="159"/>
      <c r="AF248" s="164"/>
      <c r="AG248" s="164"/>
      <c r="AH248" s="164"/>
      <c r="AI248" s="159">
        <f t="shared" si="126"/>
        <v>47791796.581036463</v>
      </c>
      <c r="AJ248" s="159">
        <f t="shared" si="127"/>
        <v>45478983.052598961</v>
      </c>
      <c r="AK248" s="159">
        <f t="shared" si="128"/>
        <v>43159149.481157504</v>
      </c>
      <c r="AL248" s="159">
        <f t="shared" si="129"/>
        <v>40929384.985323325</v>
      </c>
      <c r="AM248" s="159">
        <f t="shared" si="130"/>
        <v>39027612.303072445</v>
      </c>
      <c r="AN248" s="159">
        <f t="shared" si="131"/>
        <v>36927763.147032328</v>
      </c>
    </row>
    <row r="249" spans="1:40" x14ac:dyDescent="0.35">
      <c r="A249" s="46">
        <v>277</v>
      </c>
      <c r="B249" s="240" t="s">
        <v>263</v>
      </c>
      <c r="C249" s="364">
        <v>1.7222222222222201</v>
      </c>
      <c r="D249" s="365">
        <v>2.7814063583098803E-5</v>
      </c>
      <c r="E249" s="191">
        <v>0.97799999999999998</v>
      </c>
      <c r="F249" s="191">
        <v>0.95699999999999996</v>
      </c>
      <c r="G249" s="191">
        <v>0.93500000000000005</v>
      </c>
      <c r="H249" s="191">
        <v>0.91300000000000003</v>
      </c>
      <c r="I249" s="191">
        <v>0.88700000000000001</v>
      </c>
      <c r="J249" s="191">
        <v>0.86299999999999999</v>
      </c>
      <c r="K249" s="361">
        <v>2.7202154184270628E-5</v>
      </c>
      <c r="L249" s="362">
        <v>2.6618058849025552E-5</v>
      </c>
      <c r="M249" s="362">
        <v>2.6006149450197384E-5</v>
      </c>
      <c r="N249" s="362">
        <v>2.5394240051369209E-5</v>
      </c>
      <c r="O249" s="362">
        <v>2.4671074398208637E-5</v>
      </c>
      <c r="P249" s="363">
        <v>2.4003536872214268E-5</v>
      </c>
      <c r="Q249" s="273">
        <v>1.666666666666667</v>
      </c>
      <c r="R249" s="273">
        <v>0.83333333333333304</v>
      </c>
      <c r="S249" s="273">
        <v>0.82425157434126139</v>
      </c>
      <c r="T249" s="273">
        <v>1.6909445518092976</v>
      </c>
      <c r="U249" s="273">
        <v>1.6863095788234339</v>
      </c>
      <c r="V249" s="273">
        <f t="shared" si="120"/>
        <v>1.6843333333333312</v>
      </c>
      <c r="W249" s="273">
        <f t="shared" si="121"/>
        <v>1.6481666666666646</v>
      </c>
      <c r="X249" s="273">
        <f t="shared" si="122"/>
        <v>1.6102777777777759</v>
      </c>
      <c r="Y249" s="273">
        <f t="shared" si="123"/>
        <v>1.5723888888888871</v>
      </c>
      <c r="Z249" s="273">
        <f t="shared" si="124"/>
        <v>1.5276111111111093</v>
      </c>
      <c r="AA249" s="273">
        <f t="shared" si="125"/>
        <v>1.486277777777776</v>
      </c>
      <c r="AB249" s="100">
        <v>277</v>
      </c>
      <c r="AC249" s="101" t="s">
        <v>263</v>
      </c>
      <c r="AD249" s="159"/>
      <c r="AE249" s="159"/>
      <c r="AF249" s="164"/>
      <c r="AG249" s="164"/>
      <c r="AH249" s="164"/>
      <c r="AI249" s="159">
        <f t="shared" si="126"/>
        <v>51208.721750229568</v>
      </c>
      <c r="AJ249" s="159">
        <f t="shared" si="127"/>
        <v>50671.118743093364</v>
      </c>
      <c r="AK249" s="159">
        <f t="shared" si="128"/>
        <v>50481.992883942163</v>
      </c>
      <c r="AL249" s="159">
        <f t="shared" si="129"/>
        <v>50643.079392880049</v>
      </c>
      <c r="AM249" s="159">
        <f t="shared" si="130"/>
        <v>50675.883638134095</v>
      </c>
      <c r="AN249" s="159">
        <f t="shared" si="131"/>
        <v>50873.489849064521</v>
      </c>
    </row>
    <row r="250" spans="1:40" x14ac:dyDescent="0.35">
      <c r="A250" s="46">
        <v>840</v>
      </c>
      <c r="B250" s="240" t="s">
        <v>264</v>
      </c>
      <c r="C250" s="364">
        <v>204.555555555556</v>
      </c>
      <c r="D250" s="365">
        <v>3.3035929713861336E-3</v>
      </c>
      <c r="E250" s="191">
        <v>0.95399999999999996</v>
      </c>
      <c r="F250" s="191">
        <v>0.91900000000000004</v>
      </c>
      <c r="G250" s="191">
        <v>0.86099999999999999</v>
      </c>
      <c r="H250" s="191">
        <v>0.80700000000000005</v>
      </c>
      <c r="I250" s="191">
        <v>0.76600000000000001</v>
      </c>
      <c r="J250" s="191">
        <v>0.68899999999999995</v>
      </c>
      <c r="K250" s="361">
        <v>3.1516276947023713E-3</v>
      </c>
      <c r="L250" s="362">
        <v>3.0360019407038568E-3</v>
      </c>
      <c r="M250" s="362">
        <v>2.8443935483634612E-3</v>
      </c>
      <c r="N250" s="362">
        <v>2.6659995279086101E-3</v>
      </c>
      <c r="O250" s="362">
        <v>2.5305522160817785E-3</v>
      </c>
      <c r="P250" s="363">
        <v>2.2761755572850459E-3</v>
      </c>
      <c r="Q250" s="273">
        <v>277.17421709387878</v>
      </c>
      <c r="R250" s="273">
        <v>258.89989874597393</v>
      </c>
      <c r="S250" s="273">
        <v>240.00350050022712</v>
      </c>
      <c r="T250" s="273">
        <v>222.92608227535646</v>
      </c>
      <c r="U250" s="273">
        <v>209.75353055642978</v>
      </c>
      <c r="V250" s="273">
        <f t="shared" si="120"/>
        <v>195.14600000000041</v>
      </c>
      <c r="W250" s="273">
        <f t="shared" si="121"/>
        <v>187.98655555555598</v>
      </c>
      <c r="X250" s="273">
        <f t="shared" si="122"/>
        <v>176.1223333333337</v>
      </c>
      <c r="Y250" s="273">
        <f t="shared" si="123"/>
        <v>165.07633333333371</v>
      </c>
      <c r="Z250" s="273">
        <f t="shared" si="124"/>
        <v>156.6895555555559</v>
      </c>
      <c r="AA250" s="273">
        <f t="shared" si="125"/>
        <v>140.93877777777809</v>
      </c>
      <c r="AB250" s="100">
        <v>840</v>
      </c>
      <c r="AC250" s="101" t="s">
        <v>264</v>
      </c>
      <c r="AD250" s="159"/>
      <c r="AE250" s="159"/>
      <c r="AF250" s="164"/>
      <c r="AG250" s="164"/>
      <c r="AH250" s="164"/>
      <c r="AI250" s="159">
        <f t="shared" si="126"/>
        <v>5933016.3554345928</v>
      </c>
      <c r="AJ250" s="159">
        <f t="shared" si="127"/>
        <v>5779445.2899144748</v>
      </c>
      <c r="AK250" s="159">
        <f t="shared" si="128"/>
        <v>5521411.5854635062</v>
      </c>
      <c r="AL250" s="159">
        <f t="shared" si="129"/>
        <v>5316734.2468268415</v>
      </c>
      <c r="AM250" s="159">
        <f t="shared" si="130"/>
        <v>5197907.7835253859</v>
      </c>
      <c r="AN250" s="159">
        <f t="shared" si="131"/>
        <v>4824163.819052537</v>
      </c>
    </row>
    <row r="251" spans="1:40" x14ac:dyDescent="0.35">
      <c r="A251" s="46">
        <v>441</v>
      </c>
      <c r="B251" s="240" t="s">
        <v>265</v>
      </c>
      <c r="C251" s="364">
        <v>147.28009259259301</v>
      </c>
      <c r="D251" s="365">
        <v>2.3785884347777802E-3</v>
      </c>
      <c r="E251" s="191">
        <v>0.96499999999999997</v>
      </c>
      <c r="F251" s="191">
        <v>0.93600000000000005</v>
      </c>
      <c r="G251" s="191">
        <v>0.9</v>
      </c>
      <c r="H251" s="191">
        <v>0.85299999999999998</v>
      </c>
      <c r="I251" s="191">
        <v>0.80300000000000005</v>
      </c>
      <c r="J251" s="191">
        <v>0.76600000000000001</v>
      </c>
      <c r="K251" s="361">
        <v>2.295337839560558E-3</v>
      </c>
      <c r="L251" s="362">
        <v>2.2263587749520026E-3</v>
      </c>
      <c r="M251" s="362">
        <v>2.1407295913000021E-3</v>
      </c>
      <c r="N251" s="362">
        <v>2.0289359348654467E-3</v>
      </c>
      <c r="O251" s="362">
        <v>1.9100065131265576E-3</v>
      </c>
      <c r="P251" s="363">
        <v>1.8219987410397797E-3</v>
      </c>
      <c r="Q251" s="273">
        <v>171.13421927873725</v>
      </c>
      <c r="R251" s="273">
        <v>168.80902699489451</v>
      </c>
      <c r="S251" s="273">
        <v>166.03030806980576</v>
      </c>
      <c r="T251" s="273">
        <v>160.52456025892923</v>
      </c>
      <c r="U251" s="273">
        <v>149.09100301073113</v>
      </c>
      <c r="V251" s="273">
        <f t="shared" si="120"/>
        <v>142.12528935185225</v>
      </c>
      <c r="W251" s="273">
        <f t="shared" si="121"/>
        <v>137.85416666666706</v>
      </c>
      <c r="X251" s="273">
        <f t="shared" si="122"/>
        <v>132.55208333333371</v>
      </c>
      <c r="Y251" s="273">
        <f t="shared" si="123"/>
        <v>125.62991898148184</v>
      </c>
      <c r="Z251" s="273">
        <f t="shared" si="124"/>
        <v>118.26591435185219</v>
      </c>
      <c r="AA251" s="273">
        <f t="shared" si="125"/>
        <v>112.81655092592625</v>
      </c>
      <c r="AB251" s="100">
        <v>441</v>
      </c>
      <c r="AC251" s="101" t="s">
        <v>265</v>
      </c>
      <c r="AD251" s="159"/>
      <c r="AE251" s="159"/>
      <c r="AF251" s="164"/>
      <c r="AG251" s="164"/>
      <c r="AH251" s="164"/>
      <c r="AI251" s="159">
        <f t="shared" si="126"/>
        <v>4321029.7225944251</v>
      </c>
      <c r="AJ251" s="159">
        <f t="shared" si="127"/>
        <v>4238178.6925251558</v>
      </c>
      <c r="AK251" s="159">
        <f t="shared" si="128"/>
        <v>4155490.0775066842</v>
      </c>
      <c r="AL251" s="159">
        <f t="shared" si="129"/>
        <v>4046254.7185741812</v>
      </c>
      <c r="AM251" s="159">
        <f t="shared" si="130"/>
        <v>3923269.2603897164</v>
      </c>
      <c r="AN251" s="159">
        <f t="shared" si="131"/>
        <v>3861574.0234761918</v>
      </c>
    </row>
    <row r="252" spans="1:40" x14ac:dyDescent="0.35">
      <c r="A252" s="46">
        <v>279</v>
      </c>
      <c r="B252" s="240" t="s">
        <v>266</v>
      </c>
      <c r="C252" s="364">
        <v>5.4212962962963003</v>
      </c>
      <c r="D252" s="365">
        <v>8.7554485096260113E-5</v>
      </c>
      <c r="E252" s="191">
        <v>0.97699999999999998</v>
      </c>
      <c r="F252" s="191">
        <v>0.95199999999999996</v>
      </c>
      <c r="G252" s="191">
        <v>0.92800000000000005</v>
      </c>
      <c r="H252" s="191">
        <v>0.90400000000000003</v>
      </c>
      <c r="I252" s="191">
        <v>0.88</v>
      </c>
      <c r="J252" s="191">
        <v>0.70299999999999996</v>
      </c>
      <c r="K252" s="361">
        <v>8.5540731939046127E-5</v>
      </c>
      <c r="L252" s="362">
        <v>8.3351869811639621E-5</v>
      </c>
      <c r="M252" s="362">
        <v>8.1250562169329395E-5</v>
      </c>
      <c r="N252" s="362">
        <v>7.9149254527019142E-5</v>
      </c>
      <c r="O252" s="362">
        <v>7.7047946884708902E-5</v>
      </c>
      <c r="P252" s="363">
        <v>6.1550803022670852E-5</v>
      </c>
      <c r="Q252" s="273">
        <v>8.0138888888888893</v>
      </c>
      <c r="R252" s="273">
        <v>6.0092592592592604</v>
      </c>
      <c r="S252" s="273">
        <v>5.4457141559955797</v>
      </c>
      <c r="T252" s="273">
        <v>5.3292928340768135</v>
      </c>
      <c r="U252" s="273">
        <v>5.3304201618264724</v>
      </c>
      <c r="V252" s="273">
        <f t="shared" si="120"/>
        <v>5.2966064814814855</v>
      </c>
      <c r="W252" s="273">
        <f t="shared" si="121"/>
        <v>5.1610740740740777</v>
      </c>
      <c r="X252" s="273">
        <f t="shared" si="122"/>
        <v>5.0309629629629669</v>
      </c>
      <c r="Y252" s="273">
        <f t="shared" si="123"/>
        <v>4.900851851851856</v>
      </c>
      <c r="Z252" s="273">
        <f t="shared" si="124"/>
        <v>4.7707407407407443</v>
      </c>
      <c r="AA252" s="273">
        <f t="shared" si="125"/>
        <v>3.8111712962962989</v>
      </c>
      <c r="AB252" s="100">
        <v>279</v>
      </c>
      <c r="AC252" s="101" t="s">
        <v>266</v>
      </c>
      <c r="AD252" s="159"/>
      <c r="AE252" s="159"/>
      <c r="AF252" s="164"/>
      <c r="AG252" s="164"/>
      <c r="AH252" s="164"/>
      <c r="AI252" s="159">
        <f t="shared" si="126"/>
        <v>161032.52376646441</v>
      </c>
      <c r="AJ252" s="159">
        <f t="shared" si="127"/>
        <v>158671.69415470233</v>
      </c>
      <c r="AK252" s="159">
        <f t="shared" si="128"/>
        <v>157720.01576408904</v>
      </c>
      <c r="AL252" s="159">
        <f t="shared" si="129"/>
        <v>157845.32133234592</v>
      </c>
      <c r="AM252" s="159">
        <f t="shared" si="130"/>
        <v>158261.15749422519</v>
      </c>
      <c r="AN252" s="159">
        <f t="shared" si="131"/>
        <v>130451.78172889655</v>
      </c>
    </row>
    <row r="253" spans="1:40" x14ac:dyDescent="0.35">
      <c r="A253" s="46">
        <v>606</v>
      </c>
      <c r="B253" s="240" t="s">
        <v>267</v>
      </c>
      <c r="C253" s="364">
        <v>317.78761574074099</v>
      </c>
      <c r="D253" s="365">
        <v>5.1323022291102681E-3</v>
      </c>
      <c r="E253" s="191">
        <v>0.95299999999999996</v>
      </c>
      <c r="F253" s="191">
        <v>0.92300000000000004</v>
      </c>
      <c r="G253" s="191">
        <v>0.86499999999999999</v>
      </c>
      <c r="H253" s="191">
        <v>0.79</v>
      </c>
      <c r="I253" s="191">
        <v>0.72599999999999998</v>
      </c>
      <c r="J253" s="191">
        <v>0.67200000000000004</v>
      </c>
      <c r="K253" s="361">
        <v>4.8910840243420852E-3</v>
      </c>
      <c r="L253" s="362">
        <v>4.7371149574687776E-3</v>
      </c>
      <c r="M253" s="362">
        <v>4.4394414281803815E-3</v>
      </c>
      <c r="N253" s="362">
        <v>4.0545187609971117E-3</v>
      </c>
      <c r="O253" s="362">
        <v>3.7260514183340547E-3</v>
      </c>
      <c r="P253" s="363">
        <v>3.4489070979621004E-3</v>
      </c>
      <c r="Q253" s="273">
        <v>428.62323172127884</v>
      </c>
      <c r="R253" s="273">
        <v>434.91307957454268</v>
      </c>
      <c r="S253" s="273">
        <v>381.5414372605141</v>
      </c>
      <c r="T253" s="273">
        <v>353.49165625503792</v>
      </c>
      <c r="U253" s="273">
        <v>327.12018103590378</v>
      </c>
      <c r="V253" s="273">
        <f t="shared" si="120"/>
        <v>302.85159780092613</v>
      </c>
      <c r="W253" s="273">
        <f t="shared" si="121"/>
        <v>293.31796932870395</v>
      </c>
      <c r="X253" s="273">
        <f t="shared" si="122"/>
        <v>274.88628761574097</v>
      </c>
      <c r="Y253" s="273">
        <f t="shared" si="123"/>
        <v>251.05221643518539</v>
      </c>
      <c r="Z253" s="273">
        <f t="shared" si="124"/>
        <v>230.71380902777796</v>
      </c>
      <c r="AA253" s="273">
        <f t="shared" si="125"/>
        <v>213.55327777777796</v>
      </c>
      <c r="AB253" s="100">
        <v>606</v>
      </c>
      <c r="AC253" s="101" t="s">
        <v>267</v>
      </c>
      <c r="AD253" s="159"/>
      <c r="AE253" s="159"/>
      <c r="AF253" s="164"/>
      <c r="AG253" s="164"/>
      <c r="AH253" s="164"/>
      <c r="AI253" s="159">
        <f t="shared" si="126"/>
        <v>9207585.5155749545</v>
      </c>
      <c r="AJ253" s="159">
        <f t="shared" si="127"/>
        <v>9017746.7812748272</v>
      </c>
      <c r="AK253" s="159">
        <f t="shared" si="128"/>
        <v>8617648.3379541263</v>
      </c>
      <c r="AL253" s="159">
        <f t="shared" si="129"/>
        <v>8085822.4186955821</v>
      </c>
      <c r="AM253" s="159">
        <f t="shared" si="130"/>
        <v>7653535.6773481779</v>
      </c>
      <c r="AN253" s="159">
        <f t="shared" si="131"/>
        <v>7309670.2862004489</v>
      </c>
    </row>
    <row r="254" spans="1:40" x14ac:dyDescent="0.35">
      <c r="A254" s="46">
        <v>1676</v>
      </c>
      <c r="B254" s="240" t="s">
        <v>269</v>
      </c>
      <c r="C254" s="364">
        <v>153.40393518518499</v>
      </c>
      <c r="D254" s="365">
        <v>2.4774891138222436E-3</v>
      </c>
      <c r="E254" s="191">
        <v>0.93899999999999995</v>
      </c>
      <c r="F254" s="191">
        <v>0.88600000000000001</v>
      </c>
      <c r="G254" s="191">
        <v>0.83099999999999996</v>
      </c>
      <c r="H254" s="191">
        <v>0.79400000000000004</v>
      </c>
      <c r="I254" s="191">
        <v>0.746</v>
      </c>
      <c r="J254" s="191">
        <v>0.69499999999999995</v>
      </c>
      <c r="K254" s="361">
        <v>2.3263622778790867E-3</v>
      </c>
      <c r="L254" s="362">
        <v>2.1950553548465077E-3</v>
      </c>
      <c r="M254" s="362">
        <v>2.0587934535862842E-3</v>
      </c>
      <c r="N254" s="362">
        <v>1.9671263563748615E-3</v>
      </c>
      <c r="O254" s="362">
        <v>1.8482068789113938E-3</v>
      </c>
      <c r="P254" s="363">
        <v>1.7218549341064592E-3</v>
      </c>
      <c r="Q254" s="273">
        <v>206.69279619345906</v>
      </c>
      <c r="R254" s="273">
        <v>193.10350123914327</v>
      </c>
      <c r="S254" s="273">
        <v>184.28391963534517</v>
      </c>
      <c r="T254" s="273">
        <v>166.72310421371495</v>
      </c>
      <c r="U254" s="273">
        <v>156.05456906933489</v>
      </c>
      <c r="V254" s="273">
        <f t="shared" si="120"/>
        <v>144.04629513888869</v>
      </c>
      <c r="W254" s="273">
        <f t="shared" si="121"/>
        <v>135.91588657407391</v>
      </c>
      <c r="X254" s="273">
        <f t="shared" si="122"/>
        <v>127.47867013888872</v>
      </c>
      <c r="Y254" s="273">
        <f t="shared" si="123"/>
        <v>121.80272453703689</v>
      </c>
      <c r="Z254" s="273">
        <f t="shared" si="124"/>
        <v>114.439335648148</v>
      </c>
      <c r="AA254" s="273">
        <f t="shared" si="125"/>
        <v>106.61573495370357</v>
      </c>
      <c r="AB254" s="100">
        <v>1676</v>
      </c>
      <c r="AC254" s="101" t="s">
        <v>269</v>
      </c>
      <c r="AD254" s="159"/>
      <c r="AE254" s="159"/>
      <c r="AF254" s="164"/>
      <c r="AG254" s="164"/>
      <c r="AH254" s="164"/>
      <c r="AI254" s="159">
        <f t="shared" si="126"/>
        <v>4379433.9878797587</v>
      </c>
      <c r="AJ254" s="159">
        <f t="shared" si="127"/>
        <v>4178588.3472551624</v>
      </c>
      <c r="AK254" s="159">
        <f t="shared" si="128"/>
        <v>3996439.2526653223</v>
      </c>
      <c r="AL254" s="159">
        <f t="shared" si="129"/>
        <v>3922989.4669105317</v>
      </c>
      <c r="AM254" s="159">
        <f t="shared" si="130"/>
        <v>3796329.062252488</v>
      </c>
      <c r="AN254" s="159">
        <f t="shared" si="131"/>
        <v>3649327.5961021334</v>
      </c>
    </row>
    <row r="255" spans="1:40" x14ac:dyDescent="0.35">
      <c r="A255" s="46">
        <v>518</v>
      </c>
      <c r="B255" s="240" t="s">
        <v>270</v>
      </c>
      <c r="C255" s="364">
        <v>1354.34837962964</v>
      </c>
      <c r="D255" s="365">
        <v>2.1872863709817499E-2</v>
      </c>
      <c r="E255" s="191">
        <v>0.94099999999999995</v>
      </c>
      <c r="F255" s="191">
        <v>0.88400000000000001</v>
      </c>
      <c r="G255" s="191">
        <v>0.83299999999999996</v>
      </c>
      <c r="H255" s="191">
        <v>0.77400000000000002</v>
      </c>
      <c r="I255" s="191">
        <v>0.71699999999999997</v>
      </c>
      <c r="J255" s="191">
        <v>0.65700000000000003</v>
      </c>
      <c r="K255" s="361">
        <v>2.0582364750938265E-2</v>
      </c>
      <c r="L255" s="362">
        <v>1.9335611519478671E-2</v>
      </c>
      <c r="M255" s="362">
        <v>1.8220095470277975E-2</v>
      </c>
      <c r="N255" s="362">
        <v>1.6929596511398744E-2</v>
      </c>
      <c r="O255" s="362">
        <v>1.5682843279939147E-2</v>
      </c>
      <c r="P255" s="363">
        <v>1.4370471457350098E-2</v>
      </c>
      <c r="Q255" s="273">
        <v>1776.952176014313</v>
      </c>
      <c r="R255" s="273">
        <v>1692.8147183242643</v>
      </c>
      <c r="S255" s="273">
        <v>1588.8290989432214</v>
      </c>
      <c r="T255" s="273">
        <v>1468.2886095865836</v>
      </c>
      <c r="U255" s="273">
        <v>1366.6355011916376</v>
      </c>
      <c r="V255" s="273">
        <f t="shared" si="120"/>
        <v>1274.4418252314913</v>
      </c>
      <c r="W255" s="273">
        <f t="shared" si="121"/>
        <v>1197.2439675926018</v>
      </c>
      <c r="X255" s="273">
        <f t="shared" si="122"/>
        <v>1128.17220023149</v>
      </c>
      <c r="Y255" s="273">
        <f t="shared" si="123"/>
        <v>1048.2656458333413</v>
      </c>
      <c r="Z255" s="273">
        <f t="shared" si="124"/>
        <v>971.06778819445185</v>
      </c>
      <c r="AA255" s="273">
        <f t="shared" si="125"/>
        <v>889.80688541667348</v>
      </c>
      <c r="AB255" s="100">
        <v>518</v>
      </c>
      <c r="AC255" s="101" t="s">
        <v>270</v>
      </c>
      <c r="AD255" s="159"/>
      <c r="AE255" s="159"/>
      <c r="AF255" s="164"/>
      <c r="AG255" s="164"/>
      <c r="AH255" s="164"/>
      <c r="AI255" s="159">
        <f t="shared" si="126"/>
        <v>38746805.94605238</v>
      </c>
      <c r="AJ255" s="159">
        <f t="shared" si="127"/>
        <v>36807983.363132991</v>
      </c>
      <c r="AK255" s="159">
        <f t="shared" si="128"/>
        <v>35368047.53186322</v>
      </c>
      <c r="AL255" s="159">
        <f t="shared" si="129"/>
        <v>33762258.62565098</v>
      </c>
      <c r="AM255" s="159">
        <f t="shared" si="130"/>
        <v>32213511.594249636</v>
      </c>
      <c r="AN255" s="159">
        <f t="shared" si="131"/>
        <v>30457012.968703039</v>
      </c>
    </row>
    <row r="256" spans="1:40" x14ac:dyDescent="0.35">
      <c r="A256" s="46">
        <v>796</v>
      </c>
      <c r="B256" s="240" t="s">
        <v>271</v>
      </c>
      <c r="C256" s="364">
        <v>732.34664351851802</v>
      </c>
      <c r="D256" s="365">
        <v>1.1827472578660497E-2</v>
      </c>
      <c r="E256" s="191">
        <v>0.95499999999999996</v>
      </c>
      <c r="F256" s="191">
        <v>0.91100000000000003</v>
      </c>
      <c r="G256" s="191">
        <v>0.85</v>
      </c>
      <c r="H256" s="191">
        <v>0.79200000000000004</v>
      </c>
      <c r="I256" s="191">
        <v>0.73099999999999998</v>
      </c>
      <c r="J256" s="191">
        <v>0.68500000000000005</v>
      </c>
      <c r="K256" s="361">
        <v>1.1295236312620773E-2</v>
      </c>
      <c r="L256" s="362">
        <v>1.0774827519159712E-2</v>
      </c>
      <c r="M256" s="362">
        <v>1.0053351691861423E-2</v>
      </c>
      <c r="N256" s="362">
        <v>9.3673582822991139E-3</v>
      </c>
      <c r="O256" s="362">
        <v>8.6458824550008223E-3</v>
      </c>
      <c r="P256" s="363">
        <v>8.1018187163824414E-3</v>
      </c>
      <c r="Q256" s="273">
        <v>940.65241044981121</v>
      </c>
      <c r="R256" s="273">
        <v>880.77969735632246</v>
      </c>
      <c r="S256" s="273">
        <v>830.12330685027166</v>
      </c>
      <c r="T256" s="273">
        <v>781.29782174345894</v>
      </c>
      <c r="U256" s="273">
        <v>733.477670373455</v>
      </c>
      <c r="V256" s="273">
        <f t="shared" si="120"/>
        <v>699.3910445601847</v>
      </c>
      <c r="W256" s="273">
        <f t="shared" si="121"/>
        <v>667.16779224536992</v>
      </c>
      <c r="X256" s="273">
        <f t="shared" si="122"/>
        <v>622.49464699074031</v>
      </c>
      <c r="Y256" s="273">
        <f t="shared" si="123"/>
        <v>580.01854166666635</v>
      </c>
      <c r="Z256" s="273">
        <f t="shared" si="124"/>
        <v>535.34539641203662</v>
      </c>
      <c r="AA256" s="273">
        <f t="shared" si="125"/>
        <v>501.65745081018491</v>
      </c>
      <c r="AB256" s="100">
        <v>796</v>
      </c>
      <c r="AC256" s="101" t="s">
        <v>271</v>
      </c>
      <c r="AD256" s="159"/>
      <c r="AE256" s="159"/>
      <c r="AF256" s="164"/>
      <c r="AG256" s="164"/>
      <c r="AH256" s="164"/>
      <c r="AI256" s="159">
        <f t="shared" si="126"/>
        <v>21263559.110717367</v>
      </c>
      <c r="AJ256" s="159">
        <f t="shared" si="127"/>
        <v>20511359.139912605</v>
      </c>
      <c r="AK256" s="159">
        <f t="shared" si="128"/>
        <v>19515123.895608634</v>
      </c>
      <c r="AL256" s="159">
        <f t="shared" si="129"/>
        <v>18681081.545751877</v>
      </c>
      <c r="AM256" s="159">
        <f t="shared" si="130"/>
        <v>17759167.11881911</v>
      </c>
      <c r="AN256" s="159">
        <f t="shared" si="131"/>
        <v>17171127.505961649</v>
      </c>
    </row>
    <row r="257" spans="1:40" x14ac:dyDescent="0.35">
      <c r="A257" s="46">
        <v>965</v>
      </c>
      <c r="B257" s="240" t="s">
        <v>272</v>
      </c>
      <c r="C257" s="364">
        <v>82.1041666666667</v>
      </c>
      <c r="D257" s="365">
        <v>1.3259906199313617E-3</v>
      </c>
      <c r="E257" s="191">
        <v>0.91900000000000004</v>
      </c>
      <c r="F257" s="191">
        <v>0.85799999999999998</v>
      </c>
      <c r="G257" s="191">
        <v>0.76400000000000001</v>
      </c>
      <c r="H257" s="191">
        <v>0.70199999999999996</v>
      </c>
      <c r="I257" s="191">
        <v>0.65400000000000003</v>
      </c>
      <c r="J257" s="191">
        <v>0.56799999999999995</v>
      </c>
      <c r="K257" s="361">
        <v>1.2185853797169214E-3</v>
      </c>
      <c r="L257" s="362">
        <v>1.1376999519011083E-3</v>
      </c>
      <c r="M257" s="362">
        <v>1.0130568336275602E-3</v>
      </c>
      <c r="N257" s="362">
        <v>9.3084541519181585E-4</v>
      </c>
      <c r="O257" s="362">
        <v>8.6719786543511051E-4</v>
      </c>
      <c r="P257" s="363">
        <v>7.531626721210134E-4</v>
      </c>
      <c r="Q257" s="273">
        <v>113.78971987656823</v>
      </c>
      <c r="R257" s="273">
        <v>101.77206278539421</v>
      </c>
      <c r="S257" s="273">
        <v>95.146250107123521</v>
      </c>
      <c r="T257" s="273">
        <v>85.953048362334712</v>
      </c>
      <c r="U257" s="273">
        <v>83.462057318169954</v>
      </c>
      <c r="V257" s="273">
        <f t="shared" si="120"/>
        <v>75.453729166666704</v>
      </c>
      <c r="W257" s="273">
        <f t="shared" si="121"/>
        <v>70.445375000000027</v>
      </c>
      <c r="X257" s="273">
        <f t="shared" si="122"/>
        <v>62.727583333333357</v>
      </c>
      <c r="Y257" s="273">
        <f t="shared" si="123"/>
        <v>57.637125000000019</v>
      </c>
      <c r="Z257" s="273">
        <f t="shared" si="124"/>
        <v>53.696125000000023</v>
      </c>
      <c r="AA257" s="273">
        <f t="shared" si="125"/>
        <v>46.635166666666684</v>
      </c>
      <c r="AB257" s="100">
        <v>965</v>
      </c>
      <c r="AC257" s="101" t="s">
        <v>272</v>
      </c>
      <c r="AD257" s="159"/>
      <c r="AE257" s="159"/>
      <c r="AF257" s="164"/>
      <c r="AG257" s="164"/>
      <c r="AH257" s="164"/>
      <c r="AI257" s="159">
        <f t="shared" si="126"/>
        <v>2294016.834699993</v>
      </c>
      <c r="AJ257" s="159">
        <f t="shared" si="127"/>
        <v>2165767.5972454725</v>
      </c>
      <c r="AK257" s="159">
        <f t="shared" si="128"/>
        <v>1966501.3447743347</v>
      </c>
      <c r="AL257" s="159">
        <f t="shared" si="129"/>
        <v>1856361.0554479174</v>
      </c>
      <c r="AM257" s="159">
        <f t="shared" si="130"/>
        <v>1781277.0295572875</v>
      </c>
      <c r="AN257" s="159">
        <f t="shared" si="131"/>
        <v>1596265.3236821981</v>
      </c>
    </row>
    <row r="259" spans="1:40" x14ac:dyDescent="0.35">
      <c r="A259" s="46">
        <v>845</v>
      </c>
      <c r="B259" s="240" t="s">
        <v>274</v>
      </c>
      <c r="C259" s="364">
        <v>138.529513888889</v>
      </c>
      <c r="D259" s="365">
        <v>2.2372657010949672E-3</v>
      </c>
      <c r="E259" s="191">
        <v>0.93700000000000006</v>
      </c>
      <c r="F259" s="191">
        <v>0.89500000000000002</v>
      </c>
      <c r="G259" s="191">
        <v>0.83599999999999997</v>
      </c>
      <c r="H259" s="191">
        <v>0.78300000000000003</v>
      </c>
      <c r="I259" s="191">
        <v>0.72799999999999998</v>
      </c>
      <c r="J259" s="191">
        <v>0.69299999999999995</v>
      </c>
      <c r="K259" s="361">
        <v>2.0963179619259845E-3</v>
      </c>
      <c r="L259" s="362">
        <v>2.0023528024799959E-3</v>
      </c>
      <c r="M259" s="362">
        <v>1.8703541261153925E-3</v>
      </c>
      <c r="N259" s="362">
        <v>1.7517790439573594E-3</v>
      </c>
      <c r="O259" s="362">
        <v>1.6287294303971361E-3</v>
      </c>
      <c r="P259" s="363">
        <v>1.5504251308588121E-3</v>
      </c>
      <c r="Q259" s="273">
        <v>190.54227862195987</v>
      </c>
      <c r="R259" s="273">
        <v>180.30694891035708</v>
      </c>
      <c r="S259" s="273">
        <v>162.99126663319683</v>
      </c>
      <c r="T259" s="273">
        <v>152.23157573539066</v>
      </c>
      <c r="U259" s="273">
        <v>139.52381017217857</v>
      </c>
      <c r="V259" s="273">
        <f t="shared" si="120"/>
        <v>129.80215451388901</v>
      </c>
      <c r="W259" s="273">
        <f t="shared" si="121"/>
        <v>123.98391493055566</v>
      </c>
      <c r="X259" s="273">
        <f t="shared" si="122"/>
        <v>115.8106736111112</v>
      </c>
      <c r="Y259" s="273">
        <f t="shared" si="123"/>
        <v>108.46860937500009</v>
      </c>
      <c r="Z259" s="273">
        <f t="shared" si="124"/>
        <v>100.84948611111119</v>
      </c>
      <c r="AA259" s="273">
        <f t="shared" si="125"/>
        <v>96.000953125000066</v>
      </c>
      <c r="AB259" s="100">
        <v>845</v>
      </c>
      <c r="AC259" s="101" t="s">
        <v>274</v>
      </c>
      <c r="AD259" s="159"/>
      <c r="AE259" s="159"/>
      <c r="AF259" s="164"/>
      <c r="AG259" s="164"/>
      <c r="AH259" s="164"/>
      <c r="AI259" s="159">
        <f t="shared" si="126"/>
        <v>3946369.9266269873</v>
      </c>
      <c r="AJ259" s="159">
        <f t="shared" ref="AJ259:AJ284" si="139">+W259*AJ$8</f>
        <v>3811752.6599331256</v>
      </c>
      <c r="AK259" s="159">
        <f t="shared" ref="AK259:AK284" si="140">+X259*AK$8</f>
        <v>3630649.1226555831</v>
      </c>
      <c r="AL259" s="159">
        <f t="shared" ref="AL259:AL284" si="141">+Y259*AL$8</f>
        <v>3493527.8638957608</v>
      </c>
      <c r="AM259" s="159">
        <f t="shared" ref="AM259:AM284" si="142">+Z259*AM$8</f>
        <v>3345509.0670393626</v>
      </c>
      <c r="AN259" s="159">
        <f t="shared" ref="AN259:AN284" si="143">+AA259*AN$8</f>
        <v>3285996.4586212342</v>
      </c>
    </row>
    <row r="260" spans="1:40" x14ac:dyDescent="0.35">
      <c r="A260" s="46">
        <v>1883</v>
      </c>
      <c r="B260" s="240" t="s">
        <v>275</v>
      </c>
      <c r="C260" s="364">
        <v>459.40625</v>
      </c>
      <c r="D260" s="365">
        <v>7.4194575375327101E-3</v>
      </c>
      <c r="E260" s="191">
        <v>0.92200000000000004</v>
      </c>
      <c r="F260" s="191">
        <v>0.86899999999999999</v>
      </c>
      <c r="G260" s="191">
        <v>0.81100000000000005</v>
      </c>
      <c r="H260" s="191">
        <v>0.749</v>
      </c>
      <c r="I260" s="191">
        <v>0.67600000000000005</v>
      </c>
      <c r="J260" s="191">
        <v>0.626</v>
      </c>
      <c r="K260" s="361">
        <v>6.840739849605159E-3</v>
      </c>
      <c r="L260" s="362">
        <v>6.4475086001159251E-3</v>
      </c>
      <c r="M260" s="362">
        <v>6.0171800629390286E-3</v>
      </c>
      <c r="N260" s="362">
        <v>5.5571736956119997E-3</v>
      </c>
      <c r="O260" s="362">
        <v>5.015553295372112E-3</v>
      </c>
      <c r="P260" s="363">
        <v>4.6445804184954767E-3</v>
      </c>
      <c r="Q260" s="273">
        <v>597.6457726072714</v>
      </c>
      <c r="R260" s="273">
        <v>566.49449474629387</v>
      </c>
      <c r="S260" s="273">
        <v>527.83692438316643</v>
      </c>
      <c r="T260" s="273">
        <v>500.63100795481961</v>
      </c>
      <c r="U260" s="273">
        <v>466.35803049858578</v>
      </c>
      <c r="V260" s="273">
        <f t="shared" si="120"/>
        <v>423.5725625</v>
      </c>
      <c r="W260" s="273">
        <f t="shared" si="121"/>
        <v>399.22403125</v>
      </c>
      <c r="X260" s="273">
        <f t="shared" si="122"/>
        <v>372.57846875000001</v>
      </c>
      <c r="Y260" s="273">
        <f t="shared" si="123"/>
        <v>344.09528125000003</v>
      </c>
      <c r="Z260" s="273">
        <f t="shared" si="124"/>
        <v>310.55862500000001</v>
      </c>
      <c r="AA260" s="273">
        <f t="shared" si="125"/>
        <v>287.58831249999997</v>
      </c>
      <c r="AB260" s="100">
        <v>1883</v>
      </c>
      <c r="AC260" s="101" t="s">
        <v>275</v>
      </c>
      <c r="AD260" s="159"/>
      <c r="AE260" s="159"/>
      <c r="AF260" s="164"/>
      <c r="AG260" s="164"/>
      <c r="AH260" s="164"/>
      <c r="AI260" s="159">
        <f t="shared" si="126"/>
        <v>12877860.376466012</v>
      </c>
      <c r="AJ260" s="159">
        <f t="shared" si="139"/>
        <v>12273715.214419167</v>
      </c>
      <c r="AK260" s="159">
        <f t="shared" si="140"/>
        <v>11680285.145649703</v>
      </c>
      <c r="AL260" s="159">
        <f t="shared" si="141"/>
        <v>11082528.482742639</v>
      </c>
      <c r="AM260" s="159">
        <f t="shared" si="142"/>
        <v>10302250.768438045</v>
      </c>
      <c r="AN260" s="159">
        <f t="shared" si="143"/>
        <v>9843799.9379587527</v>
      </c>
    </row>
    <row r="261" spans="1:40" x14ac:dyDescent="0.35">
      <c r="A261" s="46">
        <v>610</v>
      </c>
      <c r="B261" s="240" t="s">
        <v>276</v>
      </c>
      <c r="C261" s="364">
        <v>80.754629629629605</v>
      </c>
      <c r="D261" s="365">
        <v>1.3041954598924539E-3</v>
      </c>
      <c r="E261" s="191">
        <v>0.93400000000000005</v>
      </c>
      <c r="F261" s="191">
        <v>0.86199999999999999</v>
      </c>
      <c r="G261" s="191">
        <v>0.81299999999999994</v>
      </c>
      <c r="H261" s="191">
        <v>0.76300000000000001</v>
      </c>
      <c r="I261" s="191">
        <v>0.70199999999999996</v>
      </c>
      <c r="J261" s="191">
        <v>0.65800000000000003</v>
      </c>
      <c r="K261" s="361">
        <v>1.2181185595395521E-3</v>
      </c>
      <c r="L261" s="362">
        <v>1.1242164864272953E-3</v>
      </c>
      <c r="M261" s="362">
        <v>1.060310908892565E-3</v>
      </c>
      <c r="N261" s="362">
        <v>9.9510113589794239E-4</v>
      </c>
      <c r="O261" s="362">
        <v>9.1554521284450258E-4</v>
      </c>
      <c r="P261" s="363">
        <v>8.5816061260923478E-4</v>
      </c>
      <c r="Q261" s="273">
        <v>97.181298503123983</v>
      </c>
      <c r="R261" s="273">
        <v>95.5347222222222</v>
      </c>
      <c r="S261" s="273">
        <v>85.395274645123976</v>
      </c>
      <c r="T261" s="273">
        <v>82.059539968338683</v>
      </c>
      <c r="U261" s="273">
        <v>81.777772126904267</v>
      </c>
      <c r="V261" s="273">
        <f t="shared" si="120"/>
        <v>75.424824074074053</v>
      </c>
      <c r="W261" s="273">
        <f t="shared" si="121"/>
        <v>69.610490740740715</v>
      </c>
      <c r="X261" s="273">
        <f t="shared" si="122"/>
        <v>65.653513888888867</v>
      </c>
      <c r="Y261" s="273">
        <f t="shared" si="123"/>
        <v>61.615782407407387</v>
      </c>
      <c r="Z261" s="273">
        <f t="shared" si="124"/>
        <v>56.689749999999982</v>
      </c>
      <c r="AA261" s="273">
        <f t="shared" si="125"/>
        <v>53.136546296296281</v>
      </c>
      <c r="AB261" s="100">
        <v>610</v>
      </c>
      <c r="AC261" s="101" t="s">
        <v>276</v>
      </c>
      <c r="AD261" s="159"/>
      <c r="AE261" s="159"/>
      <c r="AF261" s="164"/>
      <c r="AG261" s="164"/>
      <c r="AH261" s="164"/>
      <c r="AI261" s="159">
        <f t="shared" si="126"/>
        <v>2293138.0342782186</v>
      </c>
      <c r="AJ261" s="159">
        <f t="shared" si="139"/>
        <v>2140099.9749756772</v>
      </c>
      <c r="AK261" s="159">
        <f t="shared" si="140"/>
        <v>2058228.8762119859</v>
      </c>
      <c r="AL261" s="159">
        <f t="shared" si="141"/>
        <v>1984504.5855785478</v>
      </c>
      <c r="AM261" s="159">
        <f t="shared" si="142"/>
        <v>1880585.414428791</v>
      </c>
      <c r="AN261" s="159">
        <f t="shared" si="143"/>
        <v>1818799.6813494421</v>
      </c>
    </row>
    <row r="262" spans="1:40" x14ac:dyDescent="0.35">
      <c r="A262" s="46">
        <v>1714</v>
      </c>
      <c r="B262" s="240" t="s">
        <v>277</v>
      </c>
      <c r="C262" s="364">
        <v>65.0277777777778</v>
      </c>
      <c r="D262" s="365">
        <v>1.0502052072263613E-3</v>
      </c>
      <c r="E262" s="191">
        <v>0.95499999999999996</v>
      </c>
      <c r="F262" s="191">
        <v>0.876</v>
      </c>
      <c r="G262" s="191">
        <v>0.84399999999999997</v>
      </c>
      <c r="H262" s="191">
        <v>0.751</v>
      </c>
      <c r="I262" s="191">
        <v>0.68700000000000006</v>
      </c>
      <c r="J262" s="191">
        <v>0.64800000000000002</v>
      </c>
      <c r="K262" s="361">
        <v>1.0029459729011751E-3</v>
      </c>
      <c r="L262" s="362">
        <v>9.1997976153029252E-4</v>
      </c>
      <c r="M262" s="362">
        <v>8.8637319489904892E-4</v>
      </c>
      <c r="N262" s="362">
        <v>7.8870411062699735E-4</v>
      </c>
      <c r="O262" s="362">
        <v>7.2149097736451027E-4</v>
      </c>
      <c r="P262" s="363">
        <v>6.8053297428268217E-4</v>
      </c>
      <c r="Q262" s="273">
        <v>94.349537037037081</v>
      </c>
      <c r="R262" s="273">
        <v>89.606481481481495</v>
      </c>
      <c r="S262" s="273">
        <v>80.69993686267189</v>
      </c>
      <c r="T262" s="273">
        <v>71.402533304547447</v>
      </c>
      <c r="U262" s="273">
        <v>66.921293821540885</v>
      </c>
      <c r="V262" s="273">
        <f t="shared" si="120"/>
        <v>62.101527777777797</v>
      </c>
      <c r="W262" s="273">
        <f t="shared" si="121"/>
        <v>56.96433333333335</v>
      </c>
      <c r="X262" s="273">
        <f t="shared" si="122"/>
        <v>54.883444444444464</v>
      </c>
      <c r="Y262" s="273">
        <f t="shared" si="123"/>
        <v>48.835861111111129</v>
      </c>
      <c r="Z262" s="273">
        <f t="shared" si="124"/>
        <v>44.67408333333335</v>
      </c>
      <c r="AA262" s="273">
        <f t="shared" si="125"/>
        <v>42.138000000000012</v>
      </c>
      <c r="AB262" s="100">
        <v>1714</v>
      </c>
      <c r="AC262" s="101" t="s">
        <v>277</v>
      </c>
      <c r="AD262" s="159"/>
      <c r="AE262" s="159"/>
      <c r="AF262" s="164"/>
      <c r="AG262" s="164"/>
      <c r="AH262" s="164"/>
      <c r="AI262" s="159">
        <f t="shared" si="126"/>
        <v>1888070.3678426952</v>
      </c>
      <c r="AJ262" s="159">
        <f t="shared" si="139"/>
        <v>1751307.4113385514</v>
      </c>
      <c r="AK262" s="159">
        <f t="shared" si="140"/>
        <v>1720588.6401253168</v>
      </c>
      <c r="AL262" s="159">
        <f t="shared" si="141"/>
        <v>1572892.3098771865</v>
      </c>
      <c r="AM262" s="159">
        <f t="shared" si="142"/>
        <v>1481986.2412454293</v>
      </c>
      <c r="AN262" s="159">
        <f t="shared" si="143"/>
        <v>1442332.7505206112</v>
      </c>
    </row>
    <row r="263" spans="1:40" x14ac:dyDescent="0.35">
      <c r="A263" s="46">
        <v>90</v>
      </c>
      <c r="B263" s="240" t="s">
        <v>278</v>
      </c>
      <c r="C263" s="364">
        <v>359.67361111111097</v>
      </c>
      <c r="D263" s="365">
        <v>5.8087653030622485E-3</v>
      </c>
      <c r="E263" s="191">
        <v>0.95499999999999996</v>
      </c>
      <c r="F263" s="191">
        <v>0.91900000000000004</v>
      </c>
      <c r="G263" s="191">
        <v>0.87</v>
      </c>
      <c r="H263" s="191">
        <v>0.81899999999999995</v>
      </c>
      <c r="I263" s="191">
        <v>0.77200000000000002</v>
      </c>
      <c r="J263" s="191">
        <v>0.71499999999999997</v>
      </c>
      <c r="K263" s="361">
        <v>5.5473708644244472E-3</v>
      </c>
      <c r="L263" s="362">
        <v>5.3382553135142069E-3</v>
      </c>
      <c r="M263" s="362">
        <v>5.053625813664156E-3</v>
      </c>
      <c r="N263" s="362">
        <v>4.7573787832079816E-3</v>
      </c>
      <c r="O263" s="362">
        <v>4.4843668139640559E-3</v>
      </c>
      <c r="P263" s="363">
        <v>4.1532671916895076E-3</v>
      </c>
      <c r="Q263" s="273">
        <v>437.18413271762495</v>
      </c>
      <c r="R263" s="273">
        <v>421.24680059312209</v>
      </c>
      <c r="S263" s="273">
        <v>400.33917160060435</v>
      </c>
      <c r="T263" s="273">
        <v>386.09147629633566</v>
      </c>
      <c r="U263" s="273">
        <v>365.00534945871226</v>
      </c>
      <c r="V263" s="273">
        <f t="shared" si="120"/>
        <v>343.48829861111096</v>
      </c>
      <c r="W263" s="273">
        <f t="shared" si="121"/>
        <v>330.54004861111099</v>
      </c>
      <c r="X263" s="273">
        <f t="shared" si="122"/>
        <v>312.91604166666656</v>
      </c>
      <c r="Y263" s="273">
        <f t="shared" si="123"/>
        <v>294.57268749999986</v>
      </c>
      <c r="Z263" s="273">
        <f t="shared" si="124"/>
        <v>277.6680277777777</v>
      </c>
      <c r="AA263" s="273">
        <f t="shared" si="125"/>
        <v>257.16663194444436</v>
      </c>
      <c r="AB263" s="100">
        <v>90</v>
      </c>
      <c r="AC263" s="101" t="s">
        <v>278</v>
      </c>
      <c r="AD263" s="159"/>
      <c r="AE263" s="159"/>
      <c r="AF263" s="164"/>
      <c r="AG263" s="164"/>
      <c r="AH263" s="164"/>
      <c r="AI263" s="159">
        <f t="shared" si="126"/>
        <v>10443061.572156839</v>
      </c>
      <c r="AJ263" s="159">
        <f t="shared" si="139"/>
        <v>10162099.738611475</v>
      </c>
      <c r="AK263" s="159">
        <f t="shared" si="140"/>
        <v>9809876.0392059516</v>
      </c>
      <c r="AL263" s="159">
        <f t="shared" si="141"/>
        <v>9487518.0723124053</v>
      </c>
      <c r="AM263" s="159">
        <f t="shared" si="142"/>
        <v>9211161.5078933537</v>
      </c>
      <c r="AN263" s="159">
        <f t="shared" si="143"/>
        <v>8802502.6245799996</v>
      </c>
    </row>
    <row r="264" spans="1:40" x14ac:dyDescent="0.35">
      <c r="A264" s="46">
        <v>342</v>
      </c>
      <c r="B264" s="240" t="s">
        <v>279</v>
      </c>
      <c r="C264" s="364">
        <v>96.981481481481495</v>
      </c>
      <c r="D264" s="365">
        <v>1.5662607632762218E-3</v>
      </c>
      <c r="E264" s="191">
        <v>0.96</v>
      </c>
      <c r="F264" s="191">
        <v>0.89600000000000002</v>
      </c>
      <c r="G264" s="191">
        <v>0.85399999999999998</v>
      </c>
      <c r="H264" s="191">
        <v>0.82</v>
      </c>
      <c r="I264" s="191">
        <v>0.78100000000000003</v>
      </c>
      <c r="J264" s="191">
        <v>0.70899999999999996</v>
      </c>
      <c r="K264" s="361">
        <v>1.5036103327451728E-3</v>
      </c>
      <c r="L264" s="362">
        <v>1.4033696438954949E-3</v>
      </c>
      <c r="M264" s="362">
        <v>1.3375866918378934E-3</v>
      </c>
      <c r="N264" s="362">
        <v>1.2843338258865019E-3</v>
      </c>
      <c r="O264" s="362">
        <v>1.2232496561187293E-3</v>
      </c>
      <c r="P264" s="363">
        <v>1.1104788811628413E-3</v>
      </c>
      <c r="Q264" s="273">
        <v>122.55315391406155</v>
      </c>
      <c r="R264" s="273">
        <v>114.80317832458324</v>
      </c>
      <c r="S264" s="273">
        <v>106.29788116251981</v>
      </c>
      <c r="T264" s="273">
        <v>103.46111363901295</v>
      </c>
      <c r="U264" s="273">
        <v>101.08166122771111</v>
      </c>
      <c r="V264" s="273">
        <f t="shared" si="120"/>
        <v>93.102222222222238</v>
      </c>
      <c r="W264" s="273">
        <f t="shared" si="121"/>
        <v>86.895407407407419</v>
      </c>
      <c r="X264" s="273">
        <f t="shared" si="122"/>
        <v>82.822185185185191</v>
      </c>
      <c r="Y264" s="273">
        <f t="shared" si="123"/>
        <v>79.524814814814818</v>
      </c>
      <c r="Z264" s="273">
        <f t="shared" si="124"/>
        <v>75.742537037037053</v>
      </c>
      <c r="AA264" s="273">
        <f t="shared" si="125"/>
        <v>68.759870370370379</v>
      </c>
      <c r="AB264" s="100">
        <v>342</v>
      </c>
      <c r="AC264" s="101" t="s">
        <v>279</v>
      </c>
      <c r="AD264" s="159"/>
      <c r="AE264" s="159"/>
      <c r="AF264" s="164"/>
      <c r="AG264" s="164"/>
      <c r="AH264" s="164"/>
      <c r="AI264" s="159">
        <f t="shared" si="126"/>
        <v>2830583.292364432</v>
      </c>
      <c r="AJ264" s="159">
        <f t="shared" si="139"/>
        <v>2671506.2232603226</v>
      </c>
      <c r="AK264" s="159">
        <f t="shared" si="140"/>
        <v>2596464.4242442348</v>
      </c>
      <c r="AL264" s="159">
        <f t="shared" si="141"/>
        <v>2561313.895582574</v>
      </c>
      <c r="AM264" s="159">
        <f t="shared" si="142"/>
        <v>2512629.0097184135</v>
      </c>
      <c r="AN264" s="159">
        <f t="shared" si="143"/>
        <v>2353567.1592561812</v>
      </c>
    </row>
    <row r="265" spans="1:40" x14ac:dyDescent="0.35">
      <c r="A265" s="46">
        <v>847</v>
      </c>
      <c r="B265" s="240" t="s">
        <v>280</v>
      </c>
      <c r="C265" s="364">
        <v>49.258101851851897</v>
      </c>
      <c r="D265" s="365">
        <v>7.9552334142009718E-4</v>
      </c>
      <c r="E265" s="191">
        <v>0.95899999999999996</v>
      </c>
      <c r="F265" s="191">
        <v>0.92300000000000004</v>
      </c>
      <c r="G265" s="191">
        <v>0.85899999999999999</v>
      </c>
      <c r="H265" s="191">
        <v>0.82199999999999995</v>
      </c>
      <c r="I265" s="191">
        <v>0.71099999999999997</v>
      </c>
      <c r="J265" s="191">
        <v>0.67100000000000004</v>
      </c>
      <c r="K265" s="361">
        <v>7.6290688442187313E-4</v>
      </c>
      <c r="L265" s="362">
        <v>7.3426804413074978E-4</v>
      </c>
      <c r="M265" s="362">
        <v>6.8335455027986351E-4</v>
      </c>
      <c r="N265" s="362">
        <v>6.5392018664731989E-4</v>
      </c>
      <c r="O265" s="362">
        <v>5.6561709574968902E-4</v>
      </c>
      <c r="P265" s="363">
        <v>5.3379616209288524E-4</v>
      </c>
      <c r="Q265" s="273">
        <v>79.523148148148138</v>
      </c>
      <c r="R265" s="273">
        <v>74.946759259259295</v>
      </c>
      <c r="S265" s="273">
        <v>68.089924078970412</v>
      </c>
      <c r="T265" s="273">
        <v>62.804411131141258</v>
      </c>
      <c r="U265" s="273">
        <v>57.946793781398618</v>
      </c>
      <c r="V265" s="273">
        <f t="shared" si="120"/>
        <v>47.238519675925971</v>
      </c>
      <c r="W265" s="273">
        <f t="shared" si="121"/>
        <v>45.465228009259306</v>
      </c>
      <c r="X265" s="273">
        <f t="shared" si="122"/>
        <v>42.312709490740779</v>
      </c>
      <c r="Y265" s="273">
        <f t="shared" si="123"/>
        <v>40.490159722222259</v>
      </c>
      <c r="Z265" s="273">
        <f t="shared" si="124"/>
        <v>35.022510416666698</v>
      </c>
      <c r="AA265" s="273">
        <f t="shared" si="125"/>
        <v>33.052186342592627</v>
      </c>
      <c r="AB265" s="100">
        <v>847</v>
      </c>
      <c r="AC265" s="101" t="s">
        <v>280</v>
      </c>
      <c r="AD265" s="159"/>
      <c r="AE265" s="159"/>
      <c r="AF265" s="164"/>
      <c r="AG265" s="164"/>
      <c r="AH265" s="164"/>
      <c r="AI265" s="159">
        <f t="shared" si="126"/>
        <v>1436190.9024206852</v>
      </c>
      <c r="AJ265" s="159">
        <f t="shared" si="139"/>
        <v>1397779.735345735</v>
      </c>
      <c r="AK265" s="159">
        <f t="shared" si="140"/>
        <v>1326497.781245956</v>
      </c>
      <c r="AL265" s="159">
        <f t="shared" si="141"/>
        <v>1304096.199059187</v>
      </c>
      <c r="AM265" s="159">
        <f t="shared" si="142"/>
        <v>1161811.8313498262</v>
      </c>
      <c r="AN265" s="159">
        <f t="shared" si="143"/>
        <v>1131336.3434010013</v>
      </c>
    </row>
    <row r="266" spans="1:40" x14ac:dyDescent="0.35">
      <c r="A266" s="46">
        <v>848</v>
      </c>
      <c r="B266" s="240" t="s">
        <v>281</v>
      </c>
      <c r="C266" s="364">
        <v>27.810185185185201</v>
      </c>
      <c r="D266" s="365">
        <v>4.491373116765452E-4</v>
      </c>
      <c r="E266" s="191">
        <v>0.97599999999999998</v>
      </c>
      <c r="F266" s="191">
        <v>0.95199999999999996</v>
      </c>
      <c r="G266" s="191">
        <v>0.879</v>
      </c>
      <c r="H266" s="191">
        <v>0.82399999999999995</v>
      </c>
      <c r="I266" s="191">
        <v>0.77500000000000002</v>
      </c>
      <c r="J266" s="191">
        <v>0.7</v>
      </c>
      <c r="K266" s="361">
        <v>4.383580161963081E-4</v>
      </c>
      <c r="L266" s="362">
        <v>4.2757872071607099E-4</v>
      </c>
      <c r="M266" s="362">
        <v>3.9479169696368324E-4</v>
      </c>
      <c r="N266" s="362">
        <v>3.7008914482147321E-4</v>
      </c>
      <c r="O266" s="362">
        <v>3.4808141654932252E-4</v>
      </c>
      <c r="P266" s="363">
        <v>3.1439611817358164E-4</v>
      </c>
      <c r="Q266" s="273">
        <v>34.69675925925926</v>
      </c>
      <c r="R266" s="273">
        <v>35.311342592592602</v>
      </c>
      <c r="S266" s="273">
        <v>29.972053726002244</v>
      </c>
      <c r="T266" s="273">
        <v>30.3071447935842</v>
      </c>
      <c r="U266" s="273">
        <v>27.276525904959158</v>
      </c>
      <c r="V266" s="273">
        <f t="shared" si="120"/>
        <v>27.142740740740756</v>
      </c>
      <c r="W266" s="273">
        <f t="shared" si="121"/>
        <v>26.47529629629631</v>
      </c>
      <c r="X266" s="273">
        <f t="shared" si="122"/>
        <v>24.445152777777793</v>
      </c>
      <c r="Y266" s="273">
        <f t="shared" si="123"/>
        <v>22.915592592592603</v>
      </c>
      <c r="Z266" s="273">
        <f t="shared" si="124"/>
        <v>21.55289351851853</v>
      </c>
      <c r="AA266" s="273">
        <f t="shared" si="125"/>
        <v>19.467129629629639</v>
      </c>
      <c r="AB266" s="100">
        <v>848</v>
      </c>
      <c r="AC266" s="101" t="s">
        <v>281</v>
      </c>
      <c r="AD266" s="159"/>
      <c r="AE266" s="159"/>
      <c r="AF266" s="164"/>
      <c r="AG266" s="164"/>
      <c r="AH266" s="164"/>
      <c r="AI266" s="159">
        <f t="shared" si="126"/>
        <v>825219.70599518018</v>
      </c>
      <c r="AJ266" s="159">
        <f t="shared" si="139"/>
        <v>813954.62577907485</v>
      </c>
      <c r="AK266" s="159">
        <f t="shared" si="140"/>
        <v>766352.26890956913</v>
      </c>
      <c r="AL266" s="159">
        <f t="shared" si="141"/>
        <v>738059.25697021955</v>
      </c>
      <c r="AM266" s="159">
        <f t="shared" si="142"/>
        <v>714980.34811694862</v>
      </c>
      <c r="AN266" s="159">
        <f t="shared" si="143"/>
        <v>666336.29084069002</v>
      </c>
    </row>
    <row r="267" spans="1:40" x14ac:dyDescent="0.35">
      <c r="A267" s="46">
        <v>37</v>
      </c>
      <c r="B267" s="240" t="s">
        <v>282</v>
      </c>
      <c r="C267" s="364">
        <v>566.90104166666697</v>
      </c>
      <c r="D267" s="365">
        <v>9.1555093267209516E-3</v>
      </c>
      <c r="E267" s="191">
        <v>0.96099999999999997</v>
      </c>
      <c r="F267" s="191">
        <v>0.91300000000000003</v>
      </c>
      <c r="G267" s="191">
        <v>0.875</v>
      </c>
      <c r="H267" s="191">
        <v>0.82</v>
      </c>
      <c r="I267" s="191">
        <v>0.75700000000000001</v>
      </c>
      <c r="J267" s="191">
        <v>0.69899999999999995</v>
      </c>
      <c r="K267" s="361">
        <v>8.7984444629788348E-3</v>
      </c>
      <c r="L267" s="362">
        <v>8.3589800152962298E-3</v>
      </c>
      <c r="M267" s="362">
        <v>8.011070660880833E-3</v>
      </c>
      <c r="N267" s="362">
        <v>7.5075176479111796E-3</v>
      </c>
      <c r="O267" s="362">
        <v>6.9307205603277603E-3</v>
      </c>
      <c r="P267" s="363">
        <v>6.3997010193779444E-3</v>
      </c>
      <c r="Q267" s="273">
        <v>721.81699921072425</v>
      </c>
      <c r="R267" s="273">
        <v>689.65500840291293</v>
      </c>
      <c r="S267" s="273">
        <v>655.99445800291187</v>
      </c>
      <c r="T267" s="273">
        <v>615.16453943996635</v>
      </c>
      <c r="U267" s="273">
        <v>580.80095472563914</v>
      </c>
      <c r="V267" s="273">
        <f t="shared" si="120"/>
        <v>544.79190104166696</v>
      </c>
      <c r="W267" s="273">
        <f t="shared" si="121"/>
        <v>517.58065104166701</v>
      </c>
      <c r="X267" s="273">
        <f t="shared" si="122"/>
        <v>496.0384114583336</v>
      </c>
      <c r="Y267" s="273">
        <f t="shared" si="123"/>
        <v>464.8588541666669</v>
      </c>
      <c r="Z267" s="273">
        <f t="shared" si="124"/>
        <v>429.14408854166692</v>
      </c>
      <c r="AA267" s="273">
        <f t="shared" si="125"/>
        <v>396.2638281250002</v>
      </c>
      <c r="AB267" s="100">
        <v>37</v>
      </c>
      <c r="AC267" s="101" t="s">
        <v>282</v>
      </c>
      <c r="AD267" s="159"/>
      <c r="AE267" s="159"/>
      <c r="AF267" s="164"/>
      <c r="AG267" s="164"/>
      <c r="AH267" s="164"/>
      <c r="AI267" s="159">
        <f t="shared" si="126"/>
        <v>16563287.278184066</v>
      </c>
      <c r="AJ267" s="159">
        <f t="shared" si="139"/>
        <v>15912462.712949689</v>
      </c>
      <c r="AK267" s="159">
        <f t="shared" si="140"/>
        <v>15550737.831058439</v>
      </c>
      <c r="AL267" s="159">
        <f t="shared" si="141"/>
        <v>14972049.233113952</v>
      </c>
      <c r="AM267" s="159">
        <f t="shared" si="142"/>
        <v>14236120.526193831</v>
      </c>
      <c r="AN267" s="159">
        <f t="shared" si="143"/>
        <v>13563631.333982583</v>
      </c>
    </row>
    <row r="268" spans="1:40" x14ac:dyDescent="0.35">
      <c r="A268" s="46">
        <v>180</v>
      </c>
      <c r="B268" s="240" t="s">
        <v>283</v>
      </c>
      <c r="C268" s="364">
        <v>37.3402777777778</v>
      </c>
      <c r="D268" s="365">
        <v>6.030492737351715E-4</v>
      </c>
      <c r="E268" s="191">
        <v>0.92500000000000004</v>
      </c>
      <c r="F268" s="191">
        <v>0.878</v>
      </c>
      <c r="G268" s="191">
        <v>0.83299999999999996</v>
      </c>
      <c r="H268" s="191">
        <v>0.77400000000000002</v>
      </c>
      <c r="I268" s="191">
        <v>0.71</v>
      </c>
      <c r="J268" s="191">
        <v>0.69299999999999995</v>
      </c>
      <c r="K268" s="361">
        <v>5.5782057820503365E-4</v>
      </c>
      <c r="L268" s="362">
        <v>5.2947726233948053E-4</v>
      </c>
      <c r="M268" s="362">
        <v>5.0234004502139784E-4</v>
      </c>
      <c r="N268" s="362">
        <v>4.6676013787102274E-4</v>
      </c>
      <c r="O268" s="362">
        <v>4.2816498435197176E-4</v>
      </c>
      <c r="P268" s="363">
        <v>4.179131466984738E-4</v>
      </c>
      <c r="Q268" s="273">
        <v>50.113425925925924</v>
      </c>
      <c r="R268" s="273">
        <v>47.074074074074097</v>
      </c>
      <c r="S268" s="273">
        <v>41.281014820524341</v>
      </c>
      <c r="T268" s="273">
        <v>38.557995837637336</v>
      </c>
      <c r="U268" s="273">
        <v>38.488394366748359</v>
      </c>
      <c r="V268" s="273">
        <f t="shared" si="120"/>
        <v>34.53975694444447</v>
      </c>
      <c r="W268" s="273">
        <f t="shared" si="121"/>
        <v>32.784763888888911</v>
      </c>
      <c r="X268" s="273">
        <f t="shared" si="122"/>
        <v>31.104451388888904</v>
      </c>
      <c r="Y268" s="273">
        <f t="shared" si="123"/>
        <v>28.901375000000019</v>
      </c>
      <c r="Z268" s="273">
        <f t="shared" si="124"/>
        <v>26.511597222222235</v>
      </c>
      <c r="AA268" s="273">
        <f t="shared" si="125"/>
        <v>25.876812500000014</v>
      </c>
      <c r="AB268" s="100">
        <v>180</v>
      </c>
      <c r="AC268" s="101" t="s">
        <v>283</v>
      </c>
      <c r="AD268" s="159"/>
      <c r="AE268" s="159"/>
      <c r="AF268" s="164"/>
      <c r="AG268" s="164"/>
      <c r="AH268" s="164"/>
      <c r="AI268" s="159">
        <f t="shared" si="126"/>
        <v>1050110.9060094708</v>
      </c>
      <c r="AJ268" s="159">
        <f t="shared" si="139"/>
        <v>1007932.4485659853</v>
      </c>
      <c r="AK268" s="159">
        <f t="shared" si="140"/>
        <v>975120.38937763311</v>
      </c>
      <c r="AL268" s="159">
        <f t="shared" si="141"/>
        <v>930847.73050175689</v>
      </c>
      <c r="AM268" s="159">
        <f t="shared" si="142"/>
        <v>879476.85515145154</v>
      </c>
      <c r="AN268" s="159">
        <f t="shared" si="143"/>
        <v>885731.97939700843</v>
      </c>
    </row>
    <row r="269" spans="1:40" x14ac:dyDescent="0.35">
      <c r="A269" s="46">
        <v>532</v>
      </c>
      <c r="B269" s="240" t="s">
        <v>284</v>
      </c>
      <c r="C269" s="364">
        <v>67.323495370370395</v>
      </c>
      <c r="D269" s="365">
        <v>1.087281279213644E-3</v>
      </c>
      <c r="E269" s="191">
        <v>0.96399999999999997</v>
      </c>
      <c r="F269" s="191">
        <v>0.90600000000000003</v>
      </c>
      <c r="G269" s="191">
        <v>0.86099999999999999</v>
      </c>
      <c r="H269" s="191">
        <v>0.84</v>
      </c>
      <c r="I269" s="191">
        <v>0.79400000000000004</v>
      </c>
      <c r="J269" s="191">
        <v>0.74299999999999999</v>
      </c>
      <c r="K269" s="361">
        <v>1.0481391531619528E-3</v>
      </c>
      <c r="L269" s="362">
        <v>9.8507683896756153E-4</v>
      </c>
      <c r="M269" s="362">
        <v>9.3614918140294751E-4</v>
      </c>
      <c r="N269" s="362">
        <v>9.1331627453946089E-4</v>
      </c>
      <c r="O269" s="362">
        <v>8.6330133569563342E-4</v>
      </c>
      <c r="P269" s="363">
        <v>8.0784999045573752E-4</v>
      </c>
      <c r="Q269" s="273">
        <v>80.972222222222243</v>
      </c>
      <c r="R269" s="273">
        <v>79.4236111111111</v>
      </c>
      <c r="S269" s="273">
        <v>75.588695042388053</v>
      </c>
      <c r="T269" s="273">
        <v>69.939133406877389</v>
      </c>
      <c r="U269" s="273">
        <v>65.221979273207737</v>
      </c>
      <c r="V269" s="273">
        <f t="shared" ref="V269:V331" si="144">+E269*C269</f>
        <v>64.899849537037056</v>
      </c>
      <c r="W269" s="273">
        <f t="shared" ref="W269:W331" si="145">+F269*$C269</f>
        <v>60.99508680555558</v>
      </c>
      <c r="X269" s="273">
        <f t="shared" ref="X269:X331" si="146">+G269*$C269</f>
        <v>57.96552951388891</v>
      </c>
      <c r="Y269" s="273">
        <f t="shared" ref="Y269:Y331" si="147">+H269*$C269</f>
        <v>56.551736111111133</v>
      </c>
      <c r="Z269" s="273">
        <f t="shared" ref="Z269:Z331" si="148">+I269*$C269</f>
        <v>53.454855324074096</v>
      </c>
      <c r="AA269" s="273">
        <f t="shared" ref="AA269:AA331" si="149">+J269*$C269</f>
        <v>50.021357060185203</v>
      </c>
      <c r="AB269" s="100">
        <v>532</v>
      </c>
      <c r="AC269" s="101" t="s">
        <v>284</v>
      </c>
      <c r="AD269" s="159"/>
      <c r="AE269" s="159"/>
      <c r="AF269" s="164"/>
      <c r="AG269" s="164"/>
      <c r="AH269" s="164"/>
      <c r="AI269" s="159">
        <f t="shared" ref="AI269:AI332" si="150">+V269*AI$8</f>
        <v>1973147.6369922224</v>
      </c>
      <c r="AJ269" s="159">
        <f t="shared" si="139"/>
        <v>1875228.6093252692</v>
      </c>
      <c r="AK269" s="159">
        <f t="shared" si="140"/>
        <v>1817211.5946804725</v>
      </c>
      <c r="AL269" s="159">
        <f t="shared" si="141"/>
        <v>1821403.1413717172</v>
      </c>
      <c r="AM269" s="159">
        <f t="shared" si="142"/>
        <v>1773273.3210651833</v>
      </c>
      <c r="AN269" s="159">
        <f t="shared" si="143"/>
        <v>1712170.5233611111</v>
      </c>
    </row>
    <row r="270" spans="1:40" x14ac:dyDescent="0.35">
      <c r="A270" s="46">
        <v>851</v>
      </c>
      <c r="B270" s="240" t="s">
        <v>285</v>
      </c>
      <c r="C270" s="364">
        <v>86.009259259259295</v>
      </c>
      <c r="D270" s="365">
        <v>1.389058261416157E-3</v>
      </c>
      <c r="E270" s="191">
        <v>0.96499999999999997</v>
      </c>
      <c r="F270" s="191">
        <v>0.91100000000000003</v>
      </c>
      <c r="G270" s="191">
        <v>0.873</v>
      </c>
      <c r="H270" s="191">
        <v>0.80200000000000005</v>
      </c>
      <c r="I270" s="191">
        <v>0.76500000000000001</v>
      </c>
      <c r="J270" s="191">
        <v>0.71799999999999997</v>
      </c>
      <c r="K270" s="361">
        <v>1.3404412222665916E-3</v>
      </c>
      <c r="L270" s="362">
        <v>1.2654320761501191E-3</v>
      </c>
      <c r="M270" s="362">
        <v>1.2126478622163052E-3</v>
      </c>
      <c r="N270" s="362">
        <v>1.1140247256557581E-3</v>
      </c>
      <c r="O270" s="362">
        <v>1.0626295699833603E-3</v>
      </c>
      <c r="P270" s="363">
        <v>9.9734383169680077E-4</v>
      </c>
      <c r="Q270" s="273">
        <v>111.96729951896438</v>
      </c>
      <c r="R270" s="273">
        <v>106.60729672709341</v>
      </c>
      <c r="S270" s="273">
        <v>97.143086270051356</v>
      </c>
      <c r="T270" s="273">
        <v>90.428617272593527</v>
      </c>
      <c r="U270" s="273">
        <v>85.701376135235307</v>
      </c>
      <c r="V270" s="273">
        <f t="shared" si="144"/>
        <v>82.998935185185218</v>
      </c>
      <c r="W270" s="273">
        <f t="shared" si="145"/>
        <v>78.354435185185224</v>
      </c>
      <c r="X270" s="273">
        <f t="shared" si="146"/>
        <v>75.086083333333363</v>
      </c>
      <c r="Y270" s="273">
        <f t="shared" si="147"/>
        <v>68.979425925925952</v>
      </c>
      <c r="Z270" s="273">
        <f t="shared" si="148"/>
        <v>65.797083333333362</v>
      </c>
      <c r="AA270" s="273">
        <f t="shared" si="149"/>
        <v>61.754648148148171</v>
      </c>
      <c r="AB270" s="100">
        <v>851</v>
      </c>
      <c r="AC270" s="101" t="s">
        <v>285</v>
      </c>
      <c r="AD270" s="159"/>
      <c r="AE270" s="159"/>
      <c r="AF270" s="164"/>
      <c r="AG270" s="164"/>
      <c r="AH270" s="164"/>
      <c r="AI270" s="159">
        <f t="shared" si="150"/>
        <v>2523413.4439719934</v>
      </c>
      <c r="AJ270" s="159">
        <f t="shared" si="139"/>
        <v>2408923.1808978897</v>
      </c>
      <c r="AK270" s="159">
        <f t="shared" si="140"/>
        <v>2353938.6662513609</v>
      </c>
      <c r="AL270" s="159">
        <f t="shared" si="141"/>
        <v>2221670.8400365789</v>
      </c>
      <c r="AM270" s="159">
        <f t="shared" si="142"/>
        <v>2182705.6077795802</v>
      </c>
      <c r="AN270" s="159">
        <f t="shared" si="143"/>
        <v>2113786.8793239142</v>
      </c>
    </row>
    <row r="271" spans="1:40" x14ac:dyDescent="0.35">
      <c r="A271" s="46">
        <v>1708</v>
      </c>
      <c r="B271" s="240" t="s">
        <v>286</v>
      </c>
      <c r="C271" s="364">
        <v>224.12037037037001</v>
      </c>
      <c r="D271" s="365">
        <v>3.6195667152091738E-3</v>
      </c>
      <c r="E271" s="191">
        <v>0.95699999999999996</v>
      </c>
      <c r="F271" s="191">
        <v>0.89</v>
      </c>
      <c r="G271" s="191">
        <v>0.83799999999999997</v>
      </c>
      <c r="H271" s="191">
        <v>0.76300000000000001</v>
      </c>
      <c r="I271" s="191">
        <v>0.71699999999999997</v>
      </c>
      <c r="J271" s="191">
        <v>0.65100000000000002</v>
      </c>
      <c r="K271" s="361">
        <v>3.4639253464551793E-3</v>
      </c>
      <c r="L271" s="362">
        <v>3.2214143765361648E-3</v>
      </c>
      <c r="M271" s="362">
        <v>3.0331969073452876E-3</v>
      </c>
      <c r="N271" s="362">
        <v>2.7617294037045998E-3</v>
      </c>
      <c r="O271" s="362">
        <v>2.5952293348049777E-3</v>
      </c>
      <c r="P271" s="363">
        <v>2.3563379316011721E-3</v>
      </c>
      <c r="Q271" s="273">
        <v>289.98316031378369</v>
      </c>
      <c r="R271" s="273">
        <v>283.57590661593213</v>
      </c>
      <c r="S271" s="273">
        <v>264.86402261982181</v>
      </c>
      <c r="T271" s="273">
        <v>244.86651784002535</v>
      </c>
      <c r="U271" s="273">
        <v>227.71987387440549</v>
      </c>
      <c r="V271" s="273">
        <f t="shared" si="144"/>
        <v>214.48319444444408</v>
      </c>
      <c r="W271" s="273">
        <f t="shared" si="145"/>
        <v>199.46712962962931</v>
      </c>
      <c r="X271" s="273">
        <f t="shared" si="146"/>
        <v>187.81287037037006</v>
      </c>
      <c r="Y271" s="273">
        <f t="shared" si="147"/>
        <v>171.00384259259232</v>
      </c>
      <c r="Z271" s="273">
        <f t="shared" si="148"/>
        <v>160.6943055555553</v>
      </c>
      <c r="AA271" s="273">
        <f t="shared" si="149"/>
        <v>145.90236111111088</v>
      </c>
      <c r="AB271" s="100">
        <v>1708</v>
      </c>
      <c r="AC271" s="101" t="s">
        <v>286</v>
      </c>
      <c r="AD271" s="159"/>
      <c r="AE271" s="159"/>
      <c r="AF271" s="164"/>
      <c r="AG271" s="164"/>
      <c r="AH271" s="164"/>
      <c r="AI271" s="159">
        <f t="shared" si="150"/>
        <v>6520924.3366748085</v>
      </c>
      <c r="AJ271" s="159">
        <f t="shared" si="139"/>
        <v>6132403.2424756531</v>
      </c>
      <c r="AK271" s="159">
        <f t="shared" si="140"/>
        <v>5887908.3574226713</v>
      </c>
      <c r="AL271" s="159">
        <f t="shared" si="141"/>
        <v>5507645.8744400265</v>
      </c>
      <c r="AM271" s="159">
        <f t="shared" si="142"/>
        <v>5330758.509422618</v>
      </c>
      <c r="AN271" s="159">
        <f t="shared" si="143"/>
        <v>4994061.2703222735</v>
      </c>
    </row>
    <row r="272" spans="1:40" x14ac:dyDescent="0.35">
      <c r="A272" s="46">
        <v>971</v>
      </c>
      <c r="B272" s="240" t="s">
        <v>287</v>
      </c>
      <c r="C272" s="364">
        <v>93.949074074074105</v>
      </c>
      <c r="D272" s="365">
        <v>1.5172870760532928E-3</v>
      </c>
      <c r="E272" s="191">
        <v>0.92400000000000004</v>
      </c>
      <c r="F272" s="191">
        <v>0.85599999999999998</v>
      </c>
      <c r="G272" s="191">
        <v>0.77900000000000003</v>
      </c>
      <c r="H272" s="191">
        <v>0.71599999999999997</v>
      </c>
      <c r="I272" s="191">
        <v>0.62</v>
      </c>
      <c r="J272" s="191">
        <v>0.56000000000000005</v>
      </c>
      <c r="K272" s="361">
        <v>1.4019732582732426E-3</v>
      </c>
      <c r="L272" s="362">
        <v>1.2987977371016186E-3</v>
      </c>
      <c r="M272" s="362">
        <v>1.1819666322455151E-3</v>
      </c>
      <c r="N272" s="362">
        <v>1.0863775464541577E-3</v>
      </c>
      <c r="O272" s="362">
        <v>9.4071798715304148E-4</v>
      </c>
      <c r="P272" s="363">
        <v>8.4968076258984404E-4</v>
      </c>
      <c r="Q272" s="273">
        <v>137.66657875017378</v>
      </c>
      <c r="R272" s="273">
        <v>131.26891731991299</v>
      </c>
      <c r="S272" s="273">
        <v>113.36439422372224</v>
      </c>
      <c r="T272" s="273">
        <v>102.74502495044027</v>
      </c>
      <c r="U272" s="273">
        <v>96.531542739555135</v>
      </c>
      <c r="V272" s="273">
        <f t="shared" si="144"/>
        <v>86.808944444444478</v>
      </c>
      <c r="W272" s="273">
        <f t="shared" si="145"/>
        <v>80.420407407407438</v>
      </c>
      <c r="X272" s="273">
        <f t="shared" si="146"/>
        <v>73.186328703703737</v>
      </c>
      <c r="Y272" s="273">
        <f t="shared" si="147"/>
        <v>67.267537037037059</v>
      </c>
      <c r="Z272" s="273">
        <f t="shared" si="148"/>
        <v>58.248425925925943</v>
      </c>
      <c r="AA272" s="273">
        <f t="shared" si="149"/>
        <v>52.611481481481505</v>
      </c>
      <c r="AB272" s="100">
        <v>971</v>
      </c>
      <c r="AC272" s="101" t="s">
        <v>287</v>
      </c>
      <c r="AD272" s="159"/>
      <c r="AE272" s="159"/>
      <c r="AF272" s="164"/>
      <c r="AG272" s="164"/>
      <c r="AH272" s="164"/>
      <c r="AI272" s="159">
        <f t="shared" si="150"/>
        <v>2639249.0093924599</v>
      </c>
      <c r="AJ272" s="159">
        <f t="shared" si="139"/>
        <v>2472439.2839166909</v>
      </c>
      <c r="AK272" s="159">
        <f t="shared" si="140"/>
        <v>2294381.6127928277</v>
      </c>
      <c r="AL272" s="159">
        <f t="shared" si="141"/>
        <v>2166534.7820776268</v>
      </c>
      <c r="AM272" s="159">
        <f t="shared" si="142"/>
        <v>1932291.8201214895</v>
      </c>
      <c r="AN272" s="159">
        <f t="shared" si="143"/>
        <v>1800827.348097902</v>
      </c>
    </row>
    <row r="273" spans="1:40" x14ac:dyDescent="0.35">
      <c r="A273" s="46">
        <v>1904</v>
      </c>
      <c r="B273" s="240" t="s">
        <v>288</v>
      </c>
      <c r="C273" s="364">
        <v>91.248842592592595</v>
      </c>
      <c r="D273" s="365">
        <v>1.4736780637284472E-3</v>
      </c>
      <c r="E273" s="191">
        <v>0.97699999999999998</v>
      </c>
      <c r="F273" s="191">
        <v>0.91300000000000003</v>
      </c>
      <c r="G273" s="191">
        <v>0.88300000000000001</v>
      </c>
      <c r="H273" s="191">
        <v>0.84499999999999997</v>
      </c>
      <c r="I273" s="191">
        <v>0.81699999999999995</v>
      </c>
      <c r="J273" s="191">
        <v>0.77100000000000002</v>
      </c>
      <c r="K273" s="361">
        <v>1.4397834682626928E-3</v>
      </c>
      <c r="L273" s="362">
        <v>1.3454680721840724E-3</v>
      </c>
      <c r="M273" s="362">
        <v>1.3012577302722189E-3</v>
      </c>
      <c r="N273" s="362">
        <v>1.2452579638505378E-3</v>
      </c>
      <c r="O273" s="362">
        <v>1.2039949780661412E-3</v>
      </c>
      <c r="P273" s="363">
        <v>1.1362057871346328E-3</v>
      </c>
      <c r="Q273" s="273">
        <v>147.98238816965966</v>
      </c>
      <c r="R273" s="273">
        <v>123.8279412570643</v>
      </c>
      <c r="S273" s="273">
        <v>108.87943822703097</v>
      </c>
      <c r="T273" s="273">
        <v>100.3789525433013</v>
      </c>
      <c r="U273" s="273">
        <v>92.765153680686041</v>
      </c>
      <c r="V273" s="273">
        <f t="shared" si="144"/>
        <v>89.150119212962963</v>
      </c>
      <c r="W273" s="273">
        <f t="shared" si="145"/>
        <v>83.310193287037038</v>
      </c>
      <c r="X273" s="273">
        <f t="shared" si="146"/>
        <v>80.572728009259265</v>
      </c>
      <c r="Y273" s="273">
        <f t="shared" si="147"/>
        <v>77.105271990740746</v>
      </c>
      <c r="Z273" s="273">
        <f t="shared" si="148"/>
        <v>74.550304398148143</v>
      </c>
      <c r="AA273" s="273">
        <f t="shared" si="149"/>
        <v>70.352857638888892</v>
      </c>
      <c r="AB273" s="100">
        <v>1904</v>
      </c>
      <c r="AC273" s="101" t="s">
        <v>288</v>
      </c>
      <c r="AD273" s="159"/>
      <c r="AE273" s="159"/>
      <c r="AF273" s="164"/>
      <c r="AG273" s="164"/>
      <c r="AH273" s="164"/>
      <c r="AI273" s="159">
        <f t="shared" si="150"/>
        <v>2710427.6561110751</v>
      </c>
      <c r="AJ273" s="159">
        <f t="shared" si="139"/>
        <v>2561282.6554095573</v>
      </c>
      <c r="AK273" s="159">
        <f t="shared" si="140"/>
        <v>2525944.2427482591</v>
      </c>
      <c r="AL273" s="159">
        <f t="shared" si="141"/>
        <v>2483385.9095735638</v>
      </c>
      <c r="AM273" s="159">
        <f t="shared" si="142"/>
        <v>2473078.7327935649</v>
      </c>
      <c r="AN273" s="159">
        <f t="shared" si="143"/>
        <v>2408093.185848488</v>
      </c>
    </row>
    <row r="274" spans="1:40" x14ac:dyDescent="0.35">
      <c r="A274" s="46">
        <v>1900</v>
      </c>
      <c r="B274" s="240" t="s">
        <v>721</v>
      </c>
      <c r="C274" s="364">
        <v>517.05034722222194</v>
      </c>
      <c r="D274" s="365">
        <v>8.350415554820639E-3</v>
      </c>
      <c r="E274" s="191">
        <v>0.94499999999999995</v>
      </c>
      <c r="F274" s="191">
        <v>0.89500000000000002</v>
      </c>
      <c r="G274" s="191">
        <v>0.85199999999999998</v>
      </c>
      <c r="H274" s="191">
        <v>0.79200000000000004</v>
      </c>
      <c r="I274" s="191">
        <v>0.73699999999999999</v>
      </c>
      <c r="J274" s="191">
        <v>0.68200000000000005</v>
      </c>
      <c r="K274" s="361">
        <v>7.8911426993055027E-3</v>
      </c>
      <c r="L274" s="362">
        <v>7.473621921564472E-3</v>
      </c>
      <c r="M274" s="362">
        <v>7.1145540527071845E-3</v>
      </c>
      <c r="N274" s="362">
        <v>6.6135291194179468E-3</v>
      </c>
      <c r="O274" s="362">
        <v>6.1542562639028105E-3</v>
      </c>
      <c r="P274" s="363">
        <v>5.6949834083876759E-3</v>
      </c>
      <c r="Q274" s="273">
        <v>561.72098802426831</v>
      </c>
      <c r="R274" s="273">
        <v>559.3174789316505</v>
      </c>
      <c r="S274" s="273">
        <v>568.91218570054832</v>
      </c>
      <c r="T274" s="273">
        <v>541.09343130323316</v>
      </c>
      <c r="U274" s="273">
        <v>518.65065979241308</v>
      </c>
      <c r="V274" s="273">
        <f t="shared" si="144"/>
        <v>488.61257812499969</v>
      </c>
      <c r="W274" s="273">
        <f t="shared" si="145"/>
        <v>462.76006076388865</v>
      </c>
      <c r="X274" s="273">
        <f t="shared" si="146"/>
        <v>440.52689583333307</v>
      </c>
      <c r="Y274" s="273">
        <f t="shared" si="147"/>
        <v>409.50387499999982</v>
      </c>
      <c r="Z274" s="273">
        <f t="shared" si="148"/>
        <v>381.06610590277757</v>
      </c>
      <c r="AA274" s="273">
        <f t="shared" si="149"/>
        <v>352.62833680555542</v>
      </c>
      <c r="AB274" s="100">
        <v>1900</v>
      </c>
      <c r="AC274" s="101" t="s">
        <v>721</v>
      </c>
      <c r="AD274" s="159"/>
      <c r="AE274" s="159"/>
      <c r="AF274" s="164"/>
      <c r="AG274" s="164"/>
      <c r="AH274" s="164"/>
      <c r="AI274" s="159">
        <f t="shared" si="150"/>
        <v>14855269.477656113</v>
      </c>
      <c r="AJ274" s="159">
        <f t="shared" si="139"/>
        <v>14227062.385597005</v>
      </c>
      <c r="AK274" s="159">
        <f t="shared" si="140"/>
        <v>13810459.24345636</v>
      </c>
      <c r="AL274" s="159">
        <f t="shared" si="141"/>
        <v>13189190.918266855</v>
      </c>
      <c r="AM274" s="159">
        <f t="shared" si="142"/>
        <v>12641215.752299855</v>
      </c>
      <c r="AN274" s="159">
        <f t="shared" si="143"/>
        <v>12070041.267650697</v>
      </c>
    </row>
    <row r="275" spans="1:40" x14ac:dyDescent="0.35">
      <c r="A275" s="46">
        <v>715</v>
      </c>
      <c r="B275" s="240" t="s">
        <v>290</v>
      </c>
      <c r="C275" s="364">
        <v>296.46180555555497</v>
      </c>
      <c r="D275" s="365">
        <v>4.7878882314285427E-3</v>
      </c>
      <c r="E275" s="191">
        <v>0.95699999999999996</v>
      </c>
      <c r="F275" s="191">
        <v>0.91</v>
      </c>
      <c r="G275" s="191">
        <v>0.85899999999999999</v>
      </c>
      <c r="H275" s="191">
        <v>0.81100000000000005</v>
      </c>
      <c r="I275" s="191">
        <v>0.73699999999999999</v>
      </c>
      <c r="J275" s="191">
        <v>0.69799999999999995</v>
      </c>
      <c r="K275" s="361">
        <v>4.5820090374771149E-3</v>
      </c>
      <c r="L275" s="362">
        <v>4.3569782905999738E-3</v>
      </c>
      <c r="M275" s="362">
        <v>4.1127959907971178E-3</v>
      </c>
      <c r="N275" s="362">
        <v>3.8829773556885482E-3</v>
      </c>
      <c r="O275" s="362">
        <v>3.5286736265628359E-3</v>
      </c>
      <c r="P275" s="363">
        <v>3.3419459855371226E-3</v>
      </c>
      <c r="Q275" s="273">
        <v>376.49198281938885</v>
      </c>
      <c r="R275" s="273">
        <v>358.92464647589912</v>
      </c>
      <c r="S275" s="273">
        <v>342.46970918162805</v>
      </c>
      <c r="T275" s="273">
        <v>328.7348389730335</v>
      </c>
      <c r="U275" s="273">
        <v>304.36908640026763</v>
      </c>
      <c r="V275" s="273">
        <f t="shared" si="144"/>
        <v>283.71394791666609</v>
      </c>
      <c r="W275" s="273">
        <f t="shared" si="145"/>
        <v>269.78024305555505</v>
      </c>
      <c r="X275" s="273">
        <f t="shared" si="146"/>
        <v>254.66069097222172</v>
      </c>
      <c r="Y275" s="273">
        <f t="shared" si="147"/>
        <v>240.43052430555511</v>
      </c>
      <c r="Z275" s="273">
        <f t="shared" si="148"/>
        <v>218.49235069444401</v>
      </c>
      <c r="AA275" s="273">
        <f t="shared" si="149"/>
        <v>206.93034027777736</v>
      </c>
      <c r="AB275" s="100">
        <v>715</v>
      </c>
      <c r="AC275" s="101" t="s">
        <v>290</v>
      </c>
      <c r="AD275" s="159"/>
      <c r="AE275" s="159"/>
      <c r="AF275" s="164"/>
      <c r="AG275" s="164"/>
      <c r="AH275" s="164"/>
      <c r="AI275" s="159">
        <f t="shared" si="150"/>
        <v>8625744.2799467817</v>
      </c>
      <c r="AJ275" s="159">
        <f t="shared" si="139"/>
        <v>8294104.5992973819</v>
      </c>
      <c r="AK275" s="159">
        <f t="shared" si="140"/>
        <v>7983578.5892920857</v>
      </c>
      <c r="AL275" s="159">
        <f t="shared" si="141"/>
        <v>7743721.8088472718</v>
      </c>
      <c r="AM275" s="159">
        <f t="shared" si="142"/>
        <v>7248109.7178984182</v>
      </c>
      <c r="AN275" s="159">
        <f t="shared" si="143"/>
        <v>7082975.1497226385</v>
      </c>
    </row>
    <row r="276" spans="1:40" x14ac:dyDescent="0.35">
      <c r="A276" s="46">
        <v>93</v>
      </c>
      <c r="B276" s="240" t="s">
        <v>291</v>
      </c>
      <c r="C276" s="364">
        <v>6.0555555555555598</v>
      </c>
      <c r="D276" s="365">
        <v>9.7797836469605656E-5</v>
      </c>
      <c r="E276" s="191">
        <v>0.97799999999999998</v>
      </c>
      <c r="F276" s="191">
        <v>0.95599999999999996</v>
      </c>
      <c r="G276" s="191">
        <v>0.93600000000000005</v>
      </c>
      <c r="H276" s="191">
        <v>0.91700000000000004</v>
      </c>
      <c r="I276" s="191">
        <v>0.75600000000000001</v>
      </c>
      <c r="J276" s="191">
        <v>0.74299999999999999</v>
      </c>
      <c r="K276" s="361">
        <v>9.5646284067274327E-5</v>
      </c>
      <c r="L276" s="362">
        <v>9.3494731664942998E-5</v>
      </c>
      <c r="M276" s="362">
        <v>9.15387749355509E-5</v>
      </c>
      <c r="N276" s="362">
        <v>8.968061604262839E-5</v>
      </c>
      <c r="O276" s="362">
        <v>7.3935164371021883E-5</v>
      </c>
      <c r="P276" s="363">
        <v>7.2663792496917E-5</v>
      </c>
      <c r="Q276" s="273">
        <v>9.5555555555555536</v>
      </c>
      <c r="R276" s="273">
        <v>9.55555555555555</v>
      </c>
      <c r="S276" s="273">
        <v>7.6905133326087256</v>
      </c>
      <c r="T276" s="273">
        <v>6.3692067881094774</v>
      </c>
      <c r="U276" s="273">
        <v>6.0359974275368202</v>
      </c>
      <c r="V276" s="273">
        <f t="shared" si="144"/>
        <v>5.922333333333337</v>
      </c>
      <c r="W276" s="273">
        <f t="shared" si="145"/>
        <v>5.7891111111111151</v>
      </c>
      <c r="X276" s="273">
        <f t="shared" si="146"/>
        <v>5.6680000000000046</v>
      </c>
      <c r="Y276" s="273">
        <f t="shared" si="147"/>
        <v>5.5529444444444485</v>
      </c>
      <c r="Z276" s="273">
        <f t="shared" si="148"/>
        <v>4.578000000000003</v>
      </c>
      <c r="AA276" s="273">
        <f t="shared" si="149"/>
        <v>4.499277777777781</v>
      </c>
      <c r="AB276" s="100">
        <v>93</v>
      </c>
      <c r="AC276" s="101" t="s">
        <v>291</v>
      </c>
      <c r="AD276" s="159"/>
      <c r="AE276" s="159"/>
      <c r="AF276" s="164"/>
      <c r="AG276" s="164"/>
      <c r="AH276" s="164"/>
      <c r="AI276" s="159">
        <f t="shared" si="150"/>
        <v>180056.47325080752</v>
      </c>
      <c r="AJ276" s="159">
        <f t="shared" si="139"/>
        <v>177980.02014040216</v>
      </c>
      <c r="AK276" s="159">
        <f t="shared" si="140"/>
        <v>177691.04164192948</v>
      </c>
      <c r="AL276" s="159">
        <f t="shared" si="141"/>
        <v>178847.74456971165</v>
      </c>
      <c r="AM276" s="159">
        <f t="shared" si="142"/>
        <v>151867.31335479542</v>
      </c>
      <c r="AN276" s="159">
        <f t="shared" si="143"/>
        <v>154004.83394035048</v>
      </c>
    </row>
    <row r="277" spans="1:40" x14ac:dyDescent="0.35">
      <c r="A277" s="46">
        <v>448</v>
      </c>
      <c r="B277" s="240" t="s">
        <v>292</v>
      </c>
      <c r="C277" s="364">
        <v>80.842592592592595</v>
      </c>
      <c r="D277" s="365">
        <v>1.3056160706668601E-3</v>
      </c>
      <c r="E277" s="191">
        <v>0.95199999999999996</v>
      </c>
      <c r="F277" s="191">
        <v>0.9</v>
      </c>
      <c r="G277" s="191">
        <v>0.83499999999999996</v>
      </c>
      <c r="H277" s="191">
        <v>0.8</v>
      </c>
      <c r="I277" s="191">
        <v>0.71499999999999997</v>
      </c>
      <c r="J277" s="191">
        <v>0.67900000000000005</v>
      </c>
      <c r="K277" s="361">
        <v>1.2429464992748508E-3</v>
      </c>
      <c r="L277" s="362">
        <v>1.1750544636001741E-3</v>
      </c>
      <c r="M277" s="362">
        <v>1.090189419006828E-3</v>
      </c>
      <c r="N277" s="362">
        <v>1.0444928565334882E-3</v>
      </c>
      <c r="O277" s="362">
        <v>9.3351549052680493E-4</v>
      </c>
      <c r="P277" s="363">
        <v>8.8651331198279801E-4</v>
      </c>
      <c r="Q277" s="273">
        <v>102.22470351750772</v>
      </c>
      <c r="R277" s="273">
        <v>98.639916654710788</v>
      </c>
      <c r="S277" s="273">
        <v>91.572167986260595</v>
      </c>
      <c r="T277" s="273">
        <v>84.122862619472542</v>
      </c>
      <c r="U277" s="273">
        <v>80.662006471240844</v>
      </c>
      <c r="V277" s="273">
        <f t="shared" si="144"/>
        <v>76.962148148148145</v>
      </c>
      <c r="W277" s="273">
        <f t="shared" si="145"/>
        <v>72.75833333333334</v>
      </c>
      <c r="X277" s="273">
        <f t="shared" si="146"/>
        <v>67.503564814814808</v>
      </c>
      <c r="Y277" s="273">
        <f t="shared" si="147"/>
        <v>64.674074074074085</v>
      </c>
      <c r="Z277" s="273">
        <f t="shared" si="148"/>
        <v>57.802453703703705</v>
      </c>
      <c r="AA277" s="273">
        <f t="shared" si="149"/>
        <v>54.892120370370378</v>
      </c>
      <c r="AB277" s="100">
        <v>448</v>
      </c>
      <c r="AC277" s="101" t="s">
        <v>292</v>
      </c>
      <c r="AD277" s="159"/>
      <c r="AE277" s="159"/>
      <c r="AF277" s="164"/>
      <c r="AG277" s="164"/>
      <c r="AH277" s="164"/>
      <c r="AI277" s="159">
        <f t="shared" si="150"/>
        <v>2339877.2391560278</v>
      </c>
      <c r="AJ277" s="159">
        <f t="shared" si="139"/>
        <v>2236877.0236927331</v>
      </c>
      <c r="AK277" s="159">
        <f t="shared" si="140"/>
        <v>2116227.7252095859</v>
      </c>
      <c r="AL277" s="159">
        <f t="shared" si="141"/>
        <v>2083005.2229056344</v>
      </c>
      <c r="AM277" s="159">
        <f t="shared" si="142"/>
        <v>1917497.4550669331</v>
      </c>
      <c r="AN277" s="159">
        <f t="shared" si="143"/>
        <v>1878890.8575562381</v>
      </c>
    </row>
    <row r="278" spans="1:40" x14ac:dyDescent="0.35">
      <c r="A278" s="46">
        <v>1525</v>
      </c>
      <c r="B278" s="240" t="s">
        <v>293</v>
      </c>
      <c r="C278" s="364">
        <v>87.165509259259295</v>
      </c>
      <c r="D278" s="365">
        <v>1.4077318162007779E-3</v>
      </c>
      <c r="E278" s="191">
        <v>0.94899999999999995</v>
      </c>
      <c r="F278" s="191">
        <v>0.89900000000000002</v>
      </c>
      <c r="G278" s="191">
        <v>0.85599999999999998</v>
      </c>
      <c r="H278" s="191">
        <v>0.81299999999999994</v>
      </c>
      <c r="I278" s="191">
        <v>0.78200000000000003</v>
      </c>
      <c r="J278" s="191">
        <v>0.72</v>
      </c>
      <c r="K278" s="361">
        <v>1.3359374935745382E-3</v>
      </c>
      <c r="L278" s="362">
        <v>1.2655509027644995E-3</v>
      </c>
      <c r="M278" s="362">
        <v>1.2050184346678659E-3</v>
      </c>
      <c r="N278" s="362">
        <v>1.1444859665712323E-3</v>
      </c>
      <c r="O278" s="362">
        <v>1.1008462802690085E-3</v>
      </c>
      <c r="P278" s="363">
        <v>1.0135669076645601E-3</v>
      </c>
      <c r="Q278" s="273">
        <v>108.43678000178456</v>
      </c>
      <c r="R278" s="273">
        <v>107.18427002511682</v>
      </c>
      <c r="S278" s="273">
        <v>101.88620951527248</v>
      </c>
      <c r="T278" s="273">
        <v>95.856781168825307</v>
      </c>
      <c r="U278" s="273">
        <v>87.975321364739855</v>
      </c>
      <c r="V278" s="273">
        <f t="shared" si="144"/>
        <v>82.720068287037066</v>
      </c>
      <c r="W278" s="273">
        <f t="shared" si="145"/>
        <v>78.361792824074115</v>
      </c>
      <c r="X278" s="273">
        <f t="shared" si="146"/>
        <v>74.613675925925961</v>
      </c>
      <c r="Y278" s="273">
        <f t="shared" si="147"/>
        <v>70.865559027777806</v>
      </c>
      <c r="Z278" s="273">
        <f t="shared" si="148"/>
        <v>68.163428240740771</v>
      </c>
      <c r="AA278" s="273">
        <f t="shared" si="149"/>
        <v>62.759166666666687</v>
      </c>
      <c r="AB278" s="100">
        <v>1525</v>
      </c>
      <c r="AC278" s="101" t="s">
        <v>293</v>
      </c>
      <c r="AD278" s="159"/>
      <c r="AE278" s="159"/>
      <c r="AF278" s="164"/>
      <c r="AG278" s="164"/>
      <c r="AH278" s="164"/>
      <c r="AI278" s="159">
        <f t="shared" si="150"/>
        <v>2514935.0643603061</v>
      </c>
      <c r="AJ278" s="159">
        <f t="shared" si="139"/>
        <v>2409149.3836244387</v>
      </c>
      <c r="AK278" s="159">
        <f t="shared" si="140"/>
        <v>2339128.7572355554</v>
      </c>
      <c r="AL278" s="159">
        <f t="shared" si="141"/>
        <v>2282418.9088493269</v>
      </c>
      <c r="AM278" s="159">
        <f t="shared" si="142"/>
        <v>2261205.049360787</v>
      </c>
      <c r="AN278" s="159">
        <f t="shared" si="143"/>
        <v>2148170.3326858133</v>
      </c>
    </row>
    <row r="279" spans="1:40" x14ac:dyDescent="0.35">
      <c r="A279" s="46">
        <v>716</v>
      </c>
      <c r="B279" s="240" t="s">
        <v>294</v>
      </c>
      <c r="C279" s="364">
        <v>68.828703703703695</v>
      </c>
      <c r="D279" s="365">
        <v>1.1115905464783075E-3</v>
      </c>
      <c r="E279" s="191">
        <v>0.97599999999999998</v>
      </c>
      <c r="F279" s="191">
        <v>0.92200000000000004</v>
      </c>
      <c r="G279" s="191">
        <v>0.89900000000000002</v>
      </c>
      <c r="H279" s="191">
        <v>0.85299999999999998</v>
      </c>
      <c r="I279" s="191">
        <v>0.79700000000000004</v>
      </c>
      <c r="J279" s="191">
        <v>0.77700000000000002</v>
      </c>
      <c r="K279" s="361">
        <v>1.084912373362828E-3</v>
      </c>
      <c r="L279" s="362">
        <v>1.0248864838529996E-3</v>
      </c>
      <c r="M279" s="362">
        <v>9.9931990128399842E-4</v>
      </c>
      <c r="N279" s="362">
        <v>9.4818673614599622E-4</v>
      </c>
      <c r="O279" s="362">
        <v>8.8593766554321109E-4</v>
      </c>
      <c r="P279" s="363">
        <v>8.6370585461364492E-4</v>
      </c>
      <c r="Q279" s="273">
        <v>82.083333333333329</v>
      </c>
      <c r="R279" s="273">
        <v>77.856481481481495</v>
      </c>
      <c r="S279" s="273">
        <v>78.3704754632533</v>
      </c>
      <c r="T279" s="273">
        <v>78.852689334075677</v>
      </c>
      <c r="U279" s="273">
        <v>74.198210793657125</v>
      </c>
      <c r="V279" s="273">
        <f t="shared" si="144"/>
        <v>67.176814814814804</v>
      </c>
      <c r="W279" s="273">
        <f t="shared" si="145"/>
        <v>63.460064814814807</v>
      </c>
      <c r="X279" s="273">
        <f t="shared" si="146"/>
        <v>61.877004629629624</v>
      </c>
      <c r="Y279" s="273">
        <f t="shared" si="147"/>
        <v>58.710884259259252</v>
      </c>
      <c r="Z279" s="273">
        <f t="shared" si="148"/>
        <v>54.856476851851845</v>
      </c>
      <c r="AA279" s="273">
        <f t="shared" si="149"/>
        <v>53.479902777777774</v>
      </c>
      <c r="AB279" s="100">
        <v>716</v>
      </c>
      <c r="AC279" s="101" t="s">
        <v>294</v>
      </c>
      <c r="AD279" s="159"/>
      <c r="AE279" s="159"/>
      <c r="AF279" s="164"/>
      <c r="AG279" s="164"/>
      <c r="AH279" s="164"/>
      <c r="AI279" s="159">
        <f t="shared" si="150"/>
        <v>2042374.1250258589</v>
      </c>
      <c r="AJ279" s="159">
        <f t="shared" si="139"/>
        <v>1951011.7178739323</v>
      </c>
      <c r="AK279" s="159">
        <f t="shared" si="140"/>
        <v>1939835.8162176025</v>
      </c>
      <c r="AL279" s="159">
        <f t="shared" si="141"/>
        <v>1890944.4055337422</v>
      </c>
      <c r="AM279" s="159">
        <f t="shared" si="142"/>
        <v>1819769.7159458846</v>
      </c>
      <c r="AN279" s="159">
        <f t="shared" si="143"/>
        <v>1830552.3582288451</v>
      </c>
    </row>
    <row r="280" spans="1:40" x14ac:dyDescent="0.35">
      <c r="A280" s="46">
        <v>281</v>
      </c>
      <c r="B280" s="240" t="s">
        <v>295</v>
      </c>
      <c r="C280" s="364">
        <v>259.788194444444</v>
      </c>
      <c r="D280" s="365">
        <v>4.1956056919836057E-3</v>
      </c>
      <c r="E280" s="191">
        <v>0.95499999999999996</v>
      </c>
      <c r="F280" s="191">
        <v>0.92100000000000004</v>
      </c>
      <c r="G280" s="191">
        <v>0.88800000000000001</v>
      </c>
      <c r="H280" s="191">
        <v>0.84</v>
      </c>
      <c r="I280" s="191">
        <v>0.79500000000000004</v>
      </c>
      <c r="J280" s="191">
        <v>0.76300000000000001</v>
      </c>
      <c r="K280" s="361">
        <v>4.006803435844343E-3</v>
      </c>
      <c r="L280" s="362">
        <v>3.8641528423169012E-3</v>
      </c>
      <c r="M280" s="362">
        <v>3.7256978544814418E-3</v>
      </c>
      <c r="N280" s="362">
        <v>3.5243087812662287E-3</v>
      </c>
      <c r="O280" s="362">
        <v>3.3355065251269665E-3</v>
      </c>
      <c r="P280" s="363">
        <v>3.2012471429834913E-3</v>
      </c>
      <c r="Q280" s="273">
        <v>347.97076687915916</v>
      </c>
      <c r="R280" s="273">
        <v>326.13401861382567</v>
      </c>
      <c r="S280" s="273">
        <v>295.20759531437534</v>
      </c>
      <c r="T280" s="273">
        <v>278.31039634301118</v>
      </c>
      <c r="U280" s="273">
        <v>261.96298216416585</v>
      </c>
      <c r="V280" s="273">
        <f t="shared" si="144"/>
        <v>248.09772569444402</v>
      </c>
      <c r="W280" s="273">
        <f t="shared" si="145"/>
        <v>239.26492708333294</v>
      </c>
      <c r="X280" s="273">
        <f t="shared" si="146"/>
        <v>230.69191666666629</v>
      </c>
      <c r="Y280" s="273">
        <f t="shared" si="147"/>
        <v>218.22208333333296</v>
      </c>
      <c r="Z280" s="273">
        <f t="shared" si="148"/>
        <v>206.53161458333298</v>
      </c>
      <c r="AA280" s="273">
        <f t="shared" si="149"/>
        <v>198.21839236111077</v>
      </c>
      <c r="AB280" s="100">
        <v>281</v>
      </c>
      <c r="AC280" s="101" t="s">
        <v>295</v>
      </c>
      <c r="AD280" s="159"/>
      <c r="AE280" s="159"/>
      <c r="AF280" s="164"/>
      <c r="AG280" s="164"/>
      <c r="AH280" s="164"/>
      <c r="AI280" s="159">
        <f t="shared" si="150"/>
        <v>7542905.6413724013</v>
      </c>
      <c r="AJ280" s="159">
        <f t="shared" si="139"/>
        <v>7355943.8960241601</v>
      </c>
      <c r="AK280" s="159">
        <f t="shared" si="140"/>
        <v>7232160.7217489574</v>
      </c>
      <c r="AL280" s="159">
        <f t="shared" si="141"/>
        <v>7028438.3015063507</v>
      </c>
      <c r="AM280" s="159">
        <f t="shared" si="142"/>
        <v>6851332.7718651909</v>
      </c>
      <c r="AN280" s="159">
        <f t="shared" si="143"/>
        <v>6784775.7145088641</v>
      </c>
    </row>
    <row r="281" spans="1:40" x14ac:dyDescent="0.35">
      <c r="A281" s="46">
        <v>855</v>
      </c>
      <c r="B281" s="240" t="s">
        <v>296</v>
      </c>
      <c r="C281" s="364">
        <v>975.78703703704105</v>
      </c>
      <c r="D281" s="365">
        <v>1.5759059627445608E-2</v>
      </c>
      <c r="E281" s="191">
        <v>0.94599999999999995</v>
      </c>
      <c r="F281" s="191">
        <v>0.89</v>
      </c>
      <c r="G281" s="191">
        <v>0.83699999999999997</v>
      </c>
      <c r="H281" s="191">
        <v>0.78300000000000003</v>
      </c>
      <c r="I281" s="191">
        <v>0.72199999999999998</v>
      </c>
      <c r="J281" s="191">
        <v>0.67500000000000004</v>
      </c>
      <c r="K281" s="361">
        <v>1.4908070407563544E-2</v>
      </c>
      <c r="L281" s="362">
        <v>1.4025563068426592E-2</v>
      </c>
      <c r="M281" s="362">
        <v>1.3190332908171974E-2</v>
      </c>
      <c r="N281" s="362">
        <v>1.2339343688289912E-2</v>
      </c>
      <c r="O281" s="362">
        <v>1.1378041051015728E-2</v>
      </c>
      <c r="P281" s="363">
        <v>1.0637365248525786E-2</v>
      </c>
      <c r="Q281" s="273">
        <v>1306.4219468435845</v>
      </c>
      <c r="R281" s="273">
        <v>1234.6412287010944</v>
      </c>
      <c r="S281" s="273">
        <v>1155.807013695869</v>
      </c>
      <c r="T281" s="273">
        <v>1068.5568273069871</v>
      </c>
      <c r="U281" s="273">
        <v>999.07468285351263</v>
      </c>
      <c r="V281" s="273">
        <f t="shared" si="144"/>
        <v>923.09453703704082</v>
      </c>
      <c r="W281" s="273">
        <f t="shared" si="145"/>
        <v>868.45046296296653</v>
      </c>
      <c r="X281" s="273">
        <f t="shared" si="146"/>
        <v>816.73375000000328</v>
      </c>
      <c r="Y281" s="273">
        <f t="shared" si="147"/>
        <v>764.04125000000317</v>
      </c>
      <c r="Z281" s="273">
        <f t="shared" si="148"/>
        <v>704.51824074074364</v>
      </c>
      <c r="AA281" s="273">
        <f t="shared" si="149"/>
        <v>658.65625000000273</v>
      </c>
      <c r="AB281" s="100">
        <v>855</v>
      </c>
      <c r="AC281" s="101" t="s">
        <v>296</v>
      </c>
      <c r="AD281" s="159"/>
      <c r="AE281" s="159"/>
      <c r="AF281" s="164"/>
      <c r="AG281" s="164"/>
      <c r="AH281" s="164"/>
      <c r="AI281" s="159">
        <f t="shared" si="150"/>
        <v>28064807.814933822</v>
      </c>
      <c r="AJ281" s="159">
        <f t="shared" si="139"/>
        <v>26699579.248432159</v>
      </c>
      <c r="AK281" s="159">
        <f t="shared" si="140"/>
        <v>25604493.78645372</v>
      </c>
      <c r="AL281" s="159">
        <f t="shared" si="141"/>
        <v>24608035.554440849</v>
      </c>
      <c r="AM281" s="159">
        <f t="shared" si="142"/>
        <v>23371186.638432425</v>
      </c>
      <c r="AN281" s="159">
        <f t="shared" si="143"/>
        <v>22545006.424369808</v>
      </c>
    </row>
    <row r="282" spans="1:40" x14ac:dyDescent="0.35">
      <c r="A282" s="46">
        <v>183</v>
      </c>
      <c r="B282" s="240" t="s">
        <v>297</v>
      </c>
      <c r="C282" s="364">
        <v>73.363425925925895</v>
      </c>
      <c r="D282" s="365">
        <v>1.1848267703483213E-3</v>
      </c>
      <c r="E282" s="191">
        <v>0.93600000000000005</v>
      </c>
      <c r="F282" s="191">
        <v>0.86699999999999999</v>
      </c>
      <c r="G282" s="191">
        <v>0.82</v>
      </c>
      <c r="H282" s="191">
        <v>0.76500000000000001</v>
      </c>
      <c r="I282" s="191">
        <v>0.71099999999999997</v>
      </c>
      <c r="J282" s="191">
        <v>0.623</v>
      </c>
      <c r="K282" s="361">
        <v>1.1089978570460288E-3</v>
      </c>
      <c r="L282" s="362">
        <v>1.0272448098919945E-3</v>
      </c>
      <c r="M282" s="362">
        <v>9.7155795168562338E-4</v>
      </c>
      <c r="N282" s="362">
        <v>9.0639247931646586E-4</v>
      </c>
      <c r="O282" s="362">
        <v>8.4241183371765638E-4</v>
      </c>
      <c r="P282" s="363">
        <v>7.3814707792700413E-4</v>
      </c>
      <c r="Q282" s="273">
        <v>96.574074074074076</v>
      </c>
      <c r="R282" s="273">
        <v>91.613425925925895</v>
      </c>
      <c r="S282" s="273">
        <v>82.277305240199397</v>
      </c>
      <c r="T282" s="273">
        <v>76.490771051560799</v>
      </c>
      <c r="U282" s="273">
        <v>74.94034543967885</v>
      </c>
      <c r="V282" s="273">
        <f t="shared" si="144"/>
        <v>68.668166666666636</v>
      </c>
      <c r="W282" s="273">
        <f t="shared" si="145"/>
        <v>63.606090277777753</v>
      </c>
      <c r="X282" s="273">
        <f t="shared" si="146"/>
        <v>60.158009259259231</v>
      </c>
      <c r="Y282" s="273">
        <f t="shared" si="147"/>
        <v>56.123020833333314</v>
      </c>
      <c r="Z282" s="273">
        <f t="shared" si="148"/>
        <v>52.161395833333309</v>
      </c>
      <c r="AA282" s="273">
        <f t="shared" si="149"/>
        <v>45.705414351851836</v>
      </c>
      <c r="AB282" s="100">
        <v>183</v>
      </c>
      <c r="AC282" s="101" t="s">
        <v>297</v>
      </c>
      <c r="AD282" s="159"/>
      <c r="AE282" s="159"/>
      <c r="AF282" s="164"/>
      <c r="AG282" s="164"/>
      <c r="AH282" s="164"/>
      <c r="AI282" s="159">
        <f t="shared" si="150"/>
        <v>2087715.6381941768</v>
      </c>
      <c r="AJ282" s="159">
        <f t="shared" si="139"/>
        <v>1955501.114318453</v>
      </c>
      <c r="AK282" s="159">
        <f t="shared" si="140"/>
        <v>1885945.5413519058</v>
      </c>
      <c r="AL282" s="159">
        <f t="shared" si="141"/>
        <v>1807595.1947480387</v>
      </c>
      <c r="AM282" s="159">
        <f t="shared" si="142"/>
        <v>1730365.0166108222</v>
      </c>
      <c r="AN282" s="159">
        <f t="shared" si="143"/>
        <v>1564441.0270015344</v>
      </c>
    </row>
    <row r="283" spans="1:40" x14ac:dyDescent="0.35">
      <c r="A283" s="46">
        <v>1700</v>
      </c>
      <c r="B283" s="240" t="s">
        <v>298</v>
      </c>
      <c r="C283" s="364">
        <v>223.333333333333</v>
      </c>
      <c r="D283" s="365">
        <v>3.6068559872276503E-3</v>
      </c>
      <c r="E283" s="191">
        <v>0.94599999999999995</v>
      </c>
      <c r="F283" s="191">
        <v>0.89400000000000002</v>
      </c>
      <c r="G283" s="191">
        <v>0.82</v>
      </c>
      <c r="H283" s="191">
        <v>0.76400000000000001</v>
      </c>
      <c r="I283" s="191">
        <v>0.67</v>
      </c>
      <c r="J283" s="191">
        <v>0.59799999999999998</v>
      </c>
      <c r="K283" s="361">
        <v>3.4120857639173569E-3</v>
      </c>
      <c r="L283" s="362">
        <v>3.2245292525815194E-3</v>
      </c>
      <c r="M283" s="362">
        <v>2.9576219095266728E-3</v>
      </c>
      <c r="N283" s="362">
        <v>2.755637974241925E-3</v>
      </c>
      <c r="O283" s="362">
        <v>2.4165935114425258E-3</v>
      </c>
      <c r="P283" s="363">
        <v>2.1568998803621346E-3</v>
      </c>
      <c r="Q283" s="273">
        <v>296.2599965440827</v>
      </c>
      <c r="R283" s="273">
        <v>278.94956070822371</v>
      </c>
      <c r="S283" s="273">
        <v>265.07605215751931</v>
      </c>
      <c r="T283" s="273">
        <v>246.38788543688929</v>
      </c>
      <c r="U283" s="273">
        <v>221.54046091692427</v>
      </c>
      <c r="V283" s="273">
        <f t="shared" si="144"/>
        <v>211.273333333333</v>
      </c>
      <c r="W283" s="273">
        <f t="shared" si="145"/>
        <v>199.65999999999971</v>
      </c>
      <c r="X283" s="273">
        <f t="shared" si="146"/>
        <v>183.13333333333304</v>
      </c>
      <c r="Y283" s="273">
        <f t="shared" si="147"/>
        <v>170.62666666666641</v>
      </c>
      <c r="Z283" s="273">
        <f t="shared" si="148"/>
        <v>149.63333333333313</v>
      </c>
      <c r="AA283" s="273">
        <f t="shared" si="149"/>
        <v>133.55333333333314</v>
      </c>
      <c r="AB283" s="100">
        <v>1700</v>
      </c>
      <c r="AC283" s="101" t="s">
        <v>298</v>
      </c>
      <c r="AD283" s="159"/>
      <c r="AE283" s="159"/>
      <c r="AF283" s="164"/>
      <c r="AG283" s="164"/>
      <c r="AH283" s="164"/>
      <c r="AI283" s="159">
        <f t="shared" si="150"/>
        <v>6423335.052390757</v>
      </c>
      <c r="AJ283" s="159">
        <f t="shared" si="139"/>
        <v>6138332.8354207817</v>
      </c>
      <c r="AK283" s="159">
        <f t="shared" si="140"/>
        <v>5741205.4974168325</v>
      </c>
      <c r="AL283" s="159">
        <f t="shared" si="141"/>
        <v>5495497.8934305403</v>
      </c>
      <c r="AM283" s="159">
        <f t="shared" si="142"/>
        <v>4963829.6901825778</v>
      </c>
      <c r="AN283" s="159">
        <f t="shared" si="143"/>
        <v>4571368.9925450273</v>
      </c>
    </row>
    <row r="284" spans="1:40" x14ac:dyDescent="0.35">
      <c r="A284" s="46">
        <v>737</v>
      </c>
      <c r="B284" s="240" t="s">
        <v>300</v>
      </c>
      <c r="C284" s="364">
        <v>119.729166666667</v>
      </c>
      <c r="D284" s="365">
        <v>1.9336381864363242E-3</v>
      </c>
      <c r="E284" s="191">
        <v>0.95199999999999996</v>
      </c>
      <c r="F284" s="191">
        <v>0.92900000000000005</v>
      </c>
      <c r="G284" s="191">
        <v>0.88</v>
      </c>
      <c r="H284" s="191">
        <v>0.81</v>
      </c>
      <c r="I284" s="191">
        <v>0.75900000000000001</v>
      </c>
      <c r="J284" s="191">
        <v>0.73</v>
      </c>
      <c r="K284" s="361">
        <v>1.8408235534873806E-3</v>
      </c>
      <c r="L284" s="362">
        <v>1.7963498751993453E-3</v>
      </c>
      <c r="M284" s="362">
        <v>1.7016016040639654E-3</v>
      </c>
      <c r="N284" s="362">
        <v>1.5662469310134227E-3</v>
      </c>
      <c r="O284" s="362">
        <v>1.4676313835051702E-3</v>
      </c>
      <c r="P284" s="363">
        <v>1.4115558760985165E-3</v>
      </c>
      <c r="Q284" s="273">
        <v>152.70868908732163</v>
      </c>
      <c r="R284" s="273">
        <v>142.52251020577785</v>
      </c>
      <c r="S284" s="273">
        <v>136.0009532386303</v>
      </c>
      <c r="T284" s="273">
        <v>126.87363797153928</v>
      </c>
      <c r="U284" s="273">
        <v>118.950395700413</v>
      </c>
      <c r="V284" s="273">
        <f t="shared" si="144"/>
        <v>113.98216666666698</v>
      </c>
      <c r="W284" s="273">
        <f t="shared" si="145"/>
        <v>111.22839583333365</v>
      </c>
      <c r="X284" s="273">
        <f t="shared" si="146"/>
        <v>105.36166666666696</v>
      </c>
      <c r="Y284" s="273">
        <f t="shared" si="147"/>
        <v>96.980625000000273</v>
      </c>
      <c r="Z284" s="273">
        <f t="shared" si="148"/>
        <v>90.874437500000255</v>
      </c>
      <c r="AA284" s="273">
        <f t="shared" si="149"/>
        <v>87.402291666666912</v>
      </c>
      <c r="AB284" s="100">
        <v>737</v>
      </c>
      <c r="AC284" s="101" t="s">
        <v>300</v>
      </c>
      <c r="AD284" s="159"/>
      <c r="AE284" s="159"/>
      <c r="AF284" s="164"/>
      <c r="AG284" s="164"/>
      <c r="AH284" s="164"/>
      <c r="AI284" s="159">
        <f t="shared" si="150"/>
        <v>3465395.4427003656</v>
      </c>
      <c r="AJ284" s="159">
        <f t="shared" si="139"/>
        <v>3419597.8882847494</v>
      </c>
      <c r="AK284" s="159">
        <f t="shared" si="140"/>
        <v>3303074.1529869083</v>
      </c>
      <c r="AL284" s="159">
        <f t="shared" si="141"/>
        <v>3123525.9458725452</v>
      </c>
      <c r="AM284" s="159">
        <f t="shared" si="142"/>
        <v>3014603.9047080167</v>
      </c>
      <c r="AN284" s="159">
        <f t="shared" si="143"/>
        <v>2991674.6817928795</v>
      </c>
    </row>
    <row r="286" spans="1:40" x14ac:dyDescent="0.35">
      <c r="A286" s="46">
        <v>450</v>
      </c>
      <c r="B286" s="240" t="s">
        <v>302</v>
      </c>
      <c r="C286" s="364">
        <v>26.744212962963001</v>
      </c>
      <c r="D286" s="365">
        <v>4.3192175216039369E-4</v>
      </c>
      <c r="E286" s="191">
        <v>0.92300000000000004</v>
      </c>
      <c r="F286" s="191">
        <v>0.90200000000000002</v>
      </c>
      <c r="G286" s="191">
        <v>0.88100000000000001</v>
      </c>
      <c r="H286" s="191">
        <v>0.86</v>
      </c>
      <c r="I286" s="191">
        <v>0.82299999999999995</v>
      </c>
      <c r="J286" s="191">
        <v>0.80300000000000005</v>
      </c>
      <c r="K286" s="361">
        <v>3.9866377724404338E-4</v>
      </c>
      <c r="L286" s="362">
        <v>3.895934204486751E-4</v>
      </c>
      <c r="M286" s="362">
        <v>3.8052306365330682E-4</v>
      </c>
      <c r="N286" s="362">
        <v>3.7145270685793859E-4</v>
      </c>
      <c r="O286" s="362">
        <v>3.55471602028004E-4</v>
      </c>
      <c r="P286" s="363">
        <v>3.4683316698479617E-4</v>
      </c>
      <c r="Q286" s="273">
        <v>31.604166666666668</v>
      </c>
      <c r="R286" s="273">
        <v>29.129629629629601</v>
      </c>
      <c r="S286" s="273">
        <v>27.756655897166869</v>
      </c>
      <c r="T286" s="273">
        <v>26.59824941951393</v>
      </c>
      <c r="U286" s="273">
        <v>26.785323978146518</v>
      </c>
      <c r="V286" s="273">
        <f t="shared" si="144"/>
        <v>24.684908564814851</v>
      </c>
      <c r="W286" s="273">
        <f t="shared" si="145"/>
        <v>24.123280092592626</v>
      </c>
      <c r="X286" s="273">
        <f t="shared" si="146"/>
        <v>23.561651620370405</v>
      </c>
      <c r="Y286" s="273">
        <f t="shared" si="147"/>
        <v>23.00002314814818</v>
      </c>
      <c r="Z286" s="273">
        <f t="shared" si="148"/>
        <v>22.010487268518549</v>
      </c>
      <c r="AA286" s="273">
        <f t="shared" si="149"/>
        <v>21.475603009259292</v>
      </c>
      <c r="AB286" s="100">
        <v>450</v>
      </c>
      <c r="AC286" s="101" t="s">
        <v>302</v>
      </c>
      <c r="AD286" s="159"/>
      <c r="AE286" s="159"/>
      <c r="AF286" s="164"/>
      <c r="AG286" s="164"/>
      <c r="AH286" s="164"/>
      <c r="AI286" s="159">
        <f t="shared" si="150"/>
        <v>750494.32859220111</v>
      </c>
      <c r="AJ286" s="159">
        <f t="shared" ref="AJ286:AJ314" si="151">+W286*AJ$8</f>
        <v>741644.40694387467</v>
      </c>
      <c r="AK286" s="159">
        <f t="shared" ref="AK286:AK314" si="152">+X286*AK$8</f>
        <v>738654.62583413359</v>
      </c>
      <c r="AL286" s="159">
        <f t="shared" ref="AL286:AL314" si="153">+Y286*AL$8</f>
        <v>740778.57364715671</v>
      </c>
      <c r="AM286" s="159">
        <f t="shared" ref="AM286:AM314" si="154">+Z286*AM$8</f>
        <v>730160.23746173864</v>
      </c>
      <c r="AN286" s="159">
        <f t="shared" ref="AN286:AN314" si="155">+AA286*AN$8</f>
        <v>735083.90425349236</v>
      </c>
    </row>
    <row r="287" spans="1:40" x14ac:dyDescent="0.35">
      <c r="A287" s="46">
        <v>451</v>
      </c>
      <c r="B287" s="240" t="s">
        <v>303</v>
      </c>
      <c r="C287" s="364">
        <v>39.0277777777778</v>
      </c>
      <c r="D287" s="365">
        <v>6.3030256990732078E-4</v>
      </c>
      <c r="E287" s="191">
        <v>0.97499999999999998</v>
      </c>
      <c r="F287" s="191">
        <v>0.90300000000000002</v>
      </c>
      <c r="G287" s="191">
        <v>0.88100000000000001</v>
      </c>
      <c r="H287" s="191">
        <v>0.82599999999999996</v>
      </c>
      <c r="I287" s="191">
        <v>0.77700000000000002</v>
      </c>
      <c r="J287" s="191">
        <v>0.72099999999999997</v>
      </c>
      <c r="K287" s="361">
        <v>6.1454500565963778E-4</v>
      </c>
      <c r="L287" s="362">
        <v>5.6916322062631065E-4</v>
      </c>
      <c r="M287" s="362">
        <v>5.5529656408834964E-4</v>
      </c>
      <c r="N287" s="362">
        <v>5.2062992274344696E-4</v>
      </c>
      <c r="O287" s="362">
        <v>4.8974509681798829E-4</v>
      </c>
      <c r="P287" s="363">
        <v>4.5444815290317827E-4</v>
      </c>
      <c r="Q287" s="273">
        <v>56.498842592592609</v>
      </c>
      <c r="R287" s="273">
        <v>52.162037037037003</v>
      </c>
      <c r="S287" s="273">
        <v>47.169314615003444</v>
      </c>
      <c r="T287" s="273">
        <v>43.765524964451735</v>
      </c>
      <c r="U287" s="273">
        <v>40.186893602948821</v>
      </c>
      <c r="V287" s="273">
        <f t="shared" si="144"/>
        <v>38.052083333333357</v>
      </c>
      <c r="W287" s="273">
        <f t="shared" si="145"/>
        <v>35.242083333333355</v>
      </c>
      <c r="X287" s="273">
        <f t="shared" si="146"/>
        <v>34.383472222222245</v>
      </c>
      <c r="Y287" s="273">
        <f t="shared" si="147"/>
        <v>32.236944444444461</v>
      </c>
      <c r="Z287" s="273">
        <f t="shared" si="148"/>
        <v>30.324583333333351</v>
      </c>
      <c r="AA287" s="273">
        <f t="shared" si="149"/>
        <v>28.139027777777791</v>
      </c>
      <c r="AB287" s="100">
        <v>451</v>
      </c>
      <c r="AC287" s="101" t="s">
        <v>303</v>
      </c>
      <c r="AD287" s="159"/>
      <c r="AE287" s="159"/>
      <c r="AF287" s="164"/>
      <c r="AG287" s="164"/>
      <c r="AH287" s="164"/>
      <c r="AI287" s="159">
        <f t="shared" si="150"/>
        <v>1156896.0305362467</v>
      </c>
      <c r="AJ287" s="159">
        <f t="shared" si="151"/>
        <v>1083480.1027428424</v>
      </c>
      <c r="AK287" s="159">
        <f t="shared" si="152"/>
        <v>1077917.2537814067</v>
      </c>
      <c r="AL287" s="159">
        <f t="shared" si="153"/>
        <v>1038278.8560897993</v>
      </c>
      <c r="AM287" s="159">
        <f t="shared" si="154"/>
        <v>1005966.1422972782</v>
      </c>
      <c r="AN287" s="159">
        <f t="shared" si="155"/>
        <v>963164.87094067375</v>
      </c>
    </row>
    <row r="288" spans="1:40" x14ac:dyDescent="0.35">
      <c r="A288" s="46">
        <v>184</v>
      </c>
      <c r="B288" s="240" t="s">
        <v>304</v>
      </c>
      <c r="C288" s="364">
        <v>53.925925925925903</v>
      </c>
      <c r="D288" s="365">
        <v>8.7090917369875038E-4</v>
      </c>
      <c r="E288" s="191">
        <v>0.96</v>
      </c>
      <c r="F288" s="191">
        <v>0.92</v>
      </c>
      <c r="G288" s="191">
        <v>0.88100000000000001</v>
      </c>
      <c r="H288" s="191">
        <v>0.82299999999999995</v>
      </c>
      <c r="I288" s="191">
        <v>0.78700000000000003</v>
      </c>
      <c r="J288" s="191">
        <v>0.753</v>
      </c>
      <c r="K288" s="361">
        <v>8.3607280675080037E-4</v>
      </c>
      <c r="L288" s="362">
        <v>8.0123643980285037E-4</v>
      </c>
      <c r="M288" s="362">
        <v>7.6727098202859908E-4</v>
      </c>
      <c r="N288" s="362">
        <v>7.167582499540715E-4</v>
      </c>
      <c r="O288" s="362">
        <v>6.8540551970091657E-4</v>
      </c>
      <c r="P288" s="363">
        <v>6.5579460779515905E-4</v>
      </c>
      <c r="Q288" s="273">
        <v>66.849537037037024</v>
      </c>
      <c r="R288" s="273">
        <v>62.9722222222222</v>
      </c>
      <c r="S288" s="273">
        <v>56.859175539402003</v>
      </c>
      <c r="T288" s="273">
        <v>54.422741986672918</v>
      </c>
      <c r="U288" s="273">
        <v>54.281704555589272</v>
      </c>
      <c r="V288" s="273">
        <f t="shared" si="144"/>
        <v>51.768888888888867</v>
      </c>
      <c r="W288" s="273">
        <f t="shared" si="145"/>
        <v>49.611851851851831</v>
      </c>
      <c r="X288" s="273">
        <f t="shared" si="146"/>
        <v>47.50874074074072</v>
      </c>
      <c r="Y288" s="273">
        <f t="shared" si="147"/>
        <v>44.381037037037018</v>
      </c>
      <c r="Z288" s="273">
        <f t="shared" si="148"/>
        <v>42.439703703703685</v>
      </c>
      <c r="AA288" s="273">
        <f t="shared" si="149"/>
        <v>40.606222222222208</v>
      </c>
      <c r="AB288" s="100">
        <v>184</v>
      </c>
      <c r="AC288" s="101" t="s">
        <v>304</v>
      </c>
      <c r="AD288" s="159"/>
      <c r="AE288" s="159"/>
      <c r="AF288" s="164"/>
      <c r="AG288" s="164"/>
      <c r="AH288" s="164"/>
      <c r="AI288" s="159">
        <f t="shared" si="150"/>
        <v>1573927.5438925377</v>
      </c>
      <c r="AJ288" s="159">
        <f t="shared" si="151"/>
        <v>1525263.243755654</v>
      </c>
      <c r="AK288" s="159">
        <f t="shared" si="152"/>
        <v>1489392.6657231094</v>
      </c>
      <c r="AL288" s="159">
        <f t="shared" si="153"/>
        <v>1429412.5315228184</v>
      </c>
      <c r="AM288" s="159">
        <f t="shared" si="154"/>
        <v>1407864.5218556214</v>
      </c>
      <c r="AN288" s="159">
        <f t="shared" si="155"/>
        <v>1389901.8507292445</v>
      </c>
    </row>
    <row r="289" spans="1:40" x14ac:dyDescent="0.35">
      <c r="A289" s="46">
        <v>344</v>
      </c>
      <c r="B289" s="240" t="s">
        <v>305</v>
      </c>
      <c r="C289" s="364">
        <v>600.95949074074201</v>
      </c>
      <c r="D289" s="365">
        <v>9.7055567339978874E-3</v>
      </c>
      <c r="E289" s="191">
        <v>0.94199999999999995</v>
      </c>
      <c r="F289" s="191">
        <v>0.88300000000000001</v>
      </c>
      <c r="G289" s="191">
        <v>0.83599999999999997</v>
      </c>
      <c r="H289" s="191">
        <v>0.76500000000000001</v>
      </c>
      <c r="I289" s="191">
        <v>0.7</v>
      </c>
      <c r="J289" s="191">
        <v>0.64400000000000002</v>
      </c>
      <c r="K289" s="361">
        <v>9.1426344434260096E-3</v>
      </c>
      <c r="L289" s="362">
        <v>8.570006596120134E-3</v>
      </c>
      <c r="M289" s="362">
        <v>8.1138454296222334E-3</v>
      </c>
      <c r="N289" s="362">
        <v>7.4247509015083844E-3</v>
      </c>
      <c r="O289" s="362">
        <v>6.7938897137985212E-3</v>
      </c>
      <c r="P289" s="363">
        <v>6.2503785366946393E-3</v>
      </c>
      <c r="Q289" s="273">
        <v>787.32652494835281</v>
      </c>
      <c r="R289" s="273">
        <v>745.47777314299867</v>
      </c>
      <c r="S289" s="273">
        <v>707.04353616095523</v>
      </c>
      <c r="T289" s="273">
        <v>662.84862561161708</v>
      </c>
      <c r="U289" s="273">
        <v>614.28602595472125</v>
      </c>
      <c r="V289" s="273">
        <f t="shared" si="144"/>
        <v>566.103840277779</v>
      </c>
      <c r="W289" s="273">
        <f t="shared" si="145"/>
        <v>530.64723032407517</v>
      </c>
      <c r="X289" s="273">
        <f t="shared" si="146"/>
        <v>502.40213425926032</v>
      </c>
      <c r="Y289" s="273">
        <f t="shared" si="147"/>
        <v>459.73401041666767</v>
      </c>
      <c r="Z289" s="273">
        <f t="shared" si="148"/>
        <v>420.67164351851937</v>
      </c>
      <c r="AA289" s="273">
        <f t="shared" si="149"/>
        <v>387.01791203703789</v>
      </c>
      <c r="AB289" s="100">
        <v>344</v>
      </c>
      <c r="AC289" s="101" t="s">
        <v>305</v>
      </c>
      <c r="AD289" s="159"/>
      <c r="AE289" s="159"/>
      <c r="AF289" s="164"/>
      <c r="AG289" s="164"/>
      <c r="AH289" s="164"/>
      <c r="AI289" s="159">
        <f t="shared" si="150"/>
        <v>17211233.349606901</v>
      </c>
      <c r="AJ289" s="159">
        <f t="shared" si="151"/>
        <v>16314180.696801411</v>
      </c>
      <c r="AK289" s="159">
        <f t="shared" si="152"/>
        <v>15750239.689424206</v>
      </c>
      <c r="AL289" s="159">
        <f t="shared" si="153"/>
        <v>14806989.640832862</v>
      </c>
      <c r="AM289" s="159">
        <f t="shared" si="154"/>
        <v>13955061.665728208</v>
      </c>
      <c r="AN289" s="159">
        <f t="shared" si="155"/>
        <v>13247154.814398516</v>
      </c>
    </row>
    <row r="290" spans="1:40" x14ac:dyDescent="0.35">
      <c r="A290" s="46">
        <v>1581</v>
      </c>
      <c r="B290" s="240" t="s">
        <v>306</v>
      </c>
      <c r="C290" s="364">
        <v>48.1388888888889</v>
      </c>
      <c r="D290" s="365">
        <v>7.7744793854048872E-4</v>
      </c>
      <c r="E290" s="191">
        <v>0.92200000000000004</v>
      </c>
      <c r="F290" s="191">
        <v>0.88100000000000001</v>
      </c>
      <c r="G290" s="191">
        <v>0.82299999999999995</v>
      </c>
      <c r="H290" s="191">
        <v>0.76900000000000002</v>
      </c>
      <c r="I290" s="191">
        <v>0.73299999999999998</v>
      </c>
      <c r="J290" s="191">
        <v>0.70599999999999996</v>
      </c>
      <c r="K290" s="361">
        <v>7.1680699933433063E-4</v>
      </c>
      <c r="L290" s="362">
        <v>6.849316338541706E-4</v>
      </c>
      <c r="M290" s="362">
        <v>6.3983965341882221E-4</v>
      </c>
      <c r="N290" s="362">
        <v>5.9785746473763589E-4</v>
      </c>
      <c r="O290" s="362">
        <v>5.6986933895017823E-4</v>
      </c>
      <c r="P290" s="363">
        <v>5.4887824460958501E-4</v>
      </c>
      <c r="Q290" s="273">
        <v>65.296296296296276</v>
      </c>
      <c r="R290" s="273">
        <v>64.078703703703695</v>
      </c>
      <c r="S290" s="273">
        <v>58.165682053050759</v>
      </c>
      <c r="T290" s="273">
        <v>56.561418624515596</v>
      </c>
      <c r="U290" s="273">
        <v>49.712096109156434</v>
      </c>
      <c r="V290" s="273">
        <f t="shared" si="144"/>
        <v>44.38405555555557</v>
      </c>
      <c r="W290" s="273">
        <f t="shared" si="145"/>
        <v>42.410361111111122</v>
      </c>
      <c r="X290" s="273">
        <f t="shared" si="146"/>
        <v>39.618305555555565</v>
      </c>
      <c r="Y290" s="273">
        <f t="shared" si="147"/>
        <v>37.018805555555566</v>
      </c>
      <c r="Z290" s="273">
        <f t="shared" si="148"/>
        <v>35.285805555555562</v>
      </c>
      <c r="AA290" s="273">
        <f t="shared" si="149"/>
        <v>33.986055555555559</v>
      </c>
      <c r="AB290" s="100">
        <v>1581</v>
      </c>
      <c r="AC290" s="101" t="s">
        <v>306</v>
      </c>
      <c r="AD290" s="159"/>
      <c r="AE290" s="159"/>
      <c r="AF290" s="164"/>
      <c r="AG290" s="164"/>
      <c r="AH290" s="164"/>
      <c r="AI290" s="159">
        <f t="shared" si="150"/>
        <v>1349406.7392189861</v>
      </c>
      <c r="AJ290" s="159">
        <f t="shared" si="151"/>
        <v>1303861.1247640308</v>
      </c>
      <c r="AK290" s="159">
        <f t="shared" si="152"/>
        <v>1242028.578379482</v>
      </c>
      <c r="AL290" s="159">
        <f t="shared" si="153"/>
        <v>1192291.7555747677</v>
      </c>
      <c r="AM290" s="159">
        <f t="shared" si="154"/>
        <v>1170546.196872419</v>
      </c>
      <c r="AN290" s="159">
        <f t="shared" si="155"/>
        <v>1163301.5565235829</v>
      </c>
    </row>
    <row r="291" spans="1:40" x14ac:dyDescent="0.35">
      <c r="A291" s="46">
        <v>981</v>
      </c>
      <c r="B291" s="240" t="s">
        <v>307</v>
      </c>
      <c r="C291" s="364">
        <v>55.018518518518498</v>
      </c>
      <c r="D291" s="365">
        <v>8.8855465489663026E-4</v>
      </c>
      <c r="E291" s="191">
        <v>0.92100000000000004</v>
      </c>
      <c r="F291" s="191">
        <v>0.83699999999999997</v>
      </c>
      <c r="G291" s="191">
        <v>0.77700000000000002</v>
      </c>
      <c r="H291" s="191">
        <v>0.745</v>
      </c>
      <c r="I291" s="191">
        <v>0.66100000000000003</v>
      </c>
      <c r="J291" s="191">
        <v>0.60699999999999998</v>
      </c>
      <c r="K291" s="361">
        <v>8.183588371597965E-4</v>
      </c>
      <c r="L291" s="362">
        <v>7.4372024614847954E-4</v>
      </c>
      <c r="M291" s="362">
        <v>6.9040696685468178E-4</v>
      </c>
      <c r="N291" s="362">
        <v>6.6197321789798953E-4</v>
      </c>
      <c r="O291" s="362">
        <v>5.8733462688667258E-4</v>
      </c>
      <c r="P291" s="363">
        <v>5.3935267552225456E-4</v>
      </c>
      <c r="Q291" s="273">
        <v>70.722222222222214</v>
      </c>
      <c r="R291" s="273">
        <v>65.3055555555556</v>
      </c>
      <c r="S291" s="273">
        <v>58.499250875002765</v>
      </c>
      <c r="T291" s="273">
        <v>56.25645224881697</v>
      </c>
      <c r="U291" s="273">
        <v>50.775535640131359</v>
      </c>
      <c r="V291" s="273">
        <f t="shared" si="144"/>
        <v>50.672055555555538</v>
      </c>
      <c r="W291" s="273">
        <f t="shared" si="145"/>
        <v>46.050499999999978</v>
      </c>
      <c r="X291" s="273">
        <f t="shared" si="146"/>
        <v>42.749388888888873</v>
      </c>
      <c r="Y291" s="273">
        <f t="shared" si="147"/>
        <v>40.988796296296279</v>
      </c>
      <c r="Z291" s="273">
        <f t="shared" si="148"/>
        <v>36.367240740740726</v>
      </c>
      <c r="AA291" s="273">
        <f t="shared" si="149"/>
        <v>33.39624074074073</v>
      </c>
      <c r="AB291" s="100">
        <v>981</v>
      </c>
      <c r="AC291" s="101" t="s">
        <v>307</v>
      </c>
      <c r="AD291" s="159"/>
      <c r="AE291" s="159"/>
      <c r="AF291" s="164"/>
      <c r="AG291" s="164"/>
      <c r="AH291" s="164"/>
      <c r="AI291" s="159">
        <f t="shared" si="150"/>
        <v>1540580.5621155479</v>
      </c>
      <c r="AJ291" s="159">
        <f t="shared" si="151"/>
        <v>1415773.2957905689</v>
      </c>
      <c r="AK291" s="159">
        <f t="shared" si="152"/>
        <v>1340187.6219517614</v>
      </c>
      <c r="AL291" s="159">
        <f t="shared" si="153"/>
        <v>1320156.1520310428</v>
      </c>
      <c r="AM291" s="159">
        <f t="shared" si="154"/>
        <v>1206420.9579343274</v>
      </c>
      <c r="AN291" s="159">
        <f t="shared" si="155"/>
        <v>1143112.9091233816</v>
      </c>
    </row>
    <row r="292" spans="1:40" x14ac:dyDescent="0.35">
      <c r="A292" s="46">
        <v>994</v>
      </c>
      <c r="B292" s="240" t="s">
        <v>308</v>
      </c>
      <c r="C292" s="364">
        <v>52.9895833333333</v>
      </c>
      <c r="D292" s="365">
        <v>8.5578714585014337E-4</v>
      </c>
      <c r="E292" s="191">
        <v>0.95699999999999996</v>
      </c>
      <c r="F292" s="191">
        <v>0.874</v>
      </c>
      <c r="G292" s="191">
        <v>0.85199999999999998</v>
      </c>
      <c r="H292" s="191">
        <v>0.79600000000000004</v>
      </c>
      <c r="I292" s="191">
        <v>0.73399999999999999</v>
      </c>
      <c r="J292" s="191">
        <v>0.69099999999999995</v>
      </c>
      <c r="K292" s="361">
        <v>8.1898829857858719E-4</v>
      </c>
      <c r="L292" s="362">
        <v>7.4795796547302536E-4</v>
      </c>
      <c r="M292" s="362">
        <v>7.2913064826432214E-4</v>
      </c>
      <c r="N292" s="362">
        <v>6.8120656809671416E-4</v>
      </c>
      <c r="O292" s="362">
        <v>6.2814776505400519E-4</v>
      </c>
      <c r="P292" s="363">
        <v>5.91348917782449E-4</v>
      </c>
      <c r="Q292" s="273">
        <v>75.708333333333314</v>
      </c>
      <c r="R292" s="273">
        <v>68.116898148148195</v>
      </c>
      <c r="S292" s="273">
        <v>63.269800038346034</v>
      </c>
      <c r="T292" s="273">
        <v>59.006456418783777</v>
      </c>
      <c r="U292" s="273">
        <v>55.332617379616217</v>
      </c>
      <c r="V292" s="273">
        <f t="shared" si="144"/>
        <v>50.711031249999969</v>
      </c>
      <c r="W292" s="273">
        <f t="shared" si="145"/>
        <v>46.312895833333307</v>
      </c>
      <c r="X292" s="273">
        <f t="shared" si="146"/>
        <v>45.147124999999974</v>
      </c>
      <c r="Y292" s="273">
        <f t="shared" si="147"/>
        <v>42.179708333333309</v>
      </c>
      <c r="Z292" s="273">
        <f t="shared" si="148"/>
        <v>38.894354166666645</v>
      </c>
      <c r="AA292" s="273">
        <f t="shared" si="149"/>
        <v>36.615802083333307</v>
      </c>
      <c r="AB292" s="100">
        <v>994</v>
      </c>
      <c r="AC292" s="101" t="s">
        <v>308</v>
      </c>
      <c r="AD292" s="159"/>
      <c r="AE292" s="159"/>
      <c r="AF292" s="164"/>
      <c r="AG292" s="164"/>
      <c r="AH292" s="164"/>
      <c r="AI292" s="159">
        <f t="shared" si="150"/>
        <v>1541765.5386592804</v>
      </c>
      <c r="AJ292" s="159">
        <f t="shared" si="151"/>
        <v>1423840.3746227215</v>
      </c>
      <c r="AK292" s="159">
        <f t="shared" si="152"/>
        <v>1415356.3282266026</v>
      </c>
      <c r="AL292" s="159">
        <f t="shared" si="153"/>
        <v>1358512.72734634</v>
      </c>
      <c r="AM292" s="159">
        <f t="shared" si="154"/>
        <v>1290253.6199129648</v>
      </c>
      <c r="AN292" s="159">
        <f t="shared" si="155"/>
        <v>1253314.5980201347</v>
      </c>
    </row>
    <row r="293" spans="1:40" x14ac:dyDescent="0.35">
      <c r="A293" s="46">
        <v>858</v>
      </c>
      <c r="B293" s="240" t="s">
        <v>309</v>
      </c>
      <c r="C293" s="364">
        <v>118.900462962963</v>
      </c>
      <c r="D293" s="365">
        <v>1.9202545375616564E-3</v>
      </c>
      <c r="E293" s="191">
        <v>0.97299999999999998</v>
      </c>
      <c r="F293" s="191">
        <v>0.93</v>
      </c>
      <c r="G293" s="191">
        <v>0.9</v>
      </c>
      <c r="H293" s="191">
        <v>0.84699999999999998</v>
      </c>
      <c r="I293" s="191">
        <v>0.81</v>
      </c>
      <c r="J293" s="191">
        <v>0.751</v>
      </c>
      <c r="K293" s="361">
        <v>1.8684076650474916E-3</v>
      </c>
      <c r="L293" s="362">
        <v>1.7858367199323406E-3</v>
      </c>
      <c r="M293" s="362">
        <v>1.7282290838054907E-3</v>
      </c>
      <c r="N293" s="362">
        <v>1.6264555933147228E-3</v>
      </c>
      <c r="O293" s="362">
        <v>1.5554061754249418E-3</v>
      </c>
      <c r="P293" s="363">
        <v>1.442111157708804E-3</v>
      </c>
      <c r="Q293" s="273">
        <v>135.80803544141713</v>
      </c>
      <c r="R293" s="273">
        <v>133.78320122339244</v>
      </c>
      <c r="S293" s="273">
        <v>130.01403750533501</v>
      </c>
      <c r="T293" s="273">
        <v>126.11504724283913</v>
      </c>
      <c r="U293" s="273">
        <v>118.63493340239745</v>
      </c>
      <c r="V293" s="273">
        <f t="shared" si="144"/>
        <v>115.690150462963</v>
      </c>
      <c r="W293" s="273">
        <f t="shared" si="145"/>
        <v>110.57743055555559</v>
      </c>
      <c r="X293" s="273">
        <f t="shared" si="146"/>
        <v>107.0104166666667</v>
      </c>
      <c r="Y293" s="273">
        <f t="shared" si="147"/>
        <v>100.70869212962967</v>
      </c>
      <c r="Z293" s="273">
        <f t="shared" si="148"/>
        <v>96.309375000000045</v>
      </c>
      <c r="AA293" s="273">
        <f t="shared" si="149"/>
        <v>89.294247685185212</v>
      </c>
      <c r="AB293" s="100">
        <v>858</v>
      </c>
      <c r="AC293" s="101" t="s">
        <v>309</v>
      </c>
      <c r="AD293" s="159"/>
      <c r="AE293" s="159"/>
      <c r="AF293" s="164"/>
      <c r="AG293" s="164"/>
      <c r="AH293" s="164"/>
      <c r="AI293" s="159">
        <f t="shared" si="150"/>
        <v>3517323.20856921</v>
      </c>
      <c r="AJ293" s="159">
        <f t="shared" si="151"/>
        <v>3399584.6580969105</v>
      </c>
      <c r="AK293" s="159">
        <f t="shared" si="152"/>
        <v>3354762.2448900635</v>
      </c>
      <c r="AL293" s="159">
        <f t="shared" si="153"/>
        <v>3243598.5315807937</v>
      </c>
      <c r="AM293" s="159">
        <f t="shared" si="154"/>
        <v>3194898.6527150497</v>
      </c>
      <c r="AN293" s="159">
        <f t="shared" si="155"/>
        <v>3056434.046927758</v>
      </c>
    </row>
    <row r="294" spans="1:40" x14ac:dyDescent="0.35">
      <c r="A294" s="46">
        <v>47</v>
      </c>
      <c r="B294" s="240" t="s">
        <v>310</v>
      </c>
      <c r="C294" s="364">
        <v>309.86574074074099</v>
      </c>
      <c r="D294" s="365">
        <v>5.0043631443021236E-3</v>
      </c>
      <c r="E294" s="191">
        <v>0.95199999999999996</v>
      </c>
      <c r="F294" s="191">
        <v>0.90300000000000002</v>
      </c>
      <c r="G294" s="191">
        <v>0.86699999999999999</v>
      </c>
      <c r="H294" s="191">
        <v>0.82499999999999996</v>
      </c>
      <c r="I294" s="191">
        <v>0.78600000000000003</v>
      </c>
      <c r="J294" s="191">
        <v>0.746</v>
      </c>
      <c r="K294" s="361">
        <v>4.7641537133756217E-3</v>
      </c>
      <c r="L294" s="362">
        <v>4.5189399193048176E-3</v>
      </c>
      <c r="M294" s="362">
        <v>4.338782846109941E-3</v>
      </c>
      <c r="N294" s="362">
        <v>4.1285995940492518E-3</v>
      </c>
      <c r="O294" s="362">
        <v>3.9334294314214693E-3</v>
      </c>
      <c r="P294" s="363">
        <v>3.7332549056493841E-3</v>
      </c>
      <c r="Q294" s="273">
        <v>372.01898008848974</v>
      </c>
      <c r="R294" s="273">
        <v>357.94406897934533</v>
      </c>
      <c r="S294" s="273">
        <v>341.16379264976723</v>
      </c>
      <c r="T294" s="273">
        <v>320.76027890158088</v>
      </c>
      <c r="U294" s="273">
        <v>306.61425890117079</v>
      </c>
      <c r="V294" s="273">
        <f t="shared" si="144"/>
        <v>294.99218518518541</v>
      </c>
      <c r="W294" s="273">
        <f t="shared" si="145"/>
        <v>279.80876388888913</v>
      </c>
      <c r="X294" s="273">
        <f t="shared" si="146"/>
        <v>268.65359722222246</v>
      </c>
      <c r="Y294" s="273">
        <f t="shared" si="147"/>
        <v>255.6392361111113</v>
      </c>
      <c r="Z294" s="273">
        <f t="shared" si="148"/>
        <v>243.55447222222242</v>
      </c>
      <c r="AA294" s="273">
        <f t="shared" si="149"/>
        <v>231.15984259259278</v>
      </c>
      <c r="AB294" s="100">
        <v>47</v>
      </c>
      <c r="AC294" s="101" t="s">
        <v>310</v>
      </c>
      <c r="AD294" s="159"/>
      <c r="AE294" s="159"/>
      <c r="AF294" s="164"/>
      <c r="AG294" s="164"/>
      <c r="AH294" s="164"/>
      <c r="AI294" s="159">
        <f t="shared" si="150"/>
        <v>8968636.095175365</v>
      </c>
      <c r="AJ294" s="159">
        <f t="shared" si="151"/>
        <v>8602420.7303299177</v>
      </c>
      <c r="AK294" s="159">
        <f t="shared" si="152"/>
        <v>8422254.3280289415</v>
      </c>
      <c r="AL294" s="159">
        <f t="shared" si="153"/>
        <v>8233559.9175205529</v>
      </c>
      <c r="AM294" s="159">
        <f t="shared" si="154"/>
        <v>8079502.6981070433</v>
      </c>
      <c r="AN294" s="159">
        <f t="shared" si="155"/>
        <v>7912321.6948238118</v>
      </c>
    </row>
    <row r="295" spans="1:40" x14ac:dyDescent="0.35">
      <c r="A295" s="46">
        <v>345</v>
      </c>
      <c r="B295" s="240" t="s">
        <v>311</v>
      </c>
      <c r="C295" s="364">
        <v>229.29398148148101</v>
      </c>
      <c r="D295" s="365">
        <v>3.7031210594406583E-3</v>
      </c>
      <c r="E295" s="191">
        <v>0.95499999999999996</v>
      </c>
      <c r="F295" s="191">
        <v>0.89</v>
      </c>
      <c r="G295" s="191">
        <v>0.84799999999999998</v>
      </c>
      <c r="H295" s="191">
        <v>0.80100000000000005</v>
      </c>
      <c r="I295" s="191">
        <v>0.747</v>
      </c>
      <c r="J295" s="191">
        <v>0.67600000000000005</v>
      </c>
      <c r="K295" s="361">
        <v>3.5364806117658284E-3</v>
      </c>
      <c r="L295" s="362">
        <v>3.2957777429021861E-3</v>
      </c>
      <c r="M295" s="362">
        <v>3.1402466584056783E-3</v>
      </c>
      <c r="N295" s="362">
        <v>2.9661999686119676E-3</v>
      </c>
      <c r="O295" s="362">
        <v>2.7662314314021719E-3</v>
      </c>
      <c r="P295" s="363">
        <v>2.503309836181885E-3</v>
      </c>
      <c r="Q295" s="273">
        <v>290.13447684006343</v>
      </c>
      <c r="R295" s="273">
        <v>279.7422938769239</v>
      </c>
      <c r="S295" s="273">
        <v>263.5034091081439</v>
      </c>
      <c r="T295" s="273">
        <v>247.28911054778951</v>
      </c>
      <c r="U295" s="273">
        <v>230.60154060244008</v>
      </c>
      <c r="V295" s="273">
        <f t="shared" si="144"/>
        <v>218.97575231481434</v>
      </c>
      <c r="W295" s="273">
        <f t="shared" si="145"/>
        <v>204.0716435185181</v>
      </c>
      <c r="X295" s="273">
        <f t="shared" si="146"/>
        <v>194.44129629629589</v>
      </c>
      <c r="Y295" s="273">
        <f t="shared" si="147"/>
        <v>183.6644791666663</v>
      </c>
      <c r="Z295" s="273">
        <f t="shared" si="148"/>
        <v>171.28260416666632</v>
      </c>
      <c r="AA295" s="273">
        <f t="shared" si="149"/>
        <v>155.00273148148116</v>
      </c>
      <c r="AB295" s="100">
        <v>345</v>
      </c>
      <c r="AC295" s="101" t="s">
        <v>311</v>
      </c>
      <c r="AD295" s="159"/>
      <c r="AE295" s="159"/>
      <c r="AF295" s="164"/>
      <c r="AG295" s="164"/>
      <c r="AH295" s="164"/>
      <c r="AI295" s="159">
        <f t="shared" si="150"/>
        <v>6657511.4013476335</v>
      </c>
      <c r="AJ295" s="159">
        <f t="shared" si="151"/>
        <v>6273964.0898928484</v>
      </c>
      <c r="AK295" s="159">
        <f t="shared" si="152"/>
        <v>6095708.6233408311</v>
      </c>
      <c r="AL295" s="159">
        <f t="shared" si="153"/>
        <v>5915416.2598173413</v>
      </c>
      <c r="AM295" s="159">
        <f t="shared" si="154"/>
        <v>5682007.1907392927</v>
      </c>
      <c r="AN295" s="159">
        <f t="shared" si="155"/>
        <v>5305555.936112117</v>
      </c>
    </row>
    <row r="296" spans="1:40" x14ac:dyDescent="0.35">
      <c r="A296" s="46">
        <v>717</v>
      </c>
      <c r="B296" s="240" t="s">
        <v>312</v>
      </c>
      <c r="C296" s="364">
        <v>39.8541666666667</v>
      </c>
      <c r="D296" s="365">
        <v>6.4364883428792079E-4</v>
      </c>
      <c r="E296" s="191">
        <v>0.95399999999999996</v>
      </c>
      <c r="F296" s="191">
        <v>0.90700000000000003</v>
      </c>
      <c r="G296" s="191">
        <v>0.86199999999999999</v>
      </c>
      <c r="H296" s="191">
        <v>0.81399999999999995</v>
      </c>
      <c r="I296" s="191">
        <v>0.754</v>
      </c>
      <c r="J296" s="191">
        <v>0.67400000000000004</v>
      </c>
      <c r="K296" s="361">
        <v>6.1404098791067638E-4</v>
      </c>
      <c r="L296" s="362">
        <v>5.8378949269914421E-4</v>
      </c>
      <c r="M296" s="362">
        <v>5.5482529515618769E-4</v>
      </c>
      <c r="N296" s="362">
        <v>5.2393015111036753E-4</v>
      </c>
      <c r="O296" s="362">
        <v>4.8531122105309227E-4</v>
      </c>
      <c r="P296" s="363">
        <v>4.3381931431005861E-4</v>
      </c>
      <c r="Q296" s="273">
        <v>48.916666666666636</v>
      </c>
      <c r="R296" s="273">
        <v>47.4861111111111</v>
      </c>
      <c r="S296" s="273">
        <v>43.007468857500434</v>
      </c>
      <c r="T296" s="273">
        <v>40.004703935431465</v>
      </c>
      <c r="U296" s="273">
        <v>39.180499776764464</v>
      </c>
      <c r="V296" s="273">
        <f t="shared" si="144"/>
        <v>38.020875000000032</v>
      </c>
      <c r="W296" s="273">
        <f t="shared" si="145"/>
        <v>36.1477291666667</v>
      </c>
      <c r="X296" s="273">
        <f t="shared" si="146"/>
        <v>34.354291666666697</v>
      </c>
      <c r="Y296" s="273">
        <f t="shared" si="147"/>
        <v>32.441291666666693</v>
      </c>
      <c r="Z296" s="273">
        <f t="shared" si="148"/>
        <v>30.05004166666669</v>
      </c>
      <c r="AA296" s="273">
        <f t="shared" si="149"/>
        <v>26.861708333333358</v>
      </c>
      <c r="AB296" s="100">
        <v>717</v>
      </c>
      <c r="AC296" s="101" t="s">
        <v>312</v>
      </c>
      <c r="AD296" s="159"/>
      <c r="AE296" s="159"/>
      <c r="AF296" s="164"/>
      <c r="AG296" s="164"/>
      <c r="AH296" s="164"/>
      <c r="AI296" s="159">
        <f t="shared" si="150"/>
        <v>1155947.2047745481</v>
      </c>
      <c r="AJ296" s="159">
        <f t="shared" si="151"/>
        <v>1111323.21381172</v>
      </c>
      <c r="AK296" s="159">
        <f t="shared" si="152"/>
        <v>1077002.4472689938</v>
      </c>
      <c r="AL296" s="159">
        <f t="shared" si="153"/>
        <v>1044860.4165878692</v>
      </c>
      <c r="AM296" s="159">
        <f t="shared" si="154"/>
        <v>996858.6924675242</v>
      </c>
      <c r="AN296" s="159">
        <f t="shared" si="155"/>
        <v>919443.77198963205</v>
      </c>
    </row>
    <row r="297" spans="1:40" x14ac:dyDescent="0.35">
      <c r="A297" s="46">
        <v>861</v>
      </c>
      <c r="B297" s="240" t="s">
        <v>313</v>
      </c>
      <c r="C297" s="364">
        <v>139.993055555556</v>
      </c>
      <c r="D297" s="365">
        <v>2.2609020474664968E-3</v>
      </c>
      <c r="E297" s="191">
        <v>0.95899999999999996</v>
      </c>
      <c r="F297" s="191">
        <v>0.90700000000000003</v>
      </c>
      <c r="G297" s="191">
        <v>0.83899999999999997</v>
      </c>
      <c r="H297" s="191">
        <v>0.79500000000000004</v>
      </c>
      <c r="I297" s="191">
        <v>0.72499999999999998</v>
      </c>
      <c r="J297" s="191">
        <v>0.68899999999999995</v>
      </c>
      <c r="K297" s="361">
        <v>2.1682050635203703E-3</v>
      </c>
      <c r="L297" s="362">
        <v>2.0506381570521127E-3</v>
      </c>
      <c r="M297" s="362">
        <v>1.8968968178243908E-3</v>
      </c>
      <c r="N297" s="362">
        <v>1.797417127735865E-3</v>
      </c>
      <c r="O297" s="362">
        <v>1.6391539844132102E-3</v>
      </c>
      <c r="P297" s="363">
        <v>1.5577615107044162E-3</v>
      </c>
      <c r="Q297" s="273">
        <v>163.61517299295633</v>
      </c>
      <c r="R297" s="273">
        <v>161.0710035237521</v>
      </c>
      <c r="S297" s="273">
        <v>157.99966274027139</v>
      </c>
      <c r="T297" s="273">
        <v>148.28503186646842</v>
      </c>
      <c r="U297" s="273">
        <v>137.97219272068608</v>
      </c>
      <c r="V297" s="273">
        <f t="shared" si="144"/>
        <v>134.25334027777819</v>
      </c>
      <c r="W297" s="273">
        <f t="shared" si="145"/>
        <v>126.9737013888893</v>
      </c>
      <c r="X297" s="273">
        <f t="shared" si="146"/>
        <v>117.45417361111147</v>
      </c>
      <c r="Y297" s="273">
        <f t="shared" si="147"/>
        <v>111.29447916666702</v>
      </c>
      <c r="Z297" s="273">
        <f t="shared" si="148"/>
        <v>101.49496527777809</v>
      </c>
      <c r="AA297" s="273">
        <f t="shared" si="149"/>
        <v>96.45521527777808</v>
      </c>
      <c r="AB297" s="100">
        <v>861</v>
      </c>
      <c r="AC297" s="101" t="s">
        <v>313</v>
      </c>
      <c r="AD297" s="159"/>
      <c r="AE297" s="159"/>
      <c r="AF297" s="164"/>
      <c r="AG297" s="164"/>
      <c r="AH297" s="164"/>
      <c r="AI297" s="159">
        <f t="shared" si="150"/>
        <v>4081699.1567328162</v>
      </c>
      <c r="AJ297" s="159">
        <f t="shared" si="151"/>
        <v>3903670.4421032439</v>
      </c>
      <c r="AK297" s="159">
        <f t="shared" si="152"/>
        <v>3682172.6277611866</v>
      </c>
      <c r="AL297" s="159">
        <f t="shared" si="153"/>
        <v>3584542.7198417718</v>
      </c>
      <c r="AM297" s="159">
        <f t="shared" si="154"/>
        <v>3366921.7334588021</v>
      </c>
      <c r="AN297" s="159">
        <f t="shared" si="155"/>
        <v>3301545.3024266767</v>
      </c>
    </row>
    <row r="298" spans="1:40" x14ac:dyDescent="0.35">
      <c r="A298" s="46">
        <v>453</v>
      </c>
      <c r="B298" s="240" t="s">
        <v>314</v>
      </c>
      <c r="C298" s="364">
        <v>159.78761574074099</v>
      </c>
      <c r="D298" s="365">
        <v>2.5805862023253298E-3</v>
      </c>
      <c r="E298" s="191">
        <v>0.96099999999999997</v>
      </c>
      <c r="F298" s="191">
        <v>0.92100000000000004</v>
      </c>
      <c r="G298" s="191">
        <v>0.874</v>
      </c>
      <c r="H298" s="191">
        <v>0.83099999999999996</v>
      </c>
      <c r="I298" s="191">
        <v>0.77100000000000002</v>
      </c>
      <c r="J298" s="191">
        <v>0.71399999999999997</v>
      </c>
      <c r="K298" s="361">
        <v>2.4799433404346419E-3</v>
      </c>
      <c r="L298" s="362">
        <v>2.3767198923416288E-3</v>
      </c>
      <c r="M298" s="362">
        <v>2.2554323408323384E-3</v>
      </c>
      <c r="N298" s="362">
        <v>2.1444671341323491E-3</v>
      </c>
      <c r="O298" s="362">
        <v>1.9896319619928295E-3</v>
      </c>
      <c r="P298" s="363">
        <v>1.8425385484602853E-3</v>
      </c>
      <c r="Q298" s="273">
        <v>210.73568416989008</v>
      </c>
      <c r="R298" s="273">
        <v>199.23781321089345</v>
      </c>
      <c r="S298" s="273">
        <v>183.73652746831925</v>
      </c>
      <c r="T298" s="273">
        <v>171.02413648131997</v>
      </c>
      <c r="U298" s="273">
        <v>164.89155566692389</v>
      </c>
      <c r="V298" s="273">
        <f t="shared" si="144"/>
        <v>153.55589872685209</v>
      </c>
      <c r="W298" s="273">
        <f t="shared" si="145"/>
        <v>147.16439409722247</v>
      </c>
      <c r="X298" s="273">
        <f t="shared" si="146"/>
        <v>139.65437615740763</v>
      </c>
      <c r="Y298" s="273">
        <f t="shared" si="147"/>
        <v>132.78350868055577</v>
      </c>
      <c r="Z298" s="273">
        <f t="shared" si="148"/>
        <v>123.19625173611131</v>
      </c>
      <c r="AA298" s="273">
        <f t="shared" si="149"/>
        <v>114.08835763888906</v>
      </c>
      <c r="AB298" s="100">
        <v>453</v>
      </c>
      <c r="AC298" s="101" t="s">
        <v>314</v>
      </c>
      <c r="AD298" s="159"/>
      <c r="AE298" s="159"/>
      <c r="AF298" s="164"/>
      <c r="AG298" s="164"/>
      <c r="AH298" s="164"/>
      <c r="AI298" s="159">
        <f t="shared" si="150"/>
        <v>4668554.1011338672</v>
      </c>
      <c r="AJ298" s="159">
        <f t="shared" si="151"/>
        <v>4524411.6622848157</v>
      </c>
      <c r="AK298" s="159">
        <f t="shared" si="152"/>
        <v>4378146.0072800955</v>
      </c>
      <c r="AL298" s="159">
        <f t="shared" si="153"/>
        <v>4276655.615982132</v>
      </c>
      <c r="AM298" s="159">
        <f t="shared" si="154"/>
        <v>4086824.7633342645</v>
      </c>
      <c r="AN298" s="159">
        <f t="shared" si="155"/>
        <v>3905106.4282993497</v>
      </c>
    </row>
    <row r="299" spans="1:40" x14ac:dyDescent="0.35">
      <c r="A299" s="46">
        <v>983</v>
      </c>
      <c r="B299" s="240" t="s">
        <v>315</v>
      </c>
      <c r="C299" s="364">
        <v>477.45370370370398</v>
      </c>
      <c r="D299" s="365">
        <v>7.7109257454972711E-3</v>
      </c>
      <c r="E299" s="191">
        <v>0.94899999999999995</v>
      </c>
      <c r="F299" s="191">
        <v>0.89500000000000002</v>
      </c>
      <c r="G299" s="191">
        <v>0.84199999999999997</v>
      </c>
      <c r="H299" s="191">
        <v>0.78</v>
      </c>
      <c r="I299" s="191">
        <v>0.72599999999999998</v>
      </c>
      <c r="J299" s="191">
        <v>0.67500000000000004</v>
      </c>
      <c r="K299" s="361">
        <v>7.31766853247691E-3</v>
      </c>
      <c r="L299" s="362">
        <v>6.9012785422200582E-3</v>
      </c>
      <c r="M299" s="362">
        <v>6.4925994777087024E-3</v>
      </c>
      <c r="N299" s="362">
        <v>6.0145220814878716E-3</v>
      </c>
      <c r="O299" s="362">
        <v>5.5981320912310189E-3</v>
      </c>
      <c r="P299" s="363">
        <v>5.2048748782106587E-3</v>
      </c>
      <c r="Q299" s="273">
        <v>584.27214623457621</v>
      </c>
      <c r="R299" s="273">
        <v>562.84796807334203</v>
      </c>
      <c r="S299" s="273">
        <v>539.35490723957935</v>
      </c>
      <c r="T299" s="273">
        <v>512.92392557027699</v>
      </c>
      <c r="U299" s="273">
        <v>472.49701531712094</v>
      </c>
      <c r="V299" s="273">
        <f t="shared" si="144"/>
        <v>453.10356481481506</v>
      </c>
      <c r="W299" s="273">
        <f t="shared" si="145"/>
        <v>427.32106481481509</v>
      </c>
      <c r="X299" s="273">
        <f t="shared" si="146"/>
        <v>402.01601851851876</v>
      </c>
      <c r="Y299" s="273">
        <f t="shared" si="147"/>
        <v>372.41388888888912</v>
      </c>
      <c r="Z299" s="273">
        <f t="shared" si="148"/>
        <v>346.63138888888909</v>
      </c>
      <c r="AA299" s="273">
        <f t="shared" si="149"/>
        <v>322.28125000000023</v>
      </c>
      <c r="AB299" s="100">
        <v>983</v>
      </c>
      <c r="AC299" s="101" t="s">
        <v>315</v>
      </c>
      <c r="AD299" s="159"/>
      <c r="AE299" s="159"/>
      <c r="AF299" s="164"/>
      <c r="AG299" s="164"/>
      <c r="AH299" s="164"/>
      <c r="AI299" s="159">
        <f t="shared" si="150"/>
        <v>13775690.307523651</v>
      </c>
      <c r="AJ299" s="159">
        <f t="shared" si="151"/>
        <v>13137528.415404966</v>
      </c>
      <c r="AK299" s="159">
        <f t="shared" si="152"/>
        <v>12603148.392254191</v>
      </c>
      <c r="AL299" s="159">
        <f t="shared" si="153"/>
        <v>11994606.598459611</v>
      </c>
      <c r="AM299" s="159">
        <f t="shared" si="154"/>
        <v>11498902.960899265</v>
      </c>
      <c r="AN299" s="159">
        <f t="shared" si="155"/>
        <v>11031297.208071597</v>
      </c>
    </row>
    <row r="300" spans="1:40" x14ac:dyDescent="0.35">
      <c r="A300" s="46">
        <v>984</v>
      </c>
      <c r="B300" s="240" t="s">
        <v>316</v>
      </c>
      <c r="C300" s="364">
        <v>346.80208333333297</v>
      </c>
      <c r="D300" s="365">
        <v>5.600888823823238E-3</v>
      </c>
      <c r="E300" s="191">
        <v>0.95</v>
      </c>
      <c r="F300" s="191">
        <v>0.89500000000000002</v>
      </c>
      <c r="G300" s="191">
        <v>0.83799999999999997</v>
      </c>
      <c r="H300" s="191">
        <v>0.79</v>
      </c>
      <c r="I300" s="191">
        <v>0.73299999999999998</v>
      </c>
      <c r="J300" s="191">
        <v>0.68899999999999995</v>
      </c>
      <c r="K300" s="361">
        <v>5.3208443826320761E-3</v>
      </c>
      <c r="L300" s="362">
        <v>5.0127954973217979E-3</v>
      </c>
      <c r="M300" s="362">
        <v>4.6935448343638731E-3</v>
      </c>
      <c r="N300" s="362">
        <v>4.4247021708203578E-3</v>
      </c>
      <c r="O300" s="362">
        <v>4.1054515078624331E-3</v>
      </c>
      <c r="P300" s="363">
        <v>3.8590123996142109E-3</v>
      </c>
      <c r="Q300" s="273">
        <v>442.95331287171592</v>
      </c>
      <c r="R300" s="273">
        <v>424.74763713883306</v>
      </c>
      <c r="S300" s="273">
        <v>400.40599853385964</v>
      </c>
      <c r="T300" s="273">
        <v>379.83882052351203</v>
      </c>
      <c r="U300" s="273">
        <v>350.23877091744367</v>
      </c>
      <c r="V300" s="273">
        <f t="shared" si="144"/>
        <v>329.46197916666631</v>
      </c>
      <c r="W300" s="273">
        <f t="shared" si="145"/>
        <v>310.387864583333</v>
      </c>
      <c r="X300" s="273">
        <f t="shared" si="146"/>
        <v>290.62014583333303</v>
      </c>
      <c r="Y300" s="273">
        <f t="shared" si="147"/>
        <v>273.97364583333308</v>
      </c>
      <c r="Z300" s="273">
        <f t="shared" si="148"/>
        <v>254.20592708333305</v>
      </c>
      <c r="AA300" s="273">
        <f t="shared" si="149"/>
        <v>238.9466354166664</v>
      </c>
      <c r="AB300" s="100">
        <v>984</v>
      </c>
      <c r="AC300" s="101" t="s">
        <v>316</v>
      </c>
      <c r="AD300" s="159"/>
      <c r="AE300" s="159"/>
      <c r="AF300" s="164"/>
      <c r="AG300" s="164"/>
      <c r="AH300" s="164"/>
      <c r="AI300" s="159">
        <f t="shared" si="150"/>
        <v>10016619.919904472</v>
      </c>
      <c r="AJ300" s="159">
        <f t="shared" si="151"/>
        <v>9542542.4265652355</v>
      </c>
      <c r="AK300" s="159">
        <f t="shared" si="152"/>
        <v>9110902.6879418399</v>
      </c>
      <c r="AL300" s="159">
        <f t="shared" si="153"/>
        <v>8824069.6659328509</v>
      </c>
      <c r="AM300" s="159">
        <f t="shared" si="154"/>
        <v>8432846.4799062442</v>
      </c>
      <c r="AN300" s="159">
        <f t="shared" si="155"/>
        <v>8178854.1907106657</v>
      </c>
    </row>
    <row r="301" spans="1:40" x14ac:dyDescent="0.35">
      <c r="A301" s="46">
        <v>1961</v>
      </c>
      <c r="B301" s="240" t="s">
        <v>317</v>
      </c>
      <c r="C301" s="364">
        <v>109.486111111111</v>
      </c>
      <c r="D301" s="365">
        <v>1.768211800206193E-3</v>
      </c>
      <c r="E301" s="191">
        <v>0.95399999999999996</v>
      </c>
      <c r="F301" s="191">
        <v>0.91700000000000004</v>
      </c>
      <c r="G301" s="191">
        <v>0.86799999999999999</v>
      </c>
      <c r="H301" s="191">
        <v>0.8</v>
      </c>
      <c r="I301" s="191">
        <v>0.76100000000000001</v>
      </c>
      <c r="J301" s="191">
        <v>0.70099999999999996</v>
      </c>
      <c r="K301" s="361">
        <v>1.6868740573967079E-3</v>
      </c>
      <c r="L301" s="362">
        <v>1.6214502207890791E-3</v>
      </c>
      <c r="M301" s="362">
        <v>1.5348078425789756E-3</v>
      </c>
      <c r="N301" s="362">
        <v>1.4145694401649545E-3</v>
      </c>
      <c r="O301" s="362">
        <v>1.3456091799569129E-3</v>
      </c>
      <c r="P301" s="363">
        <v>1.2395164719445411E-3</v>
      </c>
      <c r="Q301" s="273">
        <v>133.06712962962962</v>
      </c>
      <c r="R301" s="273">
        <v>127.97858796296291</v>
      </c>
      <c r="S301" s="273">
        <v>122.0516075813975</v>
      </c>
      <c r="T301" s="273">
        <v>115.27052551656288</v>
      </c>
      <c r="U301" s="273">
        <v>109.93586638167663</v>
      </c>
      <c r="V301" s="273">
        <f t="shared" si="144"/>
        <v>104.4497499999999</v>
      </c>
      <c r="W301" s="273">
        <f t="shared" si="145"/>
        <v>100.39876388888879</v>
      </c>
      <c r="X301" s="273">
        <f t="shared" si="146"/>
        <v>95.033944444444344</v>
      </c>
      <c r="Y301" s="273">
        <f t="shared" si="147"/>
        <v>87.588888888888803</v>
      </c>
      <c r="Z301" s="273">
        <f t="shared" si="148"/>
        <v>83.318930555555468</v>
      </c>
      <c r="AA301" s="273">
        <f t="shared" si="149"/>
        <v>76.749763888888808</v>
      </c>
      <c r="AB301" s="100">
        <v>1961</v>
      </c>
      <c r="AC301" s="101" t="s">
        <v>317</v>
      </c>
      <c r="AD301" s="159"/>
      <c r="AE301" s="159"/>
      <c r="AF301" s="164"/>
      <c r="AG301" s="164"/>
      <c r="AH301" s="164"/>
      <c r="AI301" s="159">
        <f t="shared" si="150"/>
        <v>3175581.7442891602</v>
      </c>
      <c r="AJ301" s="159">
        <f t="shared" si="151"/>
        <v>3086652.454246345</v>
      </c>
      <c r="AK301" s="159">
        <f t="shared" si="152"/>
        <v>2979301.4431324201</v>
      </c>
      <c r="AL301" s="159">
        <f t="shared" si="153"/>
        <v>2821039.4294178956</v>
      </c>
      <c r="AM301" s="159">
        <f t="shared" si="154"/>
        <v>2763962.8953837859</v>
      </c>
      <c r="AN301" s="159">
        <f t="shared" si="155"/>
        <v>2627051.5461499938</v>
      </c>
    </row>
    <row r="302" spans="1:40" x14ac:dyDescent="0.35">
      <c r="A302" s="46">
        <v>622</v>
      </c>
      <c r="B302" s="240" t="s">
        <v>318</v>
      </c>
      <c r="C302" s="364">
        <v>297.37442129629602</v>
      </c>
      <c r="D302" s="365">
        <v>4.8026270682130058E-3</v>
      </c>
      <c r="E302" s="191">
        <v>0.95499999999999996</v>
      </c>
      <c r="F302" s="191">
        <v>0.92200000000000004</v>
      </c>
      <c r="G302" s="191">
        <v>0.88</v>
      </c>
      <c r="H302" s="191">
        <v>0.82299999999999995</v>
      </c>
      <c r="I302" s="191">
        <v>0.76200000000000001</v>
      </c>
      <c r="J302" s="191">
        <v>0.71</v>
      </c>
      <c r="K302" s="361">
        <v>4.5865088501434205E-3</v>
      </c>
      <c r="L302" s="362">
        <v>4.4280221568923916E-3</v>
      </c>
      <c r="M302" s="362">
        <v>4.2263118200274452E-3</v>
      </c>
      <c r="N302" s="362">
        <v>3.9525620771393034E-3</v>
      </c>
      <c r="O302" s="362">
        <v>3.6596018259783107E-3</v>
      </c>
      <c r="P302" s="363">
        <v>3.4098652184312338E-3</v>
      </c>
      <c r="Q302" s="273">
        <v>345.47396184148835</v>
      </c>
      <c r="R302" s="273">
        <v>307.78853659023082</v>
      </c>
      <c r="S302" s="273">
        <v>322.88241448400089</v>
      </c>
      <c r="T302" s="273">
        <v>308.96950404151994</v>
      </c>
      <c r="U302" s="273">
        <v>294.92392628539983</v>
      </c>
      <c r="V302" s="273">
        <f t="shared" si="144"/>
        <v>283.99257233796271</v>
      </c>
      <c r="W302" s="273">
        <f t="shared" si="145"/>
        <v>274.17921643518497</v>
      </c>
      <c r="X302" s="273">
        <f t="shared" si="146"/>
        <v>261.6894907407405</v>
      </c>
      <c r="Y302" s="273">
        <f t="shared" si="147"/>
        <v>244.73914872685162</v>
      </c>
      <c r="Z302" s="273">
        <f t="shared" si="148"/>
        <v>226.59930902777757</v>
      </c>
      <c r="AA302" s="273">
        <f t="shared" si="149"/>
        <v>211.13583912037015</v>
      </c>
      <c r="AB302" s="100">
        <v>622</v>
      </c>
      <c r="AC302" s="101" t="s">
        <v>318</v>
      </c>
      <c r="AD302" s="159"/>
      <c r="AE302" s="159"/>
      <c r="AF302" s="164"/>
      <c r="AG302" s="164"/>
      <c r="AH302" s="164"/>
      <c r="AI302" s="159">
        <f t="shared" si="150"/>
        <v>8634215.2875440493</v>
      </c>
      <c r="AJ302" s="159">
        <f t="shared" si="151"/>
        <v>8429346.3239208646</v>
      </c>
      <c r="AK302" s="159">
        <f t="shared" si="152"/>
        <v>8203930.521606951</v>
      </c>
      <c r="AL302" s="159">
        <f t="shared" si="153"/>
        <v>7882492.8280167161</v>
      </c>
      <c r="AM302" s="159">
        <f t="shared" si="154"/>
        <v>7517044.1830715584</v>
      </c>
      <c r="AN302" s="159">
        <f t="shared" si="155"/>
        <v>7226924.2862015441</v>
      </c>
    </row>
    <row r="303" spans="1:40" x14ac:dyDescent="0.35">
      <c r="A303" s="46">
        <v>718</v>
      </c>
      <c r="B303" s="240" t="s">
        <v>320</v>
      </c>
      <c r="C303" s="364">
        <v>247.321180555555</v>
      </c>
      <c r="D303" s="365">
        <v>3.99426215308216E-3</v>
      </c>
      <c r="E303" s="191">
        <v>0.95</v>
      </c>
      <c r="F303" s="191">
        <v>0.90200000000000002</v>
      </c>
      <c r="G303" s="191">
        <v>0.84899999999999998</v>
      </c>
      <c r="H303" s="191">
        <v>0.80800000000000005</v>
      </c>
      <c r="I303" s="191">
        <v>0.76800000000000002</v>
      </c>
      <c r="J303" s="191">
        <v>0.70599999999999996</v>
      </c>
      <c r="K303" s="361">
        <v>3.7945490454280519E-3</v>
      </c>
      <c r="L303" s="362">
        <v>3.6028244620801082E-3</v>
      </c>
      <c r="M303" s="362">
        <v>3.3911285679667537E-3</v>
      </c>
      <c r="N303" s="362">
        <v>3.2273638196903855E-3</v>
      </c>
      <c r="O303" s="362">
        <v>3.0675933335670988E-3</v>
      </c>
      <c r="P303" s="363">
        <v>2.8199490800760048E-3</v>
      </c>
      <c r="Q303" s="273">
        <v>308.66846134640519</v>
      </c>
      <c r="R303" s="273">
        <v>291.2548531756857</v>
      </c>
      <c r="S303" s="273">
        <v>284.57995215149754</v>
      </c>
      <c r="T303" s="273">
        <v>264.70935090424342</v>
      </c>
      <c r="U303" s="273">
        <v>248.66992122126393</v>
      </c>
      <c r="V303" s="273">
        <f t="shared" si="144"/>
        <v>234.95512152777724</v>
      </c>
      <c r="W303" s="273">
        <f t="shared" si="145"/>
        <v>223.08370486111062</v>
      </c>
      <c r="X303" s="273">
        <f t="shared" si="146"/>
        <v>209.9756822916662</v>
      </c>
      <c r="Y303" s="273">
        <f t="shared" si="147"/>
        <v>199.83551388888844</v>
      </c>
      <c r="Z303" s="273">
        <f t="shared" si="148"/>
        <v>189.94266666666624</v>
      </c>
      <c r="AA303" s="273">
        <f t="shared" si="149"/>
        <v>174.60875347222182</v>
      </c>
      <c r="AB303" s="100">
        <v>718</v>
      </c>
      <c r="AC303" s="101" t="s">
        <v>320</v>
      </c>
      <c r="AD303" s="159"/>
      <c r="AE303" s="159"/>
      <c r="AF303" s="164"/>
      <c r="AG303" s="164"/>
      <c r="AH303" s="164"/>
      <c r="AI303" s="159">
        <f t="shared" si="150"/>
        <v>7143331.550825648</v>
      </c>
      <c r="AJ303" s="159">
        <f t="shared" si="151"/>
        <v>6858469.5512184519</v>
      </c>
      <c r="AK303" s="159">
        <f t="shared" si="152"/>
        <v>6582709.545850561</v>
      </c>
      <c r="AL303" s="159">
        <f t="shared" si="153"/>
        <v>6436248.6067574294</v>
      </c>
      <c r="AM303" s="159">
        <f t="shared" si="154"/>
        <v>6301022.8217806984</v>
      </c>
      <c r="AN303" s="159">
        <f t="shared" si="155"/>
        <v>5976646.3444056418</v>
      </c>
    </row>
    <row r="304" spans="1:40" x14ac:dyDescent="0.35">
      <c r="A304" s="46">
        <v>986</v>
      </c>
      <c r="B304" s="240" t="s">
        <v>321</v>
      </c>
      <c r="C304" s="364">
        <v>44.259259259259302</v>
      </c>
      <c r="D304" s="365">
        <v>7.1479152649039023E-4</v>
      </c>
      <c r="E304" s="191">
        <v>0.92100000000000004</v>
      </c>
      <c r="F304" s="191">
        <v>0.83399999999999996</v>
      </c>
      <c r="G304" s="191">
        <v>0.69399999999999995</v>
      </c>
      <c r="H304" s="191">
        <v>0.60899999999999999</v>
      </c>
      <c r="I304" s="191">
        <v>0.58399999999999996</v>
      </c>
      <c r="J304" s="191">
        <v>0.56799999999999995</v>
      </c>
      <c r="K304" s="361">
        <v>6.5832299589764943E-4</v>
      </c>
      <c r="L304" s="362">
        <v>5.9613613309298546E-4</v>
      </c>
      <c r="M304" s="362">
        <v>4.9606531938433079E-4</v>
      </c>
      <c r="N304" s="362">
        <v>4.3530803963264767E-4</v>
      </c>
      <c r="O304" s="362">
        <v>4.1743825147038787E-4</v>
      </c>
      <c r="P304" s="363">
        <v>4.060015870465416E-4</v>
      </c>
      <c r="Q304" s="273">
        <v>70.472222222222214</v>
      </c>
      <c r="R304" s="273">
        <v>63.182870370370402</v>
      </c>
      <c r="S304" s="273">
        <v>54.43490136779252</v>
      </c>
      <c r="T304" s="273">
        <v>51.474995941131304</v>
      </c>
      <c r="U304" s="273">
        <v>43.675799858389375</v>
      </c>
      <c r="V304" s="273">
        <f t="shared" si="144"/>
        <v>40.762777777777821</v>
      </c>
      <c r="W304" s="273">
        <f t="shared" si="145"/>
        <v>36.912222222222255</v>
      </c>
      <c r="X304" s="273">
        <f t="shared" si="146"/>
        <v>30.715925925925955</v>
      </c>
      <c r="Y304" s="273">
        <f t="shared" si="147"/>
        <v>26.953888888888915</v>
      </c>
      <c r="Z304" s="273">
        <f t="shared" si="148"/>
        <v>25.847407407407431</v>
      </c>
      <c r="AA304" s="273">
        <f t="shared" si="149"/>
        <v>25.13925925925928</v>
      </c>
      <c r="AB304" s="100">
        <v>986</v>
      </c>
      <c r="AC304" s="101" t="s">
        <v>321</v>
      </c>
      <c r="AD304" s="159"/>
      <c r="AE304" s="159"/>
      <c r="AF304" s="164"/>
      <c r="AG304" s="164"/>
      <c r="AH304" s="164"/>
      <c r="AI304" s="159">
        <f t="shared" si="150"/>
        <v>1239309.1697933909</v>
      </c>
      <c r="AJ304" s="159">
        <f t="shared" si="151"/>
        <v>1134826.7339227479</v>
      </c>
      <c r="AK304" s="159">
        <f t="shared" si="152"/>
        <v>962940.16809705808</v>
      </c>
      <c r="AL304" s="159">
        <f t="shared" si="153"/>
        <v>868123.62043047266</v>
      </c>
      <c r="AM304" s="159">
        <f t="shared" si="154"/>
        <v>857443.49500869412</v>
      </c>
      <c r="AN304" s="159">
        <f t="shared" si="155"/>
        <v>860486.42444962193</v>
      </c>
    </row>
    <row r="305" spans="1:40" x14ac:dyDescent="0.35">
      <c r="A305" s="46">
        <v>285</v>
      </c>
      <c r="B305" s="240" t="s">
        <v>323</v>
      </c>
      <c r="C305" s="364">
        <v>69.678240740740705</v>
      </c>
      <c r="D305" s="365">
        <v>1.1253106557995399E-3</v>
      </c>
      <c r="E305" s="191">
        <v>0.96599999999999997</v>
      </c>
      <c r="F305" s="191">
        <v>0.92200000000000004</v>
      </c>
      <c r="G305" s="191">
        <v>0.879</v>
      </c>
      <c r="H305" s="191">
        <v>0.85299999999999998</v>
      </c>
      <c r="I305" s="191">
        <v>0.78100000000000003</v>
      </c>
      <c r="J305" s="191">
        <v>0.71599999999999997</v>
      </c>
      <c r="K305" s="361">
        <v>1.0870500935023556E-3</v>
      </c>
      <c r="L305" s="362">
        <v>1.0375364246471759E-3</v>
      </c>
      <c r="M305" s="362">
        <v>9.8914806644779564E-4</v>
      </c>
      <c r="N305" s="362">
        <v>9.5988998939700748E-4</v>
      </c>
      <c r="O305" s="362">
        <v>8.7886762217944075E-4</v>
      </c>
      <c r="P305" s="363">
        <v>8.0572242955247056E-4</v>
      </c>
      <c r="Q305" s="273">
        <v>75.326388888888886</v>
      </c>
      <c r="R305" s="273">
        <v>73.050925925925895</v>
      </c>
      <c r="S305" s="273">
        <v>68.222860626446845</v>
      </c>
      <c r="T305" s="273">
        <v>66.0002675829503</v>
      </c>
      <c r="U305" s="273">
        <v>69.110666362522537</v>
      </c>
      <c r="V305" s="273">
        <f t="shared" si="144"/>
        <v>67.309180555555514</v>
      </c>
      <c r="W305" s="273">
        <f t="shared" si="145"/>
        <v>64.24333796296294</v>
      </c>
      <c r="X305" s="273">
        <f t="shared" si="146"/>
        <v>61.24717361111108</v>
      </c>
      <c r="Y305" s="273">
        <f t="shared" si="147"/>
        <v>59.435539351851823</v>
      </c>
      <c r="Z305" s="273">
        <f t="shared" si="148"/>
        <v>54.418706018518492</v>
      </c>
      <c r="AA305" s="273">
        <f t="shared" si="149"/>
        <v>49.889620370370345</v>
      </c>
      <c r="AB305" s="100">
        <v>285</v>
      </c>
      <c r="AC305" s="101" t="s">
        <v>323</v>
      </c>
      <c r="AD305" s="159"/>
      <c r="AE305" s="159"/>
      <c r="AF305" s="164"/>
      <c r="AG305" s="164"/>
      <c r="AH305" s="164"/>
      <c r="AI305" s="159">
        <f t="shared" si="150"/>
        <v>2046398.4355662432</v>
      </c>
      <c r="AJ305" s="159">
        <f t="shared" si="151"/>
        <v>1975092.6118155387</v>
      </c>
      <c r="AK305" s="159">
        <f t="shared" si="152"/>
        <v>1920090.6980561775</v>
      </c>
      <c r="AL305" s="159">
        <f t="shared" si="153"/>
        <v>1914283.9022994267</v>
      </c>
      <c r="AM305" s="159">
        <f t="shared" si="154"/>
        <v>1805247.417928535</v>
      </c>
      <c r="AN305" s="159">
        <f t="shared" si="155"/>
        <v>1707661.3358779571</v>
      </c>
    </row>
    <row r="306" spans="1:40" x14ac:dyDescent="0.35">
      <c r="A306" s="46">
        <v>865</v>
      </c>
      <c r="B306" s="240" t="s">
        <v>324</v>
      </c>
      <c r="C306" s="364">
        <v>151.098958333333</v>
      </c>
      <c r="D306" s="365">
        <v>2.4402635038587054E-3</v>
      </c>
      <c r="E306" s="191">
        <v>0.95599999999999996</v>
      </c>
      <c r="F306" s="191">
        <v>0.90800000000000003</v>
      </c>
      <c r="G306" s="191">
        <v>0.84799999999999998</v>
      </c>
      <c r="H306" s="191">
        <v>0.81</v>
      </c>
      <c r="I306" s="191">
        <v>0.70899999999999996</v>
      </c>
      <c r="J306" s="191">
        <v>0.66</v>
      </c>
      <c r="K306" s="361">
        <v>2.3328919096889224E-3</v>
      </c>
      <c r="L306" s="362">
        <v>2.2157592615037044E-3</v>
      </c>
      <c r="M306" s="362">
        <v>2.0693434512721823E-3</v>
      </c>
      <c r="N306" s="362">
        <v>1.9766134381255514E-3</v>
      </c>
      <c r="O306" s="362">
        <v>1.7301468242358221E-3</v>
      </c>
      <c r="P306" s="363">
        <v>1.6105739125467458E-3</v>
      </c>
      <c r="Q306" s="273">
        <v>176.45917396410135</v>
      </c>
      <c r="R306" s="273">
        <v>168.77598696754598</v>
      </c>
      <c r="S306" s="273">
        <v>155.94672984606584</v>
      </c>
      <c r="T306" s="273">
        <v>139.77964812948639</v>
      </c>
      <c r="U306" s="273">
        <v>153.64985987776177</v>
      </c>
      <c r="V306" s="273">
        <f t="shared" si="144"/>
        <v>144.45060416666635</v>
      </c>
      <c r="W306" s="273">
        <f t="shared" si="145"/>
        <v>137.19785416666636</v>
      </c>
      <c r="X306" s="273">
        <f t="shared" si="146"/>
        <v>128.13191666666637</v>
      </c>
      <c r="Y306" s="273">
        <f t="shared" si="147"/>
        <v>122.39015624999973</v>
      </c>
      <c r="Z306" s="273">
        <f t="shared" si="148"/>
        <v>107.12916145833309</v>
      </c>
      <c r="AA306" s="273">
        <f t="shared" si="149"/>
        <v>99.725312499999788</v>
      </c>
      <c r="AB306" s="100">
        <v>865</v>
      </c>
      <c r="AC306" s="101" t="s">
        <v>324</v>
      </c>
      <c r="AD306" s="159"/>
      <c r="AE306" s="159"/>
      <c r="AF306" s="164"/>
      <c r="AG306" s="164"/>
      <c r="AH306" s="164"/>
      <c r="AI306" s="159">
        <f t="shared" si="150"/>
        <v>4391726.1797486907</v>
      </c>
      <c r="AJ306" s="159">
        <f t="shared" si="151"/>
        <v>4218001.0677177263</v>
      </c>
      <c r="AK306" s="159">
        <f t="shared" si="152"/>
        <v>4016918.4439091096</v>
      </c>
      <c r="AL306" s="159">
        <f t="shared" si="153"/>
        <v>3941909.3098881138</v>
      </c>
      <c r="AM306" s="159">
        <f t="shared" si="154"/>
        <v>3553826.5471011647</v>
      </c>
      <c r="AN306" s="159">
        <f t="shared" si="155"/>
        <v>3413476.7733317232</v>
      </c>
    </row>
    <row r="307" spans="1:40" x14ac:dyDescent="0.35">
      <c r="A307" s="46">
        <v>1949</v>
      </c>
      <c r="B307" s="240" t="s">
        <v>325</v>
      </c>
      <c r="C307" s="364">
        <v>200.97453703703701</v>
      </c>
      <c r="D307" s="365">
        <v>3.2457591590701936E-3</v>
      </c>
      <c r="E307" s="191">
        <v>0.94799999999999995</v>
      </c>
      <c r="F307" s="191">
        <v>0.88500000000000001</v>
      </c>
      <c r="G307" s="191">
        <v>0.84199999999999997</v>
      </c>
      <c r="H307" s="191">
        <v>0.78300000000000003</v>
      </c>
      <c r="I307" s="191">
        <v>0.72299999999999998</v>
      </c>
      <c r="J307" s="191">
        <v>0.66800000000000004</v>
      </c>
      <c r="K307" s="361">
        <v>3.0769796827985435E-3</v>
      </c>
      <c r="L307" s="362">
        <v>2.8724968557771215E-3</v>
      </c>
      <c r="M307" s="362">
        <v>2.7329292119371031E-3</v>
      </c>
      <c r="N307" s="362">
        <v>2.5414294215519617E-3</v>
      </c>
      <c r="O307" s="362">
        <v>2.3466838720077499E-3</v>
      </c>
      <c r="P307" s="363">
        <v>2.1681671182588896E-3</v>
      </c>
      <c r="Q307" s="273">
        <v>265.77934618216273</v>
      </c>
      <c r="R307" s="273">
        <v>229.43375234184739</v>
      </c>
      <c r="S307" s="273">
        <v>215.78841257019494</v>
      </c>
      <c r="T307" s="273">
        <v>208.72139486351901</v>
      </c>
      <c r="U307" s="273">
        <v>198.5279861661256</v>
      </c>
      <c r="V307" s="273">
        <f t="shared" si="144"/>
        <v>190.52386111111107</v>
      </c>
      <c r="W307" s="273">
        <f t="shared" si="145"/>
        <v>177.86246527777774</v>
      </c>
      <c r="X307" s="273">
        <f t="shared" si="146"/>
        <v>169.22056018518515</v>
      </c>
      <c r="Y307" s="273">
        <f t="shared" si="147"/>
        <v>157.36306249999998</v>
      </c>
      <c r="Z307" s="273">
        <f t="shared" si="148"/>
        <v>145.30459027777775</v>
      </c>
      <c r="AA307" s="273">
        <f t="shared" si="149"/>
        <v>134.25099074074072</v>
      </c>
      <c r="AB307" s="100">
        <v>1949</v>
      </c>
      <c r="AC307" s="101" t="s">
        <v>325</v>
      </c>
      <c r="AD307" s="159"/>
      <c r="AE307" s="159"/>
      <c r="AF307" s="164"/>
      <c r="AG307" s="164"/>
      <c r="AH307" s="164"/>
      <c r="AI307" s="159">
        <f t="shared" si="150"/>
        <v>5792489.6440243125</v>
      </c>
      <c r="AJ307" s="159">
        <f t="shared" si="151"/>
        <v>5468190.9786811247</v>
      </c>
      <c r="AK307" s="159">
        <f t="shared" si="152"/>
        <v>5305041.9207015419</v>
      </c>
      <c r="AL307" s="159">
        <f t="shared" si="153"/>
        <v>5068307.2896334864</v>
      </c>
      <c r="AM307" s="159">
        <f t="shared" si="154"/>
        <v>4820231.0492803445</v>
      </c>
      <c r="AN307" s="159">
        <f t="shared" si="155"/>
        <v>4595248.9613937447</v>
      </c>
    </row>
    <row r="308" spans="1:40" x14ac:dyDescent="0.35">
      <c r="A308" s="46">
        <v>866</v>
      </c>
      <c r="B308" s="240" t="s">
        <v>326</v>
      </c>
      <c r="C308" s="364">
        <v>37.6857638888889</v>
      </c>
      <c r="D308" s="365">
        <v>6.0862890947411966E-4</v>
      </c>
      <c r="E308" s="191">
        <v>0.97599999999999998</v>
      </c>
      <c r="F308" s="191">
        <v>0.94</v>
      </c>
      <c r="G308" s="191">
        <v>0.91700000000000004</v>
      </c>
      <c r="H308" s="191">
        <v>0.88700000000000001</v>
      </c>
      <c r="I308" s="191">
        <v>0.84299999999999997</v>
      </c>
      <c r="J308" s="191">
        <v>0.71299999999999997</v>
      </c>
      <c r="K308" s="361">
        <v>5.9402181564674082E-4</v>
      </c>
      <c r="L308" s="362">
        <v>5.7211117490567245E-4</v>
      </c>
      <c r="M308" s="362">
        <v>5.5811270998776773E-4</v>
      </c>
      <c r="N308" s="362">
        <v>5.3985384270354418E-4</v>
      </c>
      <c r="O308" s="362">
        <v>5.1307417068668286E-4</v>
      </c>
      <c r="P308" s="363">
        <v>4.3395241245504731E-4</v>
      </c>
      <c r="Q308" s="273">
        <v>47.106481481481481</v>
      </c>
      <c r="R308" s="273">
        <v>44.060185185185198</v>
      </c>
      <c r="S308" s="273">
        <v>43.722204218530464</v>
      </c>
      <c r="T308" s="273">
        <v>41.577964852513922</v>
      </c>
      <c r="U308" s="273">
        <v>38.222514069526639</v>
      </c>
      <c r="V308" s="273">
        <f t="shared" si="144"/>
        <v>36.781305555555562</v>
      </c>
      <c r="W308" s="273">
        <f t="shared" si="145"/>
        <v>35.424618055555563</v>
      </c>
      <c r="X308" s="273">
        <f t="shared" si="146"/>
        <v>34.55784548611112</v>
      </c>
      <c r="Y308" s="273">
        <f t="shared" si="147"/>
        <v>33.427272569444455</v>
      </c>
      <c r="Z308" s="273">
        <f t="shared" si="148"/>
        <v>31.769098958333341</v>
      </c>
      <c r="AA308" s="273">
        <f t="shared" si="149"/>
        <v>26.869949652777784</v>
      </c>
      <c r="AB308" s="100">
        <v>866</v>
      </c>
      <c r="AC308" s="101" t="s">
        <v>326</v>
      </c>
      <c r="AD308" s="159"/>
      <c r="AE308" s="159"/>
      <c r="AF308" s="164"/>
      <c r="AG308" s="164"/>
      <c r="AH308" s="164"/>
      <c r="AI308" s="159">
        <f t="shared" si="150"/>
        <v>1118260.622484437</v>
      </c>
      <c r="AJ308" s="159">
        <f t="shared" si="151"/>
        <v>1089091.937256621</v>
      </c>
      <c r="AK308" s="159">
        <f t="shared" si="152"/>
        <v>1083383.8322738055</v>
      </c>
      <c r="AL308" s="159">
        <f t="shared" si="153"/>
        <v>1076616.6249228965</v>
      </c>
      <c r="AM308" s="159">
        <f t="shared" si="154"/>
        <v>1053885.4754269794</v>
      </c>
      <c r="AN308" s="159">
        <f t="shared" si="155"/>
        <v>919725.86238172941</v>
      </c>
    </row>
    <row r="309" spans="1:40" x14ac:dyDescent="0.35">
      <c r="A309" s="46">
        <v>867</v>
      </c>
      <c r="B309" s="240" t="s">
        <v>327</v>
      </c>
      <c r="C309" s="364">
        <v>186.79398148148201</v>
      </c>
      <c r="D309" s="365">
        <v>3.0167417484383966E-3</v>
      </c>
      <c r="E309" s="191">
        <v>0.96</v>
      </c>
      <c r="F309" s="191">
        <v>0.90100000000000002</v>
      </c>
      <c r="G309" s="191">
        <v>0.85</v>
      </c>
      <c r="H309" s="191">
        <v>0.78900000000000003</v>
      </c>
      <c r="I309" s="191">
        <v>0.73599999999999999</v>
      </c>
      <c r="J309" s="191">
        <v>0.69499999999999995</v>
      </c>
      <c r="K309" s="361">
        <v>2.8960720785008607E-3</v>
      </c>
      <c r="L309" s="362">
        <v>2.7180843153429956E-3</v>
      </c>
      <c r="M309" s="362">
        <v>2.5642304861726371E-3</v>
      </c>
      <c r="N309" s="362">
        <v>2.380209239517895E-3</v>
      </c>
      <c r="O309" s="362">
        <v>2.2203219268506599E-3</v>
      </c>
      <c r="P309" s="363">
        <v>2.0966355151646856E-3</v>
      </c>
      <c r="Q309" s="273">
        <v>250.72501447337319</v>
      </c>
      <c r="R309" s="273">
        <v>230.14906137685239</v>
      </c>
      <c r="S309" s="273">
        <v>218.82662149434435</v>
      </c>
      <c r="T309" s="273">
        <v>199.99661333321433</v>
      </c>
      <c r="U309" s="273">
        <v>185.03585032131605</v>
      </c>
      <c r="V309" s="273">
        <f t="shared" si="144"/>
        <v>179.32222222222271</v>
      </c>
      <c r="W309" s="273">
        <f t="shared" si="145"/>
        <v>168.30137731481528</v>
      </c>
      <c r="X309" s="273">
        <f t="shared" si="146"/>
        <v>158.77488425925969</v>
      </c>
      <c r="Y309" s="273">
        <f t="shared" si="147"/>
        <v>147.3804513888893</v>
      </c>
      <c r="Z309" s="273">
        <f t="shared" si="148"/>
        <v>137.48037037037076</v>
      </c>
      <c r="AA309" s="273">
        <f t="shared" si="149"/>
        <v>129.82181712962998</v>
      </c>
      <c r="AB309" s="100">
        <v>867</v>
      </c>
      <c r="AC309" s="101" t="s">
        <v>327</v>
      </c>
      <c r="AD309" s="159"/>
      <c r="AE309" s="159"/>
      <c r="AF309" s="164"/>
      <c r="AG309" s="164"/>
      <c r="AH309" s="164"/>
      <c r="AI309" s="159">
        <f t="shared" si="150"/>
        <v>5451926.6463946057</v>
      </c>
      <c r="AJ309" s="159">
        <f t="shared" si="151"/>
        <v>5174245.5705603249</v>
      </c>
      <c r="AK309" s="159">
        <f t="shared" si="152"/>
        <v>4977571.3780177524</v>
      </c>
      <c r="AL309" s="159">
        <f t="shared" si="153"/>
        <v>4746790.0297363708</v>
      </c>
      <c r="AM309" s="159">
        <f t="shared" si="154"/>
        <v>4560675.9473941494</v>
      </c>
      <c r="AN309" s="159">
        <f t="shared" si="155"/>
        <v>4443643.7082482073</v>
      </c>
    </row>
    <row r="310" spans="1:40" x14ac:dyDescent="0.35">
      <c r="A310" s="46">
        <v>627</v>
      </c>
      <c r="B310" s="240" t="s">
        <v>328</v>
      </c>
      <c r="C310" s="364">
        <v>73.665509259259295</v>
      </c>
      <c r="D310" s="365">
        <v>1.1897054468235837E-3</v>
      </c>
      <c r="E310" s="191">
        <v>0.94099999999999995</v>
      </c>
      <c r="F310" s="191">
        <v>0.9</v>
      </c>
      <c r="G310" s="191">
        <v>0.84299999999999997</v>
      </c>
      <c r="H310" s="191">
        <v>0.81599999999999995</v>
      </c>
      <c r="I310" s="191">
        <v>0.79</v>
      </c>
      <c r="J310" s="191">
        <v>0.73699999999999999</v>
      </c>
      <c r="K310" s="361">
        <v>1.1195128254609921E-3</v>
      </c>
      <c r="L310" s="362">
        <v>1.0707349021412253E-3</v>
      </c>
      <c r="M310" s="362">
        <v>1.002921691672281E-3</v>
      </c>
      <c r="N310" s="362">
        <v>9.7079964460804419E-4</v>
      </c>
      <c r="O310" s="362">
        <v>9.3986730299063111E-4</v>
      </c>
      <c r="P310" s="363">
        <v>8.768129143089811E-4</v>
      </c>
      <c r="Q310" s="273">
        <v>86.978101851851804</v>
      </c>
      <c r="R310" s="273">
        <v>83.811342592592595</v>
      </c>
      <c r="S310" s="273">
        <v>82.634657434609608</v>
      </c>
      <c r="T310" s="273">
        <v>80.052376428617663</v>
      </c>
      <c r="U310" s="273">
        <v>73.247764439052247</v>
      </c>
      <c r="V310" s="273">
        <f t="shared" si="144"/>
        <v>69.319244212963</v>
      </c>
      <c r="W310" s="273">
        <f t="shared" si="145"/>
        <v>66.298958333333374</v>
      </c>
      <c r="X310" s="273">
        <f t="shared" si="146"/>
        <v>62.100024305555586</v>
      </c>
      <c r="Y310" s="273">
        <f t="shared" si="147"/>
        <v>60.111055555555581</v>
      </c>
      <c r="Z310" s="273">
        <f t="shared" si="148"/>
        <v>58.195752314814847</v>
      </c>
      <c r="AA310" s="273">
        <f t="shared" si="149"/>
        <v>54.291480324074101</v>
      </c>
      <c r="AB310" s="100">
        <v>627</v>
      </c>
      <c r="AC310" s="101" t="s">
        <v>328</v>
      </c>
      <c r="AD310" s="159"/>
      <c r="AE310" s="159"/>
      <c r="AF310" s="164"/>
      <c r="AG310" s="164"/>
      <c r="AH310" s="164"/>
      <c r="AI310" s="159">
        <f t="shared" si="150"/>
        <v>2107510.3238696842</v>
      </c>
      <c r="AJ310" s="159">
        <f t="shared" si="151"/>
        <v>2038290.4582374794</v>
      </c>
      <c r="AK310" s="159">
        <f t="shared" si="152"/>
        <v>1946827.4532186487</v>
      </c>
      <c r="AL310" s="159">
        <f t="shared" si="153"/>
        <v>1936040.7469178853</v>
      </c>
      <c r="AM310" s="159">
        <f t="shared" si="154"/>
        <v>1930544.4632398516</v>
      </c>
      <c r="AN310" s="159">
        <f t="shared" si="155"/>
        <v>1858331.6755815991</v>
      </c>
    </row>
    <row r="311" spans="1:40" x14ac:dyDescent="0.35">
      <c r="A311" s="46">
        <v>289</v>
      </c>
      <c r="B311" s="240" t="s">
        <v>329</v>
      </c>
      <c r="C311" s="364">
        <v>117.209490740741</v>
      </c>
      <c r="D311" s="365">
        <v>1.8929451646484156E-3</v>
      </c>
      <c r="E311" s="191">
        <v>0.95599999999999996</v>
      </c>
      <c r="F311" s="191">
        <v>0.92400000000000004</v>
      </c>
      <c r="G311" s="191">
        <v>0.86499999999999999</v>
      </c>
      <c r="H311" s="191">
        <v>0.79500000000000004</v>
      </c>
      <c r="I311" s="191">
        <v>0.74299999999999999</v>
      </c>
      <c r="J311" s="191">
        <v>0.66900000000000004</v>
      </c>
      <c r="K311" s="361">
        <v>1.8096555774038852E-3</v>
      </c>
      <c r="L311" s="362">
        <v>1.749081332135136E-3</v>
      </c>
      <c r="M311" s="362">
        <v>1.6373975674208795E-3</v>
      </c>
      <c r="N311" s="362">
        <v>1.5048914058954906E-3</v>
      </c>
      <c r="O311" s="362">
        <v>1.4064582573337728E-3</v>
      </c>
      <c r="P311" s="363">
        <v>1.2663803151497901E-3</v>
      </c>
      <c r="Q311" s="273">
        <v>147.56600937768113</v>
      </c>
      <c r="R311" s="273">
        <v>141.16438756834117</v>
      </c>
      <c r="S311" s="273">
        <v>137.71098396572759</v>
      </c>
      <c r="T311" s="273">
        <v>129.68424279204365</v>
      </c>
      <c r="U311" s="273">
        <v>119.47691695401872</v>
      </c>
      <c r="V311" s="273">
        <f t="shared" si="144"/>
        <v>112.0522731481484</v>
      </c>
      <c r="W311" s="273">
        <f t="shared" si="145"/>
        <v>108.3015694444447</v>
      </c>
      <c r="X311" s="273">
        <f t="shared" si="146"/>
        <v>101.38620949074097</v>
      </c>
      <c r="Y311" s="273">
        <f t="shared" si="147"/>
        <v>93.181545138889106</v>
      </c>
      <c r="Z311" s="273">
        <f t="shared" si="148"/>
        <v>87.08665162037056</v>
      </c>
      <c r="AA311" s="273">
        <f t="shared" si="149"/>
        <v>78.413149305555734</v>
      </c>
      <c r="AB311" s="100">
        <v>289</v>
      </c>
      <c r="AC311" s="101" t="s">
        <v>329</v>
      </c>
      <c r="AD311" s="159"/>
      <c r="AE311" s="159"/>
      <c r="AF311" s="164"/>
      <c r="AG311" s="164"/>
      <c r="AH311" s="164"/>
      <c r="AI311" s="159">
        <f t="shared" si="150"/>
        <v>3406720.9640555666</v>
      </c>
      <c r="AJ311" s="159">
        <f t="shared" si="151"/>
        <v>3329615.7460104171</v>
      </c>
      <c r="AK311" s="159">
        <f t="shared" si="152"/>
        <v>3178444.1024235399</v>
      </c>
      <c r="AL311" s="159">
        <f t="shared" si="153"/>
        <v>3001166.2011645427</v>
      </c>
      <c r="AM311" s="159">
        <f t="shared" si="154"/>
        <v>2888950.5921036936</v>
      </c>
      <c r="AN311" s="159">
        <f t="shared" si="155"/>
        <v>2683987.2161674858</v>
      </c>
    </row>
    <row r="312" spans="1:40" x14ac:dyDescent="0.35">
      <c r="A312" s="46">
        <v>629</v>
      </c>
      <c r="B312" s="240" t="s">
        <v>330</v>
      </c>
      <c r="C312" s="364">
        <v>31.696759259259299</v>
      </c>
      <c r="D312" s="365">
        <v>5.1190587720883454E-4</v>
      </c>
      <c r="E312" s="191">
        <v>0.97699999999999998</v>
      </c>
      <c r="F312" s="191">
        <v>0.95399999999999996</v>
      </c>
      <c r="G312" s="191">
        <v>0.90300000000000002</v>
      </c>
      <c r="H312" s="191">
        <v>0.86899999999999999</v>
      </c>
      <c r="I312" s="191">
        <v>0.84699999999999998</v>
      </c>
      <c r="J312" s="191">
        <v>0.79200000000000004</v>
      </c>
      <c r="K312" s="361">
        <v>5.0013204203303138E-4</v>
      </c>
      <c r="L312" s="362">
        <v>4.8835820685722811E-4</v>
      </c>
      <c r="M312" s="362">
        <v>4.6225100711957761E-4</v>
      </c>
      <c r="N312" s="362">
        <v>4.448462072944772E-4</v>
      </c>
      <c r="O312" s="362">
        <v>4.3358427799588287E-4</v>
      </c>
      <c r="P312" s="363">
        <v>4.0542945474939695E-4</v>
      </c>
      <c r="Q312" s="273">
        <v>41.967592592592595</v>
      </c>
      <c r="R312" s="273">
        <v>40.280092592592602</v>
      </c>
      <c r="S312" s="273">
        <v>35.436087343264767</v>
      </c>
      <c r="T312" s="273">
        <v>33.235462253340891</v>
      </c>
      <c r="U312" s="273">
        <v>31.304310972939348</v>
      </c>
      <c r="V312" s="273">
        <f t="shared" si="144"/>
        <v>30.967733796296333</v>
      </c>
      <c r="W312" s="273">
        <f t="shared" si="145"/>
        <v>30.238708333333371</v>
      </c>
      <c r="X312" s="273">
        <f t="shared" si="146"/>
        <v>28.622173611111148</v>
      </c>
      <c r="Y312" s="273">
        <f t="shared" si="147"/>
        <v>27.54448379629633</v>
      </c>
      <c r="Z312" s="273">
        <f t="shared" si="148"/>
        <v>26.847155092592626</v>
      </c>
      <c r="AA312" s="273">
        <f t="shared" si="149"/>
        <v>25.103833333333366</v>
      </c>
      <c r="AB312" s="100">
        <v>629</v>
      </c>
      <c r="AC312" s="101" t="s">
        <v>330</v>
      </c>
      <c r="AD312" s="159"/>
      <c r="AE312" s="159"/>
      <c r="AF312" s="164"/>
      <c r="AG312" s="164"/>
      <c r="AH312" s="164"/>
      <c r="AI312" s="159">
        <f t="shared" si="150"/>
        <v>941510.82319991372</v>
      </c>
      <c r="AJ312" s="159">
        <f t="shared" si="151"/>
        <v>929656.69770215626</v>
      </c>
      <c r="AK312" s="159">
        <f t="shared" si="152"/>
        <v>897301.31316416396</v>
      </c>
      <c r="AL312" s="159">
        <f t="shared" si="153"/>
        <v>887145.3427259028</v>
      </c>
      <c r="AM312" s="159">
        <f t="shared" si="154"/>
        <v>890608.41309120867</v>
      </c>
      <c r="AN312" s="159">
        <f t="shared" si="155"/>
        <v>859273.83787264954</v>
      </c>
    </row>
    <row r="313" spans="1:40" x14ac:dyDescent="0.35">
      <c r="A313" s="46">
        <v>852</v>
      </c>
      <c r="B313" s="240" t="s">
        <v>331</v>
      </c>
      <c r="C313" s="364">
        <v>16.5277777777778</v>
      </c>
      <c r="D313" s="365">
        <v>2.6692528761199726E-4</v>
      </c>
      <c r="E313" s="191">
        <v>0.97699999999999998</v>
      </c>
      <c r="F313" s="191">
        <v>0.93700000000000006</v>
      </c>
      <c r="G313" s="191">
        <v>0.86499999999999999</v>
      </c>
      <c r="H313" s="191">
        <v>0.84499999999999997</v>
      </c>
      <c r="I313" s="191">
        <v>0.82399999999999995</v>
      </c>
      <c r="J313" s="191">
        <v>0.754</v>
      </c>
      <c r="K313" s="361">
        <v>2.6078600599692132E-4</v>
      </c>
      <c r="L313" s="362">
        <v>2.5010899449244144E-4</v>
      </c>
      <c r="M313" s="362">
        <v>2.3089037378437762E-4</v>
      </c>
      <c r="N313" s="362">
        <v>2.2555186803213767E-4</v>
      </c>
      <c r="O313" s="362">
        <v>2.1994643699228573E-4</v>
      </c>
      <c r="P313" s="363">
        <v>2.0126166685944594E-4</v>
      </c>
      <c r="Q313" s="273">
        <v>25.953703703703702</v>
      </c>
      <c r="R313" s="273">
        <v>23.8611111111111</v>
      </c>
      <c r="S313" s="273">
        <v>20.14613839013175</v>
      </c>
      <c r="T313" s="273">
        <v>16.598983226856586</v>
      </c>
      <c r="U313" s="273">
        <v>14.882254218776517</v>
      </c>
      <c r="V313" s="273">
        <f t="shared" si="144"/>
        <v>16.14763888888891</v>
      </c>
      <c r="W313" s="273">
        <f t="shared" si="145"/>
        <v>15.4865277777778</v>
      </c>
      <c r="X313" s="273">
        <f t="shared" si="146"/>
        <v>14.296527777777797</v>
      </c>
      <c r="Y313" s="273">
        <f t="shared" si="147"/>
        <v>13.965972222222241</v>
      </c>
      <c r="Z313" s="273">
        <f t="shared" si="148"/>
        <v>13.618888888888906</v>
      </c>
      <c r="AA313" s="273">
        <f t="shared" si="149"/>
        <v>12.461944444444461</v>
      </c>
      <c r="AB313" s="100">
        <v>852</v>
      </c>
      <c r="AC313" s="101" t="s">
        <v>331</v>
      </c>
      <c r="AD313" s="159"/>
      <c r="AE313" s="159"/>
      <c r="AF313" s="164"/>
      <c r="AG313" s="164"/>
      <c r="AH313" s="164"/>
      <c r="AI313" s="159">
        <f t="shared" si="150"/>
        <v>490936.04598315817</v>
      </c>
      <c r="AJ313" s="159">
        <f t="shared" si="151"/>
        <v>476116.70822893741</v>
      </c>
      <c r="AK313" s="159">
        <f t="shared" si="152"/>
        <v>448194.23300919437</v>
      </c>
      <c r="AL313" s="159">
        <f t="shared" si="153"/>
        <v>449812.2856544418</v>
      </c>
      <c r="AM313" s="159">
        <f t="shared" si="154"/>
        <v>451783.32600109908</v>
      </c>
      <c r="AN313" s="159">
        <f t="shared" si="155"/>
        <v>426557.27864138363</v>
      </c>
    </row>
    <row r="314" spans="1:40" x14ac:dyDescent="0.35">
      <c r="A314" s="46">
        <v>988</v>
      </c>
      <c r="B314" s="240" t="s">
        <v>332</v>
      </c>
      <c r="C314" s="364">
        <v>275.60011574074099</v>
      </c>
      <c r="D314" s="365">
        <v>4.4509698248065364E-3</v>
      </c>
      <c r="E314" s="191">
        <v>0.94599999999999995</v>
      </c>
      <c r="F314" s="191">
        <v>0.878</v>
      </c>
      <c r="G314" s="191">
        <v>0.82199999999999995</v>
      </c>
      <c r="H314" s="191">
        <v>0.76100000000000001</v>
      </c>
      <c r="I314" s="191">
        <v>0.71699999999999997</v>
      </c>
      <c r="J314" s="191">
        <v>0.66400000000000003</v>
      </c>
      <c r="K314" s="361">
        <v>4.2106174542669832E-3</v>
      </c>
      <c r="L314" s="362">
        <v>3.9079515061801393E-3</v>
      </c>
      <c r="M314" s="362">
        <v>3.6586971959909728E-3</v>
      </c>
      <c r="N314" s="362">
        <v>3.3871880366777743E-3</v>
      </c>
      <c r="O314" s="362">
        <v>3.1913453643862863E-3</v>
      </c>
      <c r="P314" s="363">
        <v>2.9554439636715404E-3</v>
      </c>
      <c r="Q314" s="273">
        <v>377.7185780504762</v>
      </c>
      <c r="R314" s="273">
        <v>359.03615549308307</v>
      </c>
      <c r="S314" s="273">
        <v>331.66556886976781</v>
      </c>
      <c r="T314" s="273">
        <v>298.52983775752881</v>
      </c>
      <c r="U314" s="273">
        <v>281.41722901334185</v>
      </c>
      <c r="V314" s="273">
        <f t="shared" si="144"/>
        <v>260.71770949074096</v>
      </c>
      <c r="W314" s="273">
        <f t="shared" si="145"/>
        <v>241.9769016203706</v>
      </c>
      <c r="X314" s="273">
        <f t="shared" si="146"/>
        <v>226.54329513888908</v>
      </c>
      <c r="Y314" s="273">
        <f t="shared" si="147"/>
        <v>209.73168807870388</v>
      </c>
      <c r="Z314" s="273">
        <f t="shared" si="148"/>
        <v>197.60528298611129</v>
      </c>
      <c r="AA314" s="273">
        <f t="shared" si="149"/>
        <v>182.99847685185202</v>
      </c>
      <c r="AB314" s="100">
        <v>988</v>
      </c>
      <c r="AC314" s="101" t="s">
        <v>332</v>
      </c>
      <c r="AD314" s="159"/>
      <c r="AE314" s="159"/>
      <c r="AF314" s="164"/>
      <c r="AG314" s="164"/>
      <c r="AH314" s="164"/>
      <c r="AI314" s="159">
        <f t="shared" si="150"/>
        <v>7926590.5248378534</v>
      </c>
      <c r="AJ314" s="159">
        <f t="shared" si="151"/>
        <v>7439320.6482505621</v>
      </c>
      <c r="AK314" s="159">
        <f t="shared" si="152"/>
        <v>7102101.9919238221</v>
      </c>
      <c r="AL314" s="159">
        <f t="shared" si="153"/>
        <v>6754981.9294882594</v>
      </c>
      <c r="AM314" s="159">
        <f t="shared" si="154"/>
        <v>6555217.0012701545</v>
      </c>
      <c r="AN314" s="159">
        <f t="shared" si="155"/>
        <v>6263816.4236274632</v>
      </c>
    </row>
    <row r="316" spans="1:40" x14ac:dyDescent="0.35">
      <c r="A316" s="46">
        <v>1960</v>
      </c>
      <c r="B316" s="240" t="s">
        <v>1007</v>
      </c>
      <c r="C316" s="364">
        <v>101.981481481481</v>
      </c>
      <c r="D316" s="365">
        <v>1.6470112704529524E-3</v>
      </c>
      <c r="E316" s="191">
        <v>0.97699999999999998</v>
      </c>
      <c r="F316" s="191">
        <v>0.89800000000000002</v>
      </c>
      <c r="G316" s="191">
        <v>0.86199999999999999</v>
      </c>
      <c r="H316" s="191">
        <v>0.83099999999999996</v>
      </c>
      <c r="I316" s="191">
        <v>0.79700000000000004</v>
      </c>
      <c r="J316" s="191">
        <v>0.747</v>
      </c>
      <c r="K316" s="361">
        <v>1.6091300112325345E-3</v>
      </c>
      <c r="L316" s="362">
        <v>1.4790161208667514E-3</v>
      </c>
      <c r="M316" s="362">
        <v>1.419723715130445E-3</v>
      </c>
      <c r="N316" s="362">
        <v>1.3686663657464034E-3</v>
      </c>
      <c r="O316" s="362">
        <v>1.3126679825510032E-3</v>
      </c>
      <c r="P316" s="363">
        <v>1.2303174190283555E-3</v>
      </c>
      <c r="Q316" s="273">
        <v>155.03472222222223</v>
      </c>
      <c r="R316" s="273">
        <v>147.3472222222222</v>
      </c>
      <c r="S316" s="273">
        <v>134.20551025902131</v>
      </c>
      <c r="T316" s="273">
        <v>114.56951593225125</v>
      </c>
      <c r="U316" s="273">
        <v>39.658492044137077</v>
      </c>
      <c r="V316" s="273">
        <f>+E316*C316</f>
        <v>99.635907407406933</v>
      </c>
      <c r="W316" s="273">
        <f>+F316*$C316</f>
        <v>91.579370370369944</v>
      </c>
      <c r="X316" s="273">
        <f>+G316*$C316</f>
        <v>87.908037037036621</v>
      </c>
      <c r="Y316" s="273">
        <f>+H316*$C316</f>
        <v>84.74661111111071</v>
      </c>
      <c r="Z316" s="273">
        <f>+I316*$C316</f>
        <v>81.279240740740363</v>
      </c>
      <c r="AA316" s="273">
        <f>+J316*$C316</f>
        <v>76.18016666666631</v>
      </c>
      <c r="AB316" s="100">
        <v>1960</v>
      </c>
      <c r="AC316" s="101" t="s">
        <v>1007</v>
      </c>
      <c r="AD316" s="159"/>
      <c r="AE316" s="159"/>
      <c r="AF316" s="164"/>
      <c r="AG316" s="164"/>
      <c r="AH316" s="164"/>
      <c r="AI316" s="159">
        <f t="shared" ref="AI316" si="156">+V316*AI$8</f>
        <v>3029226.6725257542</v>
      </c>
      <c r="AJ316" s="159">
        <f t="shared" ref="AJ316:AJ344" si="157">+W316*AJ$8</f>
        <v>2815509.6473585279</v>
      </c>
      <c r="AK316" s="159">
        <f t="shared" ref="AK316:AK344" si="158">+X316*AK$8</f>
        <v>2755905.199331041</v>
      </c>
      <c r="AL316" s="159">
        <f t="shared" ref="AL316:AL344" si="159">+Y316*AL$8</f>
        <v>2729496.1094581946</v>
      </c>
      <c r="AM316" s="159">
        <f t="shared" ref="AM316:AM344" si="160">+Z316*AM$8</f>
        <v>2696299.6773293717</v>
      </c>
      <c r="AN316" s="159">
        <f t="shared" ref="AN316:AN344" si="161">+AA316*AN$8</f>
        <v>2607554.9224797422</v>
      </c>
    </row>
    <row r="317" spans="1:40" x14ac:dyDescent="0.35">
      <c r="A317" s="46">
        <v>668</v>
      </c>
      <c r="B317" s="240" t="s">
        <v>335</v>
      </c>
      <c r="C317" s="364">
        <v>38.203703703703702</v>
      </c>
      <c r="D317" s="365">
        <v>6.1699369002078393E-4</v>
      </c>
      <c r="E317" s="191">
        <v>0.93</v>
      </c>
      <c r="F317" s="191">
        <v>0.82599999999999996</v>
      </c>
      <c r="G317" s="191">
        <v>0.80600000000000005</v>
      </c>
      <c r="H317" s="191">
        <v>0.76400000000000001</v>
      </c>
      <c r="I317" s="191">
        <v>0.745</v>
      </c>
      <c r="J317" s="191">
        <v>0.70499999999999996</v>
      </c>
      <c r="K317" s="361">
        <v>5.7380413171932904E-4</v>
      </c>
      <c r="L317" s="362">
        <v>5.0963678795716745E-4</v>
      </c>
      <c r="M317" s="362">
        <v>4.9729691415675186E-4</v>
      </c>
      <c r="N317" s="362">
        <v>4.7138317917587891E-4</v>
      </c>
      <c r="O317" s="362">
        <v>4.5966029906548405E-4</v>
      </c>
      <c r="P317" s="363">
        <v>4.3498055146465266E-4</v>
      </c>
      <c r="Q317" s="273">
        <v>58.06481481481481</v>
      </c>
      <c r="R317" s="273">
        <v>50.7638888888889</v>
      </c>
      <c r="S317" s="273">
        <v>47.294085461436509</v>
      </c>
      <c r="T317" s="273">
        <v>46.779482199642089</v>
      </c>
      <c r="U317" s="273">
        <v>106.18973530344907</v>
      </c>
      <c r="V317" s="273">
        <f t="shared" si="144"/>
        <v>35.529444444444444</v>
      </c>
      <c r="W317" s="273">
        <f t="shared" si="145"/>
        <v>31.556259259259257</v>
      </c>
      <c r="X317" s="273">
        <f t="shared" si="146"/>
        <v>30.792185185185186</v>
      </c>
      <c r="Y317" s="273">
        <f t="shared" si="147"/>
        <v>29.18762962962963</v>
      </c>
      <c r="Z317" s="273">
        <f t="shared" si="148"/>
        <v>28.461759259259257</v>
      </c>
      <c r="AA317" s="273">
        <f t="shared" si="149"/>
        <v>26.933611111111109</v>
      </c>
      <c r="AB317" s="100">
        <v>668</v>
      </c>
      <c r="AC317" s="101" t="s">
        <v>335</v>
      </c>
      <c r="AD317" s="159"/>
      <c r="AE317" s="159"/>
      <c r="AF317" s="164"/>
      <c r="AG317" s="164"/>
      <c r="AH317" s="164"/>
      <c r="AI317" s="159">
        <f t="shared" si="150"/>
        <v>1080200.3371239644</v>
      </c>
      <c r="AJ317" s="159">
        <f t="shared" si="157"/>
        <v>970163.38963318872</v>
      </c>
      <c r="AK317" s="159">
        <f t="shared" si="158"/>
        <v>965330.88567161968</v>
      </c>
      <c r="AL317" s="159">
        <f t="shared" si="159"/>
        <v>940067.34279827715</v>
      </c>
      <c r="AM317" s="159">
        <f t="shared" si="160"/>
        <v>944170.1424322133</v>
      </c>
      <c r="AN317" s="159">
        <f t="shared" si="161"/>
        <v>921904.91706633847</v>
      </c>
    </row>
    <row r="318" spans="1:40" x14ac:dyDescent="0.35">
      <c r="A318" s="46">
        <v>1969</v>
      </c>
      <c r="B318" s="240" t="s">
        <v>336</v>
      </c>
      <c r="C318" s="364">
        <v>280.34548611111097</v>
      </c>
      <c r="D318" s="365">
        <v>4.5276080376363053E-3</v>
      </c>
      <c r="E318" s="191">
        <v>0.95099999999999996</v>
      </c>
      <c r="F318" s="191">
        <v>0.89</v>
      </c>
      <c r="G318" s="191">
        <v>0.83599999999999997</v>
      </c>
      <c r="H318" s="191">
        <v>0.78500000000000003</v>
      </c>
      <c r="I318" s="191">
        <v>0.73799999999999999</v>
      </c>
      <c r="J318" s="191">
        <v>0.67500000000000004</v>
      </c>
      <c r="K318" s="361">
        <v>4.3057552437921259E-3</v>
      </c>
      <c r="L318" s="362">
        <v>4.029571153496312E-3</v>
      </c>
      <c r="M318" s="362">
        <v>3.7850803194639511E-3</v>
      </c>
      <c r="N318" s="362">
        <v>3.5541723095444998E-3</v>
      </c>
      <c r="O318" s="362">
        <v>3.3413747317755935E-3</v>
      </c>
      <c r="P318" s="363">
        <v>3.0561354254045065E-3</v>
      </c>
      <c r="Q318" s="273">
        <v>343.91946761904438</v>
      </c>
      <c r="R318" s="273">
        <v>332.14608255183219</v>
      </c>
      <c r="S318" s="273">
        <v>308.73639144881417</v>
      </c>
      <c r="T318" s="273">
        <v>290.31243597907633</v>
      </c>
      <c r="U318" s="273">
        <v>277.68531412244948</v>
      </c>
      <c r="V318" s="273">
        <f t="shared" si="144"/>
        <v>266.6085572916665</v>
      </c>
      <c r="W318" s="273">
        <f t="shared" si="145"/>
        <v>249.50748263888877</v>
      </c>
      <c r="X318" s="273">
        <f t="shared" si="146"/>
        <v>234.36882638888875</v>
      </c>
      <c r="Y318" s="273">
        <f t="shared" si="147"/>
        <v>220.07120659722213</v>
      </c>
      <c r="Z318" s="273">
        <f t="shared" si="148"/>
        <v>206.89496874999989</v>
      </c>
      <c r="AA318" s="273">
        <f t="shared" si="149"/>
        <v>189.23320312499993</v>
      </c>
      <c r="AB318" s="100">
        <v>1969</v>
      </c>
      <c r="AC318" s="101" t="s">
        <v>336</v>
      </c>
      <c r="AD318" s="159"/>
      <c r="AE318" s="159"/>
      <c r="AF318" s="164"/>
      <c r="AG318" s="164"/>
      <c r="AH318" s="164"/>
      <c r="AI318" s="159">
        <f t="shared" si="150"/>
        <v>8105689.7446541293</v>
      </c>
      <c r="AJ318" s="159">
        <f t="shared" si="157"/>
        <v>7670840.2953294292</v>
      </c>
      <c r="AK318" s="159">
        <f t="shared" si="158"/>
        <v>7347431.349583298</v>
      </c>
      <c r="AL318" s="159">
        <f t="shared" si="159"/>
        <v>7087994.3673893493</v>
      </c>
      <c r="AM318" s="159">
        <f t="shared" si="160"/>
        <v>6863386.4243527343</v>
      </c>
      <c r="AN318" s="159">
        <f t="shared" si="161"/>
        <v>6477223.5595687171</v>
      </c>
    </row>
    <row r="319" spans="1:40" x14ac:dyDescent="0.35">
      <c r="A319" s="46">
        <v>1701</v>
      </c>
      <c r="B319" s="240" t="s">
        <v>337</v>
      </c>
      <c r="C319" s="364">
        <v>94.370370370370395</v>
      </c>
      <c r="D319" s="365">
        <v>1.5240910539728141E-3</v>
      </c>
      <c r="E319" s="191">
        <v>0.96499999999999997</v>
      </c>
      <c r="F319" s="191">
        <v>0.93</v>
      </c>
      <c r="G319" s="191">
        <v>0.86699999999999999</v>
      </c>
      <c r="H319" s="191">
        <v>0.80700000000000005</v>
      </c>
      <c r="I319" s="191">
        <v>0.749</v>
      </c>
      <c r="J319" s="191">
        <v>0.68799999999999994</v>
      </c>
      <c r="K319" s="361">
        <v>1.4707478670837656E-3</v>
      </c>
      <c r="L319" s="362">
        <v>1.4174046801947171E-3</v>
      </c>
      <c r="M319" s="362">
        <v>1.3213869437944297E-3</v>
      </c>
      <c r="N319" s="362">
        <v>1.2299414805560611E-3</v>
      </c>
      <c r="O319" s="362">
        <v>1.1415441994256377E-3</v>
      </c>
      <c r="P319" s="363">
        <v>1.048574645133296E-3</v>
      </c>
      <c r="Q319" s="273">
        <v>117.24929310510571</v>
      </c>
      <c r="R319" s="273">
        <v>112.81108624864854</v>
      </c>
      <c r="S319" s="273">
        <v>109.59122773765306</v>
      </c>
      <c r="T319" s="273">
        <v>104.09607572806418</v>
      </c>
      <c r="U319" s="273">
        <v>99.020054238920551</v>
      </c>
      <c r="V319" s="273">
        <f t="shared" si="144"/>
        <v>91.06740740740743</v>
      </c>
      <c r="W319" s="273">
        <f t="shared" si="145"/>
        <v>87.764444444444479</v>
      </c>
      <c r="X319" s="273">
        <f t="shared" si="146"/>
        <v>81.819111111111127</v>
      </c>
      <c r="Y319" s="273">
        <f t="shared" si="147"/>
        <v>76.156888888888915</v>
      </c>
      <c r="Z319" s="273">
        <f t="shared" si="148"/>
        <v>70.683407407407429</v>
      </c>
      <c r="AA319" s="273">
        <f t="shared" si="149"/>
        <v>64.926814814814833</v>
      </c>
      <c r="AB319" s="100">
        <v>1701</v>
      </c>
      <c r="AC319" s="101" t="s">
        <v>337</v>
      </c>
      <c r="AD319" s="159"/>
      <c r="AE319" s="159"/>
      <c r="AF319" s="164"/>
      <c r="AG319" s="164"/>
      <c r="AH319" s="164"/>
      <c r="AI319" s="159">
        <f t="shared" si="150"/>
        <v>2768718.8955713804</v>
      </c>
      <c r="AJ319" s="159">
        <f t="shared" si="157"/>
        <v>2698223.8361003576</v>
      </c>
      <c r="AK319" s="159">
        <f t="shared" si="158"/>
        <v>2565018.1862297263</v>
      </c>
      <c r="AL319" s="159">
        <f t="shared" si="159"/>
        <v>2452840.6411216306</v>
      </c>
      <c r="AM319" s="159">
        <f t="shared" si="160"/>
        <v>2344801.0445009619</v>
      </c>
      <c r="AN319" s="159">
        <f t="shared" si="161"/>
        <v>2222366.305814092</v>
      </c>
    </row>
    <row r="320" spans="1:40" x14ac:dyDescent="0.35">
      <c r="A320" s="46">
        <v>293</v>
      </c>
      <c r="B320" s="240" t="s">
        <v>338</v>
      </c>
      <c r="C320" s="364">
        <v>82.632523148148096</v>
      </c>
      <c r="D320" s="365">
        <v>1.3345236307013095E-3</v>
      </c>
      <c r="E320" s="191">
        <v>0.95799999999999996</v>
      </c>
      <c r="F320" s="191">
        <v>0.92300000000000004</v>
      </c>
      <c r="G320" s="191">
        <v>0.88100000000000001</v>
      </c>
      <c r="H320" s="191">
        <v>0.83</v>
      </c>
      <c r="I320" s="191">
        <v>0.77600000000000002</v>
      </c>
      <c r="J320" s="191">
        <v>0.745</v>
      </c>
      <c r="K320" s="361">
        <v>1.2784736382118545E-3</v>
      </c>
      <c r="L320" s="362">
        <v>1.2317653111373087E-3</v>
      </c>
      <c r="M320" s="362">
        <v>1.1757153186478537E-3</v>
      </c>
      <c r="N320" s="362">
        <v>1.1076546134820868E-3</v>
      </c>
      <c r="O320" s="362">
        <v>1.0355903374242163E-3</v>
      </c>
      <c r="P320" s="363">
        <v>9.9422010487247559E-4</v>
      </c>
      <c r="Q320" s="273">
        <v>102.48404070993249</v>
      </c>
      <c r="R320" s="273">
        <v>95.5416666666667</v>
      </c>
      <c r="S320" s="273">
        <v>88.741994657428407</v>
      </c>
      <c r="T320" s="273">
        <v>82.84128883335228</v>
      </c>
      <c r="U320" s="273">
        <v>81.483594505314272</v>
      </c>
      <c r="V320" s="273">
        <f t="shared" si="144"/>
        <v>79.161957175925878</v>
      </c>
      <c r="W320" s="273">
        <f t="shared" si="145"/>
        <v>76.269818865740689</v>
      </c>
      <c r="X320" s="273">
        <f t="shared" si="146"/>
        <v>72.799252893518471</v>
      </c>
      <c r="Y320" s="273">
        <f t="shared" si="147"/>
        <v>68.584994212962911</v>
      </c>
      <c r="Z320" s="273">
        <f t="shared" si="148"/>
        <v>64.122837962962919</v>
      </c>
      <c r="AA320" s="273">
        <f t="shared" si="149"/>
        <v>61.561229745370333</v>
      </c>
      <c r="AB320" s="100">
        <v>293</v>
      </c>
      <c r="AC320" s="101" t="s">
        <v>338</v>
      </c>
      <c r="AD320" s="159"/>
      <c r="AE320" s="159"/>
      <c r="AF320" s="164"/>
      <c r="AG320" s="164"/>
      <c r="AH320" s="164"/>
      <c r="AI320" s="159">
        <f t="shared" si="150"/>
        <v>2406757.9486793485</v>
      </c>
      <c r="AJ320" s="159">
        <f t="shared" si="157"/>
        <v>2344833.8850804977</v>
      </c>
      <c r="AK320" s="159">
        <f t="shared" si="158"/>
        <v>2282246.8379328749</v>
      </c>
      <c r="AL320" s="159">
        <f t="shared" si="159"/>
        <v>2208967.0892686807</v>
      </c>
      <c r="AM320" s="159">
        <f t="shared" si="160"/>
        <v>2127165.3835998373</v>
      </c>
      <c r="AN320" s="159">
        <f t="shared" si="161"/>
        <v>2107166.4014445688</v>
      </c>
    </row>
    <row r="321" spans="1:40" x14ac:dyDescent="0.35">
      <c r="A321" s="46">
        <v>1950</v>
      </c>
      <c r="B321" s="240" t="s">
        <v>339</v>
      </c>
      <c r="C321" s="364">
        <v>294.86111111111097</v>
      </c>
      <c r="D321" s="365">
        <v>4.7620368537837745E-3</v>
      </c>
      <c r="E321" s="191">
        <v>0.93700000000000006</v>
      </c>
      <c r="F321" s="191">
        <v>0.86299999999999999</v>
      </c>
      <c r="G321" s="191">
        <v>0.81399999999999995</v>
      </c>
      <c r="H321" s="191">
        <v>0.76700000000000002</v>
      </c>
      <c r="I321" s="191">
        <v>0.69299999999999995</v>
      </c>
      <c r="J321" s="191">
        <v>0.61899999999999999</v>
      </c>
      <c r="K321" s="361">
        <v>4.4620285319953972E-3</v>
      </c>
      <c r="L321" s="362">
        <v>4.1096378048153977E-3</v>
      </c>
      <c r="M321" s="362">
        <v>3.8762979989799919E-3</v>
      </c>
      <c r="N321" s="362">
        <v>3.6524822668521553E-3</v>
      </c>
      <c r="O321" s="362">
        <v>3.3000915396721553E-3</v>
      </c>
      <c r="P321" s="363">
        <v>2.9477008124921562E-3</v>
      </c>
      <c r="Q321" s="273">
        <v>368.00863544295652</v>
      </c>
      <c r="R321" s="273">
        <v>342.15074885520551</v>
      </c>
      <c r="S321" s="273">
        <v>334.67644744988507</v>
      </c>
      <c r="T321" s="273">
        <v>313.43907910467851</v>
      </c>
      <c r="U321" s="273">
        <v>294.68085369249121</v>
      </c>
      <c r="V321" s="273">
        <f t="shared" si="144"/>
        <v>276.28486111111101</v>
      </c>
      <c r="W321" s="273">
        <f t="shared" si="145"/>
        <v>254.46513888888876</v>
      </c>
      <c r="X321" s="273">
        <f t="shared" si="146"/>
        <v>240.01694444444431</v>
      </c>
      <c r="Y321" s="273">
        <f t="shared" si="147"/>
        <v>226.15847222222212</v>
      </c>
      <c r="Z321" s="273">
        <f t="shared" si="148"/>
        <v>204.33874999999989</v>
      </c>
      <c r="AA321" s="273">
        <f t="shared" si="149"/>
        <v>182.51902777777769</v>
      </c>
      <c r="AB321" s="100">
        <v>1950</v>
      </c>
      <c r="AC321" s="101" t="s">
        <v>339</v>
      </c>
      <c r="AD321" s="159"/>
      <c r="AE321" s="159"/>
      <c r="AF321" s="164"/>
      <c r="AG321" s="164"/>
      <c r="AH321" s="164"/>
      <c r="AI321" s="159">
        <f t="shared" si="150"/>
        <v>8399878.0386541001</v>
      </c>
      <c r="AJ321" s="159">
        <f t="shared" si="157"/>
        <v>7823258.1263727229</v>
      </c>
      <c r="AK321" s="159">
        <f t="shared" si="158"/>
        <v>7524499.0949270269</v>
      </c>
      <c r="AL321" s="159">
        <f t="shared" si="159"/>
        <v>7284051.3851607386</v>
      </c>
      <c r="AM321" s="159">
        <f t="shared" si="160"/>
        <v>6778588.2430705912</v>
      </c>
      <c r="AN321" s="159">
        <f t="shared" si="161"/>
        <v>6247405.461983717</v>
      </c>
    </row>
    <row r="322" spans="1:40" x14ac:dyDescent="0.35">
      <c r="A322" s="46">
        <v>1783</v>
      </c>
      <c r="B322" s="240" t="s">
        <v>340</v>
      </c>
      <c r="C322" s="364">
        <v>229.895833333333</v>
      </c>
      <c r="D322" s="365">
        <v>3.7128410278971197E-3</v>
      </c>
      <c r="E322" s="191">
        <v>0.96099999999999997</v>
      </c>
      <c r="F322" s="191">
        <v>0.93400000000000005</v>
      </c>
      <c r="G322" s="191">
        <v>0.874</v>
      </c>
      <c r="H322" s="191">
        <v>0.84</v>
      </c>
      <c r="I322" s="191">
        <v>0.8</v>
      </c>
      <c r="J322" s="191">
        <v>0.754</v>
      </c>
      <c r="K322" s="361">
        <v>3.568040227809132E-3</v>
      </c>
      <c r="L322" s="362">
        <v>3.4677935200559101E-3</v>
      </c>
      <c r="M322" s="362">
        <v>3.2450230583820827E-3</v>
      </c>
      <c r="N322" s="362">
        <v>3.1187864634335803E-3</v>
      </c>
      <c r="O322" s="362">
        <v>2.9702728223176961E-3</v>
      </c>
      <c r="P322" s="363">
        <v>2.7994821350344284E-3</v>
      </c>
      <c r="Q322" s="273">
        <v>279.1700486714613</v>
      </c>
      <c r="R322" s="273">
        <v>267.75710307487742</v>
      </c>
      <c r="S322" s="273">
        <v>256.09572217122866</v>
      </c>
      <c r="T322" s="273">
        <v>244.42046166685085</v>
      </c>
      <c r="U322" s="273">
        <v>232.93242651826839</v>
      </c>
      <c r="V322" s="273">
        <f t="shared" si="144"/>
        <v>220.92989583333301</v>
      </c>
      <c r="W322" s="273">
        <f t="shared" si="145"/>
        <v>214.72270833333303</v>
      </c>
      <c r="X322" s="273">
        <f t="shared" si="146"/>
        <v>200.92895833333304</v>
      </c>
      <c r="Y322" s="273">
        <f t="shared" si="147"/>
        <v>193.11249999999973</v>
      </c>
      <c r="Z322" s="273">
        <f t="shared" si="148"/>
        <v>183.9166666666664</v>
      </c>
      <c r="AA322" s="273">
        <f t="shared" si="149"/>
        <v>173.34145833333309</v>
      </c>
      <c r="AB322" s="100">
        <v>1783</v>
      </c>
      <c r="AC322" s="101" t="s">
        <v>340</v>
      </c>
      <c r="AD322" s="159"/>
      <c r="AE322" s="159"/>
      <c r="AF322" s="164"/>
      <c r="AG322" s="164"/>
      <c r="AH322" s="164"/>
      <c r="AI322" s="159">
        <f t="shared" si="150"/>
        <v>6716923.1518126065</v>
      </c>
      <c r="AJ322" s="159">
        <f t="shared" si="157"/>
        <v>6601419.6688018618</v>
      </c>
      <c r="AK322" s="159">
        <f t="shared" si="158"/>
        <v>6299095.9601760348</v>
      </c>
      <c r="AL322" s="159">
        <f t="shared" si="159"/>
        <v>6219715.5795016726</v>
      </c>
      <c r="AM322" s="159">
        <f t="shared" si="160"/>
        <v>6101120.5871201539</v>
      </c>
      <c r="AN322" s="159">
        <f t="shared" si="161"/>
        <v>5933268.3653037678</v>
      </c>
    </row>
    <row r="323" spans="1:40" x14ac:dyDescent="0.35">
      <c r="A323" s="46">
        <v>98</v>
      </c>
      <c r="B323" s="240" t="s">
        <v>341</v>
      </c>
      <c r="C323" s="364">
        <v>155.798611111111</v>
      </c>
      <c r="D323" s="365">
        <v>2.5161633729307337E-3</v>
      </c>
      <c r="E323" s="191">
        <v>0.93600000000000005</v>
      </c>
      <c r="F323" s="191">
        <v>0.89</v>
      </c>
      <c r="G323" s="191">
        <v>0.86199999999999999</v>
      </c>
      <c r="H323" s="191">
        <v>0.81899999999999995</v>
      </c>
      <c r="I323" s="191">
        <v>0.753</v>
      </c>
      <c r="J323" s="191">
        <v>0.70199999999999996</v>
      </c>
      <c r="K323" s="361">
        <v>2.3551289170631669E-3</v>
      </c>
      <c r="L323" s="362">
        <v>2.2393854019083529E-3</v>
      </c>
      <c r="M323" s="362">
        <v>2.1689328274662923E-3</v>
      </c>
      <c r="N323" s="362">
        <v>2.0607378024302707E-3</v>
      </c>
      <c r="O323" s="362">
        <v>1.8946710198168425E-3</v>
      </c>
      <c r="P323" s="363">
        <v>1.7663466877973748E-3</v>
      </c>
      <c r="Q323" s="273">
        <v>189.89853088235779</v>
      </c>
      <c r="R323" s="273">
        <v>185.845305735484</v>
      </c>
      <c r="S323" s="273">
        <v>169.33415949082425</v>
      </c>
      <c r="T323" s="273">
        <v>159.87956119846044</v>
      </c>
      <c r="U323" s="273">
        <v>154.45446849042474</v>
      </c>
      <c r="V323" s="273">
        <f t="shared" si="144"/>
        <v>145.8274999999999</v>
      </c>
      <c r="W323" s="273">
        <f t="shared" si="145"/>
        <v>138.66076388888879</v>
      </c>
      <c r="X323" s="273">
        <f t="shared" si="146"/>
        <v>134.29840277777768</v>
      </c>
      <c r="Y323" s="273">
        <f t="shared" si="147"/>
        <v>127.5990624999999</v>
      </c>
      <c r="Z323" s="273">
        <f t="shared" si="148"/>
        <v>117.31635416666659</v>
      </c>
      <c r="AA323" s="273">
        <f t="shared" si="149"/>
        <v>109.37062499999992</v>
      </c>
      <c r="AB323" s="100">
        <v>98</v>
      </c>
      <c r="AC323" s="101" t="s">
        <v>341</v>
      </c>
      <c r="AD323" s="159"/>
      <c r="AE323" s="159"/>
      <c r="AF323" s="164"/>
      <c r="AG323" s="164"/>
      <c r="AH323" s="164"/>
      <c r="AI323" s="159">
        <f t="shared" si="150"/>
        <v>4433587.8909746334</v>
      </c>
      <c r="AJ323" s="159">
        <f t="shared" si="157"/>
        <v>4262976.6601407174</v>
      </c>
      <c r="AK323" s="159">
        <f t="shared" si="158"/>
        <v>4210236.9584387243</v>
      </c>
      <c r="AL323" s="159">
        <f t="shared" si="159"/>
        <v>4109676.3646116029</v>
      </c>
      <c r="AM323" s="159">
        <f t="shared" si="160"/>
        <v>3891769.2267084536</v>
      </c>
      <c r="AN323" s="159">
        <f t="shared" si="161"/>
        <v>3743624.1488064965</v>
      </c>
    </row>
    <row r="324" spans="1:40" x14ac:dyDescent="0.35">
      <c r="A324" s="46">
        <v>189</v>
      </c>
      <c r="B324" s="240" t="s">
        <v>343</v>
      </c>
      <c r="C324" s="364">
        <v>73.293981481481495</v>
      </c>
      <c r="D324" s="365">
        <v>1.183705235526423E-3</v>
      </c>
      <c r="E324" s="191">
        <v>0.94799999999999995</v>
      </c>
      <c r="F324" s="191">
        <v>0.872</v>
      </c>
      <c r="G324" s="191">
        <v>0.79800000000000004</v>
      </c>
      <c r="H324" s="191">
        <v>0.73599999999999999</v>
      </c>
      <c r="I324" s="191">
        <v>0.66</v>
      </c>
      <c r="J324" s="191">
        <v>0.61099999999999999</v>
      </c>
      <c r="K324" s="361">
        <v>1.122152563279049E-3</v>
      </c>
      <c r="L324" s="362">
        <v>1.0321909653790409E-3</v>
      </c>
      <c r="M324" s="362">
        <v>9.4459677795008556E-4</v>
      </c>
      <c r="N324" s="362">
        <v>8.7120705334744726E-4</v>
      </c>
      <c r="O324" s="362">
        <v>7.8124545544743917E-4</v>
      </c>
      <c r="P324" s="363">
        <v>7.2324389890664447E-4</v>
      </c>
      <c r="Q324" s="273">
        <v>96.017950695681634</v>
      </c>
      <c r="R324" s="273">
        <v>91.446759259259196</v>
      </c>
      <c r="S324" s="273">
        <v>83.504787448068797</v>
      </c>
      <c r="T324" s="273">
        <v>79.462361838577891</v>
      </c>
      <c r="U324" s="273">
        <v>72.496991397754087</v>
      </c>
      <c r="V324" s="273">
        <f t="shared" si="144"/>
        <v>69.482694444444448</v>
      </c>
      <c r="W324" s="273">
        <f t="shared" si="145"/>
        <v>63.912351851851867</v>
      </c>
      <c r="X324" s="273">
        <f t="shared" si="146"/>
        <v>58.488597222222239</v>
      </c>
      <c r="Y324" s="273">
        <f t="shared" si="147"/>
        <v>53.944370370370379</v>
      </c>
      <c r="Z324" s="273">
        <f t="shared" si="148"/>
        <v>48.374027777777791</v>
      </c>
      <c r="AA324" s="273">
        <f t="shared" si="149"/>
        <v>44.782622685185196</v>
      </c>
      <c r="AB324" s="100">
        <v>189</v>
      </c>
      <c r="AC324" s="101" t="s">
        <v>343</v>
      </c>
      <c r="AD324" s="159"/>
      <c r="AE324" s="159"/>
      <c r="AF324" s="164"/>
      <c r="AG324" s="164"/>
      <c r="AH324" s="164"/>
      <c r="AI324" s="159">
        <f t="shared" si="150"/>
        <v>2112479.6949901734</v>
      </c>
      <c r="AJ324" s="159">
        <f t="shared" si="157"/>
        <v>1964916.7983631629</v>
      </c>
      <c r="AK324" s="159">
        <f t="shared" si="158"/>
        <v>1833609.697352139</v>
      </c>
      <c r="AL324" s="159">
        <f t="shared" si="159"/>
        <v>1737425.8052637789</v>
      </c>
      <c r="AM324" s="159">
        <f t="shared" si="160"/>
        <v>1604725.5646049264</v>
      </c>
      <c r="AN324" s="159">
        <f t="shared" si="161"/>
        <v>1532854.9848841869</v>
      </c>
    </row>
    <row r="325" spans="1:40" x14ac:dyDescent="0.35">
      <c r="A325" s="46">
        <v>296</v>
      </c>
      <c r="B325" s="240" t="s">
        <v>344</v>
      </c>
      <c r="C325" s="364">
        <v>135.61921296296299</v>
      </c>
      <c r="D325" s="365">
        <v>2.1902640459338756E-3</v>
      </c>
      <c r="E325" s="191">
        <v>0.95399999999999996</v>
      </c>
      <c r="F325" s="191">
        <v>0.90800000000000003</v>
      </c>
      <c r="G325" s="191">
        <v>0.83699999999999997</v>
      </c>
      <c r="H325" s="191">
        <v>0.77200000000000002</v>
      </c>
      <c r="I325" s="191">
        <v>0.72699999999999998</v>
      </c>
      <c r="J325" s="191">
        <v>0.67700000000000005</v>
      </c>
      <c r="K325" s="361">
        <v>2.0895118998209171E-3</v>
      </c>
      <c r="L325" s="362">
        <v>1.988759753707959E-3</v>
      </c>
      <c r="M325" s="362">
        <v>1.8332510064466537E-3</v>
      </c>
      <c r="N325" s="362">
        <v>1.6908838434609519E-3</v>
      </c>
      <c r="O325" s="362">
        <v>1.5923219613939274E-3</v>
      </c>
      <c r="P325" s="363">
        <v>1.4828087590972338E-3</v>
      </c>
      <c r="Q325" s="273">
        <v>199.43492506532158</v>
      </c>
      <c r="R325" s="273">
        <v>180.00308057725954</v>
      </c>
      <c r="S325" s="273">
        <v>168.60818906116685</v>
      </c>
      <c r="T325" s="273">
        <v>152.40943200155314</v>
      </c>
      <c r="U325" s="273">
        <v>138.83565489922657</v>
      </c>
      <c r="V325" s="273">
        <f t="shared" si="144"/>
        <v>129.3807291666667</v>
      </c>
      <c r="W325" s="273">
        <f t="shared" si="145"/>
        <v>123.1422453703704</v>
      </c>
      <c r="X325" s="273">
        <f t="shared" si="146"/>
        <v>113.51328125000002</v>
      </c>
      <c r="Y325" s="273">
        <f t="shared" si="147"/>
        <v>104.69803240740742</v>
      </c>
      <c r="Z325" s="273">
        <f t="shared" si="148"/>
        <v>98.595167824074096</v>
      </c>
      <c r="AA325" s="273">
        <f t="shared" si="149"/>
        <v>91.814207175925944</v>
      </c>
      <c r="AB325" s="100">
        <v>296</v>
      </c>
      <c r="AC325" s="101" t="s">
        <v>344</v>
      </c>
      <c r="AD325" s="159"/>
      <c r="AE325" s="159"/>
      <c r="AF325" s="164"/>
      <c r="AG325" s="164"/>
      <c r="AH325" s="164"/>
      <c r="AI325" s="159">
        <f t="shared" si="150"/>
        <v>3933557.3479542774</v>
      </c>
      <c r="AJ325" s="159">
        <f t="shared" si="157"/>
        <v>3785876.430854395</v>
      </c>
      <c r="AK325" s="159">
        <f t="shared" si="158"/>
        <v>3558626.1795176058</v>
      </c>
      <c r="AL325" s="159">
        <f t="shared" si="159"/>
        <v>3372086.1327336337</v>
      </c>
      <c r="AM325" s="159">
        <f t="shared" si="160"/>
        <v>3270725.916821165</v>
      </c>
      <c r="AN325" s="159">
        <f t="shared" si="161"/>
        <v>3142689.2109953598</v>
      </c>
    </row>
    <row r="326" spans="1:40" x14ac:dyDescent="0.35">
      <c r="A326" s="46">
        <v>1696</v>
      </c>
      <c r="B326" s="240" t="s">
        <v>345</v>
      </c>
      <c r="C326" s="364">
        <v>16.9236111111111</v>
      </c>
      <c r="D326" s="365">
        <v>2.7331803609682186E-4</v>
      </c>
      <c r="E326" s="191">
        <v>0.97599999999999998</v>
      </c>
      <c r="F326" s="191">
        <v>0.95299999999999996</v>
      </c>
      <c r="G326" s="191">
        <v>0.874</v>
      </c>
      <c r="H326" s="191">
        <v>0.85199999999999998</v>
      </c>
      <c r="I326" s="191">
        <v>0.80500000000000005</v>
      </c>
      <c r="J326" s="191">
        <v>0.68</v>
      </c>
      <c r="K326" s="361">
        <v>2.6675840323049811E-4</v>
      </c>
      <c r="L326" s="362">
        <v>2.6047208840027124E-4</v>
      </c>
      <c r="M326" s="362">
        <v>2.3887996354862232E-4</v>
      </c>
      <c r="N326" s="362">
        <v>2.3286696675449222E-4</v>
      </c>
      <c r="O326" s="362">
        <v>2.2002101905794163E-4</v>
      </c>
      <c r="P326" s="363">
        <v>1.8585626454583888E-4</v>
      </c>
      <c r="Q326" s="273">
        <v>26.893518518518523</v>
      </c>
      <c r="R326" s="273">
        <v>25.7152777777778</v>
      </c>
      <c r="S326" s="273">
        <v>24.64507492897992</v>
      </c>
      <c r="T326" s="273">
        <v>24.400243748398758</v>
      </c>
      <c r="U326" s="273">
        <v>19.573200405087682</v>
      </c>
      <c r="V326" s="273">
        <f t="shared" si="144"/>
        <v>16.517444444444433</v>
      </c>
      <c r="W326" s="273">
        <f t="shared" si="145"/>
        <v>16.128201388888879</v>
      </c>
      <c r="X326" s="273">
        <f t="shared" si="146"/>
        <v>14.791236111111102</v>
      </c>
      <c r="Y326" s="273">
        <f t="shared" si="147"/>
        <v>14.418916666666657</v>
      </c>
      <c r="Z326" s="273">
        <f t="shared" si="148"/>
        <v>13.623506944444436</v>
      </c>
      <c r="AA326" s="273">
        <f t="shared" si="149"/>
        <v>11.508055555555549</v>
      </c>
      <c r="AB326" s="100">
        <v>1696</v>
      </c>
      <c r="AC326" s="101" t="s">
        <v>345</v>
      </c>
      <c r="AD326" s="159"/>
      <c r="AE326" s="159"/>
      <c r="AF326" s="164"/>
      <c r="AG326" s="164"/>
      <c r="AH326" s="164"/>
      <c r="AI326" s="159">
        <f t="shared" si="150"/>
        <v>502179.23010910227</v>
      </c>
      <c r="AJ326" s="159">
        <f t="shared" si="157"/>
        <v>495844.27607781132</v>
      </c>
      <c r="AK326" s="159">
        <f t="shared" si="158"/>
        <v>463703.27306899289</v>
      </c>
      <c r="AL326" s="159">
        <f t="shared" si="159"/>
        <v>464400.59877637675</v>
      </c>
      <c r="AM326" s="159">
        <f t="shared" si="160"/>
        <v>451936.5220889413</v>
      </c>
      <c r="AN326" s="159">
        <f t="shared" si="161"/>
        <v>393906.8162368511</v>
      </c>
    </row>
    <row r="327" spans="1:40" x14ac:dyDescent="0.35">
      <c r="A327" s="46">
        <v>352</v>
      </c>
      <c r="B327" s="240" t="s">
        <v>346</v>
      </c>
      <c r="C327" s="364">
        <v>40.793981481481502</v>
      </c>
      <c r="D327" s="365">
        <v>6.588269388776224E-4</v>
      </c>
      <c r="E327" s="191">
        <v>0.97499999999999998</v>
      </c>
      <c r="F327" s="191">
        <v>0.92600000000000005</v>
      </c>
      <c r="G327" s="191">
        <v>0.90100000000000002</v>
      </c>
      <c r="H327" s="191">
        <v>0.80300000000000005</v>
      </c>
      <c r="I327" s="191">
        <v>0.76</v>
      </c>
      <c r="J327" s="191">
        <v>0.68100000000000005</v>
      </c>
      <c r="K327" s="361">
        <v>6.4235626540568188E-4</v>
      </c>
      <c r="L327" s="362">
        <v>6.1007374540067839E-4</v>
      </c>
      <c r="M327" s="362">
        <v>5.9360307192873776E-4</v>
      </c>
      <c r="N327" s="362">
        <v>5.290380319187308E-4</v>
      </c>
      <c r="O327" s="362">
        <v>5.0070847354699306E-4</v>
      </c>
      <c r="P327" s="363">
        <v>4.4866114537566088E-4</v>
      </c>
      <c r="Q327" s="273">
        <v>56.787037037037052</v>
      </c>
      <c r="R327" s="273">
        <v>52.467592592592602</v>
      </c>
      <c r="S327" s="273">
        <v>49.239890369087902</v>
      </c>
      <c r="T327" s="273">
        <v>45.925325714931034</v>
      </c>
      <c r="U327" s="273">
        <v>43.016646089630598</v>
      </c>
      <c r="V327" s="273">
        <f t="shared" si="144"/>
        <v>39.774131944444463</v>
      </c>
      <c r="W327" s="273">
        <f t="shared" si="145"/>
        <v>37.775226851851876</v>
      </c>
      <c r="X327" s="273">
        <f t="shared" si="146"/>
        <v>36.755377314814837</v>
      </c>
      <c r="Y327" s="273">
        <f t="shared" si="147"/>
        <v>32.757567129629649</v>
      </c>
      <c r="Z327" s="273">
        <f t="shared" si="148"/>
        <v>31.003425925925942</v>
      </c>
      <c r="AA327" s="273">
        <f t="shared" si="149"/>
        <v>27.780701388888904</v>
      </c>
      <c r="AB327" s="100">
        <v>352</v>
      </c>
      <c r="AC327" s="101" t="s">
        <v>346</v>
      </c>
      <c r="AD327" s="159"/>
      <c r="AE327" s="159"/>
      <c r="AF327" s="164"/>
      <c r="AG327" s="164"/>
      <c r="AH327" s="164"/>
      <c r="AI327" s="159">
        <f t="shared" si="150"/>
        <v>1209251.4084306213</v>
      </c>
      <c r="AJ327" s="159">
        <f t="shared" si="157"/>
        <v>1161358.8868586172</v>
      </c>
      <c r="AK327" s="159">
        <f t="shared" si="158"/>
        <v>1152276.1610817902</v>
      </c>
      <c r="AL327" s="159">
        <f t="shared" si="159"/>
        <v>1055046.9318284921</v>
      </c>
      <c r="AM327" s="159">
        <f t="shared" si="160"/>
        <v>1028485.5832601093</v>
      </c>
      <c r="AN327" s="159">
        <f t="shared" si="161"/>
        <v>950899.79224519164</v>
      </c>
    </row>
    <row r="328" spans="1:40" x14ac:dyDescent="0.35">
      <c r="A328" s="46">
        <v>294</v>
      </c>
      <c r="B328" s="240" t="s">
        <v>347</v>
      </c>
      <c r="C328" s="364">
        <v>211.76620370370401</v>
      </c>
      <c r="D328" s="365">
        <v>3.4200456703933264E-3</v>
      </c>
      <c r="E328" s="191">
        <v>0.96099999999999997</v>
      </c>
      <c r="F328" s="191">
        <v>0.91500000000000004</v>
      </c>
      <c r="G328" s="191">
        <v>0.84699999999999998</v>
      </c>
      <c r="H328" s="191">
        <v>0.76800000000000002</v>
      </c>
      <c r="I328" s="191">
        <v>0.72099999999999997</v>
      </c>
      <c r="J328" s="191">
        <v>0.64800000000000002</v>
      </c>
      <c r="K328" s="361">
        <v>3.2866638892479864E-3</v>
      </c>
      <c r="L328" s="362">
        <v>3.1293417884098937E-3</v>
      </c>
      <c r="M328" s="362">
        <v>2.8967786828231474E-3</v>
      </c>
      <c r="N328" s="362">
        <v>2.6265950748620747E-3</v>
      </c>
      <c r="O328" s="362">
        <v>2.4658529283535882E-3</v>
      </c>
      <c r="P328" s="363">
        <v>2.2161895944148757E-3</v>
      </c>
      <c r="Q328" s="273">
        <v>289.95031257372051</v>
      </c>
      <c r="R328" s="273">
        <v>260.08853318127888</v>
      </c>
      <c r="S328" s="273">
        <v>237.80574152740527</v>
      </c>
      <c r="T328" s="273">
        <v>220.76004108115603</v>
      </c>
      <c r="U328" s="273">
        <v>213.86293684917962</v>
      </c>
      <c r="V328" s="273">
        <f t="shared" si="144"/>
        <v>203.50732175925955</v>
      </c>
      <c r="W328" s="273">
        <f t="shared" si="145"/>
        <v>193.76607638888916</v>
      </c>
      <c r="X328" s="273">
        <f t="shared" si="146"/>
        <v>179.36597453703729</v>
      </c>
      <c r="Y328" s="273">
        <f t="shared" si="147"/>
        <v>162.63644444444469</v>
      </c>
      <c r="Z328" s="273">
        <f t="shared" si="148"/>
        <v>152.68343287037058</v>
      </c>
      <c r="AA328" s="273">
        <f t="shared" si="149"/>
        <v>137.22450000000021</v>
      </c>
      <c r="AB328" s="100">
        <v>294</v>
      </c>
      <c r="AC328" s="101" t="s">
        <v>347</v>
      </c>
      <c r="AD328" s="159"/>
      <c r="AE328" s="159"/>
      <c r="AF328" s="164"/>
      <c r="AG328" s="164"/>
      <c r="AH328" s="164"/>
      <c r="AI328" s="159">
        <f t="shared" si="150"/>
        <v>6187225.3002796602</v>
      </c>
      <c r="AJ328" s="159">
        <f t="shared" si="157"/>
        <v>5957130.4672371615</v>
      </c>
      <c r="AK328" s="159">
        <f t="shared" si="158"/>
        <v>5623099.303212055</v>
      </c>
      <c r="AL328" s="159">
        <f t="shared" si="159"/>
        <v>5238150.9602220068</v>
      </c>
      <c r="AM328" s="159">
        <f t="shared" si="160"/>
        <v>5065011.5211468814</v>
      </c>
      <c r="AN328" s="159">
        <f t="shared" si="161"/>
        <v>4697028.5852156216</v>
      </c>
    </row>
    <row r="329" spans="1:40" x14ac:dyDescent="0.35">
      <c r="A329" s="46">
        <v>873</v>
      </c>
      <c r="B329" s="240" t="s">
        <v>348</v>
      </c>
      <c r="C329" s="364">
        <v>71.245370370370296</v>
      </c>
      <c r="D329" s="365">
        <v>1.1506199582803967E-3</v>
      </c>
      <c r="E329" s="191">
        <v>0.96299999999999997</v>
      </c>
      <c r="F329" s="191">
        <v>0.94099999999999995</v>
      </c>
      <c r="G329" s="191">
        <v>0.88</v>
      </c>
      <c r="H329" s="191">
        <v>0.84599999999999997</v>
      </c>
      <c r="I329" s="191">
        <v>0.82599999999999996</v>
      </c>
      <c r="J329" s="191">
        <v>0.77700000000000002</v>
      </c>
      <c r="K329" s="361">
        <v>1.108047019824022E-3</v>
      </c>
      <c r="L329" s="362">
        <v>1.0827333807418532E-3</v>
      </c>
      <c r="M329" s="362">
        <v>1.0125455632867492E-3</v>
      </c>
      <c r="N329" s="362">
        <v>9.734244847052156E-4</v>
      </c>
      <c r="O329" s="362">
        <v>9.504120855396076E-4</v>
      </c>
      <c r="P329" s="363">
        <v>8.9403170758386833E-4</v>
      </c>
      <c r="Q329" s="273">
        <v>94.696946303139413</v>
      </c>
      <c r="R329" s="273">
        <v>89.7847222222222</v>
      </c>
      <c r="S329" s="273">
        <v>81.696299437640917</v>
      </c>
      <c r="T329" s="273">
        <v>75.576353893851092</v>
      </c>
      <c r="U329" s="273">
        <v>73.017260992340226</v>
      </c>
      <c r="V329" s="273">
        <f t="shared" si="144"/>
        <v>68.609291666666593</v>
      </c>
      <c r="W329" s="273">
        <f t="shared" si="145"/>
        <v>67.041893518518449</v>
      </c>
      <c r="X329" s="273">
        <f t="shared" si="146"/>
        <v>62.695925925925863</v>
      </c>
      <c r="Y329" s="273">
        <f t="shared" si="147"/>
        <v>60.273583333333271</v>
      </c>
      <c r="Z329" s="273">
        <f t="shared" si="148"/>
        <v>58.84867592592586</v>
      </c>
      <c r="AA329" s="273">
        <f t="shared" si="149"/>
        <v>55.357652777777723</v>
      </c>
      <c r="AB329" s="100">
        <v>873</v>
      </c>
      <c r="AC329" s="101" t="s">
        <v>348</v>
      </c>
      <c r="AD329" s="159"/>
      <c r="AE329" s="159"/>
      <c r="AF329" s="164"/>
      <c r="AG329" s="164"/>
      <c r="AH329" s="164"/>
      <c r="AI329" s="159">
        <f t="shared" si="150"/>
        <v>2085925.6638266444</v>
      </c>
      <c r="AJ329" s="159">
        <f t="shared" si="157"/>
        <v>2061131.2047155469</v>
      </c>
      <c r="AK329" s="159">
        <f t="shared" si="158"/>
        <v>1965508.8892877575</v>
      </c>
      <c r="AL329" s="159">
        <f t="shared" si="159"/>
        <v>1941275.3979712646</v>
      </c>
      <c r="AM329" s="159">
        <f t="shared" si="160"/>
        <v>1952204.0863602844</v>
      </c>
      <c r="AN329" s="159">
        <f t="shared" si="161"/>
        <v>1894825.4685399656</v>
      </c>
    </row>
    <row r="330" spans="1:40" x14ac:dyDescent="0.35">
      <c r="A330" s="46">
        <v>632</v>
      </c>
      <c r="B330" s="240" t="s">
        <v>349</v>
      </c>
      <c r="C330" s="364">
        <v>184.75462962962999</v>
      </c>
      <c r="D330" s="365">
        <v>2.9838060091686223E-3</v>
      </c>
      <c r="E330" s="191">
        <v>0.94799999999999995</v>
      </c>
      <c r="F330" s="191">
        <v>0.90400000000000003</v>
      </c>
      <c r="G330" s="191">
        <v>0.86799999999999999</v>
      </c>
      <c r="H330" s="191">
        <v>0.81100000000000005</v>
      </c>
      <c r="I330" s="191">
        <v>0.74399999999999999</v>
      </c>
      <c r="J330" s="191">
        <v>0.70199999999999996</v>
      </c>
      <c r="K330" s="361">
        <v>2.8286480966918538E-3</v>
      </c>
      <c r="L330" s="362">
        <v>2.6973606322884345E-3</v>
      </c>
      <c r="M330" s="362">
        <v>2.5899436159583641E-3</v>
      </c>
      <c r="N330" s="362">
        <v>2.419866673435753E-3</v>
      </c>
      <c r="O330" s="362">
        <v>2.2199516708214552E-3</v>
      </c>
      <c r="P330" s="363">
        <v>2.0946318184363729E-3</v>
      </c>
      <c r="Q330" s="273">
        <v>231.95206245414388</v>
      </c>
      <c r="R330" s="273">
        <v>221.80851707320573</v>
      </c>
      <c r="S330" s="273">
        <v>206.77943346127816</v>
      </c>
      <c r="T330" s="273">
        <v>195.87460196264325</v>
      </c>
      <c r="U330" s="273">
        <v>187.00777642267971</v>
      </c>
      <c r="V330" s="273">
        <f t="shared" si="144"/>
        <v>175.14738888888922</v>
      </c>
      <c r="W330" s="273">
        <f t="shared" si="145"/>
        <v>167.0181851851855</v>
      </c>
      <c r="X330" s="273">
        <f t="shared" si="146"/>
        <v>160.36701851851882</v>
      </c>
      <c r="Y330" s="273">
        <f t="shared" si="147"/>
        <v>149.83600462962994</v>
      </c>
      <c r="Z330" s="273">
        <f t="shared" si="148"/>
        <v>137.45744444444472</v>
      </c>
      <c r="AA330" s="273">
        <f t="shared" si="149"/>
        <v>129.69775000000024</v>
      </c>
      <c r="AB330" s="100">
        <v>632</v>
      </c>
      <c r="AC330" s="101" t="s">
        <v>349</v>
      </c>
      <c r="AD330" s="159"/>
      <c r="AE330" s="159"/>
      <c r="AF330" s="164"/>
      <c r="AG330" s="164"/>
      <c r="AH330" s="164"/>
      <c r="AI330" s="159">
        <f t="shared" si="150"/>
        <v>5324999.348638664</v>
      </c>
      <c r="AJ330" s="159">
        <f t="shared" si="157"/>
        <v>5134795.2030182034</v>
      </c>
      <c r="AK330" s="159">
        <f t="shared" si="158"/>
        <v>5027484.5740236733</v>
      </c>
      <c r="AL330" s="159">
        <f t="shared" si="159"/>
        <v>4825877.8295822144</v>
      </c>
      <c r="AM330" s="159">
        <f t="shared" si="160"/>
        <v>4559915.4190462762</v>
      </c>
      <c r="AN330" s="159">
        <f t="shared" si="161"/>
        <v>4439397.0405295668</v>
      </c>
    </row>
    <row r="331" spans="1:40" x14ac:dyDescent="0.35">
      <c r="A331" s="46">
        <v>351</v>
      </c>
      <c r="B331" s="240" t="s">
        <v>351</v>
      </c>
      <c r="C331" s="364">
        <v>10.8842592592593</v>
      </c>
      <c r="D331" s="365">
        <v>1.7578189108566025E-4</v>
      </c>
      <c r="E331" s="191">
        <v>0.98099999999999998</v>
      </c>
      <c r="F331" s="191">
        <v>0.96099999999999997</v>
      </c>
      <c r="G331" s="191">
        <v>0.94099999999999995</v>
      </c>
      <c r="H331" s="191">
        <v>0.92200000000000004</v>
      </c>
      <c r="I331" s="191">
        <v>0.90300000000000002</v>
      </c>
      <c r="J331" s="191">
        <v>0.88400000000000001</v>
      </c>
      <c r="K331" s="361">
        <v>1.7244203515503269E-4</v>
      </c>
      <c r="L331" s="362">
        <v>1.689263973333195E-4</v>
      </c>
      <c r="M331" s="362">
        <v>1.6541075951160628E-4</v>
      </c>
      <c r="N331" s="362">
        <v>1.6207090358097876E-4</v>
      </c>
      <c r="O331" s="362">
        <v>1.587310476503512E-4</v>
      </c>
      <c r="P331" s="363">
        <v>1.5539119171972365E-4</v>
      </c>
      <c r="Q331" s="273">
        <v>15.708333333333334</v>
      </c>
      <c r="R331" s="273">
        <v>13.9444444444444</v>
      </c>
      <c r="S331" s="273">
        <v>13.661730105448314</v>
      </c>
      <c r="T331" s="273">
        <v>13.256113725936371</v>
      </c>
      <c r="U331" s="273">
        <v>11.983653969506316</v>
      </c>
      <c r="V331" s="273">
        <f t="shared" si="144"/>
        <v>10.677458333333373</v>
      </c>
      <c r="W331" s="273">
        <f t="shared" si="145"/>
        <v>10.459773148148187</v>
      </c>
      <c r="X331" s="273">
        <f t="shared" si="146"/>
        <v>10.242087962963002</v>
      </c>
      <c r="Y331" s="273">
        <f t="shared" si="147"/>
        <v>10.035287037037076</v>
      </c>
      <c r="Z331" s="273">
        <f t="shared" si="148"/>
        <v>9.8284861111111486</v>
      </c>
      <c r="AA331" s="273">
        <f t="shared" si="149"/>
        <v>9.6216851851852212</v>
      </c>
      <c r="AB331" s="100">
        <v>351</v>
      </c>
      <c r="AC331" s="101" t="s">
        <v>351</v>
      </c>
      <c r="AD331" s="159"/>
      <c r="AE331" s="159"/>
      <c r="AF331" s="164"/>
      <c r="AG331" s="164"/>
      <c r="AH331" s="164"/>
      <c r="AI331" s="159">
        <f t="shared" si="150"/>
        <v>324626.35629804432</v>
      </c>
      <c r="AJ331" s="159">
        <f t="shared" si="157"/>
        <v>321574.52151823457</v>
      </c>
      <c r="AK331" s="159">
        <f t="shared" si="158"/>
        <v>321088.08728425577</v>
      </c>
      <c r="AL331" s="159">
        <f t="shared" si="159"/>
        <v>323213.83198410651</v>
      </c>
      <c r="AM331" s="159">
        <f t="shared" si="160"/>
        <v>326043.20228033431</v>
      </c>
      <c r="AN331" s="159">
        <f t="shared" si="161"/>
        <v>329338.64107911178</v>
      </c>
    </row>
    <row r="332" spans="1:40" x14ac:dyDescent="0.35">
      <c r="A332" s="46">
        <v>479</v>
      </c>
      <c r="B332" s="240" t="s">
        <v>352</v>
      </c>
      <c r="C332" s="364">
        <v>282.80092592592598</v>
      </c>
      <c r="D332" s="365">
        <v>4.5672636397139591E-3</v>
      </c>
      <c r="E332" s="191">
        <v>0.95799999999999996</v>
      </c>
      <c r="F332" s="191">
        <v>0.91700000000000004</v>
      </c>
      <c r="G332" s="191">
        <v>0.86</v>
      </c>
      <c r="H332" s="191">
        <v>0.79900000000000004</v>
      </c>
      <c r="I332" s="191">
        <v>0.75800000000000001</v>
      </c>
      <c r="J332" s="191">
        <v>0.70699999999999996</v>
      </c>
      <c r="K332" s="361">
        <v>4.3754385668459727E-3</v>
      </c>
      <c r="L332" s="362">
        <v>4.1881807576177009E-3</v>
      </c>
      <c r="M332" s="362">
        <v>3.9278467301540046E-3</v>
      </c>
      <c r="N332" s="362">
        <v>3.6492436481314534E-3</v>
      </c>
      <c r="O332" s="362">
        <v>3.4619858389031812E-3</v>
      </c>
      <c r="P332" s="363">
        <v>3.2290553932777691E-3</v>
      </c>
      <c r="Q332" s="273">
        <v>351.70478450540548</v>
      </c>
      <c r="R332" s="273">
        <v>331.32058506928217</v>
      </c>
      <c r="S332" s="273">
        <v>306.42927234600108</v>
      </c>
      <c r="T332" s="273">
        <v>287.85819817770869</v>
      </c>
      <c r="U332" s="273">
        <v>290.12528615906916</v>
      </c>
      <c r="V332" s="273">
        <f t="shared" ref="V332:V344" si="162">+E332*C332</f>
        <v>270.92328703703708</v>
      </c>
      <c r="W332" s="273">
        <f t="shared" ref="W332:W344" si="163">+F332*$C332</f>
        <v>259.32844907407411</v>
      </c>
      <c r="X332" s="273">
        <f t="shared" ref="X332:X344" si="164">+G332*$C332</f>
        <v>243.20879629629633</v>
      </c>
      <c r="Y332" s="273">
        <f t="shared" ref="Y332:Y344" si="165">+H332*$C332</f>
        <v>225.95793981481486</v>
      </c>
      <c r="Z332" s="273">
        <f t="shared" ref="Z332:Z344" si="166">+I332*$C332</f>
        <v>214.36310185185189</v>
      </c>
      <c r="AA332" s="273">
        <f t="shared" ref="AA332:AA344" si="167">+J332*$C332</f>
        <v>199.94025462962966</v>
      </c>
      <c r="AB332" s="100">
        <v>479</v>
      </c>
      <c r="AC332" s="101" t="s">
        <v>352</v>
      </c>
      <c r="AD332" s="159"/>
      <c r="AE332" s="159"/>
      <c r="AF332" s="164"/>
      <c r="AG332" s="164"/>
      <c r="AH332" s="164"/>
      <c r="AI332" s="159">
        <f t="shared" si="150"/>
        <v>8236870.3076611282</v>
      </c>
      <c r="AJ332" s="159">
        <f t="shared" si="157"/>
        <v>7972775.3887114972</v>
      </c>
      <c r="AK332" s="159">
        <f t="shared" si="158"/>
        <v>7624563.2234242586</v>
      </c>
      <c r="AL332" s="159">
        <f t="shared" si="159"/>
        <v>7277592.6911945483</v>
      </c>
      <c r="AM332" s="159">
        <f t="shared" si="160"/>
        <v>7111128.9560159668</v>
      </c>
      <c r="AN332" s="159">
        <f t="shared" si="161"/>
        <v>6843712.9764047898</v>
      </c>
    </row>
    <row r="333" spans="1:40" x14ac:dyDescent="0.35">
      <c r="A333" s="46">
        <v>297</v>
      </c>
      <c r="B333" s="240" t="s">
        <v>353</v>
      </c>
      <c r="C333" s="364">
        <v>100.53009259259299</v>
      </c>
      <c r="D333" s="365">
        <v>1.6235711926752745E-3</v>
      </c>
      <c r="E333" s="191">
        <v>0.94599999999999995</v>
      </c>
      <c r="F333" s="191">
        <v>0.90500000000000003</v>
      </c>
      <c r="G333" s="191">
        <v>0.83099999999999996</v>
      </c>
      <c r="H333" s="191">
        <v>0.76200000000000001</v>
      </c>
      <c r="I333" s="191">
        <v>0.71499999999999997</v>
      </c>
      <c r="J333" s="191">
        <v>0.65900000000000003</v>
      </c>
      <c r="K333" s="361">
        <v>1.5358983482708095E-3</v>
      </c>
      <c r="L333" s="362">
        <v>1.4693319293711234E-3</v>
      </c>
      <c r="M333" s="362">
        <v>1.3491876611131531E-3</v>
      </c>
      <c r="N333" s="362">
        <v>1.2371612488185591E-3</v>
      </c>
      <c r="O333" s="362">
        <v>1.1608534027628212E-3</v>
      </c>
      <c r="P333" s="363">
        <v>1.0699334159730059E-3</v>
      </c>
      <c r="Q333" s="273">
        <v>133.78705403981567</v>
      </c>
      <c r="R333" s="273">
        <v>124.84409454737059</v>
      </c>
      <c r="S333" s="273">
        <v>118.7387995788218</v>
      </c>
      <c r="T333" s="273">
        <v>116.80003104470727</v>
      </c>
      <c r="U333" s="273">
        <v>106.09945067808181</v>
      </c>
      <c r="V333" s="273">
        <f t="shared" si="162"/>
        <v>95.101467592592968</v>
      </c>
      <c r="W333" s="273">
        <f t="shared" si="163"/>
        <v>90.979733796296657</v>
      </c>
      <c r="X333" s="273">
        <f t="shared" si="164"/>
        <v>83.540506944444772</v>
      </c>
      <c r="Y333" s="273">
        <f t="shared" si="165"/>
        <v>76.603930555555863</v>
      </c>
      <c r="Z333" s="273">
        <f t="shared" si="166"/>
        <v>71.879016203703983</v>
      </c>
      <c r="AA333" s="273">
        <f t="shared" si="167"/>
        <v>66.249331018518788</v>
      </c>
      <c r="AB333" s="100">
        <v>297</v>
      </c>
      <c r="AC333" s="101" t="s">
        <v>353</v>
      </c>
      <c r="AD333" s="159"/>
      <c r="AE333" s="159"/>
      <c r="AF333" s="164"/>
      <c r="AG333" s="164"/>
      <c r="AH333" s="164"/>
      <c r="AI333" s="159">
        <f t="shared" ref="AI333:AI344" si="168">+V333*AI$8</f>
        <v>2891366.2727019042</v>
      </c>
      <c r="AJ333" s="159">
        <f t="shared" si="157"/>
        <v>2797074.4631856675</v>
      </c>
      <c r="AK333" s="159">
        <f t="shared" si="158"/>
        <v>2618983.7152881478</v>
      </c>
      <c r="AL333" s="159">
        <f t="shared" si="159"/>
        <v>2467238.839160881</v>
      </c>
      <c r="AM333" s="159">
        <f t="shared" si="160"/>
        <v>2384463.3196684849</v>
      </c>
      <c r="AN333" s="159">
        <f t="shared" si="161"/>
        <v>2267634.4351438279</v>
      </c>
    </row>
    <row r="334" spans="1:40" x14ac:dyDescent="0.35">
      <c r="A334" s="46">
        <v>473</v>
      </c>
      <c r="B334" s="240" t="s">
        <v>354</v>
      </c>
      <c r="C334" s="364">
        <v>20.113425925925899</v>
      </c>
      <c r="D334" s="365">
        <v>3.2483386891605576E-4</v>
      </c>
      <c r="E334" s="191">
        <v>0.94599999999999995</v>
      </c>
      <c r="F334" s="191">
        <v>0.89200000000000002</v>
      </c>
      <c r="G334" s="191">
        <v>0.87</v>
      </c>
      <c r="H334" s="191">
        <v>0.80500000000000005</v>
      </c>
      <c r="I334" s="191">
        <v>0.74399999999999999</v>
      </c>
      <c r="J334" s="191">
        <v>0.72599999999999998</v>
      </c>
      <c r="K334" s="361">
        <v>3.0729283999458872E-4</v>
      </c>
      <c r="L334" s="362">
        <v>2.8975181107312173E-4</v>
      </c>
      <c r="M334" s="362">
        <v>2.8260546595696849E-4</v>
      </c>
      <c r="N334" s="362">
        <v>2.6149126447742491E-4</v>
      </c>
      <c r="O334" s="362">
        <v>2.416763984735455E-4</v>
      </c>
      <c r="P334" s="363">
        <v>2.3582938883305647E-4</v>
      </c>
      <c r="Q334" s="273">
        <v>26.673611111111114</v>
      </c>
      <c r="R334" s="273">
        <v>24.872685185185201</v>
      </c>
      <c r="S334" s="273">
        <v>23.378596369149651</v>
      </c>
      <c r="T334" s="273">
        <v>20.875676063592714</v>
      </c>
      <c r="U334" s="273">
        <v>20.003746185864099</v>
      </c>
      <c r="V334" s="273">
        <f t="shared" si="162"/>
        <v>19.0273009259259</v>
      </c>
      <c r="W334" s="273">
        <f t="shared" si="163"/>
        <v>17.941175925925901</v>
      </c>
      <c r="X334" s="273">
        <f t="shared" si="164"/>
        <v>17.498680555555531</v>
      </c>
      <c r="Y334" s="273">
        <f t="shared" si="165"/>
        <v>16.191307870370348</v>
      </c>
      <c r="Z334" s="273">
        <f t="shared" si="166"/>
        <v>14.964388888888868</v>
      </c>
      <c r="AA334" s="273">
        <f t="shared" si="167"/>
        <v>14.602347222222201</v>
      </c>
      <c r="AB334" s="100">
        <v>473</v>
      </c>
      <c r="AC334" s="101" t="s">
        <v>354</v>
      </c>
      <c r="AD334" s="159"/>
      <c r="AE334" s="159"/>
      <c r="AF334" s="164"/>
      <c r="AG334" s="164"/>
      <c r="AH334" s="164"/>
      <c r="AI334" s="159">
        <f t="shared" si="168"/>
        <v>578486.30047909718</v>
      </c>
      <c r="AJ334" s="159">
        <f t="shared" si="157"/>
        <v>551582.23626250611</v>
      </c>
      <c r="AK334" s="159">
        <f t="shared" si="158"/>
        <v>548581.29415596975</v>
      </c>
      <c r="AL334" s="159">
        <f t="shared" si="159"/>
        <v>521485.29905547615</v>
      </c>
      <c r="AM334" s="159">
        <f t="shared" si="160"/>
        <v>496417.98526690761</v>
      </c>
      <c r="AN334" s="159">
        <f t="shared" si="161"/>
        <v>499820.67571039795</v>
      </c>
    </row>
    <row r="335" spans="1:40" x14ac:dyDescent="0.35">
      <c r="A335" s="46">
        <v>50</v>
      </c>
      <c r="B335" s="240" t="s">
        <v>355</v>
      </c>
      <c r="C335" s="364">
        <v>12.7083333333333</v>
      </c>
      <c r="D335" s="365">
        <v>2.0524087240754332E-4</v>
      </c>
      <c r="E335" s="191">
        <v>0.97799999999999998</v>
      </c>
      <c r="F335" s="191">
        <v>0.95499999999999996</v>
      </c>
      <c r="G335" s="191">
        <v>0.93300000000000005</v>
      </c>
      <c r="H335" s="191">
        <v>0.91200000000000003</v>
      </c>
      <c r="I335" s="191">
        <v>0.89</v>
      </c>
      <c r="J335" s="191">
        <v>0.86899999999999999</v>
      </c>
      <c r="K335" s="361">
        <v>2.0072557321457735E-4</v>
      </c>
      <c r="L335" s="362">
        <v>1.9600503314920386E-4</v>
      </c>
      <c r="M335" s="362">
        <v>1.9148973395623792E-4</v>
      </c>
      <c r="N335" s="362">
        <v>1.8717967563567953E-4</v>
      </c>
      <c r="O335" s="362">
        <v>1.8266437644271356E-4</v>
      </c>
      <c r="P335" s="363">
        <v>1.7835431812215514E-4</v>
      </c>
      <c r="Q335" s="273">
        <v>15.106481481481483</v>
      </c>
      <c r="R335" s="273">
        <v>14.7361111111111</v>
      </c>
      <c r="S335" s="273">
        <v>13.634124730075062</v>
      </c>
      <c r="T335" s="273">
        <v>12.426255432018504</v>
      </c>
      <c r="U335" s="273">
        <v>12.413925853273168</v>
      </c>
      <c r="V335" s="273">
        <f t="shared" si="162"/>
        <v>12.428749999999967</v>
      </c>
      <c r="W335" s="273">
        <f t="shared" si="163"/>
        <v>12.136458333333302</v>
      </c>
      <c r="X335" s="273">
        <f t="shared" si="164"/>
        <v>11.85687499999997</v>
      </c>
      <c r="Y335" s="273">
        <f t="shared" si="165"/>
        <v>11.58999999999997</v>
      </c>
      <c r="Z335" s="273">
        <f t="shared" si="166"/>
        <v>11.310416666666637</v>
      </c>
      <c r="AA335" s="273">
        <f t="shared" si="167"/>
        <v>11.043541666666638</v>
      </c>
      <c r="AB335" s="100">
        <v>50</v>
      </c>
      <c r="AC335" s="101" t="s">
        <v>355</v>
      </c>
      <c r="AD335" s="159"/>
      <c r="AE335" s="159"/>
      <c r="AF335" s="164"/>
      <c r="AG335" s="164"/>
      <c r="AH335" s="164"/>
      <c r="AI335" s="159">
        <f t="shared" si="168"/>
        <v>377870.8096891935</v>
      </c>
      <c r="AJ335" s="159">
        <f t="shared" si="157"/>
        <v>373122.41156574222</v>
      </c>
      <c r="AK335" s="159">
        <f t="shared" si="158"/>
        <v>371711.4448426509</v>
      </c>
      <c r="AL335" s="159">
        <f t="shared" si="159"/>
        <v>373287.60989798326</v>
      </c>
      <c r="AM335" s="159">
        <f t="shared" si="160"/>
        <v>375203.71168413316</v>
      </c>
      <c r="AN335" s="159">
        <f t="shared" si="161"/>
        <v>378007.06790954154</v>
      </c>
    </row>
    <row r="336" spans="1:40" x14ac:dyDescent="0.35">
      <c r="A336" s="46">
        <v>355</v>
      </c>
      <c r="B336" s="240" t="s">
        <v>356</v>
      </c>
      <c r="C336" s="364">
        <v>168.08969907407399</v>
      </c>
      <c r="D336" s="365">
        <v>2.7146656902833676E-3</v>
      </c>
      <c r="E336" s="191">
        <v>0.97599999999999998</v>
      </c>
      <c r="F336" s="191">
        <v>0.94699999999999995</v>
      </c>
      <c r="G336" s="191">
        <v>0.91500000000000004</v>
      </c>
      <c r="H336" s="191">
        <v>0.84</v>
      </c>
      <c r="I336" s="191">
        <v>0.77600000000000002</v>
      </c>
      <c r="J336" s="191">
        <v>0.73699999999999999</v>
      </c>
      <c r="K336" s="361">
        <v>2.6495137137165668E-3</v>
      </c>
      <c r="L336" s="362">
        <v>2.5707884086983491E-3</v>
      </c>
      <c r="M336" s="362">
        <v>2.4839191066092815E-3</v>
      </c>
      <c r="N336" s="362">
        <v>2.2803191798380289E-3</v>
      </c>
      <c r="O336" s="362">
        <v>2.1065805756598933E-3</v>
      </c>
      <c r="P336" s="363">
        <v>2.0007086137388418E-3</v>
      </c>
      <c r="Q336" s="273">
        <v>206.27398856492982</v>
      </c>
      <c r="R336" s="273">
        <v>191.67754618120057</v>
      </c>
      <c r="S336" s="273">
        <v>188.54174377870308</v>
      </c>
      <c r="T336" s="273">
        <v>180.73677023972826</v>
      </c>
      <c r="U336" s="273">
        <v>168.36547630753162</v>
      </c>
      <c r="V336" s="273">
        <f t="shared" si="162"/>
        <v>164.0555462962962</v>
      </c>
      <c r="W336" s="273">
        <f t="shared" si="163"/>
        <v>159.18094502314807</v>
      </c>
      <c r="X336" s="273">
        <f t="shared" si="164"/>
        <v>153.80207465277772</v>
      </c>
      <c r="Y336" s="273">
        <f t="shared" si="165"/>
        <v>141.19534722222215</v>
      </c>
      <c r="Z336" s="273">
        <f t="shared" si="166"/>
        <v>130.43760648148142</v>
      </c>
      <c r="AA336" s="273">
        <f t="shared" si="167"/>
        <v>123.88210821759253</v>
      </c>
      <c r="AB336" s="100">
        <v>355</v>
      </c>
      <c r="AC336" s="101" t="s">
        <v>356</v>
      </c>
      <c r="AD336" s="159"/>
      <c r="AE336" s="159"/>
      <c r="AF336" s="164"/>
      <c r="AG336" s="164"/>
      <c r="AH336" s="164"/>
      <c r="AI336" s="159">
        <f t="shared" si="168"/>
        <v>4987774.4835952586</v>
      </c>
      <c r="AJ336" s="159">
        <f t="shared" si="157"/>
        <v>4893847.6490478888</v>
      </c>
      <c r="AK336" s="159">
        <f t="shared" si="158"/>
        <v>4821674.4621986328</v>
      </c>
      <c r="AL336" s="159">
        <f t="shared" si="159"/>
        <v>4547581.8544693096</v>
      </c>
      <c r="AM336" s="159">
        <f t="shared" si="160"/>
        <v>4327044.3112216294</v>
      </c>
      <c r="AN336" s="159">
        <f t="shared" si="161"/>
        <v>4240334.659589259</v>
      </c>
    </row>
    <row r="337" spans="1:40" x14ac:dyDescent="0.35">
      <c r="A337" s="46">
        <v>299</v>
      </c>
      <c r="B337" s="240" t="s">
        <v>357</v>
      </c>
      <c r="C337" s="364">
        <v>150.61226851851799</v>
      </c>
      <c r="D337" s="365">
        <v>2.4324034139818927E-3</v>
      </c>
      <c r="E337" s="191">
        <v>0.95899999999999996</v>
      </c>
      <c r="F337" s="191">
        <v>0.90400000000000003</v>
      </c>
      <c r="G337" s="191">
        <v>0.872</v>
      </c>
      <c r="H337" s="191">
        <v>0.81100000000000005</v>
      </c>
      <c r="I337" s="191">
        <v>0.77</v>
      </c>
      <c r="J337" s="191">
        <v>0.71</v>
      </c>
      <c r="K337" s="361">
        <v>2.3326748740086349E-3</v>
      </c>
      <c r="L337" s="362">
        <v>2.1988926862396311E-3</v>
      </c>
      <c r="M337" s="362">
        <v>2.1210557769922103E-3</v>
      </c>
      <c r="N337" s="362">
        <v>1.9726791687393152E-3</v>
      </c>
      <c r="O337" s="362">
        <v>1.8729506287660574E-3</v>
      </c>
      <c r="P337" s="363">
        <v>1.7270064239271437E-3</v>
      </c>
      <c r="Q337" s="273">
        <v>201.15598486103204</v>
      </c>
      <c r="R337" s="273">
        <v>183.46218626439543</v>
      </c>
      <c r="S337" s="273">
        <v>173.61931768677442</v>
      </c>
      <c r="T337" s="273">
        <v>157.80895628480258</v>
      </c>
      <c r="U337" s="273">
        <v>149.564264801045</v>
      </c>
      <c r="V337" s="273">
        <f t="shared" si="162"/>
        <v>144.43716550925876</v>
      </c>
      <c r="W337" s="273">
        <f t="shared" si="163"/>
        <v>136.15349074074027</v>
      </c>
      <c r="X337" s="273">
        <f t="shared" si="164"/>
        <v>131.33389814814768</v>
      </c>
      <c r="Y337" s="273">
        <f t="shared" si="165"/>
        <v>122.1465497685181</v>
      </c>
      <c r="Z337" s="273">
        <f t="shared" si="166"/>
        <v>115.97144675925885</v>
      </c>
      <c r="AA337" s="273">
        <f t="shared" si="167"/>
        <v>106.93471064814777</v>
      </c>
      <c r="AB337" s="100">
        <v>299</v>
      </c>
      <c r="AC337" s="101" t="s">
        <v>357</v>
      </c>
      <c r="AD337" s="159"/>
      <c r="AE337" s="159"/>
      <c r="AF337" s="164"/>
      <c r="AG337" s="164"/>
      <c r="AH337" s="164"/>
      <c r="AI337" s="159">
        <f t="shared" si="168"/>
        <v>4391317.6047628121</v>
      </c>
      <c r="AJ337" s="159">
        <f t="shared" si="157"/>
        <v>4185893.2328510797</v>
      </c>
      <c r="AK337" s="159">
        <f t="shared" si="158"/>
        <v>4117300.1349399108</v>
      </c>
      <c r="AL337" s="159">
        <f t="shared" si="159"/>
        <v>3934063.297702787</v>
      </c>
      <c r="AM337" s="159">
        <f t="shared" si="160"/>
        <v>3847154.2256874894</v>
      </c>
      <c r="AN337" s="159">
        <f t="shared" si="161"/>
        <v>3660245.748143448</v>
      </c>
    </row>
    <row r="338" spans="1:40" x14ac:dyDescent="0.35">
      <c r="A338" s="46">
        <v>637</v>
      </c>
      <c r="B338" s="240" t="s">
        <v>358</v>
      </c>
      <c r="C338" s="364">
        <v>245.76157407407399</v>
      </c>
      <c r="D338" s="365">
        <v>3.9690743502070157E-3</v>
      </c>
      <c r="E338" s="191">
        <v>0.95899999999999996</v>
      </c>
      <c r="F338" s="191">
        <v>0.91300000000000003</v>
      </c>
      <c r="G338" s="191">
        <v>0.86</v>
      </c>
      <c r="H338" s="191">
        <v>0.81200000000000006</v>
      </c>
      <c r="I338" s="191">
        <v>0.77700000000000002</v>
      </c>
      <c r="J338" s="191">
        <v>0.73299999999999998</v>
      </c>
      <c r="K338" s="361">
        <v>3.8063423018485278E-3</v>
      </c>
      <c r="L338" s="362">
        <v>3.6237648817390054E-3</v>
      </c>
      <c r="M338" s="362">
        <v>3.4134039411780333E-3</v>
      </c>
      <c r="N338" s="362">
        <v>3.222888372368097E-3</v>
      </c>
      <c r="O338" s="362">
        <v>3.0839707701108511E-3</v>
      </c>
      <c r="P338" s="363">
        <v>2.9093314987017425E-3</v>
      </c>
      <c r="Q338" s="273">
        <v>304.67529532844935</v>
      </c>
      <c r="R338" s="273">
        <v>298.85816485000726</v>
      </c>
      <c r="S338" s="273">
        <v>279.96203590006229</v>
      </c>
      <c r="T338" s="273">
        <v>260.90198115473623</v>
      </c>
      <c r="U338" s="273">
        <v>247.6339923288073</v>
      </c>
      <c r="V338" s="273">
        <f t="shared" si="162"/>
        <v>235.68534953703696</v>
      </c>
      <c r="W338" s="273">
        <f t="shared" si="163"/>
        <v>224.38031712962956</v>
      </c>
      <c r="X338" s="273">
        <f t="shared" si="164"/>
        <v>211.35495370370364</v>
      </c>
      <c r="Y338" s="273">
        <f t="shared" si="165"/>
        <v>199.55839814814809</v>
      </c>
      <c r="Z338" s="273">
        <f t="shared" si="166"/>
        <v>190.95674305555551</v>
      </c>
      <c r="AA338" s="273">
        <f t="shared" si="167"/>
        <v>180.14323379629624</v>
      </c>
      <c r="AB338" s="100">
        <v>637</v>
      </c>
      <c r="AC338" s="101" t="s">
        <v>358</v>
      </c>
      <c r="AD338" s="159"/>
      <c r="AE338" s="159"/>
      <c r="AF338" s="164"/>
      <c r="AG338" s="164"/>
      <c r="AH338" s="164"/>
      <c r="AI338" s="159">
        <f t="shared" si="168"/>
        <v>7165532.6449917303</v>
      </c>
      <c r="AJ338" s="159">
        <f t="shared" si="157"/>
        <v>6898332.5065558217</v>
      </c>
      <c r="AK338" s="159">
        <f t="shared" si="158"/>
        <v>6625949.5200763671</v>
      </c>
      <c r="AL338" s="159">
        <f t="shared" si="159"/>
        <v>6427323.3373418916</v>
      </c>
      <c r="AM338" s="159">
        <f t="shared" si="160"/>
        <v>6334663.0700806426</v>
      </c>
      <c r="AN338" s="159">
        <f t="shared" si="161"/>
        <v>6166084.9088492431</v>
      </c>
    </row>
    <row r="339" spans="1:40" x14ac:dyDescent="0.35">
      <c r="A339" s="46">
        <v>1892</v>
      </c>
      <c r="B339" s="240" t="s">
        <v>360</v>
      </c>
      <c r="C339" s="364">
        <v>67.9010416666667</v>
      </c>
      <c r="D339" s="365">
        <v>1.0966087104824387E-3</v>
      </c>
      <c r="E339" s="191">
        <v>0.93899999999999995</v>
      </c>
      <c r="F339" s="191">
        <v>0.88700000000000001</v>
      </c>
      <c r="G339" s="191">
        <v>0.80600000000000005</v>
      </c>
      <c r="H339" s="191">
        <v>0.749</v>
      </c>
      <c r="I339" s="191">
        <v>0.68100000000000005</v>
      </c>
      <c r="J339" s="191">
        <v>0.65300000000000002</v>
      </c>
      <c r="K339" s="361">
        <v>1.0297155791430099E-3</v>
      </c>
      <c r="L339" s="362">
        <v>9.7269192619792318E-4</v>
      </c>
      <c r="M339" s="362">
        <v>8.8386662064884566E-4</v>
      </c>
      <c r="N339" s="362">
        <v>8.2135992415134662E-4</v>
      </c>
      <c r="O339" s="362">
        <v>7.4679053183854087E-4</v>
      </c>
      <c r="P339" s="363">
        <v>7.1608548794503256E-4</v>
      </c>
      <c r="Q339" s="273">
        <v>84.870925925925917</v>
      </c>
      <c r="R339" s="273">
        <v>82.539351851851904</v>
      </c>
      <c r="S339" s="273">
        <v>72.106812936015089</v>
      </c>
      <c r="T339" s="273">
        <v>66.952165508341054</v>
      </c>
      <c r="U339" s="273">
        <v>66.40100014359551</v>
      </c>
      <c r="V339" s="273">
        <f t="shared" si="162"/>
        <v>63.75907812500003</v>
      </c>
      <c r="W339" s="273">
        <f t="shared" si="163"/>
        <v>60.228223958333366</v>
      </c>
      <c r="X339" s="273">
        <f t="shared" si="164"/>
        <v>54.728239583333362</v>
      </c>
      <c r="Y339" s="273">
        <f t="shared" si="165"/>
        <v>50.857880208333356</v>
      </c>
      <c r="Z339" s="273">
        <f t="shared" si="166"/>
        <v>46.240609375000027</v>
      </c>
      <c r="AA339" s="273">
        <f t="shared" si="167"/>
        <v>44.33938020833336</v>
      </c>
      <c r="AB339" s="100">
        <v>1892</v>
      </c>
      <c r="AC339" s="101" t="s">
        <v>360</v>
      </c>
      <c r="AD339" s="159"/>
      <c r="AE339" s="159"/>
      <c r="AF339" s="164"/>
      <c r="AG339" s="164"/>
      <c r="AH339" s="164"/>
      <c r="AI339" s="159">
        <f t="shared" si="168"/>
        <v>1938464.8074931405</v>
      </c>
      <c r="AJ339" s="159">
        <f t="shared" si="157"/>
        <v>1851652.2325078377</v>
      </c>
      <c r="AK339" s="159">
        <f t="shared" si="158"/>
        <v>1715722.9884953375</v>
      </c>
      <c r="AL339" s="159">
        <f t="shared" si="159"/>
        <v>1638016.95836469</v>
      </c>
      <c r="AM339" s="159">
        <f t="shared" si="160"/>
        <v>1533953.0610899553</v>
      </c>
      <c r="AN339" s="159">
        <f t="shared" si="161"/>
        <v>1517683.3312512361</v>
      </c>
    </row>
    <row r="340" spans="1:40" x14ac:dyDescent="0.35">
      <c r="A340" s="46">
        <v>879</v>
      </c>
      <c r="B340" s="240" t="s">
        <v>361</v>
      </c>
      <c r="C340" s="364">
        <v>63.115740740740698</v>
      </c>
      <c r="D340" s="365">
        <v>1.0193256151300705E-3</v>
      </c>
      <c r="E340" s="191">
        <v>0.94499999999999995</v>
      </c>
      <c r="F340" s="191">
        <v>0.89300000000000002</v>
      </c>
      <c r="G340" s="191">
        <v>0.871</v>
      </c>
      <c r="H340" s="191">
        <v>0.82199999999999995</v>
      </c>
      <c r="I340" s="191">
        <v>0.79300000000000004</v>
      </c>
      <c r="J340" s="191">
        <v>0.746</v>
      </c>
      <c r="K340" s="361">
        <v>9.6326270629791663E-4</v>
      </c>
      <c r="L340" s="362">
        <v>9.1025777431115299E-4</v>
      </c>
      <c r="M340" s="362">
        <v>8.8783261077829141E-4</v>
      </c>
      <c r="N340" s="362">
        <v>8.3788565563691793E-4</v>
      </c>
      <c r="O340" s="362">
        <v>8.08325212798146E-4</v>
      </c>
      <c r="P340" s="363">
        <v>7.6041690888703267E-4</v>
      </c>
      <c r="Q340" s="273">
        <v>88.726851851851848</v>
      </c>
      <c r="R340" s="273">
        <v>86.7864583333333</v>
      </c>
      <c r="S340" s="273">
        <v>76.697988394502659</v>
      </c>
      <c r="T340" s="273">
        <v>71.622152365865219</v>
      </c>
      <c r="U340" s="273">
        <v>67.554139483116629</v>
      </c>
      <c r="V340" s="273">
        <f t="shared" si="162"/>
        <v>59.644374999999954</v>
      </c>
      <c r="W340" s="273">
        <f t="shared" si="163"/>
        <v>56.362356481481442</v>
      </c>
      <c r="X340" s="273">
        <f t="shared" si="164"/>
        <v>54.973810185185151</v>
      </c>
      <c r="Y340" s="273">
        <f t="shared" si="165"/>
        <v>51.881138888888849</v>
      </c>
      <c r="Z340" s="273">
        <f t="shared" si="166"/>
        <v>50.050782407407375</v>
      </c>
      <c r="AA340" s="273">
        <f t="shared" si="167"/>
        <v>47.084342592592563</v>
      </c>
      <c r="AB340" s="100">
        <v>879</v>
      </c>
      <c r="AC340" s="101" t="s">
        <v>361</v>
      </c>
      <c r="AD340" s="159"/>
      <c r="AE340" s="159"/>
      <c r="AF340" s="164"/>
      <c r="AG340" s="164"/>
      <c r="AH340" s="164"/>
      <c r="AI340" s="159">
        <f t="shared" si="168"/>
        <v>1813365.6461555611</v>
      </c>
      <c r="AJ340" s="159">
        <f t="shared" si="157"/>
        <v>1732800.2778321616</v>
      </c>
      <c r="AK340" s="159">
        <f t="shared" si="158"/>
        <v>1723421.5940069254</v>
      </c>
      <c r="AL340" s="159">
        <f t="shared" si="159"/>
        <v>1670973.7993631305</v>
      </c>
      <c r="AM340" s="159">
        <f t="shared" si="160"/>
        <v>1660349.0291652277</v>
      </c>
      <c r="AN340" s="159">
        <f t="shared" si="161"/>
        <v>1611640.072097128</v>
      </c>
    </row>
    <row r="341" spans="1:40" x14ac:dyDescent="0.35">
      <c r="A341" s="46">
        <v>301</v>
      </c>
      <c r="B341" s="240" t="s">
        <v>362</v>
      </c>
      <c r="C341" s="364">
        <v>325.16550925925901</v>
      </c>
      <c r="D341" s="365">
        <v>5.2514559578135285E-3</v>
      </c>
      <c r="E341" s="191">
        <v>0.96599999999999997</v>
      </c>
      <c r="F341" s="191">
        <v>0.92600000000000005</v>
      </c>
      <c r="G341" s="191">
        <v>0.88300000000000001</v>
      </c>
      <c r="H341" s="191">
        <v>0.84399999999999997</v>
      </c>
      <c r="I341" s="191">
        <v>0.78800000000000003</v>
      </c>
      <c r="J341" s="191">
        <v>0.746</v>
      </c>
      <c r="K341" s="361">
        <v>5.0729064552478683E-3</v>
      </c>
      <c r="L341" s="362">
        <v>4.8628482169353277E-3</v>
      </c>
      <c r="M341" s="362">
        <v>4.6370356107493455E-3</v>
      </c>
      <c r="N341" s="362">
        <v>4.4322288283946175E-3</v>
      </c>
      <c r="O341" s="362">
        <v>4.1381472947570608E-3</v>
      </c>
      <c r="P341" s="363">
        <v>3.9175861445288921E-3</v>
      </c>
      <c r="Q341" s="273">
        <v>421.29047858105082</v>
      </c>
      <c r="R341" s="273">
        <v>404.50488306559112</v>
      </c>
      <c r="S341" s="273">
        <v>387.14906540061025</v>
      </c>
      <c r="T341" s="273">
        <v>359.10546378615834</v>
      </c>
      <c r="U341" s="273">
        <v>327.69446628084063</v>
      </c>
      <c r="V341" s="273">
        <f t="shared" si="162"/>
        <v>314.10988194444417</v>
      </c>
      <c r="W341" s="273">
        <f t="shared" si="163"/>
        <v>301.10326157407388</v>
      </c>
      <c r="X341" s="273">
        <f t="shared" si="164"/>
        <v>287.12114467592573</v>
      </c>
      <c r="Y341" s="273">
        <f t="shared" si="165"/>
        <v>274.43968981481459</v>
      </c>
      <c r="Z341" s="273">
        <f t="shared" si="166"/>
        <v>256.23042129629613</v>
      </c>
      <c r="AA341" s="273">
        <f t="shared" si="167"/>
        <v>242.57346990740723</v>
      </c>
      <c r="AB341" s="100">
        <v>301</v>
      </c>
      <c r="AC341" s="101" t="s">
        <v>362</v>
      </c>
      <c r="AD341" s="159"/>
      <c r="AE341" s="159"/>
      <c r="AF341" s="164"/>
      <c r="AG341" s="164"/>
      <c r="AH341" s="164"/>
      <c r="AI341" s="159">
        <f t="shared" si="168"/>
        <v>9549870.6967091952</v>
      </c>
      <c r="AJ341" s="159">
        <f t="shared" si="157"/>
        <v>9257097.2521908898</v>
      </c>
      <c r="AK341" s="159">
        <f t="shared" si="158"/>
        <v>9001209.4698109273</v>
      </c>
      <c r="AL341" s="159">
        <f t="shared" si="159"/>
        <v>8839079.8854284994</v>
      </c>
      <c r="AM341" s="159">
        <f t="shared" si="160"/>
        <v>8500005.6098811328</v>
      </c>
      <c r="AN341" s="159">
        <f t="shared" si="161"/>
        <v>8302996.346643867</v>
      </c>
    </row>
    <row r="342" spans="1:40" x14ac:dyDescent="0.35">
      <c r="A342" s="46">
        <v>1896</v>
      </c>
      <c r="B342" s="240" t="s">
        <v>363</v>
      </c>
      <c r="C342" s="372">
        <v>28.962962962963001</v>
      </c>
      <c r="D342" s="423">
        <v>4.6775478972007142E-4</v>
      </c>
      <c r="E342" s="192">
        <v>0.97699999999999998</v>
      </c>
      <c r="F342" s="192">
        <v>0.95299999999999996</v>
      </c>
      <c r="G342" s="192">
        <v>0.93</v>
      </c>
      <c r="H342" s="192">
        <v>0.875</v>
      </c>
      <c r="I342" s="192">
        <v>0.76900000000000002</v>
      </c>
      <c r="J342" s="192">
        <v>0.73199999999999998</v>
      </c>
      <c r="K342" s="361">
        <v>4.5699642955650976E-4</v>
      </c>
      <c r="L342" s="362">
        <v>4.4577031460322803E-4</v>
      </c>
      <c r="M342" s="362">
        <v>4.3501195443966642E-4</v>
      </c>
      <c r="N342" s="362">
        <v>4.092854410050625E-4</v>
      </c>
      <c r="O342" s="362">
        <v>3.5970343329473495E-4</v>
      </c>
      <c r="P342" s="363">
        <v>3.4239650607509228E-4</v>
      </c>
      <c r="Q342" s="273">
        <v>44.876736111111114</v>
      </c>
      <c r="R342" s="273">
        <v>39.7291666666667</v>
      </c>
      <c r="S342" s="273">
        <v>32.987974331091067</v>
      </c>
      <c r="T342" s="273">
        <v>30.983174888278267</v>
      </c>
      <c r="U342" s="273">
        <v>29.359416854256313</v>
      </c>
      <c r="V342" s="273">
        <f t="shared" si="162"/>
        <v>28.296814814814852</v>
      </c>
      <c r="W342" s="273">
        <f t="shared" si="163"/>
        <v>27.601703703703738</v>
      </c>
      <c r="X342" s="273">
        <f t="shared" si="164"/>
        <v>26.935555555555592</v>
      </c>
      <c r="Y342" s="273">
        <f t="shared" si="165"/>
        <v>25.342592592592627</v>
      </c>
      <c r="Z342" s="273">
        <f t="shared" si="166"/>
        <v>22.272518518518549</v>
      </c>
      <c r="AA342" s="273">
        <f t="shared" si="167"/>
        <v>21.200888888888915</v>
      </c>
      <c r="AB342" s="100">
        <v>1896</v>
      </c>
      <c r="AC342" s="101" t="s">
        <v>363</v>
      </c>
      <c r="AD342" s="159"/>
      <c r="AE342" s="159"/>
      <c r="AF342" s="164"/>
      <c r="AG342" s="164"/>
      <c r="AH342" s="164"/>
      <c r="AI342" s="159">
        <f t="shared" si="168"/>
        <v>860306.97581810574</v>
      </c>
      <c r="AJ342" s="159">
        <f t="shared" si="157"/>
        <v>848584.81497545983</v>
      </c>
      <c r="AK342" s="159">
        <f t="shared" si="158"/>
        <v>844426.06278594374</v>
      </c>
      <c r="AL342" s="159">
        <f t="shared" si="159"/>
        <v>816227.4217003677</v>
      </c>
      <c r="AM342" s="159">
        <f t="shared" si="160"/>
        <v>738852.67563397507</v>
      </c>
      <c r="AN342" s="159">
        <f t="shared" si="161"/>
        <v>725680.7723335945</v>
      </c>
    </row>
    <row r="343" spans="1:40" x14ac:dyDescent="0.35">
      <c r="A343" s="46">
        <v>642</v>
      </c>
      <c r="B343" s="240" t="s">
        <v>364</v>
      </c>
      <c r="C343" s="364">
        <v>117.18692129629601</v>
      </c>
      <c r="D343" s="365">
        <v>1.8925806658312895E-3</v>
      </c>
      <c r="E343" s="366">
        <v>0.96699999999999997</v>
      </c>
      <c r="F343" s="366">
        <v>0.91900000000000004</v>
      </c>
      <c r="G343" s="366">
        <v>0.83</v>
      </c>
      <c r="H343" s="366">
        <v>0.76</v>
      </c>
      <c r="I343" s="366">
        <v>0.71299999999999997</v>
      </c>
      <c r="J343" s="367">
        <v>0.63400000000000001</v>
      </c>
      <c r="K343" s="361">
        <v>1.8301255038588569E-3</v>
      </c>
      <c r="L343" s="362">
        <v>1.7392816318989551E-3</v>
      </c>
      <c r="M343" s="362">
        <v>1.5708419526399701E-3</v>
      </c>
      <c r="N343" s="362">
        <v>1.43836130603178E-3</v>
      </c>
      <c r="O343" s="362">
        <v>1.3494100147377094E-3</v>
      </c>
      <c r="P343" s="363">
        <v>1.1998961421370376E-3</v>
      </c>
      <c r="Q343" s="273">
        <v>143.72863115077067</v>
      </c>
      <c r="R343" s="273">
        <v>139.25268164513511</v>
      </c>
      <c r="S343" s="273">
        <v>130.79954990293149</v>
      </c>
      <c r="T343" s="273">
        <v>121.09986729441175</v>
      </c>
      <c r="U343" s="273">
        <v>118.06524821898192</v>
      </c>
      <c r="V343" s="273">
        <f t="shared" si="162"/>
        <v>113.31975289351823</v>
      </c>
      <c r="W343" s="273">
        <f t="shared" si="163"/>
        <v>107.69478067129603</v>
      </c>
      <c r="X343" s="273">
        <f t="shared" si="164"/>
        <v>97.265144675925683</v>
      </c>
      <c r="Y343" s="273">
        <f t="shared" si="165"/>
        <v>89.062060185184961</v>
      </c>
      <c r="Z343" s="273">
        <f t="shared" si="166"/>
        <v>83.554274884259044</v>
      </c>
      <c r="AA343" s="273">
        <f t="shared" si="167"/>
        <v>74.296508101851671</v>
      </c>
      <c r="AB343" s="100">
        <v>642</v>
      </c>
      <c r="AC343" s="101" t="s">
        <v>364</v>
      </c>
      <c r="AD343" s="159"/>
      <c r="AE343" s="159"/>
      <c r="AF343" s="164"/>
      <c r="AG343" s="164"/>
      <c r="AH343" s="164"/>
      <c r="AI343" s="159">
        <f t="shared" si="168"/>
        <v>3445256.1021545343</v>
      </c>
      <c r="AJ343" s="159">
        <f t="shared" si="157"/>
        <v>3310960.6751380186</v>
      </c>
      <c r="AK343" s="159">
        <f t="shared" si="158"/>
        <v>3049249.2718627718</v>
      </c>
      <c r="AL343" s="159">
        <f t="shared" si="159"/>
        <v>2868486.9352129526</v>
      </c>
      <c r="AM343" s="159">
        <f t="shared" si="160"/>
        <v>2771770.0406248299</v>
      </c>
      <c r="AN343" s="159">
        <f t="shared" si="161"/>
        <v>2543079.5691447286</v>
      </c>
    </row>
    <row r="344" spans="1:40" x14ac:dyDescent="0.35">
      <c r="A344" s="241">
        <v>193</v>
      </c>
      <c r="B344" s="242" t="s">
        <v>365</v>
      </c>
      <c r="C344" s="372">
        <v>434.72164351851899</v>
      </c>
      <c r="D344" s="365">
        <v>7.0207986389651499E-3</v>
      </c>
      <c r="E344" s="373">
        <v>0.96099999999999997</v>
      </c>
      <c r="F344" s="373">
        <v>0.91500000000000004</v>
      </c>
      <c r="G344" s="373">
        <v>0.878</v>
      </c>
      <c r="H344" s="373">
        <v>0.80300000000000005</v>
      </c>
      <c r="I344" s="373">
        <v>0.75</v>
      </c>
      <c r="J344" s="374">
        <v>0.69599999999999995</v>
      </c>
      <c r="K344" s="375">
        <v>6.7469874920455088E-3</v>
      </c>
      <c r="L344" s="376">
        <v>6.4240307546531124E-3</v>
      </c>
      <c r="M344" s="376">
        <v>6.1642612050114018E-3</v>
      </c>
      <c r="N344" s="376">
        <v>5.6377013070890158E-3</v>
      </c>
      <c r="O344" s="376">
        <v>5.2655989792238624E-3</v>
      </c>
      <c r="P344" s="377">
        <v>4.8864758527197441E-3</v>
      </c>
      <c r="Q344" s="273">
        <v>539.37435238607202</v>
      </c>
      <c r="R344" s="273">
        <v>521.14080245958098</v>
      </c>
      <c r="S344" s="273">
        <v>495.09625448028606</v>
      </c>
      <c r="T344" s="273">
        <v>469.0965195362524</v>
      </c>
      <c r="U344" s="273">
        <v>436.88752469393376</v>
      </c>
      <c r="V344" s="273">
        <f t="shared" si="162"/>
        <v>417.76749942129675</v>
      </c>
      <c r="W344" s="273">
        <f t="shared" si="163"/>
        <v>397.77030381944491</v>
      </c>
      <c r="X344" s="273">
        <f t="shared" si="164"/>
        <v>381.68560300925969</v>
      </c>
      <c r="Y344" s="273">
        <f t="shared" si="165"/>
        <v>349.08147974537076</v>
      </c>
      <c r="Z344" s="273">
        <f t="shared" si="166"/>
        <v>326.04123263888926</v>
      </c>
      <c r="AA344" s="273">
        <f t="shared" si="167"/>
        <v>302.56626388888918</v>
      </c>
      <c r="AB344" s="103">
        <v>193</v>
      </c>
      <c r="AC344" s="104" t="s">
        <v>365</v>
      </c>
      <c r="AD344" s="159"/>
      <c r="AE344" s="159"/>
      <c r="AF344" s="164"/>
      <c r="AG344" s="164"/>
      <c r="AH344" s="164"/>
      <c r="AI344" s="159">
        <f t="shared" si="168"/>
        <v>12701369.266270179</v>
      </c>
      <c r="AJ344" s="159">
        <f t="shared" si="157"/>
        <v>12229021.921717934</v>
      </c>
      <c r="AK344" s="159">
        <f t="shared" si="158"/>
        <v>11965792.586175594</v>
      </c>
      <c r="AL344" s="159">
        <f t="shared" si="159"/>
        <v>11243122.625867218</v>
      </c>
      <c r="AM344" s="159">
        <f t="shared" si="160"/>
        <v>10815859.773646552</v>
      </c>
      <c r="AN344" s="159">
        <f t="shared" si="161"/>
        <v>10356477.089790842</v>
      </c>
    </row>
    <row r="345" spans="1:40" x14ac:dyDescent="0.35">
      <c r="A345" s="3"/>
      <c r="B345" s="3"/>
      <c r="C345" s="425"/>
      <c r="D345" s="426"/>
      <c r="E345" s="426"/>
      <c r="F345" s="426"/>
      <c r="G345" s="426"/>
      <c r="H345" s="426"/>
      <c r="I345" s="426"/>
      <c r="J345" s="426"/>
      <c r="K345" s="427"/>
      <c r="L345" s="427"/>
      <c r="M345" s="427"/>
      <c r="N345" s="427"/>
      <c r="O345" s="427"/>
      <c r="P345" s="427"/>
      <c r="Q345" s="428"/>
      <c r="R345" s="428"/>
      <c r="S345" s="428"/>
      <c r="T345" s="428"/>
      <c r="U345" s="428"/>
      <c r="V345" s="428"/>
      <c r="W345" s="428"/>
      <c r="X345" s="428"/>
      <c r="Y345" s="428"/>
      <c r="Z345" s="428"/>
      <c r="AA345" s="428"/>
      <c r="AB345" s="3"/>
      <c r="AC345" s="3"/>
      <c r="AD345" s="193"/>
      <c r="AE345" s="193"/>
      <c r="AF345" s="193"/>
      <c r="AG345" s="193"/>
      <c r="AH345" s="193"/>
      <c r="AI345" s="165"/>
      <c r="AJ345" s="165"/>
      <c r="AK345" s="165"/>
      <c r="AL345" s="165"/>
      <c r="AM345" s="165"/>
      <c r="AN345" s="165"/>
    </row>
    <row r="346" spans="1:40" x14ac:dyDescent="0.35">
      <c r="A346" s="3"/>
      <c r="B346" s="3"/>
      <c r="C346" s="425"/>
      <c r="D346" s="426"/>
      <c r="E346" s="426"/>
      <c r="F346" s="426"/>
      <c r="G346" s="426"/>
      <c r="H346" s="426"/>
      <c r="I346" s="426"/>
      <c r="J346" s="426"/>
      <c r="K346" s="427"/>
      <c r="L346" s="427"/>
      <c r="M346" s="427"/>
      <c r="N346" s="427"/>
      <c r="O346" s="427"/>
      <c r="P346" s="427"/>
      <c r="Q346" s="428"/>
      <c r="R346" s="428"/>
      <c r="S346" s="428"/>
      <c r="T346" s="428"/>
      <c r="U346" s="428"/>
      <c r="V346" s="428"/>
      <c r="W346" s="428"/>
      <c r="X346" s="428"/>
      <c r="Y346" s="428"/>
      <c r="Z346" s="428"/>
      <c r="AA346" s="428"/>
      <c r="AB346" s="3"/>
      <c r="AC346" s="3"/>
      <c r="AD346" s="193"/>
      <c r="AE346" s="193"/>
      <c r="AF346" s="193"/>
      <c r="AG346" s="193"/>
      <c r="AH346" s="193"/>
      <c r="AI346" s="193"/>
      <c r="AJ346" s="193"/>
      <c r="AK346" s="193"/>
      <c r="AL346" s="193"/>
      <c r="AM346" s="193"/>
      <c r="AN346" s="193"/>
    </row>
    <row r="347" spans="1:40" x14ac:dyDescent="0.35">
      <c r="A347" s="243"/>
      <c r="C347" s="244"/>
      <c r="D347" s="245"/>
      <c r="E347" s="245"/>
      <c r="F347" s="245"/>
      <c r="G347" s="245"/>
      <c r="H347" s="245"/>
      <c r="I347" s="245"/>
      <c r="J347" s="245"/>
      <c r="K347" s="246"/>
      <c r="L347" s="246"/>
      <c r="M347" s="246"/>
      <c r="N347" s="246"/>
      <c r="O347" s="246"/>
      <c r="P347" s="246"/>
      <c r="S347" s="274"/>
      <c r="T347" s="274"/>
      <c r="U347" s="274"/>
      <c r="V347" s="274"/>
      <c r="W347" s="274"/>
      <c r="X347" s="274"/>
      <c r="Y347" s="274"/>
      <c r="Z347" s="274"/>
      <c r="AA347" s="274"/>
      <c r="AB347" s="243"/>
      <c r="AI347" s="247">
        <f t="shared" ref="AI347:AN347" si="169">SUM(AI10:AI344)</f>
        <v>1787781000.0000014</v>
      </c>
      <c r="AJ347" s="247">
        <f t="shared" si="169"/>
        <v>1712184000</v>
      </c>
      <c r="AK347" s="247">
        <f t="shared" si="169"/>
        <v>1646918999.999999</v>
      </c>
      <c r="AL347" s="247">
        <f t="shared" si="169"/>
        <v>1580062999.9999995</v>
      </c>
      <c r="AM347" s="247">
        <f t="shared" si="169"/>
        <v>1514000000.0000002</v>
      </c>
      <c r="AN347" s="247">
        <f t="shared" si="169"/>
        <v>1447967000.0000007</v>
      </c>
    </row>
    <row r="348" spans="1:40" x14ac:dyDescent="0.35">
      <c r="A348" s="429">
        <v>1680</v>
      </c>
      <c r="B348" s="430" t="s">
        <v>0</v>
      </c>
      <c r="AB348" s="248">
        <v>613</v>
      </c>
      <c r="AC348" s="249" t="s">
        <v>16</v>
      </c>
      <c r="AD348" s="249"/>
      <c r="AE348" s="249"/>
      <c r="AF348" s="249"/>
      <c r="AG348" s="249"/>
      <c r="AH348" s="249"/>
      <c r="AI348" s="250">
        <v>0</v>
      </c>
      <c r="AJ348" s="250">
        <v>0</v>
      </c>
      <c r="AK348" s="250">
        <v>0</v>
      </c>
      <c r="AL348" s="250">
        <v>0</v>
      </c>
      <c r="AM348" s="250">
        <v>0</v>
      </c>
      <c r="AN348" s="251">
        <v>0</v>
      </c>
    </row>
    <row r="349" spans="1:40" x14ac:dyDescent="0.35">
      <c r="A349" s="431">
        <v>613</v>
      </c>
      <c r="B349" s="432" t="s">
        <v>16</v>
      </c>
      <c r="AB349" s="248">
        <v>744</v>
      </c>
      <c r="AC349" s="249" t="s">
        <v>32</v>
      </c>
      <c r="AD349" s="249"/>
      <c r="AE349" s="249"/>
      <c r="AF349" s="249"/>
      <c r="AG349" s="249"/>
      <c r="AH349" s="249"/>
      <c r="AI349" s="250">
        <v>0</v>
      </c>
      <c r="AJ349" s="250">
        <v>0</v>
      </c>
      <c r="AK349" s="250">
        <v>0</v>
      </c>
      <c r="AL349" s="250">
        <v>0</v>
      </c>
      <c r="AM349" s="250">
        <v>0</v>
      </c>
      <c r="AN349" s="251">
        <v>0</v>
      </c>
    </row>
    <row r="350" spans="1:40" x14ac:dyDescent="0.35">
      <c r="A350" s="431">
        <v>744</v>
      </c>
      <c r="B350" s="432" t="s">
        <v>32</v>
      </c>
      <c r="E350" s="252"/>
      <c r="F350" s="252"/>
      <c r="G350" s="252"/>
      <c r="H350" s="252"/>
      <c r="I350" s="252"/>
      <c r="J350" s="252"/>
      <c r="K350" s="252"/>
      <c r="L350" s="252"/>
      <c r="M350" s="252"/>
      <c r="N350" s="252"/>
      <c r="O350" s="252"/>
      <c r="P350" s="252"/>
      <c r="Q350" s="276"/>
      <c r="R350" s="276"/>
      <c r="S350" s="276"/>
      <c r="T350" s="276"/>
      <c r="U350" s="276"/>
      <c r="V350" s="276"/>
      <c r="W350" s="276"/>
      <c r="X350" s="276"/>
      <c r="Y350" s="276"/>
      <c r="Z350" s="276"/>
      <c r="AA350" s="276"/>
      <c r="AB350" s="248">
        <v>489</v>
      </c>
      <c r="AC350" s="249" t="s">
        <v>34</v>
      </c>
      <c r="AD350" s="249"/>
      <c r="AE350" s="249"/>
      <c r="AF350" s="249"/>
      <c r="AG350" s="249"/>
      <c r="AH350" s="249"/>
      <c r="AI350" s="250">
        <v>0</v>
      </c>
      <c r="AJ350" s="250">
        <v>0</v>
      </c>
      <c r="AK350" s="250">
        <v>0</v>
      </c>
      <c r="AL350" s="250">
        <v>0</v>
      </c>
      <c r="AM350" s="250">
        <v>0</v>
      </c>
      <c r="AN350" s="251">
        <v>0</v>
      </c>
    </row>
    <row r="351" spans="1:40" x14ac:dyDescent="0.35">
      <c r="A351" s="431">
        <v>489</v>
      </c>
      <c r="B351" s="432" t="s">
        <v>34</v>
      </c>
      <c r="AB351" s="248">
        <v>370</v>
      </c>
      <c r="AC351" s="249" t="s">
        <v>38</v>
      </c>
      <c r="AD351" s="249"/>
      <c r="AE351" s="249"/>
      <c r="AF351" s="249"/>
      <c r="AG351" s="249"/>
      <c r="AH351" s="249"/>
      <c r="AI351" s="250">
        <v>0</v>
      </c>
      <c r="AJ351" s="250">
        <v>0</v>
      </c>
      <c r="AK351" s="250">
        <v>0</v>
      </c>
      <c r="AL351" s="250">
        <v>0</v>
      </c>
      <c r="AM351" s="250">
        <v>0</v>
      </c>
      <c r="AN351" s="251">
        <v>0</v>
      </c>
    </row>
    <row r="352" spans="1:40" x14ac:dyDescent="0.35">
      <c r="A352" s="431">
        <v>370</v>
      </c>
      <c r="B352" s="432" t="s">
        <v>38</v>
      </c>
      <c r="AB352" s="248">
        <v>501</v>
      </c>
      <c r="AC352" s="249" t="s">
        <v>61</v>
      </c>
      <c r="AD352" s="249"/>
      <c r="AE352" s="249"/>
      <c r="AF352" s="249"/>
      <c r="AG352" s="249"/>
      <c r="AH352" s="249"/>
      <c r="AI352" s="250">
        <v>0</v>
      </c>
      <c r="AJ352" s="250">
        <v>0</v>
      </c>
      <c r="AK352" s="250">
        <v>0</v>
      </c>
      <c r="AL352" s="250">
        <v>0</v>
      </c>
      <c r="AM352" s="250">
        <v>0</v>
      </c>
      <c r="AN352" s="251">
        <v>0</v>
      </c>
    </row>
    <row r="353" spans="1:40" x14ac:dyDescent="0.35">
      <c r="A353" s="431">
        <v>501</v>
      </c>
      <c r="B353" s="432" t="s">
        <v>61</v>
      </c>
      <c r="AB353" s="248">
        <v>523</v>
      </c>
      <c r="AC353" s="249" t="s">
        <v>131</v>
      </c>
      <c r="AD353" s="249"/>
      <c r="AE353" s="249"/>
      <c r="AF353" s="249"/>
      <c r="AG353" s="249"/>
      <c r="AH353" s="249"/>
      <c r="AI353" s="250">
        <v>0</v>
      </c>
      <c r="AJ353" s="250">
        <v>0</v>
      </c>
      <c r="AK353" s="250">
        <v>0</v>
      </c>
      <c r="AL353" s="250">
        <v>0</v>
      </c>
      <c r="AM353" s="250">
        <v>0</v>
      </c>
      <c r="AN353" s="251">
        <v>0</v>
      </c>
    </row>
    <row r="354" spans="1:40" x14ac:dyDescent="0.35">
      <c r="A354" s="431">
        <v>523</v>
      </c>
      <c r="B354" s="432" t="s">
        <v>131</v>
      </c>
      <c r="AB354" s="248">
        <v>530</v>
      </c>
      <c r="AC354" s="249" t="s">
        <v>143</v>
      </c>
      <c r="AD354" s="249"/>
      <c r="AE354" s="249"/>
      <c r="AF354" s="249"/>
      <c r="AG354" s="249"/>
      <c r="AH354" s="249"/>
      <c r="AI354" s="250">
        <v>0</v>
      </c>
      <c r="AJ354" s="250">
        <v>0</v>
      </c>
      <c r="AK354" s="250">
        <v>0</v>
      </c>
      <c r="AL354" s="250">
        <v>0</v>
      </c>
      <c r="AM354" s="250">
        <v>0</v>
      </c>
      <c r="AN354" s="251">
        <v>0</v>
      </c>
    </row>
    <row r="355" spans="1:40" x14ac:dyDescent="0.35">
      <c r="A355" s="431">
        <v>530</v>
      </c>
      <c r="B355" s="432" t="s">
        <v>143</v>
      </c>
      <c r="Q355" s="273">
        <v>43.99305555555555</v>
      </c>
      <c r="R355" s="273">
        <v>0</v>
      </c>
      <c r="AB355" s="248">
        <v>1884</v>
      </c>
      <c r="AC355" s="249" t="s">
        <v>163</v>
      </c>
      <c r="AD355" s="249"/>
      <c r="AE355" s="249"/>
      <c r="AF355" s="249"/>
      <c r="AG355" s="249"/>
      <c r="AH355" s="249"/>
      <c r="AI355" s="250">
        <v>0</v>
      </c>
      <c r="AJ355" s="250">
        <v>0</v>
      </c>
      <c r="AK355" s="250">
        <v>0</v>
      </c>
      <c r="AL355" s="250">
        <v>0</v>
      </c>
      <c r="AM355" s="250">
        <v>0</v>
      </c>
      <c r="AN355" s="251">
        <v>0</v>
      </c>
    </row>
    <row r="356" spans="1:40" x14ac:dyDescent="0.35">
      <c r="A356" s="431">
        <v>1884</v>
      </c>
      <c r="B356" s="432" t="s">
        <v>163</v>
      </c>
      <c r="AB356" s="248">
        <v>547</v>
      </c>
      <c r="AC356" s="249" t="s">
        <v>180</v>
      </c>
      <c r="AD356" s="249"/>
      <c r="AE356" s="249"/>
      <c r="AF356" s="249"/>
      <c r="AG356" s="249"/>
      <c r="AH356" s="249"/>
      <c r="AI356" s="250">
        <v>0</v>
      </c>
      <c r="AJ356" s="250">
        <v>0</v>
      </c>
      <c r="AK356" s="250">
        <v>0</v>
      </c>
      <c r="AL356" s="250">
        <v>0</v>
      </c>
      <c r="AM356" s="250">
        <v>0</v>
      </c>
      <c r="AN356" s="251">
        <v>0</v>
      </c>
    </row>
    <row r="357" spans="1:40" x14ac:dyDescent="0.35">
      <c r="A357" s="431">
        <v>547</v>
      </c>
      <c r="B357" s="432" t="s">
        <v>180</v>
      </c>
      <c r="AB357" s="248">
        <v>1842</v>
      </c>
      <c r="AC357" s="249" t="s">
        <v>202</v>
      </c>
      <c r="AD357" s="249"/>
      <c r="AE357" s="249"/>
      <c r="AF357" s="249"/>
      <c r="AG357" s="249"/>
      <c r="AH357" s="249"/>
      <c r="AI357" s="250">
        <v>0</v>
      </c>
      <c r="AJ357" s="250">
        <v>0</v>
      </c>
      <c r="AK357" s="250">
        <v>0</v>
      </c>
      <c r="AL357" s="250">
        <v>0</v>
      </c>
      <c r="AM357" s="250">
        <v>0</v>
      </c>
      <c r="AN357" s="251">
        <v>0</v>
      </c>
    </row>
    <row r="358" spans="1:40" x14ac:dyDescent="0.35">
      <c r="A358" s="431">
        <v>1731</v>
      </c>
      <c r="B358" s="432" t="s">
        <v>201</v>
      </c>
      <c r="AB358" s="248">
        <v>1731</v>
      </c>
      <c r="AC358" s="249" t="s">
        <v>701</v>
      </c>
      <c r="AD358" s="249"/>
      <c r="AE358" s="249"/>
      <c r="AF358" s="249"/>
      <c r="AG358" s="249"/>
      <c r="AH358" s="249"/>
      <c r="AI358" s="250">
        <v>0</v>
      </c>
      <c r="AJ358" s="250">
        <v>0</v>
      </c>
      <c r="AK358" s="250">
        <v>0</v>
      </c>
      <c r="AL358" s="250">
        <v>0</v>
      </c>
      <c r="AM358" s="250">
        <v>0</v>
      </c>
      <c r="AN358" s="251">
        <v>0</v>
      </c>
    </row>
    <row r="359" spans="1:40" x14ac:dyDescent="0.35">
      <c r="A359" s="431">
        <v>1842</v>
      </c>
      <c r="B359" s="432" t="s">
        <v>202</v>
      </c>
      <c r="AB359" s="248">
        <v>569</v>
      </c>
      <c r="AC359" s="249" t="s">
        <v>213</v>
      </c>
      <c r="AD359" s="249"/>
      <c r="AE359" s="249"/>
      <c r="AF359" s="249"/>
      <c r="AG359" s="249"/>
      <c r="AH359" s="249"/>
      <c r="AI359" s="250">
        <v>0</v>
      </c>
      <c r="AJ359" s="250">
        <v>0</v>
      </c>
      <c r="AK359" s="250">
        <v>0</v>
      </c>
      <c r="AL359" s="250">
        <v>0</v>
      </c>
      <c r="AM359" s="250">
        <v>0</v>
      </c>
      <c r="AN359" s="251">
        <v>0</v>
      </c>
    </row>
    <row r="360" spans="1:40" x14ac:dyDescent="0.35">
      <c r="A360" s="431">
        <v>569</v>
      </c>
      <c r="B360" s="432" t="s">
        <v>213</v>
      </c>
      <c r="AB360" s="248">
        <v>1926</v>
      </c>
      <c r="AC360" s="249" t="s">
        <v>246</v>
      </c>
      <c r="AD360" s="249"/>
      <c r="AE360" s="249"/>
      <c r="AF360" s="249"/>
      <c r="AG360" s="249"/>
      <c r="AH360" s="249"/>
      <c r="AI360" s="250">
        <v>0</v>
      </c>
      <c r="AJ360" s="250">
        <v>0</v>
      </c>
      <c r="AK360" s="250">
        <v>0</v>
      </c>
      <c r="AL360" s="250">
        <v>0</v>
      </c>
      <c r="AM360" s="250">
        <v>0</v>
      </c>
      <c r="AN360" s="251">
        <v>0</v>
      </c>
    </row>
    <row r="361" spans="1:40" x14ac:dyDescent="0.35">
      <c r="A361" s="431">
        <v>431</v>
      </c>
      <c r="B361" s="432" t="s">
        <v>235</v>
      </c>
      <c r="AB361" s="248">
        <v>597</v>
      </c>
      <c r="AC361" s="249" t="s">
        <v>256</v>
      </c>
      <c r="AD361" s="249"/>
      <c r="AE361" s="249"/>
      <c r="AF361" s="249"/>
      <c r="AG361" s="249"/>
      <c r="AH361" s="249"/>
      <c r="AI361" s="250">
        <v>0</v>
      </c>
      <c r="AJ361" s="250">
        <v>0</v>
      </c>
      <c r="AK361" s="250">
        <v>0</v>
      </c>
      <c r="AL361" s="250">
        <v>0</v>
      </c>
      <c r="AM361" s="250">
        <v>0</v>
      </c>
      <c r="AN361" s="251">
        <v>0</v>
      </c>
    </row>
    <row r="362" spans="1:40" x14ac:dyDescent="0.35">
      <c r="A362" s="431">
        <v>1926</v>
      </c>
      <c r="B362" s="432" t="s">
        <v>246</v>
      </c>
      <c r="AB362" s="248">
        <v>88</v>
      </c>
      <c r="AC362" s="249" t="s">
        <v>268</v>
      </c>
      <c r="AD362" s="249"/>
      <c r="AE362" s="249"/>
      <c r="AF362" s="249"/>
      <c r="AG362" s="249"/>
      <c r="AH362" s="249"/>
      <c r="AI362" s="250">
        <v>0</v>
      </c>
      <c r="AJ362" s="250">
        <v>0</v>
      </c>
      <c r="AK362" s="250">
        <v>0</v>
      </c>
      <c r="AL362" s="250">
        <v>0</v>
      </c>
      <c r="AM362" s="250">
        <v>0</v>
      </c>
      <c r="AN362" s="251">
        <v>0</v>
      </c>
    </row>
    <row r="363" spans="1:40" x14ac:dyDescent="0.35">
      <c r="A363" s="431">
        <v>597</v>
      </c>
      <c r="B363" s="432" t="s">
        <v>256</v>
      </c>
      <c r="AB363" s="248">
        <v>1730</v>
      </c>
      <c r="AC363" s="249" t="s">
        <v>299</v>
      </c>
      <c r="AD363" s="249"/>
      <c r="AE363" s="249"/>
      <c r="AF363" s="249"/>
      <c r="AG363" s="249"/>
      <c r="AH363" s="249"/>
      <c r="AI363" s="250">
        <v>0</v>
      </c>
      <c r="AJ363" s="250">
        <v>0</v>
      </c>
      <c r="AK363" s="250">
        <v>0</v>
      </c>
      <c r="AL363" s="250">
        <v>0</v>
      </c>
      <c r="AM363" s="250">
        <v>0</v>
      </c>
      <c r="AN363" s="251">
        <v>0</v>
      </c>
    </row>
    <row r="364" spans="1:40" x14ac:dyDescent="0.35">
      <c r="A364" s="431">
        <v>88</v>
      </c>
      <c r="B364" s="432" t="s">
        <v>268</v>
      </c>
      <c r="AB364" s="248">
        <v>96</v>
      </c>
      <c r="AC364" s="249" t="s">
        <v>319</v>
      </c>
      <c r="AD364" s="249"/>
      <c r="AE364" s="249"/>
      <c r="AF364" s="249"/>
      <c r="AG364" s="249"/>
      <c r="AH364" s="249"/>
      <c r="AI364" s="250">
        <v>0</v>
      </c>
      <c r="AJ364" s="250">
        <v>0</v>
      </c>
      <c r="AK364" s="250">
        <v>0</v>
      </c>
      <c r="AL364" s="250">
        <v>0</v>
      </c>
      <c r="AM364" s="250">
        <v>0</v>
      </c>
      <c r="AN364" s="251">
        <v>0</v>
      </c>
    </row>
    <row r="365" spans="1:40" x14ac:dyDescent="0.35">
      <c r="A365" s="431">
        <v>1730</v>
      </c>
      <c r="B365" s="432" t="s">
        <v>299</v>
      </c>
      <c r="AB365" s="248">
        <v>626</v>
      </c>
      <c r="AC365" s="249" t="s">
        <v>322</v>
      </c>
      <c r="AD365" s="249"/>
      <c r="AE365" s="249"/>
      <c r="AF365" s="249"/>
      <c r="AG365" s="249"/>
      <c r="AH365" s="249"/>
      <c r="AI365" s="250">
        <v>0</v>
      </c>
      <c r="AJ365" s="250">
        <v>0</v>
      </c>
      <c r="AK365" s="250">
        <v>0</v>
      </c>
      <c r="AL365" s="250">
        <v>0</v>
      </c>
      <c r="AM365" s="250">
        <v>0</v>
      </c>
      <c r="AN365" s="251">
        <v>0</v>
      </c>
    </row>
    <row r="366" spans="1:40" x14ac:dyDescent="0.35">
      <c r="A366" s="431">
        <v>96</v>
      </c>
      <c r="B366" s="432" t="s">
        <v>319</v>
      </c>
      <c r="AB366" s="248">
        <v>614</v>
      </c>
      <c r="AC366" s="249" t="s">
        <v>342</v>
      </c>
      <c r="AD366" s="249"/>
      <c r="AE366" s="249"/>
      <c r="AF366" s="249"/>
      <c r="AG366" s="249"/>
      <c r="AH366" s="249"/>
      <c r="AI366" s="250">
        <v>0</v>
      </c>
      <c r="AJ366" s="250">
        <v>0</v>
      </c>
      <c r="AK366" s="250">
        <v>0</v>
      </c>
      <c r="AL366" s="250">
        <v>0</v>
      </c>
      <c r="AM366" s="250">
        <v>0</v>
      </c>
      <c r="AN366" s="251">
        <v>0</v>
      </c>
    </row>
    <row r="367" spans="1:40" x14ac:dyDescent="0.35">
      <c r="A367" s="431">
        <v>626</v>
      </c>
      <c r="B367" s="432" t="s">
        <v>322</v>
      </c>
      <c r="AB367" s="253">
        <v>638</v>
      </c>
      <c r="AC367" s="254" t="s">
        <v>359</v>
      </c>
      <c r="AD367" s="254"/>
      <c r="AE367" s="254"/>
      <c r="AF367" s="254"/>
      <c r="AG367" s="254"/>
      <c r="AH367" s="254"/>
      <c r="AI367" s="255">
        <v>0</v>
      </c>
      <c r="AJ367" s="255">
        <v>0</v>
      </c>
      <c r="AK367" s="255">
        <v>0</v>
      </c>
      <c r="AL367" s="255">
        <v>0</v>
      </c>
      <c r="AM367" s="255">
        <v>0</v>
      </c>
      <c r="AN367" s="256">
        <v>0</v>
      </c>
    </row>
    <row r="368" spans="1:40" x14ac:dyDescent="0.35">
      <c r="A368" s="431">
        <v>614</v>
      </c>
      <c r="B368" s="432" t="s">
        <v>342</v>
      </c>
      <c r="AB368" s="249"/>
      <c r="AC368" s="249"/>
      <c r="AD368" s="249"/>
      <c r="AE368" s="249"/>
      <c r="AF368" s="249"/>
      <c r="AG368" s="249"/>
      <c r="AH368" s="249"/>
      <c r="AI368" s="250"/>
      <c r="AJ368" s="250"/>
      <c r="AK368" s="250"/>
      <c r="AL368" s="250"/>
      <c r="AM368" s="250"/>
      <c r="AN368" s="250"/>
    </row>
    <row r="369" spans="1:40" x14ac:dyDescent="0.35">
      <c r="A369" s="431">
        <v>880</v>
      </c>
      <c r="B369" s="432" t="s">
        <v>350</v>
      </c>
      <c r="AB369" s="249"/>
      <c r="AC369" s="249"/>
      <c r="AD369" s="249"/>
      <c r="AE369" s="249"/>
      <c r="AF369" s="249"/>
      <c r="AG369" s="249"/>
      <c r="AH369" s="249"/>
      <c r="AI369" s="250"/>
      <c r="AJ369" s="250"/>
      <c r="AK369" s="250"/>
      <c r="AL369" s="250"/>
      <c r="AM369" s="250"/>
      <c r="AN369" s="250"/>
    </row>
    <row r="370" spans="1:40" x14ac:dyDescent="0.35">
      <c r="A370" s="433">
        <v>638</v>
      </c>
      <c r="B370" s="434" t="s">
        <v>359</v>
      </c>
      <c r="AB370" s="249"/>
      <c r="AC370" s="249"/>
      <c r="AD370" s="249"/>
      <c r="AE370" s="249"/>
      <c r="AF370" s="249"/>
      <c r="AG370" s="249"/>
      <c r="AH370" s="249"/>
      <c r="AI370" s="250"/>
      <c r="AJ370" s="250"/>
      <c r="AK370" s="250"/>
      <c r="AL370" s="250"/>
      <c r="AM370" s="250"/>
      <c r="AN370" s="250"/>
    </row>
    <row r="371" spans="1:40" x14ac:dyDescent="0.35">
      <c r="A371" s="249"/>
      <c r="B371" s="249"/>
      <c r="AB371" s="249"/>
      <c r="AC371" s="249"/>
      <c r="AD371" s="249"/>
      <c r="AE371" s="249"/>
      <c r="AF371" s="249"/>
      <c r="AG371" s="249"/>
      <c r="AH371" s="249"/>
      <c r="AI371" s="250"/>
      <c r="AJ371" s="250"/>
      <c r="AK371" s="250"/>
      <c r="AL371" s="250"/>
      <c r="AM371" s="250"/>
      <c r="AN371" s="250"/>
    </row>
    <row r="374" spans="1:40" x14ac:dyDescent="0.35">
      <c r="A374" s="46">
        <v>3</v>
      </c>
      <c r="B374" s="240" t="s">
        <v>28</v>
      </c>
      <c r="C374" s="368">
        <v>165.083333333333</v>
      </c>
      <c r="D374" s="371">
        <f>C374/$C$9</f>
        <v>2.666112578618646E-3</v>
      </c>
      <c r="E374" s="365">
        <v>0.92616895245236996</v>
      </c>
      <c r="F374" s="366">
        <v>0.864285983460789</v>
      </c>
      <c r="G374" s="366">
        <v>0.80968696835434495</v>
      </c>
      <c r="H374" s="366">
        <v>0.75375586390229599</v>
      </c>
      <c r="I374" s="366">
        <v>0.71475413864492099</v>
      </c>
      <c r="J374" s="367">
        <v>0.66023183404033803</v>
      </c>
      <c r="K374" s="361">
        <f t="shared" ref="K374:P377" si="170">$D374*E374</f>
        <v>2.4692706940593182E-3</v>
      </c>
      <c r="L374" s="362">
        <f t="shared" si="170"/>
        <v>2.3042837320285964E-3</v>
      </c>
      <c r="M374" s="362">
        <f t="shared" si="170"/>
        <v>2.1587166110731168E-3</v>
      </c>
      <c r="N374" s="362">
        <f t="shared" si="170"/>
        <v>2.0095979899574755E-3</v>
      </c>
      <c r="O374" s="362">
        <f t="shared" si="170"/>
        <v>1.9056149996609596E-3</v>
      </c>
      <c r="P374" s="363">
        <f t="shared" si="170"/>
        <v>1.7602523975394037E-3</v>
      </c>
      <c r="Q374" s="273">
        <v>189.12516527016203</v>
      </c>
      <c r="R374" s="273">
        <v>179.69381606212565</v>
      </c>
      <c r="S374" s="273">
        <v>164.19613337501036</v>
      </c>
      <c r="T374" s="273">
        <v>152.89505790067844</v>
      </c>
      <c r="U374" s="273">
        <v>152.89505790067844</v>
      </c>
      <c r="V374" s="273">
        <f>+E374*C374</f>
        <v>152.89505790067844</v>
      </c>
      <c r="W374" s="273">
        <f t="shared" ref="W374:AA377" si="171">+F374*$C374</f>
        <v>142.67921110298497</v>
      </c>
      <c r="X374" s="273">
        <f t="shared" si="171"/>
        <v>133.66582369249619</v>
      </c>
      <c r="Y374" s="273">
        <f t="shared" si="171"/>
        <v>124.43253053253711</v>
      </c>
      <c r="Z374" s="273">
        <f t="shared" si="171"/>
        <v>117.9939957212988</v>
      </c>
      <c r="AA374" s="273">
        <f t="shared" si="171"/>
        <v>108.99327193615892</v>
      </c>
      <c r="AB374" s="100">
        <v>3</v>
      </c>
      <c r="AC374" s="101" t="s">
        <v>28</v>
      </c>
      <c r="AD374" s="159"/>
      <c r="AE374" s="159"/>
      <c r="AF374" s="164"/>
      <c r="AG374" s="164"/>
      <c r="AH374" s="164"/>
      <c r="AI374" s="164">
        <v>4451452.5008728886</v>
      </c>
      <c r="AJ374" s="165">
        <v>3953967.7966640969</v>
      </c>
      <c r="AK374" s="165">
        <v>3762179.0963981291</v>
      </c>
      <c r="AL374" s="165">
        <v>3561019.4426130601</v>
      </c>
      <c r="AM374" s="165">
        <v>3443981.2540890896</v>
      </c>
      <c r="AN374" s="166">
        <v>3268515.6223086393</v>
      </c>
    </row>
    <row r="375" spans="1:40" x14ac:dyDescent="0.35">
      <c r="A375" s="46">
        <v>10</v>
      </c>
      <c r="B375" s="240" t="s">
        <v>81</v>
      </c>
      <c r="C375" s="364">
        <v>162.22453703703701</v>
      </c>
      <c r="D375" s="365">
        <f>C375/$C$9</f>
        <v>2.6199427284504698E-3</v>
      </c>
      <c r="E375" s="366">
        <v>0.95860060607557296</v>
      </c>
      <c r="F375" s="366">
        <v>0.92628638686752396</v>
      </c>
      <c r="G375" s="366">
        <v>0.89177693846816597</v>
      </c>
      <c r="H375" s="366">
        <v>0.83689438851332998</v>
      </c>
      <c r="I375" s="366">
        <v>0.79123599412098899</v>
      </c>
      <c r="J375" s="367">
        <v>0.71692899474837701</v>
      </c>
      <c r="K375" s="361">
        <f t="shared" si="170"/>
        <v>2.5114786873759107E-3</v>
      </c>
      <c r="L375" s="362">
        <f t="shared" si="170"/>
        <v>2.426817283736228E-3</v>
      </c>
      <c r="M375" s="362">
        <f t="shared" si="170"/>
        <v>2.3364045053394936E-3</v>
      </c>
      <c r="N375" s="362">
        <f t="shared" si="170"/>
        <v>2.1926153676665012E-3</v>
      </c>
      <c r="O375" s="362">
        <f t="shared" si="170"/>
        <v>2.0729929892855637E-3</v>
      </c>
      <c r="P375" s="363">
        <f t="shared" si="170"/>
        <v>1.8783129066063154E-3</v>
      </c>
      <c r="Q375" s="273">
        <v>176.68181370907013</v>
      </c>
      <c r="R375" s="273">
        <v>173.42093774833424</v>
      </c>
      <c r="S375" s="273">
        <v>163.87290269722152</v>
      </c>
      <c r="T375" s="273">
        <v>155.5085395240329</v>
      </c>
      <c r="U375" s="273">
        <v>155.5085395240329</v>
      </c>
      <c r="V375" s="273">
        <f>+E375*C375</f>
        <v>155.5085395240329</v>
      </c>
      <c r="W375" s="273">
        <f t="shared" si="171"/>
        <v>150.26638027329383</v>
      </c>
      <c r="X375" s="273">
        <f t="shared" si="171"/>
        <v>144.66810098330447</v>
      </c>
      <c r="Y375" s="273">
        <f t="shared" si="171"/>
        <v>135.76480472546913</v>
      </c>
      <c r="Z375" s="273">
        <f t="shared" si="171"/>
        <v>128.35789283331718</v>
      </c>
      <c r="AA375" s="273">
        <f t="shared" si="171"/>
        <v>116.3034742614838</v>
      </c>
      <c r="AB375" s="100">
        <v>10</v>
      </c>
      <c r="AC375" s="101" t="s">
        <v>81</v>
      </c>
      <c r="AD375" s="159"/>
      <c r="AE375" s="159"/>
      <c r="AF375" s="164"/>
      <c r="AG375" s="164"/>
      <c r="AH375" s="164"/>
      <c r="AI375" s="164">
        <v>4527542.529340799</v>
      </c>
      <c r="AJ375" s="165">
        <v>4164225.6354573672</v>
      </c>
      <c r="AK375" s="165">
        <v>4071850.9069835986</v>
      </c>
      <c r="AL375" s="165">
        <v>3885327.3109602402</v>
      </c>
      <c r="AM375" s="165">
        <v>3746480.268169479</v>
      </c>
      <c r="AN375" s="166">
        <v>3487735.6721164393</v>
      </c>
    </row>
    <row r="376" spans="1:40" x14ac:dyDescent="0.35">
      <c r="A376" s="46">
        <v>24</v>
      </c>
      <c r="B376" s="240" t="s">
        <v>190</v>
      </c>
      <c r="C376" s="364">
        <v>34.775462962962997</v>
      </c>
      <c r="D376" s="365">
        <f>C376/$C$9</f>
        <v>5.6162725431302993E-4</v>
      </c>
      <c r="E376" s="366">
        <v>0.92235329940299104</v>
      </c>
      <c r="F376" s="366">
        <v>0.872359975639589</v>
      </c>
      <c r="G376" s="366">
        <v>0.82474580105543904</v>
      </c>
      <c r="H376" s="366">
        <v>0.76048100944077002</v>
      </c>
      <c r="I376" s="366">
        <v>0.695598201972916</v>
      </c>
      <c r="J376" s="367">
        <v>0.63474901067569101</v>
      </c>
      <c r="K376" s="361">
        <f t="shared" si="170"/>
        <v>5.180187510502659E-4</v>
      </c>
      <c r="L376" s="362">
        <f t="shared" si="170"/>
        <v>4.8994113789104399E-4</v>
      </c>
      <c r="M376" s="362">
        <f t="shared" si="170"/>
        <v>4.6319971975296667E-4</v>
      </c>
      <c r="N376" s="362">
        <f t="shared" si="170"/>
        <v>4.2710686128942104E-4</v>
      </c>
      <c r="O376" s="362">
        <f t="shared" si="170"/>
        <v>3.9066690827912923E-4</v>
      </c>
      <c r="P376" s="363">
        <f t="shared" si="170"/>
        <v>3.5649234404370046E-4</v>
      </c>
      <c r="Q376" s="273">
        <v>43.86805555555555</v>
      </c>
      <c r="R376" s="273">
        <v>37.780092592592602</v>
      </c>
      <c r="S376" s="273">
        <v>35.20185248220087</v>
      </c>
      <c r="T376" s="273">
        <v>32.075263002155438</v>
      </c>
      <c r="U376" s="273">
        <v>32.075263002155438</v>
      </c>
      <c r="V376" s="273">
        <f>+E376*C376</f>
        <v>32.075263002155438</v>
      </c>
      <c r="W376" s="273">
        <f t="shared" si="171"/>
        <v>30.336722023225828</v>
      </c>
      <c r="X376" s="273">
        <f t="shared" si="171"/>
        <v>28.680917058462668</v>
      </c>
      <c r="Y376" s="273">
        <f t="shared" si="171"/>
        <v>26.446079177844211</v>
      </c>
      <c r="Z376" s="273">
        <f t="shared" si="171"/>
        <v>24.189749509812795</v>
      </c>
      <c r="AA376" s="273">
        <f t="shared" si="171"/>
        <v>22.073690711529895</v>
      </c>
      <c r="AB376" s="100">
        <v>24</v>
      </c>
      <c r="AC376" s="101" t="s">
        <v>190</v>
      </c>
      <c r="AD376" s="159"/>
      <c r="AE376" s="159"/>
      <c r="AF376" s="164"/>
      <c r="AG376" s="164"/>
      <c r="AH376" s="164"/>
      <c r="AI376" s="164">
        <v>933853.00785753224</v>
      </c>
      <c r="AJ376" s="165">
        <v>840700.0642133184</v>
      </c>
      <c r="AK376" s="165">
        <v>807257.55950235482</v>
      </c>
      <c r="AL376" s="165">
        <v>756835.86703689303</v>
      </c>
      <c r="AM376" s="165">
        <v>706044.77239402384</v>
      </c>
      <c r="AN376" s="166">
        <v>661950.97780809784</v>
      </c>
    </row>
    <row r="377" spans="1:40" x14ac:dyDescent="0.35">
      <c r="A377" s="46">
        <v>788</v>
      </c>
      <c r="B377" s="240" t="s">
        <v>125</v>
      </c>
      <c r="C377" s="364">
        <v>66.4097222222222</v>
      </c>
      <c r="D377" s="365">
        <f>C377/$C$9</f>
        <v>1.0725237501821537E-3</v>
      </c>
      <c r="E377" s="366">
        <v>0.96129377488300005</v>
      </c>
      <c r="F377" s="366">
        <v>0.91333768840722696</v>
      </c>
      <c r="G377" s="366">
        <v>0.891582586505138</v>
      </c>
      <c r="H377" s="366">
        <v>0.85523504035095599</v>
      </c>
      <c r="I377" s="366">
        <v>0.80426403790439904</v>
      </c>
      <c r="J377" s="367">
        <v>0.76599277522709597</v>
      </c>
      <c r="K377" s="361">
        <f t="shared" si="170"/>
        <v>1.0310104044642743E-3</v>
      </c>
      <c r="L377" s="362">
        <f t="shared" si="170"/>
        <v>9.7957636275321854E-4</v>
      </c>
      <c r="M377" s="362">
        <f t="shared" si="170"/>
        <v>9.5624349927559511E-4</v>
      </c>
      <c r="N377" s="362">
        <f t="shared" si="170"/>
        <v>9.1725989276439292E-4</v>
      </c>
      <c r="O377" s="362">
        <f t="shared" si="170"/>
        <v>8.6259228206986792E-4</v>
      </c>
      <c r="P377" s="363">
        <f t="shared" si="170"/>
        <v>8.2154544389900048E-4</v>
      </c>
      <c r="Q377" s="273">
        <v>77.004629629629648</v>
      </c>
      <c r="R377" s="273">
        <v>72.7951388888889</v>
      </c>
      <c r="S377" s="273">
        <v>66.182057273201607</v>
      </c>
      <c r="T377" s="273">
        <v>63.839252563931431</v>
      </c>
      <c r="U377" s="273">
        <v>63.839252563931431</v>
      </c>
      <c r="V377" s="273">
        <f>+E377*C377</f>
        <v>63.839252563931431</v>
      </c>
      <c r="W377" s="273">
        <f t="shared" si="171"/>
        <v>60.654502182210479</v>
      </c>
      <c r="X377" s="273">
        <f t="shared" si="171"/>
        <v>59.20975190797661</v>
      </c>
      <c r="Y377" s="273">
        <f t="shared" si="171"/>
        <v>56.79592146441798</v>
      </c>
      <c r="Z377" s="273">
        <f t="shared" si="171"/>
        <v>53.41095135055393</v>
      </c>
      <c r="AA377" s="273">
        <f t="shared" si="171"/>
        <v>50.869367427060531</v>
      </c>
      <c r="AB377" s="100">
        <v>788</v>
      </c>
      <c r="AC377" s="101" t="s">
        <v>125</v>
      </c>
      <c r="AD377" s="159"/>
      <c r="AE377" s="159"/>
      <c r="AF377" s="164"/>
      <c r="AG377" s="164"/>
      <c r="AH377" s="164"/>
      <c r="AI377" s="164">
        <v>1858643.4668422823</v>
      </c>
      <c r="AJ377" s="165">
        <v>1680875.2059754988</v>
      </c>
      <c r="AK377" s="165">
        <v>1666526.9010242396</v>
      </c>
      <c r="AL377" s="165">
        <v>1625389.9179767198</v>
      </c>
      <c r="AM377" s="165">
        <v>1558946.4030767498</v>
      </c>
      <c r="AN377" s="166">
        <v>1525482.4373902096</v>
      </c>
    </row>
    <row r="379" spans="1:40" x14ac:dyDescent="0.35">
      <c r="A379" s="46">
        <v>1685</v>
      </c>
      <c r="B379" s="240" t="s">
        <v>172</v>
      </c>
      <c r="C379" s="364">
        <v>75.3333333333333</v>
      </c>
      <c r="D379" s="365">
        <v>1.13704158403617E-3</v>
      </c>
      <c r="E379" s="191">
        <v>0.89422443044236299</v>
      </c>
      <c r="F379" s="191">
        <v>0.81036403327628603</v>
      </c>
      <c r="G379" s="191">
        <v>0.74522685374021502</v>
      </c>
      <c r="H379" s="191">
        <v>0.70671144587884405</v>
      </c>
      <c r="I379" s="191">
        <v>0.63563060714368202</v>
      </c>
      <c r="J379" s="191">
        <v>0.57125833350559196</v>
      </c>
      <c r="K379" s="361">
        <f t="shared" ref="K379:P380" si="172">$D379*E379</f>
        <v>1.0167703628740264E-3</v>
      </c>
      <c r="L379" s="362">
        <f t="shared" si="172"/>
        <v>9.2141760404240789E-4</v>
      </c>
      <c r="M379" s="362">
        <f t="shared" si="172"/>
        <v>8.4735392224306524E-4</v>
      </c>
      <c r="N379" s="362">
        <f t="shared" si="172"/>
        <v>8.0356030187857285E-4</v>
      </c>
      <c r="O379" s="362">
        <f t="shared" si="172"/>
        <v>7.2273843240852468E-4</v>
      </c>
      <c r="P379" s="363">
        <f t="shared" si="172"/>
        <v>6.4954448042306098E-4</v>
      </c>
      <c r="Q379" s="273">
        <v>91.092592592592567</v>
      </c>
      <c r="R379" s="273">
        <v>85.328703703703695</v>
      </c>
      <c r="S379" s="273">
        <v>76.917349000263428</v>
      </c>
      <c r="T379" s="273">
        <v>73.368189185673714</v>
      </c>
      <c r="U379" s="273">
        <v>67.364907093324646</v>
      </c>
      <c r="V379" s="273">
        <f>+E379*C379</f>
        <v>67.364907093324646</v>
      </c>
      <c r="W379" s="273">
        <f t="shared" ref="W379:AA380" si="173">+F379*$C379</f>
        <v>61.047423840146855</v>
      </c>
      <c r="X379" s="273">
        <f t="shared" si="173"/>
        <v>56.140422981762839</v>
      </c>
      <c r="Y379" s="273">
        <f t="shared" si="173"/>
        <v>53.238928922872894</v>
      </c>
      <c r="Z379" s="273">
        <f t="shared" si="173"/>
        <v>47.884172404824028</v>
      </c>
      <c r="AA379" s="273">
        <f t="shared" si="173"/>
        <v>43.034794457421242</v>
      </c>
      <c r="AB379" s="100">
        <v>1685</v>
      </c>
      <c r="AC379" s="101" t="s">
        <v>172</v>
      </c>
      <c r="AD379" s="159"/>
      <c r="AE379" s="159"/>
      <c r="AF379" s="164"/>
      <c r="AG379" s="164"/>
      <c r="AH379" s="164"/>
      <c r="AI379" s="159">
        <f t="shared" ref="AI379:AI380" si="174">+V379*AI$8</f>
        <v>2048092.687357292</v>
      </c>
      <c r="AJ379" s="159">
        <f t="shared" ref="AJ379:AN380" si="175">+W379*AJ$8</f>
        <v>1876837.6553932857</v>
      </c>
      <c r="AK379" s="159">
        <f t="shared" si="175"/>
        <v>1759994.749091028</v>
      </c>
      <c r="AL379" s="159">
        <f t="shared" si="175"/>
        <v>1714705.1364234588</v>
      </c>
      <c r="AM379" s="159">
        <f t="shared" si="175"/>
        <v>1588475.4511442669</v>
      </c>
      <c r="AN379" s="159">
        <f t="shared" si="175"/>
        <v>1473028.9396236537</v>
      </c>
    </row>
    <row r="380" spans="1:40" x14ac:dyDescent="0.35">
      <c r="A380" s="46">
        <v>856</v>
      </c>
      <c r="B380" s="240" t="s">
        <v>301</v>
      </c>
      <c r="C380" s="364">
        <v>275.777777777778</v>
      </c>
      <c r="D380" s="365">
        <v>4.1624442648639497E-3</v>
      </c>
      <c r="E380" s="191">
        <v>0.93522357755478303</v>
      </c>
      <c r="F380" s="191">
        <v>0.88373571838602305</v>
      </c>
      <c r="G380" s="191">
        <v>0.83160451267181301</v>
      </c>
      <c r="H380" s="191">
        <v>0.77509959634342496</v>
      </c>
      <c r="I380" s="191">
        <v>0.728914399437534</v>
      </c>
      <c r="J380" s="191">
        <v>0.67836079675707694</v>
      </c>
      <c r="K380" s="361">
        <f t="shared" si="172"/>
        <v>3.8928160167584517E-3</v>
      </c>
      <c r="L380" s="362">
        <f t="shared" si="172"/>
        <v>3.6785006726513243E-3</v>
      </c>
      <c r="M380" s="362">
        <f t="shared" si="172"/>
        <v>3.4615074344057678E-3</v>
      </c>
      <c r="N380" s="362">
        <f t="shared" si="172"/>
        <v>3.2263088694980515E-3</v>
      </c>
      <c r="O380" s="362">
        <f t="shared" si="172"/>
        <v>3.0340655615155136E-3</v>
      </c>
      <c r="P380" s="363">
        <f t="shared" si="172"/>
        <v>2.8236390079700345E-3</v>
      </c>
      <c r="Q380" s="273">
        <v>329.3644036172692</v>
      </c>
      <c r="R380" s="273">
        <v>313.1456960232054</v>
      </c>
      <c r="S380" s="273">
        <v>295.29526765788773</v>
      </c>
      <c r="T380" s="273">
        <v>276.27249123934712</v>
      </c>
      <c r="U380" s="273">
        <v>257.91387994344149</v>
      </c>
      <c r="V380" s="273">
        <f>+E380*C380</f>
        <v>257.91387994344149</v>
      </c>
      <c r="W380" s="273">
        <f t="shared" si="173"/>
        <v>243.71467255934567</v>
      </c>
      <c r="X380" s="273">
        <f t="shared" si="173"/>
        <v>229.33804449460462</v>
      </c>
      <c r="Y380" s="273">
        <f t="shared" si="173"/>
        <v>213.75524423604247</v>
      </c>
      <c r="Z380" s="273">
        <f t="shared" si="173"/>
        <v>201.01839326710677</v>
      </c>
      <c r="AA380" s="273">
        <f t="shared" si="173"/>
        <v>187.07683306122959</v>
      </c>
      <c r="AB380" s="100">
        <v>856</v>
      </c>
      <c r="AC380" s="101" t="s">
        <v>301</v>
      </c>
      <c r="AD380" s="159"/>
      <c r="AE380" s="159"/>
      <c r="AF380" s="164"/>
      <c r="AG380" s="164"/>
      <c r="AH380" s="164"/>
      <c r="AI380" s="159">
        <f t="shared" si="174"/>
        <v>7841345.8026197264</v>
      </c>
      <c r="AJ380" s="159">
        <f t="shared" si="175"/>
        <v>7492746.5543667134</v>
      </c>
      <c r="AK380" s="159">
        <f t="shared" si="175"/>
        <v>7189717.010298064</v>
      </c>
      <c r="AL380" s="159">
        <f t="shared" si="175"/>
        <v>6884571.5465083839</v>
      </c>
      <c r="AM380" s="159">
        <f t="shared" si="175"/>
        <v>6668441.0922615072</v>
      </c>
      <c r="AN380" s="159">
        <f t="shared" si="175"/>
        <v>6403413.6216215389</v>
      </c>
    </row>
    <row r="382" spans="1:40" x14ac:dyDescent="0.35">
      <c r="A382" s="46">
        <v>756</v>
      </c>
      <c r="B382" s="240" t="s">
        <v>58</v>
      </c>
      <c r="C382" s="364">
        <v>156.93981481481501</v>
      </c>
      <c r="D382" s="365">
        <v>2.3687667562218499E-3</v>
      </c>
      <c r="E382" s="191">
        <v>0.95829921631224502</v>
      </c>
      <c r="F382" s="191">
        <v>0.90774047762627097</v>
      </c>
      <c r="G382" s="191">
        <v>0.875878135634378</v>
      </c>
      <c r="H382" s="191">
        <v>0.83059170950883598</v>
      </c>
      <c r="I382" s="191">
        <v>0.76563218118254805</v>
      </c>
      <c r="J382" s="191">
        <v>0.69684305880217801</v>
      </c>
      <c r="K382" s="361">
        <f t="shared" ref="K382:P386" si="176">$D382*E382</f>
        <v>2.2699873261138974E-3</v>
      </c>
      <c r="L382" s="362">
        <f t="shared" si="176"/>
        <v>2.1502254666780547E-3</v>
      </c>
      <c r="M382" s="362">
        <f t="shared" si="176"/>
        <v>2.0747510101922872E-3</v>
      </c>
      <c r="N382" s="362">
        <f t="shared" si="176"/>
        <v>1.9674780294780063E-3</v>
      </c>
      <c r="O382" s="362">
        <f t="shared" si="176"/>
        <v>1.8136040582788441E-3</v>
      </c>
      <c r="P382" s="363">
        <f t="shared" si="176"/>
        <v>1.650658671994547E-3</v>
      </c>
      <c r="Q382" s="273">
        <v>190.33871536342446</v>
      </c>
      <c r="R382" s="273">
        <v>180.62510618395345</v>
      </c>
      <c r="S382" s="273">
        <v>169.12309531499733</v>
      </c>
      <c r="T382" s="273">
        <v>155.9543465910678</v>
      </c>
      <c r="U382" s="273">
        <v>150.39530154522609</v>
      </c>
      <c r="V382" s="273">
        <f>+E382*C382</f>
        <v>150.39530154522609</v>
      </c>
      <c r="W382" s="273">
        <f t="shared" ref="W382:AA386" si="177">+F382*$C382</f>
        <v>142.46062245857868</v>
      </c>
      <c r="X382" s="273">
        <f t="shared" si="177"/>
        <v>137.4601524068047</v>
      </c>
      <c r="Y382" s="273">
        <f t="shared" si="177"/>
        <v>130.35290907703734</v>
      </c>
      <c r="Z382" s="273">
        <f t="shared" si="177"/>
        <v>120.15817273105199</v>
      </c>
      <c r="AA382" s="273">
        <f t="shared" si="177"/>
        <v>109.36242060340307</v>
      </c>
      <c r="AB382" s="100">
        <v>756</v>
      </c>
      <c r="AC382" s="101" t="s">
        <v>58</v>
      </c>
      <c r="AD382" s="159"/>
      <c r="AE382" s="159"/>
      <c r="AF382" s="164"/>
      <c r="AG382" s="164"/>
      <c r="AH382" s="164"/>
      <c r="AI382" s="159">
        <f t="shared" ref="AI382:AI386" si="178">+V382*AI$8</f>
        <v>4572462.5862090029</v>
      </c>
      <c r="AJ382" s="159">
        <f t="shared" ref="AJ382:AN386" si="179">+W382*AJ$8</f>
        <v>4379799.2416707305</v>
      </c>
      <c r="AK382" s="159">
        <f t="shared" si="179"/>
        <v>4309357.3862779615</v>
      </c>
      <c r="AL382" s="159">
        <f t="shared" si="179"/>
        <v>4198371.5161877936</v>
      </c>
      <c r="AM382" s="159">
        <f t="shared" si="179"/>
        <v>3986041.6929415236</v>
      </c>
      <c r="AN382" s="159">
        <f t="shared" si="179"/>
        <v>3743343.3222387931</v>
      </c>
    </row>
    <row r="383" spans="1:40" x14ac:dyDescent="0.35">
      <c r="A383" s="46">
        <v>1684</v>
      </c>
      <c r="B383" s="240" t="s">
        <v>72</v>
      </c>
      <c r="C383" s="364">
        <v>179.972222222222</v>
      </c>
      <c r="D383" s="365">
        <v>2.7164057606822701E-3</v>
      </c>
      <c r="E383" s="191">
        <v>0.95415681390430396</v>
      </c>
      <c r="F383" s="191">
        <v>0.91136868637157298</v>
      </c>
      <c r="G383" s="191">
        <v>0.87443825573701806</v>
      </c>
      <c r="H383" s="191">
        <v>0.82558953214883302</v>
      </c>
      <c r="I383" s="191">
        <v>0.76504752239432505</v>
      </c>
      <c r="J383" s="191">
        <v>0.72856231485563305</v>
      </c>
      <c r="K383" s="361">
        <f t="shared" si="176"/>
        <v>2.5918770658838919E-3</v>
      </c>
      <c r="L383" s="362">
        <f t="shared" si="176"/>
        <v>2.4756471497651739E-3</v>
      </c>
      <c r="M383" s="362">
        <f t="shared" si="176"/>
        <v>2.3753291152449917E-3</v>
      </c>
      <c r="N383" s="362">
        <f t="shared" si="176"/>
        <v>2.2426361610880701E-3</v>
      </c>
      <c r="O383" s="362">
        <f t="shared" si="176"/>
        <v>2.0781794970276424E-3</v>
      </c>
      <c r="P383" s="363">
        <f t="shared" si="176"/>
        <v>1.9790708690898516E-3</v>
      </c>
      <c r="Q383" s="273">
        <v>223.21750532394853</v>
      </c>
      <c r="R383" s="273">
        <v>206.91586634184335</v>
      </c>
      <c r="S383" s="273">
        <v>191.20834285015482</v>
      </c>
      <c r="T383" s="273">
        <v>180.6504924217268</v>
      </c>
      <c r="U383" s="273">
        <v>171.72172214683272</v>
      </c>
      <c r="V383" s="273">
        <f>+E383*C383</f>
        <v>171.72172214683272</v>
      </c>
      <c r="W383" s="273">
        <f t="shared" si="177"/>
        <v>164.02104775003929</v>
      </c>
      <c r="X383" s="273">
        <f t="shared" si="177"/>
        <v>157.37459608111482</v>
      </c>
      <c r="Y383" s="273">
        <f t="shared" si="177"/>
        <v>148.58318274423007</v>
      </c>
      <c r="Z383" s="273">
        <f t="shared" si="177"/>
        <v>137.68730271091184</v>
      </c>
      <c r="AA383" s="273">
        <f t="shared" si="177"/>
        <v>131.12097883193448</v>
      </c>
      <c r="AB383" s="100">
        <v>1684</v>
      </c>
      <c r="AC383" s="101" t="s">
        <v>72</v>
      </c>
      <c r="AD383" s="159"/>
      <c r="AE383" s="159"/>
      <c r="AF383" s="164"/>
      <c r="AG383" s="164"/>
      <c r="AH383" s="164"/>
      <c r="AI383" s="159">
        <f t="shared" si="178"/>
        <v>5220848.9340317054</v>
      </c>
      <c r="AJ383" s="159">
        <f t="shared" si="179"/>
        <v>5042651.4229399357</v>
      </c>
      <c r="AK383" s="159">
        <f t="shared" si="179"/>
        <v>4933672.5309864469</v>
      </c>
      <c r="AL383" s="159">
        <f t="shared" si="179"/>
        <v>4785527.2784839571</v>
      </c>
      <c r="AM383" s="159">
        <f t="shared" si="179"/>
        <v>4567540.5735636977</v>
      </c>
      <c r="AN383" s="159">
        <f t="shared" si="179"/>
        <v>4488112.4412553711</v>
      </c>
    </row>
    <row r="384" spans="1:40" x14ac:dyDescent="0.35">
      <c r="A384" s="46">
        <v>786</v>
      </c>
      <c r="B384" s="240" t="s">
        <v>121</v>
      </c>
      <c r="C384" s="364">
        <v>56.525462962962997</v>
      </c>
      <c r="D384" s="365">
        <v>8.53165512554668E-4</v>
      </c>
      <c r="E384" s="191">
        <v>0.94047818170962105</v>
      </c>
      <c r="F384" s="191">
        <v>0.85582846886617203</v>
      </c>
      <c r="G384" s="191">
        <v>0.812429978758478</v>
      </c>
      <c r="H384" s="191">
        <v>0.76361532230454399</v>
      </c>
      <c r="I384" s="191">
        <v>0.68690320129531302</v>
      </c>
      <c r="J384" s="191">
        <v>0.617034683571137</v>
      </c>
      <c r="K384" s="361">
        <f t="shared" si="176"/>
        <v>8.0238354994477108E-4</v>
      </c>
      <c r="L384" s="362">
        <f t="shared" si="176"/>
        <v>7.3016333429908444E-4</v>
      </c>
      <c r="M384" s="362">
        <f t="shared" si="176"/>
        <v>6.9313723924225494E-4</v>
      </c>
      <c r="N384" s="362">
        <f t="shared" si="176"/>
        <v>6.5149025784855426E-4</v>
      </c>
      <c r="O384" s="362">
        <f t="shared" si="176"/>
        <v>5.8604212180855797E-4</v>
      </c>
      <c r="P384" s="363">
        <f t="shared" si="176"/>
        <v>5.264327120729765E-4</v>
      </c>
      <c r="Q384" s="273">
        <v>78.078703703703681</v>
      </c>
      <c r="R384" s="273">
        <v>73.759259259259196</v>
      </c>
      <c r="S384" s="273">
        <v>64.004508120159102</v>
      </c>
      <c r="T384" s="273">
        <v>59.616549347351672</v>
      </c>
      <c r="U384" s="273">
        <v>53.160964627701972</v>
      </c>
      <c r="V384" s="273">
        <f>+E384*C384</f>
        <v>53.160964627701972</v>
      </c>
      <c r="W384" s="273">
        <f t="shared" si="177"/>
        <v>48.376100419544137</v>
      </c>
      <c r="X384" s="273">
        <f t="shared" si="177"/>
        <v>45.922980674313166</v>
      </c>
      <c r="Y384" s="273">
        <f t="shared" si="177"/>
        <v>43.163709618876553</v>
      </c>
      <c r="Z384" s="273">
        <f t="shared" si="177"/>
        <v>38.827521463958931</v>
      </c>
      <c r="AA384" s="273">
        <f t="shared" si="177"/>
        <v>34.878171153063896</v>
      </c>
      <c r="AB384" s="100">
        <v>786</v>
      </c>
      <c r="AC384" s="101" t="s">
        <v>121</v>
      </c>
      <c r="AD384" s="159"/>
      <c r="AE384" s="159"/>
      <c r="AF384" s="164"/>
      <c r="AG384" s="164"/>
      <c r="AH384" s="164"/>
      <c r="AI384" s="159">
        <f t="shared" si="178"/>
        <v>1616250.7692027253</v>
      </c>
      <c r="AJ384" s="159">
        <f t="shared" si="179"/>
        <v>1487271.3896368891</v>
      </c>
      <c r="AK384" s="159">
        <f t="shared" si="179"/>
        <v>1439679.2998096147</v>
      </c>
      <c r="AL384" s="159">
        <f t="shared" si="179"/>
        <v>1390205.1767006954</v>
      </c>
      <c r="AM384" s="159">
        <f t="shared" si="179"/>
        <v>1288036.5594052188</v>
      </c>
      <c r="AN384" s="159">
        <f t="shared" si="179"/>
        <v>1193837.5939135049</v>
      </c>
    </row>
    <row r="385" spans="1:1030" x14ac:dyDescent="0.35">
      <c r="A385" s="46">
        <v>815</v>
      </c>
      <c r="B385" s="240" t="s">
        <v>204</v>
      </c>
      <c r="C385" s="364">
        <v>85.667824074074105</v>
      </c>
      <c r="D385" s="365">
        <v>1.2930249343289799E-3</v>
      </c>
      <c r="E385" s="191">
        <v>0.96495794021672499</v>
      </c>
      <c r="F385" s="191">
        <v>0.926515455551294</v>
      </c>
      <c r="G385" s="191">
        <v>0.88580288879640801</v>
      </c>
      <c r="H385" s="191">
        <v>0.849684674436465</v>
      </c>
      <c r="I385" s="191">
        <v>0.75740492932953396</v>
      </c>
      <c r="J385" s="191">
        <v>0.71822497742383795</v>
      </c>
      <c r="K385" s="361">
        <f t="shared" si="176"/>
        <v>1.2477146772789584E-3</v>
      </c>
      <c r="L385" s="362">
        <f t="shared" si="176"/>
        <v>1.1980075860689968E-3</v>
      </c>
      <c r="M385" s="362">
        <f t="shared" si="176"/>
        <v>1.1453652221143961E-3</v>
      </c>
      <c r="N385" s="362">
        <f t="shared" si="176"/>
        <v>1.0986634703635508E-3</v>
      </c>
      <c r="O385" s="362">
        <f t="shared" si="176"/>
        <v>9.7934345900676633E-4</v>
      </c>
      <c r="P385" s="363">
        <f t="shared" si="176"/>
        <v>9.2868280426689116E-4</v>
      </c>
      <c r="Q385" s="273">
        <v>101.65870134142142</v>
      </c>
      <c r="R385" s="273">
        <v>99.166676307627512</v>
      </c>
      <c r="S385" s="273">
        <v>95.327797499081356</v>
      </c>
      <c r="T385" s="273">
        <v>88.707042513708771</v>
      </c>
      <c r="U385" s="273">
        <v>82.665847061367316</v>
      </c>
      <c r="V385" s="273">
        <f>+E385*C385</f>
        <v>82.665847061367316</v>
      </c>
      <c r="W385" s="273">
        <f t="shared" si="177"/>
        <v>79.372563048078874</v>
      </c>
      <c r="X385" s="273">
        <f t="shared" si="177"/>
        <v>75.884806041717312</v>
      </c>
      <c r="Y385" s="273">
        <f t="shared" si="177"/>
        <v>72.790637208060019</v>
      </c>
      <c r="Z385" s="273">
        <f t="shared" si="177"/>
        <v>64.885232238639048</v>
      </c>
      <c r="AA385" s="273">
        <f t="shared" si="177"/>
        <v>61.528771011551193</v>
      </c>
      <c r="AB385" s="100">
        <v>815</v>
      </c>
      <c r="AC385" s="101" t="s">
        <v>204</v>
      </c>
      <c r="AD385" s="159"/>
      <c r="AE385" s="159"/>
      <c r="AF385" s="164"/>
      <c r="AG385" s="164"/>
      <c r="AH385" s="164"/>
      <c r="AI385" s="159">
        <f t="shared" si="178"/>
        <v>2513286.5785152959</v>
      </c>
      <c r="AJ385" s="159">
        <f t="shared" si="179"/>
        <v>2440224.4314811653</v>
      </c>
      <c r="AK385" s="159">
        <f t="shared" si="179"/>
        <v>2378978.5162929641</v>
      </c>
      <c r="AL385" s="159">
        <f t="shared" si="179"/>
        <v>2344421.3102974985</v>
      </c>
      <c r="AM385" s="159">
        <f t="shared" si="179"/>
        <v>2152456.5086247409</v>
      </c>
      <c r="AN385" s="159">
        <f t="shared" si="179"/>
        <v>2106055.3782629324</v>
      </c>
    </row>
    <row r="386" spans="1:1030" x14ac:dyDescent="0.35">
      <c r="A386" s="46">
        <v>1702</v>
      </c>
      <c r="B386" s="240" t="s">
        <v>686</v>
      </c>
      <c r="C386" s="364">
        <v>49.6892361111111</v>
      </c>
      <c r="D386" s="365">
        <v>7.49983111557409E-4</v>
      </c>
      <c r="E386" s="191">
        <v>0.91661284064794302</v>
      </c>
      <c r="F386" s="191">
        <v>0.805905930902446</v>
      </c>
      <c r="G386" s="191">
        <v>0.78675969189824702</v>
      </c>
      <c r="H386" s="191">
        <v>0.68234491604177205</v>
      </c>
      <c r="I386" s="191">
        <v>0.65653330008653699</v>
      </c>
      <c r="J386" s="191">
        <v>0.62390244571930098</v>
      </c>
      <c r="K386" s="361">
        <f t="shared" si="176"/>
        <v>6.8744415032261986E-4</v>
      </c>
      <c r="L386" s="362">
        <f t="shared" si="176"/>
        <v>6.0441583768078668E-4</v>
      </c>
      <c r="M386" s="362">
        <f t="shared" si="176"/>
        <v>5.9005648177779576E-4</v>
      </c>
      <c r="N386" s="362">
        <f t="shared" si="176"/>
        <v>5.1174716328838716E-4</v>
      </c>
      <c r="O386" s="362">
        <f t="shared" si="176"/>
        <v>4.9238888723995519E-4</v>
      </c>
      <c r="P386" s="363">
        <f t="shared" si="176"/>
        <v>4.6791629754883884E-4</v>
      </c>
      <c r="Q386" s="273">
        <v>59.743055555555557</v>
      </c>
      <c r="R386" s="273">
        <v>57.3263888888889</v>
      </c>
      <c r="S386" s="273">
        <v>50.329989303321504</v>
      </c>
      <c r="T386" s="273">
        <v>47.332872988195625</v>
      </c>
      <c r="U386" s="273">
        <v>45.545791861431894</v>
      </c>
      <c r="V386" s="273">
        <f>+E386*C386</f>
        <v>45.545791861431894</v>
      </c>
      <c r="W386" s="273">
        <f t="shared" si="177"/>
        <v>40.044850083956426</v>
      </c>
      <c r="X386" s="273">
        <f t="shared" si="177"/>
        <v>39.093488093437017</v>
      </c>
      <c r="Y386" s="273">
        <f t="shared" si="177"/>
        <v>33.905197642415892</v>
      </c>
      <c r="Z386" s="273">
        <f t="shared" si="177"/>
        <v>32.622638162806894</v>
      </c>
      <c r="AA386" s="273">
        <f t="shared" si="177"/>
        <v>31.001235935646022</v>
      </c>
      <c r="AB386" s="100">
        <v>1702</v>
      </c>
      <c r="AC386" s="101" t="s">
        <v>686</v>
      </c>
      <c r="AD386" s="159"/>
      <c r="AE386" s="159"/>
      <c r="AF386" s="164"/>
      <c r="AG386" s="164"/>
      <c r="AH386" s="164"/>
      <c r="AI386" s="159">
        <f t="shared" si="178"/>
        <v>1384726.9635815986</v>
      </c>
      <c r="AJ386" s="159">
        <f t="shared" si="179"/>
        <v>1231136.0220367261</v>
      </c>
      <c r="AK386" s="159">
        <f t="shared" si="179"/>
        <v>1225575.6211607596</v>
      </c>
      <c r="AL386" s="159">
        <f t="shared" si="179"/>
        <v>1092009.5074250388</v>
      </c>
      <c r="AM386" s="159">
        <f t="shared" si="179"/>
        <v>1082200.1774423544</v>
      </c>
      <c r="AN386" s="159">
        <f t="shared" si="179"/>
        <v>1061134.7927428621</v>
      </c>
    </row>
    <row r="388" spans="1:1030" x14ac:dyDescent="0.35">
      <c r="A388" s="46">
        <v>398</v>
      </c>
      <c r="B388" s="240" t="s">
        <v>138</v>
      </c>
      <c r="C388" s="364">
        <v>128.15509259259301</v>
      </c>
      <c r="D388" s="365">
        <v>1.9343053471298601E-3</v>
      </c>
      <c r="E388" s="191">
        <v>0.96902601631666496</v>
      </c>
      <c r="F388" s="191">
        <v>0.939177550956111</v>
      </c>
      <c r="G388" s="191">
        <v>0.89770945692689097</v>
      </c>
      <c r="H388" s="191">
        <v>0.87628288987755998</v>
      </c>
      <c r="I388" s="191">
        <v>0.82504999657820999</v>
      </c>
      <c r="J388" s="191">
        <v>0.78899827458209704</v>
      </c>
      <c r="K388" s="361">
        <f t="shared" ref="K388:P389" si="180">$D388*E388</f>
        <v>1.8743922048692721E-3</v>
      </c>
      <c r="L388" s="362">
        <f t="shared" si="180"/>
        <v>1.8166561587187322E-3</v>
      </c>
      <c r="M388" s="362">
        <f t="shared" si="180"/>
        <v>1.736444202702728E-3</v>
      </c>
      <c r="N388" s="362">
        <f t="shared" si="180"/>
        <v>1.6949986794885707E-3</v>
      </c>
      <c r="O388" s="362">
        <f t="shared" si="180"/>
        <v>1.5958986200307044E-3</v>
      </c>
      <c r="P388" s="363">
        <f t="shared" si="180"/>
        <v>1.5261635814003839E-3</v>
      </c>
      <c r="Q388" s="273">
        <v>159.73267898874388</v>
      </c>
      <c r="R388" s="273">
        <v>153.20715244683092</v>
      </c>
      <c r="S388" s="273">
        <v>148.60440807679919</v>
      </c>
      <c r="T388" s="273">
        <v>135.45186338107783</v>
      </c>
      <c r="U388" s="273">
        <v>124.18561884569374</v>
      </c>
      <c r="V388" s="273">
        <f>+E388*C388</f>
        <v>124.18561884569374</v>
      </c>
      <c r="W388" s="273">
        <f t="shared" ref="W388:AA389" si="181">+F388*$C388</f>
        <v>120.36038600366514</v>
      </c>
      <c r="X388" s="273">
        <f t="shared" si="181"/>
        <v>115.0460385737121</v>
      </c>
      <c r="Y388" s="273">
        <f t="shared" si="181"/>
        <v>112.30011488956369</v>
      </c>
      <c r="Z388" s="273">
        <f t="shared" si="181"/>
        <v>105.73435870499904</v>
      </c>
      <c r="AA388" s="273">
        <f t="shared" si="181"/>
        <v>101.11414693446477</v>
      </c>
      <c r="AB388" s="100">
        <v>398</v>
      </c>
      <c r="AC388" s="101" t="s">
        <v>138</v>
      </c>
      <c r="AD388" s="159"/>
      <c r="AE388" s="159"/>
      <c r="AF388" s="164"/>
      <c r="AG388" s="164"/>
      <c r="AH388" s="164"/>
      <c r="AI388" s="159">
        <f t="shared" ref="AI388:AI389" si="182">+V388*AI$8</f>
        <v>3775610.6080640433</v>
      </c>
      <c r="AJ388" s="159">
        <f t="shared" ref="AJ388:AN389" si="183">+W388*AJ$8</f>
        <v>3700351.1443965677</v>
      </c>
      <c r="AK388" s="159">
        <f t="shared" si="183"/>
        <v>3606677.9165385468</v>
      </c>
      <c r="AL388" s="159">
        <f t="shared" si="183"/>
        <v>3616931.9653489441</v>
      </c>
      <c r="AM388" s="159">
        <f t="shared" si="183"/>
        <v>3507556.3533902182</v>
      </c>
      <c r="AN388" s="159">
        <f t="shared" si="183"/>
        <v>3461014.8954514158</v>
      </c>
    </row>
    <row r="389" spans="1:1030" x14ac:dyDescent="0.35">
      <c r="A389" s="46">
        <v>416</v>
      </c>
      <c r="B389" s="240" t="s">
        <v>175</v>
      </c>
      <c r="C389" s="364">
        <v>50.824074074074097</v>
      </c>
      <c r="D389" s="365">
        <v>7.6711175697818403E-4</v>
      </c>
      <c r="E389" s="191">
        <v>0.95835189667321696</v>
      </c>
      <c r="F389" s="191">
        <v>0.936699273235992</v>
      </c>
      <c r="G389" s="191">
        <v>0.89592156248226396</v>
      </c>
      <c r="H389" s="191">
        <v>0.87523559792269201</v>
      </c>
      <c r="I389" s="191">
        <v>0.81268248665670795</v>
      </c>
      <c r="J389" s="191">
        <v>0.79372984357968401</v>
      </c>
      <c r="K389" s="361">
        <f t="shared" si="180"/>
        <v>7.3516300726036651E-4</v>
      </c>
      <c r="L389" s="362">
        <f t="shared" si="180"/>
        <v>7.1855302525224987E-4</v>
      </c>
      <c r="M389" s="362">
        <f t="shared" si="180"/>
        <v>6.8727196391040943E-4</v>
      </c>
      <c r="N389" s="362">
        <f t="shared" si="180"/>
        <v>6.7140351729232768E-4</v>
      </c>
      <c r="O389" s="362">
        <f t="shared" si="180"/>
        <v>6.2341829020462686E-4</v>
      </c>
      <c r="P389" s="363">
        <f t="shared" si="180"/>
        <v>6.088794948744306E-4</v>
      </c>
      <c r="Q389" s="273">
        <v>55.634259259259245</v>
      </c>
      <c r="R389" s="273">
        <v>55.5</v>
      </c>
      <c r="S389" s="273">
        <v>52.939736516072614</v>
      </c>
      <c r="T389" s="273">
        <v>49.628766503890823</v>
      </c>
      <c r="U389" s="273">
        <v>48.707347785548983</v>
      </c>
      <c r="V389" s="273">
        <f>+E389*C389</f>
        <v>48.707347785548983</v>
      </c>
      <c r="W389" s="273">
        <f t="shared" si="181"/>
        <v>47.606873248077427</v>
      </c>
      <c r="X389" s="273">
        <f t="shared" si="181"/>
        <v>45.53438385615879</v>
      </c>
      <c r="Y389" s="273">
        <f t="shared" si="181"/>
        <v>44.483038861089433</v>
      </c>
      <c r="Z389" s="273">
        <f t="shared" si="181"/>
        <v>41.303834900543258</v>
      </c>
      <c r="AA389" s="273">
        <f t="shared" si="181"/>
        <v>40.340584364897104</v>
      </c>
      <c r="AB389" s="100">
        <v>416</v>
      </c>
      <c r="AC389" s="101" t="s">
        <v>175</v>
      </c>
      <c r="AD389" s="159"/>
      <c r="AE389" s="159"/>
      <c r="AF389" s="164"/>
      <c r="AG389" s="164"/>
      <c r="AH389" s="164"/>
      <c r="AI389" s="159">
        <f t="shared" si="182"/>
        <v>1480847.6271176576</v>
      </c>
      <c r="AJ389" s="159">
        <f t="shared" si="183"/>
        <v>1463622.3242030919</v>
      </c>
      <c r="AK389" s="159">
        <f t="shared" si="183"/>
        <v>1427496.8415533355</v>
      </c>
      <c r="AL389" s="159">
        <f t="shared" si="183"/>
        <v>1432697.7789003646</v>
      </c>
      <c r="AM389" s="159">
        <f t="shared" si="183"/>
        <v>1370184.0186971459</v>
      </c>
      <c r="AN389" s="159">
        <f t="shared" si="183"/>
        <v>1380809.3883105698</v>
      </c>
    </row>
    <row r="391" spans="1:1030" x14ac:dyDescent="0.35">
      <c r="A391" s="46">
        <v>439</v>
      </c>
      <c r="B391" s="240" t="s">
        <v>247</v>
      </c>
      <c r="C391" s="364">
        <f>205.634259259259</f>
        <v>205.63425925925901</v>
      </c>
      <c r="D391" s="365">
        <v>3.1037350072599698E-3</v>
      </c>
      <c r="E391" s="191">
        <v>0.96445759362792405</v>
      </c>
      <c r="F391" s="191">
        <v>0.92550468556606302</v>
      </c>
      <c r="G391" s="191">
        <v>0.86141065235511405</v>
      </c>
      <c r="H391" s="191">
        <v>0.80372500702111505</v>
      </c>
      <c r="I391" s="191">
        <v>0.76986359123951498</v>
      </c>
      <c r="J391" s="191">
        <v>0.71029780761970995</v>
      </c>
      <c r="K391" s="361">
        <f t="shared" ref="K391" si="184">$D391*E391</f>
        <v>2.993420796360698E-3</v>
      </c>
      <c r="L391" s="362">
        <f t="shared" ref="L391" si="185">$D391*F391</f>
        <v>2.8725212919745208E-3</v>
      </c>
      <c r="M391" s="362">
        <f t="shared" ref="M391" si="186">$D391*G391</f>
        <v>2.673590397341215E-3</v>
      </c>
      <c r="N391" s="362">
        <f t="shared" ref="N391" si="187">$D391*H391</f>
        <v>2.4945494405016998E-3</v>
      </c>
      <c r="O391" s="362">
        <f t="shared" ref="O391" si="188">$D391*I391</f>
        <v>2.3894525789449625E-3</v>
      </c>
      <c r="P391" s="363">
        <f t="shared" ref="P391" si="189">$D391*J391</f>
        <v>2.2045761710893009E-3</v>
      </c>
      <c r="Q391" s="273">
        <v>234.37899601802587</v>
      </c>
      <c r="R391" s="273">
        <v>234.71623732703065</v>
      </c>
      <c r="S391" s="273">
        <v>222.19215460196168</v>
      </c>
      <c r="T391" s="273">
        <v>208.08012166091771</v>
      </c>
      <c r="U391" s="273">
        <v>198.32552285264561</v>
      </c>
      <c r="V391" s="273">
        <f t="shared" ref="V391" si="190">+E391*C391</f>
        <v>198.32552285264561</v>
      </c>
      <c r="W391" s="273">
        <f t="shared" ref="W391" si="191">+F391*$C391</f>
        <v>190.31547045735078</v>
      </c>
      <c r="X391" s="273">
        <f t="shared" ref="X391" si="192">+G391*$C391</f>
        <v>177.13554141507896</v>
      </c>
      <c r="Y391" s="273">
        <f t="shared" ref="Y391" si="193">+H391*$C391</f>
        <v>165.27339646692974</v>
      </c>
      <c r="Z391" s="273">
        <f t="shared" ref="Z391" si="194">+I391*$C391</f>
        <v>158.31032931521062</v>
      </c>
      <c r="AA391" s="273">
        <f t="shared" ref="AA391" si="195">+J391*$C391</f>
        <v>146.06156352335472</v>
      </c>
      <c r="AB391" s="100">
        <v>439</v>
      </c>
      <c r="AC391" s="101" t="s">
        <v>247</v>
      </c>
      <c r="AD391" s="159"/>
      <c r="AE391" s="159"/>
      <c r="AF391" s="164"/>
      <c r="AG391" s="164"/>
      <c r="AH391" s="164"/>
      <c r="AI391" s="159">
        <f t="shared" ref="AI391" si="196">+V391*AI$8</f>
        <v>6029683.2668097783</v>
      </c>
      <c r="AJ391" s="159">
        <f t="shared" ref="AJ391:AN392" si="197">+W391*AJ$8</f>
        <v>5851045.2839673031</v>
      </c>
      <c r="AK391" s="159">
        <f t="shared" si="197"/>
        <v>5553175.5232626135</v>
      </c>
      <c r="AL391" s="159">
        <f t="shared" si="197"/>
        <v>5323081.2033530762</v>
      </c>
      <c r="AM391" s="159">
        <f t="shared" si="197"/>
        <v>5251674.1785526276</v>
      </c>
      <c r="AN391" s="159">
        <f t="shared" si="197"/>
        <v>4999510.5762490183</v>
      </c>
    </row>
    <row r="392" spans="1:1030" x14ac:dyDescent="0.35">
      <c r="A392" s="248">
        <v>370</v>
      </c>
      <c r="B392" s="249" t="s">
        <v>38</v>
      </c>
      <c r="C392" s="369"/>
      <c r="D392" s="371"/>
      <c r="E392" s="370"/>
      <c r="F392" s="237"/>
      <c r="G392" s="237"/>
      <c r="H392" s="237"/>
      <c r="I392" s="237"/>
      <c r="J392" s="237"/>
      <c r="K392" s="238"/>
      <c r="L392" s="238"/>
      <c r="M392" s="238"/>
      <c r="N392" s="238"/>
      <c r="O392" s="238"/>
      <c r="P392" s="239"/>
      <c r="Q392" s="273">
        <v>15.175925925925924</v>
      </c>
      <c r="R392" s="273">
        <v>0.25</v>
      </c>
      <c r="S392" s="273"/>
      <c r="T392" s="273"/>
      <c r="U392" s="273"/>
      <c r="V392" s="273"/>
      <c r="W392" s="273"/>
      <c r="X392" s="273"/>
      <c r="Y392" s="273"/>
      <c r="Z392" s="273"/>
      <c r="AA392" s="273"/>
      <c r="AB392" s="100"/>
      <c r="AC392" s="101"/>
      <c r="AD392" s="159"/>
      <c r="AE392" s="159"/>
      <c r="AF392" s="164"/>
      <c r="AG392" s="164"/>
      <c r="AH392" s="164"/>
      <c r="AI392" s="159">
        <f t="shared" ref="AI392" si="198">+V392*AI$8</f>
        <v>0</v>
      </c>
      <c r="AJ392" s="159">
        <f t="shared" si="197"/>
        <v>0</v>
      </c>
      <c r="AK392" s="159">
        <f t="shared" si="197"/>
        <v>0</v>
      </c>
      <c r="AL392" s="159">
        <f t="shared" si="197"/>
        <v>0</v>
      </c>
      <c r="AM392" s="159">
        <f t="shared" si="197"/>
        <v>0</v>
      </c>
      <c r="AN392" s="159">
        <f t="shared" si="197"/>
        <v>0</v>
      </c>
    </row>
    <row r="394" spans="1:1030" s="470" customFormat="1" x14ac:dyDescent="0.35">
      <c r="A394" s="458">
        <v>363</v>
      </c>
      <c r="B394" s="459" t="s">
        <v>26</v>
      </c>
      <c r="C394" s="471">
        <f>2585.39467592592</f>
        <v>2585.3946759259202</v>
      </c>
      <c r="D394" s="461">
        <f>3.90225830664621%</f>
        <v>3.9022583066462099E-2</v>
      </c>
      <c r="E394" s="462">
        <v>0.94391253719502499</v>
      </c>
      <c r="F394" s="462">
        <v>0.89402496297676903</v>
      </c>
      <c r="G394" s="462">
        <v>0.84378652541465704</v>
      </c>
      <c r="H394" s="462">
        <v>0.79281978668019304</v>
      </c>
      <c r="I394" s="462">
        <v>0.735187148005224</v>
      </c>
      <c r="J394" s="462">
        <v>0.681013673389949</v>
      </c>
      <c r="K394" s="463">
        <f t="shared" ref="K394:P395" si="199">$D394*E394</f>
        <v>3.6833905390167856E-2</v>
      </c>
      <c r="L394" s="464">
        <f t="shared" si="199"/>
        <v>3.4887163381251675E-2</v>
      </c>
      <c r="M394" s="464">
        <f t="shared" si="199"/>
        <v>3.2926729778354889E-2</v>
      </c>
      <c r="N394" s="464">
        <f t="shared" si="199"/>
        <v>3.0937875982462594E-2</v>
      </c>
      <c r="O394" s="464">
        <f t="shared" si="199"/>
        <v>2.868890155242922E-2</v>
      </c>
      <c r="P394" s="465">
        <f t="shared" si="199"/>
        <v>2.6574912639255776E-2</v>
      </c>
      <c r="Q394" s="472">
        <f>3181.78415107586</f>
        <v>3181.7841510758599</v>
      </c>
      <c r="R394" s="472">
        <f>2993.04047034915</f>
        <v>2993.0404703491499</v>
      </c>
      <c r="S394" s="472">
        <f>2803.11077510409</f>
        <v>2803.11077510409</v>
      </c>
      <c r="T394" s="472">
        <f>2600.18296235493</f>
        <v>2600.1829623549302</v>
      </c>
      <c r="U394" s="472">
        <v>2440.3864482037447</v>
      </c>
      <c r="V394" s="472">
        <f>+E394*C394</f>
        <v>2440.3864482037447</v>
      </c>
      <c r="W394" s="472">
        <f t="shared" ref="W394:AA395" si="200">+F394*$C394</f>
        <v>2311.4073794250066</v>
      </c>
      <c r="X394" s="472">
        <f t="shared" si="200"/>
        <v>2181.5211904250855</v>
      </c>
      <c r="Y394" s="472">
        <f t="shared" si="200"/>
        <v>2049.752055451695</v>
      </c>
      <c r="Z394" s="472">
        <f t="shared" si="200"/>
        <v>1900.7489382618676</v>
      </c>
      <c r="AA394" s="472">
        <f t="shared" si="200"/>
        <v>1760.6891254151276</v>
      </c>
      <c r="AB394" s="466">
        <v>363</v>
      </c>
      <c r="AC394" s="467" t="s">
        <v>26</v>
      </c>
      <c r="AD394" s="468"/>
      <c r="AE394" s="468"/>
      <c r="AF394" s="469"/>
      <c r="AG394" s="469"/>
      <c r="AH394" s="469"/>
      <c r="AI394" s="468">
        <f t="shared" ref="AI394:AI395" si="201">+V394*AI$8</f>
        <v>74194975.611971155</v>
      </c>
      <c r="AJ394" s="468">
        <f t="shared" ref="AJ394:AN395" si="202">+W394*AJ$8</f>
        <v>71061744.030644298</v>
      </c>
      <c r="AK394" s="468">
        <f t="shared" si="202"/>
        <v>68390397.440115571</v>
      </c>
      <c r="AL394" s="468">
        <f t="shared" si="202"/>
        <v>66017864.164197043</v>
      </c>
      <c r="AM394" s="468">
        <f t="shared" si="202"/>
        <v>63054092.314506233</v>
      </c>
      <c r="AN394" s="468">
        <f t="shared" si="202"/>
        <v>60266258.224683888</v>
      </c>
      <c r="AO394" s="460"/>
      <c r="AP394" s="460"/>
      <c r="AQ394" s="460"/>
      <c r="AR394" s="460"/>
      <c r="AS394" s="460"/>
      <c r="AT394" s="460"/>
      <c r="AU394" s="460"/>
      <c r="AV394" s="460"/>
      <c r="AW394" s="460"/>
      <c r="AX394" s="460"/>
      <c r="AY394" s="460"/>
      <c r="AZ394" s="460"/>
      <c r="BA394" s="460"/>
      <c r="BB394" s="460"/>
      <c r="BC394" s="460"/>
      <c r="BD394" s="460"/>
      <c r="BE394" s="460"/>
      <c r="BF394" s="460"/>
      <c r="BG394" s="460"/>
      <c r="BH394" s="460"/>
      <c r="BI394" s="460"/>
      <c r="BJ394" s="460"/>
      <c r="BK394" s="460"/>
      <c r="BL394" s="460"/>
      <c r="BM394" s="460"/>
      <c r="BN394" s="460"/>
      <c r="BO394" s="460"/>
      <c r="BP394" s="460"/>
      <c r="BQ394" s="460"/>
      <c r="BR394" s="460"/>
      <c r="BS394" s="460"/>
      <c r="BT394" s="460"/>
      <c r="BU394" s="460"/>
      <c r="BV394" s="460"/>
      <c r="BW394" s="460"/>
      <c r="BX394" s="460"/>
      <c r="BY394" s="460"/>
      <c r="BZ394" s="460"/>
      <c r="CA394" s="460"/>
      <c r="CB394" s="460"/>
      <c r="CC394" s="460"/>
      <c r="CD394" s="460"/>
      <c r="CE394" s="460"/>
      <c r="CF394" s="460"/>
      <c r="CG394" s="460"/>
      <c r="CH394" s="460"/>
      <c r="CI394" s="460"/>
      <c r="CJ394" s="460"/>
      <c r="CK394" s="460"/>
      <c r="CL394" s="460"/>
      <c r="CM394" s="460"/>
      <c r="CN394" s="460"/>
      <c r="CO394" s="460"/>
      <c r="CP394" s="460"/>
      <c r="CQ394" s="460"/>
      <c r="CR394" s="460"/>
      <c r="CS394" s="460"/>
      <c r="CT394" s="460"/>
      <c r="CU394" s="460"/>
      <c r="CV394" s="460"/>
      <c r="CW394" s="460"/>
      <c r="CX394" s="460"/>
      <c r="CY394" s="460"/>
      <c r="CZ394" s="460"/>
      <c r="DA394" s="460"/>
      <c r="DB394" s="460"/>
      <c r="DC394" s="460"/>
      <c r="DD394" s="460"/>
      <c r="DE394" s="460"/>
      <c r="DF394" s="460"/>
      <c r="DG394" s="460"/>
      <c r="DH394" s="460"/>
      <c r="DI394" s="460"/>
      <c r="DJ394" s="460"/>
      <c r="DK394" s="460"/>
      <c r="DL394" s="460"/>
      <c r="DM394" s="460"/>
      <c r="DN394" s="460"/>
      <c r="DO394" s="460"/>
      <c r="DP394" s="460"/>
      <c r="DQ394" s="460"/>
      <c r="DR394" s="460"/>
      <c r="DS394" s="460"/>
      <c r="DT394" s="460"/>
      <c r="DU394" s="460"/>
      <c r="DV394" s="460"/>
      <c r="DW394" s="460"/>
      <c r="DX394" s="460"/>
      <c r="DY394" s="460"/>
      <c r="DZ394" s="460"/>
      <c r="EA394" s="460"/>
      <c r="EB394" s="460"/>
      <c r="EC394" s="460"/>
      <c r="ED394" s="460"/>
      <c r="EE394" s="460"/>
      <c r="EF394" s="460"/>
      <c r="EG394" s="460"/>
      <c r="EH394" s="460"/>
      <c r="EI394" s="460"/>
      <c r="EJ394" s="460"/>
      <c r="EK394" s="460"/>
      <c r="EL394" s="460"/>
      <c r="EM394" s="460"/>
      <c r="EN394" s="460"/>
      <c r="EO394" s="460"/>
      <c r="EP394" s="460"/>
      <c r="EQ394" s="460"/>
      <c r="ER394" s="460"/>
      <c r="ES394" s="460"/>
      <c r="ET394" s="460"/>
      <c r="EU394" s="460"/>
      <c r="EV394" s="460"/>
      <c r="EW394" s="460"/>
      <c r="EX394" s="460"/>
      <c r="EY394" s="460"/>
      <c r="EZ394" s="460"/>
      <c r="FA394" s="460"/>
      <c r="FB394" s="460"/>
      <c r="FC394" s="460"/>
      <c r="FD394" s="460"/>
      <c r="FE394" s="460"/>
      <c r="FF394" s="460"/>
      <c r="FG394" s="460"/>
      <c r="FH394" s="460"/>
      <c r="FI394" s="460"/>
      <c r="FJ394" s="460"/>
      <c r="FK394" s="460"/>
      <c r="FL394" s="460"/>
      <c r="FM394" s="460"/>
      <c r="FN394" s="460"/>
      <c r="FO394" s="460"/>
      <c r="FP394" s="460"/>
      <c r="FQ394" s="460"/>
      <c r="FR394" s="460"/>
      <c r="FS394" s="460"/>
      <c r="FT394" s="460"/>
      <c r="FU394" s="460"/>
      <c r="FV394" s="460"/>
      <c r="FW394" s="460"/>
      <c r="FX394" s="460"/>
      <c r="FY394" s="460"/>
      <c r="FZ394" s="460"/>
      <c r="GA394" s="460"/>
      <c r="GB394" s="460"/>
      <c r="GC394" s="460"/>
      <c r="GD394" s="460"/>
      <c r="GE394" s="460"/>
      <c r="GF394" s="460"/>
      <c r="GG394" s="460"/>
      <c r="GH394" s="460"/>
      <c r="GI394" s="460"/>
      <c r="GJ394" s="460"/>
      <c r="GK394" s="460"/>
      <c r="GL394" s="460"/>
      <c r="GM394" s="460"/>
      <c r="GN394" s="460"/>
      <c r="GO394" s="460"/>
      <c r="GP394" s="460"/>
      <c r="GQ394" s="460"/>
      <c r="GR394" s="460"/>
      <c r="GS394" s="460"/>
      <c r="GT394" s="460"/>
      <c r="GU394" s="460"/>
      <c r="GV394" s="460"/>
      <c r="GW394" s="460"/>
      <c r="GX394" s="460"/>
      <c r="GY394" s="460"/>
      <c r="GZ394" s="460"/>
      <c r="HA394" s="460"/>
      <c r="HB394" s="460"/>
      <c r="HC394" s="460"/>
      <c r="HD394" s="460"/>
      <c r="HE394" s="460"/>
      <c r="HF394" s="460"/>
      <c r="HG394" s="460"/>
      <c r="HH394" s="460"/>
      <c r="HI394" s="460"/>
      <c r="HJ394" s="460"/>
      <c r="HK394" s="460"/>
      <c r="HL394" s="460"/>
      <c r="HM394" s="460"/>
      <c r="HN394" s="460"/>
      <c r="HO394" s="460"/>
      <c r="HP394" s="460"/>
      <c r="HQ394" s="460"/>
      <c r="HR394" s="460"/>
      <c r="HS394" s="460"/>
      <c r="HT394" s="460"/>
      <c r="HU394" s="460"/>
      <c r="HV394" s="460"/>
      <c r="HW394" s="460"/>
      <c r="HX394" s="460"/>
      <c r="HY394" s="460"/>
      <c r="HZ394" s="460"/>
      <c r="IA394" s="460"/>
      <c r="IB394" s="460"/>
      <c r="IC394" s="460"/>
      <c r="ID394" s="460"/>
      <c r="IE394" s="460"/>
      <c r="IF394" s="460"/>
      <c r="IG394" s="460"/>
      <c r="IH394" s="460"/>
      <c r="II394" s="460"/>
      <c r="IJ394" s="460"/>
      <c r="IK394" s="460"/>
      <c r="IL394" s="460"/>
      <c r="IM394" s="460"/>
      <c r="IN394" s="460"/>
      <c r="IO394" s="460"/>
      <c r="IP394" s="460"/>
      <c r="IQ394" s="460"/>
      <c r="IR394" s="460"/>
      <c r="IS394" s="460"/>
      <c r="IT394" s="460"/>
      <c r="IU394" s="460"/>
      <c r="IV394" s="460"/>
      <c r="IW394" s="460"/>
      <c r="IX394" s="460"/>
      <c r="IY394" s="460"/>
      <c r="IZ394" s="460"/>
      <c r="JA394" s="460"/>
      <c r="JB394" s="460"/>
      <c r="JC394" s="460"/>
      <c r="JD394" s="460"/>
      <c r="JE394" s="460"/>
      <c r="JF394" s="460"/>
      <c r="JG394" s="460"/>
      <c r="JH394" s="460"/>
      <c r="JI394" s="460"/>
      <c r="JJ394" s="460"/>
      <c r="JK394" s="460"/>
      <c r="JL394" s="460"/>
      <c r="JM394" s="460"/>
      <c r="JN394" s="460"/>
      <c r="JO394" s="460"/>
      <c r="JP394" s="460"/>
      <c r="JQ394" s="460"/>
      <c r="JR394" s="460"/>
      <c r="JS394" s="460"/>
      <c r="JT394" s="460"/>
      <c r="JU394" s="460"/>
      <c r="JV394" s="460"/>
      <c r="JW394" s="460"/>
      <c r="JX394" s="460"/>
      <c r="JY394" s="460"/>
      <c r="JZ394" s="460"/>
      <c r="KA394" s="460"/>
      <c r="KB394" s="460"/>
      <c r="KC394" s="460"/>
      <c r="KD394" s="460"/>
      <c r="KE394" s="460"/>
      <c r="KF394" s="460"/>
      <c r="KG394" s="460"/>
      <c r="KH394" s="460"/>
      <c r="KI394" s="460"/>
      <c r="KJ394" s="460"/>
      <c r="KK394" s="460"/>
      <c r="KL394" s="460"/>
      <c r="KM394" s="460"/>
      <c r="KN394" s="460"/>
      <c r="KO394" s="460"/>
      <c r="KP394" s="460"/>
      <c r="KQ394" s="460"/>
      <c r="KR394" s="460"/>
      <c r="KS394" s="460"/>
      <c r="KT394" s="460"/>
      <c r="KU394" s="460"/>
      <c r="KV394" s="460"/>
      <c r="KW394" s="460"/>
      <c r="KX394" s="460"/>
      <c r="KY394" s="460"/>
      <c r="KZ394" s="460"/>
      <c r="LA394" s="460"/>
      <c r="LB394" s="460"/>
      <c r="LC394" s="460"/>
      <c r="LD394" s="460"/>
      <c r="LE394" s="460"/>
      <c r="LF394" s="460"/>
      <c r="LG394" s="460"/>
      <c r="LH394" s="460"/>
      <c r="LI394" s="460"/>
      <c r="LJ394" s="460"/>
      <c r="LK394" s="460"/>
      <c r="LL394" s="460"/>
      <c r="LM394" s="460"/>
      <c r="LN394" s="460"/>
      <c r="LO394" s="460"/>
      <c r="LP394" s="460"/>
      <c r="LQ394" s="460"/>
      <c r="LR394" s="460"/>
      <c r="LS394" s="460"/>
      <c r="LT394" s="460"/>
      <c r="LU394" s="460"/>
      <c r="LV394" s="460"/>
      <c r="LW394" s="460"/>
      <c r="LX394" s="460"/>
      <c r="LY394" s="460"/>
      <c r="LZ394" s="460"/>
      <c r="MA394" s="460"/>
      <c r="MB394" s="460"/>
      <c r="MC394" s="460"/>
      <c r="MD394" s="460"/>
      <c r="ME394" s="460"/>
      <c r="MF394" s="460"/>
      <c r="MG394" s="460"/>
      <c r="MH394" s="460"/>
      <c r="MI394" s="460"/>
      <c r="MJ394" s="460"/>
      <c r="MK394" s="460"/>
      <c r="ML394" s="460"/>
      <c r="MM394" s="460"/>
      <c r="MN394" s="460"/>
      <c r="MO394" s="460"/>
      <c r="MP394" s="460"/>
      <c r="MQ394" s="460"/>
      <c r="MR394" s="460"/>
      <c r="MS394" s="460"/>
      <c r="MT394" s="460"/>
      <c r="MU394" s="460"/>
      <c r="MV394" s="460"/>
      <c r="MW394" s="460"/>
      <c r="MX394" s="460"/>
      <c r="MY394" s="460"/>
      <c r="MZ394" s="460"/>
      <c r="NA394" s="460"/>
      <c r="NB394" s="460"/>
      <c r="NC394" s="460"/>
      <c r="ND394" s="460"/>
      <c r="NE394" s="460"/>
      <c r="NF394" s="460"/>
      <c r="NG394" s="460"/>
      <c r="NH394" s="460"/>
      <c r="NI394" s="460"/>
      <c r="NJ394" s="460"/>
      <c r="NK394" s="460"/>
      <c r="NL394" s="460"/>
      <c r="NM394" s="460"/>
      <c r="NN394" s="460"/>
      <c r="NO394" s="460"/>
      <c r="NP394" s="460"/>
      <c r="NQ394" s="460"/>
      <c r="NR394" s="460"/>
      <c r="NS394" s="460"/>
      <c r="NT394" s="460"/>
      <c r="NU394" s="460"/>
      <c r="NV394" s="460"/>
      <c r="NW394" s="460"/>
      <c r="NX394" s="460"/>
      <c r="NY394" s="460"/>
      <c r="NZ394" s="460"/>
      <c r="OA394" s="460"/>
      <c r="OB394" s="460"/>
      <c r="OC394" s="460"/>
      <c r="OD394" s="460"/>
      <c r="OE394" s="460"/>
      <c r="OF394" s="460"/>
      <c r="OG394" s="460"/>
      <c r="OH394" s="460"/>
      <c r="OI394" s="460"/>
      <c r="OJ394" s="460"/>
      <c r="OK394" s="460"/>
      <c r="OL394" s="460"/>
      <c r="OM394" s="460"/>
      <c r="ON394" s="460"/>
      <c r="OO394" s="460"/>
      <c r="OP394" s="460"/>
      <c r="OQ394" s="460"/>
      <c r="OR394" s="460"/>
      <c r="OS394" s="460"/>
      <c r="OT394" s="460"/>
      <c r="OU394" s="460"/>
      <c r="OV394" s="460"/>
      <c r="OW394" s="460"/>
      <c r="OX394" s="460"/>
      <c r="OY394" s="460"/>
      <c r="OZ394" s="460"/>
      <c r="PA394" s="460"/>
      <c r="PB394" s="460"/>
      <c r="PC394" s="460"/>
      <c r="PD394" s="460"/>
      <c r="PE394" s="460"/>
      <c r="PF394" s="460"/>
      <c r="PG394" s="460"/>
      <c r="PH394" s="460"/>
      <c r="PI394" s="460"/>
      <c r="PJ394" s="460"/>
      <c r="PK394" s="460"/>
      <c r="PL394" s="460"/>
      <c r="PM394" s="460"/>
      <c r="PN394" s="460"/>
      <c r="PO394" s="460"/>
      <c r="PP394" s="460"/>
      <c r="PQ394" s="460"/>
      <c r="PR394" s="460"/>
      <c r="PS394" s="460"/>
      <c r="PT394" s="460"/>
      <c r="PU394" s="460"/>
      <c r="PV394" s="460"/>
      <c r="PW394" s="460"/>
      <c r="PX394" s="460"/>
      <c r="PY394" s="460"/>
      <c r="PZ394" s="460"/>
      <c r="QA394" s="460"/>
      <c r="QB394" s="460"/>
      <c r="QC394" s="460"/>
      <c r="QD394" s="460"/>
      <c r="QE394" s="460"/>
      <c r="QF394" s="460"/>
      <c r="QG394" s="460"/>
      <c r="QH394" s="460"/>
      <c r="QI394" s="460"/>
      <c r="QJ394" s="460"/>
      <c r="QK394" s="460"/>
      <c r="QL394" s="460"/>
      <c r="QM394" s="460"/>
      <c r="QN394" s="460"/>
      <c r="QO394" s="460"/>
      <c r="QP394" s="460"/>
      <c r="QQ394" s="460"/>
      <c r="QR394" s="460"/>
      <c r="QS394" s="460"/>
      <c r="QT394" s="460"/>
      <c r="QU394" s="460"/>
      <c r="QV394" s="460"/>
      <c r="QW394" s="460"/>
      <c r="QX394" s="460"/>
      <c r="QY394" s="460"/>
      <c r="QZ394" s="460"/>
      <c r="RA394" s="460"/>
      <c r="RB394" s="460"/>
      <c r="RC394" s="460"/>
      <c r="RD394" s="460"/>
      <c r="RE394" s="460"/>
      <c r="RF394" s="460"/>
      <c r="RG394" s="460"/>
      <c r="RH394" s="460"/>
      <c r="RI394" s="460"/>
      <c r="RJ394" s="460"/>
      <c r="RK394" s="460"/>
      <c r="RL394" s="460"/>
      <c r="RM394" s="460"/>
      <c r="RN394" s="460"/>
      <c r="RO394" s="460"/>
      <c r="RP394" s="460"/>
      <c r="RQ394" s="460"/>
      <c r="RR394" s="460"/>
      <c r="RS394" s="460"/>
      <c r="RT394" s="460"/>
      <c r="RU394" s="460"/>
      <c r="RV394" s="460"/>
      <c r="RW394" s="460"/>
      <c r="RX394" s="460"/>
      <c r="RY394" s="460"/>
      <c r="RZ394" s="460"/>
      <c r="SA394" s="460"/>
      <c r="SB394" s="460"/>
      <c r="SC394" s="460"/>
      <c r="SD394" s="460"/>
      <c r="SE394" s="460"/>
      <c r="SF394" s="460"/>
      <c r="SG394" s="460"/>
      <c r="SH394" s="460"/>
      <c r="SI394" s="460"/>
      <c r="SJ394" s="460"/>
      <c r="SK394" s="460"/>
      <c r="SL394" s="460"/>
      <c r="SM394" s="460"/>
      <c r="SN394" s="460"/>
      <c r="SO394" s="460"/>
      <c r="SP394" s="460"/>
      <c r="SQ394" s="460"/>
      <c r="SR394" s="460"/>
      <c r="SS394" s="460"/>
      <c r="ST394" s="460"/>
      <c r="SU394" s="460"/>
      <c r="SV394" s="460"/>
      <c r="SW394" s="460"/>
      <c r="SX394" s="460"/>
      <c r="SY394" s="460"/>
      <c r="SZ394" s="460"/>
      <c r="TA394" s="460"/>
      <c r="TB394" s="460"/>
      <c r="TC394" s="460"/>
      <c r="TD394" s="460"/>
      <c r="TE394" s="460"/>
      <c r="TF394" s="460"/>
      <c r="TG394" s="460"/>
      <c r="TH394" s="460"/>
      <c r="TI394" s="460"/>
      <c r="TJ394" s="460"/>
      <c r="TK394" s="460"/>
      <c r="TL394" s="460"/>
      <c r="TM394" s="460"/>
      <c r="TN394" s="460"/>
      <c r="TO394" s="460"/>
      <c r="TP394" s="460"/>
      <c r="TQ394" s="460"/>
      <c r="TR394" s="460"/>
      <c r="TS394" s="460"/>
      <c r="TT394" s="460"/>
      <c r="TU394" s="460"/>
      <c r="TV394" s="460"/>
      <c r="TW394" s="460"/>
      <c r="TX394" s="460"/>
      <c r="TY394" s="460"/>
      <c r="TZ394" s="460"/>
      <c r="UA394" s="460"/>
      <c r="UB394" s="460"/>
      <c r="UC394" s="460"/>
      <c r="UD394" s="460"/>
      <c r="UE394" s="460"/>
      <c r="UF394" s="460"/>
      <c r="UG394" s="460"/>
      <c r="UH394" s="460"/>
      <c r="UI394" s="460"/>
      <c r="UJ394" s="460"/>
      <c r="UK394" s="460"/>
      <c r="UL394" s="460"/>
      <c r="UM394" s="460"/>
      <c r="UN394" s="460"/>
      <c r="UO394" s="460"/>
      <c r="UP394" s="460"/>
      <c r="UQ394" s="460"/>
      <c r="UR394" s="460"/>
      <c r="US394" s="460"/>
      <c r="UT394" s="460"/>
      <c r="UU394" s="460"/>
      <c r="UV394" s="460"/>
      <c r="UW394" s="460"/>
      <c r="UX394" s="460"/>
      <c r="UY394" s="460"/>
      <c r="UZ394" s="460"/>
      <c r="VA394" s="460"/>
      <c r="VB394" s="460"/>
      <c r="VC394" s="460"/>
      <c r="VD394" s="460"/>
      <c r="VE394" s="460"/>
      <c r="VF394" s="460"/>
      <c r="VG394" s="460"/>
      <c r="VH394" s="460"/>
      <c r="VI394" s="460"/>
      <c r="VJ394" s="460"/>
      <c r="VK394" s="460"/>
      <c r="VL394" s="460"/>
      <c r="VM394" s="460"/>
      <c r="VN394" s="460"/>
      <c r="VO394" s="460"/>
      <c r="VP394" s="460"/>
      <c r="VQ394" s="460"/>
      <c r="VR394" s="460"/>
      <c r="VS394" s="460"/>
      <c r="VT394" s="460"/>
      <c r="VU394" s="460"/>
      <c r="VV394" s="460"/>
      <c r="VW394" s="460"/>
      <c r="VX394" s="460"/>
      <c r="VY394" s="460"/>
      <c r="VZ394" s="460"/>
      <c r="WA394" s="460"/>
      <c r="WB394" s="460"/>
      <c r="WC394" s="460"/>
      <c r="WD394" s="460"/>
      <c r="WE394" s="460"/>
      <c r="WF394" s="460"/>
      <c r="WG394" s="460"/>
      <c r="WH394" s="460"/>
      <c r="WI394" s="460"/>
      <c r="WJ394" s="460"/>
      <c r="WK394" s="460"/>
      <c r="WL394" s="460"/>
      <c r="WM394" s="460"/>
      <c r="WN394" s="460"/>
      <c r="WO394" s="460"/>
      <c r="WP394" s="460"/>
      <c r="WQ394" s="460"/>
      <c r="WR394" s="460"/>
      <c r="WS394" s="460"/>
      <c r="WT394" s="460"/>
      <c r="WU394" s="460"/>
      <c r="WV394" s="460"/>
      <c r="WW394" s="460"/>
      <c r="WX394" s="460"/>
      <c r="WY394" s="460"/>
      <c r="WZ394" s="460"/>
      <c r="XA394" s="460"/>
      <c r="XB394" s="460"/>
      <c r="XC394" s="460"/>
      <c r="XD394" s="460"/>
      <c r="XE394" s="460"/>
      <c r="XF394" s="460"/>
      <c r="XG394" s="460"/>
      <c r="XH394" s="460"/>
      <c r="XI394" s="460"/>
      <c r="XJ394" s="460"/>
      <c r="XK394" s="460"/>
      <c r="XL394" s="460"/>
      <c r="XM394" s="460"/>
      <c r="XN394" s="460"/>
      <c r="XO394" s="460"/>
      <c r="XP394" s="460"/>
      <c r="XQ394" s="460"/>
      <c r="XR394" s="460"/>
      <c r="XS394" s="460"/>
      <c r="XT394" s="460"/>
      <c r="XU394" s="460"/>
      <c r="XV394" s="460"/>
      <c r="XW394" s="460"/>
      <c r="XX394" s="460"/>
      <c r="XY394" s="460"/>
      <c r="XZ394" s="460"/>
      <c r="YA394" s="460"/>
      <c r="YB394" s="460"/>
      <c r="YC394" s="460"/>
      <c r="YD394" s="460"/>
      <c r="YE394" s="460"/>
      <c r="YF394" s="460"/>
      <c r="YG394" s="460"/>
      <c r="YH394" s="460"/>
      <c r="YI394" s="460"/>
      <c r="YJ394" s="460"/>
      <c r="YK394" s="460"/>
      <c r="YL394" s="460"/>
      <c r="YM394" s="460"/>
      <c r="YN394" s="460"/>
      <c r="YO394" s="460"/>
      <c r="YP394" s="460"/>
      <c r="YQ394" s="460"/>
      <c r="YR394" s="460"/>
      <c r="YS394" s="460"/>
      <c r="YT394" s="460"/>
      <c r="YU394" s="460"/>
      <c r="YV394" s="460"/>
      <c r="YW394" s="460"/>
      <c r="YX394" s="460"/>
      <c r="YY394" s="460"/>
      <c r="YZ394" s="460"/>
      <c r="ZA394" s="460"/>
      <c r="ZB394" s="460"/>
      <c r="ZC394" s="460"/>
      <c r="ZD394" s="460"/>
      <c r="ZE394" s="460"/>
      <c r="ZF394" s="460"/>
      <c r="ZG394" s="460"/>
      <c r="ZH394" s="460"/>
      <c r="ZI394" s="460"/>
      <c r="ZJ394" s="460"/>
      <c r="ZK394" s="460"/>
      <c r="ZL394" s="460"/>
      <c r="ZM394" s="460"/>
      <c r="ZN394" s="460"/>
      <c r="ZO394" s="460"/>
      <c r="ZP394" s="460"/>
      <c r="ZQ394" s="460"/>
      <c r="ZR394" s="460"/>
      <c r="ZS394" s="460"/>
      <c r="ZT394" s="460"/>
      <c r="ZU394" s="460"/>
      <c r="ZV394" s="460"/>
      <c r="ZW394" s="460"/>
      <c r="ZX394" s="460"/>
      <c r="ZY394" s="460"/>
      <c r="ZZ394" s="460"/>
      <c r="AAA394" s="460"/>
      <c r="AAB394" s="460"/>
      <c r="AAC394" s="460"/>
      <c r="AAD394" s="460"/>
      <c r="AAE394" s="460"/>
      <c r="AAF394" s="460"/>
      <c r="AAG394" s="460"/>
      <c r="AAH394" s="460"/>
      <c r="AAI394" s="460"/>
      <c r="AAJ394" s="460"/>
      <c r="AAK394" s="460"/>
      <c r="AAL394" s="460"/>
      <c r="AAM394" s="460"/>
      <c r="AAN394" s="460"/>
      <c r="AAO394" s="460"/>
      <c r="AAP394" s="460"/>
      <c r="AAQ394" s="460"/>
      <c r="AAR394" s="460"/>
      <c r="AAS394" s="460"/>
      <c r="AAT394" s="460"/>
      <c r="AAU394" s="460"/>
      <c r="AAV394" s="460"/>
      <c r="AAW394" s="460"/>
      <c r="AAX394" s="460"/>
      <c r="AAY394" s="460"/>
      <c r="AAZ394" s="460"/>
      <c r="ABA394" s="460"/>
      <c r="ABB394" s="460"/>
      <c r="ABC394" s="460"/>
      <c r="ABD394" s="460"/>
      <c r="ABE394" s="460"/>
      <c r="ABF394" s="460"/>
      <c r="ABG394" s="460"/>
      <c r="ABH394" s="460"/>
      <c r="ABI394" s="460"/>
      <c r="ABJ394" s="460"/>
      <c r="ABK394" s="460"/>
      <c r="ABL394" s="460"/>
      <c r="ABM394" s="460"/>
      <c r="ABN394" s="460"/>
      <c r="ABO394" s="460"/>
      <c r="ABP394" s="460"/>
      <c r="ABQ394" s="460"/>
      <c r="ABR394" s="460"/>
      <c r="ABS394" s="460"/>
      <c r="ABT394" s="460"/>
      <c r="ABU394" s="460"/>
      <c r="ABV394" s="460"/>
      <c r="ABW394" s="460"/>
      <c r="ABX394" s="460"/>
      <c r="ABY394" s="460"/>
      <c r="ABZ394" s="460"/>
      <c r="ACA394" s="460"/>
      <c r="ACB394" s="460"/>
      <c r="ACC394" s="460"/>
      <c r="ACD394" s="460"/>
      <c r="ACE394" s="460"/>
      <c r="ACF394" s="460"/>
      <c r="ACG394" s="460"/>
      <c r="ACH394" s="460"/>
      <c r="ACI394" s="460"/>
      <c r="ACJ394" s="460"/>
      <c r="ACK394" s="460"/>
      <c r="ACL394" s="460"/>
      <c r="ACM394" s="460"/>
      <c r="ACN394" s="460"/>
      <c r="ACO394" s="460"/>
      <c r="ACP394" s="460"/>
      <c r="ACQ394" s="460"/>
      <c r="ACR394" s="460"/>
      <c r="ACS394" s="460"/>
      <c r="ACT394" s="460"/>
      <c r="ACU394" s="460"/>
      <c r="ACV394" s="460"/>
      <c r="ACW394" s="460"/>
      <c r="ACX394" s="460"/>
      <c r="ACY394" s="460"/>
      <c r="ACZ394" s="460"/>
      <c r="ADA394" s="460"/>
      <c r="ADB394" s="460"/>
      <c r="ADC394" s="460"/>
      <c r="ADD394" s="460"/>
      <c r="ADE394" s="460"/>
      <c r="ADF394" s="460"/>
      <c r="ADG394" s="460"/>
      <c r="ADH394" s="460"/>
      <c r="ADI394" s="460"/>
      <c r="ADJ394" s="460"/>
      <c r="ADK394" s="460"/>
      <c r="ADL394" s="460"/>
      <c r="ADM394" s="460"/>
      <c r="ADN394" s="460"/>
      <c r="ADO394" s="460"/>
      <c r="ADP394" s="460"/>
      <c r="ADQ394" s="460"/>
      <c r="ADR394" s="460"/>
      <c r="ADS394" s="460"/>
      <c r="ADT394" s="460"/>
      <c r="ADU394" s="460"/>
      <c r="ADV394" s="460"/>
      <c r="ADW394" s="460"/>
      <c r="ADX394" s="460"/>
      <c r="ADY394" s="460"/>
      <c r="ADZ394" s="460"/>
      <c r="AEA394" s="460"/>
      <c r="AEB394" s="460"/>
      <c r="AEC394" s="460"/>
      <c r="AED394" s="460"/>
      <c r="AEE394" s="460"/>
      <c r="AEF394" s="460"/>
      <c r="AEG394" s="460"/>
      <c r="AEH394" s="460"/>
      <c r="AEI394" s="460"/>
      <c r="AEJ394" s="460"/>
      <c r="AEK394" s="460"/>
      <c r="AEL394" s="460"/>
      <c r="AEM394" s="460"/>
      <c r="AEN394" s="460"/>
      <c r="AEO394" s="460"/>
      <c r="AEP394" s="460"/>
      <c r="AEQ394" s="460"/>
      <c r="AER394" s="460"/>
      <c r="AES394" s="460"/>
      <c r="AET394" s="460"/>
      <c r="AEU394" s="460"/>
      <c r="AEV394" s="460"/>
      <c r="AEW394" s="460"/>
      <c r="AEX394" s="460"/>
      <c r="AEY394" s="460"/>
      <c r="AEZ394" s="460"/>
      <c r="AFA394" s="460"/>
      <c r="AFB394" s="460"/>
      <c r="AFC394" s="460"/>
      <c r="AFD394" s="460"/>
      <c r="AFE394" s="460"/>
      <c r="AFF394" s="460"/>
      <c r="AFG394" s="460"/>
      <c r="AFH394" s="460"/>
      <c r="AFI394" s="460"/>
      <c r="AFJ394" s="460"/>
      <c r="AFK394" s="460"/>
      <c r="AFL394" s="460"/>
      <c r="AFM394" s="460"/>
      <c r="AFN394" s="460"/>
      <c r="AFO394" s="460"/>
      <c r="AFP394" s="460"/>
      <c r="AFQ394" s="460"/>
      <c r="AFR394" s="460"/>
      <c r="AFS394" s="460"/>
      <c r="AFT394" s="460"/>
      <c r="AFU394" s="460"/>
      <c r="AFV394" s="460"/>
      <c r="AFW394" s="460"/>
      <c r="AFX394" s="460"/>
      <c r="AFY394" s="460"/>
      <c r="AFZ394" s="460"/>
      <c r="AGA394" s="460"/>
      <c r="AGB394" s="460"/>
      <c r="AGC394" s="460"/>
      <c r="AGD394" s="460"/>
      <c r="AGE394" s="460"/>
      <c r="AGF394" s="460"/>
      <c r="AGG394" s="460"/>
      <c r="AGH394" s="460"/>
      <c r="AGI394" s="460"/>
      <c r="AGJ394" s="460"/>
      <c r="AGK394" s="460"/>
      <c r="AGL394" s="460"/>
      <c r="AGM394" s="460"/>
      <c r="AGN394" s="460"/>
      <c r="AGO394" s="460"/>
      <c r="AGP394" s="460"/>
      <c r="AGQ394" s="460"/>
      <c r="AGR394" s="460"/>
      <c r="AGS394" s="460"/>
      <c r="AGT394" s="460"/>
      <c r="AGU394" s="460"/>
      <c r="AGV394" s="460"/>
      <c r="AGW394" s="460"/>
      <c r="AGX394" s="460"/>
      <c r="AGY394" s="460"/>
      <c r="AGZ394" s="460"/>
      <c r="AHA394" s="460"/>
      <c r="AHB394" s="460"/>
      <c r="AHC394" s="460"/>
      <c r="AHD394" s="460"/>
      <c r="AHE394" s="460"/>
      <c r="AHF394" s="460"/>
      <c r="AHG394" s="460"/>
      <c r="AHH394" s="460"/>
      <c r="AHI394" s="460"/>
      <c r="AHJ394" s="460"/>
      <c r="AHK394" s="460"/>
      <c r="AHL394" s="460"/>
      <c r="AHM394" s="460"/>
      <c r="AHN394" s="460"/>
      <c r="AHO394" s="460"/>
      <c r="AHP394" s="460"/>
      <c r="AHQ394" s="460"/>
      <c r="AHR394" s="460"/>
      <c r="AHS394" s="460"/>
      <c r="AHT394" s="460"/>
      <c r="AHU394" s="460"/>
      <c r="AHV394" s="460"/>
      <c r="AHW394" s="460"/>
      <c r="AHX394" s="460"/>
      <c r="AHY394" s="460"/>
      <c r="AHZ394" s="460"/>
      <c r="AIA394" s="460"/>
      <c r="AIB394" s="460"/>
      <c r="AIC394" s="460"/>
      <c r="AID394" s="460"/>
      <c r="AIE394" s="460"/>
      <c r="AIF394" s="460"/>
      <c r="AIG394" s="460"/>
      <c r="AIH394" s="460"/>
      <c r="AII394" s="460"/>
      <c r="AIJ394" s="460"/>
      <c r="AIK394" s="460"/>
      <c r="AIL394" s="460"/>
      <c r="AIM394" s="460"/>
      <c r="AIN394" s="460"/>
      <c r="AIO394" s="460"/>
      <c r="AIP394" s="460"/>
      <c r="AIQ394" s="460"/>
      <c r="AIR394" s="460"/>
      <c r="AIS394" s="460"/>
      <c r="AIT394" s="460"/>
      <c r="AIU394" s="460"/>
      <c r="AIV394" s="460"/>
      <c r="AIW394" s="460"/>
      <c r="AIX394" s="460"/>
      <c r="AIY394" s="460"/>
      <c r="AIZ394" s="460"/>
      <c r="AJA394" s="460"/>
      <c r="AJB394" s="460"/>
      <c r="AJC394" s="460"/>
      <c r="AJD394" s="460"/>
      <c r="AJE394" s="460"/>
      <c r="AJF394" s="460"/>
      <c r="AJG394" s="460"/>
      <c r="AJH394" s="460"/>
      <c r="AJI394" s="460"/>
      <c r="AJJ394" s="460"/>
      <c r="AJK394" s="460"/>
      <c r="AJL394" s="460"/>
      <c r="AJM394" s="460"/>
      <c r="AJN394" s="460"/>
      <c r="AJO394" s="460"/>
      <c r="AJP394" s="460"/>
      <c r="AJQ394" s="460"/>
      <c r="AJR394" s="460"/>
      <c r="AJS394" s="460"/>
      <c r="AJT394" s="460"/>
      <c r="AJU394" s="460"/>
      <c r="AJV394" s="460"/>
      <c r="AJW394" s="460"/>
      <c r="AJX394" s="460"/>
      <c r="AJY394" s="460"/>
      <c r="AJZ394" s="460"/>
      <c r="AKA394" s="460"/>
      <c r="AKB394" s="460"/>
      <c r="AKC394" s="460"/>
      <c r="AKD394" s="460"/>
      <c r="AKE394" s="460"/>
      <c r="AKF394" s="460"/>
      <c r="AKG394" s="460"/>
      <c r="AKH394" s="460"/>
      <c r="AKI394" s="460"/>
      <c r="AKJ394" s="460"/>
      <c r="AKK394" s="460"/>
      <c r="AKL394" s="460"/>
      <c r="AKM394" s="460"/>
      <c r="AKN394" s="460"/>
      <c r="AKO394" s="460"/>
      <c r="AKP394" s="460"/>
      <c r="AKQ394" s="460"/>
      <c r="AKR394" s="460"/>
      <c r="AKS394" s="460"/>
      <c r="AKT394" s="460"/>
      <c r="AKU394" s="460"/>
      <c r="AKV394" s="460"/>
      <c r="AKW394" s="460"/>
      <c r="AKX394" s="460"/>
      <c r="AKY394" s="460"/>
      <c r="AKZ394" s="460"/>
      <c r="ALA394" s="460"/>
      <c r="ALB394" s="460"/>
      <c r="ALC394" s="460"/>
      <c r="ALD394" s="460"/>
      <c r="ALE394" s="460"/>
      <c r="ALF394" s="460"/>
      <c r="ALG394" s="460"/>
      <c r="ALH394" s="460"/>
      <c r="ALI394" s="460"/>
      <c r="ALJ394" s="460"/>
      <c r="ALK394" s="460"/>
      <c r="ALL394" s="460"/>
      <c r="ALM394" s="460"/>
      <c r="ALN394" s="460"/>
      <c r="ALO394" s="460"/>
      <c r="ALP394" s="460"/>
      <c r="ALQ394" s="460"/>
      <c r="ALR394" s="460"/>
      <c r="ALS394" s="460"/>
      <c r="ALT394" s="460"/>
      <c r="ALU394" s="460"/>
      <c r="ALV394" s="460"/>
      <c r="ALW394" s="460"/>
      <c r="ALX394" s="460"/>
      <c r="ALY394" s="460"/>
      <c r="ALZ394" s="460"/>
      <c r="AMA394" s="460"/>
      <c r="AMB394" s="460"/>
      <c r="AMC394" s="460"/>
      <c r="AMD394" s="460"/>
      <c r="AME394" s="460"/>
      <c r="AMF394" s="460"/>
      <c r="AMG394" s="460"/>
      <c r="AMH394" s="460"/>
      <c r="AMI394" s="460"/>
      <c r="AMJ394" s="460"/>
      <c r="AMK394" s="460"/>
      <c r="AML394" s="460"/>
      <c r="AMM394" s="460"/>
      <c r="AMN394" s="460"/>
      <c r="AMO394" s="460"/>
      <c r="AMP394" s="460"/>
    </row>
    <row r="395" spans="1:1030" x14ac:dyDescent="0.35">
      <c r="A395" s="46">
        <v>457</v>
      </c>
      <c r="B395" s="240" t="s">
        <v>333</v>
      </c>
      <c r="C395" s="364">
        <v>25.3125</v>
      </c>
      <c r="D395" s="365">
        <v>3.8205351897232901E-4</v>
      </c>
      <c r="E395" s="191">
        <v>0.95258875507974605</v>
      </c>
      <c r="F395" s="191">
        <v>0.93119535994558</v>
      </c>
      <c r="G395" s="191">
        <v>0.87361843091431801</v>
      </c>
      <c r="H395" s="191">
        <v>0.85325231268273805</v>
      </c>
      <c r="I395" s="191">
        <v>0.79910420263140303</v>
      </c>
      <c r="J395" s="191">
        <v>0.74691319862642003</v>
      </c>
      <c r="K395" s="361">
        <f t="shared" si="199"/>
        <v>3.6393988601168706E-4</v>
      </c>
      <c r="L395" s="362">
        <f t="shared" si="199"/>
        <v>3.5576646411791341E-4</v>
      </c>
      <c r="M395" s="362">
        <f t="shared" si="199"/>
        <v>3.3376899576989972E-4</v>
      </c>
      <c r="N395" s="362">
        <f t="shared" si="199"/>
        <v>3.2598804863171805E-4</v>
      </c>
      <c r="O395" s="362">
        <f t="shared" si="199"/>
        <v>3.0530057264090458E-4</v>
      </c>
      <c r="P395" s="363">
        <f t="shared" si="199"/>
        <v>2.8536081590210192E-4</v>
      </c>
      <c r="Q395" s="273">
        <v>33.8125</v>
      </c>
      <c r="R395" s="273">
        <v>29.692129629629601</v>
      </c>
      <c r="S395" s="273">
        <v>26.47305034779405</v>
      </c>
      <c r="T395" s="273">
        <v>24.265881038963073</v>
      </c>
      <c r="U395" s="273">
        <v>24.11240286295607</v>
      </c>
      <c r="V395" s="273">
        <f>+E395*C395</f>
        <v>24.11240286295607</v>
      </c>
      <c r="W395" s="273">
        <f t="shared" si="200"/>
        <v>23.570882548622492</v>
      </c>
      <c r="X395" s="273">
        <f t="shared" si="200"/>
        <v>22.113466532518675</v>
      </c>
      <c r="Y395" s="273">
        <f t="shared" si="200"/>
        <v>21.597949164781806</v>
      </c>
      <c r="Z395" s="273">
        <f t="shared" si="200"/>
        <v>20.227325129107388</v>
      </c>
      <c r="AA395" s="273">
        <f t="shared" si="200"/>
        <v>18.906240340231257</v>
      </c>
      <c r="AB395" s="100">
        <v>457</v>
      </c>
      <c r="AC395" s="101" t="s">
        <v>333</v>
      </c>
      <c r="AD395" s="159"/>
      <c r="AE395" s="159"/>
      <c r="AF395" s="164"/>
      <c r="AG395" s="164"/>
      <c r="AH395" s="164"/>
      <c r="AI395" s="159">
        <f t="shared" si="201"/>
        <v>733088.45969041623</v>
      </c>
      <c r="AJ395" s="159">
        <f t="shared" si="202"/>
        <v>724661.53615173965</v>
      </c>
      <c r="AK395" s="159">
        <f t="shared" si="202"/>
        <v>693254.21709195245</v>
      </c>
      <c r="AL395" s="159">
        <f t="shared" si="202"/>
        <v>695620.95102843537</v>
      </c>
      <c r="AM395" s="159">
        <f t="shared" si="202"/>
        <v>671006.88591338519</v>
      </c>
      <c r="AN395" s="159">
        <f t="shared" si="202"/>
        <v>647137.72917389241</v>
      </c>
    </row>
  </sheetData>
  <sortState xmlns:xlrd2="http://schemas.microsoft.com/office/spreadsheetml/2017/richdata2" ref="A348:B370">
    <sortCondition ref="B348:B370"/>
  </sortState>
  <mergeCells count="14">
    <mergeCell ref="AI5:AN5"/>
    <mergeCell ref="C2:D2"/>
    <mergeCell ref="E2:J2"/>
    <mergeCell ref="K2:P2"/>
    <mergeCell ref="E3:J3"/>
    <mergeCell ref="V3:AA5"/>
    <mergeCell ref="E4:J4"/>
    <mergeCell ref="K4:P4"/>
    <mergeCell ref="Q2:AA2"/>
    <mergeCell ref="Q3:R5"/>
    <mergeCell ref="S3:S5"/>
    <mergeCell ref="T3:T5"/>
    <mergeCell ref="AI3:AN3"/>
    <mergeCell ref="U3:U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519FA-5B79-4B4A-BA11-62702E5611CE}">
  <sheetPr codeName="Blad2">
    <tabColor rgb="FF7030A0"/>
  </sheetPr>
  <dimension ref="A1:P211"/>
  <sheetViews>
    <sheetView workbookViewId="0">
      <selection activeCell="A10" sqref="A10"/>
    </sheetView>
  </sheetViews>
  <sheetFormatPr defaultRowHeight="14.5" x14ac:dyDescent="0.35"/>
  <cols>
    <col min="13" max="13" width="17.6328125" bestFit="1" customWidth="1"/>
    <col min="15" max="15" width="17.6328125" bestFit="1" customWidth="1"/>
  </cols>
  <sheetData>
    <row r="1" spans="1:1" x14ac:dyDescent="0.35">
      <c r="A1" s="1" t="s">
        <v>739</v>
      </c>
    </row>
    <row r="2" spans="1:1" x14ac:dyDescent="0.35">
      <c r="A2" s="1" t="s">
        <v>740</v>
      </c>
    </row>
    <row r="3" spans="1:1" x14ac:dyDescent="0.35">
      <c r="A3" t="s">
        <v>741</v>
      </c>
    </row>
    <row r="4" spans="1:1" x14ac:dyDescent="0.35">
      <c r="A4" t="s">
        <v>742</v>
      </c>
    </row>
    <row r="5" spans="1:1" x14ac:dyDescent="0.35">
      <c r="A5" s="176" t="s">
        <v>369</v>
      </c>
    </row>
    <row r="6" spans="1:1" x14ac:dyDescent="0.35">
      <c r="A6" t="s">
        <v>743</v>
      </c>
    </row>
    <row r="7" spans="1:1" x14ac:dyDescent="0.35">
      <c r="A7" t="s">
        <v>744</v>
      </c>
    </row>
    <row r="8" spans="1:1" x14ac:dyDescent="0.35">
      <c r="A8" s="176" t="s">
        <v>745</v>
      </c>
    </row>
    <row r="9" spans="1:1" x14ac:dyDescent="0.35">
      <c r="A9" s="176" t="s">
        <v>746</v>
      </c>
    </row>
    <row r="10" spans="1:1" x14ac:dyDescent="0.35">
      <c r="A10" t="s">
        <v>747</v>
      </c>
    </row>
    <row r="11" spans="1:1" x14ac:dyDescent="0.35">
      <c r="A11" t="s">
        <v>1050</v>
      </c>
    </row>
    <row r="12" spans="1:1" x14ac:dyDescent="0.35">
      <c r="A12" t="s">
        <v>1052</v>
      </c>
    </row>
    <row r="13" spans="1:1" x14ac:dyDescent="0.35">
      <c r="A13" t="s">
        <v>1051</v>
      </c>
    </row>
    <row r="50" spans="1:16" ht="18.5" x14ac:dyDescent="0.45">
      <c r="A50" s="283" t="s">
        <v>1023</v>
      </c>
    </row>
    <row r="52" spans="1:16" ht="18.5" x14ac:dyDescent="0.45">
      <c r="A52" s="283" t="s">
        <v>1022</v>
      </c>
      <c r="C52" s="1" t="s">
        <v>994</v>
      </c>
    </row>
    <row r="53" spans="1:16" x14ac:dyDescent="0.35">
      <c r="P53" s="1"/>
    </row>
    <row r="77" spans="15:15" x14ac:dyDescent="0.35">
      <c r="O77" s="196"/>
    </row>
    <row r="79" spans="15:15" x14ac:dyDescent="0.35">
      <c r="O79" s="196"/>
    </row>
    <row r="82" spans="13:13" x14ac:dyDescent="0.35">
      <c r="M82" s="204">
        <f>71545.9*25756.96</f>
        <v>1842804884.4639997</v>
      </c>
    </row>
    <row r="112" spans="13:13" x14ac:dyDescent="0.35">
      <c r="M112" s="204">
        <f>71545.9*25905</f>
        <v>1853396539.4999998</v>
      </c>
    </row>
    <row r="116" spans="1:1" ht="18.5" x14ac:dyDescent="0.45">
      <c r="A116" s="283" t="s">
        <v>1024</v>
      </c>
    </row>
    <row r="118" spans="1:1" x14ac:dyDescent="0.35">
      <c r="A118" t="s">
        <v>1037</v>
      </c>
    </row>
    <row r="119" spans="1:1" x14ac:dyDescent="0.35">
      <c r="A119" t="s">
        <v>1045</v>
      </c>
    </row>
    <row r="120" spans="1:1" x14ac:dyDescent="0.35">
      <c r="A120" t="s">
        <v>1046</v>
      </c>
    </row>
    <row r="131" spans="1:2" x14ac:dyDescent="0.35">
      <c r="A131" t="s">
        <v>1038</v>
      </c>
    </row>
    <row r="132" spans="1:2" x14ac:dyDescent="0.35">
      <c r="B132" t="s">
        <v>1041</v>
      </c>
    </row>
    <row r="162" spans="2:2" x14ac:dyDescent="0.35">
      <c r="B162" t="s">
        <v>1042</v>
      </c>
    </row>
    <row r="191" spans="2:2" x14ac:dyDescent="0.35">
      <c r="B191" t="s">
        <v>1043</v>
      </c>
    </row>
    <row r="211" spans="2:2" x14ac:dyDescent="0.35">
      <c r="B211" t="s">
        <v>1044</v>
      </c>
    </row>
  </sheetData>
  <hyperlinks>
    <hyperlink ref="A8" r:id="rId1" xr:uid="{7C62D4F0-11DE-4F7B-9D91-0D773F1E7147}"/>
    <hyperlink ref="A5" r:id="rId2" xr:uid="{8A919134-EF10-471E-86DF-620DA2943F27}"/>
    <hyperlink ref="A9" r:id="rId3" xr:uid="{FF73E3B1-5BCD-4E51-A0BF-A96C679248A0}"/>
  </hyperlinks>
  <pageMargins left="0.7" right="0.7" top="0.75" bottom="0.75" header="0.3" footer="0.3"/>
  <pageSetup paperSize="9"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0275D-DF55-4520-86E7-BCB4D52E99F8}">
  <sheetPr codeName="Blad3">
    <tabColor rgb="FF00B0F0"/>
  </sheetPr>
  <dimension ref="A1:XFD407"/>
  <sheetViews>
    <sheetView topLeftCell="A226" workbookViewId="0">
      <selection activeCell="E238" sqref="E238"/>
    </sheetView>
  </sheetViews>
  <sheetFormatPr defaultRowHeight="14.5" x14ac:dyDescent="0.35"/>
  <cols>
    <col min="1" max="1" width="6.6328125" style="3" customWidth="1"/>
    <col min="2" max="2" width="21.1796875" style="3" customWidth="1"/>
    <col min="3" max="3" width="17.453125" style="3" customWidth="1"/>
    <col min="4" max="4" width="16.453125" style="3" customWidth="1"/>
    <col min="5" max="10" width="10.81640625" style="3" customWidth="1"/>
    <col min="11" max="11" width="21.1796875" style="3" customWidth="1"/>
    <col min="12" max="1024" width="9.26953125" style="3" customWidth="1"/>
  </cols>
  <sheetData>
    <row r="1" spans="1:10 1025:16384" customFormat="1" x14ac:dyDescent="0.35">
      <c r="A1" s="175" t="s">
        <v>1276</v>
      </c>
      <c r="B1" s="3"/>
      <c r="C1" s="3"/>
      <c r="D1" s="3"/>
      <c r="E1" s="3"/>
      <c r="F1" s="3"/>
      <c r="G1" s="3"/>
      <c r="H1" s="3"/>
      <c r="I1" s="3"/>
      <c r="J1" s="175"/>
    </row>
    <row r="2" spans="1:10 1025:16384" customFormat="1" x14ac:dyDescent="0.35">
      <c r="A2" s="3"/>
      <c r="B2" s="3"/>
      <c r="C2" s="3"/>
      <c r="D2" s="3"/>
      <c r="E2" s="3"/>
      <c r="F2" s="3"/>
      <c r="G2" s="3"/>
      <c r="H2" s="3"/>
      <c r="I2" s="3"/>
      <c r="J2" s="3"/>
    </row>
    <row r="3" spans="1:10 1025:16384" customFormat="1" x14ac:dyDescent="0.35">
      <c r="A3" s="3"/>
      <c r="B3" s="2" t="s">
        <v>1277</v>
      </c>
      <c r="C3" s="3"/>
      <c r="D3" s="3"/>
      <c r="E3" s="288"/>
      <c r="F3" s="288"/>
      <c r="G3" s="288"/>
      <c r="H3" s="288"/>
      <c r="I3" s="288"/>
      <c r="J3" s="288"/>
    </row>
    <row r="4" spans="1:10 1025:16384" customFormat="1" x14ac:dyDescent="0.35">
      <c r="A4" s="3"/>
      <c r="B4" s="5" t="s">
        <v>1251</v>
      </c>
      <c r="C4" s="3"/>
      <c r="D4" s="3"/>
      <c r="E4" s="5"/>
      <c r="F4" s="5"/>
      <c r="G4" s="3"/>
      <c r="H4" s="3"/>
      <c r="I4" s="3"/>
      <c r="J4" s="3"/>
    </row>
    <row r="5" spans="1:10 1025:16384" customFormat="1" x14ac:dyDescent="0.35">
      <c r="A5" s="3"/>
      <c r="B5" s="88"/>
      <c r="C5" s="3"/>
      <c r="D5" s="3"/>
      <c r="E5" s="88"/>
      <c r="F5" s="88"/>
      <c r="G5" s="3"/>
      <c r="H5" s="3"/>
      <c r="I5" s="3"/>
      <c r="J5" s="3"/>
    </row>
    <row r="8" spans="1:10 1025:16384" customFormat="1" x14ac:dyDescent="0.35">
      <c r="A8" s="3"/>
      <c r="B8" s="3"/>
      <c r="C8" s="3"/>
      <c r="D8" s="148" t="s">
        <v>7</v>
      </c>
      <c r="E8" s="3"/>
      <c r="F8" s="3"/>
      <c r="G8" s="3"/>
      <c r="H8" s="3"/>
      <c r="I8" s="3"/>
      <c r="J8" s="3"/>
    </row>
    <row r="9" spans="1:10 1025:16384" customFormat="1" x14ac:dyDescent="0.35">
      <c r="A9" s="405"/>
      <c r="B9" s="158" t="s">
        <v>8</v>
      </c>
      <c r="C9" s="97" t="s">
        <v>9</v>
      </c>
      <c r="D9" s="151" t="s">
        <v>10</v>
      </c>
      <c r="E9" s="152">
        <v>2020</v>
      </c>
      <c r="F9" s="153">
        <f>E9+1</f>
        <v>2021</v>
      </c>
      <c r="G9" s="153">
        <f>F9+1</f>
        <v>2022</v>
      </c>
      <c r="H9" s="153">
        <f>G9+1</f>
        <v>2023</v>
      </c>
      <c r="I9" s="153">
        <f>H9+1</f>
        <v>2024</v>
      </c>
      <c r="J9" s="154">
        <f>I9+1</f>
        <v>2025</v>
      </c>
    </row>
    <row r="10" spans="1:10 1025:16384" x14ac:dyDescent="0.35">
      <c r="A10" s="405"/>
      <c r="B10" s="155"/>
      <c r="C10" s="156" t="s">
        <v>11</v>
      </c>
      <c r="D10" s="406">
        <f>SUM(D11:D390)</f>
        <v>1.0000000000000007</v>
      </c>
      <c r="E10" s="407">
        <v>50310000</v>
      </c>
      <c r="F10" s="408">
        <v>52726000</v>
      </c>
      <c r="G10" s="408">
        <v>55196000</v>
      </c>
      <c r="H10" s="408">
        <v>57613000</v>
      </c>
      <c r="I10" s="408">
        <v>60119000</v>
      </c>
      <c r="J10" s="409">
        <v>62505000</v>
      </c>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c r="XFD10" s="3"/>
    </row>
    <row r="11" spans="1:10 1025:16384" customFormat="1" x14ac:dyDescent="0.35">
      <c r="A11" s="3"/>
      <c r="B11" s="100">
        <v>1680</v>
      </c>
      <c r="C11" s="160" t="s">
        <v>0</v>
      </c>
      <c r="D11" s="191">
        <v>6.2242278067377202E-4</v>
      </c>
      <c r="E11" s="164">
        <f t="shared" ref="E11:J26" si="0">$D11*E$10</f>
        <v>31314.090095697469</v>
      </c>
      <c r="F11" s="165">
        <f t="shared" si="0"/>
        <v>32817.863533805306</v>
      </c>
      <c r="G11" s="165">
        <f t="shared" si="0"/>
        <v>34355.24780206952</v>
      </c>
      <c r="H11" s="165">
        <f t="shared" si="0"/>
        <v>35859.643662958028</v>
      </c>
      <c r="I11" s="165">
        <f t="shared" si="0"/>
        <v>37419.435151326499</v>
      </c>
      <c r="J11" s="166">
        <f t="shared" si="0"/>
        <v>38904.53590601412</v>
      </c>
    </row>
    <row r="12" spans="1:10 1025:16384" customFormat="1" x14ac:dyDescent="0.35">
      <c r="A12" s="3"/>
      <c r="B12" s="100">
        <v>358</v>
      </c>
      <c r="C12" s="160" t="s">
        <v>12</v>
      </c>
      <c r="D12" s="191">
        <v>1.16704271376332E-3</v>
      </c>
      <c r="E12" s="164">
        <f t="shared" si="0"/>
        <v>58713.918929432628</v>
      </c>
      <c r="F12" s="165">
        <f t="shared" si="0"/>
        <v>61533.494125884812</v>
      </c>
      <c r="G12" s="165">
        <f t="shared" si="0"/>
        <v>64416.089628880211</v>
      </c>
      <c r="H12" s="165">
        <f t="shared" si="0"/>
        <v>67236.831868046153</v>
      </c>
      <c r="I12" s="165">
        <f t="shared" si="0"/>
        <v>70161.44090873703</v>
      </c>
      <c r="J12" s="166">
        <f t="shared" si="0"/>
        <v>72946.004823776311</v>
      </c>
    </row>
    <row r="13" spans="1:10 1025:16384" customFormat="1" x14ac:dyDescent="0.35">
      <c r="A13" s="3"/>
      <c r="B13" s="100">
        <v>197</v>
      </c>
      <c r="C13" s="160" t="s">
        <v>13</v>
      </c>
      <c r="D13" s="191">
        <v>7.7802847584221605E-4</v>
      </c>
      <c r="E13" s="164">
        <f t="shared" si="0"/>
        <v>39142.61261962189</v>
      </c>
      <c r="F13" s="165">
        <f t="shared" si="0"/>
        <v>41022.329417256682</v>
      </c>
      <c r="G13" s="165">
        <f t="shared" si="0"/>
        <v>42944.05975258696</v>
      </c>
      <c r="H13" s="165">
        <f t="shared" si="0"/>
        <v>44824.554578697593</v>
      </c>
      <c r="I13" s="165">
        <f t="shared" si="0"/>
        <v>46774.293939158189</v>
      </c>
      <c r="J13" s="166">
        <f t="shared" si="0"/>
        <v>48630.669882517715</v>
      </c>
    </row>
    <row r="14" spans="1:10 1025:16384" customFormat="1" x14ac:dyDescent="0.35">
      <c r="A14" s="3"/>
      <c r="B14" s="100">
        <v>59</v>
      </c>
      <c r="C14" s="160" t="s">
        <v>14</v>
      </c>
      <c r="D14" s="191">
        <v>1.32264840893177E-3</v>
      </c>
      <c r="E14" s="164">
        <f t="shared" si="0"/>
        <v>66542.441453357344</v>
      </c>
      <c r="F14" s="165">
        <f t="shared" si="0"/>
        <v>69737.960009336501</v>
      </c>
      <c r="G14" s="165">
        <f t="shared" si="0"/>
        <v>73004.901579397978</v>
      </c>
      <c r="H14" s="165">
        <f t="shared" si="0"/>
        <v>76201.74278378606</v>
      </c>
      <c r="I14" s="165">
        <f t="shared" si="0"/>
        <v>79516.299696569084</v>
      </c>
      <c r="J14" s="166">
        <f t="shared" si="0"/>
        <v>82672.138800280285</v>
      </c>
    </row>
    <row r="15" spans="1:10 1025:16384" customFormat="1" x14ac:dyDescent="0.35">
      <c r="A15" s="3"/>
      <c r="B15" s="100">
        <v>482</v>
      </c>
      <c r="C15" s="160" t="s">
        <v>15</v>
      </c>
      <c r="D15" s="191">
        <v>7.7802847584221605E-4</v>
      </c>
      <c r="E15" s="164">
        <f t="shared" si="0"/>
        <v>39142.61261962189</v>
      </c>
      <c r="F15" s="165">
        <f t="shared" si="0"/>
        <v>41022.329417256682</v>
      </c>
      <c r="G15" s="165">
        <f t="shared" si="0"/>
        <v>42944.05975258696</v>
      </c>
      <c r="H15" s="165">
        <f t="shared" si="0"/>
        <v>44824.554578697593</v>
      </c>
      <c r="I15" s="165">
        <f t="shared" si="0"/>
        <v>46774.293939158189</v>
      </c>
      <c r="J15" s="166">
        <f t="shared" si="0"/>
        <v>48630.669882517715</v>
      </c>
    </row>
    <row r="16" spans="1:10 1025:16384" customFormat="1" x14ac:dyDescent="0.35">
      <c r="A16" s="3"/>
      <c r="B16" s="100">
        <v>613</v>
      </c>
      <c r="C16" s="160" t="s">
        <v>16</v>
      </c>
      <c r="D16" s="191">
        <v>2.2562825799424301E-3</v>
      </c>
      <c r="E16" s="164">
        <f t="shared" si="0"/>
        <v>113513.57659690366</v>
      </c>
      <c r="F16" s="165">
        <f t="shared" si="0"/>
        <v>118964.75531004457</v>
      </c>
      <c r="G16" s="165">
        <f t="shared" si="0"/>
        <v>124537.77328250237</v>
      </c>
      <c r="H16" s="165">
        <f t="shared" si="0"/>
        <v>129991.20827822323</v>
      </c>
      <c r="I16" s="165">
        <f t="shared" si="0"/>
        <v>135645.45242355895</v>
      </c>
      <c r="J16" s="166">
        <f t="shared" si="0"/>
        <v>141028.9426593016</v>
      </c>
    </row>
    <row r="17" spans="2:10" customFormat="1" x14ac:dyDescent="0.35">
      <c r="B17" s="100">
        <v>361</v>
      </c>
      <c r="C17" s="160" t="s">
        <v>17</v>
      </c>
      <c r="D17" s="191">
        <v>1.0269975881117201E-2</v>
      </c>
      <c r="E17" s="164">
        <f t="shared" si="0"/>
        <v>516682.48657900636</v>
      </c>
      <c r="F17" s="165">
        <f t="shared" si="0"/>
        <v>541494.74830778548</v>
      </c>
      <c r="G17" s="165">
        <f t="shared" si="0"/>
        <v>566861.58873414504</v>
      </c>
      <c r="H17" s="165">
        <f t="shared" si="0"/>
        <v>591684.12043880532</v>
      </c>
      <c r="I17" s="165">
        <f t="shared" si="0"/>
        <v>617420.67999688501</v>
      </c>
      <c r="J17" s="166">
        <f t="shared" si="0"/>
        <v>641924.84244923061</v>
      </c>
    </row>
    <row r="18" spans="2:10" customFormat="1" x14ac:dyDescent="0.35">
      <c r="B18" s="100">
        <v>141</v>
      </c>
      <c r="C18" s="160" t="s">
        <v>18</v>
      </c>
      <c r="D18" s="191">
        <v>7.0800591301641604E-3</v>
      </c>
      <c r="E18" s="164">
        <f t="shared" si="0"/>
        <v>356197.77483855892</v>
      </c>
      <c r="F18" s="165">
        <f t="shared" si="0"/>
        <v>373303.1976970355</v>
      </c>
      <c r="G18" s="165">
        <f t="shared" si="0"/>
        <v>390790.943748541</v>
      </c>
      <c r="H18" s="165">
        <f t="shared" si="0"/>
        <v>407903.44666614779</v>
      </c>
      <c r="I18" s="165">
        <f t="shared" si="0"/>
        <v>425646.07484633918</v>
      </c>
      <c r="J18" s="166">
        <f t="shared" si="0"/>
        <v>442539.09593091084</v>
      </c>
    </row>
    <row r="19" spans="2:10" customFormat="1" x14ac:dyDescent="0.35">
      <c r="B19" s="100">
        <v>34</v>
      </c>
      <c r="C19" s="160" t="s">
        <v>19</v>
      </c>
      <c r="D19" s="191">
        <v>1.0620088695246201E-2</v>
      </c>
      <c r="E19" s="164">
        <f t="shared" si="0"/>
        <v>534296.66225783632</v>
      </c>
      <c r="F19" s="165">
        <f t="shared" si="0"/>
        <v>559954.79654555116</v>
      </c>
      <c r="G19" s="165">
        <f t="shared" si="0"/>
        <v>586186.41562280932</v>
      </c>
      <c r="H19" s="165">
        <f t="shared" si="0"/>
        <v>611855.16999921936</v>
      </c>
      <c r="I19" s="165">
        <f t="shared" si="0"/>
        <v>638469.11226950632</v>
      </c>
      <c r="J19" s="166">
        <f t="shared" si="0"/>
        <v>663808.64389636379</v>
      </c>
    </row>
    <row r="20" spans="2:10" customFormat="1" x14ac:dyDescent="0.35">
      <c r="B20" s="100">
        <v>484</v>
      </c>
      <c r="C20" s="160" t="s">
        <v>20</v>
      </c>
      <c r="D20" s="191">
        <v>5.6796078736481804E-3</v>
      </c>
      <c r="E20" s="164">
        <f t="shared" si="0"/>
        <v>285741.07212323998</v>
      </c>
      <c r="F20" s="165">
        <f t="shared" si="0"/>
        <v>299463.00474597397</v>
      </c>
      <c r="G20" s="165">
        <f t="shared" si="0"/>
        <v>313491.63619388494</v>
      </c>
      <c r="H20" s="165">
        <f t="shared" si="0"/>
        <v>327219.2484244926</v>
      </c>
      <c r="I20" s="165">
        <f t="shared" si="0"/>
        <v>341452.34575585497</v>
      </c>
      <c r="J20" s="166">
        <f t="shared" si="0"/>
        <v>355003.8901423795</v>
      </c>
    </row>
    <row r="21" spans="2:10" customFormat="1" x14ac:dyDescent="0.35">
      <c r="B21" s="100">
        <v>1723</v>
      </c>
      <c r="C21" s="160" t="s">
        <v>21</v>
      </c>
      <c r="D21" s="191">
        <v>0</v>
      </c>
      <c r="E21" s="164">
        <f t="shared" si="0"/>
        <v>0</v>
      </c>
      <c r="F21" s="165">
        <f t="shared" si="0"/>
        <v>0</v>
      </c>
      <c r="G21" s="165">
        <f t="shared" si="0"/>
        <v>0</v>
      </c>
      <c r="H21" s="165">
        <f t="shared" si="0"/>
        <v>0</v>
      </c>
      <c r="I21" s="165">
        <f t="shared" si="0"/>
        <v>0</v>
      </c>
      <c r="J21" s="166">
        <f t="shared" si="0"/>
        <v>0</v>
      </c>
    </row>
    <row r="22" spans="2:10" customFormat="1" x14ac:dyDescent="0.35">
      <c r="B22" s="100">
        <v>1959</v>
      </c>
      <c r="C22" s="160" t="s">
        <v>22</v>
      </c>
      <c r="D22" s="191">
        <v>2.4896911226950898E-3</v>
      </c>
      <c r="E22" s="164">
        <f t="shared" si="0"/>
        <v>125256.36038278996</v>
      </c>
      <c r="F22" s="165">
        <f t="shared" si="0"/>
        <v>131271.45413522131</v>
      </c>
      <c r="G22" s="165">
        <f t="shared" si="0"/>
        <v>137420.99120827817</v>
      </c>
      <c r="H22" s="165">
        <f t="shared" si="0"/>
        <v>143438.5746518322</v>
      </c>
      <c r="I22" s="165">
        <f t="shared" si="0"/>
        <v>149677.74060530611</v>
      </c>
      <c r="J22" s="166">
        <f t="shared" si="0"/>
        <v>155618.1436240566</v>
      </c>
    </row>
    <row r="23" spans="2:10" customFormat="1" x14ac:dyDescent="0.35">
      <c r="B23" s="100">
        <v>60</v>
      </c>
      <c r="C23" s="160" t="s">
        <v>23</v>
      </c>
      <c r="D23" s="191">
        <v>1.16704271376332E-4</v>
      </c>
      <c r="E23" s="164">
        <f t="shared" si="0"/>
        <v>5871.391892943263</v>
      </c>
      <c r="F23" s="165">
        <f t="shared" si="0"/>
        <v>6153.3494125884808</v>
      </c>
      <c r="G23" s="165">
        <f t="shared" si="0"/>
        <v>6441.6089628880209</v>
      </c>
      <c r="H23" s="165">
        <f t="shared" si="0"/>
        <v>6723.6831868046156</v>
      </c>
      <c r="I23" s="165">
        <f t="shared" si="0"/>
        <v>7016.1440908737031</v>
      </c>
      <c r="J23" s="166">
        <f t="shared" si="0"/>
        <v>7294.6004823776311</v>
      </c>
    </row>
    <row r="24" spans="2:10" customFormat="1" x14ac:dyDescent="0.35">
      <c r="B24" s="100">
        <v>307</v>
      </c>
      <c r="C24" s="160" t="s">
        <v>24</v>
      </c>
      <c r="D24" s="191">
        <v>6.34093207811406E-3</v>
      </c>
      <c r="E24" s="164">
        <f t="shared" si="0"/>
        <v>319012.29284991836</v>
      </c>
      <c r="F24" s="165">
        <f t="shared" si="0"/>
        <v>334331.98475064192</v>
      </c>
      <c r="G24" s="165">
        <f t="shared" si="0"/>
        <v>349994.08698358363</v>
      </c>
      <c r="H24" s="165">
        <f t="shared" si="0"/>
        <v>365320.11981638533</v>
      </c>
      <c r="I24" s="165">
        <f t="shared" si="0"/>
        <v>381210.49560413917</v>
      </c>
      <c r="J24" s="166">
        <f t="shared" si="0"/>
        <v>396339.9595425193</v>
      </c>
    </row>
    <row r="25" spans="2:10" customFormat="1" x14ac:dyDescent="0.35">
      <c r="B25" s="100">
        <v>362</v>
      </c>
      <c r="C25" s="160" t="s">
        <v>25</v>
      </c>
      <c r="D25" s="191">
        <v>4.04574807437952E-3</v>
      </c>
      <c r="E25" s="164">
        <f t="shared" si="0"/>
        <v>203541.58562203366</v>
      </c>
      <c r="F25" s="165">
        <f t="shared" si="0"/>
        <v>213316.11296973456</v>
      </c>
      <c r="G25" s="165">
        <f t="shared" si="0"/>
        <v>223309.11071345198</v>
      </c>
      <c r="H25" s="165">
        <f t="shared" si="0"/>
        <v>233087.68380922728</v>
      </c>
      <c r="I25" s="165">
        <f t="shared" si="0"/>
        <v>243226.32848362235</v>
      </c>
      <c r="J25" s="166">
        <f t="shared" si="0"/>
        <v>252879.48338909188</v>
      </c>
    </row>
    <row r="26" spans="2:10" customFormat="1" x14ac:dyDescent="0.35">
      <c r="B26" s="100">
        <v>363</v>
      </c>
      <c r="C26" s="160" t="s">
        <v>26</v>
      </c>
      <c r="D26" s="191">
        <v>4.3958608885085203E-2</v>
      </c>
      <c r="E26" s="164">
        <f t="shared" si="0"/>
        <v>2211557.6130086365</v>
      </c>
      <c r="F26" s="165">
        <f t="shared" si="0"/>
        <v>2317761.6120750024</v>
      </c>
      <c r="G26" s="165">
        <f t="shared" si="0"/>
        <v>2426339.3760211631</v>
      </c>
      <c r="H26" s="165">
        <f t="shared" si="0"/>
        <v>2532587.3336964138</v>
      </c>
      <c r="I26" s="165">
        <f t="shared" si="0"/>
        <v>2642747.6075624372</v>
      </c>
      <c r="J26" s="166">
        <f t="shared" si="0"/>
        <v>2747632.8483622507</v>
      </c>
    </row>
    <row r="27" spans="2:10" customFormat="1" x14ac:dyDescent="0.35">
      <c r="B27" s="100">
        <v>200</v>
      </c>
      <c r="C27" s="160" t="s">
        <v>27</v>
      </c>
      <c r="D27" s="191">
        <v>1.0658990119038401E-2</v>
      </c>
      <c r="E27" s="164">
        <f t="shared" ref="E27:J42" si="1">$D27*E$10</f>
        <v>536253.79288882192</v>
      </c>
      <c r="F27" s="165">
        <f t="shared" si="1"/>
        <v>562005.91301641869</v>
      </c>
      <c r="G27" s="165">
        <f t="shared" si="1"/>
        <v>588333.61861044355</v>
      </c>
      <c r="H27" s="165">
        <f t="shared" si="1"/>
        <v>614096.39772815944</v>
      </c>
      <c r="I27" s="165">
        <f t="shared" si="1"/>
        <v>640807.82696646964</v>
      </c>
      <c r="J27" s="166">
        <f t="shared" si="1"/>
        <v>666240.1773904952</v>
      </c>
    </row>
    <row r="28" spans="2:10" customFormat="1" x14ac:dyDescent="0.35">
      <c r="B28" s="100">
        <v>3</v>
      </c>
      <c r="C28" s="160" t="s">
        <v>28</v>
      </c>
      <c r="D28" s="191">
        <v>7.0022562825799398E-4</v>
      </c>
      <c r="E28" s="164">
        <f t="shared" si="1"/>
        <v>35228.351357659674</v>
      </c>
      <c r="F28" s="165">
        <f t="shared" si="1"/>
        <v>36920.096475530991</v>
      </c>
      <c r="G28" s="165">
        <f t="shared" si="1"/>
        <v>38649.653777328233</v>
      </c>
      <c r="H28" s="165">
        <f t="shared" si="1"/>
        <v>40342.099120827806</v>
      </c>
      <c r="I28" s="165">
        <f t="shared" si="1"/>
        <v>42096.864545242337</v>
      </c>
      <c r="J28" s="166">
        <f t="shared" si="1"/>
        <v>43767.60289426591</v>
      </c>
    </row>
    <row r="29" spans="2:10" customFormat="1" x14ac:dyDescent="0.35">
      <c r="B29" s="100">
        <v>202</v>
      </c>
      <c r="C29" s="160" t="s">
        <v>29</v>
      </c>
      <c r="D29" s="191">
        <v>2.0617754609818701E-2</v>
      </c>
      <c r="E29" s="164">
        <f t="shared" si="1"/>
        <v>1037279.2344199788</v>
      </c>
      <c r="F29" s="165">
        <f t="shared" si="1"/>
        <v>1087091.7295573009</v>
      </c>
      <c r="G29" s="165">
        <f t="shared" si="1"/>
        <v>1138017.583443553</v>
      </c>
      <c r="H29" s="165">
        <f t="shared" si="1"/>
        <v>1187850.6963354847</v>
      </c>
      <c r="I29" s="165">
        <f t="shared" si="1"/>
        <v>1239518.7893876906</v>
      </c>
      <c r="J29" s="166">
        <f t="shared" si="1"/>
        <v>1288712.751886718</v>
      </c>
    </row>
    <row r="30" spans="2:10" customFormat="1" x14ac:dyDescent="0.35">
      <c r="B30" s="100">
        <v>106</v>
      </c>
      <c r="C30" s="160" t="s">
        <v>30</v>
      </c>
      <c r="D30" s="191">
        <v>5.4072979071034004E-3</v>
      </c>
      <c r="E30" s="164">
        <f t="shared" si="1"/>
        <v>272041.15770637209</v>
      </c>
      <c r="F30" s="165">
        <f t="shared" si="1"/>
        <v>285105.18944993388</v>
      </c>
      <c r="G30" s="165">
        <f t="shared" si="1"/>
        <v>298461.21528047929</v>
      </c>
      <c r="H30" s="165">
        <f t="shared" si="1"/>
        <v>311530.65432194818</v>
      </c>
      <c r="I30" s="165">
        <f t="shared" si="1"/>
        <v>325081.34287714935</v>
      </c>
      <c r="J30" s="166">
        <f t="shared" si="1"/>
        <v>337983.15568349801</v>
      </c>
    </row>
    <row r="31" spans="2:10" customFormat="1" x14ac:dyDescent="0.35">
      <c r="B31" s="100">
        <v>743</v>
      </c>
      <c r="C31" s="160" t="s">
        <v>31</v>
      </c>
      <c r="D31" s="191">
        <v>2.3340854275266499E-4</v>
      </c>
      <c r="E31" s="164">
        <f t="shared" si="1"/>
        <v>11742.783785886575</v>
      </c>
      <c r="F31" s="165">
        <f t="shared" si="1"/>
        <v>12306.698825177014</v>
      </c>
      <c r="G31" s="165">
        <f t="shared" si="1"/>
        <v>12883.217925776096</v>
      </c>
      <c r="H31" s="165">
        <f t="shared" si="1"/>
        <v>13447.366373609288</v>
      </c>
      <c r="I31" s="165">
        <f t="shared" si="1"/>
        <v>14032.288181747466</v>
      </c>
      <c r="J31" s="166">
        <f t="shared" si="1"/>
        <v>14589.200964755326</v>
      </c>
    </row>
    <row r="32" spans="2:10" customFormat="1" x14ac:dyDescent="0.35">
      <c r="B32" s="100">
        <v>744</v>
      </c>
      <c r="C32" s="160" t="s">
        <v>32</v>
      </c>
      <c r="D32" s="191">
        <v>1.9450711896055401E-4</v>
      </c>
      <c r="E32" s="164">
        <f t="shared" si="1"/>
        <v>9785.6531549054725</v>
      </c>
      <c r="F32" s="165">
        <f t="shared" si="1"/>
        <v>10255.582354314171</v>
      </c>
      <c r="G32" s="165">
        <f t="shared" si="1"/>
        <v>10736.01493814674</v>
      </c>
      <c r="H32" s="165">
        <f t="shared" si="1"/>
        <v>11206.138644674398</v>
      </c>
      <c r="I32" s="165">
        <f t="shared" si="1"/>
        <v>11693.573484789547</v>
      </c>
      <c r="J32" s="166">
        <f t="shared" si="1"/>
        <v>12157.667470629429</v>
      </c>
    </row>
    <row r="33" spans="2:10" customFormat="1" x14ac:dyDescent="0.35">
      <c r="B33" s="100">
        <v>308</v>
      </c>
      <c r="C33" s="160" t="s">
        <v>33</v>
      </c>
      <c r="D33" s="191">
        <v>6.6132420446588305E-4</v>
      </c>
      <c r="E33" s="164">
        <f t="shared" si="1"/>
        <v>33271.220726678577</v>
      </c>
      <c r="F33" s="165">
        <f t="shared" si="1"/>
        <v>34868.980004668148</v>
      </c>
      <c r="G33" s="165">
        <f t="shared" si="1"/>
        <v>36502.45078969888</v>
      </c>
      <c r="H33" s="165">
        <f t="shared" si="1"/>
        <v>38100.871391892921</v>
      </c>
      <c r="I33" s="165">
        <f t="shared" si="1"/>
        <v>39758.149848284425</v>
      </c>
      <c r="J33" s="166">
        <f t="shared" si="1"/>
        <v>41336.069400140019</v>
      </c>
    </row>
    <row r="34" spans="2:10" customFormat="1" x14ac:dyDescent="0.35">
      <c r="B34" s="100">
        <v>489</v>
      </c>
      <c r="C34" s="160" t="s">
        <v>34</v>
      </c>
      <c r="D34" s="191">
        <v>1.47825410410021E-3</v>
      </c>
      <c r="E34" s="164">
        <f t="shared" si="1"/>
        <v>74370.963977281572</v>
      </c>
      <c r="F34" s="165">
        <f t="shared" si="1"/>
        <v>77942.42589278768</v>
      </c>
      <c r="G34" s="165">
        <f t="shared" si="1"/>
        <v>81593.7135299152</v>
      </c>
      <c r="H34" s="165">
        <f t="shared" si="1"/>
        <v>85166.653699525399</v>
      </c>
      <c r="I34" s="165">
        <f t="shared" si="1"/>
        <v>88871.158484400527</v>
      </c>
      <c r="J34" s="166">
        <f t="shared" si="1"/>
        <v>92398.272776783633</v>
      </c>
    </row>
    <row r="35" spans="2:10" customFormat="1" x14ac:dyDescent="0.35">
      <c r="B35" s="100">
        <v>203</v>
      </c>
      <c r="C35" s="160" t="s">
        <v>35</v>
      </c>
      <c r="D35" s="191">
        <v>2.37298685131876E-3</v>
      </c>
      <c r="E35" s="164">
        <f t="shared" si="1"/>
        <v>119384.96848984681</v>
      </c>
      <c r="F35" s="165">
        <f t="shared" si="1"/>
        <v>125118.10472263294</v>
      </c>
      <c r="G35" s="165">
        <f t="shared" si="1"/>
        <v>130979.38224539027</v>
      </c>
      <c r="H35" s="165">
        <f t="shared" si="1"/>
        <v>136714.89146502773</v>
      </c>
      <c r="I35" s="165">
        <f t="shared" si="1"/>
        <v>142661.59651443252</v>
      </c>
      <c r="J35" s="166">
        <f t="shared" si="1"/>
        <v>148323.54314167908</v>
      </c>
    </row>
    <row r="36" spans="2:10" customFormat="1" x14ac:dyDescent="0.35">
      <c r="B36" s="100">
        <v>888</v>
      </c>
      <c r="C36" s="160" t="s">
        <v>36</v>
      </c>
      <c r="D36" s="191">
        <v>8.5583132342643704E-4</v>
      </c>
      <c r="E36" s="164">
        <f t="shared" si="1"/>
        <v>43056.873881584048</v>
      </c>
      <c r="F36" s="165">
        <f t="shared" si="1"/>
        <v>45124.562358982323</v>
      </c>
      <c r="G36" s="165">
        <f t="shared" si="1"/>
        <v>47238.465727845622</v>
      </c>
      <c r="H36" s="165">
        <f t="shared" si="1"/>
        <v>49307.010036567321</v>
      </c>
      <c r="I36" s="165">
        <f t="shared" si="1"/>
        <v>51451.723333073969</v>
      </c>
      <c r="J36" s="166">
        <f t="shared" si="1"/>
        <v>53493.736870769448</v>
      </c>
    </row>
    <row r="37" spans="2:10" customFormat="1" x14ac:dyDescent="0.35">
      <c r="B37" s="100">
        <v>1954</v>
      </c>
      <c r="C37" s="160" t="s">
        <v>37</v>
      </c>
      <c r="D37" s="191">
        <v>1.7894654944371001E-3</v>
      </c>
      <c r="E37" s="164">
        <f t="shared" si="1"/>
        <v>90028.009025130508</v>
      </c>
      <c r="F37" s="165">
        <f t="shared" si="1"/>
        <v>94351.357659690533</v>
      </c>
      <c r="G37" s="165">
        <f t="shared" si="1"/>
        <v>98771.337430950181</v>
      </c>
      <c r="H37" s="165">
        <f t="shared" si="1"/>
        <v>103096.47553100465</v>
      </c>
      <c r="I37" s="165">
        <f t="shared" si="1"/>
        <v>107580.87606006402</v>
      </c>
      <c r="J37" s="166">
        <f t="shared" si="1"/>
        <v>111850.54072979094</v>
      </c>
    </row>
    <row r="38" spans="2:10" customFormat="1" x14ac:dyDescent="0.35">
      <c r="B38" s="100">
        <v>370</v>
      </c>
      <c r="C38" s="160" t="s">
        <v>38</v>
      </c>
      <c r="D38" s="191">
        <v>3.8901423792110803E-4</v>
      </c>
      <c r="E38" s="164">
        <f t="shared" si="1"/>
        <v>19571.306309810945</v>
      </c>
      <c r="F38" s="165">
        <f t="shared" si="1"/>
        <v>20511.164708628341</v>
      </c>
      <c r="G38" s="165">
        <f t="shared" si="1"/>
        <v>21472.02987629348</v>
      </c>
      <c r="H38" s="165">
        <f t="shared" si="1"/>
        <v>22412.277289348796</v>
      </c>
      <c r="I38" s="165">
        <f t="shared" si="1"/>
        <v>23387.146969579095</v>
      </c>
      <c r="J38" s="166">
        <f t="shared" si="1"/>
        <v>24315.334941258858</v>
      </c>
    </row>
    <row r="39" spans="2:10" customFormat="1" x14ac:dyDescent="0.35">
      <c r="B39" s="100">
        <v>889</v>
      </c>
      <c r="C39" s="160" t="s">
        <v>39</v>
      </c>
      <c r="D39" s="191">
        <v>5.0571850929743999E-4</v>
      </c>
      <c r="E39" s="164">
        <f t="shared" si="1"/>
        <v>25442.698202754207</v>
      </c>
      <c r="F39" s="165">
        <f t="shared" si="1"/>
        <v>26664.51412121682</v>
      </c>
      <c r="G39" s="165">
        <f t="shared" si="1"/>
        <v>27913.638839181498</v>
      </c>
      <c r="H39" s="165">
        <f t="shared" si="1"/>
        <v>29135.96047615341</v>
      </c>
      <c r="I39" s="165">
        <f t="shared" si="1"/>
        <v>30403.291060452793</v>
      </c>
      <c r="J39" s="166">
        <f t="shared" si="1"/>
        <v>31609.935423636485</v>
      </c>
    </row>
    <row r="40" spans="2:10" customFormat="1" x14ac:dyDescent="0.35">
      <c r="B40" s="100">
        <v>1945</v>
      </c>
      <c r="C40" s="160" t="s">
        <v>40</v>
      </c>
      <c r="D40" s="191">
        <v>1.71166264685287E-3</v>
      </c>
      <c r="E40" s="164">
        <f t="shared" si="1"/>
        <v>86113.747763167892</v>
      </c>
      <c r="F40" s="165">
        <f t="shared" si="1"/>
        <v>90249.124717964427</v>
      </c>
      <c r="G40" s="165">
        <f t="shared" si="1"/>
        <v>94476.93145569101</v>
      </c>
      <c r="H40" s="165">
        <f t="shared" si="1"/>
        <v>98614.020073134394</v>
      </c>
      <c r="I40" s="165">
        <f t="shared" si="1"/>
        <v>102903.44666614769</v>
      </c>
      <c r="J40" s="166">
        <f t="shared" si="1"/>
        <v>106987.47374153863</v>
      </c>
    </row>
    <row r="41" spans="2:10" customFormat="1" x14ac:dyDescent="0.35">
      <c r="B41" s="100">
        <v>1724</v>
      </c>
      <c r="C41" s="160" t="s">
        <v>41</v>
      </c>
      <c r="D41" s="191">
        <v>3.5011281412899699E-4</v>
      </c>
      <c r="E41" s="164">
        <f t="shared" si="1"/>
        <v>17614.175678829837</v>
      </c>
      <c r="F41" s="165">
        <f t="shared" si="1"/>
        <v>18460.048237765495</v>
      </c>
      <c r="G41" s="165">
        <f t="shared" si="1"/>
        <v>19324.826888664116</v>
      </c>
      <c r="H41" s="165">
        <f t="shared" si="1"/>
        <v>20171.049560413903</v>
      </c>
      <c r="I41" s="165">
        <f t="shared" si="1"/>
        <v>21048.432272621169</v>
      </c>
      <c r="J41" s="166">
        <f t="shared" si="1"/>
        <v>21883.801447132955</v>
      </c>
    </row>
    <row r="42" spans="2:10" customFormat="1" x14ac:dyDescent="0.35">
      <c r="B42" s="100">
        <v>893</v>
      </c>
      <c r="C42" s="160" t="s">
        <v>42</v>
      </c>
      <c r="D42" s="191">
        <v>6.2242278067377299E-4</v>
      </c>
      <c r="E42" s="164">
        <f t="shared" si="1"/>
        <v>31314.09009569752</v>
      </c>
      <c r="F42" s="165">
        <f t="shared" si="1"/>
        <v>32817.863533805357</v>
      </c>
      <c r="G42" s="165">
        <f t="shared" si="1"/>
        <v>34355.247802069571</v>
      </c>
      <c r="H42" s="165">
        <f t="shared" si="1"/>
        <v>35859.643662958086</v>
      </c>
      <c r="I42" s="165">
        <f t="shared" si="1"/>
        <v>37419.435151326557</v>
      </c>
      <c r="J42" s="166">
        <f t="shared" si="1"/>
        <v>38904.535906014178</v>
      </c>
    </row>
    <row r="43" spans="2:10" customFormat="1" x14ac:dyDescent="0.35">
      <c r="B43" s="100">
        <v>373</v>
      </c>
      <c r="C43" s="160" t="s">
        <v>43</v>
      </c>
      <c r="D43" s="191">
        <v>1.20594413755543E-3</v>
      </c>
      <c r="E43" s="164">
        <f t="shared" ref="E43:J58" si="2">$D43*E$10</f>
        <v>60671.049560413681</v>
      </c>
      <c r="F43" s="165">
        <f t="shared" si="2"/>
        <v>63584.610596747603</v>
      </c>
      <c r="G43" s="165">
        <f t="shared" si="2"/>
        <v>66563.292616509512</v>
      </c>
      <c r="H43" s="165">
        <f t="shared" si="2"/>
        <v>69478.05959698098</v>
      </c>
      <c r="I43" s="165">
        <f t="shared" si="2"/>
        <v>72500.15560569489</v>
      </c>
      <c r="J43" s="166">
        <f t="shared" si="2"/>
        <v>75377.538317902145</v>
      </c>
    </row>
    <row r="44" spans="2:10" customFormat="1" x14ac:dyDescent="0.35">
      <c r="B44" s="100">
        <v>748</v>
      </c>
      <c r="C44" s="160" t="s">
        <v>44</v>
      </c>
      <c r="D44" s="191">
        <v>4.2791566171321901E-3</v>
      </c>
      <c r="E44" s="164">
        <f t="shared" si="2"/>
        <v>215284.36940792049</v>
      </c>
      <c r="F44" s="165">
        <f t="shared" si="2"/>
        <v>225622.81179491186</v>
      </c>
      <c r="G44" s="165">
        <f t="shared" si="2"/>
        <v>236192.32863922836</v>
      </c>
      <c r="H44" s="165">
        <f t="shared" si="2"/>
        <v>246535.05018283686</v>
      </c>
      <c r="I44" s="165">
        <f t="shared" si="2"/>
        <v>257258.61666537012</v>
      </c>
      <c r="J44" s="166">
        <f t="shared" si="2"/>
        <v>267468.68435384752</v>
      </c>
    </row>
    <row r="45" spans="2:10" customFormat="1" x14ac:dyDescent="0.35">
      <c r="B45" s="100">
        <v>1859</v>
      </c>
      <c r="C45" s="160" t="s">
        <v>45</v>
      </c>
      <c r="D45" s="191">
        <v>2.33408542752665E-3</v>
      </c>
      <c r="E45" s="164">
        <f t="shared" si="2"/>
        <v>117427.83785886577</v>
      </c>
      <c r="F45" s="165">
        <f t="shared" si="2"/>
        <v>123066.98825177015</v>
      </c>
      <c r="G45" s="165">
        <f t="shared" si="2"/>
        <v>128832.17925776097</v>
      </c>
      <c r="H45" s="165">
        <f t="shared" si="2"/>
        <v>134473.66373609289</v>
      </c>
      <c r="I45" s="165">
        <f t="shared" si="2"/>
        <v>140322.88181747467</v>
      </c>
      <c r="J45" s="166">
        <f t="shared" si="2"/>
        <v>145892.00964755326</v>
      </c>
    </row>
    <row r="46" spans="2:10" customFormat="1" x14ac:dyDescent="0.35">
      <c r="B46" s="100">
        <v>1721</v>
      </c>
      <c r="C46" s="160" t="s">
        <v>46</v>
      </c>
      <c r="D46" s="191">
        <v>1.2837469851396601E-3</v>
      </c>
      <c r="E46" s="164">
        <f t="shared" si="2"/>
        <v>64585.310822376297</v>
      </c>
      <c r="F46" s="165">
        <f t="shared" si="2"/>
        <v>67686.843538473709</v>
      </c>
      <c r="G46" s="165">
        <f t="shared" si="2"/>
        <v>70857.698591768683</v>
      </c>
      <c r="H46" s="165">
        <f t="shared" si="2"/>
        <v>73960.515054851232</v>
      </c>
      <c r="I46" s="165">
        <f t="shared" si="2"/>
        <v>77177.584999611223</v>
      </c>
      <c r="J46" s="166">
        <f t="shared" si="2"/>
        <v>80240.605306154452</v>
      </c>
    </row>
    <row r="47" spans="2:10" customFormat="1" x14ac:dyDescent="0.35">
      <c r="B47" s="100">
        <v>753</v>
      </c>
      <c r="C47" s="160" t="s">
        <v>47</v>
      </c>
      <c r="D47" s="191">
        <v>1.0892398661790999E-3</v>
      </c>
      <c r="E47" s="164">
        <f t="shared" si="2"/>
        <v>54799.657667470514</v>
      </c>
      <c r="F47" s="165">
        <f t="shared" si="2"/>
        <v>57431.261184159222</v>
      </c>
      <c r="G47" s="165">
        <f t="shared" si="2"/>
        <v>60121.6836536216</v>
      </c>
      <c r="H47" s="165">
        <f t="shared" si="2"/>
        <v>62754.376410176483</v>
      </c>
      <c r="I47" s="165">
        <f t="shared" si="2"/>
        <v>65484.011514821308</v>
      </c>
      <c r="J47" s="166">
        <f t="shared" si="2"/>
        <v>68082.937835524644</v>
      </c>
    </row>
    <row r="48" spans="2:10" customFormat="1" x14ac:dyDescent="0.35">
      <c r="B48" s="100">
        <v>209</v>
      </c>
      <c r="C48" s="160" t="s">
        <v>48</v>
      </c>
      <c r="D48" s="191">
        <v>1.01143701859488E-3</v>
      </c>
      <c r="E48" s="164">
        <f t="shared" si="2"/>
        <v>50885.396405508414</v>
      </c>
      <c r="F48" s="165">
        <f t="shared" si="2"/>
        <v>53329.02824243364</v>
      </c>
      <c r="G48" s="165">
        <f t="shared" si="2"/>
        <v>55827.277678362996</v>
      </c>
      <c r="H48" s="165">
        <f t="shared" si="2"/>
        <v>58271.92095230682</v>
      </c>
      <c r="I48" s="165">
        <f t="shared" si="2"/>
        <v>60806.582120905587</v>
      </c>
      <c r="J48" s="166">
        <f t="shared" si="2"/>
        <v>63219.87084727297</v>
      </c>
    </row>
    <row r="49" spans="2:10" customFormat="1" x14ac:dyDescent="0.35">
      <c r="B49" s="100">
        <v>375</v>
      </c>
      <c r="C49" s="160" t="s">
        <v>49</v>
      </c>
      <c r="D49" s="191">
        <v>2.4507896989029799E-3</v>
      </c>
      <c r="E49" s="164">
        <f t="shared" si="2"/>
        <v>123299.22975180892</v>
      </c>
      <c r="F49" s="165">
        <f t="shared" si="2"/>
        <v>129220.33766435852</v>
      </c>
      <c r="G49" s="165">
        <f t="shared" si="2"/>
        <v>135273.78822064889</v>
      </c>
      <c r="H49" s="165">
        <f t="shared" si="2"/>
        <v>141197.34692289738</v>
      </c>
      <c r="I49" s="165">
        <f t="shared" si="2"/>
        <v>147339.02590834824</v>
      </c>
      <c r="J49" s="166">
        <f t="shared" si="2"/>
        <v>153186.61012993075</v>
      </c>
    </row>
    <row r="50" spans="2:10" customFormat="1" x14ac:dyDescent="0.35">
      <c r="B50" s="100">
        <v>1728</v>
      </c>
      <c r="C50" s="160" t="s">
        <v>50</v>
      </c>
      <c r="D50" s="191">
        <v>5.0571850929744097E-4</v>
      </c>
      <c r="E50" s="164">
        <f t="shared" si="2"/>
        <v>25442.698202754254</v>
      </c>
      <c r="F50" s="165">
        <f t="shared" si="2"/>
        <v>26664.514121216871</v>
      </c>
      <c r="G50" s="165">
        <f t="shared" si="2"/>
        <v>27913.638839181553</v>
      </c>
      <c r="H50" s="165">
        <f t="shared" si="2"/>
        <v>29135.960476153468</v>
      </c>
      <c r="I50" s="165">
        <f t="shared" si="2"/>
        <v>30403.291060452855</v>
      </c>
      <c r="J50" s="166">
        <f t="shared" si="2"/>
        <v>31609.935423636547</v>
      </c>
    </row>
    <row r="51" spans="2:10" customFormat="1" x14ac:dyDescent="0.35">
      <c r="B51" s="100">
        <v>376</v>
      </c>
      <c r="C51" s="160" t="s">
        <v>51</v>
      </c>
      <c r="D51" s="191">
        <v>7.7802847584221597E-5</v>
      </c>
      <c r="E51" s="164">
        <f t="shared" si="2"/>
        <v>3914.2612619621887</v>
      </c>
      <c r="F51" s="165">
        <f t="shared" si="2"/>
        <v>4102.2329417256678</v>
      </c>
      <c r="G51" s="165">
        <f t="shared" si="2"/>
        <v>4294.4059752586954</v>
      </c>
      <c r="H51" s="165">
        <f t="shared" si="2"/>
        <v>4482.4554578697589</v>
      </c>
      <c r="I51" s="165">
        <f t="shared" si="2"/>
        <v>4677.4293939158179</v>
      </c>
      <c r="J51" s="166">
        <f t="shared" si="2"/>
        <v>4863.0669882517714</v>
      </c>
    </row>
    <row r="52" spans="2:10" customFormat="1" x14ac:dyDescent="0.35">
      <c r="B52" s="100">
        <v>377</v>
      </c>
      <c r="C52" s="160" t="s">
        <v>52</v>
      </c>
      <c r="D52" s="191">
        <v>5.8352135688166196E-4</v>
      </c>
      <c r="E52" s="164">
        <f t="shared" si="2"/>
        <v>29356.959464716412</v>
      </c>
      <c r="F52" s="165">
        <f t="shared" si="2"/>
        <v>30766.747062942508</v>
      </c>
      <c r="G52" s="165">
        <f t="shared" si="2"/>
        <v>32208.044814440214</v>
      </c>
      <c r="H52" s="165">
        <f t="shared" si="2"/>
        <v>33618.415934023193</v>
      </c>
      <c r="I52" s="165">
        <f t="shared" si="2"/>
        <v>35080.720454368638</v>
      </c>
      <c r="J52" s="166">
        <f t="shared" si="2"/>
        <v>36473.002411888279</v>
      </c>
    </row>
    <row r="53" spans="2:10" customFormat="1" x14ac:dyDescent="0.35">
      <c r="B53" s="100">
        <v>1901</v>
      </c>
      <c r="C53" s="160" t="s">
        <v>53</v>
      </c>
      <c r="D53" s="191">
        <v>1.32264840893177E-3</v>
      </c>
      <c r="E53" s="164">
        <f t="shared" si="2"/>
        <v>66542.441453357344</v>
      </c>
      <c r="F53" s="165">
        <f t="shared" si="2"/>
        <v>69737.960009336501</v>
      </c>
      <c r="G53" s="165">
        <f t="shared" si="2"/>
        <v>73004.901579397978</v>
      </c>
      <c r="H53" s="165">
        <f t="shared" si="2"/>
        <v>76201.74278378606</v>
      </c>
      <c r="I53" s="165">
        <f t="shared" si="2"/>
        <v>79516.299696569084</v>
      </c>
      <c r="J53" s="166">
        <f t="shared" si="2"/>
        <v>82672.138800280285</v>
      </c>
    </row>
    <row r="54" spans="2:10" customFormat="1" x14ac:dyDescent="0.35">
      <c r="B54" s="100">
        <v>755</v>
      </c>
      <c r="C54" s="160" t="s">
        <v>54</v>
      </c>
      <c r="D54" s="191">
        <v>3.8901423792110803E-4</v>
      </c>
      <c r="E54" s="164">
        <f t="shared" si="2"/>
        <v>19571.306309810945</v>
      </c>
      <c r="F54" s="165">
        <f t="shared" si="2"/>
        <v>20511.164708628341</v>
      </c>
      <c r="G54" s="165">
        <f t="shared" si="2"/>
        <v>21472.02987629348</v>
      </c>
      <c r="H54" s="165">
        <f t="shared" si="2"/>
        <v>22412.277289348796</v>
      </c>
      <c r="I54" s="165">
        <f t="shared" si="2"/>
        <v>23387.146969579095</v>
      </c>
      <c r="J54" s="166">
        <f t="shared" si="2"/>
        <v>24315.334941258858</v>
      </c>
    </row>
    <row r="55" spans="2:10" customFormat="1" x14ac:dyDescent="0.35">
      <c r="B55" s="100">
        <v>1681</v>
      </c>
      <c r="C55" s="160" t="s">
        <v>55</v>
      </c>
      <c r="D55" s="191">
        <v>1.82836691822921E-3</v>
      </c>
      <c r="E55" s="164">
        <f t="shared" si="2"/>
        <v>91985.139656111554</v>
      </c>
      <c r="F55" s="165">
        <f t="shared" si="2"/>
        <v>96402.474130553324</v>
      </c>
      <c r="G55" s="165">
        <f t="shared" si="2"/>
        <v>100918.54041857948</v>
      </c>
      <c r="H55" s="165">
        <f t="shared" si="2"/>
        <v>105337.70325993947</v>
      </c>
      <c r="I55" s="165">
        <f t="shared" si="2"/>
        <v>109919.59075702187</v>
      </c>
      <c r="J55" s="166">
        <f t="shared" si="2"/>
        <v>114282.07422391677</v>
      </c>
    </row>
    <row r="56" spans="2:10" customFormat="1" x14ac:dyDescent="0.35">
      <c r="B56" s="100">
        <v>147</v>
      </c>
      <c r="C56" s="160" t="s">
        <v>56</v>
      </c>
      <c r="D56" s="191">
        <v>7.3912705205010502E-4</v>
      </c>
      <c r="E56" s="164">
        <f t="shared" si="2"/>
        <v>37185.481988640786</v>
      </c>
      <c r="F56" s="165">
        <f t="shared" si="2"/>
        <v>38971.21294639384</v>
      </c>
      <c r="G56" s="165">
        <f t="shared" si="2"/>
        <v>40796.8567649576</v>
      </c>
      <c r="H56" s="165">
        <f t="shared" si="2"/>
        <v>42583.3268497627</v>
      </c>
      <c r="I56" s="165">
        <f t="shared" si="2"/>
        <v>44435.579242200263</v>
      </c>
      <c r="J56" s="166">
        <f t="shared" si="2"/>
        <v>46199.136388391817</v>
      </c>
    </row>
    <row r="57" spans="2:10" customFormat="1" x14ac:dyDescent="0.35">
      <c r="B57" s="100">
        <v>654</v>
      </c>
      <c r="C57" s="160" t="s">
        <v>57</v>
      </c>
      <c r="D57" s="191">
        <v>6.2242278067377299E-4</v>
      </c>
      <c r="E57" s="164">
        <f t="shared" si="2"/>
        <v>31314.09009569752</v>
      </c>
      <c r="F57" s="165">
        <f t="shared" si="2"/>
        <v>32817.863533805357</v>
      </c>
      <c r="G57" s="165">
        <f t="shared" si="2"/>
        <v>34355.247802069571</v>
      </c>
      <c r="H57" s="165">
        <f t="shared" si="2"/>
        <v>35859.643662958086</v>
      </c>
      <c r="I57" s="165">
        <f t="shared" si="2"/>
        <v>37419.435151326557</v>
      </c>
      <c r="J57" s="166">
        <f t="shared" si="2"/>
        <v>38904.535906014178</v>
      </c>
    </row>
    <row r="58" spans="2:10" customFormat="1" x14ac:dyDescent="0.35">
      <c r="B58" s="100">
        <v>756</v>
      </c>
      <c r="C58" s="160" t="s">
        <v>58</v>
      </c>
      <c r="D58" s="191">
        <v>1.2837469851396601E-3</v>
      </c>
      <c r="E58" s="164">
        <f t="shared" si="2"/>
        <v>64585.310822376297</v>
      </c>
      <c r="F58" s="165">
        <f t="shared" si="2"/>
        <v>67686.843538473709</v>
      </c>
      <c r="G58" s="165">
        <f t="shared" si="2"/>
        <v>70857.698591768683</v>
      </c>
      <c r="H58" s="165">
        <f t="shared" si="2"/>
        <v>73960.515054851232</v>
      </c>
      <c r="I58" s="165">
        <f t="shared" si="2"/>
        <v>77177.584999611223</v>
      </c>
      <c r="J58" s="166">
        <f t="shared" si="2"/>
        <v>80240.605306154452</v>
      </c>
    </row>
    <row r="59" spans="2:10" customFormat="1" x14ac:dyDescent="0.35">
      <c r="B59" s="100">
        <v>757</v>
      </c>
      <c r="C59" s="160" t="s">
        <v>59</v>
      </c>
      <c r="D59" s="191">
        <v>2.4118882751108699E-3</v>
      </c>
      <c r="E59" s="164">
        <f t="shared" ref="E59:J74" si="3">$D59*E$10</f>
        <v>121342.09912082787</v>
      </c>
      <c r="F59" s="165">
        <f t="shared" si="3"/>
        <v>127169.22119349573</v>
      </c>
      <c r="G59" s="165">
        <f t="shared" si="3"/>
        <v>133126.58523301958</v>
      </c>
      <c r="H59" s="165">
        <f t="shared" si="3"/>
        <v>138956.11919396254</v>
      </c>
      <c r="I59" s="165">
        <f t="shared" si="3"/>
        <v>145000.31121139039</v>
      </c>
      <c r="J59" s="166">
        <f t="shared" si="3"/>
        <v>150755.07663580493</v>
      </c>
    </row>
    <row r="60" spans="2:10" customFormat="1" x14ac:dyDescent="0.35">
      <c r="B60" s="100">
        <v>758</v>
      </c>
      <c r="C60" s="160" t="s">
        <v>60</v>
      </c>
      <c r="D60" s="191">
        <v>8.7917217770170503E-3</v>
      </c>
      <c r="E60" s="164">
        <f t="shared" si="3"/>
        <v>442311.5226017278</v>
      </c>
      <c r="F60" s="165">
        <f t="shared" si="3"/>
        <v>463552.32241500099</v>
      </c>
      <c r="G60" s="165">
        <f t="shared" si="3"/>
        <v>485267.8752042331</v>
      </c>
      <c r="H60" s="165">
        <f t="shared" si="3"/>
        <v>506517.46673928329</v>
      </c>
      <c r="I60" s="165">
        <f t="shared" si="3"/>
        <v>528549.52151248802</v>
      </c>
      <c r="J60" s="166">
        <f t="shared" si="3"/>
        <v>549526.56967245077</v>
      </c>
    </row>
    <row r="61" spans="2:10" customFormat="1" x14ac:dyDescent="0.35">
      <c r="B61" s="100">
        <v>501</v>
      </c>
      <c r="C61" s="160" t="s">
        <v>61</v>
      </c>
      <c r="D61" s="191">
        <v>5.4461993308955103E-4</v>
      </c>
      <c r="E61" s="164">
        <f t="shared" si="3"/>
        <v>27399.828833735311</v>
      </c>
      <c r="F61" s="165">
        <f t="shared" si="3"/>
        <v>28715.630592079669</v>
      </c>
      <c r="G61" s="165">
        <f t="shared" si="3"/>
        <v>30060.841826810858</v>
      </c>
      <c r="H61" s="165">
        <f t="shared" si="3"/>
        <v>31377.188205088303</v>
      </c>
      <c r="I61" s="165">
        <f t="shared" si="3"/>
        <v>32742.00575741072</v>
      </c>
      <c r="J61" s="166">
        <f t="shared" si="3"/>
        <v>34041.468917762388</v>
      </c>
    </row>
    <row r="62" spans="2:10" customFormat="1" x14ac:dyDescent="0.35">
      <c r="B62" s="100">
        <v>1876</v>
      </c>
      <c r="C62" s="160" t="s">
        <v>62</v>
      </c>
      <c r="D62" s="191">
        <v>1.51715552789232E-3</v>
      </c>
      <c r="E62" s="164">
        <f t="shared" si="3"/>
        <v>76328.094608262618</v>
      </c>
      <c r="F62" s="165">
        <f t="shared" si="3"/>
        <v>79993.542363650457</v>
      </c>
      <c r="G62" s="165">
        <f t="shared" si="3"/>
        <v>83740.916517544494</v>
      </c>
      <c r="H62" s="165">
        <f t="shared" si="3"/>
        <v>87407.881428460227</v>
      </c>
      <c r="I62" s="165">
        <f t="shared" si="3"/>
        <v>91209.873181358387</v>
      </c>
      <c r="J62" s="166">
        <f t="shared" si="3"/>
        <v>94829.806270909467</v>
      </c>
    </row>
    <row r="63" spans="2:10" customFormat="1" x14ac:dyDescent="0.35">
      <c r="B63" s="100">
        <v>213</v>
      </c>
      <c r="C63" s="160" t="s">
        <v>63</v>
      </c>
      <c r="D63" s="191">
        <v>9.7253559480277004E-4</v>
      </c>
      <c r="E63" s="164">
        <f t="shared" si="3"/>
        <v>48928.265774527361</v>
      </c>
      <c r="F63" s="165">
        <f t="shared" si="3"/>
        <v>51277.911771570856</v>
      </c>
      <c r="G63" s="165">
        <f t="shared" si="3"/>
        <v>53680.074690733694</v>
      </c>
      <c r="H63" s="165">
        <f t="shared" si="3"/>
        <v>56030.693223371993</v>
      </c>
      <c r="I63" s="165">
        <f t="shared" si="3"/>
        <v>58467.867423947733</v>
      </c>
      <c r="J63" s="166">
        <f t="shared" si="3"/>
        <v>60788.337353147144</v>
      </c>
    </row>
    <row r="64" spans="2:10" customFormat="1" x14ac:dyDescent="0.35">
      <c r="B64" s="100">
        <v>899</v>
      </c>
      <c r="C64" s="160" t="s">
        <v>64</v>
      </c>
      <c r="D64" s="191">
        <v>2.1784797323581998E-3</v>
      </c>
      <c r="E64" s="164">
        <f t="shared" si="3"/>
        <v>109599.31533494103</v>
      </c>
      <c r="F64" s="165">
        <f t="shared" si="3"/>
        <v>114862.52236831844</v>
      </c>
      <c r="G64" s="165">
        <f t="shared" si="3"/>
        <v>120243.3673072432</v>
      </c>
      <c r="H64" s="165">
        <f t="shared" si="3"/>
        <v>125508.75282035297</v>
      </c>
      <c r="I64" s="165">
        <f t="shared" si="3"/>
        <v>130968.02302964262</v>
      </c>
      <c r="J64" s="166">
        <f t="shared" si="3"/>
        <v>136165.87567104929</v>
      </c>
    </row>
    <row r="65" spans="2:10" customFormat="1" x14ac:dyDescent="0.35">
      <c r="B65" s="100">
        <v>312</v>
      </c>
      <c r="C65" s="160" t="s">
        <v>65</v>
      </c>
      <c r="D65" s="191">
        <v>3.1121139033688601E-4</v>
      </c>
      <c r="E65" s="164">
        <f t="shared" si="3"/>
        <v>15657.045047848735</v>
      </c>
      <c r="F65" s="165">
        <f t="shared" si="3"/>
        <v>16408.931766902653</v>
      </c>
      <c r="G65" s="165">
        <f t="shared" si="3"/>
        <v>17177.62390103476</v>
      </c>
      <c r="H65" s="165">
        <f t="shared" si="3"/>
        <v>17929.821831479014</v>
      </c>
      <c r="I65" s="165">
        <f t="shared" si="3"/>
        <v>18709.71757566325</v>
      </c>
      <c r="J65" s="166">
        <f t="shared" si="3"/>
        <v>19452.26795300706</v>
      </c>
    </row>
    <row r="66" spans="2:10" customFormat="1" x14ac:dyDescent="0.35">
      <c r="B66" s="100">
        <v>313</v>
      </c>
      <c r="C66" s="160" t="s">
        <v>66</v>
      </c>
      <c r="D66" s="191">
        <v>6.2242278067377299E-4</v>
      </c>
      <c r="E66" s="164">
        <f t="shared" si="3"/>
        <v>31314.09009569752</v>
      </c>
      <c r="F66" s="165">
        <f t="shared" si="3"/>
        <v>32817.863533805357</v>
      </c>
      <c r="G66" s="165">
        <f t="shared" si="3"/>
        <v>34355.247802069571</v>
      </c>
      <c r="H66" s="165">
        <f t="shared" si="3"/>
        <v>35859.643662958086</v>
      </c>
      <c r="I66" s="165">
        <f t="shared" si="3"/>
        <v>37419.435151326557</v>
      </c>
      <c r="J66" s="166">
        <f t="shared" si="3"/>
        <v>38904.535906014178</v>
      </c>
    </row>
    <row r="67" spans="2:10" customFormat="1" x14ac:dyDescent="0.35">
      <c r="B67" s="100">
        <v>214</v>
      </c>
      <c r="C67" s="160" t="s">
        <v>67</v>
      </c>
      <c r="D67" s="191">
        <v>1.0503384423869899E-3</v>
      </c>
      <c r="E67" s="164">
        <f t="shared" si="3"/>
        <v>52842.52703648946</v>
      </c>
      <c r="F67" s="165">
        <f t="shared" si="3"/>
        <v>55380.144713296431</v>
      </c>
      <c r="G67" s="165">
        <f t="shared" si="3"/>
        <v>57974.480665992298</v>
      </c>
      <c r="H67" s="165">
        <f t="shared" si="3"/>
        <v>60513.148681241648</v>
      </c>
      <c r="I67" s="165">
        <f t="shared" si="3"/>
        <v>63145.296817863447</v>
      </c>
      <c r="J67" s="166">
        <f t="shared" si="3"/>
        <v>65651.404341398811</v>
      </c>
    </row>
    <row r="68" spans="2:10" customFormat="1" x14ac:dyDescent="0.35">
      <c r="B68" s="100">
        <v>502</v>
      </c>
      <c r="C68" s="160" t="s">
        <v>68</v>
      </c>
      <c r="D68" s="191">
        <v>4.6681708550533E-3</v>
      </c>
      <c r="E68" s="164">
        <f t="shared" si="3"/>
        <v>234855.67571773153</v>
      </c>
      <c r="F68" s="165">
        <f t="shared" si="3"/>
        <v>246133.9765035403</v>
      </c>
      <c r="G68" s="165">
        <f t="shared" si="3"/>
        <v>257664.35851552195</v>
      </c>
      <c r="H68" s="165">
        <f t="shared" si="3"/>
        <v>268947.32747218577</v>
      </c>
      <c r="I68" s="165">
        <f t="shared" si="3"/>
        <v>280645.76363494934</v>
      </c>
      <c r="J68" s="166">
        <f t="shared" si="3"/>
        <v>291784.01929510653</v>
      </c>
    </row>
    <row r="69" spans="2:10" customFormat="1" x14ac:dyDescent="0.35">
      <c r="B69" s="100">
        <v>383</v>
      </c>
      <c r="C69" s="160" t="s">
        <v>69</v>
      </c>
      <c r="D69" s="191">
        <v>1.9450711896055401E-3</v>
      </c>
      <c r="E69" s="164">
        <f t="shared" si="3"/>
        <v>97856.531549054722</v>
      </c>
      <c r="F69" s="165">
        <f t="shared" si="3"/>
        <v>102555.82354314171</v>
      </c>
      <c r="G69" s="165">
        <f t="shared" si="3"/>
        <v>107360.14938146739</v>
      </c>
      <c r="H69" s="165">
        <f t="shared" si="3"/>
        <v>112061.38644674399</v>
      </c>
      <c r="I69" s="165">
        <f t="shared" si="3"/>
        <v>116935.73484789547</v>
      </c>
      <c r="J69" s="166">
        <f t="shared" si="3"/>
        <v>121576.67470629429</v>
      </c>
    </row>
    <row r="70" spans="2:10" customFormat="1" x14ac:dyDescent="0.35">
      <c r="B70" s="100">
        <v>109</v>
      </c>
      <c r="C70" s="160" t="s">
        <v>70</v>
      </c>
      <c r="D70" s="191">
        <v>2.33408542752665E-3</v>
      </c>
      <c r="E70" s="164">
        <f t="shared" si="3"/>
        <v>117427.83785886577</v>
      </c>
      <c r="F70" s="165">
        <f t="shared" si="3"/>
        <v>123066.98825177015</v>
      </c>
      <c r="G70" s="165">
        <f t="shared" si="3"/>
        <v>128832.17925776097</v>
      </c>
      <c r="H70" s="165">
        <f t="shared" si="3"/>
        <v>134473.66373609289</v>
      </c>
      <c r="I70" s="165">
        <f t="shared" si="3"/>
        <v>140322.88181747467</v>
      </c>
      <c r="J70" s="166">
        <f t="shared" si="3"/>
        <v>145892.00964755326</v>
      </c>
    </row>
    <row r="71" spans="2:10" customFormat="1" x14ac:dyDescent="0.35">
      <c r="B71" s="100">
        <v>1706</v>
      </c>
      <c r="C71" s="160" t="s">
        <v>71</v>
      </c>
      <c r="D71" s="191">
        <v>5.4461993308955103E-4</v>
      </c>
      <c r="E71" s="164">
        <f t="shared" si="3"/>
        <v>27399.828833735311</v>
      </c>
      <c r="F71" s="165">
        <f t="shared" si="3"/>
        <v>28715.630592079669</v>
      </c>
      <c r="G71" s="165">
        <f t="shared" si="3"/>
        <v>30060.841826810858</v>
      </c>
      <c r="H71" s="165">
        <f t="shared" si="3"/>
        <v>31377.188205088303</v>
      </c>
      <c r="I71" s="165">
        <f t="shared" si="3"/>
        <v>32742.00575741072</v>
      </c>
      <c r="J71" s="166">
        <f t="shared" si="3"/>
        <v>34041.468917762388</v>
      </c>
    </row>
    <row r="72" spans="2:10" customFormat="1" x14ac:dyDescent="0.35">
      <c r="B72" s="100">
        <v>1684</v>
      </c>
      <c r="C72" s="160" t="s">
        <v>72</v>
      </c>
      <c r="D72" s="191">
        <v>1.71166264685287E-3</v>
      </c>
      <c r="E72" s="164">
        <f t="shared" si="3"/>
        <v>86113.747763167892</v>
      </c>
      <c r="F72" s="165">
        <f t="shared" si="3"/>
        <v>90249.124717964427</v>
      </c>
      <c r="G72" s="165">
        <f t="shared" si="3"/>
        <v>94476.93145569101</v>
      </c>
      <c r="H72" s="165">
        <f t="shared" si="3"/>
        <v>98614.020073134394</v>
      </c>
      <c r="I72" s="165">
        <f t="shared" si="3"/>
        <v>102903.44666614769</v>
      </c>
      <c r="J72" s="166">
        <f t="shared" si="3"/>
        <v>106987.47374153863</v>
      </c>
    </row>
    <row r="73" spans="2:10" customFormat="1" x14ac:dyDescent="0.35">
      <c r="B73" s="100">
        <v>216</v>
      </c>
      <c r="C73" s="160" t="s">
        <v>73</v>
      </c>
      <c r="D73" s="191">
        <v>1.4004512565159899E-3</v>
      </c>
      <c r="E73" s="164">
        <f t="shared" si="3"/>
        <v>70456.70271531945</v>
      </c>
      <c r="F73" s="165">
        <f t="shared" si="3"/>
        <v>73840.192951062083</v>
      </c>
      <c r="G73" s="165">
        <f t="shared" si="3"/>
        <v>77299.307554656581</v>
      </c>
      <c r="H73" s="165">
        <f t="shared" si="3"/>
        <v>80684.198241655729</v>
      </c>
      <c r="I73" s="165">
        <f t="shared" si="3"/>
        <v>84193.729090484791</v>
      </c>
      <c r="J73" s="166">
        <f t="shared" si="3"/>
        <v>87535.205788531952</v>
      </c>
    </row>
    <row r="74" spans="2:10" customFormat="1" x14ac:dyDescent="0.35">
      <c r="B74" s="100">
        <v>148</v>
      </c>
      <c r="C74" s="160" t="s">
        <v>74</v>
      </c>
      <c r="D74" s="191">
        <v>9.7253559480277004E-4</v>
      </c>
      <c r="E74" s="164">
        <f t="shared" si="3"/>
        <v>48928.265774527361</v>
      </c>
      <c r="F74" s="165">
        <f t="shared" si="3"/>
        <v>51277.911771570856</v>
      </c>
      <c r="G74" s="165">
        <f t="shared" si="3"/>
        <v>53680.074690733694</v>
      </c>
      <c r="H74" s="165">
        <f t="shared" si="3"/>
        <v>56030.693223371993</v>
      </c>
      <c r="I74" s="165">
        <f t="shared" si="3"/>
        <v>58467.867423947733</v>
      </c>
      <c r="J74" s="166">
        <f t="shared" si="3"/>
        <v>60788.337353147144</v>
      </c>
    </row>
    <row r="75" spans="2:10" customFormat="1" x14ac:dyDescent="0.35">
      <c r="B75" s="100">
        <v>1891</v>
      </c>
      <c r="C75" s="160" t="s">
        <v>75</v>
      </c>
      <c r="D75" s="191">
        <v>8.5583132342643704E-4</v>
      </c>
      <c r="E75" s="164">
        <f t="shared" ref="E75:J90" si="4">$D75*E$10</f>
        <v>43056.873881584048</v>
      </c>
      <c r="F75" s="165">
        <f t="shared" si="4"/>
        <v>45124.562358982323</v>
      </c>
      <c r="G75" s="165">
        <f t="shared" si="4"/>
        <v>47238.465727845622</v>
      </c>
      <c r="H75" s="165">
        <f t="shared" si="4"/>
        <v>49307.010036567321</v>
      </c>
      <c r="I75" s="165">
        <f t="shared" si="4"/>
        <v>51451.723333073969</v>
      </c>
      <c r="J75" s="166">
        <f t="shared" si="4"/>
        <v>53493.736870769448</v>
      </c>
    </row>
    <row r="76" spans="2:10" customFormat="1" x14ac:dyDescent="0.35">
      <c r="B76" s="100">
        <v>310</v>
      </c>
      <c r="C76" s="160" t="s">
        <v>76</v>
      </c>
      <c r="D76" s="191">
        <v>1.36154983272388E-3</v>
      </c>
      <c r="E76" s="164">
        <f t="shared" si="4"/>
        <v>68499.572084338404</v>
      </c>
      <c r="F76" s="165">
        <f t="shared" si="4"/>
        <v>71789.076480199292</v>
      </c>
      <c r="G76" s="165">
        <f t="shared" si="4"/>
        <v>75152.104567027272</v>
      </c>
      <c r="H76" s="165">
        <f t="shared" si="4"/>
        <v>78442.970512720902</v>
      </c>
      <c r="I76" s="165">
        <f t="shared" si="4"/>
        <v>81855.014393526944</v>
      </c>
      <c r="J76" s="166">
        <f t="shared" si="4"/>
        <v>85103.672294406118</v>
      </c>
    </row>
    <row r="77" spans="2:10" customFormat="1" x14ac:dyDescent="0.35">
      <c r="B77" s="100">
        <v>1940</v>
      </c>
      <c r="C77" s="160" t="s">
        <v>77</v>
      </c>
      <c r="D77" s="191">
        <v>1.7116626468528799E-3</v>
      </c>
      <c r="E77" s="164">
        <f t="shared" si="4"/>
        <v>86113.747763168387</v>
      </c>
      <c r="F77" s="165">
        <f t="shared" si="4"/>
        <v>90249.124717964951</v>
      </c>
      <c r="G77" s="165">
        <f t="shared" si="4"/>
        <v>94476.931455691563</v>
      </c>
      <c r="H77" s="165">
        <f t="shared" si="4"/>
        <v>98614.020073134976</v>
      </c>
      <c r="I77" s="165">
        <f t="shared" si="4"/>
        <v>102903.44666614829</v>
      </c>
      <c r="J77" s="166">
        <f t="shared" si="4"/>
        <v>106987.47374153926</v>
      </c>
    </row>
    <row r="78" spans="2:10" customFormat="1" x14ac:dyDescent="0.35">
      <c r="B78" s="100">
        <v>736</v>
      </c>
      <c r="C78" s="160" t="s">
        <v>78</v>
      </c>
      <c r="D78" s="191">
        <v>1.47825410410021E-3</v>
      </c>
      <c r="E78" s="164">
        <f t="shared" si="4"/>
        <v>74370.963977281572</v>
      </c>
      <c r="F78" s="165">
        <f t="shared" si="4"/>
        <v>77942.42589278768</v>
      </c>
      <c r="G78" s="165">
        <f t="shared" si="4"/>
        <v>81593.7135299152</v>
      </c>
      <c r="H78" s="165">
        <f t="shared" si="4"/>
        <v>85166.653699525399</v>
      </c>
      <c r="I78" s="165">
        <f t="shared" si="4"/>
        <v>88871.158484400527</v>
      </c>
      <c r="J78" s="166">
        <f t="shared" si="4"/>
        <v>92398.272776783633</v>
      </c>
    </row>
    <row r="79" spans="2:10" customFormat="1" x14ac:dyDescent="0.35">
      <c r="B79" s="100">
        <v>1690</v>
      </c>
      <c r="C79" s="160" t="s">
        <v>79</v>
      </c>
      <c r="D79" s="191">
        <v>8.1692989963432698E-4</v>
      </c>
      <c r="E79" s="164">
        <f t="shared" si="4"/>
        <v>41099.743250602987</v>
      </c>
      <c r="F79" s="165">
        <f t="shared" si="4"/>
        <v>43073.445888119524</v>
      </c>
      <c r="G79" s="165">
        <f t="shared" si="4"/>
        <v>45091.262740216313</v>
      </c>
      <c r="H79" s="165">
        <f t="shared" si="4"/>
        <v>47065.782307632478</v>
      </c>
      <c r="I79" s="165">
        <f t="shared" si="4"/>
        <v>49113.008636116101</v>
      </c>
      <c r="J79" s="166">
        <f t="shared" si="4"/>
        <v>51062.203376643607</v>
      </c>
    </row>
    <row r="80" spans="2:10" customFormat="1" x14ac:dyDescent="0.35">
      <c r="B80" s="100">
        <v>503</v>
      </c>
      <c r="C80" s="160" t="s">
        <v>80</v>
      </c>
      <c r="D80" s="191">
        <v>7.7024819108379404E-3</v>
      </c>
      <c r="E80" s="164">
        <f t="shared" si="4"/>
        <v>387511.86493425677</v>
      </c>
      <c r="F80" s="165">
        <f t="shared" si="4"/>
        <v>406121.06123084127</v>
      </c>
      <c r="G80" s="165">
        <f t="shared" si="4"/>
        <v>425146.19155061094</v>
      </c>
      <c r="H80" s="165">
        <f t="shared" si="4"/>
        <v>443763.09032910626</v>
      </c>
      <c r="I80" s="165">
        <f t="shared" si="4"/>
        <v>463065.50999766611</v>
      </c>
      <c r="J80" s="166">
        <f t="shared" si="4"/>
        <v>481443.63183692546</v>
      </c>
    </row>
    <row r="81" spans="2:10" customFormat="1" x14ac:dyDescent="0.35">
      <c r="B81" s="100">
        <v>10</v>
      </c>
      <c r="C81" s="160" t="s">
        <v>81</v>
      </c>
      <c r="D81" s="191">
        <v>2.1395783085660898E-3</v>
      </c>
      <c r="E81" s="164">
        <f t="shared" si="4"/>
        <v>107642.18470395998</v>
      </c>
      <c r="F81" s="165">
        <f t="shared" si="4"/>
        <v>112811.40589745565</v>
      </c>
      <c r="G81" s="165">
        <f t="shared" si="4"/>
        <v>118096.16431961389</v>
      </c>
      <c r="H81" s="165">
        <f t="shared" si="4"/>
        <v>123267.52509141814</v>
      </c>
      <c r="I81" s="165">
        <f t="shared" si="4"/>
        <v>128629.30833268476</v>
      </c>
      <c r="J81" s="166">
        <f t="shared" si="4"/>
        <v>133734.34217692344</v>
      </c>
    </row>
    <row r="82" spans="2:10" customFormat="1" x14ac:dyDescent="0.35">
      <c r="B82" s="100">
        <v>400</v>
      </c>
      <c r="C82" s="160" t="s">
        <v>82</v>
      </c>
      <c r="D82" s="191">
        <v>9.2974402863144796E-3</v>
      </c>
      <c r="E82" s="164">
        <f t="shared" si="4"/>
        <v>467754.22080448148</v>
      </c>
      <c r="F82" s="165">
        <f t="shared" si="4"/>
        <v>490216.83653621725</v>
      </c>
      <c r="G82" s="165">
        <f t="shared" si="4"/>
        <v>513181.51404341403</v>
      </c>
      <c r="H82" s="165">
        <f t="shared" si="4"/>
        <v>535653.42721543612</v>
      </c>
      <c r="I82" s="165">
        <f t="shared" si="4"/>
        <v>558952.81257294025</v>
      </c>
      <c r="J82" s="166">
        <f t="shared" si="4"/>
        <v>581136.50509608653</v>
      </c>
    </row>
    <row r="83" spans="2:10" customFormat="1" x14ac:dyDescent="0.35">
      <c r="B83" s="100">
        <v>762</v>
      </c>
      <c r="C83" s="160" t="s">
        <v>83</v>
      </c>
      <c r="D83" s="191">
        <v>1.1281412899712101E-3</v>
      </c>
      <c r="E83" s="164">
        <f t="shared" si="4"/>
        <v>56756.788298451575</v>
      </c>
      <c r="F83" s="165">
        <f t="shared" si="4"/>
        <v>59482.377655022021</v>
      </c>
      <c r="G83" s="165">
        <f t="shared" si="4"/>
        <v>62268.886641250909</v>
      </c>
      <c r="H83" s="165">
        <f t="shared" si="4"/>
        <v>64995.604139111325</v>
      </c>
      <c r="I83" s="165">
        <f t="shared" si="4"/>
        <v>67822.726211779183</v>
      </c>
      <c r="J83" s="166">
        <f t="shared" si="4"/>
        <v>70514.471329650478</v>
      </c>
    </row>
    <row r="84" spans="2:10" customFormat="1" x14ac:dyDescent="0.35">
      <c r="B84" s="100">
        <v>150</v>
      </c>
      <c r="C84" s="160" t="s">
        <v>84</v>
      </c>
      <c r="D84" s="191">
        <v>9.1418345911460398E-3</v>
      </c>
      <c r="E84" s="164">
        <f t="shared" si="4"/>
        <v>459925.69828055729</v>
      </c>
      <c r="F84" s="165">
        <f t="shared" si="4"/>
        <v>482012.37065276608</v>
      </c>
      <c r="G84" s="165">
        <f t="shared" si="4"/>
        <v>504592.7020928968</v>
      </c>
      <c r="H84" s="165">
        <f t="shared" si="4"/>
        <v>526688.51629969676</v>
      </c>
      <c r="I84" s="165">
        <f t="shared" si="4"/>
        <v>549597.95378510875</v>
      </c>
      <c r="J84" s="166">
        <f t="shared" si="4"/>
        <v>571410.37111958326</v>
      </c>
    </row>
    <row r="85" spans="2:10" customFormat="1" x14ac:dyDescent="0.35">
      <c r="B85" s="100">
        <v>384</v>
      </c>
      <c r="C85" s="160" t="s">
        <v>85</v>
      </c>
      <c r="D85" s="191">
        <v>1.4393526803081001E-3</v>
      </c>
      <c r="E85" s="164">
        <f t="shared" si="4"/>
        <v>72413.833346300511</v>
      </c>
      <c r="F85" s="165">
        <f t="shared" si="4"/>
        <v>75891.309421924889</v>
      </c>
      <c r="G85" s="165">
        <f t="shared" si="4"/>
        <v>79446.510542285891</v>
      </c>
      <c r="H85" s="165">
        <f t="shared" si="4"/>
        <v>82925.425970590572</v>
      </c>
      <c r="I85" s="165">
        <f t="shared" si="4"/>
        <v>86532.443787442666</v>
      </c>
      <c r="J85" s="166">
        <f t="shared" si="4"/>
        <v>89966.7392826578</v>
      </c>
    </row>
    <row r="86" spans="2:10" customFormat="1" x14ac:dyDescent="0.35">
      <c r="B86" s="100">
        <v>1774</v>
      </c>
      <c r="C86" s="160" t="s">
        <v>86</v>
      </c>
      <c r="D86" s="191">
        <v>7.7802847584221605E-4</v>
      </c>
      <c r="E86" s="164">
        <f t="shared" si="4"/>
        <v>39142.61261962189</v>
      </c>
      <c r="F86" s="165">
        <f t="shared" si="4"/>
        <v>41022.329417256682</v>
      </c>
      <c r="G86" s="165">
        <f t="shared" si="4"/>
        <v>42944.05975258696</v>
      </c>
      <c r="H86" s="165">
        <f t="shared" si="4"/>
        <v>44824.554578697593</v>
      </c>
      <c r="I86" s="165">
        <f t="shared" si="4"/>
        <v>46774.293939158189</v>
      </c>
      <c r="J86" s="166">
        <f t="shared" si="4"/>
        <v>48630.669882517715</v>
      </c>
    </row>
    <row r="87" spans="2:10" customFormat="1" x14ac:dyDescent="0.35">
      <c r="B87" s="100">
        <v>221</v>
      </c>
      <c r="C87" s="160" t="s">
        <v>87</v>
      </c>
      <c r="D87" s="191">
        <v>7.0022562825799496E-4</v>
      </c>
      <c r="E87" s="164">
        <f t="shared" si="4"/>
        <v>35228.351357659725</v>
      </c>
      <c r="F87" s="165">
        <f t="shared" si="4"/>
        <v>36920.096475531042</v>
      </c>
      <c r="G87" s="165">
        <f t="shared" si="4"/>
        <v>38649.653777328291</v>
      </c>
      <c r="H87" s="165">
        <f t="shared" si="4"/>
        <v>40342.099120827865</v>
      </c>
      <c r="I87" s="165">
        <f t="shared" si="4"/>
        <v>42096.864545242395</v>
      </c>
      <c r="J87" s="166">
        <f t="shared" si="4"/>
        <v>43767.602894265976</v>
      </c>
    </row>
    <row r="88" spans="2:10" customFormat="1" x14ac:dyDescent="0.35">
      <c r="B88" s="100">
        <v>222</v>
      </c>
      <c r="C88" s="160" t="s">
        <v>88</v>
      </c>
      <c r="D88" s="191">
        <v>3.9290438030031901E-3</v>
      </c>
      <c r="E88" s="164">
        <f t="shared" si="4"/>
        <v>197670.1937290905</v>
      </c>
      <c r="F88" s="165">
        <f t="shared" si="4"/>
        <v>207162.76355714619</v>
      </c>
      <c r="G88" s="165">
        <f t="shared" si="4"/>
        <v>216867.50175056409</v>
      </c>
      <c r="H88" s="165">
        <f t="shared" si="4"/>
        <v>226364.00062242278</v>
      </c>
      <c r="I88" s="165">
        <f t="shared" si="4"/>
        <v>236210.18439274878</v>
      </c>
      <c r="J88" s="166">
        <f t="shared" si="4"/>
        <v>245584.8829067144</v>
      </c>
    </row>
    <row r="89" spans="2:10" customFormat="1" x14ac:dyDescent="0.35">
      <c r="B89" s="100">
        <v>766</v>
      </c>
      <c r="C89" s="160" t="s">
        <v>89</v>
      </c>
      <c r="D89" s="191">
        <v>3.8901423792110803E-4</v>
      </c>
      <c r="E89" s="164">
        <f t="shared" si="4"/>
        <v>19571.306309810945</v>
      </c>
      <c r="F89" s="165">
        <f t="shared" si="4"/>
        <v>20511.164708628341</v>
      </c>
      <c r="G89" s="165">
        <f t="shared" si="4"/>
        <v>21472.02987629348</v>
      </c>
      <c r="H89" s="165">
        <f t="shared" si="4"/>
        <v>22412.277289348796</v>
      </c>
      <c r="I89" s="165">
        <f t="shared" si="4"/>
        <v>23387.146969579095</v>
      </c>
      <c r="J89" s="166">
        <f t="shared" si="4"/>
        <v>24315.334941258858</v>
      </c>
    </row>
    <row r="90" spans="2:10" customFormat="1" x14ac:dyDescent="0.35">
      <c r="B90" s="100">
        <v>505</v>
      </c>
      <c r="C90" s="160" t="s">
        <v>90</v>
      </c>
      <c r="D90" s="191">
        <v>1.2331751342099099E-2</v>
      </c>
      <c r="E90" s="164">
        <f t="shared" si="4"/>
        <v>620410.41002100566</v>
      </c>
      <c r="F90" s="165">
        <f t="shared" si="4"/>
        <v>650203.92126351711</v>
      </c>
      <c r="G90" s="165">
        <f t="shared" si="4"/>
        <v>680663.34707850183</v>
      </c>
      <c r="H90" s="165">
        <f t="shared" si="4"/>
        <v>710469.19007235544</v>
      </c>
      <c r="I90" s="165">
        <f t="shared" si="4"/>
        <v>741372.55893565575</v>
      </c>
      <c r="J90" s="166">
        <f t="shared" si="4"/>
        <v>770796.11763790424</v>
      </c>
    </row>
    <row r="91" spans="2:10" customFormat="1" x14ac:dyDescent="0.35">
      <c r="B91" s="100">
        <v>498</v>
      </c>
      <c r="C91" s="160" t="s">
        <v>91</v>
      </c>
      <c r="D91" s="191">
        <v>1.01143701859488E-3</v>
      </c>
      <c r="E91" s="164">
        <f t="shared" ref="E91:J106" si="5">$D91*E$10</f>
        <v>50885.396405508414</v>
      </c>
      <c r="F91" s="165">
        <f t="shared" si="5"/>
        <v>53329.02824243364</v>
      </c>
      <c r="G91" s="165">
        <f t="shared" si="5"/>
        <v>55827.277678362996</v>
      </c>
      <c r="H91" s="165">
        <f t="shared" si="5"/>
        <v>58271.92095230682</v>
      </c>
      <c r="I91" s="165">
        <f t="shared" si="5"/>
        <v>60806.582120905587</v>
      </c>
      <c r="J91" s="166">
        <f t="shared" si="5"/>
        <v>63219.87084727297</v>
      </c>
    </row>
    <row r="92" spans="2:10" customFormat="1" x14ac:dyDescent="0.35">
      <c r="B92" s="100">
        <v>1719</v>
      </c>
      <c r="C92" s="160" t="s">
        <v>92</v>
      </c>
      <c r="D92" s="191">
        <v>5.0571850929743999E-4</v>
      </c>
      <c r="E92" s="164">
        <f t="shared" si="5"/>
        <v>25442.698202754207</v>
      </c>
      <c r="F92" s="165">
        <f t="shared" si="5"/>
        <v>26664.51412121682</v>
      </c>
      <c r="G92" s="165">
        <f t="shared" si="5"/>
        <v>27913.638839181498</v>
      </c>
      <c r="H92" s="165">
        <f t="shared" si="5"/>
        <v>29135.96047615341</v>
      </c>
      <c r="I92" s="165">
        <f t="shared" si="5"/>
        <v>30403.291060452793</v>
      </c>
      <c r="J92" s="166">
        <f t="shared" si="5"/>
        <v>31609.935423636485</v>
      </c>
    </row>
    <row r="93" spans="2:10" customFormat="1" x14ac:dyDescent="0.35">
      <c r="B93" s="100">
        <v>303</v>
      </c>
      <c r="C93" s="160" t="s">
        <v>93</v>
      </c>
      <c r="D93" s="191">
        <v>7.3912705205010502E-4</v>
      </c>
      <c r="E93" s="164">
        <f t="shared" si="5"/>
        <v>37185.481988640786</v>
      </c>
      <c r="F93" s="165">
        <f t="shared" si="5"/>
        <v>38971.21294639384</v>
      </c>
      <c r="G93" s="165">
        <f t="shared" si="5"/>
        <v>40796.8567649576</v>
      </c>
      <c r="H93" s="165">
        <f t="shared" si="5"/>
        <v>42583.3268497627</v>
      </c>
      <c r="I93" s="165">
        <f t="shared" si="5"/>
        <v>44435.579242200263</v>
      </c>
      <c r="J93" s="166">
        <f t="shared" si="5"/>
        <v>46199.136388391817</v>
      </c>
    </row>
    <row r="94" spans="2:10" customFormat="1" x14ac:dyDescent="0.35">
      <c r="B94" s="100">
        <v>225</v>
      </c>
      <c r="C94" s="160" t="s">
        <v>94</v>
      </c>
      <c r="D94" s="191">
        <v>6.6132420446588305E-4</v>
      </c>
      <c r="E94" s="164">
        <f t="shared" si="5"/>
        <v>33271.220726678577</v>
      </c>
      <c r="F94" s="165">
        <f t="shared" si="5"/>
        <v>34868.980004668148</v>
      </c>
      <c r="G94" s="165">
        <f t="shared" si="5"/>
        <v>36502.45078969888</v>
      </c>
      <c r="H94" s="165">
        <f t="shared" si="5"/>
        <v>38100.871391892921</v>
      </c>
      <c r="I94" s="165">
        <f t="shared" si="5"/>
        <v>39758.149848284425</v>
      </c>
      <c r="J94" s="166">
        <f t="shared" si="5"/>
        <v>41336.069400140019</v>
      </c>
    </row>
    <row r="95" spans="2:10" customFormat="1" x14ac:dyDescent="0.35">
      <c r="B95" s="100">
        <v>226</v>
      </c>
      <c r="C95" s="160" t="s">
        <v>95</v>
      </c>
      <c r="D95" s="191">
        <v>1.47825410410021E-3</v>
      </c>
      <c r="E95" s="164">
        <f t="shared" si="5"/>
        <v>74370.963977281572</v>
      </c>
      <c r="F95" s="165">
        <f t="shared" si="5"/>
        <v>77942.42589278768</v>
      </c>
      <c r="G95" s="165">
        <f t="shared" si="5"/>
        <v>81593.7135299152</v>
      </c>
      <c r="H95" s="165">
        <f t="shared" si="5"/>
        <v>85166.653699525399</v>
      </c>
      <c r="I95" s="165">
        <f t="shared" si="5"/>
        <v>88871.158484400527</v>
      </c>
      <c r="J95" s="166">
        <f t="shared" si="5"/>
        <v>92398.272776783633</v>
      </c>
    </row>
    <row r="96" spans="2:10" customFormat="1" x14ac:dyDescent="0.35">
      <c r="B96" s="100">
        <v>1711</v>
      </c>
      <c r="C96" s="160" t="s">
        <v>96</v>
      </c>
      <c r="D96" s="191">
        <v>1.32264840893177E-3</v>
      </c>
      <c r="E96" s="164">
        <f t="shared" si="5"/>
        <v>66542.441453357344</v>
      </c>
      <c r="F96" s="165">
        <f t="shared" si="5"/>
        <v>69737.960009336501</v>
      </c>
      <c r="G96" s="165">
        <f t="shared" si="5"/>
        <v>73004.901579397978</v>
      </c>
      <c r="H96" s="165">
        <f t="shared" si="5"/>
        <v>76201.74278378606</v>
      </c>
      <c r="I96" s="165">
        <f t="shared" si="5"/>
        <v>79516.299696569084</v>
      </c>
      <c r="J96" s="166">
        <f t="shared" si="5"/>
        <v>82672.138800280285</v>
      </c>
    </row>
    <row r="97" spans="2:10" customFormat="1" x14ac:dyDescent="0.35">
      <c r="B97" s="100">
        <v>385</v>
      </c>
      <c r="C97" s="160" t="s">
        <v>97</v>
      </c>
      <c r="D97" s="191">
        <v>1.20594413755543E-3</v>
      </c>
      <c r="E97" s="164">
        <f t="shared" si="5"/>
        <v>60671.049560413681</v>
      </c>
      <c r="F97" s="165">
        <f t="shared" si="5"/>
        <v>63584.610596747603</v>
      </c>
      <c r="G97" s="165">
        <f t="shared" si="5"/>
        <v>66563.292616509512</v>
      </c>
      <c r="H97" s="165">
        <f t="shared" si="5"/>
        <v>69478.05959698098</v>
      </c>
      <c r="I97" s="165">
        <f t="shared" si="5"/>
        <v>72500.15560569489</v>
      </c>
      <c r="J97" s="166">
        <f t="shared" si="5"/>
        <v>75377.538317902145</v>
      </c>
    </row>
    <row r="98" spans="2:10" customFormat="1" x14ac:dyDescent="0.35">
      <c r="B98" s="100">
        <v>228</v>
      </c>
      <c r="C98" s="160" t="s">
        <v>98</v>
      </c>
      <c r="D98" s="191">
        <v>9.5697502528592597E-3</v>
      </c>
      <c r="E98" s="164">
        <f t="shared" si="5"/>
        <v>481454.13522134937</v>
      </c>
      <c r="F98" s="165">
        <f t="shared" si="5"/>
        <v>504574.65183225734</v>
      </c>
      <c r="G98" s="165">
        <f t="shared" si="5"/>
        <v>528211.93495681975</v>
      </c>
      <c r="H98" s="165">
        <f t="shared" si="5"/>
        <v>551342.02131798049</v>
      </c>
      <c r="I98" s="165">
        <f t="shared" si="5"/>
        <v>575323.81545164587</v>
      </c>
      <c r="J98" s="166">
        <f t="shared" si="5"/>
        <v>598157.23955496808</v>
      </c>
    </row>
    <row r="99" spans="2:10" customFormat="1" x14ac:dyDescent="0.35">
      <c r="B99" s="100">
        <v>317</v>
      </c>
      <c r="C99" s="160" t="s">
        <v>99</v>
      </c>
      <c r="D99" s="191">
        <v>2.3340854275266499E-4</v>
      </c>
      <c r="E99" s="164">
        <f t="shared" si="5"/>
        <v>11742.783785886575</v>
      </c>
      <c r="F99" s="165">
        <f t="shared" si="5"/>
        <v>12306.698825177014</v>
      </c>
      <c r="G99" s="165">
        <f t="shared" si="5"/>
        <v>12883.217925776096</v>
      </c>
      <c r="H99" s="165">
        <f t="shared" si="5"/>
        <v>13447.366373609288</v>
      </c>
      <c r="I99" s="165">
        <f t="shared" si="5"/>
        <v>14032.288181747466</v>
      </c>
      <c r="J99" s="166">
        <f t="shared" si="5"/>
        <v>14589.200964755326</v>
      </c>
    </row>
    <row r="100" spans="2:10" customFormat="1" x14ac:dyDescent="0.35">
      <c r="B100" s="100">
        <v>770</v>
      </c>
      <c r="C100" s="160" t="s">
        <v>100</v>
      </c>
      <c r="D100" s="191">
        <v>5.0571850929743999E-4</v>
      </c>
      <c r="E100" s="164">
        <f t="shared" si="5"/>
        <v>25442.698202754207</v>
      </c>
      <c r="F100" s="165">
        <f t="shared" si="5"/>
        <v>26664.51412121682</v>
      </c>
      <c r="G100" s="165">
        <f t="shared" si="5"/>
        <v>27913.638839181498</v>
      </c>
      <c r="H100" s="165">
        <f t="shared" si="5"/>
        <v>29135.96047615341</v>
      </c>
      <c r="I100" s="165">
        <f t="shared" si="5"/>
        <v>30403.291060452793</v>
      </c>
      <c r="J100" s="166">
        <f t="shared" si="5"/>
        <v>31609.935423636485</v>
      </c>
    </row>
    <row r="101" spans="2:10" customFormat="1" x14ac:dyDescent="0.35">
      <c r="B101" s="100">
        <v>1903</v>
      </c>
      <c r="C101" s="160" t="s">
        <v>101</v>
      </c>
      <c r="D101" s="191">
        <v>2.0617754609818699E-3</v>
      </c>
      <c r="E101" s="164">
        <f t="shared" si="5"/>
        <v>103727.92344199787</v>
      </c>
      <c r="F101" s="165">
        <f t="shared" si="5"/>
        <v>108709.17295573007</v>
      </c>
      <c r="G101" s="165">
        <f t="shared" si="5"/>
        <v>113801.75834435529</v>
      </c>
      <c r="H101" s="165">
        <f t="shared" si="5"/>
        <v>118785.06963354847</v>
      </c>
      <c r="I101" s="165">
        <f t="shared" si="5"/>
        <v>123951.87893876903</v>
      </c>
      <c r="J101" s="166">
        <f t="shared" si="5"/>
        <v>128871.27518867177</v>
      </c>
    </row>
    <row r="102" spans="2:10" customFormat="1" x14ac:dyDescent="0.35">
      <c r="B102" s="100">
        <v>772</v>
      </c>
      <c r="C102" s="160" t="s">
        <v>102</v>
      </c>
      <c r="D102" s="191">
        <v>9.1029331673539108E-3</v>
      </c>
      <c r="E102" s="164">
        <f t="shared" si="5"/>
        <v>457968.56764957524</v>
      </c>
      <c r="F102" s="165">
        <f t="shared" si="5"/>
        <v>479961.25418190227</v>
      </c>
      <c r="G102" s="165">
        <f t="shared" si="5"/>
        <v>502445.49910526647</v>
      </c>
      <c r="H102" s="165">
        <f t="shared" si="5"/>
        <v>524447.28857076087</v>
      </c>
      <c r="I102" s="165">
        <f t="shared" si="5"/>
        <v>547259.23908814974</v>
      </c>
      <c r="J102" s="166">
        <f t="shared" si="5"/>
        <v>568978.83762545616</v>
      </c>
    </row>
    <row r="103" spans="2:10" customFormat="1" x14ac:dyDescent="0.35">
      <c r="B103" s="100">
        <v>230</v>
      </c>
      <c r="C103" s="160" t="s">
        <v>103</v>
      </c>
      <c r="D103" s="191">
        <v>1.32264840893177E-3</v>
      </c>
      <c r="E103" s="164">
        <f t="shared" si="5"/>
        <v>66542.441453357344</v>
      </c>
      <c r="F103" s="165">
        <f t="shared" si="5"/>
        <v>69737.960009336501</v>
      </c>
      <c r="G103" s="165">
        <f t="shared" si="5"/>
        <v>73004.901579397978</v>
      </c>
      <c r="H103" s="165">
        <f t="shared" si="5"/>
        <v>76201.74278378606</v>
      </c>
      <c r="I103" s="165">
        <f t="shared" si="5"/>
        <v>79516.299696569084</v>
      </c>
      <c r="J103" s="166">
        <f t="shared" si="5"/>
        <v>82672.138800280285</v>
      </c>
    </row>
    <row r="104" spans="2:10" customFormat="1" x14ac:dyDescent="0.35">
      <c r="B104" s="100">
        <v>114</v>
      </c>
      <c r="C104" s="160" t="s">
        <v>104</v>
      </c>
      <c r="D104" s="191">
        <v>8.6361160818486001E-3</v>
      </c>
      <c r="E104" s="164">
        <f t="shared" si="5"/>
        <v>434483.0000778031</v>
      </c>
      <c r="F104" s="165">
        <f t="shared" si="5"/>
        <v>455347.8565315493</v>
      </c>
      <c r="G104" s="165">
        <f t="shared" si="5"/>
        <v>476679.06325371534</v>
      </c>
      <c r="H104" s="165">
        <f t="shared" si="5"/>
        <v>497552.5558235434</v>
      </c>
      <c r="I104" s="165">
        <f t="shared" si="5"/>
        <v>519194.66272465599</v>
      </c>
      <c r="J104" s="166">
        <f t="shared" si="5"/>
        <v>539800.4356959468</v>
      </c>
    </row>
    <row r="105" spans="2:10" customFormat="1" x14ac:dyDescent="0.35">
      <c r="B105" s="100">
        <v>388</v>
      </c>
      <c r="C105" s="160" t="s">
        <v>105</v>
      </c>
      <c r="D105" s="191">
        <v>2.02287403718976E-3</v>
      </c>
      <c r="E105" s="164">
        <f t="shared" si="5"/>
        <v>101770.79281101683</v>
      </c>
      <c r="F105" s="165">
        <f t="shared" si="5"/>
        <v>106658.05648486728</v>
      </c>
      <c r="G105" s="165">
        <f t="shared" si="5"/>
        <v>111654.55535672599</v>
      </c>
      <c r="H105" s="165">
        <f t="shared" si="5"/>
        <v>116543.84190461364</v>
      </c>
      <c r="I105" s="165">
        <f t="shared" si="5"/>
        <v>121613.16424181117</v>
      </c>
      <c r="J105" s="166">
        <f t="shared" si="5"/>
        <v>126439.74169454594</v>
      </c>
    </row>
    <row r="106" spans="2:10" customFormat="1" x14ac:dyDescent="0.35">
      <c r="B106" s="100">
        <v>153</v>
      </c>
      <c r="C106" s="160" t="s">
        <v>106</v>
      </c>
      <c r="D106" s="191">
        <v>1.39656111413678E-2</v>
      </c>
      <c r="E106" s="164">
        <f t="shared" si="5"/>
        <v>702609.89652221405</v>
      </c>
      <c r="F106" s="165">
        <f t="shared" si="5"/>
        <v>736350.81303975859</v>
      </c>
      <c r="G106" s="165">
        <f t="shared" si="5"/>
        <v>770845.87255893706</v>
      </c>
      <c r="H106" s="165">
        <f t="shared" si="5"/>
        <v>804600.75468762312</v>
      </c>
      <c r="I106" s="165">
        <f t="shared" si="5"/>
        <v>839598.57620789076</v>
      </c>
      <c r="J106" s="166">
        <f t="shared" si="5"/>
        <v>872920.52439119434</v>
      </c>
    </row>
    <row r="107" spans="2:10" customFormat="1" x14ac:dyDescent="0.35">
      <c r="B107" s="100">
        <v>232</v>
      </c>
      <c r="C107" s="160" t="s">
        <v>107</v>
      </c>
      <c r="D107" s="191">
        <v>1.82836691822921E-3</v>
      </c>
      <c r="E107" s="164">
        <f t="shared" ref="E107:J122" si="6">$D107*E$10</f>
        <v>91985.139656111554</v>
      </c>
      <c r="F107" s="165">
        <f t="shared" si="6"/>
        <v>96402.474130553324</v>
      </c>
      <c r="G107" s="165">
        <f t="shared" si="6"/>
        <v>100918.54041857948</v>
      </c>
      <c r="H107" s="165">
        <f t="shared" si="6"/>
        <v>105337.70325993947</v>
      </c>
      <c r="I107" s="165">
        <f t="shared" si="6"/>
        <v>109919.59075702187</v>
      </c>
      <c r="J107" s="166">
        <f t="shared" si="6"/>
        <v>114282.07422391677</v>
      </c>
    </row>
    <row r="108" spans="2:10" customFormat="1" x14ac:dyDescent="0.35">
      <c r="B108" s="100">
        <v>233</v>
      </c>
      <c r="C108" s="160" t="s">
        <v>108</v>
      </c>
      <c r="D108" s="191">
        <v>1.7505640706449901E-3</v>
      </c>
      <c r="E108" s="164">
        <f t="shared" si="6"/>
        <v>88070.878394149448</v>
      </c>
      <c r="F108" s="165">
        <f t="shared" si="6"/>
        <v>92300.241188827742</v>
      </c>
      <c r="G108" s="165">
        <f t="shared" si="6"/>
        <v>96624.134443320872</v>
      </c>
      <c r="H108" s="165">
        <f t="shared" si="6"/>
        <v>100855.24780206982</v>
      </c>
      <c r="I108" s="165">
        <f t="shared" si="6"/>
        <v>105242.16136310616</v>
      </c>
      <c r="J108" s="166">
        <f t="shared" si="6"/>
        <v>109419.00723566511</v>
      </c>
    </row>
    <row r="109" spans="2:10" customFormat="1" x14ac:dyDescent="0.35">
      <c r="B109" s="100">
        <v>777</v>
      </c>
      <c r="C109" s="160" t="s">
        <v>109</v>
      </c>
      <c r="D109" s="191">
        <v>1.9061697658134299E-3</v>
      </c>
      <c r="E109" s="164">
        <f t="shared" si="6"/>
        <v>95899.400918073661</v>
      </c>
      <c r="F109" s="165">
        <f t="shared" si="6"/>
        <v>100504.70707227891</v>
      </c>
      <c r="G109" s="165">
        <f t="shared" si="6"/>
        <v>105212.94639383808</v>
      </c>
      <c r="H109" s="165">
        <f t="shared" si="6"/>
        <v>109820.15871780914</v>
      </c>
      <c r="I109" s="165">
        <f t="shared" si="6"/>
        <v>114597.02015093759</v>
      </c>
      <c r="J109" s="166">
        <f t="shared" si="6"/>
        <v>119145.14121216844</v>
      </c>
    </row>
    <row r="110" spans="2:10" customFormat="1" x14ac:dyDescent="0.35">
      <c r="B110" s="100">
        <v>779</v>
      </c>
      <c r="C110" s="160" t="s">
        <v>110</v>
      </c>
      <c r="D110" s="191">
        <v>5.8352135688166196E-4</v>
      </c>
      <c r="E110" s="164">
        <f t="shared" si="6"/>
        <v>29356.959464716412</v>
      </c>
      <c r="F110" s="165">
        <f t="shared" si="6"/>
        <v>30766.747062942508</v>
      </c>
      <c r="G110" s="165">
        <f t="shared" si="6"/>
        <v>32208.044814440214</v>
      </c>
      <c r="H110" s="165">
        <f t="shared" si="6"/>
        <v>33618.415934023193</v>
      </c>
      <c r="I110" s="165">
        <f t="shared" si="6"/>
        <v>35080.720454368638</v>
      </c>
      <c r="J110" s="166">
        <f t="shared" si="6"/>
        <v>36473.002411888279</v>
      </c>
    </row>
    <row r="111" spans="2:10" customFormat="1" x14ac:dyDescent="0.35">
      <c r="B111" s="100">
        <v>1771</v>
      </c>
      <c r="C111" s="160" t="s">
        <v>111</v>
      </c>
      <c r="D111" s="191">
        <v>1.20594413755543E-3</v>
      </c>
      <c r="E111" s="164">
        <f t="shared" si="6"/>
        <v>60671.049560413681</v>
      </c>
      <c r="F111" s="165">
        <f t="shared" si="6"/>
        <v>63584.610596747603</v>
      </c>
      <c r="G111" s="165">
        <f t="shared" si="6"/>
        <v>66563.292616509512</v>
      </c>
      <c r="H111" s="165">
        <f t="shared" si="6"/>
        <v>69478.05959698098</v>
      </c>
      <c r="I111" s="165">
        <f t="shared" si="6"/>
        <v>72500.15560569489</v>
      </c>
      <c r="J111" s="166">
        <f t="shared" si="6"/>
        <v>75377.538317902145</v>
      </c>
    </row>
    <row r="112" spans="2:10" customFormat="1" x14ac:dyDescent="0.35">
      <c r="B112" s="100">
        <v>1652</v>
      </c>
      <c r="C112" s="160" t="s">
        <v>112</v>
      </c>
      <c r="D112" s="191">
        <v>8.1692989963432698E-4</v>
      </c>
      <c r="E112" s="164">
        <f t="shared" si="6"/>
        <v>41099.743250602987</v>
      </c>
      <c r="F112" s="165">
        <f t="shared" si="6"/>
        <v>43073.445888119524</v>
      </c>
      <c r="G112" s="165">
        <f t="shared" si="6"/>
        <v>45091.262740216313</v>
      </c>
      <c r="H112" s="165">
        <f t="shared" si="6"/>
        <v>47065.782307632478</v>
      </c>
      <c r="I112" s="165">
        <f t="shared" si="6"/>
        <v>49113.008636116101</v>
      </c>
      <c r="J112" s="166">
        <f t="shared" si="6"/>
        <v>51062.203376643607</v>
      </c>
    </row>
    <row r="113" spans="2:10" customFormat="1" x14ac:dyDescent="0.35">
      <c r="B113" s="100">
        <v>907</v>
      </c>
      <c r="C113" s="160" t="s">
        <v>113</v>
      </c>
      <c r="D113" s="191">
        <v>6.6132420446588305E-4</v>
      </c>
      <c r="E113" s="164">
        <f t="shared" si="6"/>
        <v>33271.220726678577</v>
      </c>
      <c r="F113" s="165">
        <f t="shared" si="6"/>
        <v>34868.980004668148</v>
      </c>
      <c r="G113" s="165">
        <f t="shared" si="6"/>
        <v>36502.45078969888</v>
      </c>
      <c r="H113" s="165">
        <f t="shared" si="6"/>
        <v>38100.871391892921</v>
      </c>
      <c r="I113" s="165">
        <f t="shared" si="6"/>
        <v>39758.149848284425</v>
      </c>
      <c r="J113" s="166">
        <f t="shared" si="6"/>
        <v>41336.069400140019</v>
      </c>
    </row>
    <row r="114" spans="2:10" customFormat="1" x14ac:dyDescent="0.35">
      <c r="B114" s="100">
        <v>784</v>
      </c>
      <c r="C114" s="160" t="s">
        <v>114</v>
      </c>
      <c r="D114" s="191">
        <v>5.0571850929743999E-4</v>
      </c>
      <c r="E114" s="164">
        <f t="shared" si="6"/>
        <v>25442.698202754207</v>
      </c>
      <c r="F114" s="165">
        <f t="shared" si="6"/>
        <v>26664.51412121682</v>
      </c>
      <c r="G114" s="165">
        <f t="shared" si="6"/>
        <v>27913.638839181498</v>
      </c>
      <c r="H114" s="165">
        <f t="shared" si="6"/>
        <v>29135.96047615341</v>
      </c>
      <c r="I114" s="165">
        <f t="shared" si="6"/>
        <v>30403.291060452793</v>
      </c>
      <c r="J114" s="166">
        <f t="shared" si="6"/>
        <v>31609.935423636485</v>
      </c>
    </row>
    <row r="115" spans="2:10" customFormat="1" x14ac:dyDescent="0.35">
      <c r="B115" s="100">
        <v>1924</v>
      </c>
      <c r="C115" s="160" t="s">
        <v>115</v>
      </c>
      <c r="D115" s="191">
        <v>1.86726834202132E-3</v>
      </c>
      <c r="E115" s="164">
        <f t="shared" si="6"/>
        <v>93942.2702870926</v>
      </c>
      <c r="F115" s="165">
        <f t="shared" si="6"/>
        <v>98453.590601416116</v>
      </c>
      <c r="G115" s="165">
        <f t="shared" si="6"/>
        <v>103065.74340620877</v>
      </c>
      <c r="H115" s="165">
        <f t="shared" si="6"/>
        <v>107578.9309888743</v>
      </c>
      <c r="I115" s="165">
        <f t="shared" si="6"/>
        <v>112258.30545397973</v>
      </c>
      <c r="J115" s="166">
        <f t="shared" si="6"/>
        <v>116713.60771804261</v>
      </c>
    </row>
    <row r="116" spans="2:10" customFormat="1" x14ac:dyDescent="0.35">
      <c r="B116" s="100">
        <v>664</v>
      </c>
      <c r="C116" s="160" t="s">
        <v>116</v>
      </c>
      <c r="D116" s="191">
        <v>1.98397261339765E-3</v>
      </c>
      <c r="E116" s="164">
        <f t="shared" si="6"/>
        <v>99813.662180035768</v>
      </c>
      <c r="F116" s="165">
        <f t="shared" si="6"/>
        <v>104606.94001400449</v>
      </c>
      <c r="G116" s="165">
        <f t="shared" si="6"/>
        <v>109507.3523690967</v>
      </c>
      <c r="H116" s="165">
        <f t="shared" si="6"/>
        <v>114302.61417567881</v>
      </c>
      <c r="I116" s="165">
        <f t="shared" si="6"/>
        <v>119274.44954485333</v>
      </c>
      <c r="J116" s="166">
        <f t="shared" si="6"/>
        <v>124008.20820042012</v>
      </c>
    </row>
    <row r="117" spans="2:10" customFormat="1" x14ac:dyDescent="0.35">
      <c r="B117" s="100">
        <v>785</v>
      </c>
      <c r="C117" s="160" t="s">
        <v>117</v>
      </c>
      <c r="D117" s="191">
        <v>9.7253559480277004E-4</v>
      </c>
      <c r="E117" s="164">
        <f t="shared" si="6"/>
        <v>48928.265774527361</v>
      </c>
      <c r="F117" s="165">
        <f t="shared" si="6"/>
        <v>51277.911771570856</v>
      </c>
      <c r="G117" s="165">
        <f t="shared" si="6"/>
        <v>53680.074690733694</v>
      </c>
      <c r="H117" s="165">
        <f t="shared" si="6"/>
        <v>56030.693223371993</v>
      </c>
      <c r="I117" s="165">
        <f t="shared" si="6"/>
        <v>58467.867423947733</v>
      </c>
      <c r="J117" s="166">
        <f t="shared" si="6"/>
        <v>60788.337353147144</v>
      </c>
    </row>
    <row r="118" spans="2:10" customFormat="1" x14ac:dyDescent="0.35">
      <c r="B118" s="100">
        <v>1942</v>
      </c>
      <c r="C118" s="160" t="s">
        <v>118</v>
      </c>
      <c r="D118" s="191">
        <v>1.36154983272388E-3</v>
      </c>
      <c r="E118" s="164">
        <f t="shared" si="6"/>
        <v>68499.572084338404</v>
      </c>
      <c r="F118" s="165">
        <f t="shared" si="6"/>
        <v>71789.076480199292</v>
      </c>
      <c r="G118" s="165">
        <f t="shared" si="6"/>
        <v>75152.104567027272</v>
      </c>
      <c r="H118" s="165">
        <f t="shared" si="6"/>
        <v>78442.970512720902</v>
      </c>
      <c r="I118" s="165">
        <f t="shared" si="6"/>
        <v>81855.014393526944</v>
      </c>
      <c r="J118" s="166">
        <f t="shared" si="6"/>
        <v>85103.672294406118</v>
      </c>
    </row>
    <row r="119" spans="2:10" customFormat="1" x14ac:dyDescent="0.35">
      <c r="B119" s="100">
        <v>512</v>
      </c>
      <c r="C119" s="160" t="s">
        <v>119</v>
      </c>
      <c r="D119" s="191">
        <v>2.5674939702793101E-3</v>
      </c>
      <c r="E119" s="164">
        <f t="shared" si="6"/>
        <v>129170.6216447521</v>
      </c>
      <c r="F119" s="165">
        <f t="shared" si="6"/>
        <v>135373.6870769469</v>
      </c>
      <c r="G119" s="165">
        <f t="shared" si="6"/>
        <v>141715.39718353681</v>
      </c>
      <c r="H119" s="165">
        <f t="shared" si="6"/>
        <v>147921.03010970188</v>
      </c>
      <c r="I119" s="165">
        <f t="shared" si="6"/>
        <v>154355.16999922183</v>
      </c>
      <c r="J119" s="166">
        <f t="shared" si="6"/>
        <v>160481.21061230829</v>
      </c>
    </row>
    <row r="120" spans="2:10" customFormat="1" x14ac:dyDescent="0.35">
      <c r="B120" s="100">
        <v>513</v>
      </c>
      <c r="C120" s="160" t="s">
        <v>120</v>
      </c>
      <c r="D120" s="191">
        <v>6.37983350190617E-3</v>
      </c>
      <c r="E120" s="164">
        <f t="shared" si="6"/>
        <v>320969.42348089942</v>
      </c>
      <c r="F120" s="165">
        <f t="shared" si="6"/>
        <v>336383.10122150474</v>
      </c>
      <c r="G120" s="165">
        <f t="shared" si="6"/>
        <v>352141.28997121297</v>
      </c>
      <c r="H120" s="165">
        <f t="shared" si="6"/>
        <v>367561.34754532017</v>
      </c>
      <c r="I120" s="165">
        <f t="shared" si="6"/>
        <v>383549.21030109702</v>
      </c>
      <c r="J120" s="166">
        <f t="shared" si="6"/>
        <v>398771.49303664517</v>
      </c>
    </row>
    <row r="121" spans="2:10" customFormat="1" x14ac:dyDescent="0.35">
      <c r="B121" s="100">
        <v>786</v>
      </c>
      <c r="C121" s="160" t="s">
        <v>121</v>
      </c>
      <c r="D121" s="191">
        <v>4.6681708550532999E-4</v>
      </c>
      <c r="E121" s="164">
        <f t="shared" si="6"/>
        <v>23485.56757177315</v>
      </c>
      <c r="F121" s="165">
        <f t="shared" si="6"/>
        <v>24613.397650354029</v>
      </c>
      <c r="G121" s="165">
        <f t="shared" si="6"/>
        <v>25766.435851552193</v>
      </c>
      <c r="H121" s="165">
        <f t="shared" si="6"/>
        <v>26894.732747218575</v>
      </c>
      <c r="I121" s="165">
        <f t="shared" si="6"/>
        <v>28064.576363494933</v>
      </c>
      <c r="J121" s="166">
        <f t="shared" si="6"/>
        <v>29178.401929510652</v>
      </c>
    </row>
    <row r="122" spans="2:10" customFormat="1" x14ac:dyDescent="0.35">
      <c r="B122" s="100">
        <v>14</v>
      </c>
      <c r="C122" s="160" t="s">
        <v>122</v>
      </c>
      <c r="D122" s="191">
        <v>2.13957830856609E-2</v>
      </c>
      <c r="E122" s="164">
        <f t="shared" si="6"/>
        <v>1076421.8470395999</v>
      </c>
      <c r="F122" s="165">
        <f t="shared" si="6"/>
        <v>1128114.0589745566</v>
      </c>
      <c r="G122" s="165">
        <f t="shared" si="6"/>
        <v>1180961.643196139</v>
      </c>
      <c r="H122" s="165">
        <f t="shared" si="6"/>
        <v>1232675.2509141813</v>
      </c>
      <c r="I122" s="165">
        <f t="shared" si="6"/>
        <v>1286293.0833268478</v>
      </c>
      <c r="J122" s="166">
        <f t="shared" si="6"/>
        <v>1337343.4217692346</v>
      </c>
    </row>
    <row r="123" spans="2:10" customFormat="1" x14ac:dyDescent="0.35">
      <c r="B123" s="100">
        <v>1729</v>
      </c>
      <c r="C123" s="160" t="s">
        <v>123</v>
      </c>
      <c r="D123" s="191">
        <v>3.5011281412899699E-4</v>
      </c>
      <c r="E123" s="164">
        <f t="shared" ref="E123:J138" si="7">$D123*E$10</f>
        <v>17614.175678829837</v>
      </c>
      <c r="F123" s="165">
        <f t="shared" si="7"/>
        <v>18460.048237765495</v>
      </c>
      <c r="G123" s="165">
        <f t="shared" si="7"/>
        <v>19324.826888664116</v>
      </c>
      <c r="H123" s="165">
        <f t="shared" si="7"/>
        <v>20171.049560413903</v>
      </c>
      <c r="I123" s="165">
        <f t="shared" si="7"/>
        <v>21048.432272621169</v>
      </c>
      <c r="J123" s="166">
        <f t="shared" si="7"/>
        <v>21883.801447132955</v>
      </c>
    </row>
    <row r="124" spans="2:10" customFormat="1" x14ac:dyDescent="0.35">
      <c r="B124" s="100">
        <v>158</v>
      </c>
      <c r="C124" s="160" t="s">
        <v>124</v>
      </c>
      <c r="D124" s="191">
        <v>8.1692989963432698E-4</v>
      </c>
      <c r="E124" s="164">
        <f t="shared" si="7"/>
        <v>41099.743250602987</v>
      </c>
      <c r="F124" s="165">
        <f t="shared" si="7"/>
        <v>43073.445888119524</v>
      </c>
      <c r="G124" s="165">
        <f t="shared" si="7"/>
        <v>45091.262740216313</v>
      </c>
      <c r="H124" s="165">
        <f t="shared" si="7"/>
        <v>47065.782307632478</v>
      </c>
      <c r="I124" s="165">
        <f t="shared" si="7"/>
        <v>49113.008636116101</v>
      </c>
      <c r="J124" s="166">
        <f t="shared" si="7"/>
        <v>51062.203376643607</v>
      </c>
    </row>
    <row r="125" spans="2:10" customFormat="1" x14ac:dyDescent="0.35">
      <c r="B125" s="100">
        <v>788</v>
      </c>
      <c r="C125" s="160" t="s">
        <v>125</v>
      </c>
      <c r="D125" s="191">
        <v>2.3340854275266499E-4</v>
      </c>
      <c r="E125" s="164">
        <f t="shared" si="7"/>
        <v>11742.783785886575</v>
      </c>
      <c r="F125" s="165">
        <f t="shared" si="7"/>
        <v>12306.698825177014</v>
      </c>
      <c r="G125" s="165">
        <f t="shared" si="7"/>
        <v>12883.217925776096</v>
      </c>
      <c r="H125" s="165">
        <f t="shared" si="7"/>
        <v>13447.366373609288</v>
      </c>
      <c r="I125" s="165">
        <f t="shared" si="7"/>
        <v>14032.288181747466</v>
      </c>
      <c r="J125" s="166">
        <f t="shared" si="7"/>
        <v>14589.200964755326</v>
      </c>
    </row>
    <row r="126" spans="2:10" customFormat="1" x14ac:dyDescent="0.35">
      <c r="B126" s="100">
        <v>392</v>
      </c>
      <c r="C126" s="160" t="s">
        <v>126</v>
      </c>
      <c r="D126" s="191">
        <v>1.1592624290049E-2</v>
      </c>
      <c r="E126" s="164">
        <f t="shared" si="7"/>
        <v>583224.92803236516</v>
      </c>
      <c r="F126" s="165">
        <f t="shared" si="7"/>
        <v>611232.70831712359</v>
      </c>
      <c r="G126" s="165">
        <f t="shared" si="7"/>
        <v>639866.49031354464</v>
      </c>
      <c r="H126" s="165">
        <f t="shared" si="7"/>
        <v>667885.86322259298</v>
      </c>
      <c r="I126" s="165">
        <f t="shared" si="7"/>
        <v>696936.97969345585</v>
      </c>
      <c r="J126" s="166">
        <f t="shared" si="7"/>
        <v>724596.98124951276</v>
      </c>
    </row>
    <row r="127" spans="2:10" customFormat="1" x14ac:dyDescent="0.35">
      <c r="B127" s="100">
        <v>394</v>
      </c>
      <c r="C127" s="160" t="s">
        <v>127</v>
      </c>
      <c r="D127" s="191">
        <v>6.5743406208667197E-3</v>
      </c>
      <c r="E127" s="164">
        <f t="shared" si="7"/>
        <v>330755.07663580467</v>
      </c>
      <c r="F127" s="165">
        <f t="shared" si="7"/>
        <v>346638.68357581866</v>
      </c>
      <c r="G127" s="165">
        <f t="shared" si="7"/>
        <v>362877.30490935949</v>
      </c>
      <c r="H127" s="165">
        <f t="shared" si="7"/>
        <v>378767.48618999432</v>
      </c>
      <c r="I127" s="165">
        <f t="shared" si="7"/>
        <v>395242.78378588631</v>
      </c>
      <c r="J127" s="166">
        <f t="shared" si="7"/>
        <v>410929.16050727433</v>
      </c>
    </row>
    <row r="128" spans="2:10" customFormat="1" x14ac:dyDescent="0.35">
      <c r="B128" s="100">
        <v>1655</v>
      </c>
      <c r="C128" s="160" t="s">
        <v>128</v>
      </c>
      <c r="D128" s="191">
        <v>1.4393526803081001E-3</v>
      </c>
      <c r="E128" s="164">
        <f t="shared" si="7"/>
        <v>72413.833346300511</v>
      </c>
      <c r="F128" s="165">
        <f t="shared" si="7"/>
        <v>75891.309421924889</v>
      </c>
      <c r="G128" s="165">
        <f t="shared" si="7"/>
        <v>79446.510542285891</v>
      </c>
      <c r="H128" s="165">
        <f t="shared" si="7"/>
        <v>82925.425970590572</v>
      </c>
      <c r="I128" s="165">
        <f t="shared" si="7"/>
        <v>86532.443787442666</v>
      </c>
      <c r="J128" s="166">
        <f t="shared" si="7"/>
        <v>89966.7392826578</v>
      </c>
    </row>
    <row r="129" spans="2:10" customFormat="1" x14ac:dyDescent="0.35">
      <c r="B129" s="100">
        <v>160</v>
      </c>
      <c r="C129" s="160" t="s">
        <v>129</v>
      </c>
      <c r="D129" s="191">
        <v>3.5400295650820802E-3</v>
      </c>
      <c r="E129" s="164">
        <f t="shared" si="7"/>
        <v>178098.88741927946</v>
      </c>
      <c r="F129" s="165">
        <f t="shared" si="7"/>
        <v>186651.59884851775</v>
      </c>
      <c r="G129" s="165">
        <f t="shared" si="7"/>
        <v>195395.4718742705</v>
      </c>
      <c r="H129" s="165">
        <f t="shared" si="7"/>
        <v>203951.7233330739</v>
      </c>
      <c r="I129" s="165">
        <f t="shared" si="7"/>
        <v>212823.03742316959</v>
      </c>
      <c r="J129" s="166">
        <f t="shared" si="7"/>
        <v>221269.54796545542</v>
      </c>
    </row>
    <row r="130" spans="2:10" customFormat="1" x14ac:dyDescent="0.35">
      <c r="B130" s="100">
        <v>243</v>
      </c>
      <c r="C130" s="160" t="s">
        <v>130</v>
      </c>
      <c r="D130" s="191">
        <v>1.9450711896055401E-3</v>
      </c>
      <c r="E130" s="164">
        <f t="shared" si="7"/>
        <v>97856.531549054722</v>
      </c>
      <c r="F130" s="165">
        <f t="shared" si="7"/>
        <v>102555.82354314171</v>
      </c>
      <c r="G130" s="165">
        <f t="shared" si="7"/>
        <v>107360.14938146739</v>
      </c>
      <c r="H130" s="165">
        <f t="shared" si="7"/>
        <v>112061.38644674399</v>
      </c>
      <c r="I130" s="165">
        <f t="shared" si="7"/>
        <v>116935.73484789547</v>
      </c>
      <c r="J130" s="166">
        <f t="shared" si="7"/>
        <v>121576.67470629429</v>
      </c>
    </row>
    <row r="131" spans="2:10" customFormat="1" x14ac:dyDescent="0.35">
      <c r="B131" s="100">
        <v>523</v>
      </c>
      <c r="C131" s="160" t="s">
        <v>131</v>
      </c>
      <c r="D131" s="191">
        <v>8.1692989963432698E-4</v>
      </c>
      <c r="E131" s="164">
        <f t="shared" si="7"/>
        <v>41099.743250602987</v>
      </c>
      <c r="F131" s="165">
        <f t="shared" si="7"/>
        <v>43073.445888119524</v>
      </c>
      <c r="G131" s="165">
        <f t="shared" si="7"/>
        <v>45091.262740216313</v>
      </c>
      <c r="H131" s="165">
        <f t="shared" si="7"/>
        <v>47065.782307632478</v>
      </c>
      <c r="I131" s="165">
        <f t="shared" si="7"/>
        <v>49113.008636116101</v>
      </c>
      <c r="J131" s="166">
        <f t="shared" si="7"/>
        <v>51062.203376643607</v>
      </c>
    </row>
    <row r="132" spans="2:10" customFormat="1" x14ac:dyDescent="0.35">
      <c r="B132" s="100">
        <v>72</v>
      </c>
      <c r="C132" s="160" t="s">
        <v>132</v>
      </c>
      <c r="D132" s="191">
        <v>9.33634171010659E-4</v>
      </c>
      <c r="E132" s="164">
        <f t="shared" si="7"/>
        <v>46971.135143546257</v>
      </c>
      <c r="F132" s="165">
        <f t="shared" si="7"/>
        <v>49226.795300708007</v>
      </c>
      <c r="G132" s="165">
        <f t="shared" si="7"/>
        <v>51532.871703104334</v>
      </c>
      <c r="H132" s="165">
        <f t="shared" si="7"/>
        <v>53789.4654944371</v>
      </c>
      <c r="I132" s="165">
        <f t="shared" si="7"/>
        <v>56129.152726989807</v>
      </c>
      <c r="J132" s="166">
        <f t="shared" si="7"/>
        <v>58356.803859021238</v>
      </c>
    </row>
    <row r="133" spans="2:10" customFormat="1" x14ac:dyDescent="0.35">
      <c r="B133" s="100">
        <v>244</v>
      </c>
      <c r="C133" s="160" t="s">
        <v>133</v>
      </c>
      <c r="D133" s="191">
        <v>5.4461993308955103E-4</v>
      </c>
      <c r="E133" s="164">
        <f t="shared" si="7"/>
        <v>27399.828833735311</v>
      </c>
      <c r="F133" s="165">
        <f t="shared" si="7"/>
        <v>28715.630592079669</v>
      </c>
      <c r="G133" s="165">
        <f t="shared" si="7"/>
        <v>30060.841826810858</v>
      </c>
      <c r="H133" s="165">
        <f t="shared" si="7"/>
        <v>31377.188205088303</v>
      </c>
      <c r="I133" s="165">
        <f t="shared" si="7"/>
        <v>32742.00575741072</v>
      </c>
      <c r="J133" s="166">
        <f t="shared" si="7"/>
        <v>34041.468917762388</v>
      </c>
    </row>
    <row r="134" spans="2:10" customFormat="1" x14ac:dyDescent="0.35">
      <c r="B134" s="100">
        <v>396</v>
      </c>
      <c r="C134" s="160" t="s">
        <v>134</v>
      </c>
      <c r="D134" s="191">
        <v>2.1784797323581998E-3</v>
      </c>
      <c r="E134" s="164">
        <f t="shared" si="7"/>
        <v>109599.31533494103</v>
      </c>
      <c r="F134" s="165">
        <f t="shared" si="7"/>
        <v>114862.52236831844</v>
      </c>
      <c r="G134" s="165">
        <f t="shared" si="7"/>
        <v>120243.3673072432</v>
      </c>
      <c r="H134" s="165">
        <f t="shared" si="7"/>
        <v>125508.75282035297</v>
      </c>
      <c r="I134" s="165">
        <f t="shared" si="7"/>
        <v>130968.02302964262</v>
      </c>
      <c r="J134" s="166">
        <f t="shared" si="7"/>
        <v>136165.87567104929</v>
      </c>
    </row>
    <row r="135" spans="2:10" customFormat="1" x14ac:dyDescent="0.35">
      <c r="B135" s="100">
        <v>397</v>
      </c>
      <c r="C135" s="160" t="s">
        <v>135</v>
      </c>
      <c r="D135" s="191">
        <v>9.7253559480277004E-4</v>
      </c>
      <c r="E135" s="164">
        <f t="shared" si="7"/>
        <v>48928.265774527361</v>
      </c>
      <c r="F135" s="165">
        <f t="shared" si="7"/>
        <v>51277.911771570856</v>
      </c>
      <c r="G135" s="165">
        <f t="shared" si="7"/>
        <v>53680.074690733694</v>
      </c>
      <c r="H135" s="165">
        <f t="shared" si="7"/>
        <v>56030.693223371993</v>
      </c>
      <c r="I135" s="165">
        <f t="shared" si="7"/>
        <v>58467.867423947733</v>
      </c>
      <c r="J135" s="166">
        <f t="shared" si="7"/>
        <v>60788.337353147144</v>
      </c>
    </row>
    <row r="136" spans="2:10" customFormat="1" x14ac:dyDescent="0.35">
      <c r="B136" s="100">
        <v>246</v>
      </c>
      <c r="C136" s="160" t="s">
        <v>136</v>
      </c>
      <c r="D136" s="191">
        <v>1.16704271376332E-3</v>
      </c>
      <c r="E136" s="164">
        <f t="shared" si="7"/>
        <v>58713.918929432628</v>
      </c>
      <c r="F136" s="165">
        <f t="shared" si="7"/>
        <v>61533.494125884812</v>
      </c>
      <c r="G136" s="165">
        <f t="shared" si="7"/>
        <v>64416.089628880211</v>
      </c>
      <c r="H136" s="165">
        <f t="shared" si="7"/>
        <v>67236.831868046153</v>
      </c>
      <c r="I136" s="165">
        <f t="shared" si="7"/>
        <v>70161.44090873703</v>
      </c>
      <c r="J136" s="166">
        <f t="shared" si="7"/>
        <v>72946.004823776311</v>
      </c>
    </row>
    <row r="137" spans="2:10" customFormat="1" x14ac:dyDescent="0.35">
      <c r="B137" s="100">
        <v>74</v>
      </c>
      <c r="C137" s="160" t="s">
        <v>137</v>
      </c>
      <c r="D137" s="191">
        <v>1.7894654944371001E-3</v>
      </c>
      <c r="E137" s="164">
        <f t="shared" si="7"/>
        <v>90028.009025130508</v>
      </c>
      <c r="F137" s="165">
        <f t="shared" si="7"/>
        <v>94351.357659690533</v>
      </c>
      <c r="G137" s="165">
        <f t="shared" si="7"/>
        <v>98771.337430950181</v>
      </c>
      <c r="H137" s="165">
        <f t="shared" si="7"/>
        <v>103096.47553100465</v>
      </c>
      <c r="I137" s="165">
        <f t="shared" si="7"/>
        <v>107580.87606006402</v>
      </c>
      <c r="J137" s="166">
        <f t="shared" si="7"/>
        <v>111850.54072979094</v>
      </c>
    </row>
    <row r="138" spans="2:10" customFormat="1" x14ac:dyDescent="0.35">
      <c r="B138" s="100">
        <v>398</v>
      </c>
      <c r="C138" s="160" t="s">
        <v>138</v>
      </c>
      <c r="D138" s="191">
        <v>5.7185092974402904E-3</v>
      </c>
      <c r="E138" s="164">
        <f t="shared" si="7"/>
        <v>287698.20275422098</v>
      </c>
      <c r="F138" s="165">
        <f t="shared" si="7"/>
        <v>301514.12121683673</v>
      </c>
      <c r="G138" s="165">
        <f t="shared" si="7"/>
        <v>315638.83918151428</v>
      </c>
      <c r="H138" s="165">
        <f t="shared" si="7"/>
        <v>329460.47615342744</v>
      </c>
      <c r="I138" s="165">
        <f t="shared" si="7"/>
        <v>343791.06045281282</v>
      </c>
      <c r="J138" s="166">
        <f t="shared" si="7"/>
        <v>357435.42363650532</v>
      </c>
    </row>
    <row r="139" spans="2:10" customFormat="1" x14ac:dyDescent="0.35">
      <c r="B139" s="100">
        <v>917</v>
      </c>
      <c r="C139" s="160" t="s">
        <v>139</v>
      </c>
      <c r="D139" s="191">
        <v>1.0464483000077801E-2</v>
      </c>
      <c r="E139" s="164">
        <f t="shared" ref="E139:J154" si="8">$D139*E$10</f>
        <v>526468.13973391417</v>
      </c>
      <c r="F139" s="165">
        <f t="shared" si="8"/>
        <v>551750.33066210209</v>
      </c>
      <c r="G139" s="165">
        <f t="shared" si="8"/>
        <v>577597.6036722943</v>
      </c>
      <c r="H139" s="165">
        <f t="shared" si="8"/>
        <v>602890.25908348232</v>
      </c>
      <c r="I139" s="165">
        <f t="shared" si="8"/>
        <v>629114.25348167727</v>
      </c>
      <c r="J139" s="166">
        <f t="shared" si="8"/>
        <v>654082.50991986296</v>
      </c>
    </row>
    <row r="140" spans="2:10" customFormat="1" x14ac:dyDescent="0.35">
      <c r="B140" s="100">
        <v>1658</v>
      </c>
      <c r="C140" s="160" t="s">
        <v>140</v>
      </c>
      <c r="D140" s="191">
        <v>4.2791566171321901E-4</v>
      </c>
      <c r="E140" s="164">
        <f t="shared" si="8"/>
        <v>21528.436940792049</v>
      </c>
      <c r="F140" s="165">
        <f t="shared" si="8"/>
        <v>22562.281179491187</v>
      </c>
      <c r="G140" s="165">
        <f t="shared" si="8"/>
        <v>23619.232863922836</v>
      </c>
      <c r="H140" s="165">
        <f t="shared" si="8"/>
        <v>24653.505018283686</v>
      </c>
      <c r="I140" s="165">
        <f t="shared" si="8"/>
        <v>25725.861666537014</v>
      </c>
      <c r="J140" s="166">
        <f t="shared" si="8"/>
        <v>26746.868435384753</v>
      </c>
    </row>
    <row r="141" spans="2:10" customFormat="1" x14ac:dyDescent="0.35">
      <c r="B141" s="100">
        <v>399</v>
      </c>
      <c r="C141" s="160" t="s">
        <v>141</v>
      </c>
      <c r="D141" s="191">
        <v>1.5949583754765401E-3</v>
      </c>
      <c r="E141" s="164">
        <f t="shared" si="8"/>
        <v>80242.355870224739</v>
      </c>
      <c r="F141" s="165">
        <f t="shared" si="8"/>
        <v>84095.775305376053</v>
      </c>
      <c r="G141" s="165">
        <f t="shared" si="8"/>
        <v>88035.322492803112</v>
      </c>
      <c r="H141" s="165">
        <f t="shared" si="8"/>
        <v>91890.336886329911</v>
      </c>
      <c r="I141" s="165">
        <f t="shared" si="8"/>
        <v>95887.302575274109</v>
      </c>
      <c r="J141" s="166">
        <f t="shared" si="8"/>
        <v>99692.873259161133</v>
      </c>
    </row>
    <row r="142" spans="2:10" customFormat="1" x14ac:dyDescent="0.35">
      <c r="B142" s="100">
        <v>163</v>
      </c>
      <c r="C142" s="160" t="s">
        <v>142</v>
      </c>
      <c r="D142" s="191">
        <v>1.4004512565159899E-3</v>
      </c>
      <c r="E142" s="164">
        <f t="shared" si="8"/>
        <v>70456.70271531945</v>
      </c>
      <c r="F142" s="165">
        <f t="shared" si="8"/>
        <v>73840.192951062083</v>
      </c>
      <c r="G142" s="165">
        <f t="shared" si="8"/>
        <v>77299.307554656581</v>
      </c>
      <c r="H142" s="165">
        <f t="shared" si="8"/>
        <v>80684.198241655729</v>
      </c>
      <c r="I142" s="165">
        <f t="shared" si="8"/>
        <v>84193.729090484791</v>
      </c>
      <c r="J142" s="166">
        <f t="shared" si="8"/>
        <v>87535.205788531952</v>
      </c>
    </row>
    <row r="143" spans="2:10" customFormat="1" x14ac:dyDescent="0.35">
      <c r="B143" s="100">
        <v>530</v>
      </c>
      <c r="C143" s="160" t="s">
        <v>143</v>
      </c>
      <c r="D143" s="191">
        <v>2.2173811561503102E-3</v>
      </c>
      <c r="E143" s="164">
        <f t="shared" si="8"/>
        <v>111556.4459659221</v>
      </c>
      <c r="F143" s="165">
        <f t="shared" si="8"/>
        <v>116913.63883918125</v>
      </c>
      <c r="G143" s="165">
        <f t="shared" si="8"/>
        <v>122390.57029487252</v>
      </c>
      <c r="H143" s="165">
        <f t="shared" si="8"/>
        <v>127749.98054928782</v>
      </c>
      <c r="I143" s="165">
        <f t="shared" si="8"/>
        <v>133306.73772660049</v>
      </c>
      <c r="J143" s="166">
        <f t="shared" si="8"/>
        <v>138597.40916517514</v>
      </c>
    </row>
    <row r="144" spans="2:10" customFormat="1" x14ac:dyDescent="0.35">
      <c r="B144" s="100">
        <v>794</v>
      </c>
      <c r="C144" s="160" t="s">
        <v>144</v>
      </c>
      <c r="D144" s="191">
        <v>3.1510153271609798E-3</v>
      </c>
      <c r="E144" s="164">
        <f t="shared" si="8"/>
        <v>158527.58110946888</v>
      </c>
      <c r="F144" s="165">
        <f t="shared" si="8"/>
        <v>166140.43413988981</v>
      </c>
      <c r="G144" s="165">
        <f t="shared" si="8"/>
        <v>173923.44199797744</v>
      </c>
      <c r="H144" s="165">
        <f t="shared" si="8"/>
        <v>181539.44604372553</v>
      </c>
      <c r="I144" s="165">
        <f t="shared" si="8"/>
        <v>189435.89045359095</v>
      </c>
      <c r="J144" s="166">
        <f t="shared" si="8"/>
        <v>196954.21302419703</v>
      </c>
    </row>
    <row r="145" spans="2:10" customFormat="1" x14ac:dyDescent="0.35">
      <c r="B145" s="100">
        <v>531</v>
      </c>
      <c r="C145" s="160" t="s">
        <v>145</v>
      </c>
      <c r="D145" s="191">
        <v>1.16704271376332E-3</v>
      </c>
      <c r="E145" s="164">
        <f t="shared" si="8"/>
        <v>58713.918929432628</v>
      </c>
      <c r="F145" s="165">
        <f t="shared" si="8"/>
        <v>61533.494125884812</v>
      </c>
      <c r="G145" s="165">
        <f t="shared" si="8"/>
        <v>64416.089628880211</v>
      </c>
      <c r="H145" s="165">
        <f t="shared" si="8"/>
        <v>67236.831868046153</v>
      </c>
      <c r="I145" s="165">
        <f t="shared" si="8"/>
        <v>70161.44090873703</v>
      </c>
      <c r="J145" s="166">
        <f t="shared" si="8"/>
        <v>72946.004823776311</v>
      </c>
    </row>
    <row r="146" spans="2:10" customFormat="1" x14ac:dyDescent="0.35">
      <c r="B146" s="100">
        <v>164</v>
      </c>
      <c r="C146" s="160" t="s">
        <v>146</v>
      </c>
      <c r="D146" s="191">
        <v>5.0571850929744004E-3</v>
      </c>
      <c r="E146" s="164">
        <f t="shared" si="8"/>
        <v>254426.98202754208</v>
      </c>
      <c r="F146" s="165">
        <f t="shared" si="8"/>
        <v>266645.14121216821</v>
      </c>
      <c r="G146" s="165">
        <f t="shared" si="8"/>
        <v>279136.38839181501</v>
      </c>
      <c r="H146" s="165">
        <f t="shared" si="8"/>
        <v>291359.60476153414</v>
      </c>
      <c r="I146" s="165">
        <f t="shared" si="8"/>
        <v>304032.91060452798</v>
      </c>
      <c r="J146" s="166">
        <f t="shared" si="8"/>
        <v>316099.35423636489</v>
      </c>
    </row>
    <row r="147" spans="2:10" customFormat="1" x14ac:dyDescent="0.35">
      <c r="B147" s="100">
        <v>1966</v>
      </c>
      <c r="C147" s="160" t="s">
        <v>147</v>
      </c>
      <c r="D147" s="191">
        <v>3.7345366840426399E-3</v>
      </c>
      <c r="E147" s="164">
        <f t="shared" si="8"/>
        <v>187884.5405741852</v>
      </c>
      <c r="F147" s="165">
        <f t="shared" si="8"/>
        <v>196907.18120283223</v>
      </c>
      <c r="G147" s="165">
        <f t="shared" si="8"/>
        <v>206131.48681241754</v>
      </c>
      <c r="H147" s="165">
        <f t="shared" si="8"/>
        <v>215157.8619777486</v>
      </c>
      <c r="I147" s="165">
        <f t="shared" si="8"/>
        <v>224516.61090795946</v>
      </c>
      <c r="J147" s="166">
        <f t="shared" si="8"/>
        <v>233427.21543608521</v>
      </c>
    </row>
    <row r="148" spans="2:10" customFormat="1" x14ac:dyDescent="0.35">
      <c r="B148" s="100">
        <v>252</v>
      </c>
      <c r="C148" s="160" t="s">
        <v>148</v>
      </c>
      <c r="D148" s="191">
        <v>7.3912705205010502E-4</v>
      </c>
      <c r="E148" s="164">
        <f t="shared" si="8"/>
        <v>37185.481988640786</v>
      </c>
      <c r="F148" s="165">
        <f t="shared" si="8"/>
        <v>38971.21294639384</v>
      </c>
      <c r="G148" s="165">
        <f t="shared" si="8"/>
        <v>40796.8567649576</v>
      </c>
      <c r="H148" s="165">
        <f t="shared" si="8"/>
        <v>42583.3268497627</v>
      </c>
      <c r="I148" s="165">
        <f t="shared" si="8"/>
        <v>44435.579242200263</v>
      </c>
      <c r="J148" s="166">
        <f t="shared" si="8"/>
        <v>46199.136388391817</v>
      </c>
    </row>
    <row r="149" spans="2:10" customFormat="1" x14ac:dyDescent="0.35">
      <c r="B149" s="100">
        <v>797</v>
      </c>
      <c r="C149" s="160" t="s">
        <v>149</v>
      </c>
      <c r="D149" s="191">
        <v>1.2837469851396601E-3</v>
      </c>
      <c r="E149" s="164">
        <f t="shared" si="8"/>
        <v>64585.310822376297</v>
      </c>
      <c r="F149" s="165">
        <f t="shared" si="8"/>
        <v>67686.843538473709</v>
      </c>
      <c r="G149" s="165">
        <f t="shared" si="8"/>
        <v>70857.698591768683</v>
      </c>
      <c r="H149" s="165">
        <f t="shared" si="8"/>
        <v>73960.515054851232</v>
      </c>
      <c r="I149" s="165">
        <f t="shared" si="8"/>
        <v>77177.584999611223</v>
      </c>
      <c r="J149" s="166">
        <f t="shared" si="8"/>
        <v>80240.605306154452</v>
      </c>
    </row>
    <row r="150" spans="2:10" customFormat="1" x14ac:dyDescent="0.35">
      <c r="B150" s="100">
        <v>534</v>
      </c>
      <c r="C150" s="160" t="s">
        <v>150</v>
      </c>
      <c r="D150" s="191">
        <v>9.33634171010659E-4</v>
      </c>
      <c r="E150" s="164">
        <f t="shared" si="8"/>
        <v>46971.135143546257</v>
      </c>
      <c r="F150" s="165">
        <f t="shared" si="8"/>
        <v>49226.795300708007</v>
      </c>
      <c r="G150" s="165">
        <f t="shared" si="8"/>
        <v>51532.871703104334</v>
      </c>
      <c r="H150" s="165">
        <f t="shared" si="8"/>
        <v>53789.4654944371</v>
      </c>
      <c r="I150" s="165">
        <f t="shared" si="8"/>
        <v>56129.152726989807</v>
      </c>
      <c r="J150" s="166">
        <f t="shared" si="8"/>
        <v>58356.803859021238</v>
      </c>
    </row>
    <row r="151" spans="2:10" customFormat="1" x14ac:dyDescent="0.35">
      <c r="B151" s="100">
        <v>798</v>
      </c>
      <c r="C151" s="160" t="s">
        <v>151</v>
      </c>
      <c r="D151" s="191">
        <v>2.3340854275266499E-4</v>
      </c>
      <c r="E151" s="164">
        <f t="shared" si="8"/>
        <v>11742.783785886575</v>
      </c>
      <c r="F151" s="165">
        <f t="shared" si="8"/>
        <v>12306.698825177014</v>
      </c>
      <c r="G151" s="165">
        <f t="shared" si="8"/>
        <v>12883.217925776096</v>
      </c>
      <c r="H151" s="165">
        <f t="shared" si="8"/>
        <v>13447.366373609288</v>
      </c>
      <c r="I151" s="165">
        <f t="shared" si="8"/>
        <v>14032.288181747466</v>
      </c>
      <c r="J151" s="166">
        <f t="shared" si="8"/>
        <v>14589.200964755326</v>
      </c>
    </row>
    <row r="152" spans="2:10" customFormat="1" x14ac:dyDescent="0.35">
      <c r="B152" s="100">
        <v>402</v>
      </c>
      <c r="C152" s="160" t="s">
        <v>152</v>
      </c>
      <c r="D152" s="191">
        <v>2.8009025130319798E-3</v>
      </c>
      <c r="E152" s="164">
        <f t="shared" si="8"/>
        <v>140913.4054306389</v>
      </c>
      <c r="F152" s="165">
        <f t="shared" si="8"/>
        <v>147680.38590212417</v>
      </c>
      <c r="G152" s="165">
        <f t="shared" si="8"/>
        <v>154598.61510931316</v>
      </c>
      <c r="H152" s="165">
        <f t="shared" si="8"/>
        <v>161368.39648331146</v>
      </c>
      <c r="I152" s="165">
        <f t="shared" si="8"/>
        <v>168387.45818096958</v>
      </c>
      <c r="J152" s="166">
        <f t="shared" si="8"/>
        <v>175070.4115770639</v>
      </c>
    </row>
    <row r="153" spans="2:10" customFormat="1" x14ac:dyDescent="0.35">
      <c r="B153" s="100">
        <v>1963</v>
      </c>
      <c r="C153" s="160" t="s">
        <v>153</v>
      </c>
      <c r="D153" s="191">
        <v>3.8123395316268598E-3</v>
      </c>
      <c r="E153" s="164">
        <f t="shared" si="8"/>
        <v>191798.80183614732</v>
      </c>
      <c r="F153" s="165">
        <f t="shared" si="8"/>
        <v>201009.41414455781</v>
      </c>
      <c r="G153" s="165">
        <f t="shared" si="8"/>
        <v>210425.89278767616</v>
      </c>
      <c r="H153" s="165">
        <f t="shared" si="8"/>
        <v>219640.31743561829</v>
      </c>
      <c r="I153" s="165">
        <f t="shared" si="8"/>
        <v>229194.04030187518</v>
      </c>
      <c r="J153" s="166">
        <f t="shared" si="8"/>
        <v>238290.28242433688</v>
      </c>
    </row>
    <row r="154" spans="2:10" customFormat="1" x14ac:dyDescent="0.35">
      <c r="B154" s="100">
        <v>1735</v>
      </c>
      <c r="C154" s="160" t="s">
        <v>154</v>
      </c>
      <c r="D154" s="191">
        <v>1.20594413755543E-3</v>
      </c>
      <c r="E154" s="164">
        <f t="shared" si="8"/>
        <v>60671.049560413681</v>
      </c>
      <c r="F154" s="165">
        <f t="shared" si="8"/>
        <v>63584.610596747603</v>
      </c>
      <c r="G154" s="165">
        <f t="shared" si="8"/>
        <v>66563.292616509512</v>
      </c>
      <c r="H154" s="165">
        <f t="shared" si="8"/>
        <v>69478.05959698098</v>
      </c>
      <c r="I154" s="165">
        <f t="shared" si="8"/>
        <v>72500.15560569489</v>
      </c>
      <c r="J154" s="166">
        <f t="shared" si="8"/>
        <v>75377.538317902145</v>
      </c>
    </row>
    <row r="155" spans="2:10" customFormat="1" x14ac:dyDescent="0.35">
      <c r="B155" s="100">
        <v>1911</v>
      </c>
      <c r="C155" s="160" t="s">
        <v>155</v>
      </c>
      <c r="D155" s="191">
        <v>2.8009025130319798E-3</v>
      </c>
      <c r="E155" s="164">
        <f t="shared" ref="E155:J170" si="9">$D155*E$10</f>
        <v>140913.4054306389</v>
      </c>
      <c r="F155" s="165">
        <f t="shared" si="9"/>
        <v>147680.38590212417</v>
      </c>
      <c r="G155" s="165">
        <f t="shared" si="9"/>
        <v>154598.61510931316</v>
      </c>
      <c r="H155" s="165">
        <f t="shared" si="9"/>
        <v>161368.39648331146</v>
      </c>
      <c r="I155" s="165">
        <f t="shared" si="9"/>
        <v>168387.45818096958</v>
      </c>
      <c r="J155" s="166">
        <f t="shared" si="9"/>
        <v>175070.4115770639</v>
      </c>
    </row>
    <row r="156" spans="2:10" customFormat="1" x14ac:dyDescent="0.35">
      <c r="B156" s="100">
        <v>118</v>
      </c>
      <c r="C156" s="160" t="s">
        <v>156</v>
      </c>
      <c r="D156" s="191">
        <v>2.64529681786353E-3</v>
      </c>
      <c r="E156" s="164">
        <f t="shared" si="9"/>
        <v>133084.88290671419</v>
      </c>
      <c r="F156" s="165">
        <f t="shared" si="9"/>
        <v>139475.92001867248</v>
      </c>
      <c r="G156" s="165">
        <f t="shared" si="9"/>
        <v>146009.8031587954</v>
      </c>
      <c r="H156" s="165">
        <f t="shared" si="9"/>
        <v>152403.48556757157</v>
      </c>
      <c r="I156" s="165">
        <f t="shared" si="9"/>
        <v>159032.59939313756</v>
      </c>
      <c r="J156" s="166">
        <f t="shared" si="9"/>
        <v>165344.27760055996</v>
      </c>
    </row>
    <row r="157" spans="2:10" customFormat="1" x14ac:dyDescent="0.35">
      <c r="B157" s="100">
        <v>405</v>
      </c>
      <c r="C157" s="160" t="s">
        <v>157</v>
      </c>
      <c r="D157" s="191">
        <v>9.4141445576908199E-3</v>
      </c>
      <c r="E157" s="164">
        <f t="shared" si="9"/>
        <v>473625.61269742512</v>
      </c>
      <c r="F157" s="165">
        <f t="shared" si="9"/>
        <v>496370.18594880617</v>
      </c>
      <c r="G157" s="165">
        <f t="shared" si="9"/>
        <v>519623.12300630251</v>
      </c>
      <c r="H157" s="165">
        <f t="shared" si="9"/>
        <v>542377.11040224123</v>
      </c>
      <c r="I157" s="165">
        <f t="shared" si="9"/>
        <v>565968.95666381437</v>
      </c>
      <c r="J157" s="166">
        <f t="shared" si="9"/>
        <v>588431.10557846469</v>
      </c>
    </row>
    <row r="158" spans="2:10" customFormat="1" x14ac:dyDescent="0.35">
      <c r="B158" s="100">
        <v>1507</v>
      </c>
      <c r="C158" s="160" t="s">
        <v>158</v>
      </c>
      <c r="D158" s="191">
        <v>1.51715552789232E-3</v>
      </c>
      <c r="E158" s="164">
        <f t="shared" si="9"/>
        <v>76328.094608262618</v>
      </c>
      <c r="F158" s="165">
        <f t="shared" si="9"/>
        <v>79993.542363650457</v>
      </c>
      <c r="G158" s="165">
        <f t="shared" si="9"/>
        <v>83740.916517544494</v>
      </c>
      <c r="H158" s="165">
        <f t="shared" si="9"/>
        <v>87407.881428460227</v>
      </c>
      <c r="I158" s="165">
        <f t="shared" si="9"/>
        <v>91209.873181358387</v>
      </c>
      <c r="J158" s="166">
        <f t="shared" si="9"/>
        <v>94829.806270909467</v>
      </c>
    </row>
    <row r="159" spans="2:10" customFormat="1" x14ac:dyDescent="0.35">
      <c r="B159" s="100">
        <v>321</v>
      </c>
      <c r="C159" s="160" t="s">
        <v>159</v>
      </c>
      <c r="D159" s="191">
        <v>2.1395783085660898E-3</v>
      </c>
      <c r="E159" s="164">
        <f t="shared" si="9"/>
        <v>107642.18470395998</v>
      </c>
      <c r="F159" s="165">
        <f t="shared" si="9"/>
        <v>112811.40589745565</v>
      </c>
      <c r="G159" s="165">
        <f t="shared" si="9"/>
        <v>118096.16431961389</v>
      </c>
      <c r="H159" s="165">
        <f t="shared" si="9"/>
        <v>123267.52509141814</v>
      </c>
      <c r="I159" s="165">
        <f t="shared" si="9"/>
        <v>128629.30833268476</v>
      </c>
      <c r="J159" s="166">
        <f t="shared" si="9"/>
        <v>133734.34217692344</v>
      </c>
    </row>
    <row r="160" spans="2:10" customFormat="1" x14ac:dyDescent="0.35">
      <c r="B160" s="100">
        <v>406</v>
      </c>
      <c r="C160" s="160" t="s">
        <v>160</v>
      </c>
      <c r="D160" s="191">
        <v>1.01143701859488E-3</v>
      </c>
      <c r="E160" s="164">
        <f t="shared" si="9"/>
        <v>50885.396405508414</v>
      </c>
      <c r="F160" s="165">
        <f t="shared" si="9"/>
        <v>53329.02824243364</v>
      </c>
      <c r="G160" s="165">
        <f t="shared" si="9"/>
        <v>55827.277678362996</v>
      </c>
      <c r="H160" s="165">
        <f t="shared" si="9"/>
        <v>58271.92095230682</v>
      </c>
      <c r="I160" s="165">
        <f t="shared" si="9"/>
        <v>60806.582120905587</v>
      </c>
      <c r="J160" s="166">
        <f t="shared" si="9"/>
        <v>63219.87084727297</v>
      </c>
    </row>
    <row r="161" spans="2:10" customFormat="1" x14ac:dyDescent="0.35">
      <c r="B161" s="100">
        <v>677</v>
      </c>
      <c r="C161" s="160" t="s">
        <v>161</v>
      </c>
      <c r="D161" s="191">
        <v>6.6132420446588305E-4</v>
      </c>
      <c r="E161" s="164">
        <f t="shared" si="9"/>
        <v>33271.220726678577</v>
      </c>
      <c r="F161" s="165">
        <f t="shared" si="9"/>
        <v>34868.980004668148</v>
      </c>
      <c r="G161" s="165">
        <f t="shared" si="9"/>
        <v>36502.45078969888</v>
      </c>
      <c r="H161" s="165">
        <f t="shared" si="9"/>
        <v>38100.871391892921</v>
      </c>
      <c r="I161" s="165">
        <f t="shared" si="9"/>
        <v>39758.149848284425</v>
      </c>
      <c r="J161" s="166">
        <f t="shared" si="9"/>
        <v>41336.069400140019</v>
      </c>
    </row>
    <row r="162" spans="2:10" customFormat="1" x14ac:dyDescent="0.35">
      <c r="B162" s="100">
        <v>353</v>
      </c>
      <c r="C162" s="160" t="s">
        <v>162</v>
      </c>
      <c r="D162" s="191">
        <v>2.02287403718976E-3</v>
      </c>
      <c r="E162" s="164">
        <f t="shared" si="9"/>
        <v>101770.79281101683</v>
      </c>
      <c r="F162" s="165">
        <f t="shared" si="9"/>
        <v>106658.05648486728</v>
      </c>
      <c r="G162" s="165">
        <f t="shared" si="9"/>
        <v>111654.55535672599</v>
      </c>
      <c r="H162" s="165">
        <f t="shared" si="9"/>
        <v>116543.84190461364</v>
      </c>
      <c r="I162" s="165">
        <f t="shared" si="9"/>
        <v>121613.16424181117</v>
      </c>
      <c r="J162" s="166">
        <f t="shared" si="9"/>
        <v>126439.74169454594</v>
      </c>
    </row>
    <row r="163" spans="2:10" customFormat="1" x14ac:dyDescent="0.35">
      <c r="B163" s="100">
        <v>1884</v>
      </c>
      <c r="C163" s="160" t="s">
        <v>163</v>
      </c>
      <c r="D163" s="191">
        <v>7.0022562825799398E-4</v>
      </c>
      <c r="E163" s="164">
        <f t="shared" si="9"/>
        <v>35228.351357659674</v>
      </c>
      <c r="F163" s="165">
        <f t="shared" si="9"/>
        <v>36920.096475530991</v>
      </c>
      <c r="G163" s="165">
        <f t="shared" si="9"/>
        <v>38649.653777328233</v>
      </c>
      <c r="H163" s="165">
        <f t="shared" si="9"/>
        <v>40342.099120827806</v>
      </c>
      <c r="I163" s="165">
        <f t="shared" si="9"/>
        <v>42096.864545242337</v>
      </c>
      <c r="J163" s="166">
        <f t="shared" si="9"/>
        <v>43767.60289426591</v>
      </c>
    </row>
    <row r="164" spans="2:10" customFormat="1" x14ac:dyDescent="0.35">
      <c r="B164" s="100">
        <v>166</v>
      </c>
      <c r="C164" s="160" t="s">
        <v>164</v>
      </c>
      <c r="D164" s="191">
        <v>3.1899167509530802E-3</v>
      </c>
      <c r="E164" s="164">
        <f t="shared" si="9"/>
        <v>160484.71174044948</v>
      </c>
      <c r="F164" s="165">
        <f t="shared" si="9"/>
        <v>168191.55061075211</v>
      </c>
      <c r="G164" s="165">
        <f t="shared" si="9"/>
        <v>176070.64498560622</v>
      </c>
      <c r="H164" s="165">
        <f t="shared" si="9"/>
        <v>183780.67377265982</v>
      </c>
      <c r="I164" s="165">
        <f t="shared" si="9"/>
        <v>191774.60515054822</v>
      </c>
      <c r="J164" s="166">
        <f t="shared" si="9"/>
        <v>199385.74651832227</v>
      </c>
    </row>
    <row r="165" spans="2:10" customFormat="1" x14ac:dyDescent="0.35">
      <c r="B165" s="100">
        <v>678</v>
      </c>
      <c r="C165" s="160" t="s">
        <v>165</v>
      </c>
      <c r="D165" s="191">
        <v>3.5011281412899699E-4</v>
      </c>
      <c r="E165" s="164">
        <f t="shared" si="9"/>
        <v>17614.175678829837</v>
      </c>
      <c r="F165" s="165">
        <f t="shared" si="9"/>
        <v>18460.048237765495</v>
      </c>
      <c r="G165" s="165">
        <f t="shared" si="9"/>
        <v>19324.826888664116</v>
      </c>
      <c r="H165" s="165">
        <f t="shared" si="9"/>
        <v>20171.049560413903</v>
      </c>
      <c r="I165" s="165">
        <f t="shared" si="9"/>
        <v>21048.432272621169</v>
      </c>
      <c r="J165" s="166">
        <f t="shared" si="9"/>
        <v>21883.801447132955</v>
      </c>
    </row>
    <row r="166" spans="2:10" customFormat="1" x14ac:dyDescent="0.35">
      <c r="B166" s="100">
        <v>537</v>
      </c>
      <c r="C166" s="160" t="s">
        <v>166</v>
      </c>
      <c r="D166" s="191">
        <v>2.64529681786353E-3</v>
      </c>
      <c r="E166" s="164">
        <f t="shared" si="9"/>
        <v>133084.88290671419</v>
      </c>
      <c r="F166" s="165">
        <f t="shared" si="9"/>
        <v>139475.92001867248</v>
      </c>
      <c r="G166" s="165">
        <f t="shared" si="9"/>
        <v>146009.8031587954</v>
      </c>
      <c r="H166" s="165">
        <f t="shared" si="9"/>
        <v>152403.48556757157</v>
      </c>
      <c r="I166" s="165">
        <f t="shared" si="9"/>
        <v>159032.59939313756</v>
      </c>
      <c r="J166" s="166">
        <f t="shared" si="9"/>
        <v>165344.27760055996</v>
      </c>
    </row>
    <row r="167" spans="2:10" customFormat="1" x14ac:dyDescent="0.35">
      <c r="B167" s="100">
        <v>928</v>
      </c>
      <c r="C167" s="160" t="s">
        <v>167</v>
      </c>
      <c r="D167" s="191">
        <v>4.5903680074690801E-3</v>
      </c>
      <c r="E167" s="164">
        <f t="shared" si="9"/>
        <v>230941.41445576941</v>
      </c>
      <c r="F167" s="165">
        <f t="shared" si="9"/>
        <v>242031.74356181471</v>
      </c>
      <c r="G167" s="165">
        <f t="shared" si="9"/>
        <v>253369.95254026336</v>
      </c>
      <c r="H167" s="165">
        <f t="shared" si="9"/>
        <v>264464.87201431609</v>
      </c>
      <c r="I167" s="165">
        <f t="shared" si="9"/>
        <v>275968.33424103365</v>
      </c>
      <c r="J167" s="166">
        <f t="shared" si="9"/>
        <v>286920.95230685483</v>
      </c>
    </row>
    <row r="168" spans="2:10" customFormat="1" x14ac:dyDescent="0.35">
      <c r="B168" s="100">
        <v>1598</v>
      </c>
      <c r="C168" s="160" t="s">
        <v>168</v>
      </c>
      <c r="D168" s="191">
        <v>1.20594413755543E-3</v>
      </c>
      <c r="E168" s="164">
        <f t="shared" si="9"/>
        <v>60671.049560413681</v>
      </c>
      <c r="F168" s="165">
        <f t="shared" si="9"/>
        <v>63584.610596747603</v>
      </c>
      <c r="G168" s="165">
        <f t="shared" si="9"/>
        <v>66563.292616509512</v>
      </c>
      <c r="H168" s="165">
        <f t="shared" si="9"/>
        <v>69478.05959698098</v>
      </c>
      <c r="I168" s="165">
        <f t="shared" si="9"/>
        <v>72500.15560569489</v>
      </c>
      <c r="J168" s="166">
        <f t="shared" si="9"/>
        <v>75377.538317902145</v>
      </c>
    </row>
    <row r="169" spans="2:10" customFormat="1" x14ac:dyDescent="0.35">
      <c r="B169" s="100">
        <v>542</v>
      </c>
      <c r="C169" s="160" t="s">
        <v>169</v>
      </c>
      <c r="D169" s="191">
        <v>1.51715552789232E-3</v>
      </c>
      <c r="E169" s="164">
        <f t="shared" si="9"/>
        <v>76328.094608262618</v>
      </c>
      <c r="F169" s="165">
        <f t="shared" si="9"/>
        <v>79993.542363650457</v>
      </c>
      <c r="G169" s="165">
        <f t="shared" si="9"/>
        <v>83740.916517544494</v>
      </c>
      <c r="H169" s="165">
        <f t="shared" si="9"/>
        <v>87407.881428460227</v>
      </c>
      <c r="I169" s="165">
        <f t="shared" si="9"/>
        <v>91209.873181358387</v>
      </c>
      <c r="J169" s="166">
        <f t="shared" si="9"/>
        <v>94829.806270909467</v>
      </c>
    </row>
    <row r="170" spans="2:10" customFormat="1" x14ac:dyDescent="0.35">
      <c r="B170" s="100">
        <v>1931</v>
      </c>
      <c r="C170" s="160" t="s">
        <v>170</v>
      </c>
      <c r="D170" s="191">
        <v>2.6063953940714201E-3</v>
      </c>
      <c r="E170" s="164">
        <f t="shared" si="9"/>
        <v>131127.75227573313</v>
      </c>
      <c r="F170" s="165">
        <f t="shared" si="9"/>
        <v>137424.80354780969</v>
      </c>
      <c r="G170" s="165">
        <f t="shared" si="9"/>
        <v>143862.60017116609</v>
      </c>
      <c r="H170" s="165">
        <f t="shared" si="9"/>
        <v>150162.25783863672</v>
      </c>
      <c r="I170" s="165">
        <f t="shared" si="9"/>
        <v>156693.88469617971</v>
      </c>
      <c r="J170" s="166">
        <f t="shared" si="9"/>
        <v>162912.74410643411</v>
      </c>
    </row>
    <row r="171" spans="2:10" customFormat="1" x14ac:dyDescent="0.35">
      <c r="B171" s="100">
        <v>1659</v>
      </c>
      <c r="C171" s="160" t="s">
        <v>171</v>
      </c>
      <c r="D171" s="191">
        <v>6.2242278067377299E-4</v>
      </c>
      <c r="E171" s="164">
        <f t="shared" ref="E171:J186" si="10">$D171*E$10</f>
        <v>31314.09009569752</v>
      </c>
      <c r="F171" s="165">
        <f t="shared" si="10"/>
        <v>32817.863533805357</v>
      </c>
      <c r="G171" s="165">
        <f t="shared" si="10"/>
        <v>34355.247802069571</v>
      </c>
      <c r="H171" s="165">
        <f t="shared" si="10"/>
        <v>35859.643662958086</v>
      </c>
      <c r="I171" s="165">
        <f t="shared" si="10"/>
        <v>37419.435151326557</v>
      </c>
      <c r="J171" s="166">
        <f t="shared" si="10"/>
        <v>38904.535906014178</v>
      </c>
    </row>
    <row r="172" spans="2:10" customFormat="1" x14ac:dyDescent="0.35">
      <c r="B172" s="100">
        <v>1685</v>
      </c>
      <c r="C172" s="160" t="s">
        <v>172</v>
      </c>
      <c r="D172" s="191">
        <v>5.8352135688166196E-4</v>
      </c>
      <c r="E172" s="164">
        <f t="shared" si="10"/>
        <v>29356.959464716412</v>
      </c>
      <c r="F172" s="165">
        <f t="shared" si="10"/>
        <v>30766.747062942508</v>
      </c>
      <c r="G172" s="165">
        <f t="shared" si="10"/>
        <v>32208.044814440214</v>
      </c>
      <c r="H172" s="165">
        <f t="shared" si="10"/>
        <v>33618.415934023193</v>
      </c>
      <c r="I172" s="165">
        <f t="shared" si="10"/>
        <v>35080.720454368638</v>
      </c>
      <c r="J172" s="166">
        <f t="shared" si="10"/>
        <v>36473.002411888279</v>
      </c>
    </row>
    <row r="173" spans="2:10" customFormat="1" x14ac:dyDescent="0.35">
      <c r="B173" s="100">
        <v>882</v>
      </c>
      <c r="C173" s="160" t="s">
        <v>173</v>
      </c>
      <c r="D173" s="191">
        <v>2.4507896989029799E-3</v>
      </c>
      <c r="E173" s="164">
        <f t="shared" si="10"/>
        <v>123299.22975180892</v>
      </c>
      <c r="F173" s="165">
        <f t="shared" si="10"/>
        <v>129220.33766435852</v>
      </c>
      <c r="G173" s="165">
        <f t="shared" si="10"/>
        <v>135273.78822064889</v>
      </c>
      <c r="H173" s="165">
        <f t="shared" si="10"/>
        <v>141197.34692289738</v>
      </c>
      <c r="I173" s="165">
        <f t="shared" si="10"/>
        <v>147339.02590834824</v>
      </c>
      <c r="J173" s="166">
        <f t="shared" si="10"/>
        <v>153186.61012993075</v>
      </c>
    </row>
    <row r="174" spans="2:10" customFormat="1" x14ac:dyDescent="0.35">
      <c r="B174" s="100">
        <v>415</v>
      </c>
      <c r="C174" s="160" t="s">
        <v>174</v>
      </c>
      <c r="D174" s="191">
        <v>5.8352135688166196E-4</v>
      </c>
      <c r="E174" s="164">
        <f t="shared" si="10"/>
        <v>29356.959464716412</v>
      </c>
      <c r="F174" s="165">
        <f t="shared" si="10"/>
        <v>30766.747062942508</v>
      </c>
      <c r="G174" s="165">
        <f t="shared" si="10"/>
        <v>32208.044814440214</v>
      </c>
      <c r="H174" s="165">
        <f t="shared" si="10"/>
        <v>33618.415934023193</v>
      </c>
      <c r="I174" s="165">
        <f t="shared" si="10"/>
        <v>35080.720454368638</v>
      </c>
      <c r="J174" s="166">
        <f t="shared" si="10"/>
        <v>36473.002411888279</v>
      </c>
    </row>
    <row r="175" spans="2:10" customFormat="1" x14ac:dyDescent="0.35">
      <c r="B175" s="100">
        <v>416</v>
      </c>
      <c r="C175" s="160" t="s">
        <v>175</v>
      </c>
      <c r="D175" s="191">
        <v>1.82836691822921E-3</v>
      </c>
      <c r="E175" s="164">
        <f t="shared" si="10"/>
        <v>91985.139656111554</v>
      </c>
      <c r="F175" s="165">
        <f t="shared" si="10"/>
        <v>96402.474130553324</v>
      </c>
      <c r="G175" s="165">
        <f t="shared" si="10"/>
        <v>100918.54041857948</v>
      </c>
      <c r="H175" s="165">
        <f t="shared" si="10"/>
        <v>105337.70325993947</v>
      </c>
      <c r="I175" s="165">
        <f t="shared" si="10"/>
        <v>109919.59075702187</v>
      </c>
      <c r="J175" s="166">
        <f t="shared" si="10"/>
        <v>114282.07422391677</v>
      </c>
    </row>
    <row r="176" spans="2:10" customFormat="1" x14ac:dyDescent="0.35">
      <c r="B176" s="100">
        <v>1621</v>
      </c>
      <c r="C176" s="160" t="s">
        <v>176</v>
      </c>
      <c r="D176" s="191">
        <v>1.4004512565159899E-3</v>
      </c>
      <c r="E176" s="164">
        <f t="shared" si="10"/>
        <v>70456.70271531945</v>
      </c>
      <c r="F176" s="165">
        <f t="shared" si="10"/>
        <v>73840.192951062083</v>
      </c>
      <c r="G176" s="165">
        <f t="shared" si="10"/>
        <v>77299.307554656581</v>
      </c>
      <c r="H176" s="165">
        <f t="shared" si="10"/>
        <v>80684.198241655729</v>
      </c>
      <c r="I176" s="165">
        <f t="shared" si="10"/>
        <v>84193.729090484791</v>
      </c>
      <c r="J176" s="166">
        <f t="shared" si="10"/>
        <v>87535.205788531952</v>
      </c>
    </row>
    <row r="177" spans="2:10" customFormat="1" x14ac:dyDescent="0.35">
      <c r="B177" s="100">
        <v>417</v>
      </c>
      <c r="C177" s="160" t="s">
        <v>177</v>
      </c>
      <c r="D177" s="191">
        <v>2.3340854275266499E-4</v>
      </c>
      <c r="E177" s="164">
        <f t="shared" si="10"/>
        <v>11742.783785886575</v>
      </c>
      <c r="F177" s="165">
        <f t="shared" si="10"/>
        <v>12306.698825177014</v>
      </c>
      <c r="G177" s="165">
        <f t="shared" si="10"/>
        <v>12883.217925776096</v>
      </c>
      <c r="H177" s="165">
        <f t="shared" si="10"/>
        <v>13447.366373609288</v>
      </c>
      <c r="I177" s="165">
        <f t="shared" si="10"/>
        <v>14032.288181747466</v>
      </c>
      <c r="J177" s="166">
        <f t="shared" si="10"/>
        <v>14589.200964755326</v>
      </c>
    </row>
    <row r="178" spans="2:10" customFormat="1" x14ac:dyDescent="0.35">
      <c r="B178" s="100">
        <v>80</v>
      </c>
      <c r="C178" s="160" t="s">
        <v>178</v>
      </c>
      <c r="D178" s="191">
        <v>1.1125807204543699E-2</v>
      </c>
      <c r="E178" s="164">
        <f t="shared" si="10"/>
        <v>559739.36046059348</v>
      </c>
      <c r="F178" s="165">
        <f t="shared" si="10"/>
        <v>586619.31066677114</v>
      </c>
      <c r="G178" s="165">
        <f t="shared" si="10"/>
        <v>614100.05446199398</v>
      </c>
      <c r="H178" s="165">
        <f t="shared" si="10"/>
        <v>640991.13047537615</v>
      </c>
      <c r="I178" s="165">
        <f t="shared" si="10"/>
        <v>668872.40332996263</v>
      </c>
      <c r="J178" s="166">
        <f t="shared" si="10"/>
        <v>695418.57932000398</v>
      </c>
    </row>
    <row r="179" spans="2:10" customFormat="1" x14ac:dyDescent="0.35">
      <c r="B179" s="100">
        <v>546</v>
      </c>
      <c r="C179" s="160" t="s">
        <v>179</v>
      </c>
      <c r="D179" s="191">
        <v>1.0192173033533E-2</v>
      </c>
      <c r="E179" s="164">
        <f t="shared" si="10"/>
        <v>512768.22531704523</v>
      </c>
      <c r="F179" s="165">
        <f t="shared" si="10"/>
        <v>537392.51536606089</v>
      </c>
      <c r="G179" s="165">
        <f t="shared" si="10"/>
        <v>562567.18275888741</v>
      </c>
      <c r="H179" s="165">
        <f t="shared" si="10"/>
        <v>587201.66498093668</v>
      </c>
      <c r="I179" s="165">
        <f t="shared" si="10"/>
        <v>612743.25060297037</v>
      </c>
      <c r="J179" s="166">
        <f t="shared" si="10"/>
        <v>637061.77546098013</v>
      </c>
    </row>
    <row r="180" spans="2:10" customFormat="1" x14ac:dyDescent="0.35">
      <c r="B180" s="100">
        <v>547</v>
      </c>
      <c r="C180" s="160" t="s">
        <v>180</v>
      </c>
      <c r="D180" s="191">
        <v>9.7253559480277004E-4</v>
      </c>
      <c r="E180" s="164">
        <f t="shared" si="10"/>
        <v>48928.265774527361</v>
      </c>
      <c r="F180" s="165">
        <f t="shared" si="10"/>
        <v>51277.911771570856</v>
      </c>
      <c r="G180" s="165">
        <f t="shared" si="10"/>
        <v>53680.074690733694</v>
      </c>
      <c r="H180" s="165">
        <f t="shared" si="10"/>
        <v>56030.693223371993</v>
      </c>
      <c r="I180" s="165">
        <f t="shared" si="10"/>
        <v>58467.867423947733</v>
      </c>
      <c r="J180" s="166">
        <f t="shared" si="10"/>
        <v>60788.337353147144</v>
      </c>
    </row>
    <row r="181" spans="2:10" customFormat="1" x14ac:dyDescent="0.35">
      <c r="B181" s="100">
        <v>1916</v>
      </c>
      <c r="C181" s="160" t="s">
        <v>181</v>
      </c>
      <c r="D181" s="191">
        <v>4.9793822453901796E-3</v>
      </c>
      <c r="E181" s="164">
        <f t="shared" si="10"/>
        <v>250512.72076557993</v>
      </c>
      <c r="F181" s="165">
        <f t="shared" si="10"/>
        <v>262542.90827044263</v>
      </c>
      <c r="G181" s="165">
        <f t="shared" si="10"/>
        <v>274841.98241655633</v>
      </c>
      <c r="H181" s="165">
        <f t="shared" si="10"/>
        <v>286877.1493036644</v>
      </c>
      <c r="I181" s="165">
        <f t="shared" si="10"/>
        <v>299355.48121061223</v>
      </c>
      <c r="J181" s="166">
        <f t="shared" si="10"/>
        <v>311236.28724811319</v>
      </c>
    </row>
    <row r="182" spans="2:10" customFormat="1" x14ac:dyDescent="0.35">
      <c r="B182" s="100">
        <v>995</v>
      </c>
      <c r="C182" s="160" t="s">
        <v>182</v>
      </c>
      <c r="D182" s="191">
        <v>5.9908192639850696E-3</v>
      </c>
      <c r="E182" s="164">
        <f t="shared" si="10"/>
        <v>301398.11717108887</v>
      </c>
      <c r="F182" s="165">
        <f t="shared" si="10"/>
        <v>315871.93651287677</v>
      </c>
      <c r="G182" s="165">
        <f t="shared" si="10"/>
        <v>330669.26009491988</v>
      </c>
      <c r="H182" s="165">
        <f t="shared" si="10"/>
        <v>345149.0702559718</v>
      </c>
      <c r="I182" s="165">
        <f t="shared" si="10"/>
        <v>360162.06333151838</v>
      </c>
      <c r="J182" s="166">
        <f t="shared" si="10"/>
        <v>374456.15809538675</v>
      </c>
    </row>
    <row r="183" spans="2:10" customFormat="1" x14ac:dyDescent="0.35">
      <c r="B183" s="100">
        <v>1640</v>
      </c>
      <c r="C183" s="160" t="s">
        <v>183</v>
      </c>
      <c r="D183" s="191">
        <v>1.0503384423869899E-3</v>
      </c>
      <c r="E183" s="164">
        <f t="shared" si="10"/>
        <v>52842.52703648946</v>
      </c>
      <c r="F183" s="165">
        <f t="shared" si="10"/>
        <v>55380.144713296431</v>
      </c>
      <c r="G183" s="165">
        <f t="shared" si="10"/>
        <v>57974.480665992298</v>
      </c>
      <c r="H183" s="165">
        <f t="shared" si="10"/>
        <v>60513.148681241648</v>
      </c>
      <c r="I183" s="165">
        <f t="shared" si="10"/>
        <v>63145.296817863447</v>
      </c>
      <c r="J183" s="166">
        <f t="shared" si="10"/>
        <v>65651.404341398811</v>
      </c>
    </row>
    <row r="184" spans="2:10" customFormat="1" x14ac:dyDescent="0.35">
      <c r="B184" s="100">
        <v>327</v>
      </c>
      <c r="C184" s="160" t="s">
        <v>184</v>
      </c>
      <c r="D184" s="191">
        <v>5.8352135688166196E-4</v>
      </c>
      <c r="E184" s="164">
        <f t="shared" si="10"/>
        <v>29356.959464716412</v>
      </c>
      <c r="F184" s="165">
        <f t="shared" si="10"/>
        <v>30766.747062942508</v>
      </c>
      <c r="G184" s="165">
        <f t="shared" si="10"/>
        <v>32208.044814440214</v>
      </c>
      <c r="H184" s="165">
        <f t="shared" si="10"/>
        <v>33618.415934023193</v>
      </c>
      <c r="I184" s="165">
        <f t="shared" si="10"/>
        <v>35080.720454368638</v>
      </c>
      <c r="J184" s="166">
        <f t="shared" si="10"/>
        <v>36473.002411888279</v>
      </c>
    </row>
    <row r="185" spans="2:10" customFormat="1" x14ac:dyDescent="0.35">
      <c r="B185" s="100">
        <v>1705</v>
      </c>
      <c r="C185" s="160" t="s">
        <v>185</v>
      </c>
      <c r="D185" s="191">
        <v>2.02287403718976E-3</v>
      </c>
      <c r="E185" s="164">
        <f t="shared" si="10"/>
        <v>101770.79281101683</v>
      </c>
      <c r="F185" s="165">
        <f t="shared" si="10"/>
        <v>106658.05648486728</v>
      </c>
      <c r="G185" s="165">
        <f t="shared" si="10"/>
        <v>111654.55535672599</v>
      </c>
      <c r="H185" s="165">
        <f t="shared" si="10"/>
        <v>116543.84190461364</v>
      </c>
      <c r="I185" s="165">
        <f t="shared" si="10"/>
        <v>121613.16424181117</v>
      </c>
      <c r="J185" s="166">
        <f t="shared" si="10"/>
        <v>126439.74169454594</v>
      </c>
    </row>
    <row r="186" spans="2:10" customFormat="1" x14ac:dyDescent="0.35">
      <c r="B186" s="100">
        <v>553</v>
      </c>
      <c r="C186" s="160" t="s">
        <v>186</v>
      </c>
      <c r="D186" s="191">
        <v>8.5583132342643704E-4</v>
      </c>
      <c r="E186" s="164">
        <f t="shared" si="10"/>
        <v>43056.873881584048</v>
      </c>
      <c r="F186" s="165">
        <f t="shared" si="10"/>
        <v>45124.562358982323</v>
      </c>
      <c r="G186" s="165">
        <f t="shared" si="10"/>
        <v>47238.465727845622</v>
      </c>
      <c r="H186" s="165">
        <f t="shared" si="10"/>
        <v>49307.010036567321</v>
      </c>
      <c r="I186" s="165">
        <f t="shared" si="10"/>
        <v>51451.723333073969</v>
      </c>
      <c r="J186" s="166">
        <f t="shared" si="10"/>
        <v>53493.736870769448</v>
      </c>
    </row>
    <row r="187" spans="2:10" customFormat="1" x14ac:dyDescent="0.35">
      <c r="B187" s="100">
        <v>262</v>
      </c>
      <c r="C187" s="160" t="s">
        <v>187</v>
      </c>
      <c r="D187" s="191">
        <v>1.2837469851396601E-3</v>
      </c>
      <c r="E187" s="164">
        <f t="shared" ref="E187:J202" si="11">$D187*E$10</f>
        <v>64585.310822376297</v>
      </c>
      <c r="F187" s="165">
        <f t="shared" si="11"/>
        <v>67686.843538473709</v>
      </c>
      <c r="G187" s="165">
        <f t="shared" si="11"/>
        <v>70857.698591768683</v>
      </c>
      <c r="H187" s="165">
        <f t="shared" si="11"/>
        <v>73960.515054851232</v>
      </c>
      <c r="I187" s="165">
        <f t="shared" si="11"/>
        <v>77177.584999611223</v>
      </c>
      <c r="J187" s="166">
        <f t="shared" si="11"/>
        <v>80240.605306154452</v>
      </c>
    </row>
    <row r="188" spans="2:10" customFormat="1" x14ac:dyDescent="0.35">
      <c r="B188" s="100">
        <v>809</v>
      </c>
      <c r="C188" s="160" t="s">
        <v>188</v>
      </c>
      <c r="D188" s="191">
        <v>3.8901423792110803E-4</v>
      </c>
      <c r="E188" s="164">
        <f t="shared" si="11"/>
        <v>19571.306309810945</v>
      </c>
      <c r="F188" s="165">
        <f t="shared" si="11"/>
        <v>20511.164708628341</v>
      </c>
      <c r="G188" s="165">
        <f t="shared" si="11"/>
        <v>21472.02987629348</v>
      </c>
      <c r="H188" s="165">
        <f t="shared" si="11"/>
        <v>22412.277289348796</v>
      </c>
      <c r="I188" s="165">
        <f t="shared" si="11"/>
        <v>23387.146969579095</v>
      </c>
      <c r="J188" s="166">
        <f t="shared" si="11"/>
        <v>24315.334941258858</v>
      </c>
    </row>
    <row r="189" spans="2:10" customFormat="1" x14ac:dyDescent="0.35">
      <c r="B189" s="100">
        <v>331</v>
      </c>
      <c r="C189" s="160" t="s">
        <v>189</v>
      </c>
      <c r="D189" s="191">
        <v>5.0571850929743999E-4</v>
      </c>
      <c r="E189" s="164">
        <f t="shared" si="11"/>
        <v>25442.698202754207</v>
      </c>
      <c r="F189" s="165">
        <f t="shared" si="11"/>
        <v>26664.51412121682</v>
      </c>
      <c r="G189" s="165">
        <f t="shared" si="11"/>
        <v>27913.638839181498</v>
      </c>
      <c r="H189" s="165">
        <f t="shared" si="11"/>
        <v>29135.96047615341</v>
      </c>
      <c r="I189" s="165">
        <f t="shared" si="11"/>
        <v>30403.291060452793</v>
      </c>
      <c r="J189" s="166">
        <f t="shared" si="11"/>
        <v>31609.935423636485</v>
      </c>
    </row>
    <row r="190" spans="2:10" customFormat="1" x14ac:dyDescent="0.35">
      <c r="B190" s="100">
        <v>24</v>
      </c>
      <c r="C190" s="160" t="s">
        <v>190</v>
      </c>
      <c r="D190" s="191">
        <v>9.7253559480277004E-4</v>
      </c>
      <c r="E190" s="164">
        <f t="shared" si="11"/>
        <v>48928.265774527361</v>
      </c>
      <c r="F190" s="165">
        <f t="shared" si="11"/>
        <v>51277.911771570856</v>
      </c>
      <c r="G190" s="165">
        <f t="shared" si="11"/>
        <v>53680.074690733694</v>
      </c>
      <c r="H190" s="165">
        <f t="shared" si="11"/>
        <v>56030.693223371993</v>
      </c>
      <c r="I190" s="165">
        <f t="shared" si="11"/>
        <v>58467.867423947733</v>
      </c>
      <c r="J190" s="166">
        <f t="shared" si="11"/>
        <v>60788.337353147144</v>
      </c>
    </row>
    <row r="191" spans="2:10" customFormat="1" x14ac:dyDescent="0.35">
      <c r="B191" s="100">
        <v>168</v>
      </c>
      <c r="C191" s="160" t="s">
        <v>191</v>
      </c>
      <c r="D191" s="191">
        <v>1.2448455613475501E-3</v>
      </c>
      <c r="E191" s="164">
        <f t="shared" si="11"/>
        <v>62628.180191395244</v>
      </c>
      <c r="F191" s="165">
        <f t="shared" si="11"/>
        <v>65635.727067610933</v>
      </c>
      <c r="G191" s="165">
        <f t="shared" si="11"/>
        <v>68710.495604139374</v>
      </c>
      <c r="H191" s="165">
        <f t="shared" si="11"/>
        <v>71719.287325916404</v>
      </c>
      <c r="I191" s="165">
        <f t="shared" si="11"/>
        <v>74838.870302653362</v>
      </c>
      <c r="J191" s="166">
        <f t="shared" si="11"/>
        <v>77809.071812028618</v>
      </c>
    </row>
    <row r="192" spans="2:10" customFormat="1" x14ac:dyDescent="0.35">
      <c r="B192" s="100">
        <v>263</v>
      </c>
      <c r="C192" s="160" t="s">
        <v>192</v>
      </c>
      <c r="D192" s="191">
        <v>8.1692989963432698E-4</v>
      </c>
      <c r="E192" s="164">
        <f t="shared" si="11"/>
        <v>41099.743250602987</v>
      </c>
      <c r="F192" s="165">
        <f t="shared" si="11"/>
        <v>43073.445888119524</v>
      </c>
      <c r="G192" s="165">
        <f t="shared" si="11"/>
        <v>45091.262740216313</v>
      </c>
      <c r="H192" s="165">
        <f t="shared" si="11"/>
        <v>47065.782307632478</v>
      </c>
      <c r="I192" s="165">
        <f t="shared" si="11"/>
        <v>49113.008636116101</v>
      </c>
      <c r="J192" s="166">
        <f t="shared" si="11"/>
        <v>51062.203376643607</v>
      </c>
    </row>
    <row r="193" spans="2:10" customFormat="1" x14ac:dyDescent="0.35">
      <c r="B193" s="100">
        <v>1641</v>
      </c>
      <c r="C193" s="160" t="s">
        <v>193</v>
      </c>
      <c r="D193" s="191">
        <v>7.7802847584221605E-4</v>
      </c>
      <c r="E193" s="164">
        <f t="shared" si="11"/>
        <v>39142.61261962189</v>
      </c>
      <c r="F193" s="165">
        <f t="shared" si="11"/>
        <v>41022.329417256682</v>
      </c>
      <c r="G193" s="165">
        <f t="shared" si="11"/>
        <v>42944.05975258696</v>
      </c>
      <c r="H193" s="165">
        <f t="shared" si="11"/>
        <v>44824.554578697593</v>
      </c>
      <c r="I193" s="165">
        <f t="shared" si="11"/>
        <v>46774.293939158189</v>
      </c>
      <c r="J193" s="166">
        <f t="shared" si="11"/>
        <v>48630.669882517715</v>
      </c>
    </row>
    <row r="194" spans="2:10" customFormat="1" x14ac:dyDescent="0.35">
      <c r="B194" s="100">
        <v>556</v>
      </c>
      <c r="C194" s="160" t="s">
        <v>194</v>
      </c>
      <c r="D194" s="191">
        <v>1.51715552789232E-3</v>
      </c>
      <c r="E194" s="164">
        <f t="shared" si="11"/>
        <v>76328.094608262618</v>
      </c>
      <c r="F194" s="165">
        <f t="shared" si="11"/>
        <v>79993.542363650457</v>
      </c>
      <c r="G194" s="165">
        <f t="shared" si="11"/>
        <v>83740.916517544494</v>
      </c>
      <c r="H194" s="165">
        <f t="shared" si="11"/>
        <v>87407.881428460227</v>
      </c>
      <c r="I194" s="165">
        <f t="shared" si="11"/>
        <v>91209.873181358387</v>
      </c>
      <c r="J194" s="166">
        <f t="shared" si="11"/>
        <v>94829.806270909467</v>
      </c>
    </row>
    <row r="195" spans="2:10" customFormat="1" x14ac:dyDescent="0.35">
      <c r="B195" s="100">
        <v>935</v>
      </c>
      <c r="C195" s="160" t="s">
        <v>195</v>
      </c>
      <c r="D195" s="191">
        <v>1.0658990119038401E-2</v>
      </c>
      <c r="E195" s="164">
        <f t="shared" si="11"/>
        <v>536253.79288882192</v>
      </c>
      <c r="F195" s="165">
        <f t="shared" si="11"/>
        <v>562005.91301641869</v>
      </c>
      <c r="G195" s="165">
        <f t="shared" si="11"/>
        <v>588333.61861044355</v>
      </c>
      <c r="H195" s="165">
        <f t="shared" si="11"/>
        <v>614096.39772815944</v>
      </c>
      <c r="I195" s="165">
        <f t="shared" si="11"/>
        <v>640807.82696646964</v>
      </c>
      <c r="J195" s="166">
        <f t="shared" si="11"/>
        <v>666240.1773904952</v>
      </c>
    </row>
    <row r="196" spans="2:10" customFormat="1" x14ac:dyDescent="0.35">
      <c r="B196" s="100">
        <v>420</v>
      </c>
      <c r="C196" s="160" t="s">
        <v>196</v>
      </c>
      <c r="D196" s="191">
        <v>3.2288181747451902E-3</v>
      </c>
      <c r="E196" s="164">
        <f t="shared" si="11"/>
        <v>162441.84237143051</v>
      </c>
      <c r="F196" s="165">
        <f t="shared" si="11"/>
        <v>170242.6670816149</v>
      </c>
      <c r="G196" s="165">
        <f t="shared" si="11"/>
        <v>178217.8479732355</v>
      </c>
      <c r="H196" s="165">
        <f t="shared" si="11"/>
        <v>186021.90150159464</v>
      </c>
      <c r="I196" s="165">
        <f t="shared" si="11"/>
        <v>194113.31984750609</v>
      </c>
      <c r="J196" s="166">
        <f t="shared" si="11"/>
        <v>201817.28001244811</v>
      </c>
    </row>
    <row r="197" spans="2:10" customFormat="1" x14ac:dyDescent="0.35">
      <c r="B197" s="100">
        <v>938</v>
      </c>
      <c r="C197" s="160" t="s">
        <v>197</v>
      </c>
      <c r="D197" s="191">
        <v>7.3912705205010502E-4</v>
      </c>
      <c r="E197" s="164">
        <f t="shared" si="11"/>
        <v>37185.481988640786</v>
      </c>
      <c r="F197" s="165">
        <f t="shared" si="11"/>
        <v>38971.21294639384</v>
      </c>
      <c r="G197" s="165">
        <f t="shared" si="11"/>
        <v>40796.8567649576</v>
      </c>
      <c r="H197" s="165">
        <f t="shared" si="11"/>
        <v>42583.3268497627</v>
      </c>
      <c r="I197" s="165">
        <f t="shared" si="11"/>
        <v>44435.579242200263</v>
      </c>
      <c r="J197" s="166">
        <f t="shared" si="11"/>
        <v>46199.136388391817</v>
      </c>
    </row>
    <row r="198" spans="2:10" customFormat="1" x14ac:dyDescent="0.35">
      <c r="B198" s="100">
        <v>1948</v>
      </c>
      <c r="C198" s="160" t="s">
        <v>198</v>
      </c>
      <c r="D198" s="191">
        <v>3.1510153271609798E-3</v>
      </c>
      <c r="E198" s="164">
        <f t="shared" si="11"/>
        <v>158527.58110946888</v>
      </c>
      <c r="F198" s="165">
        <f t="shared" si="11"/>
        <v>166140.43413988981</v>
      </c>
      <c r="G198" s="165">
        <f t="shared" si="11"/>
        <v>173923.44199797744</v>
      </c>
      <c r="H198" s="165">
        <f t="shared" si="11"/>
        <v>181539.44604372553</v>
      </c>
      <c r="I198" s="165">
        <f t="shared" si="11"/>
        <v>189435.89045359095</v>
      </c>
      <c r="J198" s="166">
        <f t="shared" si="11"/>
        <v>196954.21302419703</v>
      </c>
    </row>
    <row r="199" spans="2:10" customFormat="1" x14ac:dyDescent="0.35">
      <c r="B199" s="100">
        <v>119</v>
      </c>
      <c r="C199" s="160" t="s">
        <v>199</v>
      </c>
      <c r="D199" s="191">
        <v>2.1784797323581998E-3</v>
      </c>
      <c r="E199" s="164">
        <f t="shared" si="11"/>
        <v>109599.31533494103</v>
      </c>
      <c r="F199" s="165">
        <f t="shared" si="11"/>
        <v>114862.52236831844</v>
      </c>
      <c r="G199" s="165">
        <f t="shared" si="11"/>
        <v>120243.3673072432</v>
      </c>
      <c r="H199" s="165">
        <f t="shared" si="11"/>
        <v>125508.75282035297</v>
      </c>
      <c r="I199" s="165">
        <f t="shared" si="11"/>
        <v>130968.02302964262</v>
      </c>
      <c r="J199" s="166">
        <f t="shared" si="11"/>
        <v>136165.87567104929</v>
      </c>
    </row>
    <row r="200" spans="2:10" customFormat="1" x14ac:dyDescent="0.35">
      <c r="B200" s="100">
        <v>687</v>
      </c>
      <c r="C200" s="160" t="s">
        <v>200</v>
      </c>
      <c r="D200" s="191">
        <v>2.02287403718976E-3</v>
      </c>
      <c r="E200" s="164">
        <f t="shared" si="11"/>
        <v>101770.79281101683</v>
      </c>
      <c r="F200" s="165">
        <f t="shared" si="11"/>
        <v>106658.05648486728</v>
      </c>
      <c r="G200" s="165">
        <f t="shared" si="11"/>
        <v>111654.55535672599</v>
      </c>
      <c r="H200" s="165">
        <f t="shared" si="11"/>
        <v>116543.84190461364</v>
      </c>
      <c r="I200" s="165">
        <f t="shared" si="11"/>
        <v>121613.16424181117</v>
      </c>
      <c r="J200" s="166">
        <f t="shared" si="11"/>
        <v>126439.74169454594</v>
      </c>
    </row>
    <row r="201" spans="2:10" customFormat="1" x14ac:dyDescent="0.35">
      <c r="B201" s="100">
        <v>1731</v>
      </c>
      <c r="C201" s="160" t="s">
        <v>201</v>
      </c>
      <c r="D201" s="191">
        <v>1.16704271376332E-3</v>
      </c>
      <c r="E201" s="164">
        <f t="shared" si="11"/>
        <v>58713.918929432628</v>
      </c>
      <c r="F201" s="165">
        <f t="shared" si="11"/>
        <v>61533.494125884812</v>
      </c>
      <c r="G201" s="165">
        <f t="shared" si="11"/>
        <v>64416.089628880211</v>
      </c>
      <c r="H201" s="165">
        <f t="shared" si="11"/>
        <v>67236.831868046153</v>
      </c>
      <c r="I201" s="165">
        <f t="shared" si="11"/>
        <v>70161.44090873703</v>
      </c>
      <c r="J201" s="166">
        <f t="shared" si="11"/>
        <v>72946.004823776311</v>
      </c>
    </row>
    <row r="202" spans="2:10" customFormat="1" x14ac:dyDescent="0.35">
      <c r="B202" s="100">
        <v>1842</v>
      </c>
      <c r="C202" s="160" t="s">
        <v>202</v>
      </c>
      <c r="D202" s="191">
        <v>7.7802847584221605E-4</v>
      </c>
      <c r="E202" s="164">
        <f t="shared" si="11"/>
        <v>39142.61261962189</v>
      </c>
      <c r="F202" s="165">
        <f t="shared" si="11"/>
        <v>41022.329417256682</v>
      </c>
      <c r="G202" s="165">
        <f t="shared" si="11"/>
        <v>42944.05975258696</v>
      </c>
      <c r="H202" s="165">
        <f t="shared" si="11"/>
        <v>44824.554578697593</v>
      </c>
      <c r="I202" s="165">
        <f t="shared" si="11"/>
        <v>46774.293939158189</v>
      </c>
      <c r="J202" s="166">
        <f t="shared" si="11"/>
        <v>48630.669882517715</v>
      </c>
    </row>
    <row r="203" spans="2:10" customFormat="1" x14ac:dyDescent="0.35">
      <c r="B203" s="100">
        <v>1952</v>
      </c>
      <c r="C203" s="160" t="s">
        <v>203</v>
      </c>
      <c r="D203" s="191">
        <v>5.2127907881428497E-3</v>
      </c>
      <c r="E203" s="164">
        <f t="shared" ref="E203:J218" si="12">$D203*E$10</f>
        <v>262255.50455146679</v>
      </c>
      <c r="F203" s="165">
        <f t="shared" si="12"/>
        <v>274849.6070956199</v>
      </c>
      <c r="G203" s="165">
        <f t="shared" si="12"/>
        <v>287725.20034233271</v>
      </c>
      <c r="H203" s="165">
        <f t="shared" si="12"/>
        <v>300324.51567727403</v>
      </c>
      <c r="I203" s="165">
        <f t="shared" si="12"/>
        <v>313387.76939236</v>
      </c>
      <c r="J203" s="166">
        <f t="shared" si="12"/>
        <v>325825.4882128688</v>
      </c>
    </row>
    <row r="204" spans="2:10" customFormat="1" x14ac:dyDescent="0.35">
      <c r="B204" s="100">
        <v>815</v>
      </c>
      <c r="C204" s="160" t="s">
        <v>204</v>
      </c>
      <c r="D204" s="191">
        <v>7.0022562825799398E-4</v>
      </c>
      <c r="E204" s="164">
        <f t="shared" si="12"/>
        <v>35228.351357659674</v>
      </c>
      <c r="F204" s="165">
        <f t="shared" si="12"/>
        <v>36920.096475530991</v>
      </c>
      <c r="G204" s="165">
        <f t="shared" si="12"/>
        <v>38649.653777328233</v>
      </c>
      <c r="H204" s="165">
        <f t="shared" si="12"/>
        <v>40342.099120827806</v>
      </c>
      <c r="I204" s="165">
        <f t="shared" si="12"/>
        <v>42096.864545242337</v>
      </c>
      <c r="J204" s="166">
        <f t="shared" si="12"/>
        <v>43767.60289426591</v>
      </c>
    </row>
    <row r="205" spans="2:10" customFormat="1" x14ac:dyDescent="0.35">
      <c r="B205" s="100">
        <v>1709</v>
      </c>
      <c r="C205" s="160" t="s">
        <v>205</v>
      </c>
      <c r="D205" s="191">
        <v>2.02287403718976E-3</v>
      </c>
      <c r="E205" s="164">
        <f t="shared" si="12"/>
        <v>101770.79281101683</v>
      </c>
      <c r="F205" s="165">
        <f t="shared" si="12"/>
        <v>106658.05648486728</v>
      </c>
      <c r="G205" s="165">
        <f t="shared" si="12"/>
        <v>111654.55535672599</v>
      </c>
      <c r="H205" s="165">
        <f t="shared" si="12"/>
        <v>116543.84190461364</v>
      </c>
      <c r="I205" s="165">
        <f t="shared" si="12"/>
        <v>121613.16424181117</v>
      </c>
      <c r="J205" s="166">
        <f t="shared" si="12"/>
        <v>126439.74169454594</v>
      </c>
    </row>
    <row r="206" spans="2:10" customFormat="1" x14ac:dyDescent="0.35">
      <c r="B206" s="100">
        <v>1978</v>
      </c>
      <c r="C206" s="160" t="s">
        <v>206</v>
      </c>
      <c r="D206" s="191">
        <v>1.16704271376332E-3</v>
      </c>
      <c r="E206" s="164">
        <f t="shared" si="12"/>
        <v>58713.918929432628</v>
      </c>
      <c r="F206" s="165">
        <f t="shared" si="12"/>
        <v>61533.494125884812</v>
      </c>
      <c r="G206" s="165">
        <f t="shared" si="12"/>
        <v>64416.089628880211</v>
      </c>
      <c r="H206" s="165">
        <f t="shared" si="12"/>
        <v>67236.831868046153</v>
      </c>
      <c r="I206" s="165">
        <f t="shared" si="12"/>
        <v>70161.44090873703</v>
      </c>
      <c r="J206" s="166">
        <f t="shared" si="12"/>
        <v>72946.004823776311</v>
      </c>
    </row>
    <row r="207" spans="2:10" customFormat="1" x14ac:dyDescent="0.35">
      <c r="B207" s="100">
        <v>1955</v>
      </c>
      <c r="C207" s="160" t="s">
        <v>207</v>
      </c>
      <c r="D207" s="191">
        <v>2.4896911226950898E-3</v>
      </c>
      <c r="E207" s="164">
        <f t="shared" si="12"/>
        <v>125256.36038278996</v>
      </c>
      <c r="F207" s="165">
        <f t="shared" si="12"/>
        <v>131271.45413522131</v>
      </c>
      <c r="G207" s="165">
        <f t="shared" si="12"/>
        <v>137420.99120827817</v>
      </c>
      <c r="H207" s="165">
        <f t="shared" si="12"/>
        <v>143438.5746518322</v>
      </c>
      <c r="I207" s="165">
        <f t="shared" si="12"/>
        <v>149677.74060530611</v>
      </c>
      <c r="J207" s="166">
        <f t="shared" si="12"/>
        <v>155618.1436240566</v>
      </c>
    </row>
    <row r="208" spans="2:10" customFormat="1" x14ac:dyDescent="0.35">
      <c r="B208" s="100">
        <v>335</v>
      </c>
      <c r="C208" s="160" t="s">
        <v>208</v>
      </c>
      <c r="D208" s="191">
        <v>3.5011281412899699E-4</v>
      </c>
      <c r="E208" s="164">
        <f t="shared" si="12"/>
        <v>17614.175678829837</v>
      </c>
      <c r="F208" s="165">
        <f t="shared" si="12"/>
        <v>18460.048237765495</v>
      </c>
      <c r="G208" s="165">
        <f t="shared" si="12"/>
        <v>19324.826888664116</v>
      </c>
      <c r="H208" s="165">
        <f t="shared" si="12"/>
        <v>20171.049560413903</v>
      </c>
      <c r="I208" s="165">
        <f t="shared" si="12"/>
        <v>21048.432272621169</v>
      </c>
      <c r="J208" s="166">
        <f t="shared" si="12"/>
        <v>21883.801447132955</v>
      </c>
    </row>
    <row r="209" spans="2:10" customFormat="1" x14ac:dyDescent="0.35">
      <c r="B209" s="100">
        <v>944</v>
      </c>
      <c r="C209" s="160" t="s">
        <v>209</v>
      </c>
      <c r="D209" s="191">
        <v>2.7230996654477497E-4</v>
      </c>
      <c r="E209" s="164">
        <f t="shared" si="12"/>
        <v>13699.914416867628</v>
      </c>
      <c r="F209" s="165">
        <f t="shared" si="12"/>
        <v>14357.815296039806</v>
      </c>
      <c r="G209" s="165">
        <f t="shared" si="12"/>
        <v>15030.4209134054</v>
      </c>
      <c r="H209" s="165">
        <f t="shared" si="12"/>
        <v>15688.594102544121</v>
      </c>
      <c r="I209" s="165">
        <f t="shared" si="12"/>
        <v>16371.002878705327</v>
      </c>
      <c r="J209" s="166">
        <f t="shared" si="12"/>
        <v>17020.734458881161</v>
      </c>
    </row>
    <row r="210" spans="2:10" customFormat="1" x14ac:dyDescent="0.35">
      <c r="B210" s="100">
        <v>1740</v>
      </c>
      <c r="C210" s="160" t="s">
        <v>210</v>
      </c>
      <c r="D210" s="191">
        <v>6.6132420446588403E-4</v>
      </c>
      <c r="E210" s="164">
        <f t="shared" si="12"/>
        <v>33271.220726678628</v>
      </c>
      <c r="F210" s="165">
        <f t="shared" si="12"/>
        <v>34868.980004668199</v>
      </c>
      <c r="G210" s="165">
        <f t="shared" si="12"/>
        <v>36502.450789698938</v>
      </c>
      <c r="H210" s="165">
        <f t="shared" si="12"/>
        <v>38100.871391892979</v>
      </c>
      <c r="I210" s="165">
        <f t="shared" si="12"/>
        <v>39758.149848284484</v>
      </c>
      <c r="J210" s="166">
        <f t="shared" si="12"/>
        <v>41336.069400140084</v>
      </c>
    </row>
    <row r="211" spans="2:10" customFormat="1" x14ac:dyDescent="0.35">
      <c r="B211" s="100">
        <v>946</v>
      </c>
      <c r="C211" s="160" t="s">
        <v>211</v>
      </c>
      <c r="D211" s="191">
        <v>2.72309966544776E-4</v>
      </c>
      <c r="E211" s="164">
        <f t="shared" si="12"/>
        <v>13699.914416867681</v>
      </c>
      <c r="F211" s="165">
        <f t="shared" si="12"/>
        <v>14357.81529603986</v>
      </c>
      <c r="G211" s="165">
        <f t="shared" si="12"/>
        <v>15030.420913405456</v>
      </c>
      <c r="H211" s="165">
        <f t="shared" si="12"/>
        <v>15688.594102544181</v>
      </c>
      <c r="I211" s="165">
        <f t="shared" si="12"/>
        <v>16371.002878705389</v>
      </c>
      <c r="J211" s="166">
        <f t="shared" si="12"/>
        <v>17020.734458881223</v>
      </c>
    </row>
    <row r="212" spans="2:10" customFormat="1" x14ac:dyDescent="0.35">
      <c r="B212" s="100">
        <v>356</v>
      </c>
      <c r="C212" s="160" t="s">
        <v>212</v>
      </c>
      <c r="D212" s="191">
        <v>3.8123395316268598E-3</v>
      </c>
      <c r="E212" s="164">
        <f t="shared" si="12"/>
        <v>191798.80183614732</v>
      </c>
      <c r="F212" s="165">
        <f t="shared" si="12"/>
        <v>201009.41414455781</v>
      </c>
      <c r="G212" s="165">
        <f t="shared" si="12"/>
        <v>210425.89278767616</v>
      </c>
      <c r="H212" s="165">
        <f t="shared" si="12"/>
        <v>219640.31743561829</v>
      </c>
      <c r="I212" s="165">
        <f t="shared" si="12"/>
        <v>229194.04030187518</v>
      </c>
      <c r="J212" s="166">
        <f t="shared" si="12"/>
        <v>238290.28242433688</v>
      </c>
    </row>
    <row r="213" spans="2:10" customFormat="1" x14ac:dyDescent="0.35">
      <c r="B213" s="100">
        <v>569</v>
      </c>
      <c r="C213" s="160" t="s">
        <v>213</v>
      </c>
      <c r="D213" s="191">
        <v>1.01143701859488E-3</v>
      </c>
      <c r="E213" s="164">
        <f t="shared" si="12"/>
        <v>50885.396405508414</v>
      </c>
      <c r="F213" s="165">
        <f t="shared" si="12"/>
        <v>53329.02824243364</v>
      </c>
      <c r="G213" s="165">
        <f t="shared" si="12"/>
        <v>55827.277678362996</v>
      </c>
      <c r="H213" s="165">
        <f t="shared" si="12"/>
        <v>58271.92095230682</v>
      </c>
      <c r="I213" s="165">
        <f t="shared" si="12"/>
        <v>60806.582120905587</v>
      </c>
      <c r="J213" s="166">
        <f t="shared" si="12"/>
        <v>63219.87084727297</v>
      </c>
    </row>
    <row r="214" spans="2:10" customFormat="1" x14ac:dyDescent="0.35">
      <c r="B214" s="100">
        <v>267</v>
      </c>
      <c r="C214" s="160" t="s">
        <v>214</v>
      </c>
      <c r="D214" s="191">
        <v>1.82836691822921E-3</v>
      </c>
      <c r="E214" s="164">
        <f t="shared" si="12"/>
        <v>91985.139656111554</v>
      </c>
      <c r="F214" s="165">
        <f t="shared" si="12"/>
        <v>96402.474130553324</v>
      </c>
      <c r="G214" s="165">
        <f t="shared" si="12"/>
        <v>100918.54041857948</v>
      </c>
      <c r="H214" s="165">
        <f t="shared" si="12"/>
        <v>105337.70325993947</v>
      </c>
      <c r="I214" s="165">
        <f t="shared" si="12"/>
        <v>109919.59075702187</v>
      </c>
      <c r="J214" s="166">
        <f t="shared" si="12"/>
        <v>114282.07422391677</v>
      </c>
    </row>
    <row r="215" spans="2:10" customFormat="1" x14ac:dyDescent="0.35">
      <c r="B215" s="100">
        <v>268</v>
      </c>
      <c r="C215" s="160" t="s">
        <v>215</v>
      </c>
      <c r="D215" s="191">
        <v>1.45102310744573E-2</v>
      </c>
      <c r="E215" s="164">
        <f t="shared" si="12"/>
        <v>730009.72535594681</v>
      </c>
      <c r="F215" s="165">
        <f t="shared" si="12"/>
        <v>765066.44363183563</v>
      </c>
      <c r="G215" s="165">
        <f t="shared" si="12"/>
        <v>800906.71438574512</v>
      </c>
      <c r="H215" s="165">
        <f t="shared" si="12"/>
        <v>835977.94289270847</v>
      </c>
      <c r="I215" s="165">
        <f t="shared" si="12"/>
        <v>872340.58196529839</v>
      </c>
      <c r="J215" s="166">
        <f t="shared" si="12"/>
        <v>906961.99330895348</v>
      </c>
    </row>
    <row r="216" spans="2:10" customFormat="1" x14ac:dyDescent="0.35">
      <c r="B216" s="100">
        <v>1930</v>
      </c>
      <c r="C216" s="160" t="s">
        <v>216</v>
      </c>
      <c r="D216" s="191">
        <v>5.2516922119349597E-3</v>
      </c>
      <c r="E216" s="164">
        <f t="shared" si="12"/>
        <v>264212.63518244785</v>
      </c>
      <c r="F216" s="165">
        <f t="shared" si="12"/>
        <v>276900.72356648266</v>
      </c>
      <c r="G216" s="165">
        <f t="shared" si="12"/>
        <v>289872.40332996205</v>
      </c>
      <c r="H216" s="165">
        <f t="shared" si="12"/>
        <v>302565.74340620881</v>
      </c>
      <c r="I216" s="165">
        <f t="shared" si="12"/>
        <v>315726.48408931785</v>
      </c>
      <c r="J216" s="166">
        <f t="shared" si="12"/>
        <v>328257.02170699468</v>
      </c>
    </row>
    <row r="217" spans="2:10" customFormat="1" x14ac:dyDescent="0.35">
      <c r="B217" s="100">
        <v>1970</v>
      </c>
      <c r="C217" s="160" t="s">
        <v>217</v>
      </c>
      <c r="D217" s="191">
        <v>2.2173811561503102E-3</v>
      </c>
      <c r="E217" s="164">
        <f t="shared" si="12"/>
        <v>111556.4459659221</v>
      </c>
      <c r="F217" s="165">
        <f t="shared" si="12"/>
        <v>116913.63883918125</v>
      </c>
      <c r="G217" s="165">
        <f t="shared" si="12"/>
        <v>122390.57029487252</v>
      </c>
      <c r="H217" s="165">
        <f t="shared" si="12"/>
        <v>127749.98054928782</v>
      </c>
      <c r="I217" s="165">
        <f t="shared" si="12"/>
        <v>133306.73772660049</v>
      </c>
      <c r="J217" s="166">
        <f t="shared" si="12"/>
        <v>138597.40916517514</v>
      </c>
    </row>
    <row r="218" spans="2:10" customFormat="1" x14ac:dyDescent="0.35">
      <c r="B218" s="100">
        <v>1695</v>
      </c>
      <c r="C218" s="160" t="s">
        <v>218</v>
      </c>
      <c r="D218" s="191">
        <v>4.2791566171321901E-4</v>
      </c>
      <c r="E218" s="164">
        <f t="shared" si="12"/>
        <v>21528.436940792049</v>
      </c>
      <c r="F218" s="165">
        <f t="shared" si="12"/>
        <v>22562.281179491187</v>
      </c>
      <c r="G218" s="165">
        <f t="shared" si="12"/>
        <v>23619.232863922836</v>
      </c>
      <c r="H218" s="165">
        <f t="shared" si="12"/>
        <v>24653.505018283686</v>
      </c>
      <c r="I218" s="165">
        <f t="shared" si="12"/>
        <v>25725.861666537014</v>
      </c>
      <c r="J218" s="166">
        <f t="shared" si="12"/>
        <v>26746.868435384753</v>
      </c>
    </row>
    <row r="219" spans="2:10" customFormat="1" x14ac:dyDescent="0.35">
      <c r="B219" s="100">
        <v>1699</v>
      </c>
      <c r="C219" s="160" t="s">
        <v>219</v>
      </c>
      <c r="D219" s="191">
        <v>1.5949583754765401E-3</v>
      </c>
      <c r="E219" s="164">
        <f t="shared" ref="E219:J234" si="13">$D219*E$10</f>
        <v>80242.355870224739</v>
      </c>
      <c r="F219" s="165">
        <f t="shared" si="13"/>
        <v>84095.775305376053</v>
      </c>
      <c r="G219" s="165">
        <f t="shared" si="13"/>
        <v>88035.322492803112</v>
      </c>
      <c r="H219" s="165">
        <f t="shared" si="13"/>
        <v>91890.336886329911</v>
      </c>
      <c r="I219" s="165">
        <f t="shared" si="13"/>
        <v>95887.302575274109</v>
      </c>
      <c r="J219" s="166">
        <f t="shared" si="13"/>
        <v>99692.873259161133</v>
      </c>
    </row>
    <row r="220" spans="2:10" customFormat="1" x14ac:dyDescent="0.35">
      <c r="B220" s="100">
        <v>171</v>
      </c>
      <c r="C220" s="160" t="s">
        <v>220</v>
      </c>
      <c r="D220" s="191">
        <v>1.7505640706449901E-3</v>
      </c>
      <c r="E220" s="164">
        <f t="shared" si="13"/>
        <v>88070.878394149448</v>
      </c>
      <c r="F220" s="165">
        <f t="shared" si="13"/>
        <v>92300.241188827742</v>
      </c>
      <c r="G220" s="165">
        <f t="shared" si="13"/>
        <v>96624.134443320872</v>
      </c>
      <c r="H220" s="165">
        <f t="shared" si="13"/>
        <v>100855.24780206982</v>
      </c>
      <c r="I220" s="165">
        <f t="shared" si="13"/>
        <v>105242.16136310616</v>
      </c>
      <c r="J220" s="166">
        <f t="shared" si="13"/>
        <v>109419.00723566511</v>
      </c>
    </row>
    <row r="221" spans="2:10" customFormat="1" x14ac:dyDescent="0.35">
      <c r="B221" s="100">
        <v>575</v>
      </c>
      <c r="C221" s="160" t="s">
        <v>221</v>
      </c>
      <c r="D221" s="191">
        <v>1.6338597992686501E-3</v>
      </c>
      <c r="E221" s="164">
        <f t="shared" si="13"/>
        <v>82199.486501205785</v>
      </c>
      <c r="F221" s="165">
        <f t="shared" si="13"/>
        <v>86146.891776238845</v>
      </c>
      <c r="G221" s="165">
        <f t="shared" si="13"/>
        <v>90182.525480432407</v>
      </c>
      <c r="H221" s="165">
        <f t="shared" si="13"/>
        <v>94131.564615264739</v>
      </c>
      <c r="I221" s="165">
        <f t="shared" si="13"/>
        <v>98226.017272231969</v>
      </c>
      <c r="J221" s="166">
        <f t="shared" si="13"/>
        <v>102124.40675328697</v>
      </c>
    </row>
    <row r="222" spans="2:10" customFormat="1" x14ac:dyDescent="0.35">
      <c r="B222" s="100">
        <v>820</v>
      </c>
      <c r="C222" s="160" t="s">
        <v>222</v>
      </c>
      <c r="D222" s="191">
        <v>6.6132420446588305E-4</v>
      </c>
      <c r="E222" s="164">
        <f t="shared" si="13"/>
        <v>33271.220726678577</v>
      </c>
      <c r="F222" s="165">
        <f t="shared" si="13"/>
        <v>34868.980004668148</v>
      </c>
      <c r="G222" s="165">
        <f t="shared" si="13"/>
        <v>36502.45078969888</v>
      </c>
      <c r="H222" s="165">
        <f t="shared" si="13"/>
        <v>38100.871391892921</v>
      </c>
      <c r="I222" s="165">
        <f t="shared" si="13"/>
        <v>39758.149848284425</v>
      </c>
      <c r="J222" s="166">
        <f t="shared" si="13"/>
        <v>41336.069400140019</v>
      </c>
    </row>
    <row r="223" spans="2:10" customFormat="1" x14ac:dyDescent="0.35">
      <c r="B223" s="100">
        <v>302</v>
      </c>
      <c r="C223" s="160" t="s">
        <v>223</v>
      </c>
      <c r="D223" s="191">
        <v>1.2448455613475501E-3</v>
      </c>
      <c r="E223" s="164">
        <f t="shared" si="13"/>
        <v>62628.180191395244</v>
      </c>
      <c r="F223" s="165">
        <f t="shared" si="13"/>
        <v>65635.727067610933</v>
      </c>
      <c r="G223" s="165">
        <f t="shared" si="13"/>
        <v>68710.495604139374</v>
      </c>
      <c r="H223" s="165">
        <f t="shared" si="13"/>
        <v>71719.287325916404</v>
      </c>
      <c r="I223" s="165">
        <f t="shared" si="13"/>
        <v>74838.870302653362</v>
      </c>
      <c r="J223" s="166">
        <f t="shared" si="13"/>
        <v>77809.071812028618</v>
      </c>
    </row>
    <row r="224" spans="2:10" customFormat="1" x14ac:dyDescent="0.35">
      <c r="B224" s="100">
        <v>579</v>
      </c>
      <c r="C224" s="160" t="s">
        <v>224</v>
      </c>
      <c r="D224" s="191">
        <v>7.0022562825799398E-4</v>
      </c>
      <c r="E224" s="164">
        <f t="shared" si="13"/>
        <v>35228.351357659674</v>
      </c>
      <c r="F224" s="165">
        <f t="shared" si="13"/>
        <v>36920.096475530991</v>
      </c>
      <c r="G224" s="165">
        <f t="shared" si="13"/>
        <v>38649.653777328233</v>
      </c>
      <c r="H224" s="165">
        <f t="shared" si="13"/>
        <v>40342.099120827806</v>
      </c>
      <c r="I224" s="165">
        <f t="shared" si="13"/>
        <v>42096.864545242337</v>
      </c>
      <c r="J224" s="166">
        <f t="shared" si="13"/>
        <v>43767.60289426591</v>
      </c>
    </row>
    <row r="225" spans="2:10" customFormat="1" x14ac:dyDescent="0.35">
      <c r="B225" s="100">
        <v>823</v>
      </c>
      <c r="C225" s="160" t="s">
        <v>225</v>
      </c>
      <c r="D225" s="191">
        <v>2.3340854275266499E-4</v>
      </c>
      <c r="E225" s="164">
        <f t="shared" si="13"/>
        <v>11742.783785886575</v>
      </c>
      <c r="F225" s="165">
        <f t="shared" si="13"/>
        <v>12306.698825177014</v>
      </c>
      <c r="G225" s="165">
        <f t="shared" si="13"/>
        <v>12883.217925776096</v>
      </c>
      <c r="H225" s="165">
        <f t="shared" si="13"/>
        <v>13447.366373609288</v>
      </c>
      <c r="I225" s="165">
        <f t="shared" si="13"/>
        <v>14032.288181747466</v>
      </c>
      <c r="J225" s="166">
        <f t="shared" si="13"/>
        <v>14589.200964755326</v>
      </c>
    </row>
    <row r="226" spans="2:10" customFormat="1" x14ac:dyDescent="0.35">
      <c r="B226" s="100">
        <v>824</v>
      </c>
      <c r="C226" s="160" t="s">
        <v>226</v>
      </c>
      <c r="D226" s="191">
        <v>8.5583132342643801E-4</v>
      </c>
      <c r="E226" s="164">
        <f t="shared" si="13"/>
        <v>43056.873881584099</v>
      </c>
      <c r="F226" s="165">
        <f t="shared" si="13"/>
        <v>45124.562358982374</v>
      </c>
      <c r="G226" s="165">
        <f t="shared" si="13"/>
        <v>47238.465727845673</v>
      </c>
      <c r="H226" s="165">
        <f t="shared" si="13"/>
        <v>49307.010036567372</v>
      </c>
      <c r="I226" s="165">
        <f t="shared" si="13"/>
        <v>51451.723333074027</v>
      </c>
      <c r="J226" s="166">
        <f t="shared" si="13"/>
        <v>53493.736870769506</v>
      </c>
    </row>
    <row r="227" spans="2:10" customFormat="1" x14ac:dyDescent="0.35">
      <c r="B227" s="100">
        <v>1895</v>
      </c>
      <c r="C227" s="160" t="s">
        <v>227</v>
      </c>
      <c r="D227" s="191">
        <v>3.5400295650820802E-3</v>
      </c>
      <c r="E227" s="164">
        <f t="shared" si="13"/>
        <v>178098.88741927946</v>
      </c>
      <c r="F227" s="165">
        <f t="shared" si="13"/>
        <v>186651.59884851775</v>
      </c>
      <c r="G227" s="165">
        <f t="shared" si="13"/>
        <v>195395.4718742705</v>
      </c>
      <c r="H227" s="165">
        <f t="shared" si="13"/>
        <v>203951.7233330739</v>
      </c>
      <c r="I227" s="165">
        <f t="shared" si="13"/>
        <v>212823.03742316959</v>
      </c>
      <c r="J227" s="166">
        <f t="shared" si="13"/>
        <v>221269.54796545542</v>
      </c>
    </row>
    <row r="228" spans="2:10" customFormat="1" x14ac:dyDescent="0.35">
      <c r="B228" s="100">
        <v>269</v>
      </c>
      <c r="C228" s="160" t="s">
        <v>228</v>
      </c>
      <c r="D228" s="191">
        <v>1.1281412899712101E-3</v>
      </c>
      <c r="E228" s="164">
        <f t="shared" si="13"/>
        <v>56756.788298451575</v>
      </c>
      <c r="F228" s="165">
        <f t="shared" si="13"/>
        <v>59482.377655022021</v>
      </c>
      <c r="G228" s="165">
        <f t="shared" si="13"/>
        <v>62268.886641250909</v>
      </c>
      <c r="H228" s="165">
        <f t="shared" si="13"/>
        <v>64995.604139111325</v>
      </c>
      <c r="I228" s="165">
        <f t="shared" si="13"/>
        <v>67822.726211779183</v>
      </c>
      <c r="J228" s="166">
        <f t="shared" si="13"/>
        <v>70514.471329650478</v>
      </c>
    </row>
    <row r="229" spans="2:10" customFormat="1" x14ac:dyDescent="0.35">
      <c r="B229" s="100">
        <v>173</v>
      </c>
      <c r="C229" s="160" t="s">
        <v>229</v>
      </c>
      <c r="D229" s="191">
        <v>2.0617754609818699E-3</v>
      </c>
      <c r="E229" s="164">
        <f t="shared" si="13"/>
        <v>103727.92344199787</v>
      </c>
      <c r="F229" s="165">
        <f t="shared" si="13"/>
        <v>108709.17295573007</v>
      </c>
      <c r="G229" s="165">
        <f t="shared" si="13"/>
        <v>113801.75834435529</v>
      </c>
      <c r="H229" s="165">
        <f t="shared" si="13"/>
        <v>118785.06963354847</v>
      </c>
      <c r="I229" s="165">
        <f t="shared" si="13"/>
        <v>123951.87893876903</v>
      </c>
      <c r="J229" s="166">
        <f t="shared" si="13"/>
        <v>128871.27518867177</v>
      </c>
    </row>
    <row r="230" spans="2:10" customFormat="1" x14ac:dyDescent="0.35">
      <c r="B230" s="100">
        <v>1773</v>
      </c>
      <c r="C230" s="160" t="s">
        <v>230</v>
      </c>
      <c r="D230" s="191">
        <v>6.6132420446588305E-4</v>
      </c>
      <c r="E230" s="164">
        <f t="shared" si="13"/>
        <v>33271.220726678577</v>
      </c>
      <c r="F230" s="165">
        <f t="shared" si="13"/>
        <v>34868.980004668148</v>
      </c>
      <c r="G230" s="165">
        <f t="shared" si="13"/>
        <v>36502.45078969888</v>
      </c>
      <c r="H230" s="165">
        <f t="shared" si="13"/>
        <v>38100.871391892921</v>
      </c>
      <c r="I230" s="165">
        <f t="shared" si="13"/>
        <v>39758.149848284425</v>
      </c>
      <c r="J230" s="166">
        <f t="shared" si="13"/>
        <v>41336.069400140019</v>
      </c>
    </row>
    <row r="231" spans="2:10" customFormat="1" x14ac:dyDescent="0.35">
      <c r="B231" s="100">
        <v>175</v>
      </c>
      <c r="C231" s="160" t="s">
        <v>231</v>
      </c>
      <c r="D231" s="191">
        <v>1.01143701859488E-3</v>
      </c>
      <c r="E231" s="164">
        <f t="shared" si="13"/>
        <v>50885.396405508414</v>
      </c>
      <c r="F231" s="165">
        <f t="shared" si="13"/>
        <v>53329.02824243364</v>
      </c>
      <c r="G231" s="165">
        <f t="shared" si="13"/>
        <v>55827.277678362996</v>
      </c>
      <c r="H231" s="165">
        <f t="shared" si="13"/>
        <v>58271.92095230682</v>
      </c>
      <c r="I231" s="165">
        <f t="shared" si="13"/>
        <v>60806.582120905587</v>
      </c>
      <c r="J231" s="166">
        <f t="shared" si="13"/>
        <v>63219.87084727297</v>
      </c>
    </row>
    <row r="232" spans="2:10" customFormat="1" x14ac:dyDescent="0.35">
      <c r="B232" s="100">
        <v>1586</v>
      </c>
      <c r="C232" s="160" t="s">
        <v>232</v>
      </c>
      <c r="D232" s="191">
        <v>1.0892398661790999E-3</v>
      </c>
      <c r="E232" s="164">
        <f t="shared" si="13"/>
        <v>54799.657667470514</v>
      </c>
      <c r="F232" s="165">
        <f t="shared" si="13"/>
        <v>57431.261184159222</v>
      </c>
      <c r="G232" s="165">
        <f t="shared" si="13"/>
        <v>60121.6836536216</v>
      </c>
      <c r="H232" s="165">
        <f t="shared" si="13"/>
        <v>62754.376410176483</v>
      </c>
      <c r="I232" s="165">
        <f t="shared" si="13"/>
        <v>65484.011514821308</v>
      </c>
      <c r="J232" s="166">
        <f t="shared" si="13"/>
        <v>68082.937835524644</v>
      </c>
    </row>
    <row r="233" spans="2:10" customFormat="1" x14ac:dyDescent="0.35">
      <c r="B233" s="100">
        <v>826</v>
      </c>
      <c r="C233" s="160" t="s">
        <v>233</v>
      </c>
      <c r="D233" s="191">
        <v>2.1784797323581998E-3</v>
      </c>
      <c r="E233" s="164">
        <f t="shared" si="13"/>
        <v>109599.31533494103</v>
      </c>
      <c r="F233" s="165">
        <f t="shared" si="13"/>
        <v>114862.52236831844</v>
      </c>
      <c r="G233" s="165">
        <f t="shared" si="13"/>
        <v>120243.3673072432</v>
      </c>
      <c r="H233" s="165">
        <f t="shared" si="13"/>
        <v>125508.75282035297</v>
      </c>
      <c r="I233" s="165">
        <f t="shared" si="13"/>
        <v>130968.02302964262</v>
      </c>
      <c r="J233" s="166">
        <f t="shared" si="13"/>
        <v>136165.87567104929</v>
      </c>
    </row>
    <row r="234" spans="2:10" customFormat="1" x14ac:dyDescent="0.35">
      <c r="B234" s="100">
        <v>85</v>
      </c>
      <c r="C234" s="160" t="s">
        <v>234</v>
      </c>
      <c r="D234" s="191">
        <v>1.36154983272388E-3</v>
      </c>
      <c r="E234" s="164">
        <f t="shared" si="13"/>
        <v>68499.572084338404</v>
      </c>
      <c r="F234" s="165">
        <f t="shared" si="13"/>
        <v>71789.076480199292</v>
      </c>
      <c r="G234" s="165">
        <f t="shared" si="13"/>
        <v>75152.104567027272</v>
      </c>
      <c r="H234" s="165">
        <f t="shared" si="13"/>
        <v>78442.970512720902</v>
      </c>
      <c r="I234" s="165">
        <f t="shared" si="13"/>
        <v>81855.014393526944</v>
      </c>
      <c r="J234" s="166">
        <f t="shared" si="13"/>
        <v>85103.672294406118</v>
      </c>
    </row>
    <row r="235" spans="2:10" customFormat="1" x14ac:dyDescent="0.35">
      <c r="B235" s="100">
        <v>431</v>
      </c>
      <c r="C235" s="160" t="s">
        <v>235</v>
      </c>
      <c r="D235" s="191">
        <v>3.1121139033688601E-4</v>
      </c>
      <c r="E235" s="164">
        <f t="shared" ref="E235:J250" si="14">$D235*E$10</f>
        <v>15657.045047848735</v>
      </c>
      <c r="F235" s="165">
        <f t="shared" si="14"/>
        <v>16408.931766902653</v>
      </c>
      <c r="G235" s="165">
        <f t="shared" si="14"/>
        <v>17177.62390103476</v>
      </c>
      <c r="H235" s="165">
        <f t="shared" si="14"/>
        <v>17929.821831479014</v>
      </c>
      <c r="I235" s="165">
        <f t="shared" si="14"/>
        <v>18709.71757566325</v>
      </c>
      <c r="J235" s="166">
        <f t="shared" si="14"/>
        <v>19452.26795300706</v>
      </c>
    </row>
    <row r="236" spans="2:10" customFormat="1" x14ac:dyDescent="0.35">
      <c r="B236" s="100">
        <v>432</v>
      </c>
      <c r="C236" s="160" t="s">
        <v>236</v>
      </c>
      <c r="D236" s="191">
        <v>7.3912705205010502E-4</v>
      </c>
      <c r="E236" s="164">
        <f t="shared" si="14"/>
        <v>37185.481988640786</v>
      </c>
      <c r="F236" s="165">
        <f t="shared" si="14"/>
        <v>38971.21294639384</v>
      </c>
      <c r="G236" s="165">
        <f t="shared" si="14"/>
        <v>40796.8567649576</v>
      </c>
      <c r="H236" s="165">
        <f t="shared" si="14"/>
        <v>42583.3268497627</v>
      </c>
      <c r="I236" s="165">
        <f t="shared" si="14"/>
        <v>44435.579242200263</v>
      </c>
      <c r="J236" s="166">
        <f t="shared" si="14"/>
        <v>46199.136388391817</v>
      </c>
    </row>
    <row r="237" spans="2:10" customFormat="1" x14ac:dyDescent="0.35">
      <c r="B237" s="100">
        <v>86</v>
      </c>
      <c r="C237" s="160" t="s">
        <v>237</v>
      </c>
      <c r="D237" s="191">
        <v>1.7505640706449901E-3</v>
      </c>
      <c r="E237" s="164">
        <f t="shared" si="14"/>
        <v>88070.878394149448</v>
      </c>
      <c r="F237" s="165">
        <f t="shared" si="14"/>
        <v>92300.241188827742</v>
      </c>
      <c r="G237" s="165">
        <f t="shared" si="14"/>
        <v>96624.134443320872</v>
      </c>
      <c r="H237" s="165">
        <f t="shared" si="14"/>
        <v>100855.24780206982</v>
      </c>
      <c r="I237" s="165">
        <f t="shared" si="14"/>
        <v>105242.16136310616</v>
      </c>
      <c r="J237" s="166">
        <f t="shared" si="14"/>
        <v>109419.00723566511</v>
      </c>
    </row>
    <row r="238" spans="2:10" customFormat="1" x14ac:dyDescent="0.35">
      <c r="B238" s="100">
        <v>828</v>
      </c>
      <c r="C238" s="160" t="s">
        <v>238</v>
      </c>
      <c r="D238" s="191">
        <v>6.8855520112036097E-3</v>
      </c>
      <c r="E238" s="164">
        <f t="shared" si="14"/>
        <v>346412.12168365362</v>
      </c>
      <c r="F238" s="165">
        <f t="shared" si="14"/>
        <v>363047.61534272152</v>
      </c>
      <c r="G238" s="165">
        <f t="shared" si="14"/>
        <v>380054.92881039443</v>
      </c>
      <c r="H238" s="165">
        <f t="shared" si="14"/>
        <v>396697.30802147358</v>
      </c>
      <c r="I238" s="165">
        <f t="shared" si="14"/>
        <v>413952.50136154983</v>
      </c>
      <c r="J238" s="166">
        <f t="shared" si="14"/>
        <v>430381.42846028163</v>
      </c>
    </row>
    <row r="239" spans="2:10" customFormat="1" x14ac:dyDescent="0.35">
      <c r="B239" s="100">
        <v>1509</v>
      </c>
      <c r="C239" s="160" t="s">
        <v>239</v>
      </c>
      <c r="D239" s="191">
        <v>1.6338597992686501E-3</v>
      </c>
      <c r="E239" s="164">
        <f t="shared" si="14"/>
        <v>82199.486501205785</v>
      </c>
      <c r="F239" s="165">
        <f t="shared" si="14"/>
        <v>86146.891776238845</v>
      </c>
      <c r="G239" s="165">
        <f t="shared" si="14"/>
        <v>90182.525480432407</v>
      </c>
      <c r="H239" s="165">
        <f t="shared" si="14"/>
        <v>94131.564615264739</v>
      </c>
      <c r="I239" s="165">
        <f t="shared" si="14"/>
        <v>98226.017272231969</v>
      </c>
      <c r="J239" s="166">
        <f t="shared" si="14"/>
        <v>102124.40675328697</v>
      </c>
    </row>
    <row r="240" spans="2:10" customFormat="1" x14ac:dyDescent="0.35">
      <c r="B240" s="100">
        <v>437</v>
      </c>
      <c r="C240" s="160" t="s">
        <v>240</v>
      </c>
      <c r="D240" s="191">
        <v>4.2791566171321901E-4</v>
      </c>
      <c r="E240" s="164">
        <f t="shared" si="14"/>
        <v>21528.436940792049</v>
      </c>
      <c r="F240" s="165">
        <f t="shared" si="14"/>
        <v>22562.281179491187</v>
      </c>
      <c r="G240" s="165">
        <f t="shared" si="14"/>
        <v>23619.232863922836</v>
      </c>
      <c r="H240" s="165">
        <f t="shared" si="14"/>
        <v>24653.505018283686</v>
      </c>
      <c r="I240" s="165">
        <f t="shared" si="14"/>
        <v>25725.861666537014</v>
      </c>
      <c r="J240" s="166">
        <f t="shared" si="14"/>
        <v>26746.868435384753</v>
      </c>
    </row>
    <row r="241" spans="2:10" customFormat="1" x14ac:dyDescent="0.35">
      <c r="B241" s="100">
        <v>589</v>
      </c>
      <c r="C241" s="160" t="s">
        <v>241</v>
      </c>
      <c r="D241" s="191">
        <v>1.55605695168443E-4</v>
      </c>
      <c r="E241" s="164">
        <f t="shared" si="14"/>
        <v>7828.5225239243673</v>
      </c>
      <c r="F241" s="165">
        <f t="shared" si="14"/>
        <v>8204.4658834513266</v>
      </c>
      <c r="G241" s="165">
        <f t="shared" si="14"/>
        <v>8588.81195051738</v>
      </c>
      <c r="H241" s="165">
        <f t="shared" si="14"/>
        <v>8964.9109157395069</v>
      </c>
      <c r="I241" s="165">
        <f t="shared" si="14"/>
        <v>9354.8587878316248</v>
      </c>
      <c r="J241" s="166">
        <f t="shared" si="14"/>
        <v>9726.13397650353</v>
      </c>
    </row>
    <row r="242" spans="2:10" customFormat="1" x14ac:dyDescent="0.35">
      <c r="B242" s="100">
        <v>1734</v>
      </c>
      <c r="C242" s="160" t="s">
        <v>242</v>
      </c>
      <c r="D242" s="191">
        <v>3.6178324126663001E-3</v>
      </c>
      <c r="E242" s="164">
        <f t="shared" si="14"/>
        <v>182013.14868124155</v>
      </c>
      <c r="F242" s="165">
        <f t="shared" si="14"/>
        <v>190753.83179024333</v>
      </c>
      <c r="G242" s="165">
        <f t="shared" si="14"/>
        <v>199689.87784952909</v>
      </c>
      <c r="H242" s="165">
        <f t="shared" si="14"/>
        <v>208434.17879094355</v>
      </c>
      <c r="I242" s="165">
        <f t="shared" si="14"/>
        <v>217500.46681708528</v>
      </c>
      <c r="J242" s="166">
        <f t="shared" si="14"/>
        <v>226132.61495370709</v>
      </c>
    </row>
    <row r="243" spans="2:10" customFormat="1" x14ac:dyDescent="0.35">
      <c r="B243" s="100">
        <v>590</v>
      </c>
      <c r="C243" s="160" t="s">
        <v>243</v>
      </c>
      <c r="D243" s="191">
        <v>1.4393526803081001E-3</v>
      </c>
      <c r="E243" s="164">
        <f t="shared" si="14"/>
        <v>72413.833346300511</v>
      </c>
      <c r="F243" s="165">
        <f t="shared" si="14"/>
        <v>75891.309421924889</v>
      </c>
      <c r="G243" s="165">
        <f t="shared" si="14"/>
        <v>79446.510542285891</v>
      </c>
      <c r="H243" s="165">
        <f t="shared" si="14"/>
        <v>82925.425970590572</v>
      </c>
      <c r="I243" s="165">
        <f t="shared" si="14"/>
        <v>86532.443787442666</v>
      </c>
      <c r="J243" s="166">
        <f t="shared" si="14"/>
        <v>89966.7392826578</v>
      </c>
    </row>
    <row r="244" spans="2:10" customFormat="1" x14ac:dyDescent="0.35">
      <c r="B244" s="100">
        <v>1894</v>
      </c>
      <c r="C244" s="160" t="s">
        <v>244</v>
      </c>
      <c r="D244" s="191">
        <v>1.67276122306076E-3</v>
      </c>
      <c r="E244" s="164">
        <f t="shared" si="14"/>
        <v>84156.617132186831</v>
      </c>
      <c r="F244" s="165">
        <f t="shared" si="14"/>
        <v>88198.008247101636</v>
      </c>
      <c r="G244" s="165">
        <f t="shared" si="14"/>
        <v>92329.728468061716</v>
      </c>
      <c r="H244" s="165">
        <f t="shared" si="14"/>
        <v>96372.792344199566</v>
      </c>
      <c r="I244" s="165">
        <f t="shared" si="14"/>
        <v>100564.73196918983</v>
      </c>
      <c r="J244" s="166">
        <f t="shared" si="14"/>
        <v>104555.9402474128</v>
      </c>
    </row>
    <row r="245" spans="2:10" customFormat="1" x14ac:dyDescent="0.35">
      <c r="B245" s="100">
        <v>765</v>
      </c>
      <c r="C245" s="160" t="s">
        <v>245</v>
      </c>
      <c r="D245" s="191">
        <v>1.51715552789232E-3</v>
      </c>
      <c r="E245" s="164">
        <f t="shared" si="14"/>
        <v>76328.094608262618</v>
      </c>
      <c r="F245" s="165">
        <f t="shared" si="14"/>
        <v>79993.542363650457</v>
      </c>
      <c r="G245" s="165">
        <f t="shared" si="14"/>
        <v>83740.916517544494</v>
      </c>
      <c r="H245" s="165">
        <f t="shared" si="14"/>
        <v>87407.881428460227</v>
      </c>
      <c r="I245" s="165">
        <f t="shared" si="14"/>
        <v>91209.873181358387</v>
      </c>
      <c r="J245" s="166">
        <f t="shared" si="14"/>
        <v>94829.806270909467</v>
      </c>
    </row>
    <row r="246" spans="2:10" customFormat="1" x14ac:dyDescent="0.35">
      <c r="B246" s="100">
        <v>1926</v>
      </c>
      <c r="C246" s="160" t="s">
        <v>246</v>
      </c>
      <c r="D246" s="191">
        <v>2.1395783085660898E-3</v>
      </c>
      <c r="E246" s="164">
        <f t="shared" si="14"/>
        <v>107642.18470395998</v>
      </c>
      <c r="F246" s="165">
        <f t="shared" si="14"/>
        <v>112811.40589745565</v>
      </c>
      <c r="G246" s="165">
        <f t="shared" si="14"/>
        <v>118096.16431961389</v>
      </c>
      <c r="H246" s="165">
        <f t="shared" si="14"/>
        <v>123267.52509141814</v>
      </c>
      <c r="I246" s="165">
        <f t="shared" si="14"/>
        <v>128629.30833268476</v>
      </c>
      <c r="J246" s="166">
        <f t="shared" si="14"/>
        <v>133734.34217692344</v>
      </c>
    </row>
    <row r="247" spans="2:10" customFormat="1" x14ac:dyDescent="0.35">
      <c r="B247" s="100">
        <v>439</v>
      </c>
      <c r="C247" s="160" t="s">
        <v>247</v>
      </c>
      <c r="D247" s="191">
        <v>7.8191861822142703E-3</v>
      </c>
      <c r="E247" s="164">
        <f t="shared" si="14"/>
        <v>393383.25682719995</v>
      </c>
      <c r="F247" s="165">
        <f t="shared" si="14"/>
        <v>412274.41064342961</v>
      </c>
      <c r="G247" s="165">
        <f t="shared" si="14"/>
        <v>431587.80051349883</v>
      </c>
      <c r="H247" s="165">
        <f t="shared" si="14"/>
        <v>450486.77351591073</v>
      </c>
      <c r="I247" s="165">
        <f t="shared" si="14"/>
        <v>470081.65408853971</v>
      </c>
      <c r="J247" s="166">
        <f t="shared" si="14"/>
        <v>488738.23231930297</v>
      </c>
    </row>
    <row r="248" spans="2:10" customFormat="1" x14ac:dyDescent="0.35">
      <c r="B248" s="100">
        <v>273</v>
      </c>
      <c r="C248" s="160" t="s">
        <v>248</v>
      </c>
      <c r="D248" s="191">
        <v>7.0022562825799496E-4</v>
      </c>
      <c r="E248" s="164">
        <f t="shared" si="14"/>
        <v>35228.351357659725</v>
      </c>
      <c r="F248" s="165">
        <f t="shared" si="14"/>
        <v>36920.096475531042</v>
      </c>
      <c r="G248" s="165">
        <f t="shared" si="14"/>
        <v>38649.653777328291</v>
      </c>
      <c r="H248" s="165">
        <f t="shared" si="14"/>
        <v>40342.099120827865</v>
      </c>
      <c r="I248" s="165">
        <f t="shared" si="14"/>
        <v>42096.864545242395</v>
      </c>
      <c r="J248" s="166">
        <f t="shared" si="14"/>
        <v>43767.602894265976</v>
      </c>
    </row>
    <row r="249" spans="2:10" customFormat="1" x14ac:dyDescent="0.35">
      <c r="B249" s="100">
        <v>177</v>
      </c>
      <c r="C249" s="160" t="s">
        <v>249</v>
      </c>
      <c r="D249" s="191">
        <v>1.36154983272388E-3</v>
      </c>
      <c r="E249" s="164">
        <f t="shared" si="14"/>
        <v>68499.572084338404</v>
      </c>
      <c r="F249" s="165">
        <f t="shared" si="14"/>
        <v>71789.076480199292</v>
      </c>
      <c r="G249" s="165">
        <f t="shared" si="14"/>
        <v>75152.104567027272</v>
      </c>
      <c r="H249" s="165">
        <f t="shared" si="14"/>
        <v>78442.970512720902</v>
      </c>
      <c r="I249" s="165">
        <f t="shared" si="14"/>
        <v>81855.014393526944</v>
      </c>
      <c r="J249" s="166">
        <f t="shared" si="14"/>
        <v>85103.672294406118</v>
      </c>
    </row>
    <row r="250" spans="2:10" customFormat="1" x14ac:dyDescent="0.35">
      <c r="B250" s="100">
        <v>703</v>
      </c>
      <c r="C250" s="160" t="s">
        <v>250</v>
      </c>
      <c r="D250" s="191">
        <v>5.0571850929743999E-4</v>
      </c>
      <c r="E250" s="164">
        <f t="shared" si="14"/>
        <v>25442.698202754207</v>
      </c>
      <c r="F250" s="165">
        <f t="shared" si="14"/>
        <v>26664.51412121682</v>
      </c>
      <c r="G250" s="165">
        <f t="shared" si="14"/>
        <v>27913.638839181498</v>
      </c>
      <c r="H250" s="165">
        <f t="shared" si="14"/>
        <v>29135.96047615341</v>
      </c>
      <c r="I250" s="165">
        <f t="shared" si="14"/>
        <v>30403.291060452793</v>
      </c>
      <c r="J250" s="166">
        <f t="shared" si="14"/>
        <v>31609.935423636485</v>
      </c>
    </row>
    <row r="251" spans="2:10" customFormat="1" x14ac:dyDescent="0.35">
      <c r="B251" s="100">
        <v>274</v>
      </c>
      <c r="C251" s="160" t="s">
        <v>251</v>
      </c>
      <c r="D251" s="191">
        <v>3.03431105578464E-3</v>
      </c>
      <c r="E251" s="164">
        <f t="shared" ref="E251:J266" si="15">$D251*E$10</f>
        <v>152656.18921652524</v>
      </c>
      <c r="F251" s="165">
        <f t="shared" si="15"/>
        <v>159987.08472730091</v>
      </c>
      <c r="G251" s="165">
        <f t="shared" si="15"/>
        <v>167481.83303508899</v>
      </c>
      <c r="H251" s="165">
        <f t="shared" si="15"/>
        <v>174815.76285692045</v>
      </c>
      <c r="I251" s="165">
        <f t="shared" si="15"/>
        <v>182419.74636271677</v>
      </c>
      <c r="J251" s="166">
        <f t="shared" si="15"/>
        <v>189659.61254181893</v>
      </c>
    </row>
    <row r="252" spans="2:10" customFormat="1" x14ac:dyDescent="0.35">
      <c r="B252" s="100">
        <v>339</v>
      </c>
      <c r="C252" s="160" t="s">
        <v>252</v>
      </c>
      <c r="D252" s="191">
        <v>2.7230996654477497E-4</v>
      </c>
      <c r="E252" s="164">
        <f t="shared" si="15"/>
        <v>13699.914416867628</v>
      </c>
      <c r="F252" s="165">
        <f t="shared" si="15"/>
        <v>14357.815296039806</v>
      </c>
      <c r="G252" s="165">
        <f t="shared" si="15"/>
        <v>15030.4209134054</v>
      </c>
      <c r="H252" s="165">
        <f t="shared" si="15"/>
        <v>15688.594102544121</v>
      </c>
      <c r="I252" s="165">
        <f t="shared" si="15"/>
        <v>16371.002878705327</v>
      </c>
      <c r="J252" s="166">
        <f t="shared" si="15"/>
        <v>17020.734458881161</v>
      </c>
    </row>
    <row r="253" spans="2:10" customFormat="1" x14ac:dyDescent="0.35">
      <c r="B253" s="100">
        <v>1667</v>
      </c>
      <c r="C253" s="160" t="s">
        <v>253</v>
      </c>
      <c r="D253" s="191">
        <v>3.1121139033688601E-4</v>
      </c>
      <c r="E253" s="164">
        <f t="shared" si="15"/>
        <v>15657.045047848735</v>
      </c>
      <c r="F253" s="165">
        <f t="shared" si="15"/>
        <v>16408.931766902653</v>
      </c>
      <c r="G253" s="165">
        <f t="shared" si="15"/>
        <v>17177.62390103476</v>
      </c>
      <c r="H253" s="165">
        <f t="shared" si="15"/>
        <v>17929.821831479014</v>
      </c>
      <c r="I253" s="165">
        <f t="shared" si="15"/>
        <v>18709.71757566325</v>
      </c>
      <c r="J253" s="166">
        <f t="shared" si="15"/>
        <v>19452.26795300706</v>
      </c>
    </row>
    <row r="254" spans="2:10" customFormat="1" x14ac:dyDescent="0.35">
      <c r="B254" s="100">
        <v>275</v>
      </c>
      <c r="C254" s="160" t="s">
        <v>254</v>
      </c>
      <c r="D254" s="191">
        <v>3.1121139033688599E-3</v>
      </c>
      <c r="E254" s="164">
        <f t="shared" si="15"/>
        <v>156570.45047848733</v>
      </c>
      <c r="F254" s="165">
        <f t="shared" si="15"/>
        <v>164089.3176690265</v>
      </c>
      <c r="G254" s="165">
        <f t="shared" si="15"/>
        <v>171776.23901034758</v>
      </c>
      <c r="H254" s="165">
        <f t="shared" si="15"/>
        <v>179298.21831479014</v>
      </c>
      <c r="I254" s="165">
        <f t="shared" si="15"/>
        <v>187097.1757566325</v>
      </c>
      <c r="J254" s="166">
        <f t="shared" si="15"/>
        <v>194522.6795300706</v>
      </c>
    </row>
    <row r="255" spans="2:10" customFormat="1" x14ac:dyDescent="0.35">
      <c r="B255" s="100">
        <v>340</v>
      </c>
      <c r="C255" s="160" t="s">
        <v>255</v>
      </c>
      <c r="D255" s="191">
        <v>6.6132420446588305E-4</v>
      </c>
      <c r="E255" s="164">
        <f t="shared" si="15"/>
        <v>33271.220726678577</v>
      </c>
      <c r="F255" s="165">
        <f t="shared" si="15"/>
        <v>34868.980004668148</v>
      </c>
      <c r="G255" s="165">
        <f t="shared" si="15"/>
        <v>36502.45078969888</v>
      </c>
      <c r="H255" s="165">
        <f t="shared" si="15"/>
        <v>38100.871391892921</v>
      </c>
      <c r="I255" s="165">
        <f t="shared" si="15"/>
        <v>39758.149848284425</v>
      </c>
      <c r="J255" s="166">
        <f t="shared" si="15"/>
        <v>41336.069400140019</v>
      </c>
    </row>
    <row r="256" spans="2:10" customFormat="1" x14ac:dyDescent="0.35">
      <c r="B256" s="100">
        <v>597</v>
      </c>
      <c r="C256" s="160" t="s">
        <v>256</v>
      </c>
      <c r="D256" s="191">
        <v>2.5674939702793101E-3</v>
      </c>
      <c r="E256" s="164">
        <f t="shared" si="15"/>
        <v>129170.6216447521</v>
      </c>
      <c r="F256" s="165">
        <f t="shared" si="15"/>
        <v>135373.6870769469</v>
      </c>
      <c r="G256" s="165">
        <f t="shared" si="15"/>
        <v>141715.39718353681</v>
      </c>
      <c r="H256" s="165">
        <f t="shared" si="15"/>
        <v>147921.03010970188</v>
      </c>
      <c r="I256" s="165">
        <f t="shared" si="15"/>
        <v>154355.16999922183</v>
      </c>
      <c r="J256" s="166">
        <f t="shared" si="15"/>
        <v>160481.21061230829</v>
      </c>
    </row>
    <row r="257" spans="2:10" customFormat="1" x14ac:dyDescent="0.35">
      <c r="B257" s="100">
        <v>1742</v>
      </c>
      <c r="C257" s="160" t="s">
        <v>257</v>
      </c>
      <c r="D257" s="191">
        <v>1.36154983272388E-3</v>
      </c>
      <c r="E257" s="164">
        <f t="shared" si="15"/>
        <v>68499.572084338404</v>
      </c>
      <c r="F257" s="165">
        <f t="shared" si="15"/>
        <v>71789.076480199292</v>
      </c>
      <c r="G257" s="165">
        <f t="shared" si="15"/>
        <v>75152.104567027272</v>
      </c>
      <c r="H257" s="165">
        <f t="shared" si="15"/>
        <v>78442.970512720902</v>
      </c>
      <c r="I257" s="165">
        <f t="shared" si="15"/>
        <v>81855.014393526944</v>
      </c>
      <c r="J257" s="166">
        <f t="shared" si="15"/>
        <v>85103.672294406118</v>
      </c>
    </row>
    <row r="258" spans="2:10" customFormat="1" x14ac:dyDescent="0.35">
      <c r="B258" s="100">
        <v>603</v>
      </c>
      <c r="C258" s="160" t="s">
        <v>258</v>
      </c>
      <c r="D258" s="191">
        <v>3.9679452267953001E-3</v>
      </c>
      <c r="E258" s="164">
        <f t="shared" si="15"/>
        <v>199627.32436007154</v>
      </c>
      <c r="F258" s="165">
        <f t="shared" si="15"/>
        <v>209213.88002800898</v>
      </c>
      <c r="G258" s="165">
        <f t="shared" si="15"/>
        <v>219014.7047381934</v>
      </c>
      <c r="H258" s="165">
        <f t="shared" si="15"/>
        <v>228605.22835135763</v>
      </c>
      <c r="I258" s="165">
        <f t="shared" si="15"/>
        <v>238548.89908970665</v>
      </c>
      <c r="J258" s="166">
        <f t="shared" si="15"/>
        <v>248016.41640084024</v>
      </c>
    </row>
    <row r="259" spans="2:10" customFormat="1" x14ac:dyDescent="0.35">
      <c r="B259" s="100">
        <v>1669</v>
      </c>
      <c r="C259" s="160" t="s">
        <v>259</v>
      </c>
      <c r="D259" s="191">
        <v>5.4461993308955103E-4</v>
      </c>
      <c r="E259" s="164">
        <f t="shared" si="15"/>
        <v>27399.828833735311</v>
      </c>
      <c r="F259" s="165">
        <f t="shared" si="15"/>
        <v>28715.630592079669</v>
      </c>
      <c r="G259" s="165">
        <f t="shared" si="15"/>
        <v>30060.841826810858</v>
      </c>
      <c r="H259" s="165">
        <f t="shared" si="15"/>
        <v>31377.188205088303</v>
      </c>
      <c r="I259" s="165">
        <f t="shared" si="15"/>
        <v>32742.00575741072</v>
      </c>
      <c r="J259" s="166">
        <f t="shared" si="15"/>
        <v>34041.468917762388</v>
      </c>
    </row>
    <row r="260" spans="2:10" customFormat="1" x14ac:dyDescent="0.35">
      <c r="B260" s="100">
        <v>957</v>
      </c>
      <c r="C260" s="160" t="s">
        <v>260</v>
      </c>
      <c r="D260" s="191">
        <v>3.4233252937057499E-3</v>
      </c>
      <c r="E260" s="164">
        <f t="shared" si="15"/>
        <v>172227.49552633628</v>
      </c>
      <c r="F260" s="165">
        <f t="shared" si="15"/>
        <v>180498.24943592938</v>
      </c>
      <c r="G260" s="165">
        <f t="shared" si="15"/>
        <v>188953.86291138257</v>
      </c>
      <c r="H260" s="165">
        <f t="shared" si="15"/>
        <v>197228.04014626937</v>
      </c>
      <c r="I260" s="165">
        <f t="shared" si="15"/>
        <v>205806.89333229596</v>
      </c>
      <c r="J260" s="166">
        <f t="shared" si="15"/>
        <v>213974.94748307791</v>
      </c>
    </row>
    <row r="261" spans="2:10" customFormat="1" x14ac:dyDescent="0.35">
      <c r="B261" s="100">
        <v>1674</v>
      </c>
      <c r="C261" s="160" t="s">
        <v>261</v>
      </c>
      <c r="D261" s="191">
        <v>4.3180580409243E-3</v>
      </c>
      <c r="E261" s="164">
        <f t="shared" si="15"/>
        <v>217241.50003890155</v>
      </c>
      <c r="F261" s="165">
        <f t="shared" si="15"/>
        <v>227673.92826577465</v>
      </c>
      <c r="G261" s="165">
        <f t="shared" si="15"/>
        <v>238339.53162685767</v>
      </c>
      <c r="H261" s="165">
        <f t="shared" si="15"/>
        <v>248776.2779117717</v>
      </c>
      <c r="I261" s="165">
        <f t="shared" si="15"/>
        <v>259597.331362328</v>
      </c>
      <c r="J261" s="166">
        <f t="shared" si="15"/>
        <v>269900.2178479734</v>
      </c>
    </row>
    <row r="262" spans="2:10" customFormat="1" x14ac:dyDescent="0.35">
      <c r="B262" s="100">
        <v>599</v>
      </c>
      <c r="C262" s="160" t="s">
        <v>262</v>
      </c>
      <c r="D262" s="191">
        <v>4.8704582587722603E-2</v>
      </c>
      <c r="E262" s="164">
        <f t="shared" si="15"/>
        <v>2450327.5499883243</v>
      </c>
      <c r="F262" s="165">
        <f t="shared" si="15"/>
        <v>2567997.8215202619</v>
      </c>
      <c r="G262" s="165">
        <f t="shared" si="15"/>
        <v>2688298.140511937</v>
      </c>
      <c r="H262" s="165">
        <f t="shared" si="15"/>
        <v>2806017.1166264624</v>
      </c>
      <c r="I262" s="165">
        <f t="shared" si="15"/>
        <v>2928070.8005912951</v>
      </c>
      <c r="J262" s="166">
        <f t="shared" si="15"/>
        <v>3044279.9346456011</v>
      </c>
    </row>
    <row r="263" spans="2:10" customFormat="1" x14ac:dyDescent="0.35">
      <c r="B263" s="100">
        <v>277</v>
      </c>
      <c r="C263" s="160" t="s">
        <v>263</v>
      </c>
      <c r="D263" s="191">
        <v>0</v>
      </c>
      <c r="E263" s="164">
        <f t="shared" si="15"/>
        <v>0</v>
      </c>
      <c r="F263" s="165">
        <f t="shared" si="15"/>
        <v>0</v>
      </c>
      <c r="G263" s="165">
        <f t="shared" si="15"/>
        <v>0</v>
      </c>
      <c r="H263" s="165">
        <f t="shared" si="15"/>
        <v>0</v>
      </c>
      <c r="I263" s="165">
        <f t="shared" si="15"/>
        <v>0</v>
      </c>
      <c r="J263" s="166">
        <f t="shared" si="15"/>
        <v>0</v>
      </c>
    </row>
    <row r="264" spans="2:10" customFormat="1" x14ac:dyDescent="0.35">
      <c r="B264" s="100">
        <v>840</v>
      </c>
      <c r="C264" s="160" t="s">
        <v>264</v>
      </c>
      <c r="D264" s="191">
        <v>1.2448455613475501E-3</v>
      </c>
      <c r="E264" s="164">
        <f t="shared" si="15"/>
        <v>62628.180191395244</v>
      </c>
      <c r="F264" s="165">
        <f t="shared" si="15"/>
        <v>65635.727067610933</v>
      </c>
      <c r="G264" s="165">
        <f t="shared" si="15"/>
        <v>68710.495604139374</v>
      </c>
      <c r="H264" s="165">
        <f t="shared" si="15"/>
        <v>71719.287325916404</v>
      </c>
      <c r="I264" s="165">
        <f t="shared" si="15"/>
        <v>74838.870302653362</v>
      </c>
      <c r="J264" s="166">
        <f t="shared" si="15"/>
        <v>77809.071812028618</v>
      </c>
    </row>
    <row r="265" spans="2:10" customFormat="1" x14ac:dyDescent="0.35">
      <c r="B265" s="100">
        <v>441</v>
      </c>
      <c r="C265" s="160" t="s">
        <v>265</v>
      </c>
      <c r="D265" s="191">
        <v>2.9176067844083101E-3</v>
      </c>
      <c r="E265" s="164">
        <f t="shared" si="15"/>
        <v>146784.79732358208</v>
      </c>
      <c r="F265" s="165">
        <f t="shared" si="15"/>
        <v>153833.73531471257</v>
      </c>
      <c r="G265" s="165">
        <f t="shared" si="15"/>
        <v>161040.22407220109</v>
      </c>
      <c r="H265" s="165">
        <f t="shared" si="15"/>
        <v>168092.07967011596</v>
      </c>
      <c r="I265" s="165">
        <f t="shared" si="15"/>
        <v>175403.60227184321</v>
      </c>
      <c r="J265" s="166">
        <f t="shared" si="15"/>
        <v>182365.01205944142</v>
      </c>
    </row>
    <row r="266" spans="2:10" customFormat="1" x14ac:dyDescent="0.35">
      <c r="B266" s="100">
        <v>279</v>
      </c>
      <c r="C266" s="160" t="s">
        <v>266</v>
      </c>
      <c r="D266" s="191">
        <v>4.2791566171321901E-4</v>
      </c>
      <c r="E266" s="164">
        <f t="shared" si="15"/>
        <v>21528.436940792049</v>
      </c>
      <c r="F266" s="165">
        <f t="shared" si="15"/>
        <v>22562.281179491187</v>
      </c>
      <c r="G266" s="165">
        <f t="shared" si="15"/>
        <v>23619.232863922836</v>
      </c>
      <c r="H266" s="165">
        <f t="shared" si="15"/>
        <v>24653.505018283686</v>
      </c>
      <c r="I266" s="165">
        <f t="shared" si="15"/>
        <v>25725.861666537014</v>
      </c>
      <c r="J266" s="166">
        <f t="shared" si="15"/>
        <v>26746.868435384753</v>
      </c>
    </row>
    <row r="267" spans="2:10" customFormat="1" x14ac:dyDescent="0.35">
      <c r="B267" s="100">
        <v>606</v>
      </c>
      <c r="C267" s="160" t="s">
        <v>267</v>
      </c>
      <c r="D267" s="191">
        <v>5.0960865167665103E-3</v>
      </c>
      <c r="E267" s="164">
        <f t="shared" ref="E267:J282" si="16">$D267*E$10</f>
        <v>256384.11265852314</v>
      </c>
      <c r="F267" s="165">
        <f t="shared" si="16"/>
        <v>268696.25768303103</v>
      </c>
      <c r="G267" s="165">
        <f t="shared" si="16"/>
        <v>281283.59137944429</v>
      </c>
      <c r="H267" s="165">
        <f t="shared" si="16"/>
        <v>293600.83249046898</v>
      </c>
      <c r="I267" s="165">
        <f t="shared" si="16"/>
        <v>306371.62530148582</v>
      </c>
      <c r="J267" s="166">
        <f t="shared" si="16"/>
        <v>318530.88773049071</v>
      </c>
    </row>
    <row r="268" spans="2:10" customFormat="1" x14ac:dyDescent="0.35">
      <c r="B268" s="100">
        <v>88</v>
      </c>
      <c r="C268" s="160" t="s">
        <v>268</v>
      </c>
      <c r="D268" s="191">
        <v>0</v>
      </c>
      <c r="E268" s="164">
        <f t="shared" si="16"/>
        <v>0</v>
      </c>
      <c r="F268" s="165">
        <f t="shared" si="16"/>
        <v>0</v>
      </c>
      <c r="G268" s="165">
        <f t="shared" si="16"/>
        <v>0</v>
      </c>
      <c r="H268" s="165">
        <f t="shared" si="16"/>
        <v>0</v>
      </c>
      <c r="I268" s="165">
        <f t="shared" si="16"/>
        <v>0</v>
      </c>
      <c r="J268" s="166">
        <f t="shared" si="16"/>
        <v>0</v>
      </c>
    </row>
    <row r="269" spans="2:10" customFormat="1" x14ac:dyDescent="0.35">
      <c r="B269" s="100">
        <v>1676</v>
      </c>
      <c r="C269" s="160" t="s">
        <v>269</v>
      </c>
      <c r="D269" s="191">
        <v>8.1692989963432698E-4</v>
      </c>
      <c r="E269" s="164">
        <f t="shared" si="16"/>
        <v>41099.743250602987</v>
      </c>
      <c r="F269" s="165">
        <f t="shared" si="16"/>
        <v>43073.445888119524</v>
      </c>
      <c r="G269" s="165">
        <f t="shared" si="16"/>
        <v>45091.262740216313</v>
      </c>
      <c r="H269" s="165">
        <f t="shared" si="16"/>
        <v>47065.782307632478</v>
      </c>
      <c r="I269" s="165">
        <f t="shared" si="16"/>
        <v>49113.008636116101</v>
      </c>
      <c r="J269" s="166">
        <f t="shared" si="16"/>
        <v>51062.203376643607</v>
      </c>
    </row>
    <row r="270" spans="2:10" customFormat="1" x14ac:dyDescent="0.35">
      <c r="B270" s="100">
        <v>518</v>
      </c>
      <c r="C270" s="160" t="s">
        <v>270</v>
      </c>
      <c r="D270" s="191">
        <v>4.1702326305142798E-2</v>
      </c>
      <c r="E270" s="164">
        <f t="shared" si="16"/>
        <v>2098044.0364117343</v>
      </c>
      <c r="F270" s="165">
        <f t="shared" si="16"/>
        <v>2198796.8567649592</v>
      </c>
      <c r="G270" s="165">
        <f t="shared" si="16"/>
        <v>2301801.6027386617</v>
      </c>
      <c r="H270" s="165">
        <f t="shared" si="16"/>
        <v>2402596.1254181922</v>
      </c>
      <c r="I270" s="165">
        <f t="shared" si="16"/>
        <v>2507102.15513888</v>
      </c>
      <c r="J270" s="166">
        <f t="shared" si="16"/>
        <v>2606603.9057029504</v>
      </c>
    </row>
    <row r="271" spans="2:10" customFormat="1" x14ac:dyDescent="0.35">
      <c r="B271" s="100">
        <v>796</v>
      </c>
      <c r="C271" s="160" t="s">
        <v>271</v>
      </c>
      <c r="D271" s="191">
        <v>1.10869057807516E-2</v>
      </c>
      <c r="E271" s="164">
        <f t="shared" si="16"/>
        <v>557782.229829613</v>
      </c>
      <c r="F271" s="165">
        <f t="shared" si="16"/>
        <v>584568.19419590884</v>
      </c>
      <c r="G271" s="165">
        <f t="shared" si="16"/>
        <v>611952.85147436534</v>
      </c>
      <c r="H271" s="165">
        <f t="shared" si="16"/>
        <v>638749.90274644189</v>
      </c>
      <c r="I271" s="165">
        <f t="shared" si="16"/>
        <v>666533.68863300548</v>
      </c>
      <c r="J271" s="166">
        <f t="shared" si="16"/>
        <v>692987.04582587874</v>
      </c>
    </row>
    <row r="272" spans="2:10" customFormat="1" x14ac:dyDescent="0.35">
      <c r="B272" s="100">
        <v>965</v>
      </c>
      <c r="C272" s="160" t="s">
        <v>272</v>
      </c>
      <c r="D272" s="191">
        <v>5.0571850929743999E-4</v>
      </c>
      <c r="E272" s="164">
        <f t="shared" si="16"/>
        <v>25442.698202754207</v>
      </c>
      <c r="F272" s="165">
        <f t="shared" si="16"/>
        <v>26664.51412121682</v>
      </c>
      <c r="G272" s="165">
        <f t="shared" si="16"/>
        <v>27913.638839181498</v>
      </c>
      <c r="H272" s="165">
        <f t="shared" si="16"/>
        <v>29135.96047615341</v>
      </c>
      <c r="I272" s="165">
        <f t="shared" si="16"/>
        <v>30403.291060452793</v>
      </c>
      <c r="J272" s="166">
        <f t="shared" si="16"/>
        <v>31609.935423636485</v>
      </c>
    </row>
    <row r="273" spans="2:10" customFormat="1" x14ac:dyDescent="0.35">
      <c r="B273" s="100">
        <v>1702</v>
      </c>
      <c r="C273" s="160" t="s">
        <v>273</v>
      </c>
      <c r="D273" s="191">
        <v>4.2791566171321901E-4</v>
      </c>
      <c r="E273" s="164">
        <f t="shared" si="16"/>
        <v>21528.436940792049</v>
      </c>
      <c r="F273" s="165">
        <f t="shared" si="16"/>
        <v>22562.281179491187</v>
      </c>
      <c r="G273" s="165">
        <f t="shared" si="16"/>
        <v>23619.232863922836</v>
      </c>
      <c r="H273" s="165">
        <f t="shared" si="16"/>
        <v>24653.505018283686</v>
      </c>
      <c r="I273" s="165">
        <f t="shared" si="16"/>
        <v>25725.861666537014</v>
      </c>
      <c r="J273" s="166">
        <f t="shared" si="16"/>
        <v>26746.868435384753</v>
      </c>
    </row>
    <row r="274" spans="2:10" customFormat="1" x14ac:dyDescent="0.35">
      <c r="B274" s="100">
        <v>845</v>
      </c>
      <c r="C274" s="160" t="s">
        <v>274</v>
      </c>
      <c r="D274" s="191">
        <v>1.1281412899712101E-3</v>
      </c>
      <c r="E274" s="164">
        <f t="shared" si="16"/>
        <v>56756.788298451575</v>
      </c>
      <c r="F274" s="165">
        <f t="shared" si="16"/>
        <v>59482.377655022021</v>
      </c>
      <c r="G274" s="165">
        <f t="shared" si="16"/>
        <v>62268.886641250909</v>
      </c>
      <c r="H274" s="165">
        <f t="shared" si="16"/>
        <v>64995.604139111325</v>
      </c>
      <c r="I274" s="165">
        <f t="shared" si="16"/>
        <v>67822.726211779183</v>
      </c>
      <c r="J274" s="166">
        <f t="shared" si="16"/>
        <v>70514.471329650478</v>
      </c>
    </row>
    <row r="275" spans="2:10" customFormat="1" x14ac:dyDescent="0.35">
      <c r="B275" s="100">
        <v>1883</v>
      </c>
      <c r="C275" s="160" t="s">
        <v>275</v>
      </c>
      <c r="D275" s="191">
        <v>8.7917217770170399E-3</v>
      </c>
      <c r="E275" s="164">
        <f t="shared" si="16"/>
        <v>442311.52260172728</v>
      </c>
      <c r="F275" s="165">
        <f t="shared" si="16"/>
        <v>463552.32241500047</v>
      </c>
      <c r="G275" s="165">
        <f t="shared" si="16"/>
        <v>485267.87520423252</v>
      </c>
      <c r="H275" s="165">
        <f t="shared" si="16"/>
        <v>506517.46673928271</v>
      </c>
      <c r="I275" s="165">
        <f t="shared" si="16"/>
        <v>528549.52151248744</v>
      </c>
      <c r="J275" s="166">
        <f t="shared" si="16"/>
        <v>549526.56967245007</v>
      </c>
    </row>
    <row r="276" spans="2:10" customFormat="1" x14ac:dyDescent="0.35">
      <c r="B276" s="100">
        <v>610</v>
      </c>
      <c r="C276" s="160" t="s">
        <v>276</v>
      </c>
      <c r="D276" s="191">
        <v>9.7253559480277004E-4</v>
      </c>
      <c r="E276" s="164">
        <f t="shared" si="16"/>
        <v>48928.265774527361</v>
      </c>
      <c r="F276" s="165">
        <f t="shared" si="16"/>
        <v>51277.911771570856</v>
      </c>
      <c r="G276" s="165">
        <f t="shared" si="16"/>
        <v>53680.074690733694</v>
      </c>
      <c r="H276" s="165">
        <f t="shared" si="16"/>
        <v>56030.693223371993</v>
      </c>
      <c r="I276" s="165">
        <f t="shared" si="16"/>
        <v>58467.867423947733</v>
      </c>
      <c r="J276" s="166">
        <f t="shared" si="16"/>
        <v>60788.337353147144</v>
      </c>
    </row>
    <row r="277" spans="2:10" customFormat="1" x14ac:dyDescent="0.35">
      <c r="B277" s="100">
        <v>1714</v>
      </c>
      <c r="C277" s="160" t="s">
        <v>277</v>
      </c>
      <c r="D277" s="191">
        <v>4.6681708550532999E-4</v>
      </c>
      <c r="E277" s="164">
        <f t="shared" si="16"/>
        <v>23485.56757177315</v>
      </c>
      <c r="F277" s="165">
        <f t="shared" si="16"/>
        <v>24613.397650354029</v>
      </c>
      <c r="G277" s="165">
        <f t="shared" si="16"/>
        <v>25766.435851552193</v>
      </c>
      <c r="H277" s="165">
        <f t="shared" si="16"/>
        <v>26894.732747218575</v>
      </c>
      <c r="I277" s="165">
        <f t="shared" si="16"/>
        <v>28064.576363494933</v>
      </c>
      <c r="J277" s="166">
        <f t="shared" si="16"/>
        <v>29178.401929510652</v>
      </c>
    </row>
    <row r="278" spans="2:10" customFormat="1" x14ac:dyDescent="0.35">
      <c r="B278" s="100">
        <v>90</v>
      </c>
      <c r="C278" s="160" t="s">
        <v>278</v>
      </c>
      <c r="D278" s="191">
        <v>4.7459737026375199E-3</v>
      </c>
      <c r="E278" s="164">
        <f t="shared" si="16"/>
        <v>238769.93697969362</v>
      </c>
      <c r="F278" s="165">
        <f t="shared" si="16"/>
        <v>250236.20944526588</v>
      </c>
      <c r="G278" s="165">
        <f t="shared" si="16"/>
        <v>261958.76449078054</v>
      </c>
      <c r="H278" s="165">
        <f t="shared" si="16"/>
        <v>273429.78293005546</v>
      </c>
      <c r="I278" s="165">
        <f t="shared" si="16"/>
        <v>285323.19302886503</v>
      </c>
      <c r="J278" s="166">
        <f t="shared" si="16"/>
        <v>296647.08628335816</v>
      </c>
    </row>
    <row r="279" spans="2:10" customFormat="1" x14ac:dyDescent="0.35">
      <c r="B279" s="100">
        <v>342</v>
      </c>
      <c r="C279" s="160" t="s">
        <v>279</v>
      </c>
      <c r="D279" s="191">
        <v>1.20594413755543E-3</v>
      </c>
      <c r="E279" s="164">
        <f t="shared" si="16"/>
        <v>60671.049560413681</v>
      </c>
      <c r="F279" s="165">
        <f t="shared" si="16"/>
        <v>63584.610596747603</v>
      </c>
      <c r="G279" s="165">
        <f t="shared" si="16"/>
        <v>66563.292616509512</v>
      </c>
      <c r="H279" s="165">
        <f t="shared" si="16"/>
        <v>69478.05959698098</v>
      </c>
      <c r="I279" s="165">
        <f t="shared" si="16"/>
        <v>72500.15560569489</v>
      </c>
      <c r="J279" s="166">
        <f t="shared" si="16"/>
        <v>75377.538317902145</v>
      </c>
    </row>
    <row r="280" spans="2:10" customFormat="1" x14ac:dyDescent="0.35">
      <c r="B280" s="100">
        <v>847</v>
      </c>
      <c r="C280" s="160" t="s">
        <v>280</v>
      </c>
      <c r="D280" s="191">
        <v>5.8352135688166196E-4</v>
      </c>
      <c r="E280" s="164">
        <f t="shared" si="16"/>
        <v>29356.959464716412</v>
      </c>
      <c r="F280" s="165">
        <f t="shared" si="16"/>
        <v>30766.747062942508</v>
      </c>
      <c r="G280" s="165">
        <f t="shared" si="16"/>
        <v>32208.044814440214</v>
      </c>
      <c r="H280" s="165">
        <f t="shared" si="16"/>
        <v>33618.415934023193</v>
      </c>
      <c r="I280" s="165">
        <f t="shared" si="16"/>
        <v>35080.720454368638</v>
      </c>
      <c r="J280" s="166">
        <f t="shared" si="16"/>
        <v>36473.002411888279</v>
      </c>
    </row>
    <row r="281" spans="2:10" customFormat="1" x14ac:dyDescent="0.35">
      <c r="B281" s="100">
        <v>848</v>
      </c>
      <c r="C281" s="160" t="s">
        <v>281</v>
      </c>
      <c r="D281" s="191">
        <v>3.5011281412899699E-4</v>
      </c>
      <c r="E281" s="164">
        <f t="shared" si="16"/>
        <v>17614.175678829837</v>
      </c>
      <c r="F281" s="165">
        <f t="shared" si="16"/>
        <v>18460.048237765495</v>
      </c>
      <c r="G281" s="165">
        <f t="shared" si="16"/>
        <v>19324.826888664116</v>
      </c>
      <c r="H281" s="165">
        <f t="shared" si="16"/>
        <v>20171.049560413903</v>
      </c>
      <c r="I281" s="165">
        <f t="shared" si="16"/>
        <v>21048.432272621169</v>
      </c>
      <c r="J281" s="166">
        <f t="shared" si="16"/>
        <v>21883.801447132955</v>
      </c>
    </row>
    <row r="282" spans="2:10" customFormat="1" x14ac:dyDescent="0.35">
      <c r="B282" s="100">
        <v>37</v>
      </c>
      <c r="C282" s="160" t="s">
        <v>282</v>
      </c>
      <c r="D282" s="191">
        <v>3.34552244612153E-3</v>
      </c>
      <c r="E282" s="164">
        <f t="shared" si="16"/>
        <v>168313.23426437419</v>
      </c>
      <c r="F282" s="165">
        <f t="shared" si="16"/>
        <v>176396.0164942038</v>
      </c>
      <c r="G282" s="165">
        <f t="shared" si="16"/>
        <v>184659.45693612396</v>
      </c>
      <c r="H282" s="165">
        <f t="shared" si="16"/>
        <v>192745.58468839971</v>
      </c>
      <c r="I282" s="165">
        <f t="shared" si="16"/>
        <v>201129.46393838027</v>
      </c>
      <c r="J282" s="166">
        <f t="shared" si="16"/>
        <v>209111.88049482624</v>
      </c>
    </row>
    <row r="283" spans="2:10" customFormat="1" x14ac:dyDescent="0.35">
      <c r="B283" s="100">
        <v>180</v>
      </c>
      <c r="C283" s="160" t="s">
        <v>283</v>
      </c>
      <c r="D283" s="191">
        <v>8.5583132342643704E-4</v>
      </c>
      <c r="E283" s="164">
        <f t="shared" ref="E283:J298" si="17">$D283*E$10</f>
        <v>43056.873881584048</v>
      </c>
      <c r="F283" s="165">
        <f t="shared" si="17"/>
        <v>45124.562358982323</v>
      </c>
      <c r="G283" s="165">
        <f t="shared" si="17"/>
        <v>47238.465727845622</v>
      </c>
      <c r="H283" s="165">
        <f t="shared" si="17"/>
        <v>49307.010036567321</v>
      </c>
      <c r="I283" s="165">
        <f t="shared" si="17"/>
        <v>51451.723333073969</v>
      </c>
      <c r="J283" s="166">
        <f t="shared" si="17"/>
        <v>53493.736870769448</v>
      </c>
    </row>
    <row r="284" spans="2:10" customFormat="1" x14ac:dyDescent="0.35">
      <c r="B284" s="100">
        <v>532</v>
      </c>
      <c r="C284" s="160" t="s">
        <v>284</v>
      </c>
      <c r="D284" s="191">
        <v>1.5949583754765401E-3</v>
      </c>
      <c r="E284" s="164">
        <f t="shared" si="17"/>
        <v>80242.355870224739</v>
      </c>
      <c r="F284" s="165">
        <f t="shared" si="17"/>
        <v>84095.775305376053</v>
      </c>
      <c r="G284" s="165">
        <f t="shared" si="17"/>
        <v>88035.322492803112</v>
      </c>
      <c r="H284" s="165">
        <f t="shared" si="17"/>
        <v>91890.336886329911</v>
      </c>
      <c r="I284" s="165">
        <f t="shared" si="17"/>
        <v>95887.302575274109</v>
      </c>
      <c r="J284" s="166">
        <f t="shared" si="17"/>
        <v>99692.873259161133</v>
      </c>
    </row>
    <row r="285" spans="2:10" customFormat="1" x14ac:dyDescent="0.35">
      <c r="B285" s="100">
        <v>851</v>
      </c>
      <c r="C285" s="160" t="s">
        <v>285</v>
      </c>
      <c r="D285" s="191">
        <v>1.01143701859488E-3</v>
      </c>
      <c r="E285" s="164">
        <f t="shared" si="17"/>
        <v>50885.396405508414</v>
      </c>
      <c r="F285" s="165">
        <f t="shared" si="17"/>
        <v>53329.02824243364</v>
      </c>
      <c r="G285" s="165">
        <f t="shared" si="17"/>
        <v>55827.277678362996</v>
      </c>
      <c r="H285" s="165">
        <f t="shared" si="17"/>
        <v>58271.92095230682</v>
      </c>
      <c r="I285" s="165">
        <f t="shared" si="17"/>
        <v>60806.582120905587</v>
      </c>
      <c r="J285" s="166">
        <f t="shared" si="17"/>
        <v>63219.87084727297</v>
      </c>
    </row>
    <row r="286" spans="2:10" customFormat="1" x14ac:dyDescent="0.35">
      <c r="B286" s="100">
        <v>1708</v>
      </c>
      <c r="C286" s="160" t="s">
        <v>286</v>
      </c>
      <c r="D286" s="191">
        <v>2.1784797323581998E-3</v>
      </c>
      <c r="E286" s="164">
        <f t="shared" si="17"/>
        <v>109599.31533494103</v>
      </c>
      <c r="F286" s="165">
        <f t="shared" si="17"/>
        <v>114862.52236831844</v>
      </c>
      <c r="G286" s="165">
        <f t="shared" si="17"/>
        <v>120243.3673072432</v>
      </c>
      <c r="H286" s="165">
        <f t="shared" si="17"/>
        <v>125508.75282035297</v>
      </c>
      <c r="I286" s="165">
        <f t="shared" si="17"/>
        <v>130968.02302964262</v>
      </c>
      <c r="J286" s="166">
        <f t="shared" si="17"/>
        <v>136165.87567104929</v>
      </c>
    </row>
    <row r="287" spans="2:10" customFormat="1" x14ac:dyDescent="0.35">
      <c r="B287" s="100">
        <v>971</v>
      </c>
      <c r="C287" s="160" t="s">
        <v>287</v>
      </c>
      <c r="D287" s="191">
        <v>1.32264840893177E-3</v>
      </c>
      <c r="E287" s="164">
        <f t="shared" si="17"/>
        <v>66542.441453357344</v>
      </c>
      <c r="F287" s="165">
        <f t="shared" si="17"/>
        <v>69737.960009336501</v>
      </c>
      <c r="G287" s="165">
        <f t="shared" si="17"/>
        <v>73004.901579397978</v>
      </c>
      <c r="H287" s="165">
        <f t="shared" si="17"/>
        <v>76201.74278378606</v>
      </c>
      <c r="I287" s="165">
        <f t="shared" si="17"/>
        <v>79516.299696569084</v>
      </c>
      <c r="J287" s="166">
        <f t="shared" si="17"/>
        <v>82672.138800280285</v>
      </c>
    </row>
    <row r="288" spans="2:10" customFormat="1" x14ac:dyDescent="0.35">
      <c r="B288" s="100">
        <v>1904</v>
      </c>
      <c r="C288" s="160" t="s">
        <v>288</v>
      </c>
      <c r="D288" s="191">
        <v>2.2173811561503201E-3</v>
      </c>
      <c r="E288" s="164">
        <f t="shared" si="17"/>
        <v>111556.44596592261</v>
      </c>
      <c r="F288" s="165">
        <f t="shared" si="17"/>
        <v>116913.63883918177</v>
      </c>
      <c r="G288" s="165">
        <f t="shared" si="17"/>
        <v>122390.57029487308</v>
      </c>
      <c r="H288" s="165">
        <f t="shared" si="17"/>
        <v>127749.98054928839</v>
      </c>
      <c r="I288" s="165">
        <f t="shared" si="17"/>
        <v>133306.7377266011</v>
      </c>
      <c r="J288" s="166">
        <f t="shared" si="17"/>
        <v>138597.40916517575</v>
      </c>
    </row>
    <row r="289" spans="2:10" customFormat="1" x14ac:dyDescent="0.35">
      <c r="B289" s="100">
        <v>1900</v>
      </c>
      <c r="C289" s="160" t="s">
        <v>289</v>
      </c>
      <c r="D289" s="191">
        <v>3.8512409554189702E-3</v>
      </c>
      <c r="E289" s="164">
        <f t="shared" si="17"/>
        <v>193755.93246712838</v>
      </c>
      <c r="F289" s="165">
        <f t="shared" si="17"/>
        <v>203060.53061542063</v>
      </c>
      <c r="G289" s="165">
        <f t="shared" si="17"/>
        <v>212573.09577530547</v>
      </c>
      <c r="H289" s="165">
        <f t="shared" si="17"/>
        <v>221881.54516455313</v>
      </c>
      <c r="I289" s="165">
        <f t="shared" si="17"/>
        <v>231532.75499883306</v>
      </c>
      <c r="J289" s="166">
        <f t="shared" si="17"/>
        <v>240721.81591846273</v>
      </c>
    </row>
    <row r="290" spans="2:10" customFormat="1" x14ac:dyDescent="0.35">
      <c r="B290" s="100">
        <v>715</v>
      </c>
      <c r="C290" s="160" t="s">
        <v>290</v>
      </c>
      <c r="D290" s="191">
        <v>1.6338597992686501E-3</v>
      </c>
      <c r="E290" s="164">
        <f t="shared" si="17"/>
        <v>82199.486501205785</v>
      </c>
      <c r="F290" s="165">
        <f t="shared" si="17"/>
        <v>86146.891776238845</v>
      </c>
      <c r="G290" s="165">
        <f t="shared" si="17"/>
        <v>90182.525480432407</v>
      </c>
      <c r="H290" s="165">
        <f t="shared" si="17"/>
        <v>94131.564615264739</v>
      </c>
      <c r="I290" s="165">
        <f t="shared" si="17"/>
        <v>98226.017272231969</v>
      </c>
      <c r="J290" s="166">
        <f t="shared" si="17"/>
        <v>102124.40675328697</v>
      </c>
    </row>
    <row r="291" spans="2:10" customFormat="1" x14ac:dyDescent="0.35">
      <c r="B291" s="100">
        <v>93</v>
      </c>
      <c r="C291" s="160" t="s">
        <v>291</v>
      </c>
      <c r="D291" s="191">
        <v>7.7802847584221597E-5</v>
      </c>
      <c r="E291" s="164">
        <f t="shared" si="17"/>
        <v>3914.2612619621887</v>
      </c>
      <c r="F291" s="165">
        <f t="shared" si="17"/>
        <v>4102.2329417256678</v>
      </c>
      <c r="G291" s="165">
        <f t="shared" si="17"/>
        <v>4294.4059752586954</v>
      </c>
      <c r="H291" s="165">
        <f t="shared" si="17"/>
        <v>4482.4554578697589</v>
      </c>
      <c r="I291" s="165">
        <f t="shared" si="17"/>
        <v>4677.4293939158179</v>
      </c>
      <c r="J291" s="166">
        <f t="shared" si="17"/>
        <v>4863.0669882517714</v>
      </c>
    </row>
    <row r="292" spans="2:10" customFormat="1" x14ac:dyDescent="0.35">
      <c r="B292" s="100">
        <v>448</v>
      </c>
      <c r="C292" s="160" t="s">
        <v>292</v>
      </c>
      <c r="D292" s="191">
        <v>8.1692989963432698E-4</v>
      </c>
      <c r="E292" s="164">
        <f t="shared" si="17"/>
        <v>41099.743250602987</v>
      </c>
      <c r="F292" s="165">
        <f t="shared" si="17"/>
        <v>43073.445888119524</v>
      </c>
      <c r="G292" s="165">
        <f t="shared" si="17"/>
        <v>45091.262740216313</v>
      </c>
      <c r="H292" s="165">
        <f t="shared" si="17"/>
        <v>47065.782307632478</v>
      </c>
      <c r="I292" s="165">
        <f t="shared" si="17"/>
        <v>49113.008636116101</v>
      </c>
      <c r="J292" s="166">
        <f t="shared" si="17"/>
        <v>51062.203376643607</v>
      </c>
    </row>
    <row r="293" spans="2:10" customFormat="1" x14ac:dyDescent="0.35">
      <c r="B293" s="100">
        <v>1525</v>
      </c>
      <c r="C293" s="160" t="s">
        <v>293</v>
      </c>
      <c r="D293" s="191">
        <v>1.82836691822921E-3</v>
      </c>
      <c r="E293" s="164">
        <f t="shared" si="17"/>
        <v>91985.139656111554</v>
      </c>
      <c r="F293" s="165">
        <f t="shared" si="17"/>
        <v>96402.474130553324</v>
      </c>
      <c r="G293" s="165">
        <f t="shared" si="17"/>
        <v>100918.54041857948</v>
      </c>
      <c r="H293" s="165">
        <f t="shared" si="17"/>
        <v>105337.70325993947</v>
      </c>
      <c r="I293" s="165">
        <f t="shared" si="17"/>
        <v>109919.59075702187</v>
      </c>
      <c r="J293" s="166">
        <f t="shared" si="17"/>
        <v>114282.07422391677</v>
      </c>
    </row>
    <row r="294" spans="2:10" customFormat="1" x14ac:dyDescent="0.35">
      <c r="B294" s="100">
        <v>716</v>
      </c>
      <c r="C294" s="160" t="s">
        <v>294</v>
      </c>
      <c r="D294" s="191">
        <v>8.1692989963432698E-4</v>
      </c>
      <c r="E294" s="164">
        <f t="shared" si="17"/>
        <v>41099.743250602987</v>
      </c>
      <c r="F294" s="165">
        <f t="shared" si="17"/>
        <v>43073.445888119524</v>
      </c>
      <c r="G294" s="165">
        <f t="shared" si="17"/>
        <v>45091.262740216313</v>
      </c>
      <c r="H294" s="165">
        <f t="shared" si="17"/>
        <v>47065.782307632478</v>
      </c>
      <c r="I294" s="165">
        <f t="shared" si="17"/>
        <v>49113.008636116101</v>
      </c>
      <c r="J294" s="166">
        <f t="shared" si="17"/>
        <v>51062.203376643607</v>
      </c>
    </row>
    <row r="295" spans="2:10" customFormat="1" x14ac:dyDescent="0.35">
      <c r="B295" s="100">
        <v>281</v>
      </c>
      <c r="C295" s="160" t="s">
        <v>295</v>
      </c>
      <c r="D295" s="191">
        <v>2.99540963199253E-3</v>
      </c>
      <c r="E295" s="164">
        <f t="shared" si="17"/>
        <v>150699.05858554418</v>
      </c>
      <c r="F295" s="165">
        <f t="shared" si="17"/>
        <v>157935.96825643815</v>
      </c>
      <c r="G295" s="165">
        <f t="shared" si="17"/>
        <v>165334.63004745968</v>
      </c>
      <c r="H295" s="165">
        <f t="shared" si="17"/>
        <v>172574.53512798564</v>
      </c>
      <c r="I295" s="165">
        <f t="shared" si="17"/>
        <v>180081.0316657589</v>
      </c>
      <c r="J295" s="166">
        <f t="shared" si="17"/>
        <v>187228.07904769309</v>
      </c>
    </row>
    <row r="296" spans="2:10" customFormat="1" x14ac:dyDescent="0.35">
      <c r="B296" s="100">
        <v>855</v>
      </c>
      <c r="C296" s="160" t="s">
        <v>296</v>
      </c>
      <c r="D296" s="191">
        <v>8.0914961487590399E-3</v>
      </c>
      <c r="E296" s="164">
        <f t="shared" si="17"/>
        <v>407083.17124406731</v>
      </c>
      <c r="F296" s="165">
        <f t="shared" si="17"/>
        <v>426632.22593946912</v>
      </c>
      <c r="G296" s="165">
        <f t="shared" si="17"/>
        <v>446618.22142690397</v>
      </c>
      <c r="H296" s="165">
        <f t="shared" si="17"/>
        <v>466175.36761845456</v>
      </c>
      <c r="I296" s="165">
        <f t="shared" si="17"/>
        <v>486452.65696724469</v>
      </c>
      <c r="J296" s="166">
        <f t="shared" si="17"/>
        <v>505758.96677818376</v>
      </c>
    </row>
    <row r="297" spans="2:10" customFormat="1" x14ac:dyDescent="0.35">
      <c r="B297" s="100">
        <v>183</v>
      </c>
      <c r="C297" s="160" t="s">
        <v>297</v>
      </c>
      <c r="D297" s="191">
        <v>4.2791566171321901E-4</v>
      </c>
      <c r="E297" s="164">
        <f t="shared" si="17"/>
        <v>21528.436940792049</v>
      </c>
      <c r="F297" s="165">
        <f t="shared" si="17"/>
        <v>22562.281179491187</v>
      </c>
      <c r="G297" s="165">
        <f t="shared" si="17"/>
        <v>23619.232863922836</v>
      </c>
      <c r="H297" s="165">
        <f t="shared" si="17"/>
        <v>24653.505018283686</v>
      </c>
      <c r="I297" s="165">
        <f t="shared" si="17"/>
        <v>25725.861666537014</v>
      </c>
      <c r="J297" s="166">
        <f t="shared" si="17"/>
        <v>26746.868435384753</v>
      </c>
    </row>
    <row r="298" spans="2:10" customFormat="1" x14ac:dyDescent="0.35">
      <c r="B298" s="100">
        <v>1700</v>
      </c>
      <c r="C298" s="160" t="s">
        <v>298</v>
      </c>
      <c r="D298" s="191">
        <v>1.7505640706449901E-3</v>
      </c>
      <c r="E298" s="164">
        <f t="shared" si="17"/>
        <v>88070.878394149448</v>
      </c>
      <c r="F298" s="165">
        <f t="shared" si="17"/>
        <v>92300.241188827742</v>
      </c>
      <c r="G298" s="165">
        <f t="shared" si="17"/>
        <v>96624.134443320872</v>
      </c>
      <c r="H298" s="165">
        <f t="shared" si="17"/>
        <v>100855.24780206982</v>
      </c>
      <c r="I298" s="165">
        <f t="shared" si="17"/>
        <v>105242.16136310616</v>
      </c>
      <c r="J298" s="166">
        <f t="shared" si="17"/>
        <v>109419.00723566511</v>
      </c>
    </row>
    <row r="299" spans="2:10" customFormat="1" x14ac:dyDescent="0.35">
      <c r="B299" s="100">
        <v>1730</v>
      </c>
      <c r="C299" s="160" t="s">
        <v>299</v>
      </c>
      <c r="D299" s="191">
        <v>1.7116626468528799E-3</v>
      </c>
      <c r="E299" s="164">
        <f t="shared" ref="E299:J314" si="18">$D299*E$10</f>
        <v>86113.747763168387</v>
      </c>
      <c r="F299" s="165">
        <f t="shared" si="18"/>
        <v>90249.124717964951</v>
      </c>
      <c r="G299" s="165">
        <f t="shared" si="18"/>
        <v>94476.931455691563</v>
      </c>
      <c r="H299" s="165">
        <f t="shared" si="18"/>
        <v>98614.020073134976</v>
      </c>
      <c r="I299" s="165">
        <f t="shared" si="18"/>
        <v>102903.44666614829</v>
      </c>
      <c r="J299" s="166">
        <f t="shared" si="18"/>
        <v>106987.47374153926</v>
      </c>
    </row>
    <row r="300" spans="2:10" customFormat="1" x14ac:dyDescent="0.35">
      <c r="B300" s="100">
        <v>737</v>
      </c>
      <c r="C300" s="160" t="s">
        <v>300</v>
      </c>
      <c r="D300" s="191">
        <v>1.4004512565159899E-3</v>
      </c>
      <c r="E300" s="164">
        <f t="shared" si="18"/>
        <v>70456.70271531945</v>
      </c>
      <c r="F300" s="165">
        <f t="shared" si="18"/>
        <v>73840.192951062083</v>
      </c>
      <c r="G300" s="165">
        <f t="shared" si="18"/>
        <v>77299.307554656581</v>
      </c>
      <c r="H300" s="165">
        <f t="shared" si="18"/>
        <v>80684.198241655729</v>
      </c>
      <c r="I300" s="165">
        <f t="shared" si="18"/>
        <v>84193.729090484791</v>
      </c>
      <c r="J300" s="166">
        <f t="shared" si="18"/>
        <v>87535.205788531952</v>
      </c>
    </row>
    <row r="301" spans="2:10" customFormat="1" x14ac:dyDescent="0.35">
      <c r="B301" s="100">
        <v>856</v>
      </c>
      <c r="C301" s="160" t="s">
        <v>301</v>
      </c>
      <c r="D301" s="191">
        <v>2.29518400373454E-3</v>
      </c>
      <c r="E301" s="164">
        <f t="shared" si="18"/>
        <v>115470.7072278847</v>
      </c>
      <c r="F301" s="165">
        <f t="shared" si="18"/>
        <v>121015.87178090736</v>
      </c>
      <c r="G301" s="165">
        <f t="shared" si="18"/>
        <v>126684.97627013168</v>
      </c>
      <c r="H301" s="165">
        <f t="shared" si="18"/>
        <v>132232.43600715804</v>
      </c>
      <c r="I301" s="165">
        <f t="shared" si="18"/>
        <v>137984.16712051682</v>
      </c>
      <c r="J301" s="166">
        <f t="shared" si="18"/>
        <v>143460.47615342741</v>
      </c>
    </row>
    <row r="302" spans="2:10" customFormat="1" x14ac:dyDescent="0.35">
      <c r="B302" s="100">
        <v>450</v>
      </c>
      <c r="C302" s="160" t="s">
        <v>302</v>
      </c>
      <c r="D302" s="191">
        <v>8.1692989963432698E-4</v>
      </c>
      <c r="E302" s="164">
        <f t="shared" si="18"/>
        <v>41099.743250602987</v>
      </c>
      <c r="F302" s="165">
        <f t="shared" si="18"/>
        <v>43073.445888119524</v>
      </c>
      <c r="G302" s="165">
        <f t="shared" si="18"/>
        <v>45091.262740216313</v>
      </c>
      <c r="H302" s="165">
        <f t="shared" si="18"/>
        <v>47065.782307632478</v>
      </c>
      <c r="I302" s="165">
        <f t="shared" si="18"/>
        <v>49113.008636116101</v>
      </c>
      <c r="J302" s="166">
        <f t="shared" si="18"/>
        <v>51062.203376643607</v>
      </c>
    </row>
    <row r="303" spans="2:10" customFormat="1" x14ac:dyDescent="0.35">
      <c r="B303" s="100">
        <v>451</v>
      </c>
      <c r="C303" s="160" t="s">
        <v>303</v>
      </c>
      <c r="D303" s="191">
        <v>1.2837469851396601E-3</v>
      </c>
      <c r="E303" s="164">
        <f t="shared" si="18"/>
        <v>64585.310822376297</v>
      </c>
      <c r="F303" s="165">
        <f t="shared" si="18"/>
        <v>67686.843538473709</v>
      </c>
      <c r="G303" s="165">
        <f t="shared" si="18"/>
        <v>70857.698591768683</v>
      </c>
      <c r="H303" s="165">
        <f t="shared" si="18"/>
        <v>73960.515054851232</v>
      </c>
      <c r="I303" s="165">
        <f t="shared" si="18"/>
        <v>77177.584999611223</v>
      </c>
      <c r="J303" s="166">
        <f t="shared" si="18"/>
        <v>80240.605306154452</v>
      </c>
    </row>
    <row r="304" spans="2:10" customFormat="1" x14ac:dyDescent="0.35">
      <c r="B304" s="100">
        <v>184</v>
      </c>
      <c r="C304" s="160" t="s">
        <v>304</v>
      </c>
      <c r="D304" s="191">
        <v>6.2242278067377299E-4</v>
      </c>
      <c r="E304" s="164">
        <f t="shared" si="18"/>
        <v>31314.09009569752</v>
      </c>
      <c r="F304" s="165">
        <f t="shared" si="18"/>
        <v>32817.863533805357</v>
      </c>
      <c r="G304" s="165">
        <f t="shared" si="18"/>
        <v>34355.247802069571</v>
      </c>
      <c r="H304" s="165">
        <f t="shared" si="18"/>
        <v>35859.643662958086</v>
      </c>
      <c r="I304" s="165">
        <f t="shared" si="18"/>
        <v>37419.435151326557</v>
      </c>
      <c r="J304" s="166">
        <f t="shared" si="18"/>
        <v>38904.535906014178</v>
      </c>
    </row>
    <row r="305" spans="2:10" customFormat="1" x14ac:dyDescent="0.35">
      <c r="B305" s="100">
        <v>344</v>
      </c>
      <c r="C305" s="160" t="s">
        <v>305</v>
      </c>
      <c r="D305" s="191">
        <v>1.69221193495682E-2</v>
      </c>
      <c r="E305" s="164">
        <f t="shared" si="18"/>
        <v>851351.82447677618</v>
      </c>
      <c r="F305" s="165">
        <f t="shared" si="18"/>
        <v>892235.66482533293</v>
      </c>
      <c r="G305" s="165">
        <f t="shared" si="18"/>
        <v>934033.29961876641</v>
      </c>
      <c r="H305" s="165">
        <f t="shared" si="18"/>
        <v>974934.06208667275</v>
      </c>
      <c r="I305" s="165">
        <f t="shared" si="18"/>
        <v>1017340.8931766907</v>
      </c>
      <c r="J305" s="166">
        <f t="shared" si="18"/>
        <v>1057717.0699447603</v>
      </c>
    </row>
    <row r="306" spans="2:10" customFormat="1" x14ac:dyDescent="0.35">
      <c r="B306" s="100">
        <v>1581</v>
      </c>
      <c r="C306" s="160" t="s">
        <v>306</v>
      </c>
      <c r="D306" s="191">
        <v>1.5949583754765401E-3</v>
      </c>
      <c r="E306" s="164">
        <f t="shared" si="18"/>
        <v>80242.355870224739</v>
      </c>
      <c r="F306" s="165">
        <f t="shared" si="18"/>
        <v>84095.775305376053</v>
      </c>
      <c r="G306" s="165">
        <f t="shared" si="18"/>
        <v>88035.322492803112</v>
      </c>
      <c r="H306" s="165">
        <f t="shared" si="18"/>
        <v>91890.336886329911</v>
      </c>
      <c r="I306" s="165">
        <f t="shared" si="18"/>
        <v>95887.302575274109</v>
      </c>
      <c r="J306" s="166">
        <f t="shared" si="18"/>
        <v>99692.873259161133</v>
      </c>
    </row>
    <row r="307" spans="2:10" customFormat="1" x14ac:dyDescent="0.35">
      <c r="B307" s="100">
        <v>981</v>
      </c>
      <c r="C307" s="160" t="s">
        <v>307</v>
      </c>
      <c r="D307" s="191">
        <v>3.8901423792110803E-4</v>
      </c>
      <c r="E307" s="164">
        <f t="shared" si="18"/>
        <v>19571.306309810945</v>
      </c>
      <c r="F307" s="165">
        <f t="shared" si="18"/>
        <v>20511.164708628341</v>
      </c>
      <c r="G307" s="165">
        <f t="shared" si="18"/>
        <v>21472.02987629348</v>
      </c>
      <c r="H307" s="165">
        <f t="shared" si="18"/>
        <v>22412.277289348796</v>
      </c>
      <c r="I307" s="165">
        <f t="shared" si="18"/>
        <v>23387.146969579095</v>
      </c>
      <c r="J307" s="166">
        <f t="shared" si="18"/>
        <v>24315.334941258858</v>
      </c>
    </row>
    <row r="308" spans="2:10" customFormat="1" x14ac:dyDescent="0.35">
      <c r="B308" s="100">
        <v>994</v>
      </c>
      <c r="C308" s="160" t="s">
        <v>308</v>
      </c>
      <c r="D308" s="191">
        <v>1.1281412899712101E-3</v>
      </c>
      <c r="E308" s="164">
        <f t="shared" si="18"/>
        <v>56756.788298451575</v>
      </c>
      <c r="F308" s="165">
        <f t="shared" si="18"/>
        <v>59482.377655022021</v>
      </c>
      <c r="G308" s="165">
        <f t="shared" si="18"/>
        <v>62268.886641250909</v>
      </c>
      <c r="H308" s="165">
        <f t="shared" si="18"/>
        <v>64995.604139111325</v>
      </c>
      <c r="I308" s="165">
        <f t="shared" si="18"/>
        <v>67822.726211779183</v>
      </c>
      <c r="J308" s="166">
        <f t="shared" si="18"/>
        <v>70514.471329650478</v>
      </c>
    </row>
    <row r="309" spans="2:10" customFormat="1" x14ac:dyDescent="0.35">
      <c r="B309" s="100">
        <v>858</v>
      </c>
      <c r="C309" s="160" t="s">
        <v>309</v>
      </c>
      <c r="D309" s="191">
        <v>4.6681708550532999E-4</v>
      </c>
      <c r="E309" s="164">
        <f t="shared" si="18"/>
        <v>23485.56757177315</v>
      </c>
      <c r="F309" s="165">
        <f t="shared" si="18"/>
        <v>24613.397650354029</v>
      </c>
      <c r="G309" s="165">
        <f t="shared" si="18"/>
        <v>25766.435851552193</v>
      </c>
      <c r="H309" s="165">
        <f t="shared" si="18"/>
        <v>26894.732747218575</v>
      </c>
      <c r="I309" s="165">
        <f t="shared" si="18"/>
        <v>28064.576363494933</v>
      </c>
      <c r="J309" s="166">
        <f t="shared" si="18"/>
        <v>29178.401929510652</v>
      </c>
    </row>
    <row r="310" spans="2:10" customFormat="1" x14ac:dyDescent="0.35">
      <c r="B310" s="100">
        <v>47</v>
      </c>
      <c r="C310" s="160" t="s">
        <v>310</v>
      </c>
      <c r="D310" s="191">
        <v>2.33408542752665E-3</v>
      </c>
      <c r="E310" s="164">
        <f t="shared" si="18"/>
        <v>117427.83785886577</v>
      </c>
      <c r="F310" s="165">
        <f t="shared" si="18"/>
        <v>123066.98825177015</v>
      </c>
      <c r="G310" s="165">
        <f t="shared" si="18"/>
        <v>128832.17925776097</v>
      </c>
      <c r="H310" s="165">
        <f t="shared" si="18"/>
        <v>134473.66373609289</v>
      </c>
      <c r="I310" s="165">
        <f t="shared" si="18"/>
        <v>140322.88181747467</v>
      </c>
      <c r="J310" s="166">
        <f t="shared" si="18"/>
        <v>145892.00964755326</v>
      </c>
    </row>
    <row r="311" spans="2:10" customFormat="1" x14ac:dyDescent="0.35">
      <c r="B311" s="100">
        <v>345</v>
      </c>
      <c r="C311" s="160" t="s">
        <v>311</v>
      </c>
      <c r="D311" s="191">
        <v>4.3180580409243E-3</v>
      </c>
      <c r="E311" s="164">
        <f t="shared" si="18"/>
        <v>217241.50003890155</v>
      </c>
      <c r="F311" s="165">
        <f t="shared" si="18"/>
        <v>227673.92826577465</v>
      </c>
      <c r="G311" s="165">
        <f t="shared" si="18"/>
        <v>238339.53162685767</v>
      </c>
      <c r="H311" s="165">
        <f t="shared" si="18"/>
        <v>248776.2779117717</v>
      </c>
      <c r="I311" s="165">
        <f t="shared" si="18"/>
        <v>259597.331362328</v>
      </c>
      <c r="J311" s="166">
        <f t="shared" si="18"/>
        <v>269900.2178479734</v>
      </c>
    </row>
    <row r="312" spans="2:10" customFormat="1" x14ac:dyDescent="0.35">
      <c r="B312" s="100">
        <v>717</v>
      </c>
      <c r="C312" s="160" t="s">
        <v>312</v>
      </c>
      <c r="D312" s="191">
        <v>3.8901423792110803E-4</v>
      </c>
      <c r="E312" s="164">
        <f t="shared" si="18"/>
        <v>19571.306309810945</v>
      </c>
      <c r="F312" s="165">
        <f t="shared" si="18"/>
        <v>20511.164708628341</v>
      </c>
      <c r="G312" s="165">
        <f t="shared" si="18"/>
        <v>21472.02987629348</v>
      </c>
      <c r="H312" s="165">
        <f t="shared" si="18"/>
        <v>22412.277289348796</v>
      </c>
      <c r="I312" s="165">
        <f t="shared" si="18"/>
        <v>23387.146969579095</v>
      </c>
      <c r="J312" s="166">
        <f t="shared" si="18"/>
        <v>24315.334941258858</v>
      </c>
    </row>
    <row r="313" spans="2:10" customFormat="1" x14ac:dyDescent="0.35">
      <c r="B313" s="100">
        <v>861</v>
      </c>
      <c r="C313" s="160" t="s">
        <v>313</v>
      </c>
      <c r="D313" s="191">
        <v>1.20594413755543E-3</v>
      </c>
      <c r="E313" s="164">
        <f t="shared" si="18"/>
        <v>60671.049560413681</v>
      </c>
      <c r="F313" s="165">
        <f t="shared" si="18"/>
        <v>63584.610596747603</v>
      </c>
      <c r="G313" s="165">
        <f t="shared" si="18"/>
        <v>66563.292616509512</v>
      </c>
      <c r="H313" s="165">
        <f t="shared" si="18"/>
        <v>69478.05959698098</v>
      </c>
      <c r="I313" s="165">
        <f t="shared" si="18"/>
        <v>72500.15560569489</v>
      </c>
      <c r="J313" s="166">
        <f t="shared" si="18"/>
        <v>75377.538317902145</v>
      </c>
    </row>
    <row r="314" spans="2:10" customFormat="1" x14ac:dyDescent="0.35">
      <c r="B314" s="100">
        <v>453</v>
      </c>
      <c r="C314" s="160" t="s">
        <v>314</v>
      </c>
      <c r="D314" s="191">
        <v>5.1738893643507302E-3</v>
      </c>
      <c r="E314" s="164">
        <f t="shared" si="18"/>
        <v>260298.37392048523</v>
      </c>
      <c r="F314" s="165">
        <f t="shared" si="18"/>
        <v>272798.49062475661</v>
      </c>
      <c r="G314" s="165">
        <f t="shared" si="18"/>
        <v>285577.99735470291</v>
      </c>
      <c r="H314" s="165">
        <f t="shared" si="18"/>
        <v>298083.28794833861</v>
      </c>
      <c r="I314" s="165">
        <f t="shared" si="18"/>
        <v>311049.05469540157</v>
      </c>
      <c r="J314" s="166">
        <f t="shared" si="18"/>
        <v>323393.9547187424</v>
      </c>
    </row>
    <row r="315" spans="2:10" customFormat="1" x14ac:dyDescent="0.35">
      <c r="B315" s="100">
        <v>983</v>
      </c>
      <c r="C315" s="160" t="s">
        <v>315</v>
      </c>
      <c r="D315" s="191">
        <v>5.0182836691822904E-3</v>
      </c>
      <c r="E315" s="164">
        <f t="shared" ref="E315:J330" si="19">$D315*E$10</f>
        <v>252469.85139656102</v>
      </c>
      <c r="F315" s="165">
        <f t="shared" si="19"/>
        <v>264594.02474130545</v>
      </c>
      <c r="G315" s="165">
        <f t="shared" si="19"/>
        <v>276989.18540418573</v>
      </c>
      <c r="H315" s="165">
        <f t="shared" si="19"/>
        <v>289118.3770325993</v>
      </c>
      <c r="I315" s="165">
        <f t="shared" si="19"/>
        <v>301694.19590757013</v>
      </c>
      <c r="J315" s="166">
        <f t="shared" si="19"/>
        <v>313667.82074223907</v>
      </c>
    </row>
    <row r="316" spans="2:10" customFormat="1" x14ac:dyDescent="0.35">
      <c r="B316" s="100">
        <v>984</v>
      </c>
      <c r="C316" s="160" t="s">
        <v>316</v>
      </c>
      <c r="D316" s="191">
        <v>2.1006768847739799E-3</v>
      </c>
      <c r="E316" s="164">
        <f t="shared" si="19"/>
        <v>105685.05407297892</v>
      </c>
      <c r="F316" s="165">
        <f t="shared" si="19"/>
        <v>110760.28942659286</v>
      </c>
      <c r="G316" s="165">
        <f t="shared" si="19"/>
        <v>115948.9613319846</v>
      </c>
      <c r="H316" s="165">
        <f t="shared" si="19"/>
        <v>121026.2973624833</v>
      </c>
      <c r="I316" s="165">
        <f t="shared" si="19"/>
        <v>126290.59363572689</v>
      </c>
      <c r="J316" s="166">
        <f t="shared" si="19"/>
        <v>131302.80868279762</v>
      </c>
    </row>
    <row r="317" spans="2:10" customFormat="1" x14ac:dyDescent="0.35">
      <c r="B317" s="100">
        <v>1961</v>
      </c>
      <c r="C317" s="160" t="s">
        <v>317</v>
      </c>
      <c r="D317" s="191">
        <v>2.1784797323581998E-3</v>
      </c>
      <c r="E317" s="164">
        <f t="shared" si="19"/>
        <v>109599.31533494103</v>
      </c>
      <c r="F317" s="165">
        <f t="shared" si="19"/>
        <v>114862.52236831844</v>
      </c>
      <c r="G317" s="165">
        <f t="shared" si="19"/>
        <v>120243.3673072432</v>
      </c>
      <c r="H317" s="165">
        <f t="shared" si="19"/>
        <v>125508.75282035297</v>
      </c>
      <c r="I317" s="165">
        <f t="shared" si="19"/>
        <v>130968.02302964262</v>
      </c>
      <c r="J317" s="166">
        <f t="shared" si="19"/>
        <v>136165.87567104929</v>
      </c>
    </row>
    <row r="318" spans="2:10" customFormat="1" x14ac:dyDescent="0.35">
      <c r="B318" s="100">
        <v>622</v>
      </c>
      <c r="C318" s="160" t="s">
        <v>318</v>
      </c>
      <c r="D318" s="191">
        <v>4.9404808215980697E-3</v>
      </c>
      <c r="E318" s="164">
        <f t="shared" si="19"/>
        <v>248555.5901345989</v>
      </c>
      <c r="F318" s="165">
        <f t="shared" si="19"/>
        <v>260491.79179957983</v>
      </c>
      <c r="G318" s="165">
        <f t="shared" si="19"/>
        <v>272694.77942892705</v>
      </c>
      <c r="H318" s="165">
        <f t="shared" si="19"/>
        <v>284635.92157472961</v>
      </c>
      <c r="I318" s="165">
        <f t="shared" si="19"/>
        <v>297016.76651365432</v>
      </c>
      <c r="J318" s="166">
        <f t="shared" si="19"/>
        <v>308804.75375398732</v>
      </c>
    </row>
    <row r="319" spans="2:10" customFormat="1" x14ac:dyDescent="0.35">
      <c r="B319" s="100">
        <v>96</v>
      </c>
      <c r="C319" s="160" t="s">
        <v>319</v>
      </c>
      <c r="D319" s="191">
        <v>0</v>
      </c>
      <c r="E319" s="164">
        <f t="shared" si="19"/>
        <v>0</v>
      </c>
      <c r="F319" s="165">
        <f t="shared" si="19"/>
        <v>0</v>
      </c>
      <c r="G319" s="165">
        <f t="shared" si="19"/>
        <v>0</v>
      </c>
      <c r="H319" s="165">
        <f t="shared" si="19"/>
        <v>0</v>
      </c>
      <c r="I319" s="165">
        <f t="shared" si="19"/>
        <v>0</v>
      </c>
      <c r="J319" s="166">
        <f t="shared" si="19"/>
        <v>0</v>
      </c>
    </row>
    <row r="320" spans="2:10" customFormat="1" x14ac:dyDescent="0.35">
      <c r="B320" s="100">
        <v>718</v>
      </c>
      <c r="C320" s="160" t="s">
        <v>320</v>
      </c>
      <c r="D320" s="191">
        <v>1.5560569516844299E-3</v>
      </c>
      <c r="E320" s="164">
        <f t="shared" si="19"/>
        <v>78285.225239243664</v>
      </c>
      <c r="F320" s="165">
        <f t="shared" si="19"/>
        <v>82044.658834513248</v>
      </c>
      <c r="G320" s="165">
        <f t="shared" si="19"/>
        <v>85888.119505173789</v>
      </c>
      <c r="H320" s="165">
        <f t="shared" si="19"/>
        <v>89649.109157395069</v>
      </c>
      <c r="I320" s="165">
        <f t="shared" si="19"/>
        <v>93548.587878316248</v>
      </c>
      <c r="J320" s="166">
        <f t="shared" si="19"/>
        <v>97261.3397650353</v>
      </c>
    </row>
    <row r="321" spans="2:10" customFormat="1" x14ac:dyDescent="0.35">
      <c r="B321" s="100">
        <v>986</v>
      </c>
      <c r="C321" s="160" t="s">
        <v>321</v>
      </c>
      <c r="D321" s="191">
        <v>3.5011281412899699E-4</v>
      </c>
      <c r="E321" s="164">
        <f t="shared" si="19"/>
        <v>17614.175678829837</v>
      </c>
      <c r="F321" s="165">
        <f t="shared" si="19"/>
        <v>18460.048237765495</v>
      </c>
      <c r="G321" s="165">
        <f t="shared" si="19"/>
        <v>19324.826888664116</v>
      </c>
      <c r="H321" s="165">
        <f t="shared" si="19"/>
        <v>20171.049560413903</v>
      </c>
      <c r="I321" s="165">
        <f t="shared" si="19"/>
        <v>21048.432272621169</v>
      </c>
      <c r="J321" s="166">
        <f t="shared" si="19"/>
        <v>21883.801447132955</v>
      </c>
    </row>
    <row r="322" spans="2:10" customFormat="1" x14ac:dyDescent="0.35">
      <c r="B322" s="100">
        <v>626</v>
      </c>
      <c r="C322" s="160" t="s">
        <v>322</v>
      </c>
      <c r="D322" s="191">
        <v>1.0892398661790999E-3</v>
      </c>
      <c r="E322" s="164">
        <f t="shared" si="19"/>
        <v>54799.657667470514</v>
      </c>
      <c r="F322" s="165">
        <f t="shared" si="19"/>
        <v>57431.261184159222</v>
      </c>
      <c r="G322" s="165">
        <f t="shared" si="19"/>
        <v>60121.6836536216</v>
      </c>
      <c r="H322" s="165">
        <f t="shared" si="19"/>
        <v>62754.376410176483</v>
      </c>
      <c r="I322" s="165">
        <f t="shared" si="19"/>
        <v>65484.011514821308</v>
      </c>
      <c r="J322" s="166">
        <f t="shared" si="19"/>
        <v>68082.937835524644</v>
      </c>
    </row>
    <row r="323" spans="2:10" customFormat="1" x14ac:dyDescent="0.35">
      <c r="B323" s="100">
        <v>285</v>
      </c>
      <c r="C323" s="160" t="s">
        <v>323</v>
      </c>
      <c r="D323" s="191">
        <v>1.0503384423869899E-3</v>
      </c>
      <c r="E323" s="164">
        <f t="shared" si="19"/>
        <v>52842.52703648946</v>
      </c>
      <c r="F323" s="165">
        <f t="shared" si="19"/>
        <v>55380.144713296431</v>
      </c>
      <c r="G323" s="165">
        <f t="shared" si="19"/>
        <v>57974.480665992298</v>
      </c>
      <c r="H323" s="165">
        <f t="shared" si="19"/>
        <v>60513.148681241648</v>
      </c>
      <c r="I323" s="165">
        <f t="shared" si="19"/>
        <v>63145.296817863447</v>
      </c>
      <c r="J323" s="166">
        <f t="shared" si="19"/>
        <v>65651.404341398811</v>
      </c>
    </row>
    <row r="324" spans="2:10" customFormat="1" x14ac:dyDescent="0.35">
      <c r="B324" s="100">
        <v>865</v>
      </c>
      <c r="C324" s="160" t="s">
        <v>324</v>
      </c>
      <c r="D324" s="191">
        <v>2.29518400373454E-3</v>
      </c>
      <c r="E324" s="164">
        <f t="shared" si="19"/>
        <v>115470.7072278847</v>
      </c>
      <c r="F324" s="165">
        <f t="shared" si="19"/>
        <v>121015.87178090736</v>
      </c>
      <c r="G324" s="165">
        <f t="shared" si="19"/>
        <v>126684.97627013168</v>
      </c>
      <c r="H324" s="165">
        <f t="shared" si="19"/>
        <v>132232.43600715804</v>
      </c>
      <c r="I324" s="165">
        <f t="shared" si="19"/>
        <v>137984.16712051682</v>
      </c>
      <c r="J324" s="166">
        <f t="shared" si="19"/>
        <v>143460.47615342741</v>
      </c>
    </row>
    <row r="325" spans="2:10" customFormat="1" x14ac:dyDescent="0.35">
      <c r="B325" s="100">
        <v>1949</v>
      </c>
      <c r="C325" s="160" t="s">
        <v>325</v>
      </c>
      <c r="D325" s="191">
        <v>2.9565082082004201E-3</v>
      </c>
      <c r="E325" s="164">
        <f t="shared" si="19"/>
        <v>148741.92795456314</v>
      </c>
      <c r="F325" s="165">
        <f t="shared" si="19"/>
        <v>155884.85178557536</v>
      </c>
      <c r="G325" s="165">
        <f t="shared" si="19"/>
        <v>163187.4270598304</v>
      </c>
      <c r="H325" s="165">
        <f t="shared" si="19"/>
        <v>170333.3073990508</v>
      </c>
      <c r="I325" s="165">
        <f t="shared" si="19"/>
        <v>177742.31696880105</v>
      </c>
      <c r="J325" s="166">
        <f t="shared" si="19"/>
        <v>184796.54555356727</v>
      </c>
    </row>
    <row r="326" spans="2:10" customFormat="1" x14ac:dyDescent="0.35">
      <c r="B326" s="100">
        <v>866</v>
      </c>
      <c r="C326" s="160" t="s">
        <v>326</v>
      </c>
      <c r="D326" s="191">
        <v>4.2791566171321901E-4</v>
      </c>
      <c r="E326" s="164">
        <f t="shared" si="19"/>
        <v>21528.436940792049</v>
      </c>
      <c r="F326" s="165">
        <f t="shared" si="19"/>
        <v>22562.281179491187</v>
      </c>
      <c r="G326" s="165">
        <f t="shared" si="19"/>
        <v>23619.232863922836</v>
      </c>
      <c r="H326" s="165">
        <f t="shared" si="19"/>
        <v>24653.505018283686</v>
      </c>
      <c r="I326" s="165">
        <f t="shared" si="19"/>
        <v>25725.861666537014</v>
      </c>
      <c r="J326" s="166">
        <f t="shared" si="19"/>
        <v>26746.868435384753</v>
      </c>
    </row>
    <row r="327" spans="2:10" customFormat="1" x14ac:dyDescent="0.35">
      <c r="B327" s="100">
        <v>867</v>
      </c>
      <c r="C327" s="160" t="s">
        <v>327</v>
      </c>
      <c r="D327" s="191">
        <v>1.2837469851396601E-3</v>
      </c>
      <c r="E327" s="164">
        <f t="shared" si="19"/>
        <v>64585.310822376297</v>
      </c>
      <c r="F327" s="165">
        <f t="shared" si="19"/>
        <v>67686.843538473709</v>
      </c>
      <c r="G327" s="165">
        <f t="shared" si="19"/>
        <v>70857.698591768683</v>
      </c>
      <c r="H327" s="165">
        <f t="shared" si="19"/>
        <v>73960.515054851232</v>
      </c>
      <c r="I327" s="165">
        <f t="shared" si="19"/>
        <v>77177.584999611223</v>
      </c>
      <c r="J327" s="166">
        <f t="shared" si="19"/>
        <v>80240.605306154452</v>
      </c>
    </row>
    <row r="328" spans="2:10" customFormat="1" x14ac:dyDescent="0.35">
      <c r="B328" s="100">
        <v>627</v>
      </c>
      <c r="C328" s="160" t="s">
        <v>328</v>
      </c>
      <c r="D328" s="191">
        <v>1.67276122306076E-3</v>
      </c>
      <c r="E328" s="164">
        <f t="shared" si="19"/>
        <v>84156.617132186831</v>
      </c>
      <c r="F328" s="165">
        <f t="shared" si="19"/>
        <v>88198.008247101636</v>
      </c>
      <c r="G328" s="165">
        <f t="shared" si="19"/>
        <v>92329.728468061716</v>
      </c>
      <c r="H328" s="165">
        <f t="shared" si="19"/>
        <v>96372.792344199566</v>
      </c>
      <c r="I328" s="165">
        <f t="shared" si="19"/>
        <v>100564.73196918983</v>
      </c>
      <c r="J328" s="166">
        <f t="shared" si="19"/>
        <v>104555.9402474128</v>
      </c>
    </row>
    <row r="329" spans="2:10" customFormat="1" x14ac:dyDescent="0.35">
      <c r="B329" s="100">
        <v>289</v>
      </c>
      <c r="C329" s="160" t="s">
        <v>329</v>
      </c>
      <c r="D329" s="191">
        <v>2.4118882751108699E-3</v>
      </c>
      <c r="E329" s="164">
        <f t="shared" si="19"/>
        <v>121342.09912082787</v>
      </c>
      <c r="F329" s="165">
        <f t="shared" si="19"/>
        <v>127169.22119349573</v>
      </c>
      <c r="G329" s="165">
        <f t="shared" si="19"/>
        <v>133126.58523301958</v>
      </c>
      <c r="H329" s="165">
        <f t="shared" si="19"/>
        <v>138956.11919396254</v>
      </c>
      <c r="I329" s="165">
        <f t="shared" si="19"/>
        <v>145000.31121139039</v>
      </c>
      <c r="J329" s="166">
        <f t="shared" si="19"/>
        <v>150755.07663580493</v>
      </c>
    </row>
    <row r="330" spans="2:10" customFormat="1" x14ac:dyDescent="0.35">
      <c r="B330" s="100">
        <v>629</v>
      </c>
      <c r="C330" s="160" t="s">
        <v>330</v>
      </c>
      <c r="D330" s="191">
        <v>5.4461993308955103E-4</v>
      </c>
      <c r="E330" s="164">
        <f t="shared" si="19"/>
        <v>27399.828833735311</v>
      </c>
      <c r="F330" s="165">
        <f t="shared" si="19"/>
        <v>28715.630592079669</v>
      </c>
      <c r="G330" s="165">
        <f t="shared" si="19"/>
        <v>30060.841826810858</v>
      </c>
      <c r="H330" s="165">
        <f t="shared" si="19"/>
        <v>31377.188205088303</v>
      </c>
      <c r="I330" s="165">
        <f t="shared" si="19"/>
        <v>32742.00575741072</v>
      </c>
      <c r="J330" s="166">
        <f t="shared" si="19"/>
        <v>34041.468917762388</v>
      </c>
    </row>
    <row r="331" spans="2:10" customFormat="1" x14ac:dyDescent="0.35">
      <c r="B331" s="100">
        <v>852</v>
      </c>
      <c r="C331" s="160" t="s">
        <v>331</v>
      </c>
      <c r="D331" s="191">
        <v>6.2242278067377299E-4</v>
      </c>
      <c r="E331" s="164">
        <f t="shared" ref="E331:J346" si="20">$D331*E$10</f>
        <v>31314.09009569752</v>
      </c>
      <c r="F331" s="165">
        <f t="shared" si="20"/>
        <v>32817.863533805357</v>
      </c>
      <c r="G331" s="165">
        <f t="shared" si="20"/>
        <v>34355.247802069571</v>
      </c>
      <c r="H331" s="165">
        <f t="shared" si="20"/>
        <v>35859.643662958086</v>
      </c>
      <c r="I331" s="165">
        <f t="shared" si="20"/>
        <v>37419.435151326557</v>
      </c>
      <c r="J331" s="166">
        <f t="shared" si="20"/>
        <v>38904.535906014178</v>
      </c>
    </row>
    <row r="332" spans="2:10" customFormat="1" x14ac:dyDescent="0.35">
      <c r="B332" s="100">
        <v>988</v>
      </c>
      <c r="C332" s="160" t="s">
        <v>332</v>
      </c>
      <c r="D332" s="191">
        <v>1.82836691822921E-3</v>
      </c>
      <c r="E332" s="164">
        <f t="shared" si="20"/>
        <v>91985.139656111554</v>
      </c>
      <c r="F332" s="165">
        <f t="shared" si="20"/>
        <v>96402.474130553324</v>
      </c>
      <c r="G332" s="165">
        <f t="shared" si="20"/>
        <v>100918.54041857948</v>
      </c>
      <c r="H332" s="165">
        <f t="shared" si="20"/>
        <v>105337.70325993947</v>
      </c>
      <c r="I332" s="165">
        <f t="shared" si="20"/>
        <v>109919.59075702187</v>
      </c>
      <c r="J332" s="166">
        <f t="shared" si="20"/>
        <v>114282.07422391677</v>
      </c>
    </row>
    <row r="333" spans="2:10" customFormat="1" x14ac:dyDescent="0.35">
      <c r="B333" s="100">
        <v>457</v>
      </c>
      <c r="C333" s="160" t="s">
        <v>333</v>
      </c>
      <c r="D333" s="191">
        <v>5.0571850929743999E-4</v>
      </c>
      <c r="E333" s="164">
        <f t="shared" si="20"/>
        <v>25442.698202754207</v>
      </c>
      <c r="F333" s="165">
        <f t="shared" si="20"/>
        <v>26664.51412121682</v>
      </c>
      <c r="G333" s="165">
        <f t="shared" si="20"/>
        <v>27913.638839181498</v>
      </c>
      <c r="H333" s="165">
        <f t="shared" si="20"/>
        <v>29135.96047615341</v>
      </c>
      <c r="I333" s="165">
        <f t="shared" si="20"/>
        <v>30403.291060452793</v>
      </c>
      <c r="J333" s="166">
        <f t="shared" si="20"/>
        <v>31609.935423636485</v>
      </c>
    </row>
    <row r="334" spans="2:10" customFormat="1" x14ac:dyDescent="0.35">
      <c r="B334" s="100">
        <v>1960</v>
      </c>
      <c r="C334" s="160" t="s">
        <v>334</v>
      </c>
      <c r="D334" s="191">
        <v>2.02287403718976E-3</v>
      </c>
      <c r="E334" s="164">
        <f t="shared" si="20"/>
        <v>101770.79281101683</v>
      </c>
      <c r="F334" s="165">
        <f t="shared" si="20"/>
        <v>106658.05648486728</v>
      </c>
      <c r="G334" s="165">
        <f t="shared" si="20"/>
        <v>111654.55535672599</v>
      </c>
      <c r="H334" s="165">
        <f t="shared" si="20"/>
        <v>116543.84190461364</v>
      </c>
      <c r="I334" s="165">
        <f t="shared" si="20"/>
        <v>121613.16424181117</v>
      </c>
      <c r="J334" s="166">
        <f t="shared" si="20"/>
        <v>126439.74169454594</v>
      </c>
    </row>
    <row r="335" spans="2:10" customFormat="1" x14ac:dyDescent="0.35">
      <c r="B335" s="100">
        <v>668</v>
      </c>
      <c r="C335" s="160" t="s">
        <v>335</v>
      </c>
      <c r="D335" s="191">
        <v>3.5011281412899699E-4</v>
      </c>
      <c r="E335" s="164">
        <f t="shared" si="20"/>
        <v>17614.175678829837</v>
      </c>
      <c r="F335" s="165">
        <f t="shared" si="20"/>
        <v>18460.048237765495</v>
      </c>
      <c r="G335" s="165">
        <f t="shared" si="20"/>
        <v>19324.826888664116</v>
      </c>
      <c r="H335" s="165">
        <f t="shared" si="20"/>
        <v>20171.049560413903</v>
      </c>
      <c r="I335" s="165">
        <f t="shared" si="20"/>
        <v>21048.432272621169</v>
      </c>
      <c r="J335" s="166">
        <f t="shared" si="20"/>
        <v>21883.801447132955</v>
      </c>
    </row>
    <row r="336" spans="2:10" customFormat="1" x14ac:dyDescent="0.35">
      <c r="B336" s="100">
        <v>1969</v>
      </c>
      <c r="C336" s="160" t="s">
        <v>336</v>
      </c>
      <c r="D336" s="191">
        <v>3.8512409554189702E-3</v>
      </c>
      <c r="E336" s="164">
        <f t="shared" si="20"/>
        <v>193755.93246712838</v>
      </c>
      <c r="F336" s="165">
        <f t="shared" si="20"/>
        <v>203060.53061542063</v>
      </c>
      <c r="G336" s="165">
        <f t="shared" si="20"/>
        <v>212573.09577530547</v>
      </c>
      <c r="H336" s="165">
        <f t="shared" si="20"/>
        <v>221881.54516455313</v>
      </c>
      <c r="I336" s="165">
        <f t="shared" si="20"/>
        <v>231532.75499883306</v>
      </c>
      <c r="J336" s="166">
        <f t="shared" si="20"/>
        <v>240721.81591846273</v>
      </c>
    </row>
    <row r="337" spans="2:10" customFormat="1" x14ac:dyDescent="0.35">
      <c r="B337" s="100">
        <v>1701</v>
      </c>
      <c r="C337" s="160" t="s">
        <v>337</v>
      </c>
      <c r="D337" s="191">
        <v>7.7802847584221605E-4</v>
      </c>
      <c r="E337" s="164">
        <f t="shared" si="20"/>
        <v>39142.61261962189</v>
      </c>
      <c r="F337" s="165">
        <f t="shared" si="20"/>
        <v>41022.329417256682</v>
      </c>
      <c r="G337" s="165">
        <f t="shared" si="20"/>
        <v>42944.05975258696</v>
      </c>
      <c r="H337" s="165">
        <f t="shared" si="20"/>
        <v>44824.554578697593</v>
      </c>
      <c r="I337" s="165">
        <f t="shared" si="20"/>
        <v>46774.293939158189</v>
      </c>
      <c r="J337" s="166">
        <f t="shared" si="20"/>
        <v>48630.669882517715</v>
      </c>
    </row>
    <row r="338" spans="2:10" customFormat="1" x14ac:dyDescent="0.35">
      <c r="B338" s="100">
        <v>293</v>
      </c>
      <c r="C338" s="160" t="s">
        <v>338</v>
      </c>
      <c r="D338" s="191">
        <v>1.86726834202132E-3</v>
      </c>
      <c r="E338" s="164">
        <f t="shared" si="20"/>
        <v>93942.2702870926</v>
      </c>
      <c r="F338" s="165">
        <f t="shared" si="20"/>
        <v>98453.590601416116</v>
      </c>
      <c r="G338" s="165">
        <f t="shared" si="20"/>
        <v>103065.74340620877</v>
      </c>
      <c r="H338" s="165">
        <f t="shared" si="20"/>
        <v>107578.9309888743</v>
      </c>
      <c r="I338" s="165">
        <f t="shared" si="20"/>
        <v>112258.30545397973</v>
      </c>
      <c r="J338" s="166">
        <f t="shared" si="20"/>
        <v>116713.60771804261</v>
      </c>
    </row>
    <row r="339" spans="2:10" customFormat="1" x14ac:dyDescent="0.35">
      <c r="B339" s="100">
        <v>1950</v>
      </c>
      <c r="C339" s="160" t="s">
        <v>339</v>
      </c>
      <c r="D339" s="191">
        <v>2.33408542752665E-3</v>
      </c>
      <c r="E339" s="164">
        <f t="shared" si="20"/>
        <v>117427.83785886577</v>
      </c>
      <c r="F339" s="165">
        <f t="shared" si="20"/>
        <v>123066.98825177015</v>
      </c>
      <c r="G339" s="165">
        <f t="shared" si="20"/>
        <v>128832.17925776097</v>
      </c>
      <c r="H339" s="165">
        <f t="shared" si="20"/>
        <v>134473.66373609289</v>
      </c>
      <c r="I339" s="165">
        <f t="shared" si="20"/>
        <v>140322.88181747467</v>
      </c>
      <c r="J339" s="166">
        <f t="shared" si="20"/>
        <v>145892.00964755326</v>
      </c>
    </row>
    <row r="340" spans="2:10" customFormat="1" x14ac:dyDescent="0.35">
      <c r="B340" s="100">
        <v>1783</v>
      </c>
      <c r="C340" s="160" t="s">
        <v>340</v>
      </c>
      <c r="D340" s="191">
        <v>4.3958608885085199E-3</v>
      </c>
      <c r="E340" s="164">
        <f t="shared" si="20"/>
        <v>221155.76130086364</v>
      </c>
      <c r="F340" s="165">
        <f t="shared" si="20"/>
        <v>231776.16120750023</v>
      </c>
      <c r="G340" s="165">
        <f t="shared" si="20"/>
        <v>242633.93760211626</v>
      </c>
      <c r="H340" s="165">
        <f t="shared" si="20"/>
        <v>253258.73336964136</v>
      </c>
      <c r="I340" s="165">
        <f t="shared" si="20"/>
        <v>264274.76075624372</v>
      </c>
      <c r="J340" s="166">
        <f t="shared" si="20"/>
        <v>274763.28483622504</v>
      </c>
    </row>
    <row r="341" spans="2:10" customFormat="1" x14ac:dyDescent="0.35">
      <c r="B341" s="100">
        <v>98</v>
      </c>
      <c r="C341" s="160" t="s">
        <v>341</v>
      </c>
      <c r="D341" s="191">
        <v>1.1281412899712101E-3</v>
      </c>
      <c r="E341" s="164">
        <f t="shared" si="20"/>
        <v>56756.788298451575</v>
      </c>
      <c r="F341" s="165">
        <f t="shared" si="20"/>
        <v>59482.377655022021</v>
      </c>
      <c r="G341" s="165">
        <f t="shared" si="20"/>
        <v>62268.886641250909</v>
      </c>
      <c r="H341" s="165">
        <f t="shared" si="20"/>
        <v>64995.604139111325</v>
      </c>
      <c r="I341" s="165">
        <f t="shared" si="20"/>
        <v>67822.726211779183</v>
      </c>
      <c r="J341" s="166">
        <f t="shared" si="20"/>
        <v>70514.471329650478</v>
      </c>
    </row>
    <row r="342" spans="2:10" customFormat="1" x14ac:dyDescent="0.35">
      <c r="B342" s="100">
        <v>614</v>
      </c>
      <c r="C342" s="160" t="s">
        <v>342</v>
      </c>
      <c r="D342" s="191">
        <v>3.8901423792110803E-4</v>
      </c>
      <c r="E342" s="164">
        <f t="shared" si="20"/>
        <v>19571.306309810945</v>
      </c>
      <c r="F342" s="165">
        <f t="shared" si="20"/>
        <v>20511.164708628341</v>
      </c>
      <c r="G342" s="165">
        <f t="shared" si="20"/>
        <v>21472.02987629348</v>
      </c>
      <c r="H342" s="165">
        <f t="shared" si="20"/>
        <v>22412.277289348796</v>
      </c>
      <c r="I342" s="165">
        <f t="shared" si="20"/>
        <v>23387.146969579095</v>
      </c>
      <c r="J342" s="166">
        <f t="shared" si="20"/>
        <v>24315.334941258858</v>
      </c>
    </row>
    <row r="343" spans="2:10" customFormat="1" x14ac:dyDescent="0.35">
      <c r="B343" s="100">
        <v>189</v>
      </c>
      <c r="C343" s="160" t="s">
        <v>343</v>
      </c>
      <c r="D343" s="191">
        <v>7.7802847584221605E-4</v>
      </c>
      <c r="E343" s="164">
        <f t="shared" si="20"/>
        <v>39142.61261962189</v>
      </c>
      <c r="F343" s="165">
        <f t="shared" si="20"/>
        <v>41022.329417256682</v>
      </c>
      <c r="G343" s="165">
        <f t="shared" si="20"/>
        <v>42944.05975258696</v>
      </c>
      <c r="H343" s="165">
        <f t="shared" si="20"/>
        <v>44824.554578697593</v>
      </c>
      <c r="I343" s="165">
        <f t="shared" si="20"/>
        <v>46774.293939158189</v>
      </c>
      <c r="J343" s="166">
        <f t="shared" si="20"/>
        <v>48630.669882517715</v>
      </c>
    </row>
    <row r="344" spans="2:10" customFormat="1" x14ac:dyDescent="0.35">
      <c r="B344" s="100">
        <v>296</v>
      </c>
      <c r="C344" s="160" t="s">
        <v>344</v>
      </c>
      <c r="D344" s="191">
        <v>2.4507896989029799E-3</v>
      </c>
      <c r="E344" s="164">
        <f t="shared" si="20"/>
        <v>123299.22975180892</v>
      </c>
      <c r="F344" s="165">
        <f t="shared" si="20"/>
        <v>129220.33766435852</v>
      </c>
      <c r="G344" s="165">
        <f t="shared" si="20"/>
        <v>135273.78822064889</v>
      </c>
      <c r="H344" s="165">
        <f t="shared" si="20"/>
        <v>141197.34692289738</v>
      </c>
      <c r="I344" s="165">
        <f t="shared" si="20"/>
        <v>147339.02590834824</v>
      </c>
      <c r="J344" s="166">
        <f t="shared" si="20"/>
        <v>153186.61012993075</v>
      </c>
    </row>
    <row r="345" spans="2:10" customFormat="1" x14ac:dyDescent="0.35">
      <c r="B345" s="100">
        <v>1696</v>
      </c>
      <c r="C345" s="160" t="s">
        <v>345</v>
      </c>
      <c r="D345" s="191">
        <v>6.2242278067377299E-4</v>
      </c>
      <c r="E345" s="164">
        <f t="shared" si="20"/>
        <v>31314.09009569752</v>
      </c>
      <c r="F345" s="165">
        <f t="shared" si="20"/>
        <v>32817.863533805357</v>
      </c>
      <c r="G345" s="165">
        <f t="shared" si="20"/>
        <v>34355.247802069571</v>
      </c>
      <c r="H345" s="165">
        <f t="shared" si="20"/>
        <v>35859.643662958086</v>
      </c>
      <c r="I345" s="165">
        <f t="shared" si="20"/>
        <v>37419.435151326557</v>
      </c>
      <c r="J345" s="166">
        <f t="shared" si="20"/>
        <v>38904.535906014178</v>
      </c>
    </row>
    <row r="346" spans="2:10" customFormat="1" x14ac:dyDescent="0.35">
      <c r="B346" s="100">
        <v>352</v>
      </c>
      <c r="C346" s="160" t="s">
        <v>346</v>
      </c>
      <c r="D346" s="191">
        <v>8.5583132342643704E-4</v>
      </c>
      <c r="E346" s="164">
        <f t="shared" si="20"/>
        <v>43056.873881584048</v>
      </c>
      <c r="F346" s="165">
        <f t="shared" si="20"/>
        <v>45124.562358982323</v>
      </c>
      <c r="G346" s="165">
        <f t="shared" si="20"/>
        <v>47238.465727845622</v>
      </c>
      <c r="H346" s="165">
        <f t="shared" si="20"/>
        <v>49307.010036567321</v>
      </c>
      <c r="I346" s="165">
        <f t="shared" si="20"/>
        <v>51451.723333073969</v>
      </c>
      <c r="J346" s="166">
        <f t="shared" si="20"/>
        <v>53493.736870769448</v>
      </c>
    </row>
    <row r="347" spans="2:10" customFormat="1" x14ac:dyDescent="0.35">
      <c r="B347" s="100">
        <v>294</v>
      </c>
      <c r="C347" s="160" t="s">
        <v>347</v>
      </c>
      <c r="D347" s="191">
        <v>1.4004512565159899E-3</v>
      </c>
      <c r="E347" s="164">
        <f t="shared" ref="E347:J362" si="21">$D347*E$10</f>
        <v>70456.70271531945</v>
      </c>
      <c r="F347" s="165">
        <f t="shared" si="21"/>
        <v>73840.192951062083</v>
      </c>
      <c r="G347" s="165">
        <f t="shared" si="21"/>
        <v>77299.307554656581</v>
      </c>
      <c r="H347" s="165">
        <f t="shared" si="21"/>
        <v>80684.198241655729</v>
      </c>
      <c r="I347" s="165">
        <f t="shared" si="21"/>
        <v>84193.729090484791</v>
      </c>
      <c r="J347" s="166">
        <f t="shared" si="21"/>
        <v>87535.205788531952</v>
      </c>
    </row>
    <row r="348" spans="2:10" customFormat="1" x14ac:dyDescent="0.35">
      <c r="B348" s="100">
        <v>873</v>
      </c>
      <c r="C348" s="160" t="s">
        <v>348</v>
      </c>
      <c r="D348" s="191">
        <v>1.16704271376332E-3</v>
      </c>
      <c r="E348" s="164">
        <f t="shared" si="21"/>
        <v>58713.918929432628</v>
      </c>
      <c r="F348" s="165">
        <f t="shared" si="21"/>
        <v>61533.494125884812</v>
      </c>
      <c r="G348" s="165">
        <f t="shared" si="21"/>
        <v>64416.089628880211</v>
      </c>
      <c r="H348" s="165">
        <f t="shared" si="21"/>
        <v>67236.831868046153</v>
      </c>
      <c r="I348" s="165">
        <f t="shared" si="21"/>
        <v>70161.44090873703</v>
      </c>
      <c r="J348" s="166">
        <f t="shared" si="21"/>
        <v>72946.004823776311</v>
      </c>
    </row>
    <row r="349" spans="2:10" customFormat="1" x14ac:dyDescent="0.35">
      <c r="B349" s="100">
        <v>632</v>
      </c>
      <c r="C349" s="160" t="s">
        <v>349</v>
      </c>
      <c r="D349" s="191">
        <v>1.7505640706449901E-3</v>
      </c>
      <c r="E349" s="164">
        <f t="shared" si="21"/>
        <v>88070.878394149448</v>
      </c>
      <c r="F349" s="165">
        <f t="shared" si="21"/>
        <v>92300.241188827742</v>
      </c>
      <c r="G349" s="165">
        <f t="shared" si="21"/>
        <v>96624.134443320872</v>
      </c>
      <c r="H349" s="165">
        <f t="shared" si="21"/>
        <v>100855.24780206982</v>
      </c>
      <c r="I349" s="165">
        <f t="shared" si="21"/>
        <v>105242.16136310616</v>
      </c>
      <c r="J349" s="166">
        <f t="shared" si="21"/>
        <v>109419.00723566511</v>
      </c>
    </row>
    <row r="350" spans="2:10" customFormat="1" x14ac:dyDescent="0.35">
      <c r="B350" s="100">
        <v>880</v>
      </c>
      <c r="C350" s="160" t="s">
        <v>350</v>
      </c>
      <c r="D350" s="191">
        <v>1.1281412899712101E-3</v>
      </c>
      <c r="E350" s="164">
        <f t="shared" si="21"/>
        <v>56756.788298451575</v>
      </c>
      <c r="F350" s="165">
        <f t="shared" si="21"/>
        <v>59482.377655022021</v>
      </c>
      <c r="G350" s="165">
        <f t="shared" si="21"/>
        <v>62268.886641250909</v>
      </c>
      <c r="H350" s="165">
        <f t="shared" si="21"/>
        <v>64995.604139111325</v>
      </c>
      <c r="I350" s="165">
        <f t="shared" si="21"/>
        <v>67822.726211779183</v>
      </c>
      <c r="J350" s="166">
        <f t="shared" si="21"/>
        <v>70514.471329650478</v>
      </c>
    </row>
    <row r="351" spans="2:10" customFormat="1" x14ac:dyDescent="0.35">
      <c r="B351" s="100">
        <v>351</v>
      </c>
      <c r="C351" s="160" t="s">
        <v>351</v>
      </c>
      <c r="D351" s="191">
        <v>2.3340854275266499E-4</v>
      </c>
      <c r="E351" s="164">
        <f t="shared" si="21"/>
        <v>11742.783785886575</v>
      </c>
      <c r="F351" s="165">
        <f t="shared" si="21"/>
        <v>12306.698825177014</v>
      </c>
      <c r="G351" s="165">
        <f t="shared" si="21"/>
        <v>12883.217925776096</v>
      </c>
      <c r="H351" s="165">
        <f t="shared" si="21"/>
        <v>13447.366373609288</v>
      </c>
      <c r="I351" s="165">
        <f t="shared" si="21"/>
        <v>14032.288181747466</v>
      </c>
      <c r="J351" s="166">
        <f t="shared" si="21"/>
        <v>14589.200964755326</v>
      </c>
    </row>
    <row r="352" spans="2:10" customFormat="1" x14ac:dyDescent="0.35">
      <c r="B352" s="100">
        <v>479</v>
      </c>
      <c r="C352" s="160" t="s">
        <v>352</v>
      </c>
      <c r="D352" s="191">
        <v>1.5093752431338999E-2</v>
      </c>
      <c r="E352" s="164">
        <f t="shared" si="21"/>
        <v>759366.68482066505</v>
      </c>
      <c r="F352" s="165">
        <f t="shared" si="21"/>
        <v>795833.19069478009</v>
      </c>
      <c r="G352" s="165">
        <f t="shared" si="21"/>
        <v>833114.7592001874</v>
      </c>
      <c r="H352" s="165">
        <f t="shared" si="21"/>
        <v>869596.35882673378</v>
      </c>
      <c r="I352" s="165">
        <f t="shared" si="21"/>
        <v>907421.30241966934</v>
      </c>
      <c r="J352" s="166">
        <f t="shared" si="21"/>
        <v>943434.99572084413</v>
      </c>
    </row>
    <row r="353" spans="1:10" customFormat="1" x14ac:dyDescent="0.35">
      <c r="A353" s="3"/>
      <c r="B353" s="100">
        <v>297</v>
      </c>
      <c r="C353" s="160" t="s">
        <v>353</v>
      </c>
      <c r="D353" s="191">
        <v>8.9473274721854905E-4</v>
      </c>
      <c r="E353" s="164">
        <f t="shared" si="21"/>
        <v>45014.004512565203</v>
      </c>
      <c r="F353" s="165">
        <f t="shared" si="21"/>
        <v>47175.678829845216</v>
      </c>
      <c r="G353" s="165">
        <f t="shared" si="21"/>
        <v>49385.668715475033</v>
      </c>
      <c r="H353" s="165">
        <f t="shared" si="21"/>
        <v>51548.237765502265</v>
      </c>
      <c r="I353" s="165">
        <f t="shared" si="21"/>
        <v>53790.438030031954</v>
      </c>
      <c r="J353" s="166">
        <f t="shared" si="21"/>
        <v>55925.270364895405</v>
      </c>
    </row>
    <row r="354" spans="1:10" customFormat="1" x14ac:dyDescent="0.35">
      <c r="A354" s="3"/>
      <c r="B354" s="100">
        <v>473</v>
      </c>
      <c r="C354" s="160" t="s">
        <v>354</v>
      </c>
      <c r="D354" s="191">
        <v>8.5583132342643704E-4</v>
      </c>
      <c r="E354" s="164">
        <f t="shared" si="21"/>
        <v>43056.873881584048</v>
      </c>
      <c r="F354" s="165">
        <f t="shared" si="21"/>
        <v>45124.562358982323</v>
      </c>
      <c r="G354" s="165">
        <f t="shared" si="21"/>
        <v>47238.465727845622</v>
      </c>
      <c r="H354" s="165">
        <f t="shared" si="21"/>
        <v>49307.010036567321</v>
      </c>
      <c r="I354" s="165">
        <f t="shared" si="21"/>
        <v>51451.723333073969</v>
      </c>
      <c r="J354" s="166">
        <f t="shared" si="21"/>
        <v>53493.736870769448</v>
      </c>
    </row>
    <row r="355" spans="1:10" customFormat="1" x14ac:dyDescent="0.35">
      <c r="A355" s="3"/>
      <c r="B355" s="100">
        <v>50</v>
      </c>
      <c r="C355" s="160" t="s">
        <v>355</v>
      </c>
      <c r="D355" s="191">
        <v>7.7802847584221605E-4</v>
      </c>
      <c r="E355" s="164">
        <f t="shared" si="21"/>
        <v>39142.61261962189</v>
      </c>
      <c r="F355" s="165">
        <f t="shared" si="21"/>
        <v>41022.329417256682</v>
      </c>
      <c r="G355" s="165">
        <f t="shared" si="21"/>
        <v>42944.05975258696</v>
      </c>
      <c r="H355" s="165">
        <f t="shared" si="21"/>
        <v>44824.554578697593</v>
      </c>
      <c r="I355" s="165">
        <f t="shared" si="21"/>
        <v>46774.293939158189</v>
      </c>
      <c r="J355" s="166">
        <f t="shared" si="21"/>
        <v>48630.669882517715</v>
      </c>
    </row>
    <row r="356" spans="1:10" customFormat="1" x14ac:dyDescent="0.35">
      <c r="A356" s="3"/>
      <c r="B356" s="100">
        <v>355</v>
      </c>
      <c r="C356" s="160" t="s">
        <v>356</v>
      </c>
      <c r="D356" s="191">
        <v>4.5125651598848498E-3</v>
      </c>
      <c r="E356" s="164">
        <f t="shared" si="21"/>
        <v>227027.15319380679</v>
      </c>
      <c r="F356" s="165">
        <f t="shared" si="21"/>
        <v>237929.51062008858</v>
      </c>
      <c r="G356" s="165">
        <f t="shared" si="21"/>
        <v>249075.54656500416</v>
      </c>
      <c r="H356" s="165">
        <f t="shared" si="21"/>
        <v>259982.41655644585</v>
      </c>
      <c r="I356" s="165">
        <f t="shared" si="21"/>
        <v>271290.90484711726</v>
      </c>
      <c r="J356" s="166">
        <f t="shared" si="21"/>
        <v>282057.88531860255</v>
      </c>
    </row>
    <row r="357" spans="1:10" customFormat="1" x14ac:dyDescent="0.35">
      <c r="A357" s="3"/>
      <c r="B357" s="100">
        <v>299</v>
      </c>
      <c r="C357" s="160" t="s">
        <v>357</v>
      </c>
      <c r="D357" s="191">
        <v>3.1121139033688599E-3</v>
      </c>
      <c r="E357" s="164">
        <f t="shared" si="21"/>
        <v>156570.45047848733</v>
      </c>
      <c r="F357" s="165">
        <f t="shared" si="21"/>
        <v>164089.3176690265</v>
      </c>
      <c r="G357" s="165">
        <f t="shared" si="21"/>
        <v>171776.23901034758</v>
      </c>
      <c r="H357" s="165">
        <f t="shared" si="21"/>
        <v>179298.21831479014</v>
      </c>
      <c r="I357" s="165">
        <f t="shared" si="21"/>
        <v>187097.1757566325</v>
      </c>
      <c r="J357" s="166">
        <f t="shared" si="21"/>
        <v>194522.6795300706</v>
      </c>
    </row>
    <row r="358" spans="1:10" customFormat="1" x14ac:dyDescent="0.35">
      <c r="A358" s="3"/>
      <c r="B358" s="100">
        <v>637</v>
      </c>
      <c r="C358" s="160" t="s">
        <v>358</v>
      </c>
      <c r="D358" s="191">
        <v>1.0581187271454099E-2</v>
      </c>
      <c r="E358" s="164">
        <f t="shared" si="21"/>
        <v>532339.53162685572</v>
      </c>
      <c r="F358" s="165">
        <f t="shared" si="21"/>
        <v>557903.68007468886</v>
      </c>
      <c r="G358" s="165">
        <f t="shared" si="21"/>
        <v>584039.21263518045</v>
      </c>
      <c r="H358" s="165">
        <f t="shared" si="21"/>
        <v>609613.94227028498</v>
      </c>
      <c r="I358" s="165">
        <f t="shared" si="21"/>
        <v>636130.39757254894</v>
      </c>
      <c r="J358" s="166">
        <f t="shared" si="21"/>
        <v>661377.11040223844</v>
      </c>
    </row>
    <row r="359" spans="1:10" customFormat="1" x14ac:dyDescent="0.35">
      <c r="A359" s="3"/>
      <c r="B359" s="100">
        <v>638</v>
      </c>
      <c r="C359" s="160" t="s">
        <v>359</v>
      </c>
      <c r="D359" s="191">
        <v>2.7230996654477497E-4</v>
      </c>
      <c r="E359" s="164">
        <f t="shared" si="21"/>
        <v>13699.914416867628</v>
      </c>
      <c r="F359" s="165">
        <f t="shared" si="21"/>
        <v>14357.815296039806</v>
      </c>
      <c r="G359" s="165">
        <f t="shared" si="21"/>
        <v>15030.4209134054</v>
      </c>
      <c r="H359" s="165">
        <f t="shared" si="21"/>
        <v>15688.594102544121</v>
      </c>
      <c r="I359" s="165">
        <f t="shared" si="21"/>
        <v>16371.002878705327</v>
      </c>
      <c r="J359" s="166">
        <f t="shared" si="21"/>
        <v>17020.734458881161</v>
      </c>
    </row>
    <row r="360" spans="1:10" customFormat="1" x14ac:dyDescent="0.35">
      <c r="A360" s="3"/>
      <c r="B360" s="100">
        <v>1892</v>
      </c>
      <c r="C360" s="160" t="s">
        <v>360</v>
      </c>
      <c r="D360" s="191">
        <v>1.7894654944371001E-3</v>
      </c>
      <c r="E360" s="164">
        <f t="shared" si="21"/>
        <v>90028.009025130508</v>
      </c>
      <c r="F360" s="165">
        <f t="shared" si="21"/>
        <v>94351.357659690533</v>
      </c>
      <c r="G360" s="165">
        <f t="shared" si="21"/>
        <v>98771.337430950181</v>
      </c>
      <c r="H360" s="165">
        <f t="shared" si="21"/>
        <v>103096.47553100465</v>
      </c>
      <c r="I360" s="165">
        <f t="shared" si="21"/>
        <v>107580.87606006402</v>
      </c>
      <c r="J360" s="166">
        <f t="shared" si="21"/>
        <v>111850.54072979094</v>
      </c>
    </row>
    <row r="361" spans="1:10" customFormat="1" x14ac:dyDescent="0.35">
      <c r="A361" s="3"/>
      <c r="B361" s="100">
        <v>879</v>
      </c>
      <c r="C361" s="160" t="s">
        <v>361</v>
      </c>
      <c r="D361" s="191">
        <v>6.2242278067377299E-4</v>
      </c>
      <c r="E361" s="164">
        <f t="shared" si="21"/>
        <v>31314.09009569752</v>
      </c>
      <c r="F361" s="165">
        <f t="shared" si="21"/>
        <v>32817.863533805357</v>
      </c>
      <c r="G361" s="165">
        <f t="shared" si="21"/>
        <v>34355.247802069571</v>
      </c>
      <c r="H361" s="165">
        <f t="shared" si="21"/>
        <v>35859.643662958086</v>
      </c>
      <c r="I361" s="165">
        <f t="shared" si="21"/>
        <v>37419.435151326557</v>
      </c>
      <c r="J361" s="166">
        <f t="shared" si="21"/>
        <v>38904.535906014178</v>
      </c>
    </row>
    <row r="362" spans="1:10" customFormat="1" x14ac:dyDescent="0.35">
      <c r="A362" s="3"/>
      <c r="B362" s="100">
        <v>301</v>
      </c>
      <c r="C362" s="160" t="s">
        <v>362</v>
      </c>
      <c r="D362" s="191">
        <v>4.5125651598848498E-3</v>
      </c>
      <c r="E362" s="164">
        <f t="shared" si="21"/>
        <v>227027.15319380679</v>
      </c>
      <c r="F362" s="165">
        <f t="shared" si="21"/>
        <v>237929.51062008858</v>
      </c>
      <c r="G362" s="165">
        <f t="shared" si="21"/>
        <v>249075.54656500416</v>
      </c>
      <c r="H362" s="165">
        <f t="shared" si="21"/>
        <v>259982.41655644585</v>
      </c>
      <c r="I362" s="165">
        <f t="shared" si="21"/>
        <v>271290.90484711726</v>
      </c>
      <c r="J362" s="166">
        <f t="shared" si="21"/>
        <v>282057.88531860255</v>
      </c>
    </row>
    <row r="363" spans="1:10" customFormat="1" x14ac:dyDescent="0.35">
      <c r="A363" s="3"/>
      <c r="B363" s="100">
        <v>1896</v>
      </c>
      <c r="C363" s="160" t="s">
        <v>363</v>
      </c>
      <c r="D363" s="191">
        <v>1.4393526803081001E-3</v>
      </c>
      <c r="E363" s="164">
        <f t="shared" ref="E363:J365" si="22">$D363*E$10</f>
        <v>72413.833346300511</v>
      </c>
      <c r="F363" s="165">
        <f t="shared" si="22"/>
        <v>75891.309421924889</v>
      </c>
      <c r="G363" s="165">
        <f t="shared" si="22"/>
        <v>79446.510542285891</v>
      </c>
      <c r="H363" s="165">
        <f t="shared" si="22"/>
        <v>82925.425970590572</v>
      </c>
      <c r="I363" s="165">
        <f t="shared" si="22"/>
        <v>86532.443787442666</v>
      </c>
      <c r="J363" s="166">
        <f t="shared" si="22"/>
        <v>89966.7392826578</v>
      </c>
    </row>
    <row r="364" spans="1:10" customFormat="1" x14ac:dyDescent="0.35">
      <c r="A364" s="3"/>
      <c r="B364" s="100">
        <v>642</v>
      </c>
      <c r="C364" s="160" t="s">
        <v>364</v>
      </c>
      <c r="D364" s="191">
        <v>2.5674939702793101E-3</v>
      </c>
      <c r="E364" s="164">
        <f t="shared" si="22"/>
        <v>129170.6216447521</v>
      </c>
      <c r="F364" s="165">
        <f t="shared" si="22"/>
        <v>135373.6870769469</v>
      </c>
      <c r="G364" s="165">
        <f t="shared" si="22"/>
        <v>141715.39718353681</v>
      </c>
      <c r="H364" s="165">
        <f t="shared" si="22"/>
        <v>147921.03010970188</v>
      </c>
      <c r="I364" s="165">
        <f t="shared" si="22"/>
        <v>154355.16999922183</v>
      </c>
      <c r="J364" s="166">
        <f t="shared" si="22"/>
        <v>160481.21061230829</v>
      </c>
    </row>
    <row r="365" spans="1:10" customFormat="1" x14ac:dyDescent="0.35">
      <c r="A365" s="3"/>
      <c r="B365" s="103">
        <v>193</v>
      </c>
      <c r="C365" s="167" t="s">
        <v>365</v>
      </c>
      <c r="D365" s="192">
        <v>1.27985684276044E-2</v>
      </c>
      <c r="E365" s="171">
        <f t="shared" si="22"/>
        <v>643895.97759277734</v>
      </c>
      <c r="F365" s="172">
        <f t="shared" si="22"/>
        <v>674817.31891386956</v>
      </c>
      <c r="G365" s="172">
        <f t="shared" si="22"/>
        <v>706429.78293005249</v>
      </c>
      <c r="H365" s="172">
        <f t="shared" si="22"/>
        <v>737363.92281957227</v>
      </c>
      <c r="I365" s="172">
        <f t="shared" si="22"/>
        <v>769437.13529914885</v>
      </c>
      <c r="J365" s="173">
        <f t="shared" si="22"/>
        <v>799974.51956741302</v>
      </c>
    </row>
    <row r="366" spans="1:10" customFormat="1" x14ac:dyDescent="0.35">
      <c r="A366" s="3"/>
      <c r="B366" s="3"/>
      <c r="C366" s="3"/>
      <c r="D366" s="3"/>
      <c r="E366" s="193"/>
      <c r="F366" s="193"/>
      <c r="G366" s="193"/>
      <c r="H366" s="193"/>
      <c r="I366" s="193"/>
      <c r="J366" s="193"/>
    </row>
    <row r="367" spans="1:10" customFormat="1" x14ac:dyDescent="0.35">
      <c r="A367" s="3"/>
      <c r="B367" s="3"/>
      <c r="C367" s="3"/>
      <c r="D367" s="3"/>
      <c r="E367" s="193"/>
      <c r="F367" s="193"/>
      <c r="G367" s="193"/>
      <c r="H367" s="193"/>
      <c r="I367" s="193"/>
      <c r="J367" s="193"/>
    </row>
    <row r="368" spans="1:10" customFormat="1" x14ac:dyDescent="0.35">
      <c r="A368" s="3"/>
      <c r="B368" s="3"/>
      <c r="C368" s="3"/>
      <c r="D368" s="3"/>
      <c r="E368" s="193"/>
      <c r="F368" s="193"/>
      <c r="G368" s="193"/>
      <c r="H368" s="193"/>
      <c r="I368" s="193"/>
      <c r="J368" s="193"/>
    </row>
    <row r="369" spans="1:10" customFormat="1" x14ac:dyDescent="0.35">
      <c r="A369" s="3"/>
      <c r="B369" s="3"/>
      <c r="C369" s="3"/>
      <c r="D369" s="3"/>
      <c r="E369" s="193"/>
      <c r="F369" s="193"/>
      <c r="G369" s="193"/>
      <c r="H369" s="193"/>
      <c r="I369" s="193"/>
      <c r="J369" s="193"/>
    </row>
    <row r="370" spans="1:10" customFormat="1" x14ac:dyDescent="0.35">
      <c r="A370" s="3"/>
      <c r="B370" s="3"/>
      <c r="C370" s="3"/>
      <c r="D370" s="3"/>
      <c r="E370" s="193"/>
      <c r="F370" s="193"/>
      <c r="G370" s="193"/>
      <c r="H370" s="193"/>
      <c r="I370" s="193"/>
      <c r="J370" s="193"/>
    </row>
    <row r="371" spans="1:10" customFormat="1" x14ac:dyDescent="0.35">
      <c r="A371" s="3"/>
      <c r="B371" s="3"/>
      <c r="C371" s="3"/>
      <c r="D371" s="3"/>
      <c r="E371" s="193"/>
      <c r="F371" s="193"/>
      <c r="G371" s="193"/>
      <c r="H371" s="193"/>
      <c r="I371" s="193"/>
      <c r="J371" s="193"/>
    </row>
    <row r="372" spans="1:10" customFormat="1" x14ac:dyDescent="0.35">
      <c r="A372" s="3"/>
      <c r="B372" s="3"/>
      <c r="C372" s="3"/>
      <c r="D372" s="3"/>
      <c r="E372" s="193"/>
      <c r="F372" s="193"/>
      <c r="G372" s="193"/>
      <c r="H372" s="193"/>
      <c r="I372" s="193"/>
      <c r="J372" s="193"/>
    </row>
    <row r="373" spans="1:10" customFormat="1" x14ac:dyDescent="0.35">
      <c r="A373" s="3"/>
      <c r="B373" s="3"/>
      <c r="C373" s="3"/>
      <c r="D373" s="3"/>
      <c r="E373" s="193"/>
      <c r="F373" s="193"/>
      <c r="G373" s="193"/>
      <c r="H373" s="193"/>
      <c r="I373" s="193"/>
      <c r="J373" s="193"/>
    </row>
    <row r="374" spans="1:10" customFormat="1" x14ac:dyDescent="0.35">
      <c r="A374" s="3"/>
      <c r="B374" s="3"/>
      <c r="C374" s="3"/>
      <c r="D374" s="3"/>
      <c r="E374" s="193"/>
      <c r="F374" s="193"/>
      <c r="G374" s="193"/>
      <c r="H374" s="193"/>
      <c r="I374" s="193"/>
      <c r="J374" s="193"/>
    </row>
    <row r="375" spans="1:10" customFormat="1" x14ac:dyDescent="0.35">
      <c r="A375" s="3"/>
      <c r="B375" s="3"/>
      <c r="C375" s="3"/>
      <c r="D375" s="3"/>
      <c r="E375" s="193"/>
      <c r="F375" s="193"/>
      <c r="G375" s="193"/>
      <c r="H375" s="193"/>
      <c r="I375" s="193"/>
      <c r="J375" s="193"/>
    </row>
    <row r="376" spans="1:10" customFormat="1" x14ac:dyDescent="0.35">
      <c r="A376" s="3"/>
      <c r="B376" s="3"/>
      <c r="C376" s="3"/>
      <c r="D376" s="3"/>
      <c r="E376" s="193"/>
      <c r="F376" s="193"/>
      <c r="G376" s="193"/>
      <c r="H376" s="193"/>
      <c r="I376" s="193"/>
      <c r="J376" s="193"/>
    </row>
    <row r="377" spans="1:10" customFormat="1" x14ac:dyDescent="0.35">
      <c r="A377" s="3"/>
      <c r="B377" s="3"/>
      <c r="C377" s="3"/>
      <c r="D377" s="3"/>
      <c r="E377" s="193"/>
      <c r="F377" s="193"/>
      <c r="G377" s="193"/>
      <c r="H377" s="193"/>
      <c r="I377" s="193"/>
      <c r="J377" s="193"/>
    </row>
    <row r="378" spans="1:10" customFormat="1" x14ac:dyDescent="0.35">
      <c r="A378" s="3"/>
      <c r="B378" s="3"/>
      <c r="C378" s="3"/>
      <c r="D378" s="3"/>
      <c r="E378" s="193"/>
      <c r="F378" s="193"/>
      <c r="G378" s="193"/>
      <c r="H378" s="193"/>
      <c r="I378" s="193"/>
      <c r="J378" s="193"/>
    </row>
    <row r="379" spans="1:10" customFormat="1" x14ac:dyDescent="0.35">
      <c r="A379" s="3"/>
      <c r="B379" s="3"/>
      <c r="C379" s="3"/>
      <c r="D379" s="3"/>
      <c r="E379" s="193"/>
      <c r="F379" s="193"/>
      <c r="G379" s="193"/>
      <c r="H379" s="193"/>
      <c r="I379" s="193"/>
      <c r="J379" s="193"/>
    </row>
    <row r="380" spans="1:10" customFormat="1" x14ac:dyDescent="0.35">
      <c r="A380" s="3"/>
      <c r="B380" s="3"/>
      <c r="C380" s="3"/>
      <c r="D380" s="3"/>
      <c r="E380" s="193"/>
      <c r="F380" s="193"/>
      <c r="G380" s="193"/>
      <c r="H380" s="193"/>
      <c r="I380" s="193"/>
      <c r="J380" s="193"/>
    </row>
    <row r="381" spans="1:10" customFormat="1" x14ac:dyDescent="0.35">
      <c r="A381" s="3"/>
      <c r="B381" s="3"/>
      <c r="C381" s="3"/>
      <c r="D381" s="3"/>
      <c r="E381" s="193"/>
      <c r="F381" s="193"/>
      <c r="G381" s="193"/>
      <c r="H381" s="193"/>
      <c r="I381" s="193"/>
      <c r="J381" s="193"/>
    </row>
    <row r="382" spans="1:10" customFormat="1" x14ac:dyDescent="0.35">
      <c r="A382" s="3"/>
      <c r="B382" s="3"/>
      <c r="C382" s="3"/>
      <c r="D382" s="3"/>
      <c r="E382" s="193"/>
      <c r="F382" s="193"/>
      <c r="G382" s="193"/>
      <c r="H382" s="193"/>
      <c r="I382" s="193"/>
      <c r="J382" s="193"/>
    </row>
    <row r="383" spans="1:10" customFormat="1" x14ac:dyDescent="0.35">
      <c r="A383" s="3"/>
      <c r="B383" s="3"/>
      <c r="C383" s="3"/>
      <c r="D383" s="3"/>
      <c r="E383" s="193"/>
      <c r="F383" s="193"/>
      <c r="G383" s="193"/>
      <c r="H383" s="193"/>
      <c r="I383" s="193"/>
      <c r="J383" s="193"/>
    </row>
    <row r="384" spans="1:10" customFormat="1" x14ac:dyDescent="0.35">
      <c r="A384" s="3"/>
      <c r="B384" s="3"/>
      <c r="C384" s="3"/>
      <c r="D384" s="3"/>
      <c r="E384" s="193"/>
      <c r="F384" s="193"/>
      <c r="G384" s="193"/>
      <c r="H384" s="193"/>
      <c r="I384" s="193"/>
      <c r="J384" s="193"/>
    </row>
    <row r="385" spans="1:10" customFormat="1" x14ac:dyDescent="0.35">
      <c r="A385" s="3"/>
      <c r="B385" s="3"/>
      <c r="C385" s="3"/>
      <c r="D385" s="3"/>
      <c r="E385" s="193"/>
      <c r="F385" s="193"/>
      <c r="G385" s="193"/>
      <c r="H385" s="193"/>
      <c r="I385" s="193"/>
      <c r="J385" s="193"/>
    </row>
    <row r="386" spans="1:10" customFormat="1" x14ac:dyDescent="0.35">
      <c r="A386" s="3"/>
      <c r="B386" s="3"/>
      <c r="C386" s="3"/>
      <c r="D386" s="3"/>
      <c r="E386" s="193"/>
      <c r="F386" s="193"/>
      <c r="G386" s="193"/>
      <c r="H386" s="193"/>
      <c r="I386" s="193"/>
      <c r="J386" s="193"/>
    </row>
    <row r="387" spans="1:10" customFormat="1" x14ac:dyDescent="0.35">
      <c r="A387" s="3"/>
      <c r="B387" s="3"/>
      <c r="C387" s="3"/>
      <c r="D387" s="3"/>
      <c r="E387" s="193"/>
      <c r="F387" s="193"/>
      <c r="G387" s="193"/>
      <c r="H387" s="193"/>
      <c r="I387" s="193"/>
      <c r="J387" s="193"/>
    </row>
    <row r="388" spans="1:10" customFormat="1" x14ac:dyDescent="0.35">
      <c r="A388" s="3"/>
      <c r="B388" s="3"/>
      <c r="C388" s="3"/>
      <c r="D388" s="3"/>
      <c r="E388" s="193"/>
      <c r="F388" s="193"/>
      <c r="G388" s="193"/>
      <c r="H388" s="193"/>
      <c r="I388" s="193"/>
      <c r="J388" s="193"/>
    </row>
    <row r="389" spans="1:10" customFormat="1" x14ac:dyDescent="0.35">
      <c r="A389" s="3"/>
      <c r="B389" s="3"/>
      <c r="C389" s="3"/>
      <c r="D389" s="3"/>
      <c r="E389" s="193"/>
      <c r="F389" s="193"/>
      <c r="G389" s="193"/>
      <c r="H389" s="193"/>
      <c r="I389" s="193"/>
      <c r="J389" s="193"/>
    </row>
    <row r="390" spans="1:10" customFormat="1" x14ac:dyDescent="0.35">
      <c r="A390" s="3"/>
      <c r="B390" s="3"/>
      <c r="C390" s="3"/>
      <c r="D390" s="3"/>
      <c r="E390" s="193"/>
      <c r="F390" s="193"/>
      <c r="G390" s="193"/>
      <c r="H390" s="193"/>
      <c r="I390" s="193"/>
      <c r="J390" s="193"/>
    </row>
    <row r="391" spans="1:10" customFormat="1" x14ac:dyDescent="0.35">
      <c r="A391" s="3"/>
      <c r="B391" s="3"/>
      <c r="C391" s="3"/>
      <c r="D391" s="3"/>
      <c r="E391" s="3"/>
      <c r="F391" s="3"/>
      <c r="G391" s="3"/>
      <c r="H391" s="3"/>
      <c r="I391" s="3"/>
      <c r="J391" s="3"/>
    </row>
    <row r="392" spans="1:10" customFormat="1" x14ac:dyDescent="0.35">
      <c r="A392" s="3"/>
      <c r="B392" s="3"/>
      <c r="C392" s="3"/>
      <c r="D392" s="3"/>
      <c r="E392" s="3"/>
      <c r="F392" s="3"/>
      <c r="G392" s="3"/>
      <c r="H392" s="3"/>
      <c r="I392" s="3"/>
      <c r="J392" s="3"/>
    </row>
    <row r="393" spans="1:10" customFormat="1" x14ac:dyDescent="0.35">
      <c r="A393" s="3"/>
      <c r="B393" s="3"/>
      <c r="C393" s="3"/>
      <c r="D393" s="3"/>
      <c r="E393" s="3"/>
      <c r="F393" s="3"/>
      <c r="G393" s="3"/>
      <c r="H393" s="3"/>
      <c r="I393" s="3"/>
      <c r="J393" s="3"/>
    </row>
    <row r="394" spans="1:10" customFormat="1" x14ac:dyDescent="0.35">
      <c r="A394" s="3"/>
      <c r="B394" s="3"/>
      <c r="C394" s="3"/>
      <c r="D394" s="3"/>
      <c r="E394" s="3"/>
      <c r="F394" s="3"/>
      <c r="G394" s="3"/>
      <c r="H394" s="3"/>
      <c r="I394" s="3"/>
      <c r="J394" s="3"/>
    </row>
    <row r="395" spans="1:10" customFormat="1" x14ac:dyDescent="0.35">
      <c r="A395" s="3"/>
      <c r="B395" s="3"/>
      <c r="C395" s="3"/>
      <c r="D395" s="3"/>
      <c r="E395" s="3"/>
      <c r="F395" s="3"/>
      <c r="G395" s="3"/>
      <c r="H395" s="3"/>
      <c r="I395" s="3"/>
      <c r="J395" s="3"/>
    </row>
    <row r="396" spans="1:10" customFormat="1" x14ac:dyDescent="0.35">
      <c r="A396" s="3"/>
      <c r="B396" s="3"/>
      <c r="C396" s="3"/>
      <c r="D396" s="3"/>
      <c r="E396" s="3"/>
      <c r="F396" s="3"/>
      <c r="G396" s="3"/>
      <c r="H396" s="3"/>
      <c r="I396" s="3"/>
      <c r="J396" s="3"/>
    </row>
    <row r="397" spans="1:10" customFormat="1" x14ac:dyDescent="0.35">
      <c r="A397" s="3"/>
      <c r="B397" s="3"/>
      <c r="C397" s="3"/>
      <c r="D397" s="3"/>
      <c r="E397" s="3"/>
      <c r="F397" s="3"/>
      <c r="G397" s="3"/>
      <c r="H397" s="3"/>
      <c r="I397" s="3"/>
      <c r="J397" s="3"/>
    </row>
    <row r="398" spans="1:10" customFormat="1" x14ac:dyDescent="0.35">
      <c r="A398" s="3"/>
      <c r="B398" s="3"/>
      <c r="C398" s="3"/>
      <c r="D398" s="3"/>
      <c r="E398" s="3"/>
      <c r="F398" s="3"/>
      <c r="G398" s="3"/>
      <c r="H398" s="3"/>
      <c r="I398" s="3"/>
      <c r="J398" s="3"/>
    </row>
    <row r="401" spans="1:11" customFormat="1" x14ac:dyDescent="0.35">
      <c r="A401" s="35"/>
      <c r="B401" s="35"/>
      <c r="C401" s="3"/>
      <c r="D401" s="3"/>
      <c r="E401" s="3"/>
      <c r="F401" s="3"/>
      <c r="G401" s="3"/>
      <c r="H401" s="3"/>
      <c r="I401" s="3"/>
      <c r="J401" s="35"/>
      <c r="K401" s="35"/>
    </row>
    <row r="402" spans="1:11" customFormat="1" x14ac:dyDescent="0.35">
      <c r="A402" s="35"/>
      <c r="B402" s="35"/>
      <c r="C402" s="3"/>
      <c r="D402" s="3"/>
      <c r="E402" s="3"/>
      <c r="F402" s="3"/>
      <c r="G402" s="3"/>
      <c r="H402" s="3"/>
      <c r="I402" s="3"/>
      <c r="J402" s="35"/>
      <c r="K402" s="35"/>
    </row>
    <row r="403" spans="1:11" customFormat="1" x14ac:dyDescent="0.35">
      <c r="A403" s="35"/>
      <c r="B403" s="35"/>
      <c r="C403" s="3"/>
      <c r="D403" s="3"/>
      <c r="E403" s="3"/>
      <c r="F403" s="3"/>
      <c r="G403" s="3"/>
      <c r="H403" s="3"/>
      <c r="I403" s="3"/>
      <c r="J403" s="35"/>
      <c r="K403" s="35"/>
    </row>
    <row r="404" spans="1:11" customFormat="1" x14ac:dyDescent="0.35">
      <c r="A404" s="3"/>
      <c r="B404" s="3"/>
      <c r="C404" s="3"/>
      <c r="D404" s="3"/>
      <c r="E404" s="3"/>
      <c r="F404" s="3"/>
      <c r="G404" s="3"/>
      <c r="H404" s="3"/>
      <c r="I404" s="3"/>
      <c r="J404" s="3"/>
      <c r="K404" s="3"/>
    </row>
    <row r="405" spans="1:11" customFormat="1" x14ac:dyDescent="0.35">
      <c r="A405" s="3"/>
      <c r="B405" s="3"/>
      <c r="C405" s="3"/>
      <c r="D405" s="3"/>
      <c r="E405" s="3"/>
      <c r="F405" s="3"/>
      <c r="G405" s="3"/>
      <c r="H405" s="3"/>
      <c r="I405" s="3"/>
      <c r="J405" s="3"/>
      <c r="K405" s="3"/>
    </row>
    <row r="406" spans="1:11" customFormat="1" x14ac:dyDescent="0.35">
      <c r="A406" s="3"/>
      <c r="B406" s="3"/>
      <c r="C406" s="3"/>
      <c r="D406" s="3"/>
      <c r="E406" s="3"/>
      <c r="F406" s="3"/>
      <c r="G406" s="3"/>
      <c r="H406" s="3"/>
      <c r="I406" s="3"/>
      <c r="J406" s="3"/>
      <c r="K406" s="3"/>
    </row>
    <row r="407" spans="1:11" customFormat="1" x14ac:dyDescent="0.35">
      <c r="A407" s="3"/>
      <c r="B407" s="3"/>
      <c r="C407" s="3"/>
      <c r="D407" s="3"/>
      <c r="E407" s="3"/>
      <c r="F407" s="3"/>
      <c r="G407" s="3"/>
      <c r="H407" s="3"/>
      <c r="I407" s="3"/>
      <c r="J407" s="3"/>
      <c r="K407" s="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B8C5E-D196-4198-AF46-AA599D8569A1}">
  <sheetPr codeName="Blad4">
    <tabColor rgb="FF00B0F0"/>
  </sheetPr>
  <dimension ref="A1:Q403"/>
  <sheetViews>
    <sheetView topLeftCell="H220" workbookViewId="0">
      <selection activeCell="M238" sqref="M238"/>
    </sheetView>
  </sheetViews>
  <sheetFormatPr defaultRowHeight="14.5" x14ac:dyDescent="0.35"/>
  <cols>
    <col min="1" max="1" width="5.7265625" customWidth="1"/>
    <col min="2" max="2" width="8.7265625" customWidth="1"/>
    <col min="3" max="3" width="21.1796875" customWidth="1"/>
    <col min="4" max="4" width="17.1796875" customWidth="1"/>
    <col min="5" max="10" width="18.36328125" customWidth="1"/>
    <col min="11" max="11" width="8.7265625" customWidth="1"/>
    <col min="12" max="17" width="12.36328125" customWidth="1"/>
    <col min="18" max="19" width="8.7265625" customWidth="1"/>
  </cols>
  <sheetData>
    <row r="1" spans="1:17" ht="12.75" customHeight="1" x14ac:dyDescent="0.35">
      <c r="B1" s="175" t="s">
        <v>1278</v>
      </c>
      <c r="D1" s="174"/>
    </row>
    <row r="2" spans="1:17" ht="12.75" customHeight="1" x14ac:dyDescent="0.35"/>
    <row r="3" spans="1:17" ht="12.75" customHeight="1" x14ac:dyDescent="0.35">
      <c r="B3" s="2" t="s">
        <v>1277</v>
      </c>
    </row>
    <row r="4" spans="1:17" ht="12.75" customHeight="1" x14ac:dyDescent="0.35">
      <c r="B4" s="5" t="s">
        <v>1251</v>
      </c>
    </row>
    <row r="5" spans="1:17" ht="12.75" customHeight="1" x14ac:dyDescent="0.35"/>
    <row r="6" spans="1:17" ht="12.75" customHeight="1" x14ac:dyDescent="0.35">
      <c r="E6" s="148" t="s">
        <v>366</v>
      </c>
      <c r="F6" s="148" t="s">
        <v>366</v>
      </c>
      <c r="G6" s="148" t="s">
        <v>366</v>
      </c>
      <c r="H6" s="148" t="s">
        <v>366</v>
      </c>
      <c r="I6" s="148" t="s">
        <v>366</v>
      </c>
      <c r="J6" s="148" t="s">
        <v>366</v>
      </c>
    </row>
    <row r="7" spans="1:17" ht="12.75" customHeight="1" x14ac:dyDescent="0.35">
      <c r="E7" s="149" t="s">
        <v>367</v>
      </c>
      <c r="F7" s="149" t="s">
        <v>367</v>
      </c>
      <c r="G7" s="149" t="s">
        <v>367</v>
      </c>
      <c r="H7" s="149" t="s">
        <v>367</v>
      </c>
      <c r="I7" s="149" t="s">
        <v>367</v>
      </c>
      <c r="J7" s="149" t="s">
        <v>367</v>
      </c>
    </row>
    <row r="8" spans="1:17" ht="12.75" customHeight="1" x14ac:dyDescent="0.35">
      <c r="A8" s="410"/>
      <c r="D8" s="148" t="s">
        <v>366</v>
      </c>
      <c r="E8" s="149" t="s">
        <v>1279</v>
      </c>
      <c r="F8" s="149" t="s">
        <v>1280</v>
      </c>
      <c r="G8" s="149" t="s">
        <v>1280</v>
      </c>
      <c r="H8" s="149" t="s">
        <v>1280</v>
      </c>
      <c r="I8" s="149" t="s">
        <v>1280</v>
      </c>
      <c r="J8" s="149" t="s">
        <v>1280</v>
      </c>
    </row>
    <row r="9" spans="1:17" ht="12.75" customHeight="1" x14ac:dyDescent="0.35">
      <c r="A9" s="410"/>
      <c r="B9" s="96" t="s">
        <v>8</v>
      </c>
      <c r="C9" s="97" t="s">
        <v>9</v>
      </c>
      <c r="D9" s="150" t="s">
        <v>367</v>
      </c>
      <c r="E9" s="151">
        <v>2020</v>
      </c>
      <c r="F9" s="151">
        <v>2021</v>
      </c>
      <c r="G9" s="151">
        <v>2022</v>
      </c>
      <c r="H9" s="151">
        <v>2023</v>
      </c>
      <c r="I9" s="151">
        <v>2024</v>
      </c>
      <c r="J9" s="151">
        <v>2025</v>
      </c>
      <c r="L9" s="152">
        <v>2020</v>
      </c>
      <c r="M9" s="153">
        <v>2021</v>
      </c>
      <c r="N9" s="153">
        <v>2022</v>
      </c>
      <c r="O9" s="153">
        <v>2023</v>
      </c>
      <c r="P9" s="153">
        <v>2024</v>
      </c>
      <c r="Q9" s="154">
        <v>2025</v>
      </c>
    </row>
    <row r="10" spans="1:17" ht="12.75" customHeight="1" x14ac:dyDescent="0.35">
      <c r="A10" s="12"/>
      <c r="B10" s="155"/>
      <c r="C10" s="156" t="s">
        <v>11</v>
      </c>
      <c r="D10" s="406">
        <f t="shared" ref="D10:J10" si="0">SUM(D11:D365)</f>
        <v>1.0000000000000002</v>
      </c>
      <c r="E10" s="411">
        <f t="shared" si="0"/>
        <v>1.0003325945774222</v>
      </c>
      <c r="F10" s="411">
        <f t="shared" si="0"/>
        <v>1.0002436988092678</v>
      </c>
      <c r="G10" s="411">
        <f t="shared" si="0"/>
        <v>1.0002065075647755</v>
      </c>
      <c r="H10" s="157">
        <f t="shared" si="0"/>
        <v>1.0001762780156134</v>
      </c>
      <c r="I10" s="157">
        <f t="shared" si="0"/>
        <v>1.00016243583433</v>
      </c>
      <c r="J10" s="157">
        <f t="shared" si="0"/>
        <v>1.0001485740747891</v>
      </c>
      <c r="L10" s="407">
        <v>103786000</v>
      </c>
      <c r="M10" s="408">
        <v>106557000</v>
      </c>
      <c r="N10" s="408">
        <v>118784000</v>
      </c>
      <c r="O10" s="408">
        <v>131043000</v>
      </c>
      <c r="P10" s="408">
        <v>142210000</v>
      </c>
      <c r="Q10" s="409">
        <v>155478000</v>
      </c>
    </row>
    <row r="11" spans="1:17" ht="12.75" customHeight="1" x14ac:dyDescent="0.35">
      <c r="A11" s="81"/>
      <c r="B11" s="100">
        <v>1680</v>
      </c>
      <c r="C11" s="160" t="s">
        <v>0</v>
      </c>
      <c r="D11" s="161">
        <v>8.6247451779833699E-4</v>
      </c>
      <c r="E11" s="161">
        <f t="shared" ref="E11:E74" si="1">MAX(9000/L$10,$D11)</f>
        <v>8.6247451779833699E-4</v>
      </c>
      <c r="F11" s="162">
        <f t="shared" ref="F11:J61" si="2">MAX(7700/M$10,$D11)</f>
        <v>8.6247451779833699E-4</v>
      </c>
      <c r="G11" s="162">
        <f t="shared" si="2"/>
        <v>8.6247451779833699E-4</v>
      </c>
      <c r="H11" s="162">
        <f t="shared" si="2"/>
        <v>8.6247451779833699E-4</v>
      </c>
      <c r="I11" s="162">
        <f t="shared" si="2"/>
        <v>8.6247451779833699E-4</v>
      </c>
      <c r="J11" s="163">
        <f t="shared" si="2"/>
        <v>8.6247451779833699E-4</v>
      </c>
      <c r="L11" s="164">
        <f t="shared" ref="L11:Q53" si="3">E11/E$10*L$10</f>
        <v>89483.018737414779</v>
      </c>
      <c r="M11" s="165">
        <f t="shared" si="3"/>
        <v>91880.306071852523</v>
      </c>
      <c r="N11" s="165">
        <f t="shared" si="3"/>
        <v>102427.02116744917</v>
      </c>
      <c r="O11" s="165">
        <f t="shared" si="3"/>
        <v>113001.32858588269</v>
      </c>
      <c r="P11" s="165">
        <f t="shared" si="3"/>
        <v>122632.58125045005</v>
      </c>
      <c r="Q11" s="166">
        <f t="shared" si="3"/>
        <v>134075.89287651418</v>
      </c>
    </row>
    <row r="12" spans="1:17" ht="12.75" customHeight="1" x14ac:dyDescent="0.35">
      <c r="A12" s="81"/>
      <c r="B12" s="100">
        <v>358</v>
      </c>
      <c r="C12" s="160" t="s">
        <v>12</v>
      </c>
      <c r="D12" s="161">
        <v>7.84067743453034E-4</v>
      </c>
      <c r="E12" s="161">
        <f t="shared" si="1"/>
        <v>7.84067743453034E-4</v>
      </c>
      <c r="F12" s="162">
        <f t="shared" si="2"/>
        <v>7.84067743453034E-4</v>
      </c>
      <c r="G12" s="162">
        <f t="shared" si="2"/>
        <v>7.84067743453034E-4</v>
      </c>
      <c r="H12" s="162">
        <f t="shared" si="2"/>
        <v>7.84067743453034E-4</v>
      </c>
      <c r="I12" s="162">
        <f t="shared" si="2"/>
        <v>7.84067743453034E-4</v>
      </c>
      <c r="J12" s="163">
        <f t="shared" si="2"/>
        <v>7.84067743453034E-4</v>
      </c>
      <c r="L12" s="164">
        <f t="shared" si="3"/>
        <v>81348.198852195288</v>
      </c>
      <c r="M12" s="165">
        <f t="shared" si="3"/>
        <v>83527.550974411424</v>
      </c>
      <c r="N12" s="165">
        <f t="shared" si="3"/>
        <v>93115.473788590185</v>
      </c>
      <c r="O12" s="165">
        <f t="shared" si="3"/>
        <v>102728.48053262066</v>
      </c>
      <c r="P12" s="165">
        <f t="shared" si="3"/>
        <v>111484.16477313646</v>
      </c>
      <c r="Q12" s="166">
        <f t="shared" si="3"/>
        <v>121887.17534228569</v>
      </c>
    </row>
    <row r="13" spans="1:17" ht="12.75" customHeight="1" x14ac:dyDescent="0.35">
      <c r="A13" s="81"/>
      <c r="B13" s="100">
        <v>197</v>
      </c>
      <c r="C13" s="160" t="s">
        <v>13</v>
      </c>
      <c r="D13" s="161">
        <v>9.4088129214364095E-4</v>
      </c>
      <c r="E13" s="161">
        <f t="shared" si="1"/>
        <v>9.4088129214364095E-4</v>
      </c>
      <c r="F13" s="162">
        <f t="shared" si="2"/>
        <v>9.4088129214364095E-4</v>
      </c>
      <c r="G13" s="162">
        <f t="shared" si="2"/>
        <v>9.4088129214364095E-4</v>
      </c>
      <c r="H13" s="162">
        <f t="shared" si="2"/>
        <v>9.4088129214364095E-4</v>
      </c>
      <c r="I13" s="162">
        <f t="shared" si="2"/>
        <v>9.4088129214364095E-4</v>
      </c>
      <c r="J13" s="163">
        <f t="shared" si="2"/>
        <v>9.4088129214364095E-4</v>
      </c>
      <c r="L13" s="164">
        <f t="shared" si="3"/>
        <v>97617.838622634357</v>
      </c>
      <c r="M13" s="165">
        <f t="shared" si="3"/>
        <v>100233.06116929372</v>
      </c>
      <c r="N13" s="165">
        <f t="shared" si="3"/>
        <v>111738.56854630825</v>
      </c>
      <c r="O13" s="165">
        <f t="shared" si="3"/>
        <v>123274.17663914483</v>
      </c>
      <c r="P13" s="165">
        <f t="shared" si="3"/>
        <v>133780.99772776378</v>
      </c>
      <c r="Q13" s="166">
        <f t="shared" si="3"/>
        <v>146264.61041074284</v>
      </c>
    </row>
    <row r="14" spans="1:17" ht="12.75" customHeight="1" x14ac:dyDescent="0.35">
      <c r="A14" s="81"/>
      <c r="B14" s="100">
        <v>59</v>
      </c>
      <c r="C14" s="160" t="s">
        <v>14</v>
      </c>
      <c r="D14" s="161">
        <v>1.15649992159323E-3</v>
      </c>
      <c r="E14" s="161">
        <f t="shared" si="1"/>
        <v>1.15649992159323E-3</v>
      </c>
      <c r="F14" s="162">
        <f t="shared" si="2"/>
        <v>1.15649992159323E-3</v>
      </c>
      <c r="G14" s="162">
        <f t="shared" si="2"/>
        <v>1.15649992159323E-3</v>
      </c>
      <c r="H14" s="162">
        <f t="shared" si="2"/>
        <v>1.15649992159323E-3</v>
      </c>
      <c r="I14" s="162">
        <f t="shared" si="2"/>
        <v>1.15649992159323E-3</v>
      </c>
      <c r="J14" s="163">
        <f t="shared" si="2"/>
        <v>1.15649992159323E-3</v>
      </c>
      <c r="L14" s="164">
        <f t="shared" si="3"/>
        <v>119988.59330698855</v>
      </c>
      <c r="M14" s="165">
        <f t="shared" si="3"/>
        <v>123203.13768725736</v>
      </c>
      <c r="N14" s="165">
        <f t="shared" si="3"/>
        <v>137345.32383817111</v>
      </c>
      <c r="O14" s="165">
        <f t="shared" si="3"/>
        <v>151524.50878561611</v>
      </c>
      <c r="P14" s="165">
        <f t="shared" si="3"/>
        <v>164439.14304037698</v>
      </c>
      <c r="Q14" s="166">
        <f t="shared" si="3"/>
        <v>179783.58362987216</v>
      </c>
    </row>
    <row r="15" spans="1:17" ht="12.75" customHeight="1" x14ac:dyDescent="0.35">
      <c r="A15" s="81"/>
      <c r="B15" s="100">
        <v>482</v>
      </c>
      <c r="C15" s="160" t="s">
        <v>15</v>
      </c>
      <c r="D15" s="161">
        <v>9.0167790497098902E-4</v>
      </c>
      <c r="E15" s="161">
        <f t="shared" si="1"/>
        <v>9.0167790497098902E-4</v>
      </c>
      <c r="F15" s="162">
        <f t="shared" si="2"/>
        <v>9.0167790497098902E-4</v>
      </c>
      <c r="G15" s="162">
        <f t="shared" si="2"/>
        <v>9.0167790497098902E-4</v>
      </c>
      <c r="H15" s="162">
        <f t="shared" si="2"/>
        <v>9.0167790497098902E-4</v>
      </c>
      <c r="I15" s="162">
        <f t="shared" si="2"/>
        <v>9.0167790497098902E-4</v>
      </c>
      <c r="J15" s="163">
        <f t="shared" si="2"/>
        <v>9.0167790497098902E-4</v>
      </c>
      <c r="L15" s="164">
        <f t="shared" si="3"/>
        <v>93550.428680024575</v>
      </c>
      <c r="M15" s="165">
        <f t="shared" si="3"/>
        <v>96056.683620573138</v>
      </c>
      <c r="N15" s="165">
        <f t="shared" si="3"/>
        <v>107082.79485687871</v>
      </c>
      <c r="O15" s="165">
        <f t="shared" si="3"/>
        <v>118137.75261251377</v>
      </c>
      <c r="P15" s="165">
        <f t="shared" si="3"/>
        <v>128206.78948910692</v>
      </c>
      <c r="Q15" s="166">
        <f t="shared" si="3"/>
        <v>140170.25164362852</v>
      </c>
    </row>
    <row r="16" spans="1:17" ht="12.75" customHeight="1" x14ac:dyDescent="0.35">
      <c r="A16" s="81"/>
      <c r="B16" s="100">
        <v>613</v>
      </c>
      <c r="C16" s="160" t="s">
        <v>16</v>
      </c>
      <c r="D16" s="161">
        <v>1.72494903559668E-3</v>
      </c>
      <c r="E16" s="161">
        <f t="shared" si="1"/>
        <v>1.72494903559668E-3</v>
      </c>
      <c r="F16" s="162">
        <f t="shared" si="2"/>
        <v>1.72494903559668E-3</v>
      </c>
      <c r="G16" s="162">
        <f t="shared" si="2"/>
        <v>1.72494903559668E-3</v>
      </c>
      <c r="H16" s="162">
        <f t="shared" si="2"/>
        <v>1.72494903559668E-3</v>
      </c>
      <c r="I16" s="162">
        <f t="shared" si="2"/>
        <v>1.72494903559668E-3</v>
      </c>
      <c r="J16" s="163">
        <f t="shared" si="2"/>
        <v>1.72494903559668E-3</v>
      </c>
      <c r="L16" s="164">
        <f t="shared" si="3"/>
        <v>178966.03747483017</v>
      </c>
      <c r="M16" s="165">
        <f t="shared" si="3"/>
        <v>183760.61214370569</v>
      </c>
      <c r="N16" s="165">
        <f t="shared" si="3"/>
        <v>204854.04233489907</v>
      </c>
      <c r="O16" s="165">
        <f t="shared" si="3"/>
        <v>226002.65717176616</v>
      </c>
      <c r="P16" s="165">
        <f t="shared" si="3"/>
        <v>245265.16250090094</v>
      </c>
      <c r="Q16" s="166">
        <f t="shared" si="3"/>
        <v>268151.78575302934</v>
      </c>
    </row>
    <row r="17" spans="1:17" ht="12.75" customHeight="1" x14ac:dyDescent="0.35">
      <c r="A17" s="81"/>
      <c r="B17" s="100">
        <v>361</v>
      </c>
      <c r="C17" s="160" t="s">
        <v>17</v>
      </c>
      <c r="D17" s="161">
        <v>8.3111180806021701E-3</v>
      </c>
      <c r="E17" s="161">
        <f t="shared" si="1"/>
        <v>8.3111180806021701E-3</v>
      </c>
      <c r="F17" s="162">
        <f t="shared" si="2"/>
        <v>8.3111180806021701E-3</v>
      </c>
      <c r="G17" s="162">
        <f t="shared" si="2"/>
        <v>8.3111180806021701E-3</v>
      </c>
      <c r="H17" s="162">
        <f t="shared" si="2"/>
        <v>8.3111180806021701E-3</v>
      </c>
      <c r="I17" s="162">
        <f t="shared" si="2"/>
        <v>8.3111180806021701E-3</v>
      </c>
      <c r="J17" s="163">
        <f t="shared" si="2"/>
        <v>8.3111180806021701E-3</v>
      </c>
      <c r="L17" s="164">
        <f t="shared" si="3"/>
        <v>862290.90783327108</v>
      </c>
      <c r="M17" s="165">
        <f t="shared" si="3"/>
        <v>885392.04032876226</v>
      </c>
      <c r="N17" s="165">
        <f t="shared" si="3"/>
        <v>987024.0221590572</v>
      </c>
      <c r="O17" s="165">
        <f t="shared" si="3"/>
        <v>1088921.8936457804</v>
      </c>
      <c r="P17" s="165">
        <f t="shared" si="3"/>
        <v>1181732.146595248</v>
      </c>
      <c r="Q17" s="166">
        <f t="shared" si="3"/>
        <v>1292004.0586282299</v>
      </c>
    </row>
    <row r="18" spans="1:17" ht="12.75" customHeight="1" x14ac:dyDescent="0.35">
      <c r="A18" s="81"/>
      <c r="B18" s="100">
        <v>141</v>
      </c>
      <c r="C18" s="160" t="s">
        <v>18</v>
      </c>
      <c r="D18" s="161">
        <v>8.7031519523286804E-3</v>
      </c>
      <c r="E18" s="161">
        <f t="shared" si="1"/>
        <v>8.7031519523286804E-3</v>
      </c>
      <c r="F18" s="162">
        <f t="shared" si="2"/>
        <v>8.7031519523286804E-3</v>
      </c>
      <c r="G18" s="162">
        <f t="shared" si="2"/>
        <v>8.7031519523286804E-3</v>
      </c>
      <c r="H18" s="162">
        <f t="shared" si="2"/>
        <v>8.7031519523286804E-3</v>
      </c>
      <c r="I18" s="162">
        <f t="shared" si="2"/>
        <v>8.7031519523286804E-3</v>
      </c>
      <c r="J18" s="163">
        <f t="shared" si="2"/>
        <v>8.7031519523286804E-3</v>
      </c>
      <c r="L18" s="164">
        <f t="shared" si="3"/>
        <v>902965.00725936808</v>
      </c>
      <c r="M18" s="165">
        <f t="shared" si="3"/>
        <v>927155.81581596716</v>
      </c>
      <c r="N18" s="165">
        <f t="shared" si="3"/>
        <v>1033581.7590533516</v>
      </c>
      <c r="O18" s="165">
        <f t="shared" si="3"/>
        <v>1140286.1339120897</v>
      </c>
      <c r="P18" s="165">
        <f t="shared" si="3"/>
        <v>1237474.2289818153</v>
      </c>
      <c r="Q18" s="166">
        <f t="shared" si="3"/>
        <v>1352947.6462993715</v>
      </c>
    </row>
    <row r="19" spans="1:17" ht="12.75" customHeight="1" x14ac:dyDescent="0.35">
      <c r="A19" s="81"/>
      <c r="B19" s="100">
        <v>34</v>
      </c>
      <c r="C19" s="160" t="s">
        <v>19</v>
      </c>
      <c r="D19" s="161">
        <v>1.0839736553238199E-2</v>
      </c>
      <c r="E19" s="161">
        <f t="shared" si="1"/>
        <v>1.0839736553238199E-2</v>
      </c>
      <c r="F19" s="162">
        <f t="shared" si="2"/>
        <v>1.0839736553238199E-2</v>
      </c>
      <c r="G19" s="162">
        <f t="shared" si="2"/>
        <v>1.0839736553238199E-2</v>
      </c>
      <c r="H19" s="162">
        <f t="shared" si="2"/>
        <v>1.0839736553238199E-2</v>
      </c>
      <c r="I19" s="162">
        <f t="shared" si="2"/>
        <v>1.0839736553238199E-2</v>
      </c>
      <c r="J19" s="163">
        <f t="shared" si="2"/>
        <v>1.0839736553238199E-2</v>
      </c>
      <c r="L19" s="164">
        <f t="shared" si="3"/>
        <v>1124638.8491316002</v>
      </c>
      <c r="M19" s="165">
        <f t="shared" si="3"/>
        <v>1154768.3922212385</v>
      </c>
      <c r="N19" s="165">
        <f t="shared" si="3"/>
        <v>1287321.4251272599</v>
      </c>
      <c r="O19" s="165">
        <f t="shared" si="3"/>
        <v>1420221.2433634812</v>
      </c>
      <c r="P19" s="165">
        <f t="shared" si="3"/>
        <v>1541268.5779886122</v>
      </c>
      <c r="Q19" s="166">
        <f t="shared" si="3"/>
        <v>1685090.1991071003</v>
      </c>
    </row>
    <row r="20" spans="1:17" ht="12.75" customHeight="1" x14ac:dyDescent="0.35">
      <c r="A20" s="81"/>
      <c r="B20" s="100">
        <v>484</v>
      </c>
      <c r="C20" s="160" t="s">
        <v>20</v>
      </c>
      <c r="D20" s="161">
        <v>6.0765250117610203E-3</v>
      </c>
      <c r="E20" s="161">
        <f t="shared" si="1"/>
        <v>6.0765250117610203E-3</v>
      </c>
      <c r="F20" s="162">
        <f t="shared" si="2"/>
        <v>6.0765250117610203E-3</v>
      </c>
      <c r="G20" s="162">
        <f t="shared" si="2"/>
        <v>6.0765250117610203E-3</v>
      </c>
      <c r="H20" s="162">
        <f t="shared" si="2"/>
        <v>6.0765250117610203E-3</v>
      </c>
      <c r="I20" s="162">
        <f t="shared" si="2"/>
        <v>6.0765250117610203E-3</v>
      </c>
      <c r="J20" s="163">
        <f t="shared" si="2"/>
        <v>6.0765250117610203E-3</v>
      </c>
      <c r="L20" s="164">
        <f t="shared" si="3"/>
        <v>630448.54110451415</v>
      </c>
      <c r="M20" s="165">
        <f t="shared" si="3"/>
        <v>647338.52005168924</v>
      </c>
      <c r="N20" s="165">
        <f t="shared" si="3"/>
        <v>721644.92186157475</v>
      </c>
      <c r="O20" s="165">
        <f t="shared" si="3"/>
        <v>796145.72412781115</v>
      </c>
      <c r="P20" s="165">
        <f t="shared" si="3"/>
        <v>864002.27699180855</v>
      </c>
      <c r="Q20" s="166">
        <f t="shared" si="3"/>
        <v>944625.60890271503</v>
      </c>
    </row>
    <row r="21" spans="1:17" ht="12.75" customHeight="1" x14ac:dyDescent="0.35">
      <c r="A21" s="81"/>
      <c r="B21" s="100">
        <v>1723</v>
      </c>
      <c r="C21" s="160" t="s">
        <v>21</v>
      </c>
      <c r="D21" s="161">
        <v>7.8406774345303394E-5</v>
      </c>
      <c r="E21" s="161">
        <f t="shared" si="1"/>
        <v>8.6716898232902325E-5</v>
      </c>
      <c r="F21" s="162">
        <f t="shared" si="2"/>
        <v>7.8406774345303394E-5</v>
      </c>
      <c r="G21" s="162">
        <f t="shared" si="2"/>
        <v>7.8406774345303394E-5</v>
      </c>
      <c r="H21" s="162">
        <f t="shared" si="2"/>
        <v>7.8406774345303394E-5</v>
      </c>
      <c r="I21" s="162">
        <f t="shared" si="2"/>
        <v>7.8406774345303394E-5</v>
      </c>
      <c r="J21" s="163">
        <f t="shared" si="2"/>
        <v>7.8406774345303394E-5</v>
      </c>
      <c r="L21" s="164">
        <f t="shared" si="3"/>
        <v>8997.0076440445646</v>
      </c>
      <c r="M21" s="165">
        <f t="shared" si="3"/>
        <v>8352.7550974411424</v>
      </c>
      <c r="N21" s="165">
        <f t="shared" si="3"/>
        <v>9311.5473788590189</v>
      </c>
      <c r="O21" s="165">
        <f t="shared" si="3"/>
        <v>10272.848053262065</v>
      </c>
      <c r="P21" s="165">
        <f t="shared" si="3"/>
        <v>11148.416477313645</v>
      </c>
      <c r="Q21" s="166">
        <f t="shared" si="3"/>
        <v>12188.717534228566</v>
      </c>
    </row>
    <row r="22" spans="1:17" ht="12.75" customHeight="1" x14ac:dyDescent="0.35">
      <c r="A22" s="81"/>
      <c r="B22" s="100">
        <v>1959</v>
      </c>
      <c r="C22" s="160" t="s">
        <v>22</v>
      </c>
      <c r="D22" s="161">
        <v>2.8814489571898998E-3</v>
      </c>
      <c r="E22" s="161">
        <f t="shared" si="1"/>
        <v>2.8814489571898998E-3</v>
      </c>
      <c r="F22" s="162">
        <f t="shared" si="2"/>
        <v>2.8814489571898998E-3</v>
      </c>
      <c r="G22" s="162">
        <f t="shared" si="2"/>
        <v>2.8814489571898998E-3</v>
      </c>
      <c r="H22" s="162">
        <f t="shared" si="2"/>
        <v>2.8814489571898998E-3</v>
      </c>
      <c r="I22" s="162">
        <f t="shared" si="2"/>
        <v>2.8814489571898998E-3</v>
      </c>
      <c r="J22" s="163">
        <f t="shared" si="2"/>
        <v>2.8814489571898998E-3</v>
      </c>
      <c r="L22" s="164">
        <f t="shared" si="3"/>
        <v>298954.63078181766</v>
      </c>
      <c r="M22" s="165">
        <f t="shared" si="3"/>
        <v>306963.74983096198</v>
      </c>
      <c r="N22" s="165">
        <f t="shared" si="3"/>
        <v>342199.36617306893</v>
      </c>
      <c r="O22" s="165">
        <f t="shared" si="3"/>
        <v>377527.16595738096</v>
      </c>
      <c r="P22" s="165">
        <f t="shared" si="3"/>
        <v>409704.30554127647</v>
      </c>
      <c r="Q22" s="166">
        <f t="shared" si="3"/>
        <v>447935.36938289984</v>
      </c>
    </row>
    <row r="23" spans="1:17" ht="12.75" customHeight="1" x14ac:dyDescent="0.35">
      <c r="A23" s="81"/>
      <c r="B23" s="100">
        <v>60</v>
      </c>
      <c r="C23" s="160" t="s">
        <v>23</v>
      </c>
      <c r="D23" s="161">
        <v>5.88050807589776E-5</v>
      </c>
      <c r="E23" s="161">
        <f t="shared" si="1"/>
        <v>8.6716898232902325E-5</v>
      </c>
      <c r="F23" s="162">
        <f t="shared" si="2"/>
        <v>7.2261794157117785E-5</v>
      </c>
      <c r="G23" s="162">
        <f t="shared" si="2"/>
        <v>6.4823545258620684E-5</v>
      </c>
      <c r="H23" s="162">
        <f t="shared" si="2"/>
        <v>5.88050807589776E-5</v>
      </c>
      <c r="I23" s="162">
        <f t="shared" si="2"/>
        <v>5.88050807589776E-5</v>
      </c>
      <c r="J23" s="163">
        <f t="shared" si="2"/>
        <v>5.88050807589776E-5</v>
      </c>
      <c r="L23" s="164">
        <f t="shared" si="3"/>
        <v>8997.0076440445646</v>
      </c>
      <c r="M23" s="165">
        <f t="shared" si="3"/>
        <v>7698.1239763533658</v>
      </c>
      <c r="N23" s="165">
        <f t="shared" si="3"/>
        <v>7698.4102200528141</v>
      </c>
      <c r="O23" s="165">
        <f t="shared" si="3"/>
        <v>7704.6360399465566</v>
      </c>
      <c r="P23" s="165">
        <f t="shared" si="3"/>
        <v>8361.3123579852418</v>
      </c>
      <c r="Q23" s="166">
        <f t="shared" si="3"/>
        <v>9141.5381506714348</v>
      </c>
    </row>
    <row r="24" spans="1:17" ht="12.75" customHeight="1" x14ac:dyDescent="0.35">
      <c r="A24" s="81"/>
      <c r="B24" s="100">
        <v>307</v>
      </c>
      <c r="C24" s="160" t="s">
        <v>24</v>
      </c>
      <c r="D24" s="161">
        <v>6.80178767445507E-3</v>
      </c>
      <c r="E24" s="161">
        <f t="shared" si="1"/>
        <v>6.80178767445507E-3</v>
      </c>
      <c r="F24" s="162">
        <f t="shared" si="2"/>
        <v>6.80178767445507E-3</v>
      </c>
      <c r="G24" s="162">
        <f t="shared" si="2"/>
        <v>6.80178767445507E-3</v>
      </c>
      <c r="H24" s="162">
        <f t="shared" si="2"/>
        <v>6.80178767445507E-3</v>
      </c>
      <c r="I24" s="162">
        <f t="shared" si="2"/>
        <v>6.80178767445507E-3</v>
      </c>
      <c r="J24" s="163">
        <f t="shared" si="2"/>
        <v>6.80178767445507E-3</v>
      </c>
      <c r="L24" s="164">
        <f t="shared" si="3"/>
        <v>705695.62504279416</v>
      </c>
      <c r="M24" s="165">
        <f t="shared" si="3"/>
        <v>724601.50470301916</v>
      </c>
      <c r="N24" s="165">
        <f t="shared" si="3"/>
        <v>807776.73511601996</v>
      </c>
      <c r="O24" s="165">
        <f t="shared" si="3"/>
        <v>891169.56862048432</v>
      </c>
      <c r="P24" s="165">
        <f t="shared" si="3"/>
        <v>967125.12940695882</v>
      </c>
      <c r="Q24" s="166">
        <f t="shared" si="3"/>
        <v>1057371.2460943284</v>
      </c>
    </row>
    <row r="25" spans="1:17" ht="12.75" customHeight="1" x14ac:dyDescent="0.35">
      <c r="A25" s="81"/>
      <c r="B25" s="100">
        <v>362</v>
      </c>
      <c r="C25" s="160" t="s">
        <v>25</v>
      </c>
      <c r="D25" s="161">
        <v>3.1166692802258099E-3</v>
      </c>
      <c r="E25" s="161">
        <f t="shared" si="1"/>
        <v>3.1166692802258099E-3</v>
      </c>
      <c r="F25" s="162">
        <f t="shared" si="2"/>
        <v>3.1166692802258099E-3</v>
      </c>
      <c r="G25" s="162">
        <f t="shared" si="2"/>
        <v>3.1166692802258099E-3</v>
      </c>
      <c r="H25" s="162">
        <f t="shared" si="2"/>
        <v>3.1166692802258099E-3</v>
      </c>
      <c r="I25" s="162">
        <f t="shared" si="2"/>
        <v>3.1166692802258099E-3</v>
      </c>
      <c r="J25" s="163">
        <f t="shared" si="2"/>
        <v>3.1166692802258099E-3</v>
      </c>
      <c r="L25" s="164">
        <f t="shared" si="3"/>
        <v>323359.09043747623</v>
      </c>
      <c r="M25" s="165">
        <f t="shared" si="3"/>
        <v>332022.01512328541</v>
      </c>
      <c r="N25" s="165">
        <f t="shared" si="3"/>
        <v>370134.00830964599</v>
      </c>
      <c r="O25" s="165">
        <f t="shared" si="3"/>
        <v>408345.71011716709</v>
      </c>
      <c r="P25" s="165">
        <f t="shared" si="3"/>
        <v>443149.55497321743</v>
      </c>
      <c r="Q25" s="166">
        <f t="shared" si="3"/>
        <v>484501.52198558557</v>
      </c>
    </row>
    <row r="26" spans="1:17" ht="12.75" customHeight="1" x14ac:dyDescent="0.35">
      <c r="A26" s="81"/>
      <c r="B26" s="100">
        <v>363</v>
      </c>
      <c r="C26" s="160" t="s">
        <v>26</v>
      </c>
      <c r="D26" s="161">
        <v>5.2767759134389199E-2</v>
      </c>
      <c r="E26" s="161">
        <f t="shared" si="1"/>
        <v>5.2767759134389199E-2</v>
      </c>
      <c r="F26" s="162">
        <f t="shared" si="2"/>
        <v>5.2767759134389199E-2</v>
      </c>
      <c r="G26" s="162">
        <f t="shared" si="2"/>
        <v>5.2767759134389199E-2</v>
      </c>
      <c r="H26" s="162">
        <f t="shared" si="2"/>
        <v>5.2767759134389199E-2</v>
      </c>
      <c r="I26" s="162">
        <f t="shared" si="2"/>
        <v>5.2767759134389199E-2</v>
      </c>
      <c r="J26" s="163">
        <f t="shared" si="2"/>
        <v>5.2767759134389199E-2</v>
      </c>
      <c r="L26" s="164">
        <f t="shared" si="3"/>
        <v>5474733.7827527439</v>
      </c>
      <c r="M26" s="165">
        <f t="shared" si="3"/>
        <v>5621404.18057789</v>
      </c>
      <c r="N26" s="165">
        <f t="shared" si="3"/>
        <v>6266671.3859721217</v>
      </c>
      <c r="O26" s="165">
        <f t="shared" si="3"/>
        <v>6913626.7398453718</v>
      </c>
      <c r="P26" s="165">
        <f t="shared" si="3"/>
        <v>7502884.2892320855</v>
      </c>
      <c r="Q26" s="166">
        <f t="shared" si="3"/>
        <v>8203006.9005358284</v>
      </c>
    </row>
    <row r="27" spans="1:17" ht="12.75" customHeight="1" x14ac:dyDescent="0.35">
      <c r="A27" s="81"/>
      <c r="B27" s="100">
        <v>200</v>
      </c>
      <c r="C27" s="160" t="s">
        <v>27</v>
      </c>
      <c r="D27" s="161">
        <v>1.03888976007527E-2</v>
      </c>
      <c r="E27" s="161">
        <f t="shared" si="1"/>
        <v>1.03888976007527E-2</v>
      </c>
      <c r="F27" s="162">
        <f t="shared" si="2"/>
        <v>1.03888976007527E-2</v>
      </c>
      <c r="G27" s="162">
        <f t="shared" si="2"/>
        <v>1.03888976007527E-2</v>
      </c>
      <c r="H27" s="162">
        <f t="shared" si="2"/>
        <v>1.03888976007527E-2</v>
      </c>
      <c r="I27" s="162">
        <f t="shared" si="2"/>
        <v>1.03888976007527E-2</v>
      </c>
      <c r="J27" s="163">
        <f t="shared" si="2"/>
        <v>1.03888976007527E-2</v>
      </c>
      <c r="L27" s="164">
        <f t="shared" si="3"/>
        <v>1077863.6347915875</v>
      </c>
      <c r="M27" s="165">
        <f t="shared" si="3"/>
        <v>1106740.0504109515</v>
      </c>
      <c r="N27" s="165">
        <f t="shared" si="3"/>
        <v>1233780.02769882</v>
      </c>
      <c r="O27" s="165">
        <f t="shared" si="3"/>
        <v>1361152.3670572238</v>
      </c>
      <c r="P27" s="165">
        <f t="shared" si="3"/>
        <v>1477165.1832440582</v>
      </c>
      <c r="Q27" s="166">
        <f t="shared" si="3"/>
        <v>1615005.0732852852</v>
      </c>
    </row>
    <row r="28" spans="1:17" ht="12.75" customHeight="1" x14ac:dyDescent="0.35">
      <c r="A28" s="81"/>
      <c r="B28" s="100">
        <v>3</v>
      </c>
      <c r="C28" s="160" t="s">
        <v>28</v>
      </c>
      <c r="D28" s="161">
        <v>1.03888976007527E-3</v>
      </c>
      <c r="E28" s="161">
        <f t="shared" si="1"/>
        <v>1.03888976007527E-3</v>
      </c>
      <c r="F28" s="162">
        <f t="shared" si="2"/>
        <v>1.03888976007527E-3</v>
      </c>
      <c r="G28" s="162">
        <f t="shared" si="2"/>
        <v>1.03888976007527E-3</v>
      </c>
      <c r="H28" s="162">
        <f t="shared" si="2"/>
        <v>1.03888976007527E-3</v>
      </c>
      <c r="I28" s="162">
        <f t="shared" si="2"/>
        <v>1.03888976007527E-3</v>
      </c>
      <c r="J28" s="163">
        <f t="shared" si="2"/>
        <v>1.03888976007527E-3</v>
      </c>
      <c r="L28" s="164">
        <f t="shared" si="3"/>
        <v>107786.36347915875</v>
      </c>
      <c r="M28" s="165">
        <f t="shared" si="3"/>
        <v>110674.00504109514</v>
      </c>
      <c r="N28" s="165">
        <f t="shared" si="3"/>
        <v>123378.002769882</v>
      </c>
      <c r="O28" s="165">
        <f t="shared" si="3"/>
        <v>136115.23670572237</v>
      </c>
      <c r="P28" s="165">
        <f t="shared" si="3"/>
        <v>147716.5183244058</v>
      </c>
      <c r="Q28" s="166">
        <f t="shared" si="3"/>
        <v>161500.50732852853</v>
      </c>
    </row>
    <row r="29" spans="1:17" ht="12.75" customHeight="1" x14ac:dyDescent="0.35">
      <c r="A29" s="81"/>
      <c r="B29" s="100">
        <v>202</v>
      </c>
      <c r="C29" s="160" t="s">
        <v>29</v>
      </c>
      <c r="D29" s="161">
        <v>2.11502273796456E-2</v>
      </c>
      <c r="E29" s="161">
        <f t="shared" si="1"/>
        <v>2.11502273796456E-2</v>
      </c>
      <c r="F29" s="162">
        <f t="shared" si="2"/>
        <v>2.11502273796456E-2</v>
      </c>
      <c r="G29" s="162">
        <f t="shared" si="2"/>
        <v>2.11502273796456E-2</v>
      </c>
      <c r="H29" s="162">
        <f t="shared" si="2"/>
        <v>2.11502273796456E-2</v>
      </c>
      <c r="I29" s="162">
        <f t="shared" si="2"/>
        <v>2.11502273796456E-2</v>
      </c>
      <c r="J29" s="163">
        <f t="shared" si="2"/>
        <v>2.11502273796456E-2</v>
      </c>
      <c r="L29" s="164">
        <f t="shared" si="3"/>
        <v>2194367.664037969</v>
      </c>
      <c r="M29" s="165">
        <f t="shared" si="3"/>
        <v>2253155.687534749</v>
      </c>
      <c r="N29" s="165">
        <f t="shared" si="3"/>
        <v>2511789.9054472214</v>
      </c>
      <c r="O29" s="165">
        <f t="shared" si="3"/>
        <v>2771100.7623674436</v>
      </c>
      <c r="P29" s="165">
        <f t="shared" si="3"/>
        <v>3007285.3447553576</v>
      </c>
      <c r="Q29" s="166">
        <f t="shared" si="3"/>
        <v>3287906.5548581574</v>
      </c>
    </row>
    <row r="30" spans="1:17" ht="12.75" customHeight="1" x14ac:dyDescent="0.35">
      <c r="A30" s="81"/>
      <c r="B30" s="100">
        <v>106</v>
      </c>
      <c r="C30" s="160" t="s">
        <v>30</v>
      </c>
      <c r="D30" s="161">
        <v>5.8413046887250998E-3</v>
      </c>
      <c r="E30" s="161">
        <f t="shared" si="1"/>
        <v>5.8413046887250998E-3</v>
      </c>
      <c r="F30" s="162">
        <f t="shared" si="2"/>
        <v>5.8413046887250998E-3</v>
      </c>
      <c r="G30" s="162">
        <f t="shared" si="2"/>
        <v>5.8413046887250998E-3</v>
      </c>
      <c r="H30" s="162">
        <f t="shared" si="2"/>
        <v>5.8413046887250998E-3</v>
      </c>
      <c r="I30" s="162">
        <f t="shared" si="2"/>
        <v>5.8413046887250998E-3</v>
      </c>
      <c r="J30" s="163">
        <f t="shared" si="2"/>
        <v>5.8413046887250998E-3</v>
      </c>
      <c r="L30" s="164">
        <f t="shared" si="3"/>
        <v>606044.08144885453</v>
      </c>
      <c r="M30" s="165">
        <f t="shared" si="3"/>
        <v>622280.25475936476</v>
      </c>
      <c r="N30" s="165">
        <f t="shared" si="3"/>
        <v>693710.27972499654</v>
      </c>
      <c r="O30" s="165">
        <f t="shared" si="3"/>
        <v>765327.17996802356</v>
      </c>
      <c r="P30" s="165">
        <f t="shared" si="3"/>
        <v>830557.0275598662</v>
      </c>
      <c r="Q30" s="166">
        <f t="shared" si="3"/>
        <v>908059.45630002778</v>
      </c>
    </row>
    <row r="31" spans="1:17" ht="12.75" customHeight="1" x14ac:dyDescent="0.35">
      <c r="A31" s="81"/>
      <c r="B31" s="100">
        <v>743</v>
      </c>
      <c r="C31" s="160" t="s">
        <v>31</v>
      </c>
      <c r="D31" s="161">
        <v>7.0566096910773101E-4</v>
      </c>
      <c r="E31" s="161">
        <f t="shared" si="1"/>
        <v>7.0566096910773101E-4</v>
      </c>
      <c r="F31" s="162">
        <f t="shared" si="2"/>
        <v>7.0566096910773101E-4</v>
      </c>
      <c r="G31" s="162">
        <f t="shared" si="2"/>
        <v>7.0566096910773101E-4</v>
      </c>
      <c r="H31" s="162">
        <f t="shared" si="2"/>
        <v>7.0566096910773101E-4</v>
      </c>
      <c r="I31" s="162">
        <f t="shared" si="2"/>
        <v>7.0566096910773101E-4</v>
      </c>
      <c r="J31" s="163">
        <f t="shared" si="2"/>
        <v>7.0566096910773101E-4</v>
      </c>
      <c r="L31" s="164">
        <f t="shared" si="3"/>
        <v>73213.378966975797</v>
      </c>
      <c r="M31" s="165">
        <f t="shared" si="3"/>
        <v>75174.795876970325</v>
      </c>
      <c r="N31" s="165">
        <f t="shared" si="3"/>
        <v>83803.926409731226</v>
      </c>
      <c r="O31" s="165">
        <f t="shared" si="3"/>
        <v>92455.632479358654</v>
      </c>
      <c r="P31" s="165">
        <f t="shared" si="3"/>
        <v>100335.74829582288</v>
      </c>
      <c r="Q31" s="166">
        <f t="shared" si="3"/>
        <v>109698.45780805718</v>
      </c>
    </row>
    <row r="32" spans="1:17" ht="12.75" customHeight="1" x14ac:dyDescent="0.35">
      <c r="A32" s="81"/>
      <c r="B32" s="100">
        <v>744</v>
      </c>
      <c r="C32" s="160" t="s">
        <v>32</v>
      </c>
      <c r="D32" s="161">
        <v>1.9601693586325899E-4</v>
      </c>
      <c r="E32" s="161">
        <f t="shared" si="1"/>
        <v>1.9601693586325899E-4</v>
      </c>
      <c r="F32" s="162">
        <f t="shared" si="2"/>
        <v>1.9601693586325899E-4</v>
      </c>
      <c r="G32" s="162">
        <f t="shared" si="2"/>
        <v>1.9601693586325899E-4</v>
      </c>
      <c r="H32" s="162">
        <f t="shared" si="2"/>
        <v>1.9601693586325899E-4</v>
      </c>
      <c r="I32" s="162">
        <f t="shared" si="2"/>
        <v>1.9601693586325899E-4</v>
      </c>
      <c r="J32" s="163">
        <f t="shared" si="2"/>
        <v>1.9601693586325899E-4</v>
      </c>
      <c r="L32" s="164">
        <f t="shared" si="3"/>
        <v>20337.049713048873</v>
      </c>
      <c r="M32" s="165">
        <f t="shared" si="3"/>
        <v>20881.887743602907</v>
      </c>
      <c r="N32" s="165">
        <f t="shared" si="3"/>
        <v>23278.868447147604</v>
      </c>
      <c r="O32" s="165">
        <f t="shared" si="3"/>
        <v>25682.120133155229</v>
      </c>
      <c r="P32" s="165">
        <f t="shared" si="3"/>
        <v>27871.041193284185</v>
      </c>
      <c r="Q32" s="166">
        <f t="shared" si="3"/>
        <v>30471.793835571498</v>
      </c>
    </row>
    <row r="33" spans="1:17" ht="12.75" customHeight="1" x14ac:dyDescent="0.35">
      <c r="A33" s="81"/>
      <c r="B33" s="100">
        <v>308</v>
      </c>
      <c r="C33" s="160" t="s">
        <v>33</v>
      </c>
      <c r="D33" s="161">
        <v>4.50838952485495E-4</v>
      </c>
      <c r="E33" s="161">
        <f t="shared" si="1"/>
        <v>4.50838952485495E-4</v>
      </c>
      <c r="F33" s="162">
        <f t="shared" si="2"/>
        <v>4.50838952485495E-4</v>
      </c>
      <c r="G33" s="162">
        <f t="shared" si="2"/>
        <v>4.50838952485495E-4</v>
      </c>
      <c r="H33" s="162">
        <f t="shared" si="2"/>
        <v>4.50838952485495E-4</v>
      </c>
      <c r="I33" s="162">
        <f t="shared" si="2"/>
        <v>4.50838952485495E-4</v>
      </c>
      <c r="J33" s="163">
        <f t="shared" si="2"/>
        <v>4.50838952485495E-4</v>
      </c>
      <c r="L33" s="164">
        <f t="shared" si="3"/>
        <v>46775.214340012339</v>
      </c>
      <c r="M33" s="165">
        <f t="shared" si="3"/>
        <v>48028.34181028662</v>
      </c>
      <c r="N33" s="165">
        <f t="shared" si="3"/>
        <v>53541.397428439413</v>
      </c>
      <c r="O33" s="165">
        <f t="shared" si="3"/>
        <v>59068.876306256941</v>
      </c>
      <c r="P33" s="165">
        <f t="shared" si="3"/>
        <v>64103.39474455353</v>
      </c>
      <c r="Q33" s="166">
        <f t="shared" si="3"/>
        <v>70085.125821814334</v>
      </c>
    </row>
    <row r="34" spans="1:17" ht="12.75" customHeight="1" x14ac:dyDescent="0.35">
      <c r="A34" s="81"/>
      <c r="B34" s="100">
        <v>489</v>
      </c>
      <c r="C34" s="160" t="s">
        <v>34</v>
      </c>
      <c r="D34" s="161">
        <v>1.17610161517955E-3</v>
      </c>
      <c r="E34" s="161">
        <f t="shared" si="1"/>
        <v>1.17610161517955E-3</v>
      </c>
      <c r="F34" s="162">
        <f t="shared" si="2"/>
        <v>1.17610161517955E-3</v>
      </c>
      <c r="G34" s="162">
        <f t="shared" si="2"/>
        <v>1.17610161517955E-3</v>
      </c>
      <c r="H34" s="162">
        <f t="shared" si="2"/>
        <v>1.17610161517955E-3</v>
      </c>
      <c r="I34" s="162">
        <f t="shared" si="2"/>
        <v>1.17610161517955E-3</v>
      </c>
      <c r="J34" s="163">
        <f t="shared" si="2"/>
        <v>1.17610161517955E-3</v>
      </c>
      <c r="L34" s="164">
        <f t="shared" si="3"/>
        <v>122022.29827829282</v>
      </c>
      <c r="M34" s="165">
        <f t="shared" si="3"/>
        <v>125291.32646161702</v>
      </c>
      <c r="N34" s="165">
        <f t="shared" si="3"/>
        <v>139673.2106828852</v>
      </c>
      <c r="O34" s="165">
        <f t="shared" si="3"/>
        <v>154092.72079893088</v>
      </c>
      <c r="P34" s="165">
        <f t="shared" si="3"/>
        <v>167226.24715970457</v>
      </c>
      <c r="Q34" s="166">
        <f t="shared" si="3"/>
        <v>182830.76301342837</v>
      </c>
    </row>
    <row r="35" spans="1:17" ht="12.75" customHeight="1" x14ac:dyDescent="0.35">
      <c r="A35" s="81"/>
      <c r="B35" s="100">
        <v>203</v>
      </c>
      <c r="C35" s="160" t="s">
        <v>35</v>
      </c>
      <c r="D35" s="161">
        <v>1.58773718049239E-3</v>
      </c>
      <c r="E35" s="161">
        <f t="shared" si="1"/>
        <v>1.58773718049239E-3</v>
      </c>
      <c r="F35" s="162">
        <f t="shared" si="2"/>
        <v>1.58773718049239E-3</v>
      </c>
      <c r="G35" s="162">
        <f t="shared" si="2"/>
        <v>1.58773718049239E-3</v>
      </c>
      <c r="H35" s="162">
        <f t="shared" si="2"/>
        <v>1.58773718049239E-3</v>
      </c>
      <c r="I35" s="162">
        <f t="shared" si="2"/>
        <v>1.58773718049239E-3</v>
      </c>
      <c r="J35" s="163">
        <f t="shared" si="2"/>
        <v>1.58773718049239E-3</v>
      </c>
      <c r="L35" s="164">
        <f t="shared" si="3"/>
        <v>164730.10267569506</v>
      </c>
      <c r="M35" s="165">
        <f t="shared" si="3"/>
        <v>169143.29072318273</v>
      </c>
      <c r="N35" s="165">
        <f t="shared" si="3"/>
        <v>188558.83442189469</v>
      </c>
      <c r="O35" s="165">
        <f t="shared" si="3"/>
        <v>208025.17307855634</v>
      </c>
      <c r="P35" s="165">
        <f t="shared" si="3"/>
        <v>225755.43366560078</v>
      </c>
      <c r="Q35" s="166">
        <f t="shared" si="3"/>
        <v>246821.53006812793</v>
      </c>
    </row>
    <row r="36" spans="1:17" ht="12.75" customHeight="1" x14ac:dyDescent="0.35">
      <c r="A36" s="81"/>
      <c r="B36" s="100">
        <v>888</v>
      </c>
      <c r="C36" s="160" t="s">
        <v>36</v>
      </c>
      <c r="D36" s="161">
        <v>5.0964403324447202E-4</v>
      </c>
      <c r="E36" s="161">
        <f t="shared" si="1"/>
        <v>5.0964403324447202E-4</v>
      </c>
      <c r="F36" s="162">
        <f t="shared" si="2"/>
        <v>5.0964403324447202E-4</v>
      </c>
      <c r="G36" s="162">
        <f t="shared" si="2"/>
        <v>5.0964403324447202E-4</v>
      </c>
      <c r="H36" s="162">
        <f t="shared" si="2"/>
        <v>5.0964403324447202E-4</v>
      </c>
      <c r="I36" s="162">
        <f t="shared" si="2"/>
        <v>5.0964403324447202E-4</v>
      </c>
      <c r="J36" s="163">
        <f t="shared" si="2"/>
        <v>5.0964403324447202E-4</v>
      </c>
      <c r="L36" s="164">
        <f t="shared" si="3"/>
        <v>52876.329253926924</v>
      </c>
      <c r="M36" s="165">
        <f t="shared" si="3"/>
        <v>54292.908133367411</v>
      </c>
      <c r="N36" s="165">
        <f t="shared" si="3"/>
        <v>60525.057962583611</v>
      </c>
      <c r="O36" s="165">
        <f t="shared" si="3"/>
        <v>66773.512346203424</v>
      </c>
      <c r="P36" s="165">
        <f t="shared" si="3"/>
        <v>72464.707102538683</v>
      </c>
      <c r="Q36" s="166">
        <f t="shared" si="3"/>
        <v>79226.66397248568</v>
      </c>
    </row>
    <row r="37" spans="1:17" ht="12.75" customHeight="1" x14ac:dyDescent="0.35">
      <c r="A37" s="81"/>
      <c r="B37" s="100">
        <v>1954</v>
      </c>
      <c r="C37" s="160" t="s">
        <v>37</v>
      </c>
      <c r="D37" s="161">
        <v>1.29371177669751E-3</v>
      </c>
      <c r="E37" s="161">
        <f t="shared" si="1"/>
        <v>1.29371177669751E-3</v>
      </c>
      <c r="F37" s="162">
        <f t="shared" si="2"/>
        <v>1.29371177669751E-3</v>
      </c>
      <c r="G37" s="162">
        <f t="shared" si="2"/>
        <v>1.29371177669751E-3</v>
      </c>
      <c r="H37" s="162">
        <f t="shared" si="2"/>
        <v>1.29371177669751E-3</v>
      </c>
      <c r="I37" s="162">
        <f t="shared" si="2"/>
        <v>1.29371177669751E-3</v>
      </c>
      <c r="J37" s="163">
        <f t="shared" si="2"/>
        <v>1.29371177669751E-3</v>
      </c>
      <c r="L37" s="164">
        <f t="shared" si="3"/>
        <v>134224.52810612263</v>
      </c>
      <c r="M37" s="165">
        <f t="shared" si="3"/>
        <v>137820.45910777929</v>
      </c>
      <c r="N37" s="165">
        <f t="shared" si="3"/>
        <v>153640.53175117428</v>
      </c>
      <c r="O37" s="165">
        <f t="shared" si="3"/>
        <v>169501.99287882462</v>
      </c>
      <c r="P37" s="165">
        <f t="shared" si="3"/>
        <v>183948.87187567574</v>
      </c>
      <c r="Q37" s="166">
        <f t="shared" si="3"/>
        <v>201113.83931477199</v>
      </c>
    </row>
    <row r="38" spans="1:17" ht="12.75" customHeight="1" x14ac:dyDescent="0.35">
      <c r="A38" s="81"/>
      <c r="B38" s="100">
        <v>370</v>
      </c>
      <c r="C38" s="160" t="s">
        <v>38</v>
      </c>
      <c r="D38" s="161">
        <v>3.7243217814019098E-4</v>
      </c>
      <c r="E38" s="161">
        <f t="shared" si="1"/>
        <v>3.7243217814019098E-4</v>
      </c>
      <c r="F38" s="162">
        <f t="shared" si="2"/>
        <v>3.7243217814019098E-4</v>
      </c>
      <c r="G38" s="162">
        <f t="shared" si="2"/>
        <v>3.7243217814019098E-4</v>
      </c>
      <c r="H38" s="162">
        <f t="shared" si="2"/>
        <v>3.7243217814019098E-4</v>
      </c>
      <c r="I38" s="162">
        <f t="shared" si="2"/>
        <v>3.7243217814019098E-4</v>
      </c>
      <c r="J38" s="163">
        <f t="shared" si="2"/>
        <v>3.7243217814019098E-4</v>
      </c>
      <c r="L38" s="164">
        <f t="shared" si="3"/>
        <v>38640.394454792746</v>
      </c>
      <c r="M38" s="165">
        <f t="shared" si="3"/>
        <v>39675.586712845412</v>
      </c>
      <c r="N38" s="165">
        <f t="shared" si="3"/>
        <v>44229.850049580324</v>
      </c>
      <c r="O38" s="165">
        <f t="shared" si="3"/>
        <v>48796.028252994794</v>
      </c>
      <c r="P38" s="165">
        <f t="shared" si="3"/>
        <v>52954.978267239792</v>
      </c>
      <c r="Q38" s="166">
        <f t="shared" si="3"/>
        <v>57896.408287585677</v>
      </c>
    </row>
    <row r="39" spans="1:17" ht="12.75" customHeight="1" x14ac:dyDescent="0.35">
      <c r="A39" s="81"/>
      <c r="B39" s="100">
        <v>889</v>
      </c>
      <c r="C39" s="160" t="s">
        <v>39</v>
      </c>
      <c r="D39" s="161">
        <v>6.6645758193507897E-4</v>
      </c>
      <c r="E39" s="161">
        <f t="shared" si="1"/>
        <v>6.6645758193507897E-4</v>
      </c>
      <c r="F39" s="162">
        <f t="shared" si="2"/>
        <v>6.6645758193507897E-4</v>
      </c>
      <c r="G39" s="162">
        <f t="shared" si="2"/>
        <v>6.6645758193507897E-4</v>
      </c>
      <c r="H39" s="162">
        <f t="shared" si="2"/>
        <v>6.6645758193507897E-4</v>
      </c>
      <c r="I39" s="162">
        <f t="shared" si="2"/>
        <v>6.6645758193507897E-4</v>
      </c>
      <c r="J39" s="163">
        <f t="shared" si="2"/>
        <v>6.6645758193507897E-4</v>
      </c>
      <c r="L39" s="164">
        <f t="shared" si="3"/>
        <v>69145.969024366001</v>
      </c>
      <c r="M39" s="165">
        <f t="shared" si="3"/>
        <v>70998.418328249711</v>
      </c>
      <c r="N39" s="165">
        <f t="shared" si="3"/>
        <v>79148.152720301674</v>
      </c>
      <c r="O39" s="165">
        <f t="shared" si="3"/>
        <v>87319.208452727573</v>
      </c>
      <c r="P39" s="165">
        <f t="shared" si="3"/>
        <v>94761.540057165999</v>
      </c>
      <c r="Q39" s="166">
        <f t="shared" si="3"/>
        <v>103604.09904094285</v>
      </c>
    </row>
    <row r="40" spans="1:17" ht="12.75" customHeight="1" x14ac:dyDescent="0.35">
      <c r="A40" s="81"/>
      <c r="B40" s="100">
        <v>1945</v>
      </c>
      <c r="C40" s="160" t="s">
        <v>40</v>
      </c>
      <c r="D40" s="161">
        <v>1.8229575035283001E-3</v>
      </c>
      <c r="E40" s="161">
        <f t="shared" si="1"/>
        <v>1.8229575035283001E-3</v>
      </c>
      <c r="F40" s="162">
        <f t="shared" si="2"/>
        <v>1.8229575035283001E-3</v>
      </c>
      <c r="G40" s="162">
        <f t="shared" si="2"/>
        <v>1.8229575035283001E-3</v>
      </c>
      <c r="H40" s="162">
        <f t="shared" si="2"/>
        <v>1.8229575035283001E-3</v>
      </c>
      <c r="I40" s="162">
        <f t="shared" si="2"/>
        <v>1.8229575035283001E-3</v>
      </c>
      <c r="J40" s="163">
        <f t="shared" si="2"/>
        <v>1.8229575035283001E-3</v>
      </c>
      <c r="L40" s="164">
        <f t="shared" si="3"/>
        <v>189134.56233135361</v>
      </c>
      <c r="M40" s="165">
        <f t="shared" si="3"/>
        <v>194201.55601550612</v>
      </c>
      <c r="N40" s="165">
        <f t="shared" si="3"/>
        <v>216493.47655847174</v>
      </c>
      <c r="O40" s="165">
        <f t="shared" si="3"/>
        <v>238843.71723834253</v>
      </c>
      <c r="P40" s="165">
        <f t="shared" si="3"/>
        <v>259200.68309754171</v>
      </c>
      <c r="Q40" s="166">
        <f t="shared" si="3"/>
        <v>283387.68267081358</v>
      </c>
    </row>
    <row r="41" spans="1:17" ht="12.75" customHeight="1" x14ac:dyDescent="0.35">
      <c r="A41" s="81"/>
      <c r="B41" s="100">
        <v>1724</v>
      </c>
      <c r="C41" s="160" t="s">
        <v>41</v>
      </c>
      <c r="D41" s="161">
        <v>9.0167790497098902E-4</v>
      </c>
      <c r="E41" s="161">
        <f t="shared" si="1"/>
        <v>9.0167790497098902E-4</v>
      </c>
      <c r="F41" s="162">
        <f t="shared" si="2"/>
        <v>9.0167790497098902E-4</v>
      </c>
      <c r="G41" s="162">
        <f t="shared" si="2"/>
        <v>9.0167790497098902E-4</v>
      </c>
      <c r="H41" s="162">
        <f t="shared" si="2"/>
        <v>9.0167790497098902E-4</v>
      </c>
      <c r="I41" s="162">
        <f t="shared" si="2"/>
        <v>9.0167790497098902E-4</v>
      </c>
      <c r="J41" s="163">
        <f t="shared" si="2"/>
        <v>9.0167790497098902E-4</v>
      </c>
      <c r="L41" s="164">
        <f t="shared" si="3"/>
        <v>93550.428680024575</v>
      </c>
      <c r="M41" s="165">
        <f t="shared" si="3"/>
        <v>96056.683620573138</v>
      </c>
      <c r="N41" s="165">
        <f t="shared" si="3"/>
        <v>107082.79485687871</v>
      </c>
      <c r="O41" s="165">
        <f t="shared" si="3"/>
        <v>118137.75261251377</v>
      </c>
      <c r="P41" s="165">
        <f t="shared" si="3"/>
        <v>128206.78948910692</v>
      </c>
      <c r="Q41" s="166">
        <f t="shared" si="3"/>
        <v>140170.25164362852</v>
      </c>
    </row>
    <row r="42" spans="1:17" ht="12.75" customHeight="1" x14ac:dyDescent="0.35">
      <c r="A42" s="81"/>
      <c r="B42" s="100">
        <v>893</v>
      </c>
      <c r="C42" s="160" t="s">
        <v>42</v>
      </c>
      <c r="D42" s="161">
        <v>1.07809314724792E-3</v>
      </c>
      <c r="E42" s="161">
        <f t="shared" si="1"/>
        <v>1.07809314724792E-3</v>
      </c>
      <c r="F42" s="162">
        <f t="shared" si="2"/>
        <v>1.07809314724792E-3</v>
      </c>
      <c r="G42" s="162">
        <f t="shared" si="2"/>
        <v>1.07809314724792E-3</v>
      </c>
      <c r="H42" s="162">
        <f t="shared" si="2"/>
        <v>1.07809314724792E-3</v>
      </c>
      <c r="I42" s="162">
        <f t="shared" si="2"/>
        <v>1.07809314724792E-3</v>
      </c>
      <c r="J42" s="163">
        <f t="shared" si="2"/>
        <v>1.07809314724792E-3</v>
      </c>
      <c r="L42" s="164">
        <f t="shared" si="3"/>
        <v>111853.77342176833</v>
      </c>
      <c r="M42" s="165">
        <f t="shared" si="3"/>
        <v>114850.38258981552</v>
      </c>
      <c r="N42" s="165">
        <f t="shared" si="3"/>
        <v>128033.77645931132</v>
      </c>
      <c r="O42" s="165">
        <f t="shared" si="3"/>
        <v>141251.66073235319</v>
      </c>
      <c r="P42" s="165">
        <f t="shared" si="3"/>
        <v>153290.7265630624</v>
      </c>
      <c r="Q42" s="166">
        <f t="shared" si="3"/>
        <v>167594.86609564256</v>
      </c>
    </row>
    <row r="43" spans="1:17" ht="12.75" customHeight="1" x14ac:dyDescent="0.35">
      <c r="A43" s="81"/>
      <c r="B43" s="100">
        <v>373</v>
      </c>
      <c r="C43" s="160" t="s">
        <v>43</v>
      </c>
      <c r="D43" s="161">
        <v>8.6247451779833796E-4</v>
      </c>
      <c r="E43" s="161">
        <f t="shared" si="1"/>
        <v>8.6247451779833796E-4</v>
      </c>
      <c r="F43" s="162">
        <f t="shared" si="2"/>
        <v>8.6247451779833796E-4</v>
      </c>
      <c r="G43" s="162">
        <f t="shared" si="2"/>
        <v>8.6247451779833796E-4</v>
      </c>
      <c r="H43" s="162">
        <f t="shared" si="2"/>
        <v>8.6247451779833796E-4</v>
      </c>
      <c r="I43" s="162">
        <f t="shared" si="2"/>
        <v>8.6247451779833796E-4</v>
      </c>
      <c r="J43" s="163">
        <f t="shared" si="2"/>
        <v>8.6247451779833796E-4</v>
      </c>
      <c r="L43" s="164">
        <f t="shared" si="3"/>
        <v>89483.018737414881</v>
      </c>
      <c r="M43" s="165">
        <f t="shared" si="3"/>
        <v>91880.306071852625</v>
      </c>
      <c r="N43" s="165">
        <f t="shared" si="3"/>
        <v>102427.02116744929</v>
      </c>
      <c r="O43" s="165">
        <f t="shared" si="3"/>
        <v>113001.3285858828</v>
      </c>
      <c r="P43" s="165">
        <f t="shared" si="3"/>
        <v>122632.58125045018</v>
      </c>
      <c r="Q43" s="166">
        <f t="shared" si="3"/>
        <v>134075.89287651435</v>
      </c>
    </row>
    <row r="44" spans="1:17" ht="12.75" customHeight="1" x14ac:dyDescent="0.35">
      <c r="A44" s="81"/>
      <c r="B44" s="100">
        <v>748</v>
      </c>
      <c r="C44" s="160" t="s">
        <v>44</v>
      </c>
      <c r="D44" s="161">
        <v>4.4495844440959704E-3</v>
      </c>
      <c r="E44" s="161">
        <f t="shared" si="1"/>
        <v>4.4495844440959704E-3</v>
      </c>
      <c r="F44" s="162">
        <f t="shared" si="2"/>
        <v>4.4495844440959704E-3</v>
      </c>
      <c r="G44" s="162">
        <f t="shared" si="2"/>
        <v>4.4495844440959704E-3</v>
      </c>
      <c r="H44" s="162">
        <f t="shared" si="2"/>
        <v>4.4495844440959704E-3</v>
      </c>
      <c r="I44" s="162">
        <f t="shared" si="2"/>
        <v>4.4495844440959704E-3</v>
      </c>
      <c r="J44" s="163">
        <f t="shared" si="2"/>
        <v>4.4495844440959704E-3</v>
      </c>
      <c r="L44" s="164">
        <f t="shared" si="3"/>
        <v>461651.02848620852</v>
      </c>
      <c r="M44" s="165">
        <f t="shared" si="3"/>
        <v>474018.85177978512</v>
      </c>
      <c r="N44" s="165">
        <f t="shared" si="3"/>
        <v>528430.31375024957</v>
      </c>
      <c r="O44" s="165">
        <f t="shared" si="3"/>
        <v>582984.12702262262</v>
      </c>
      <c r="P44" s="165">
        <f t="shared" si="3"/>
        <v>632672.6350875498</v>
      </c>
      <c r="Q44" s="166">
        <f t="shared" si="3"/>
        <v>691709.72006747173</v>
      </c>
    </row>
    <row r="45" spans="1:17" ht="12.75" customHeight="1" x14ac:dyDescent="0.35">
      <c r="A45" s="81"/>
      <c r="B45" s="100">
        <v>1859</v>
      </c>
      <c r="C45" s="160" t="s">
        <v>45</v>
      </c>
      <c r="D45" s="161">
        <v>2.1953896816685001E-3</v>
      </c>
      <c r="E45" s="161">
        <f t="shared" si="1"/>
        <v>2.1953896816685001E-3</v>
      </c>
      <c r="F45" s="162">
        <f t="shared" si="2"/>
        <v>2.1953896816685001E-3</v>
      </c>
      <c r="G45" s="162">
        <f t="shared" si="2"/>
        <v>2.1953896816685001E-3</v>
      </c>
      <c r="H45" s="162">
        <f t="shared" si="2"/>
        <v>2.1953896816685001E-3</v>
      </c>
      <c r="I45" s="162">
        <f t="shared" si="2"/>
        <v>2.1953896816685001E-3</v>
      </c>
      <c r="J45" s="163">
        <f t="shared" si="2"/>
        <v>2.1953896816685001E-3</v>
      </c>
      <c r="L45" s="164">
        <f t="shared" si="3"/>
        <v>227774.95678614732</v>
      </c>
      <c r="M45" s="165">
        <f t="shared" si="3"/>
        <v>233877.14272835251</v>
      </c>
      <c r="N45" s="165">
        <f t="shared" si="3"/>
        <v>260723.32660805312</v>
      </c>
      <c r="O45" s="165">
        <f t="shared" si="3"/>
        <v>287639.74549133854</v>
      </c>
      <c r="P45" s="165">
        <f t="shared" si="3"/>
        <v>312155.66136478278</v>
      </c>
      <c r="Q45" s="166">
        <f t="shared" si="3"/>
        <v>341284.09095840069</v>
      </c>
    </row>
    <row r="46" spans="1:17" ht="12.75" customHeight="1" x14ac:dyDescent="0.35">
      <c r="A46" s="81"/>
      <c r="B46" s="100">
        <v>1721</v>
      </c>
      <c r="C46" s="160" t="s">
        <v>46</v>
      </c>
      <c r="D46" s="161">
        <v>2.13658460090952E-3</v>
      </c>
      <c r="E46" s="161">
        <f t="shared" si="1"/>
        <v>2.13658460090952E-3</v>
      </c>
      <c r="F46" s="162">
        <f t="shared" si="2"/>
        <v>2.13658460090952E-3</v>
      </c>
      <c r="G46" s="162">
        <f t="shared" si="2"/>
        <v>2.13658460090952E-3</v>
      </c>
      <c r="H46" s="162">
        <f t="shared" si="2"/>
        <v>2.13658460090952E-3</v>
      </c>
      <c r="I46" s="162">
        <f t="shared" si="2"/>
        <v>2.13658460090952E-3</v>
      </c>
      <c r="J46" s="163">
        <f t="shared" si="2"/>
        <v>2.13658460090952E-3</v>
      </c>
      <c r="L46" s="164">
        <f t="shared" si="3"/>
        <v>221673.84187223238</v>
      </c>
      <c r="M46" s="165">
        <f t="shared" si="3"/>
        <v>227612.57640527142</v>
      </c>
      <c r="N46" s="165">
        <f t="shared" si="3"/>
        <v>253739.66607390853</v>
      </c>
      <c r="O46" s="165">
        <f t="shared" si="3"/>
        <v>279935.10945139162</v>
      </c>
      <c r="P46" s="165">
        <f t="shared" si="3"/>
        <v>303794.34900679719</v>
      </c>
      <c r="Q46" s="166">
        <f t="shared" si="3"/>
        <v>332142.55280772888</v>
      </c>
    </row>
    <row r="47" spans="1:17" ht="12.75" customHeight="1" x14ac:dyDescent="0.35">
      <c r="A47" s="81"/>
      <c r="B47" s="100">
        <v>753</v>
      </c>
      <c r="C47" s="160" t="s">
        <v>47</v>
      </c>
      <c r="D47" s="161">
        <v>1.5289320997334201E-3</v>
      </c>
      <c r="E47" s="161">
        <f t="shared" si="1"/>
        <v>1.5289320997334201E-3</v>
      </c>
      <c r="F47" s="162">
        <f t="shared" si="2"/>
        <v>1.5289320997334201E-3</v>
      </c>
      <c r="G47" s="162">
        <f t="shared" si="2"/>
        <v>1.5289320997334201E-3</v>
      </c>
      <c r="H47" s="162">
        <f t="shared" si="2"/>
        <v>1.5289320997334201E-3</v>
      </c>
      <c r="I47" s="162">
        <f t="shared" si="2"/>
        <v>1.5289320997334201E-3</v>
      </c>
      <c r="J47" s="163">
        <f t="shared" si="2"/>
        <v>1.5289320997334201E-3</v>
      </c>
      <c r="L47" s="164">
        <f t="shared" si="3"/>
        <v>158628.9877617812</v>
      </c>
      <c r="M47" s="165">
        <f t="shared" si="3"/>
        <v>162878.72440010268</v>
      </c>
      <c r="N47" s="165">
        <f t="shared" si="3"/>
        <v>181575.17388775133</v>
      </c>
      <c r="O47" s="165">
        <f t="shared" si="3"/>
        <v>200320.53703861081</v>
      </c>
      <c r="P47" s="165">
        <f t="shared" si="3"/>
        <v>217394.12130761665</v>
      </c>
      <c r="Q47" s="166">
        <f t="shared" si="3"/>
        <v>237679.99191745766</v>
      </c>
    </row>
    <row r="48" spans="1:17" ht="12.75" customHeight="1" x14ac:dyDescent="0.35">
      <c r="A48" s="81"/>
      <c r="B48" s="100">
        <v>209</v>
      </c>
      <c r="C48" s="160" t="s">
        <v>48</v>
      </c>
      <c r="D48" s="161">
        <v>1.27411008311118E-3</v>
      </c>
      <c r="E48" s="161">
        <f t="shared" si="1"/>
        <v>1.27411008311118E-3</v>
      </c>
      <c r="F48" s="162">
        <f t="shared" si="2"/>
        <v>1.27411008311118E-3</v>
      </c>
      <c r="G48" s="162">
        <f t="shared" si="2"/>
        <v>1.27411008311118E-3</v>
      </c>
      <c r="H48" s="162">
        <f t="shared" si="2"/>
        <v>1.27411008311118E-3</v>
      </c>
      <c r="I48" s="162">
        <f t="shared" si="2"/>
        <v>1.27411008311118E-3</v>
      </c>
      <c r="J48" s="163">
        <f t="shared" si="2"/>
        <v>1.27411008311118E-3</v>
      </c>
      <c r="L48" s="164">
        <f t="shared" si="3"/>
        <v>132190.82313481733</v>
      </c>
      <c r="M48" s="165">
        <f t="shared" si="3"/>
        <v>135732.27033341856</v>
      </c>
      <c r="N48" s="165">
        <f t="shared" si="3"/>
        <v>151312.64490645906</v>
      </c>
      <c r="O48" s="165">
        <f t="shared" si="3"/>
        <v>166933.78086550854</v>
      </c>
      <c r="P48" s="165">
        <f t="shared" si="3"/>
        <v>181161.76775634673</v>
      </c>
      <c r="Q48" s="166">
        <f t="shared" si="3"/>
        <v>198066.65993121421</v>
      </c>
    </row>
    <row r="49" spans="1:17" ht="12.75" customHeight="1" x14ac:dyDescent="0.35">
      <c r="A49" s="81"/>
      <c r="B49" s="100">
        <v>375</v>
      </c>
      <c r="C49" s="160" t="s">
        <v>49</v>
      </c>
      <c r="D49" s="161">
        <v>2.4894150854633799E-3</v>
      </c>
      <c r="E49" s="161">
        <f t="shared" si="1"/>
        <v>2.4894150854633799E-3</v>
      </c>
      <c r="F49" s="162">
        <f t="shared" si="2"/>
        <v>2.4894150854633799E-3</v>
      </c>
      <c r="G49" s="162">
        <f t="shared" si="2"/>
        <v>2.4894150854633799E-3</v>
      </c>
      <c r="H49" s="162">
        <f t="shared" si="2"/>
        <v>2.4894150854633799E-3</v>
      </c>
      <c r="I49" s="162">
        <f t="shared" si="2"/>
        <v>2.4894150854633799E-3</v>
      </c>
      <c r="J49" s="163">
        <f t="shared" si="2"/>
        <v>2.4894150854633799E-3</v>
      </c>
      <c r="L49" s="164">
        <f t="shared" si="3"/>
        <v>258280.53135571969</v>
      </c>
      <c r="M49" s="165">
        <f t="shared" si="3"/>
        <v>265199.97434375598</v>
      </c>
      <c r="N49" s="165">
        <f t="shared" si="3"/>
        <v>295641.6292787735</v>
      </c>
      <c r="O49" s="165">
        <f t="shared" si="3"/>
        <v>326162.92569107021</v>
      </c>
      <c r="P49" s="165">
        <f t="shared" si="3"/>
        <v>353962.22315470781</v>
      </c>
      <c r="Q49" s="166">
        <f t="shared" si="3"/>
        <v>386991.7817117566</v>
      </c>
    </row>
    <row r="50" spans="1:17" ht="12.75" customHeight="1" x14ac:dyDescent="0.35">
      <c r="A50" s="81"/>
      <c r="B50" s="100">
        <v>1728</v>
      </c>
      <c r="C50" s="160" t="s">
        <v>50</v>
      </c>
      <c r="D50" s="161">
        <v>1.5485337933197399E-3</v>
      </c>
      <c r="E50" s="161">
        <f t="shared" si="1"/>
        <v>1.5485337933197399E-3</v>
      </c>
      <c r="F50" s="162">
        <f t="shared" si="2"/>
        <v>1.5485337933197399E-3</v>
      </c>
      <c r="G50" s="162">
        <f t="shared" si="2"/>
        <v>1.5485337933197399E-3</v>
      </c>
      <c r="H50" s="162">
        <f t="shared" si="2"/>
        <v>1.5485337933197399E-3</v>
      </c>
      <c r="I50" s="162">
        <f t="shared" si="2"/>
        <v>1.5485337933197399E-3</v>
      </c>
      <c r="J50" s="163">
        <f t="shared" si="2"/>
        <v>1.5485337933197399E-3</v>
      </c>
      <c r="L50" s="164">
        <f t="shared" si="3"/>
        <v>160662.69273308548</v>
      </c>
      <c r="M50" s="165">
        <f t="shared" si="3"/>
        <v>164966.91317446233</v>
      </c>
      <c r="N50" s="165">
        <f t="shared" si="3"/>
        <v>183903.06073246535</v>
      </c>
      <c r="O50" s="165">
        <f t="shared" si="3"/>
        <v>202888.74905192555</v>
      </c>
      <c r="P50" s="165">
        <f t="shared" si="3"/>
        <v>220181.22542694421</v>
      </c>
      <c r="Q50" s="166">
        <f t="shared" si="3"/>
        <v>240727.17130101388</v>
      </c>
    </row>
    <row r="51" spans="1:17" ht="12.75" customHeight="1" x14ac:dyDescent="0.35">
      <c r="A51" s="81"/>
      <c r="B51" s="100">
        <v>376</v>
      </c>
      <c r="C51" s="160" t="s">
        <v>51</v>
      </c>
      <c r="D51" s="161">
        <v>7.8406774345303394E-5</v>
      </c>
      <c r="E51" s="161">
        <f t="shared" si="1"/>
        <v>8.6716898232902325E-5</v>
      </c>
      <c r="F51" s="162">
        <f t="shared" si="2"/>
        <v>7.8406774345303394E-5</v>
      </c>
      <c r="G51" s="162">
        <f t="shared" si="2"/>
        <v>7.8406774345303394E-5</v>
      </c>
      <c r="H51" s="162">
        <f t="shared" si="2"/>
        <v>7.8406774345303394E-5</v>
      </c>
      <c r="I51" s="162">
        <f t="shared" si="2"/>
        <v>7.8406774345303394E-5</v>
      </c>
      <c r="J51" s="163">
        <f t="shared" si="2"/>
        <v>7.8406774345303394E-5</v>
      </c>
      <c r="L51" s="164">
        <f t="shared" si="3"/>
        <v>8997.0076440445646</v>
      </c>
      <c r="M51" s="165">
        <f t="shared" si="3"/>
        <v>8352.7550974411424</v>
      </c>
      <c r="N51" s="165">
        <f t="shared" si="3"/>
        <v>9311.5473788590189</v>
      </c>
      <c r="O51" s="165">
        <f t="shared" si="3"/>
        <v>10272.848053262065</v>
      </c>
      <c r="P51" s="165">
        <f t="shared" si="3"/>
        <v>11148.416477313645</v>
      </c>
      <c r="Q51" s="166">
        <f t="shared" si="3"/>
        <v>12188.717534228566</v>
      </c>
    </row>
    <row r="52" spans="1:17" ht="12.75" customHeight="1" x14ac:dyDescent="0.35">
      <c r="A52" s="81"/>
      <c r="B52" s="100">
        <v>377</v>
      </c>
      <c r="C52" s="160" t="s">
        <v>52</v>
      </c>
      <c r="D52" s="161">
        <v>5.0964403324447202E-4</v>
      </c>
      <c r="E52" s="161">
        <f t="shared" si="1"/>
        <v>5.0964403324447202E-4</v>
      </c>
      <c r="F52" s="162">
        <f t="shared" si="2"/>
        <v>5.0964403324447202E-4</v>
      </c>
      <c r="G52" s="162">
        <f t="shared" si="2"/>
        <v>5.0964403324447202E-4</v>
      </c>
      <c r="H52" s="162">
        <f t="shared" si="2"/>
        <v>5.0964403324447202E-4</v>
      </c>
      <c r="I52" s="162">
        <f t="shared" si="2"/>
        <v>5.0964403324447202E-4</v>
      </c>
      <c r="J52" s="163">
        <f t="shared" si="2"/>
        <v>5.0964403324447202E-4</v>
      </c>
      <c r="L52" s="164">
        <f t="shared" si="3"/>
        <v>52876.329253926924</v>
      </c>
      <c r="M52" s="165">
        <f t="shared" si="3"/>
        <v>54292.908133367411</v>
      </c>
      <c r="N52" s="165">
        <f t="shared" si="3"/>
        <v>60525.057962583611</v>
      </c>
      <c r="O52" s="165">
        <f t="shared" si="3"/>
        <v>66773.512346203424</v>
      </c>
      <c r="P52" s="165">
        <f t="shared" si="3"/>
        <v>72464.707102538683</v>
      </c>
      <c r="Q52" s="166">
        <f t="shared" si="3"/>
        <v>79226.66397248568</v>
      </c>
    </row>
    <row r="53" spans="1:17" ht="12.75" customHeight="1" x14ac:dyDescent="0.35">
      <c r="A53" s="81"/>
      <c r="B53" s="100">
        <v>1901</v>
      </c>
      <c r="C53" s="160" t="s">
        <v>53</v>
      </c>
      <c r="D53" s="161">
        <v>9.99686372902619E-4</v>
      </c>
      <c r="E53" s="161">
        <f t="shared" si="1"/>
        <v>9.99686372902619E-4</v>
      </c>
      <c r="F53" s="162">
        <f t="shared" si="2"/>
        <v>9.99686372902619E-4</v>
      </c>
      <c r="G53" s="162">
        <f t="shared" si="2"/>
        <v>9.99686372902619E-4</v>
      </c>
      <c r="H53" s="162">
        <f t="shared" si="2"/>
        <v>9.99686372902619E-4</v>
      </c>
      <c r="I53" s="162">
        <f t="shared" si="2"/>
        <v>9.99686372902619E-4</v>
      </c>
      <c r="J53" s="163">
        <f t="shared" si="2"/>
        <v>9.99686372902619E-4</v>
      </c>
      <c r="L53" s="164">
        <f t="shared" si="3"/>
        <v>103718.95353654906</v>
      </c>
      <c r="M53" s="165">
        <f t="shared" si="3"/>
        <v>106497.62749237464</v>
      </c>
      <c r="N53" s="165">
        <f t="shared" si="3"/>
        <v>118722.22908045257</v>
      </c>
      <c r="O53" s="165">
        <f t="shared" ref="O53:Q116" si="4">H53/H$10*O$10</f>
        <v>130978.81267909144</v>
      </c>
      <c r="P53" s="165">
        <f t="shared" si="4"/>
        <v>142142.31008574908</v>
      </c>
      <c r="Q53" s="166">
        <f t="shared" si="4"/>
        <v>155406.14856141433</v>
      </c>
    </row>
    <row r="54" spans="1:17" ht="12.75" customHeight="1" x14ac:dyDescent="0.35">
      <c r="A54" s="81"/>
      <c r="B54" s="100">
        <v>755</v>
      </c>
      <c r="C54" s="160" t="s">
        <v>54</v>
      </c>
      <c r="D54" s="161">
        <v>8.2327113062568603E-4</v>
      </c>
      <c r="E54" s="161">
        <f t="shared" si="1"/>
        <v>8.2327113062568603E-4</v>
      </c>
      <c r="F54" s="162">
        <f t="shared" si="2"/>
        <v>8.2327113062568603E-4</v>
      </c>
      <c r="G54" s="162">
        <f t="shared" si="2"/>
        <v>8.2327113062568603E-4</v>
      </c>
      <c r="H54" s="162">
        <f t="shared" si="2"/>
        <v>8.2327113062568603E-4</v>
      </c>
      <c r="I54" s="162">
        <f t="shared" si="2"/>
        <v>8.2327113062568603E-4</v>
      </c>
      <c r="J54" s="163">
        <f t="shared" si="2"/>
        <v>8.2327113062568603E-4</v>
      </c>
      <c r="L54" s="164">
        <f t="shared" ref="L54:Q117" si="5">E54/E$10*L$10</f>
        <v>85415.608794805084</v>
      </c>
      <c r="M54" s="165">
        <f t="shared" si="5"/>
        <v>87703.928523132039</v>
      </c>
      <c r="N54" s="165">
        <f t="shared" si="5"/>
        <v>97771.247478019737</v>
      </c>
      <c r="O54" s="165">
        <f t="shared" si="4"/>
        <v>107864.90455925174</v>
      </c>
      <c r="P54" s="165">
        <f t="shared" si="4"/>
        <v>117058.37301179334</v>
      </c>
      <c r="Q54" s="166">
        <f t="shared" si="4"/>
        <v>127981.53410940002</v>
      </c>
    </row>
    <row r="55" spans="1:17" ht="12.75" customHeight="1" x14ac:dyDescent="0.35">
      <c r="A55" s="81"/>
      <c r="B55" s="100">
        <v>1681</v>
      </c>
      <c r="C55" s="160" t="s">
        <v>55</v>
      </c>
      <c r="D55" s="161">
        <v>1.80335580994198E-3</v>
      </c>
      <c r="E55" s="161">
        <f t="shared" si="1"/>
        <v>1.80335580994198E-3</v>
      </c>
      <c r="F55" s="162">
        <f t="shared" si="2"/>
        <v>1.80335580994198E-3</v>
      </c>
      <c r="G55" s="162">
        <f t="shared" si="2"/>
        <v>1.80335580994198E-3</v>
      </c>
      <c r="H55" s="162">
        <f t="shared" si="2"/>
        <v>1.80335580994198E-3</v>
      </c>
      <c r="I55" s="162">
        <f t="shared" si="2"/>
        <v>1.80335580994198E-3</v>
      </c>
      <c r="J55" s="163">
        <f t="shared" si="2"/>
        <v>1.80335580994198E-3</v>
      </c>
      <c r="L55" s="164">
        <f t="shared" si="5"/>
        <v>187100.85736004935</v>
      </c>
      <c r="M55" s="165">
        <f t="shared" si="5"/>
        <v>192113.36724114648</v>
      </c>
      <c r="N55" s="165">
        <f t="shared" si="5"/>
        <v>214165.58971375765</v>
      </c>
      <c r="O55" s="165">
        <f t="shared" si="4"/>
        <v>236275.50522502777</v>
      </c>
      <c r="P55" s="165">
        <f t="shared" si="4"/>
        <v>256413.57897821412</v>
      </c>
      <c r="Q55" s="166">
        <f t="shared" si="4"/>
        <v>280340.50328725734</v>
      </c>
    </row>
    <row r="56" spans="1:17" ht="12.75" customHeight="1" x14ac:dyDescent="0.35">
      <c r="A56" s="81"/>
      <c r="B56" s="100">
        <v>147</v>
      </c>
      <c r="C56" s="160" t="s">
        <v>56</v>
      </c>
      <c r="D56" s="161">
        <v>8.4287282421201205E-4</v>
      </c>
      <c r="E56" s="161">
        <f t="shared" si="1"/>
        <v>8.4287282421201205E-4</v>
      </c>
      <c r="F56" s="162">
        <f t="shared" si="2"/>
        <v>8.4287282421201205E-4</v>
      </c>
      <c r="G56" s="162">
        <f t="shared" si="2"/>
        <v>8.4287282421201205E-4</v>
      </c>
      <c r="H56" s="162">
        <f t="shared" si="2"/>
        <v>8.4287282421201205E-4</v>
      </c>
      <c r="I56" s="162">
        <f t="shared" si="2"/>
        <v>8.4287282421201205E-4</v>
      </c>
      <c r="J56" s="163">
        <f t="shared" si="2"/>
        <v>8.4287282421201205E-4</v>
      </c>
      <c r="L56" s="164">
        <f t="shared" si="5"/>
        <v>87449.31376610999</v>
      </c>
      <c r="M56" s="165">
        <f t="shared" si="5"/>
        <v>89792.117297492339</v>
      </c>
      <c r="N56" s="165">
        <f t="shared" si="5"/>
        <v>100099.13432273452</v>
      </c>
      <c r="O56" s="165">
        <f t="shared" si="4"/>
        <v>110433.11657256728</v>
      </c>
      <c r="P56" s="165">
        <f t="shared" si="4"/>
        <v>119845.47713112176</v>
      </c>
      <c r="Q56" s="166">
        <f t="shared" si="4"/>
        <v>131028.71349295718</v>
      </c>
    </row>
    <row r="57" spans="1:17" ht="12.75" customHeight="1" x14ac:dyDescent="0.35">
      <c r="A57" s="81"/>
      <c r="B57" s="100">
        <v>654</v>
      </c>
      <c r="C57" s="160" t="s">
        <v>57</v>
      </c>
      <c r="D57" s="161">
        <v>8.0366943703936002E-4</v>
      </c>
      <c r="E57" s="161">
        <f t="shared" si="1"/>
        <v>8.0366943703936002E-4</v>
      </c>
      <c r="F57" s="162">
        <f t="shared" si="2"/>
        <v>8.0366943703936002E-4</v>
      </c>
      <c r="G57" s="162">
        <f t="shared" si="2"/>
        <v>8.0366943703936002E-4</v>
      </c>
      <c r="H57" s="162">
        <f t="shared" si="2"/>
        <v>8.0366943703936002E-4</v>
      </c>
      <c r="I57" s="162">
        <f t="shared" si="2"/>
        <v>8.0366943703936002E-4</v>
      </c>
      <c r="J57" s="163">
        <f t="shared" si="2"/>
        <v>8.0366943703936002E-4</v>
      </c>
      <c r="L57" s="164">
        <f t="shared" si="5"/>
        <v>83381.903823500194</v>
      </c>
      <c r="M57" s="165">
        <f t="shared" si="5"/>
        <v>85615.739748771739</v>
      </c>
      <c r="N57" s="165">
        <f t="shared" si="5"/>
        <v>95443.360633304968</v>
      </c>
      <c r="O57" s="165">
        <f t="shared" si="4"/>
        <v>105296.6925459362</v>
      </c>
      <c r="P57" s="165">
        <f t="shared" si="4"/>
        <v>114271.2688924649</v>
      </c>
      <c r="Q57" s="166">
        <f t="shared" si="4"/>
        <v>124934.35472584284</v>
      </c>
    </row>
    <row r="58" spans="1:17" ht="12.75" customHeight="1" x14ac:dyDescent="0.35">
      <c r="A58" s="81"/>
      <c r="B58" s="100">
        <v>756</v>
      </c>
      <c r="C58" s="160" t="s">
        <v>58</v>
      </c>
      <c r="D58" s="161">
        <v>2.56782185980869E-3</v>
      </c>
      <c r="E58" s="161">
        <f t="shared" si="1"/>
        <v>2.56782185980869E-3</v>
      </c>
      <c r="F58" s="162">
        <f t="shared" si="2"/>
        <v>2.56782185980869E-3</v>
      </c>
      <c r="G58" s="162">
        <f t="shared" si="2"/>
        <v>2.56782185980869E-3</v>
      </c>
      <c r="H58" s="162">
        <f t="shared" si="2"/>
        <v>2.56782185980869E-3</v>
      </c>
      <c r="I58" s="162">
        <f t="shared" si="2"/>
        <v>2.56782185980869E-3</v>
      </c>
      <c r="J58" s="163">
        <f t="shared" si="2"/>
        <v>2.56782185980869E-3</v>
      </c>
      <c r="L58" s="164">
        <f t="shared" si="5"/>
        <v>266415.35124093993</v>
      </c>
      <c r="M58" s="165">
        <f t="shared" si="5"/>
        <v>273552.72944119782</v>
      </c>
      <c r="N58" s="165">
        <f t="shared" si="5"/>
        <v>304953.17665763333</v>
      </c>
      <c r="O58" s="165">
        <f t="shared" si="4"/>
        <v>336435.77374433313</v>
      </c>
      <c r="P58" s="165">
        <f t="shared" si="4"/>
        <v>365110.63963202247</v>
      </c>
      <c r="Q58" s="166">
        <f t="shared" si="4"/>
        <v>399180.49924598617</v>
      </c>
    </row>
    <row r="59" spans="1:17" ht="12.75" customHeight="1" x14ac:dyDescent="0.35">
      <c r="A59" s="81"/>
      <c r="B59" s="100">
        <v>757</v>
      </c>
      <c r="C59" s="160" t="s">
        <v>59</v>
      </c>
      <c r="D59" s="161">
        <v>4.5671946056139298E-3</v>
      </c>
      <c r="E59" s="161">
        <f t="shared" si="1"/>
        <v>4.5671946056139298E-3</v>
      </c>
      <c r="F59" s="162">
        <f t="shared" si="2"/>
        <v>4.5671946056139298E-3</v>
      </c>
      <c r="G59" s="162">
        <f t="shared" si="2"/>
        <v>4.5671946056139298E-3</v>
      </c>
      <c r="H59" s="162">
        <f t="shared" si="2"/>
        <v>4.5671946056139298E-3</v>
      </c>
      <c r="I59" s="162">
        <f t="shared" si="2"/>
        <v>4.5671946056139298E-3</v>
      </c>
      <c r="J59" s="163">
        <f t="shared" si="2"/>
        <v>4.5671946056139298E-3</v>
      </c>
      <c r="L59" s="164">
        <f t="shared" si="5"/>
        <v>473853.25831403822</v>
      </c>
      <c r="M59" s="165">
        <f t="shared" si="5"/>
        <v>486547.9844259473</v>
      </c>
      <c r="N59" s="165">
        <f t="shared" si="5"/>
        <v>542397.63481853867</v>
      </c>
      <c r="O59" s="165">
        <f t="shared" si="4"/>
        <v>598393.39910251624</v>
      </c>
      <c r="P59" s="165">
        <f t="shared" si="4"/>
        <v>649395.25980352075</v>
      </c>
      <c r="Q59" s="166">
        <f t="shared" si="4"/>
        <v>709992.79636881512</v>
      </c>
    </row>
    <row r="60" spans="1:17" ht="12.75" customHeight="1" x14ac:dyDescent="0.35">
      <c r="A60" s="81"/>
      <c r="B60" s="100">
        <v>758</v>
      </c>
      <c r="C60" s="160" t="s">
        <v>60</v>
      </c>
      <c r="D60" s="161">
        <v>1.0545711149443301E-2</v>
      </c>
      <c r="E60" s="161">
        <f t="shared" si="1"/>
        <v>1.0545711149443301E-2</v>
      </c>
      <c r="F60" s="162">
        <f t="shared" si="2"/>
        <v>1.0545711149443301E-2</v>
      </c>
      <c r="G60" s="162">
        <f t="shared" si="2"/>
        <v>1.0545711149443301E-2</v>
      </c>
      <c r="H60" s="162">
        <f t="shared" si="2"/>
        <v>1.0545711149443301E-2</v>
      </c>
      <c r="I60" s="162">
        <f t="shared" si="2"/>
        <v>1.0545711149443301E-2</v>
      </c>
      <c r="J60" s="163">
        <f t="shared" si="2"/>
        <v>1.0545711149443301E-2</v>
      </c>
      <c r="L60" s="164">
        <f t="shared" si="5"/>
        <v>1094133.2745620259</v>
      </c>
      <c r="M60" s="165">
        <f t="shared" si="5"/>
        <v>1123445.5606058331</v>
      </c>
      <c r="N60" s="165">
        <f t="shared" si="5"/>
        <v>1252403.1224565373</v>
      </c>
      <c r="O60" s="165">
        <f t="shared" si="4"/>
        <v>1381698.0631637471</v>
      </c>
      <c r="P60" s="165">
        <f t="shared" si="4"/>
        <v>1499462.0161986845</v>
      </c>
      <c r="Q60" s="166">
        <f t="shared" si="4"/>
        <v>1639382.5083537414</v>
      </c>
    </row>
    <row r="61" spans="1:17" ht="12.75" customHeight="1" x14ac:dyDescent="0.35">
      <c r="A61" s="81"/>
      <c r="B61" s="100">
        <v>501</v>
      </c>
      <c r="C61" s="160" t="s">
        <v>61</v>
      </c>
      <c r="D61" s="161">
        <v>4.1163556531284302E-4</v>
      </c>
      <c r="E61" s="161">
        <f t="shared" si="1"/>
        <v>4.1163556531284302E-4</v>
      </c>
      <c r="F61" s="162">
        <f t="shared" si="2"/>
        <v>4.1163556531284302E-4</v>
      </c>
      <c r="G61" s="162">
        <f t="shared" si="2"/>
        <v>4.1163556531284302E-4</v>
      </c>
      <c r="H61" s="162">
        <f t="shared" si="2"/>
        <v>4.1163556531284302E-4</v>
      </c>
      <c r="I61" s="162">
        <f t="shared" si="2"/>
        <v>4.1163556531284302E-4</v>
      </c>
      <c r="J61" s="163">
        <f t="shared" si="2"/>
        <v>4.1163556531284302E-4</v>
      </c>
      <c r="L61" s="164">
        <f t="shared" si="5"/>
        <v>42707.804397402542</v>
      </c>
      <c r="M61" s="165">
        <f t="shared" si="5"/>
        <v>43851.96426156602</v>
      </c>
      <c r="N61" s="165">
        <f t="shared" si="5"/>
        <v>48885.623739009869</v>
      </c>
      <c r="O61" s="165">
        <f t="shared" si="4"/>
        <v>53932.452279625868</v>
      </c>
      <c r="P61" s="165">
        <f t="shared" si="4"/>
        <v>58529.186505896672</v>
      </c>
      <c r="Q61" s="166">
        <f t="shared" si="4"/>
        <v>63990.767054700009</v>
      </c>
    </row>
    <row r="62" spans="1:17" ht="12.75" customHeight="1" x14ac:dyDescent="0.35">
      <c r="A62" s="81"/>
      <c r="B62" s="100">
        <v>1876</v>
      </c>
      <c r="C62" s="160" t="s">
        <v>62</v>
      </c>
      <c r="D62" s="161">
        <v>1.7445507291830001E-3</v>
      </c>
      <c r="E62" s="161">
        <f t="shared" si="1"/>
        <v>1.7445507291830001E-3</v>
      </c>
      <c r="F62" s="162">
        <f t="shared" ref="F62:J112" si="6">MAX(7700/M$10,$D62)</f>
        <v>1.7445507291830001E-3</v>
      </c>
      <c r="G62" s="162">
        <f t="shared" si="6"/>
        <v>1.7445507291830001E-3</v>
      </c>
      <c r="H62" s="162">
        <f t="shared" si="6"/>
        <v>1.7445507291830001E-3</v>
      </c>
      <c r="I62" s="162">
        <f t="shared" si="6"/>
        <v>1.7445507291830001E-3</v>
      </c>
      <c r="J62" s="163">
        <f t="shared" si="6"/>
        <v>1.7445507291830001E-3</v>
      </c>
      <c r="L62" s="164">
        <f t="shared" si="5"/>
        <v>180999.74244613445</v>
      </c>
      <c r="M62" s="165">
        <f t="shared" si="5"/>
        <v>185848.80091806536</v>
      </c>
      <c r="N62" s="165">
        <f t="shared" si="5"/>
        <v>207181.92917961313</v>
      </c>
      <c r="O62" s="165">
        <f t="shared" si="4"/>
        <v>228570.86918508093</v>
      </c>
      <c r="P62" s="165">
        <f t="shared" si="4"/>
        <v>248052.26662022853</v>
      </c>
      <c r="Q62" s="166">
        <f t="shared" si="4"/>
        <v>271198.96513658558</v>
      </c>
    </row>
    <row r="63" spans="1:17" ht="12.75" customHeight="1" x14ac:dyDescent="0.35">
      <c r="A63" s="81"/>
      <c r="B63" s="100">
        <v>213</v>
      </c>
      <c r="C63" s="160" t="s">
        <v>63</v>
      </c>
      <c r="D63" s="161">
        <v>1.0584914536616E-3</v>
      </c>
      <c r="E63" s="161">
        <f t="shared" si="1"/>
        <v>1.0584914536616E-3</v>
      </c>
      <c r="F63" s="162">
        <f t="shared" si="6"/>
        <v>1.0584914536616E-3</v>
      </c>
      <c r="G63" s="162">
        <f t="shared" si="6"/>
        <v>1.0584914536616E-3</v>
      </c>
      <c r="H63" s="162">
        <f t="shared" si="6"/>
        <v>1.0584914536616E-3</v>
      </c>
      <c r="I63" s="162">
        <f t="shared" si="6"/>
        <v>1.0584914536616E-3</v>
      </c>
      <c r="J63" s="163">
        <f t="shared" si="6"/>
        <v>1.0584914536616E-3</v>
      </c>
      <c r="L63" s="164">
        <f t="shared" si="5"/>
        <v>109820.06845046405</v>
      </c>
      <c r="M63" s="165">
        <f t="shared" si="5"/>
        <v>112762.19381545586</v>
      </c>
      <c r="N63" s="165">
        <f t="shared" si="5"/>
        <v>125705.88961459724</v>
      </c>
      <c r="O63" s="165">
        <f t="shared" si="4"/>
        <v>138683.44871903842</v>
      </c>
      <c r="P63" s="165">
        <f t="shared" si="4"/>
        <v>150503.62244373481</v>
      </c>
      <c r="Q63" s="166">
        <f t="shared" si="4"/>
        <v>164547.68671208632</v>
      </c>
    </row>
    <row r="64" spans="1:17" ht="12.75" customHeight="1" x14ac:dyDescent="0.35">
      <c r="A64" s="81"/>
      <c r="B64" s="100">
        <v>899</v>
      </c>
      <c r="C64" s="160" t="s">
        <v>64</v>
      </c>
      <c r="D64" s="161">
        <v>1.9993727458052402E-3</v>
      </c>
      <c r="E64" s="161">
        <f t="shared" si="1"/>
        <v>1.9993727458052402E-3</v>
      </c>
      <c r="F64" s="162">
        <f t="shared" si="6"/>
        <v>1.9993727458052402E-3</v>
      </c>
      <c r="G64" s="162">
        <f t="shared" si="6"/>
        <v>1.9993727458052402E-3</v>
      </c>
      <c r="H64" s="162">
        <f t="shared" si="6"/>
        <v>1.9993727458052402E-3</v>
      </c>
      <c r="I64" s="162">
        <f t="shared" si="6"/>
        <v>1.9993727458052402E-3</v>
      </c>
      <c r="J64" s="163">
        <f t="shared" si="6"/>
        <v>1.9993727458052402E-3</v>
      </c>
      <c r="L64" s="164">
        <f t="shared" si="5"/>
        <v>207437.90707309832</v>
      </c>
      <c r="M64" s="165">
        <f t="shared" si="5"/>
        <v>212995.25498474951</v>
      </c>
      <c r="N64" s="165">
        <f t="shared" si="5"/>
        <v>237444.4581609054</v>
      </c>
      <c r="O64" s="165">
        <f t="shared" si="4"/>
        <v>261957.62535818314</v>
      </c>
      <c r="P64" s="165">
        <f t="shared" si="4"/>
        <v>284284.62017149845</v>
      </c>
      <c r="Q64" s="166">
        <f t="shared" si="4"/>
        <v>310812.29712282901</v>
      </c>
    </row>
    <row r="65" spans="1:17" ht="12.75" customHeight="1" x14ac:dyDescent="0.35">
      <c r="A65" s="81"/>
      <c r="B65" s="100">
        <v>312</v>
      </c>
      <c r="C65" s="160" t="s">
        <v>65</v>
      </c>
      <c r="D65" s="161">
        <v>2.15618629449584E-4</v>
      </c>
      <c r="E65" s="161">
        <f t="shared" si="1"/>
        <v>2.15618629449584E-4</v>
      </c>
      <c r="F65" s="162">
        <f t="shared" si="6"/>
        <v>2.15618629449584E-4</v>
      </c>
      <c r="G65" s="162">
        <f t="shared" si="6"/>
        <v>2.15618629449584E-4</v>
      </c>
      <c r="H65" s="162">
        <f t="shared" si="6"/>
        <v>2.15618629449584E-4</v>
      </c>
      <c r="I65" s="162">
        <f t="shared" si="6"/>
        <v>2.15618629449584E-4</v>
      </c>
      <c r="J65" s="163">
        <f t="shared" si="6"/>
        <v>2.15618629449584E-4</v>
      </c>
      <c r="L65" s="164">
        <f t="shared" si="5"/>
        <v>22370.754684353669</v>
      </c>
      <c r="M65" s="165">
        <f t="shared" si="5"/>
        <v>22970.076517963105</v>
      </c>
      <c r="N65" s="165">
        <f t="shared" si="5"/>
        <v>25606.755291862264</v>
      </c>
      <c r="O65" s="165">
        <f t="shared" si="4"/>
        <v>28250.332146470639</v>
      </c>
      <c r="P65" s="165">
        <f t="shared" si="4"/>
        <v>30658.145312612476</v>
      </c>
      <c r="Q65" s="166">
        <f t="shared" si="4"/>
        <v>33518.973219128507</v>
      </c>
    </row>
    <row r="66" spans="1:17" ht="12.75" customHeight="1" x14ac:dyDescent="0.35">
      <c r="A66" s="81"/>
      <c r="B66" s="100">
        <v>313</v>
      </c>
      <c r="C66" s="160" t="s">
        <v>66</v>
      </c>
      <c r="D66" s="161">
        <v>3.7243217814019098E-4</v>
      </c>
      <c r="E66" s="161">
        <f t="shared" si="1"/>
        <v>3.7243217814019098E-4</v>
      </c>
      <c r="F66" s="162">
        <f t="shared" si="6"/>
        <v>3.7243217814019098E-4</v>
      </c>
      <c r="G66" s="162">
        <f t="shared" si="6"/>
        <v>3.7243217814019098E-4</v>
      </c>
      <c r="H66" s="162">
        <f t="shared" si="6"/>
        <v>3.7243217814019098E-4</v>
      </c>
      <c r="I66" s="162">
        <f t="shared" si="6"/>
        <v>3.7243217814019098E-4</v>
      </c>
      <c r="J66" s="163">
        <f t="shared" si="6"/>
        <v>3.7243217814019098E-4</v>
      </c>
      <c r="L66" s="164">
        <f t="shared" si="5"/>
        <v>38640.394454792746</v>
      </c>
      <c r="M66" s="165">
        <f t="shared" si="5"/>
        <v>39675.586712845412</v>
      </c>
      <c r="N66" s="165">
        <f t="shared" si="5"/>
        <v>44229.850049580324</v>
      </c>
      <c r="O66" s="165">
        <f t="shared" si="4"/>
        <v>48796.028252994794</v>
      </c>
      <c r="P66" s="165">
        <f t="shared" si="4"/>
        <v>52954.978267239792</v>
      </c>
      <c r="Q66" s="166">
        <f t="shared" si="4"/>
        <v>57896.408287585677</v>
      </c>
    </row>
    <row r="67" spans="1:17" ht="12.75" customHeight="1" x14ac:dyDescent="0.35">
      <c r="A67" s="81"/>
      <c r="B67" s="100">
        <v>214</v>
      </c>
      <c r="C67" s="160" t="s">
        <v>67</v>
      </c>
      <c r="D67" s="161">
        <v>1.1957033087658801E-3</v>
      </c>
      <c r="E67" s="161">
        <f t="shared" si="1"/>
        <v>1.1957033087658801E-3</v>
      </c>
      <c r="F67" s="162">
        <f t="shared" si="6"/>
        <v>1.1957033087658801E-3</v>
      </c>
      <c r="G67" s="162">
        <f t="shared" si="6"/>
        <v>1.1957033087658801E-3</v>
      </c>
      <c r="H67" s="162">
        <f t="shared" si="6"/>
        <v>1.1957033087658801E-3</v>
      </c>
      <c r="I67" s="162">
        <f t="shared" si="6"/>
        <v>1.1957033087658801E-3</v>
      </c>
      <c r="J67" s="163">
        <f t="shared" si="6"/>
        <v>1.1957033087658801E-3</v>
      </c>
      <c r="L67" s="164">
        <f t="shared" si="5"/>
        <v>124056.00324959813</v>
      </c>
      <c r="M67" s="165">
        <f t="shared" si="5"/>
        <v>127379.51523597777</v>
      </c>
      <c r="N67" s="165">
        <f t="shared" si="5"/>
        <v>142001.09752760042</v>
      </c>
      <c r="O67" s="165">
        <f t="shared" si="4"/>
        <v>156660.93281224696</v>
      </c>
      <c r="P67" s="165">
        <f t="shared" si="4"/>
        <v>170013.35127903355</v>
      </c>
      <c r="Q67" s="166">
        <f t="shared" si="4"/>
        <v>185877.94239698615</v>
      </c>
    </row>
    <row r="68" spans="1:17" ht="12.75" customHeight="1" x14ac:dyDescent="0.35">
      <c r="A68" s="81"/>
      <c r="B68" s="100">
        <v>502</v>
      </c>
      <c r="C68" s="160" t="s">
        <v>68</v>
      </c>
      <c r="D68" s="161">
        <v>3.19507605457112E-3</v>
      </c>
      <c r="E68" s="161">
        <f t="shared" si="1"/>
        <v>3.19507605457112E-3</v>
      </c>
      <c r="F68" s="162">
        <f t="shared" si="6"/>
        <v>3.19507605457112E-3</v>
      </c>
      <c r="G68" s="162">
        <f t="shared" si="6"/>
        <v>3.19507605457112E-3</v>
      </c>
      <c r="H68" s="162">
        <f t="shared" si="6"/>
        <v>3.19507605457112E-3</v>
      </c>
      <c r="I68" s="162">
        <f t="shared" si="6"/>
        <v>3.19507605457112E-3</v>
      </c>
      <c r="J68" s="163">
        <f t="shared" si="6"/>
        <v>3.19507605457112E-3</v>
      </c>
      <c r="L68" s="164">
        <f t="shared" si="5"/>
        <v>331493.91032269644</v>
      </c>
      <c r="M68" s="165">
        <f t="shared" si="5"/>
        <v>340374.77022072725</v>
      </c>
      <c r="N68" s="165">
        <f t="shared" si="5"/>
        <v>379445.55568850582</v>
      </c>
      <c r="O68" s="165">
        <f t="shared" si="4"/>
        <v>418618.55817043007</v>
      </c>
      <c r="P68" s="165">
        <f t="shared" si="4"/>
        <v>454297.97145053197</v>
      </c>
      <c r="Q68" s="166">
        <f t="shared" si="4"/>
        <v>496690.23951981519</v>
      </c>
    </row>
    <row r="69" spans="1:17" ht="12.75" customHeight="1" x14ac:dyDescent="0.35">
      <c r="A69" s="81"/>
      <c r="B69" s="100">
        <v>383</v>
      </c>
      <c r="C69" s="160" t="s">
        <v>69</v>
      </c>
      <c r="D69" s="161">
        <v>1.17610161517955E-3</v>
      </c>
      <c r="E69" s="161">
        <f t="shared" si="1"/>
        <v>1.17610161517955E-3</v>
      </c>
      <c r="F69" s="162">
        <f t="shared" si="6"/>
        <v>1.17610161517955E-3</v>
      </c>
      <c r="G69" s="162">
        <f t="shared" si="6"/>
        <v>1.17610161517955E-3</v>
      </c>
      <c r="H69" s="162">
        <f t="shared" si="6"/>
        <v>1.17610161517955E-3</v>
      </c>
      <c r="I69" s="162">
        <f t="shared" si="6"/>
        <v>1.17610161517955E-3</v>
      </c>
      <c r="J69" s="163">
        <f t="shared" si="6"/>
        <v>1.17610161517955E-3</v>
      </c>
      <c r="L69" s="164">
        <f t="shared" si="5"/>
        <v>122022.29827829282</v>
      </c>
      <c r="M69" s="165">
        <f t="shared" si="5"/>
        <v>125291.32646161702</v>
      </c>
      <c r="N69" s="165">
        <f t="shared" si="5"/>
        <v>139673.2106828852</v>
      </c>
      <c r="O69" s="165">
        <f t="shared" si="4"/>
        <v>154092.72079893088</v>
      </c>
      <c r="P69" s="165">
        <f t="shared" si="4"/>
        <v>167226.24715970457</v>
      </c>
      <c r="Q69" s="166">
        <f t="shared" si="4"/>
        <v>182830.76301342837</v>
      </c>
    </row>
    <row r="70" spans="1:17" ht="12.75" customHeight="1" x14ac:dyDescent="0.35">
      <c r="A70" s="81"/>
      <c r="B70" s="100">
        <v>109</v>
      </c>
      <c r="C70" s="160" t="s">
        <v>70</v>
      </c>
      <c r="D70" s="161">
        <v>1.8817625842872799E-3</v>
      </c>
      <c r="E70" s="161">
        <f t="shared" si="1"/>
        <v>1.8817625842872799E-3</v>
      </c>
      <c r="F70" s="162">
        <f t="shared" si="6"/>
        <v>1.8817625842872799E-3</v>
      </c>
      <c r="G70" s="162">
        <f t="shared" si="6"/>
        <v>1.8817625842872799E-3</v>
      </c>
      <c r="H70" s="162">
        <f t="shared" si="6"/>
        <v>1.8817625842872799E-3</v>
      </c>
      <c r="I70" s="162">
        <f t="shared" si="6"/>
        <v>1.8817625842872799E-3</v>
      </c>
      <c r="J70" s="163">
        <f t="shared" si="6"/>
        <v>1.8817625842872799E-3</v>
      </c>
      <c r="L70" s="164">
        <f t="shared" si="5"/>
        <v>195235.67724526851</v>
      </c>
      <c r="M70" s="165">
        <f t="shared" si="5"/>
        <v>200466.12233858724</v>
      </c>
      <c r="N70" s="165">
        <f t="shared" si="5"/>
        <v>223477.13709261629</v>
      </c>
      <c r="O70" s="165">
        <f t="shared" si="4"/>
        <v>246548.3532782894</v>
      </c>
      <c r="P70" s="165">
        <f t="shared" si="4"/>
        <v>267561.99545552727</v>
      </c>
      <c r="Q70" s="166">
        <f t="shared" si="4"/>
        <v>292529.22082148539</v>
      </c>
    </row>
    <row r="71" spans="1:17" ht="12.75" customHeight="1" x14ac:dyDescent="0.35">
      <c r="A71" s="81"/>
      <c r="B71" s="100">
        <v>1706</v>
      </c>
      <c r="C71" s="160" t="s">
        <v>71</v>
      </c>
      <c r="D71" s="161">
        <v>9.4088129214364095E-4</v>
      </c>
      <c r="E71" s="161">
        <f t="shared" si="1"/>
        <v>9.4088129214364095E-4</v>
      </c>
      <c r="F71" s="162">
        <f t="shared" si="6"/>
        <v>9.4088129214364095E-4</v>
      </c>
      <c r="G71" s="162">
        <f t="shared" si="6"/>
        <v>9.4088129214364095E-4</v>
      </c>
      <c r="H71" s="162">
        <f t="shared" si="6"/>
        <v>9.4088129214364095E-4</v>
      </c>
      <c r="I71" s="162">
        <f t="shared" si="6"/>
        <v>9.4088129214364095E-4</v>
      </c>
      <c r="J71" s="163">
        <f t="shared" si="6"/>
        <v>9.4088129214364095E-4</v>
      </c>
      <c r="L71" s="164">
        <f t="shared" si="5"/>
        <v>97617.838622634357</v>
      </c>
      <c r="M71" s="165">
        <f t="shared" si="5"/>
        <v>100233.06116929372</v>
      </c>
      <c r="N71" s="165">
        <f t="shared" si="5"/>
        <v>111738.56854630825</v>
      </c>
      <c r="O71" s="165">
        <f t="shared" si="4"/>
        <v>123274.17663914483</v>
      </c>
      <c r="P71" s="165">
        <f t="shared" si="4"/>
        <v>133780.99772776378</v>
      </c>
      <c r="Q71" s="166">
        <f t="shared" si="4"/>
        <v>146264.61041074284</v>
      </c>
    </row>
    <row r="72" spans="1:17" ht="12.75" customHeight="1" x14ac:dyDescent="0.35">
      <c r="A72" s="81"/>
      <c r="B72" s="100">
        <v>1684</v>
      </c>
      <c r="C72" s="160" t="s">
        <v>72</v>
      </c>
      <c r="D72" s="161">
        <v>2.52861847263603E-3</v>
      </c>
      <c r="E72" s="161">
        <f t="shared" si="1"/>
        <v>2.52861847263603E-3</v>
      </c>
      <c r="F72" s="162">
        <f t="shared" si="6"/>
        <v>2.52861847263603E-3</v>
      </c>
      <c r="G72" s="162">
        <f t="shared" si="6"/>
        <v>2.52861847263603E-3</v>
      </c>
      <c r="H72" s="162">
        <f t="shared" si="6"/>
        <v>2.52861847263603E-3</v>
      </c>
      <c r="I72" s="162">
        <f t="shared" si="6"/>
        <v>2.52861847263603E-3</v>
      </c>
      <c r="J72" s="163">
        <f t="shared" si="6"/>
        <v>2.52861847263603E-3</v>
      </c>
      <c r="L72" s="164">
        <f t="shared" si="5"/>
        <v>262347.94129832933</v>
      </c>
      <c r="M72" s="165">
        <f t="shared" si="5"/>
        <v>269376.35189247638</v>
      </c>
      <c r="N72" s="165">
        <f t="shared" si="5"/>
        <v>300297.40296820283</v>
      </c>
      <c r="O72" s="165">
        <f t="shared" si="4"/>
        <v>331299.34971770103</v>
      </c>
      <c r="P72" s="165">
        <f t="shared" si="4"/>
        <v>359536.43139336439</v>
      </c>
      <c r="Q72" s="166">
        <f t="shared" si="4"/>
        <v>393086.1404788706</v>
      </c>
    </row>
    <row r="73" spans="1:17" ht="12.75" customHeight="1" x14ac:dyDescent="0.35">
      <c r="A73" s="81"/>
      <c r="B73" s="100">
        <v>216</v>
      </c>
      <c r="C73" s="160" t="s">
        <v>73</v>
      </c>
      <c r="D73" s="161">
        <v>1.8229575035283001E-3</v>
      </c>
      <c r="E73" s="161">
        <f t="shared" si="1"/>
        <v>1.8229575035283001E-3</v>
      </c>
      <c r="F73" s="162">
        <f t="shared" si="6"/>
        <v>1.8229575035283001E-3</v>
      </c>
      <c r="G73" s="162">
        <f t="shared" si="6"/>
        <v>1.8229575035283001E-3</v>
      </c>
      <c r="H73" s="162">
        <f t="shared" si="6"/>
        <v>1.8229575035283001E-3</v>
      </c>
      <c r="I73" s="162">
        <f t="shared" si="6"/>
        <v>1.8229575035283001E-3</v>
      </c>
      <c r="J73" s="163">
        <f t="shared" si="6"/>
        <v>1.8229575035283001E-3</v>
      </c>
      <c r="L73" s="164">
        <f t="shared" si="5"/>
        <v>189134.56233135361</v>
      </c>
      <c r="M73" s="165">
        <f t="shared" si="5"/>
        <v>194201.55601550612</v>
      </c>
      <c r="N73" s="165">
        <f t="shared" si="5"/>
        <v>216493.47655847174</v>
      </c>
      <c r="O73" s="165">
        <f t="shared" si="4"/>
        <v>238843.71723834253</v>
      </c>
      <c r="P73" s="165">
        <f t="shared" si="4"/>
        <v>259200.68309754171</v>
      </c>
      <c r="Q73" s="166">
        <f t="shared" si="4"/>
        <v>283387.68267081358</v>
      </c>
    </row>
    <row r="74" spans="1:17" ht="12.75" customHeight="1" x14ac:dyDescent="0.35">
      <c r="A74" s="81"/>
      <c r="B74" s="100">
        <v>148</v>
      </c>
      <c r="C74" s="160" t="s">
        <v>74</v>
      </c>
      <c r="D74" s="161">
        <v>8.4287282421201205E-4</v>
      </c>
      <c r="E74" s="161">
        <f t="shared" si="1"/>
        <v>8.4287282421201205E-4</v>
      </c>
      <c r="F74" s="162">
        <f t="shared" si="6"/>
        <v>8.4287282421201205E-4</v>
      </c>
      <c r="G74" s="162">
        <f t="shared" si="6"/>
        <v>8.4287282421201205E-4</v>
      </c>
      <c r="H74" s="162">
        <f t="shared" si="6"/>
        <v>8.4287282421201205E-4</v>
      </c>
      <c r="I74" s="162">
        <f t="shared" si="6"/>
        <v>8.4287282421201205E-4</v>
      </c>
      <c r="J74" s="163">
        <f t="shared" si="6"/>
        <v>8.4287282421201205E-4</v>
      </c>
      <c r="L74" s="164">
        <f t="shared" si="5"/>
        <v>87449.31376610999</v>
      </c>
      <c r="M74" s="165">
        <f t="shared" si="5"/>
        <v>89792.117297492339</v>
      </c>
      <c r="N74" s="165">
        <f t="shared" si="5"/>
        <v>100099.13432273452</v>
      </c>
      <c r="O74" s="165">
        <f t="shared" si="4"/>
        <v>110433.11657256728</v>
      </c>
      <c r="P74" s="165">
        <f t="shared" si="4"/>
        <v>119845.47713112176</v>
      </c>
      <c r="Q74" s="166">
        <f t="shared" si="4"/>
        <v>131028.71349295718</v>
      </c>
    </row>
    <row r="75" spans="1:17" ht="12.75" customHeight="1" x14ac:dyDescent="0.35">
      <c r="A75" s="81"/>
      <c r="B75" s="100">
        <v>1891</v>
      </c>
      <c r="C75" s="160" t="s">
        <v>75</v>
      </c>
      <c r="D75" s="161">
        <v>7.6446604986670896E-4</v>
      </c>
      <c r="E75" s="161">
        <f t="shared" ref="E75:E138" si="7">MAX(9000/L$10,$D75)</f>
        <v>7.6446604986670896E-4</v>
      </c>
      <c r="F75" s="162">
        <f t="shared" si="6"/>
        <v>7.6446604986670896E-4</v>
      </c>
      <c r="G75" s="162">
        <f t="shared" si="6"/>
        <v>7.6446604986670896E-4</v>
      </c>
      <c r="H75" s="162">
        <f t="shared" si="6"/>
        <v>7.6446604986670896E-4</v>
      </c>
      <c r="I75" s="162">
        <f t="shared" si="6"/>
        <v>7.6446604986670896E-4</v>
      </c>
      <c r="J75" s="163">
        <f t="shared" si="6"/>
        <v>7.6446604986670896E-4</v>
      </c>
      <c r="L75" s="164">
        <f t="shared" si="5"/>
        <v>79314.493880890484</v>
      </c>
      <c r="M75" s="165">
        <f t="shared" si="5"/>
        <v>81439.362200051226</v>
      </c>
      <c r="N75" s="165">
        <f t="shared" si="5"/>
        <v>90787.586943875547</v>
      </c>
      <c r="O75" s="165">
        <f t="shared" si="4"/>
        <v>100160.26851930526</v>
      </c>
      <c r="P75" s="165">
        <f t="shared" si="4"/>
        <v>108697.06065380818</v>
      </c>
      <c r="Q75" s="166">
        <f t="shared" si="4"/>
        <v>118839.99595872866</v>
      </c>
    </row>
    <row r="76" spans="1:17" ht="12.75" customHeight="1" x14ac:dyDescent="0.35">
      <c r="A76" s="81"/>
      <c r="B76" s="100">
        <v>310</v>
      </c>
      <c r="C76" s="160" t="s">
        <v>76</v>
      </c>
      <c r="D76" s="161">
        <v>9.4088129214364095E-4</v>
      </c>
      <c r="E76" s="161">
        <f t="shared" si="7"/>
        <v>9.4088129214364095E-4</v>
      </c>
      <c r="F76" s="162">
        <f t="shared" si="6"/>
        <v>9.4088129214364095E-4</v>
      </c>
      <c r="G76" s="162">
        <f t="shared" si="6"/>
        <v>9.4088129214364095E-4</v>
      </c>
      <c r="H76" s="162">
        <f t="shared" si="6"/>
        <v>9.4088129214364095E-4</v>
      </c>
      <c r="I76" s="162">
        <f t="shared" si="6"/>
        <v>9.4088129214364095E-4</v>
      </c>
      <c r="J76" s="163">
        <f t="shared" si="6"/>
        <v>9.4088129214364095E-4</v>
      </c>
      <c r="L76" s="164">
        <f t="shared" si="5"/>
        <v>97617.838622634357</v>
      </c>
      <c r="M76" s="165">
        <f t="shared" si="5"/>
        <v>100233.06116929372</v>
      </c>
      <c r="N76" s="165">
        <f t="shared" si="5"/>
        <v>111738.56854630825</v>
      </c>
      <c r="O76" s="165">
        <f t="shared" si="4"/>
        <v>123274.17663914483</v>
      </c>
      <c r="P76" s="165">
        <f t="shared" si="4"/>
        <v>133780.99772776378</v>
      </c>
      <c r="Q76" s="166">
        <f t="shared" si="4"/>
        <v>146264.61041074284</v>
      </c>
    </row>
    <row r="77" spans="1:17" ht="12.75" customHeight="1" x14ac:dyDescent="0.35">
      <c r="A77" s="81"/>
      <c r="B77" s="100">
        <v>1940</v>
      </c>
      <c r="C77" s="160" t="s">
        <v>77</v>
      </c>
      <c r="D77" s="161">
        <v>1.1957033087658801E-3</v>
      </c>
      <c r="E77" s="161">
        <f t="shared" si="7"/>
        <v>1.1957033087658801E-3</v>
      </c>
      <c r="F77" s="162">
        <f t="shared" si="6"/>
        <v>1.1957033087658801E-3</v>
      </c>
      <c r="G77" s="162">
        <f t="shared" si="6"/>
        <v>1.1957033087658801E-3</v>
      </c>
      <c r="H77" s="162">
        <f t="shared" si="6"/>
        <v>1.1957033087658801E-3</v>
      </c>
      <c r="I77" s="162">
        <f t="shared" si="6"/>
        <v>1.1957033087658801E-3</v>
      </c>
      <c r="J77" s="163">
        <f t="shared" si="6"/>
        <v>1.1957033087658801E-3</v>
      </c>
      <c r="L77" s="164">
        <f t="shared" si="5"/>
        <v>124056.00324959813</v>
      </c>
      <c r="M77" s="165">
        <f t="shared" si="5"/>
        <v>127379.51523597777</v>
      </c>
      <c r="N77" s="165">
        <f t="shared" si="5"/>
        <v>142001.09752760042</v>
      </c>
      <c r="O77" s="165">
        <f t="shared" si="4"/>
        <v>156660.93281224696</v>
      </c>
      <c r="P77" s="165">
        <f t="shared" si="4"/>
        <v>170013.35127903355</v>
      </c>
      <c r="Q77" s="166">
        <f t="shared" si="4"/>
        <v>185877.94239698615</v>
      </c>
    </row>
    <row r="78" spans="1:17" ht="12.75" customHeight="1" x14ac:dyDescent="0.35">
      <c r="A78" s="81"/>
      <c r="B78" s="100">
        <v>736</v>
      </c>
      <c r="C78" s="160" t="s">
        <v>78</v>
      </c>
      <c r="D78" s="161">
        <v>1.15649992159323E-3</v>
      </c>
      <c r="E78" s="161">
        <f t="shared" si="7"/>
        <v>1.15649992159323E-3</v>
      </c>
      <c r="F78" s="162">
        <f t="shared" si="6"/>
        <v>1.15649992159323E-3</v>
      </c>
      <c r="G78" s="162">
        <f t="shared" si="6"/>
        <v>1.15649992159323E-3</v>
      </c>
      <c r="H78" s="162">
        <f t="shared" si="6"/>
        <v>1.15649992159323E-3</v>
      </c>
      <c r="I78" s="162">
        <f t="shared" si="6"/>
        <v>1.15649992159323E-3</v>
      </c>
      <c r="J78" s="163">
        <f t="shared" si="6"/>
        <v>1.15649992159323E-3</v>
      </c>
      <c r="L78" s="164">
        <f t="shared" si="5"/>
        <v>119988.59330698855</v>
      </c>
      <c r="M78" s="165">
        <f t="shared" si="5"/>
        <v>123203.13768725736</v>
      </c>
      <c r="N78" s="165">
        <f t="shared" si="5"/>
        <v>137345.32383817111</v>
      </c>
      <c r="O78" s="165">
        <f t="shared" si="4"/>
        <v>151524.50878561611</v>
      </c>
      <c r="P78" s="165">
        <f t="shared" si="4"/>
        <v>164439.14304037698</v>
      </c>
      <c r="Q78" s="166">
        <f t="shared" si="4"/>
        <v>179783.58362987216</v>
      </c>
    </row>
    <row r="79" spans="1:17" ht="12.75" customHeight="1" x14ac:dyDescent="0.35">
      <c r="A79" s="81"/>
      <c r="B79" s="100">
        <v>1690</v>
      </c>
      <c r="C79" s="160" t="s">
        <v>79</v>
      </c>
      <c r="D79" s="161">
        <v>6.07652501176102E-4</v>
      </c>
      <c r="E79" s="161">
        <f t="shared" si="7"/>
        <v>6.07652501176102E-4</v>
      </c>
      <c r="F79" s="162">
        <f t="shared" si="6"/>
        <v>6.07652501176102E-4</v>
      </c>
      <c r="G79" s="162">
        <f t="shared" si="6"/>
        <v>6.07652501176102E-4</v>
      </c>
      <c r="H79" s="162">
        <f t="shared" si="6"/>
        <v>6.07652501176102E-4</v>
      </c>
      <c r="I79" s="162">
        <f t="shared" si="6"/>
        <v>6.07652501176102E-4</v>
      </c>
      <c r="J79" s="163">
        <f t="shared" si="6"/>
        <v>6.07652501176102E-4</v>
      </c>
      <c r="L79" s="164">
        <f t="shared" si="5"/>
        <v>63044.854110451415</v>
      </c>
      <c r="M79" s="165">
        <f t="shared" si="5"/>
        <v>64733.852005168927</v>
      </c>
      <c r="N79" s="165">
        <f t="shared" si="5"/>
        <v>72164.492186157469</v>
      </c>
      <c r="O79" s="165">
        <f t="shared" si="4"/>
        <v>79614.572412781097</v>
      </c>
      <c r="P79" s="165">
        <f t="shared" si="4"/>
        <v>86400.227699180847</v>
      </c>
      <c r="Q79" s="166">
        <f t="shared" si="4"/>
        <v>94462.560890271503</v>
      </c>
    </row>
    <row r="80" spans="1:17" ht="12.75" customHeight="1" x14ac:dyDescent="0.35">
      <c r="A80" s="81"/>
      <c r="B80" s="100">
        <v>503</v>
      </c>
      <c r="C80" s="160" t="s">
        <v>80</v>
      </c>
      <c r="D80" s="161">
        <v>7.5662537243217903E-3</v>
      </c>
      <c r="E80" s="161">
        <f t="shared" si="7"/>
        <v>7.5662537243217903E-3</v>
      </c>
      <c r="F80" s="162">
        <f t="shared" si="6"/>
        <v>7.5662537243217903E-3</v>
      </c>
      <c r="G80" s="162">
        <f t="shared" si="6"/>
        <v>7.5662537243217903E-3</v>
      </c>
      <c r="H80" s="162">
        <f t="shared" si="6"/>
        <v>7.5662537243217903E-3</v>
      </c>
      <c r="I80" s="162">
        <f t="shared" si="6"/>
        <v>7.5662537243217903E-3</v>
      </c>
      <c r="J80" s="163">
        <f t="shared" si="6"/>
        <v>7.5662537243217903E-3</v>
      </c>
      <c r="L80" s="164">
        <f t="shared" si="5"/>
        <v>785010.11892368575</v>
      </c>
      <c r="M80" s="165">
        <f t="shared" si="5"/>
        <v>806040.86690307164</v>
      </c>
      <c r="N80" s="165">
        <f t="shared" si="5"/>
        <v>898564.32205989677</v>
      </c>
      <c r="O80" s="165">
        <f t="shared" si="4"/>
        <v>991329.83713979111</v>
      </c>
      <c r="P80" s="165">
        <f t="shared" si="4"/>
        <v>1075822.1900607687</v>
      </c>
      <c r="Q80" s="166">
        <f t="shared" si="4"/>
        <v>1176211.2420530587</v>
      </c>
    </row>
    <row r="81" spans="1:17" ht="12.75" customHeight="1" x14ac:dyDescent="0.35">
      <c r="A81" s="81"/>
      <c r="B81" s="100">
        <v>10</v>
      </c>
      <c r="C81" s="160" t="s">
        <v>81</v>
      </c>
      <c r="D81" s="161">
        <v>2.1953896816685001E-3</v>
      </c>
      <c r="E81" s="161">
        <f t="shared" si="7"/>
        <v>2.1953896816685001E-3</v>
      </c>
      <c r="F81" s="162">
        <f t="shared" si="6"/>
        <v>2.1953896816685001E-3</v>
      </c>
      <c r="G81" s="162">
        <f t="shared" si="6"/>
        <v>2.1953896816685001E-3</v>
      </c>
      <c r="H81" s="162">
        <f t="shared" si="6"/>
        <v>2.1953896816685001E-3</v>
      </c>
      <c r="I81" s="162">
        <f t="shared" si="6"/>
        <v>2.1953896816685001E-3</v>
      </c>
      <c r="J81" s="163">
        <f t="shared" si="6"/>
        <v>2.1953896816685001E-3</v>
      </c>
      <c r="L81" s="164">
        <f t="shared" si="5"/>
        <v>227774.95678614732</v>
      </c>
      <c r="M81" s="165">
        <f t="shared" si="5"/>
        <v>233877.14272835251</v>
      </c>
      <c r="N81" s="165">
        <f t="shared" si="5"/>
        <v>260723.32660805312</v>
      </c>
      <c r="O81" s="165">
        <f t="shared" si="4"/>
        <v>287639.74549133854</v>
      </c>
      <c r="P81" s="165">
        <f t="shared" si="4"/>
        <v>312155.66136478278</v>
      </c>
      <c r="Q81" s="166">
        <f t="shared" si="4"/>
        <v>341284.09095840069</v>
      </c>
    </row>
    <row r="82" spans="1:17" ht="12.75" customHeight="1" x14ac:dyDescent="0.35">
      <c r="A82" s="81"/>
      <c r="B82" s="100">
        <v>400</v>
      </c>
      <c r="C82" s="160" t="s">
        <v>82</v>
      </c>
      <c r="D82" s="161">
        <v>6.0569233181746902E-3</v>
      </c>
      <c r="E82" s="161">
        <f t="shared" si="7"/>
        <v>6.0569233181746902E-3</v>
      </c>
      <c r="F82" s="162">
        <f t="shared" si="6"/>
        <v>6.0569233181746902E-3</v>
      </c>
      <c r="G82" s="162">
        <f t="shared" si="6"/>
        <v>6.0569233181746902E-3</v>
      </c>
      <c r="H82" s="162">
        <f t="shared" si="6"/>
        <v>6.0569233181746902E-3</v>
      </c>
      <c r="I82" s="162">
        <f t="shared" si="6"/>
        <v>6.0569233181746902E-3</v>
      </c>
      <c r="J82" s="163">
        <f t="shared" si="6"/>
        <v>6.0569233181746902E-3</v>
      </c>
      <c r="L82" s="164">
        <f t="shared" si="5"/>
        <v>628414.83613320882</v>
      </c>
      <c r="M82" s="165">
        <f t="shared" si="5"/>
        <v>645250.33127732854</v>
      </c>
      <c r="N82" s="165">
        <f t="shared" si="5"/>
        <v>719317.03501685953</v>
      </c>
      <c r="O82" s="165">
        <f t="shared" si="4"/>
        <v>793577.51211449492</v>
      </c>
      <c r="P82" s="165">
        <f t="shared" si="4"/>
        <v>861215.17287247966</v>
      </c>
      <c r="Q82" s="166">
        <f t="shared" si="4"/>
        <v>941578.42951915727</v>
      </c>
    </row>
    <row r="83" spans="1:17" ht="12.75" customHeight="1" x14ac:dyDescent="0.35">
      <c r="A83" s="81"/>
      <c r="B83" s="100">
        <v>762</v>
      </c>
      <c r="C83" s="160" t="s">
        <v>83</v>
      </c>
      <c r="D83" s="161">
        <v>2.2737964560137999E-3</v>
      </c>
      <c r="E83" s="161">
        <f t="shared" si="7"/>
        <v>2.2737964560137999E-3</v>
      </c>
      <c r="F83" s="162">
        <f t="shared" si="6"/>
        <v>2.2737964560137999E-3</v>
      </c>
      <c r="G83" s="162">
        <f t="shared" si="6"/>
        <v>2.2737964560137999E-3</v>
      </c>
      <c r="H83" s="162">
        <f t="shared" si="6"/>
        <v>2.2737964560137999E-3</v>
      </c>
      <c r="I83" s="162">
        <f t="shared" si="6"/>
        <v>2.2737964560137999E-3</v>
      </c>
      <c r="J83" s="163">
        <f t="shared" si="6"/>
        <v>2.2737964560137999E-3</v>
      </c>
      <c r="L83" s="164">
        <f t="shared" si="5"/>
        <v>235909.77667136645</v>
      </c>
      <c r="M83" s="165">
        <f t="shared" si="5"/>
        <v>242229.89782579328</v>
      </c>
      <c r="N83" s="165">
        <f t="shared" si="5"/>
        <v>270034.87398691173</v>
      </c>
      <c r="O83" s="165">
        <f t="shared" si="4"/>
        <v>297912.59354460012</v>
      </c>
      <c r="P83" s="165">
        <f t="shared" si="4"/>
        <v>323304.07784209593</v>
      </c>
      <c r="Q83" s="166">
        <f t="shared" si="4"/>
        <v>353472.80849262868</v>
      </c>
    </row>
    <row r="84" spans="1:17" ht="12.75" customHeight="1" x14ac:dyDescent="0.35">
      <c r="A84" s="81"/>
      <c r="B84" s="100">
        <v>150</v>
      </c>
      <c r="C84" s="160" t="s">
        <v>84</v>
      </c>
      <c r="D84" s="161">
        <v>1.1564999215932299E-2</v>
      </c>
      <c r="E84" s="161">
        <f t="shared" si="7"/>
        <v>1.1564999215932299E-2</v>
      </c>
      <c r="F84" s="162">
        <f t="shared" si="6"/>
        <v>1.1564999215932299E-2</v>
      </c>
      <c r="G84" s="162">
        <f t="shared" si="6"/>
        <v>1.1564999215932299E-2</v>
      </c>
      <c r="H84" s="162">
        <f t="shared" si="6"/>
        <v>1.1564999215932299E-2</v>
      </c>
      <c r="I84" s="162">
        <f t="shared" si="6"/>
        <v>1.1564999215932299E-2</v>
      </c>
      <c r="J84" s="163">
        <f t="shared" si="6"/>
        <v>1.1564999215932299E-2</v>
      </c>
      <c r="L84" s="164">
        <f t="shared" si="5"/>
        <v>1199885.9330698855</v>
      </c>
      <c r="M84" s="165">
        <f t="shared" si="5"/>
        <v>1232031.3768725737</v>
      </c>
      <c r="N84" s="165">
        <f t="shared" si="5"/>
        <v>1373453.2383817111</v>
      </c>
      <c r="O84" s="165">
        <f t="shared" si="4"/>
        <v>1515245.0878561609</v>
      </c>
      <c r="P84" s="165">
        <f t="shared" si="4"/>
        <v>1644391.4304037697</v>
      </c>
      <c r="Q84" s="166">
        <f t="shared" si="4"/>
        <v>1797835.8362987214</v>
      </c>
    </row>
    <row r="85" spans="1:17" ht="12.75" customHeight="1" x14ac:dyDescent="0.35">
      <c r="A85" s="81"/>
      <c r="B85" s="100">
        <v>384</v>
      </c>
      <c r="C85" s="160" t="s">
        <v>85</v>
      </c>
      <c r="D85" s="161">
        <v>1.2153050023522001E-3</v>
      </c>
      <c r="E85" s="161">
        <f t="shared" si="7"/>
        <v>1.2153050023522001E-3</v>
      </c>
      <c r="F85" s="162">
        <f t="shared" si="6"/>
        <v>1.2153050023522001E-3</v>
      </c>
      <c r="G85" s="162">
        <f t="shared" si="6"/>
        <v>1.2153050023522001E-3</v>
      </c>
      <c r="H85" s="162">
        <f t="shared" si="6"/>
        <v>1.2153050023522001E-3</v>
      </c>
      <c r="I85" s="162">
        <f t="shared" si="6"/>
        <v>1.2153050023522001E-3</v>
      </c>
      <c r="J85" s="163">
        <f t="shared" si="6"/>
        <v>1.2153050023522001E-3</v>
      </c>
      <c r="L85" s="164">
        <f t="shared" si="5"/>
        <v>126089.70822090242</v>
      </c>
      <c r="M85" s="165">
        <f t="shared" si="5"/>
        <v>129467.70401033743</v>
      </c>
      <c r="N85" s="165">
        <f t="shared" si="5"/>
        <v>144328.98437231447</v>
      </c>
      <c r="O85" s="165">
        <f t="shared" si="4"/>
        <v>159229.14482556167</v>
      </c>
      <c r="P85" s="165">
        <f t="shared" si="4"/>
        <v>172800.45539836114</v>
      </c>
      <c r="Q85" s="166">
        <f t="shared" si="4"/>
        <v>188925.12178054242</v>
      </c>
    </row>
    <row r="86" spans="1:17" ht="12.75" customHeight="1" x14ac:dyDescent="0.35">
      <c r="A86" s="81"/>
      <c r="B86" s="100">
        <v>1774</v>
      </c>
      <c r="C86" s="160" t="s">
        <v>86</v>
      </c>
      <c r="D86" s="161">
        <v>6.6645758193507897E-4</v>
      </c>
      <c r="E86" s="161">
        <f t="shared" si="7"/>
        <v>6.6645758193507897E-4</v>
      </c>
      <c r="F86" s="162">
        <f t="shared" si="6"/>
        <v>6.6645758193507897E-4</v>
      </c>
      <c r="G86" s="162">
        <f t="shared" si="6"/>
        <v>6.6645758193507897E-4</v>
      </c>
      <c r="H86" s="162">
        <f t="shared" si="6"/>
        <v>6.6645758193507897E-4</v>
      </c>
      <c r="I86" s="162">
        <f t="shared" si="6"/>
        <v>6.6645758193507897E-4</v>
      </c>
      <c r="J86" s="163">
        <f t="shared" si="6"/>
        <v>6.6645758193507897E-4</v>
      </c>
      <c r="L86" s="164">
        <f t="shared" si="5"/>
        <v>69145.969024366001</v>
      </c>
      <c r="M86" s="165">
        <f t="shared" si="5"/>
        <v>70998.418328249711</v>
      </c>
      <c r="N86" s="165">
        <f t="shared" si="5"/>
        <v>79148.152720301674</v>
      </c>
      <c r="O86" s="165">
        <f t="shared" si="4"/>
        <v>87319.208452727573</v>
      </c>
      <c r="P86" s="165">
        <f t="shared" si="4"/>
        <v>94761.540057165999</v>
      </c>
      <c r="Q86" s="166">
        <f t="shared" si="4"/>
        <v>103604.09904094285</v>
      </c>
    </row>
    <row r="87" spans="1:17" ht="12.75" customHeight="1" x14ac:dyDescent="0.35">
      <c r="A87" s="81"/>
      <c r="B87" s="100">
        <v>221</v>
      </c>
      <c r="C87" s="160" t="s">
        <v>87</v>
      </c>
      <c r="D87" s="161">
        <v>7.6446604986670896E-4</v>
      </c>
      <c r="E87" s="161">
        <f t="shared" si="7"/>
        <v>7.6446604986670896E-4</v>
      </c>
      <c r="F87" s="162">
        <f t="shared" si="6"/>
        <v>7.6446604986670896E-4</v>
      </c>
      <c r="G87" s="162">
        <f t="shared" si="6"/>
        <v>7.6446604986670896E-4</v>
      </c>
      <c r="H87" s="162">
        <f t="shared" si="6"/>
        <v>7.6446604986670896E-4</v>
      </c>
      <c r="I87" s="162">
        <f t="shared" si="6"/>
        <v>7.6446604986670896E-4</v>
      </c>
      <c r="J87" s="163">
        <f t="shared" si="6"/>
        <v>7.6446604986670896E-4</v>
      </c>
      <c r="L87" s="164">
        <f t="shared" si="5"/>
        <v>79314.493880890484</v>
      </c>
      <c r="M87" s="165">
        <f t="shared" si="5"/>
        <v>81439.362200051226</v>
      </c>
      <c r="N87" s="165">
        <f t="shared" si="5"/>
        <v>90787.586943875547</v>
      </c>
      <c r="O87" s="165">
        <f t="shared" si="4"/>
        <v>100160.26851930526</v>
      </c>
      <c r="P87" s="165">
        <f t="shared" si="4"/>
        <v>108697.06065380818</v>
      </c>
      <c r="Q87" s="166">
        <f t="shared" si="4"/>
        <v>118839.99595872866</v>
      </c>
    </row>
    <row r="88" spans="1:17" ht="12.75" customHeight="1" x14ac:dyDescent="0.35">
      <c r="A88" s="81"/>
      <c r="B88" s="100">
        <v>222</v>
      </c>
      <c r="C88" s="160" t="s">
        <v>88</v>
      </c>
      <c r="D88" s="161">
        <v>4.3907793633369899E-3</v>
      </c>
      <c r="E88" s="161">
        <f t="shared" si="7"/>
        <v>4.3907793633369899E-3</v>
      </c>
      <c r="F88" s="162">
        <f t="shared" si="6"/>
        <v>4.3907793633369899E-3</v>
      </c>
      <c r="G88" s="162">
        <f t="shared" si="6"/>
        <v>4.3907793633369899E-3</v>
      </c>
      <c r="H88" s="162">
        <f t="shared" si="6"/>
        <v>4.3907793633369899E-3</v>
      </c>
      <c r="I88" s="162">
        <f t="shared" si="6"/>
        <v>4.3907793633369899E-3</v>
      </c>
      <c r="J88" s="163">
        <f t="shared" si="6"/>
        <v>4.3907793633369899E-3</v>
      </c>
      <c r="L88" s="164">
        <f t="shared" si="5"/>
        <v>455549.91357229353</v>
      </c>
      <c r="M88" s="165">
        <f t="shared" si="5"/>
        <v>467754.28545670392</v>
      </c>
      <c r="N88" s="165">
        <f t="shared" si="5"/>
        <v>521446.65321610501</v>
      </c>
      <c r="O88" s="165">
        <f t="shared" si="4"/>
        <v>575279.49098267569</v>
      </c>
      <c r="P88" s="165">
        <f t="shared" si="4"/>
        <v>624311.32272956416</v>
      </c>
      <c r="Q88" s="166">
        <f t="shared" si="4"/>
        <v>682568.18191679975</v>
      </c>
    </row>
    <row r="89" spans="1:17" ht="12.75" customHeight="1" x14ac:dyDescent="0.35">
      <c r="A89" s="81"/>
      <c r="B89" s="100">
        <v>766</v>
      </c>
      <c r="C89" s="160" t="s">
        <v>89</v>
      </c>
      <c r="D89" s="161">
        <v>8.6247451779833796E-4</v>
      </c>
      <c r="E89" s="161">
        <f t="shared" si="7"/>
        <v>8.6247451779833796E-4</v>
      </c>
      <c r="F89" s="162">
        <f t="shared" si="6"/>
        <v>8.6247451779833796E-4</v>
      </c>
      <c r="G89" s="162">
        <f t="shared" si="6"/>
        <v>8.6247451779833796E-4</v>
      </c>
      <c r="H89" s="162">
        <f t="shared" si="6"/>
        <v>8.6247451779833796E-4</v>
      </c>
      <c r="I89" s="162">
        <f t="shared" si="6"/>
        <v>8.6247451779833796E-4</v>
      </c>
      <c r="J89" s="163">
        <f t="shared" si="6"/>
        <v>8.6247451779833796E-4</v>
      </c>
      <c r="L89" s="164">
        <f t="shared" si="5"/>
        <v>89483.018737414881</v>
      </c>
      <c r="M89" s="165">
        <f t="shared" si="5"/>
        <v>91880.306071852625</v>
      </c>
      <c r="N89" s="165">
        <f t="shared" si="5"/>
        <v>102427.02116744929</v>
      </c>
      <c r="O89" s="165">
        <f t="shared" si="4"/>
        <v>113001.3285858828</v>
      </c>
      <c r="P89" s="165">
        <f t="shared" si="4"/>
        <v>122632.58125045018</v>
      </c>
      <c r="Q89" s="166">
        <f t="shared" si="4"/>
        <v>134075.89287651435</v>
      </c>
    </row>
    <row r="90" spans="1:17" ht="12.75" customHeight="1" x14ac:dyDescent="0.35">
      <c r="A90" s="81"/>
      <c r="B90" s="100">
        <v>505</v>
      </c>
      <c r="C90" s="160" t="s">
        <v>90</v>
      </c>
      <c r="D90" s="161">
        <v>1.10161517955151E-2</v>
      </c>
      <c r="E90" s="161">
        <f t="shared" si="7"/>
        <v>1.10161517955151E-2</v>
      </c>
      <c r="F90" s="162">
        <f t="shared" si="6"/>
        <v>1.10161517955151E-2</v>
      </c>
      <c r="G90" s="162">
        <f t="shared" si="6"/>
        <v>1.10161517955151E-2</v>
      </c>
      <c r="H90" s="162">
        <f t="shared" si="6"/>
        <v>1.10161517955151E-2</v>
      </c>
      <c r="I90" s="162">
        <f t="shared" si="6"/>
        <v>1.10161517955151E-2</v>
      </c>
      <c r="J90" s="163">
        <f t="shared" si="6"/>
        <v>1.10161517955151E-2</v>
      </c>
      <c r="L90" s="164">
        <f t="shared" si="5"/>
        <v>1142942.193873341</v>
      </c>
      <c r="M90" s="165">
        <f t="shared" si="5"/>
        <v>1173562.0911904776</v>
      </c>
      <c r="N90" s="165">
        <f t="shared" si="5"/>
        <v>1308272.4067296891</v>
      </c>
      <c r="O90" s="165">
        <f t="shared" si="4"/>
        <v>1443335.1514833169</v>
      </c>
      <c r="P90" s="165">
        <f t="shared" si="4"/>
        <v>1566352.5150625634</v>
      </c>
      <c r="Q90" s="166">
        <f t="shared" si="4"/>
        <v>1712514.8135591098</v>
      </c>
    </row>
    <row r="91" spans="1:17" ht="12.75" customHeight="1" x14ac:dyDescent="0.35">
      <c r="A91" s="81"/>
      <c r="B91" s="100">
        <v>498</v>
      </c>
      <c r="C91" s="160" t="s">
        <v>91</v>
      </c>
      <c r="D91" s="161">
        <v>5.8805080758977599E-4</v>
      </c>
      <c r="E91" s="161">
        <f t="shared" si="7"/>
        <v>5.8805080758977599E-4</v>
      </c>
      <c r="F91" s="162">
        <f t="shared" si="6"/>
        <v>5.8805080758977599E-4</v>
      </c>
      <c r="G91" s="162">
        <f t="shared" si="6"/>
        <v>5.8805080758977599E-4</v>
      </c>
      <c r="H91" s="162">
        <f t="shared" si="6"/>
        <v>5.8805080758977599E-4</v>
      </c>
      <c r="I91" s="162">
        <f t="shared" si="6"/>
        <v>5.8805080758977599E-4</v>
      </c>
      <c r="J91" s="163">
        <f t="shared" si="6"/>
        <v>5.8805080758977599E-4</v>
      </c>
      <c r="L91" s="164">
        <f t="shared" si="5"/>
        <v>61011.14913914651</v>
      </c>
      <c r="M91" s="165">
        <f t="shared" si="5"/>
        <v>62645.663230808619</v>
      </c>
      <c r="N91" s="165">
        <f t="shared" si="5"/>
        <v>69836.605341442715</v>
      </c>
      <c r="O91" s="165">
        <f t="shared" si="4"/>
        <v>77046.360399465571</v>
      </c>
      <c r="P91" s="165">
        <f t="shared" si="4"/>
        <v>83613.123579852414</v>
      </c>
      <c r="Q91" s="166">
        <f t="shared" si="4"/>
        <v>91415.38150671433</v>
      </c>
    </row>
    <row r="92" spans="1:17" ht="12.75" customHeight="1" x14ac:dyDescent="0.35">
      <c r="A92" s="81"/>
      <c r="B92" s="100">
        <v>1719</v>
      </c>
      <c r="C92" s="160" t="s">
        <v>92</v>
      </c>
      <c r="D92" s="161">
        <v>7.0566096910773101E-4</v>
      </c>
      <c r="E92" s="161">
        <f t="shared" si="7"/>
        <v>7.0566096910773101E-4</v>
      </c>
      <c r="F92" s="162">
        <f t="shared" si="6"/>
        <v>7.0566096910773101E-4</v>
      </c>
      <c r="G92" s="162">
        <f t="shared" si="6"/>
        <v>7.0566096910773101E-4</v>
      </c>
      <c r="H92" s="162">
        <f t="shared" si="6"/>
        <v>7.0566096910773101E-4</v>
      </c>
      <c r="I92" s="162">
        <f t="shared" si="6"/>
        <v>7.0566096910773101E-4</v>
      </c>
      <c r="J92" s="163">
        <f t="shared" si="6"/>
        <v>7.0566096910773101E-4</v>
      </c>
      <c r="L92" s="164">
        <f t="shared" si="5"/>
        <v>73213.378966975797</v>
      </c>
      <c r="M92" s="165">
        <f t="shared" si="5"/>
        <v>75174.795876970325</v>
      </c>
      <c r="N92" s="165">
        <f t="shared" si="5"/>
        <v>83803.926409731226</v>
      </c>
      <c r="O92" s="165">
        <f t="shared" si="4"/>
        <v>92455.632479358654</v>
      </c>
      <c r="P92" s="165">
        <f t="shared" si="4"/>
        <v>100335.74829582288</v>
      </c>
      <c r="Q92" s="166">
        <f t="shared" si="4"/>
        <v>109698.45780805718</v>
      </c>
    </row>
    <row r="93" spans="1:17" ht="12.75" customHeight="1" x14ac:dyDescent="0.35">
      <c r="A93" s="81"/>
      <c r="B93" s="100">
        <v>303</v>
      </c>
      <c r="C93" s="160" t="s">
        <v>93</v>
      </c>
      <c r="D93" s="161">
        <v>1.2349066959385299E-3</v>
      </c>
      <c r="E93" s="161">
        <f t="shared" si="7"/>
        <v>1.2349066959385299E-3</v>
      </c>
      <c r="F93" s="162">
        <f t="shared" si="6"/>
        <v>1.2349066959385299E-3</v>
      </c>
      <c r="G93" s="162">
        <f t="shared" si="6"/>
        <v>1.2349066959385299E-3</v>
      </c>
      <c r="H93" s="162">
        <f t="shared" si="6"/>
        <v>1.2349066959385299E-3</v>
      </c>
      <c r="I93" s="162">
        <f t="shared" si="6"/>
        <v>1.2349066959385299E-3</v>
      </c>
      <c r="J93" s="163">
        <f t="shared" si="6"/>
        <v>1.2349066959385299E-3</v>
      </c>
      <c r="L93" s="164">
        <f t="shared" si="5"/>
        <v>128123.41319220771</v>
      </c>
      <c r="M93" s="165">
        <f t="shared" si="5"/>
        <v>131555.89278469814</v>
      </c>
      <c r="N93" s="165">
        <f t="shared" si="5"/>
        <v>146656.87121702972</v>
      </c>
      <c r="O93" s="165">
        <f t="shared" si="4"/>
        <v>161797.35683887772</v>
      </c>
      <c r="P93" s="165">
        <f t="shared" si="4"/>
        <v>175587.55951769013</v>
      </c>
      <c r="Q93" s="166">
        <f t="shared" si="4"/>
        <v>191972.30116410018</v>
      </c>
    </row>
    <row r="94" spans="1:17" ht="12.75" customHeight="1" x14ac:dyDescent="0.35">
      <c r="A94" s="81"/>
      <c r="B94" s="100">
        <v>225</v>
      </c>
      <c r="C94" s="160" t="s">
        <v>94</v>
      </c>
      <c r="D94" s="161">
        <v>8.6247451779833796E-4</v>
      </c>
      <c r="E94" s="161">
        <f t="shared" si="7"/>
        <v>8.6247451779833796E-4</v>
      </c>
      <c r="F94" s="162">
        <f t="shared" si="6"/>
        <v>8.6247451779833796E-4</v>
      </c>
      <c r="G94" s="162">
        <f t="shared" si="6"/>
        <v>8.6247451779833796E-4</v>
      </c>
      <c r="H94" s="162">
        <f t="shared" si="6"/>
        <v>8.6247451779833796E-4</v>
      </c>
      <c r="I94" s="162">
        <f t="shared" si="6"/>
        <v>8.6247451779833796E-4</v>
      </c>
      <c r="J94" s="163">
        <f t="shared" si="6"/>
        <v>8.6247451779833796E-4</v>
      </c>
      <c r="L94" s="164">
        <f t="shared" si="5"/>
        <v>89483.018737414881</v>
      </c>
      <c r="M94" s="165">
        <f t="shared" si="5"/>
        <v>91880.306071852625</v>
      </c>
      <c r="N94" s="165">
        <f t="shared" si="5"/>
        <v>102427.02116744929</v>
      </c>
      <c r="O94" s="165">
        <f t="shared" si="4"/>
        <v>113001.3285858828</v>
      </c>
      <c r="P94" s="165">
        <f t="shared" si="4"/>
        <v>122632.58125045018</v>
      </c>
      <c r="Q94" s="166">
        <f t="shared" si="4"/>
        <v>134075.89287651435</v>
      </c>
    </row>
    <row r="95" spans="1:17" ht="12.75" customHeight="1" x14ac:dyDescent="0.35">
      <c r="A95" s="81"/>
      <c r="B95" s="100">
        <v>226</v>
      </c>
      <c r="C95" s="160" t="s">
        <v>95</v>
      </c>
      <c r="D95" s="161">
        <v>1.3133134702838301E-3</v>
      </c>
      <c r="E95" s="161">
        <f t="shared" si="7"/>
        <v>1.3133134702838301E-3</v>
      </c>
      <c r="F95" s="162">
        <f t="shared" si="6"/>
        <v>1.3133134702838301E-3</v>
      </c>
      <c r="G95" s="162">
        <f t="shared" si="6"/>
        <v>1.3133134702838301E-3</v>
      </c>
      <c r="H95" s="162">
        <f t="shared" si="6"/>
        <v>1.3133134702838301E-3</v>
      </c>
      <c r="I95" s="162">
        <f t="shared" si="6"/>
        <v>1.3133134702838301E-3</v>
      </c>
      <c r="J95" s="163">
        <f t="shared" si="6"/>
        <v>1.3133134702838301E-3</v>
      </c>
      <c r="L95" s="164">
        <f t="shared" si="5"/>
        <v>136258.23307742691</v>
      </c>
      <c r="M95" s="165">
        <f t="shared" si="5"/>
        <v>139908.64788213893</v>
      </c>
      <c r="N95" s="165">
        <f t="shared" si="5"/>
        <v>155968.41859588836</v>
      </c>
      <c r="O95" s="165">
        <f t="shared" si="4"/>
        <v>172070.20489213936</v>
      </c>
      <c r="P95" s="165">
        <f t="shared" si="4"/>
        <v>186735.9759950033</v>
      </c>
      <c r="Q95" s="166">
        <f t="shared" si="4"/>
        <v>204161.01869832823</v>
      </c>
    </row>
    <row r="96" spans="1:17" ht="12.75" customHeight="1" x14ac:dyDescent="0.35">
      <c r="A96" s="81"/>
      <c r="B96" s="100">
        <v>1711</v>
      </c>
      <c r="C96" s="160" t="s">
        <v>96</v>
      </c>
      <c r="D96" s="161">
        <v>1.6465422612513699E-3</v>
      </c>
      <c r="E96" s="161">
        <f t="shared" si="7"/>
        <v>1.6465422612513699E-3</v>
      </c>
      <c r="F96" s="162">
        <f t="shared" si="6"/>
        <v>1.6465422612513699E-3</v>
      </c>
      <c r="G96" s="162">
        <f t="shared" si="6"/>
        <v>1.6465422612513699E-3</v>
      </c>
      <c r="H96" s="162">
        <f t="shared" si="6"/>
        <v>1.6465422612513699E-3</v>
      </c>
      <c r="I96" s="162">
        <f t="shared" si="6"/>
        <v>1.6465422612513699E-3</v>
      </c>
      <c r="J96" s="163">
        <f t="shared" si="6"/>
        <v>1.6465422612513699E-3</v>
      </c>
      <c r="L96" s="164">
        <f t="shared" si="5"/>
        <v>170831.21758960994</v>
      </c>
      <c r="M96" s="165">
        <f t="shared" si="5"/>
        <v>175407.85704626385</v>
      </c>
      <c r="N96" s="165">
        <f t="shared" si="5"/>
        <v>195542.49495603924</v>
      </c>
      <c r="O96" s="165">
        <f t="shared" si="4"/>
        <v>215729.80911850321</v>
      </c>
      <c r="P96" s="165">
        <f t="shared" si="4"/>
        <v>234116.74602358637</v>
      </c>
      <c r="Q96" s="166">
        <f t="shared" si="4"/>
        <v>255963.06821879972</v>
      </c>
    </row>
    <row r="97" spans="1:17" ht="12.75" customHeight="1" x14ac:dyDescent="0.35">
      <c r="A97" s="81"/>
      <c r="B97" s="100">
        <v>385</v>
      </c>
      <c r="C97" s="160" t="s">
        <v>97</v>
      </c>
      <c r="D97" s="161">
        <v>9.8008467931629309E-4</v>
      </c>
      <c r="E97" s="161">
        <f t="shared" si="7"/>
        <v>9.8008467931629309E-4</v>
      </c>
      <c r="F97" s="162">
        <f t="shared" si="6"/>
        <v>9.8008467931629309E-4</v>
      </c>
      <c r="G97" s="162">
        <f t="shared" si="6"/>
        <v>9.8008467931629309E-4</v>
      </c>
      <c r="H97" s="162">
        <f t="shared" si="6"/>
        <v>9.8008467931629309E-4</v>
      </c>
      <c r="I97" s="162">
        <f t="shared" si="6"/>
        <v>9.8008467931629309E-4</v>
      </c>
      <c r="J97" s="163">
        <f t="shared" si="6"/>
        <v>9.8008467931629309E-4</v>
      </c>
      <c r="L97" s="164">
        <f t="shared" si="5"/>
        <v>101685.24856524417</v>
      </c>
      <c r="M97" s="165">
        <f t="shared" si="5"/>
        <v>104409.43871801435</v>
      </c>
      <c r="N97" s="165">
        <f t="shared" si="5"/>
        <v>116394.34223573783</v>
      </c>
      <c r="O97" s="165">
        <f t="shared" si="4"/>
        <v>128410.60066577591</v>
      </c>
      <c r="P97" s="165">
        <f t="shared" si="4"/>
        <v>139355.20596642065</v>
      </c>
      <c r="Q97" s="166">
        <f t="shared" si="4"/>
        <v>152358.96917785722</v>
      </c>
    </row>
    <row r="98" spans="1:17" ht="12.75" customHeight="1" x14ac:dyDescent="0.35">
      <c r="A98" s="81"/>
      <c r="B98" s="100">
        <v>228</v>
      </c>
      <c r="C98" s="160" t="s">
        <v>98</v>
      </c>
      <c r="D98" s="161">
        <v>7.0566096910773101E-3</v>
      </c>
      <c r="E98" s="161">
        <f t="shared" si="7"/>
        <v>7.0566096910773101E-3</v>
      </c>
      <c r="F98" s="162">
        <f t="shared" si="6"/>
        <v>7.0566096910773101E-3</v>
      </c>
      <c r="G98" s="162">
        <f t="shared" si="6"/>
        <v>7.0566096910773101E-3</v>
      </c>
      <c r="H98" s="162">
        <f t="shared" si="6"/>
        <v>7.0566096910773101E-3</v>
      </c>
      <c r="I98" s="162">
        <f t="shared" si="6"/>
        <v>7.0566096910773101E-3</v>
      </c>
      <c r="J98" s="163">
        <f t="shared" si="6"/>
        <v>7.0566096910773101E-3</v>
      </c>
      <c r="L98" s="164">
        <f t="shared" si="5"/>
        <v>732133.78966975794</v>
      </c>
      <c r="M98" s="165">
        <f t="shared" si="5"/>
        <v>751747.95876970328</v>
      </c>
      <c r="N98" s="165">
        <f t="shared" si="5"/>
        <v>838039.26409731223</v>
      </c>
      <c r="O98" s="165">
        <f t="shared" si="4"/>
        <v>924556.32479358651</v>
      </c>
      <c r="P98" s="165">
        <f t="shared" si="4"/>
        <v>1003357.4829582288</v>
      </c>
      <c r="Q98" s="166">
        <f t="shared" si="4"/>
        <v>1096984.578080572</v>
      </c>
    </row>
    <row r="99" spans="1:17" ht="12.75" customHeight="1" x14ac:dyDescent="0.35">
      <c r="A99" s="81"/>
      <c r="B99" s="100">
        <v>317</v>
      </c>
      <c r="C99" s="160" t="s">
        <v>99</v>
      </c>
      <c r="D99" s="161">
        <v>1.5681354869060701E-4</v>
      </c>
      <c r="E99" s="161">
        <f t="shared" si="7"/>
        <v>1.5681354869060701E-4</v>
      </c>
      <c r="F99" s="162">
        <f t="shared" si="6"/>
        <v>1.5681354869060701E-4</v>
      </c>
      <c r="G99" s="162">
        <f t="shared" si="6"/>
        <v>1.5681354869060701E-4</v>
      </c>
      <c r="H99" s="162">
        <f t="shared" si="6"/>
        <v>1.5681354869060701E-4</v>
      </c>
      <c r="I99" s="162">
        <f t="shared" si="6"/>
        <v>1.5681354869060701E-4</v>
      </c>
      <c r="J99" s="163">
        <f t="shared" si="6"/>
        <v>1.5681354869060701E-4</v>
      </c>
      <c r="L99" s="164">
        <f t="shared" si="5"/>
        <v>16269.639770439077</v>
      </c>
      <c r="M99" s="165">
        <f t="shared" si="5"/>
        <v>16705.510194882307</v>
      </c>
      <c r="N99" s="165">
        <f t="shared" si="5"/>
        <v>18623.094757718063</v>
      </c>
      <c r="O99" s="165">
        <f t="shared" si="4"/>
        <v>20545.696106524159</v>
      </c>
      <c r="P99" s="165">
        <f t="shared" si="4"/>
        <v>22296.83295462732</v>
      </c>
      <c r="Q99" s="166">
        <f t="shared" si="4"/>
        <v>24377.435068457165</v>
      </c>
    </row>
    <row r="100" spans="1:17" ht="12.75" customHeight="1" x14ac:dyDescent="0.35">
      <c r="A100" s="81"/>
      <c r="B100" s="100">
        <v>770</v>
      </c>
      <c r="C100" s="160" t="s">
        <v>100</v>
      </c>
      <c r="D100" s="161">
        <v>1.0192880664889399E-3</v>
      </c>
      <c r="E100" s="161">
        <f t="shared" si="7"/>
        <v>1.0192880664889399E-3</v>
      </c>
      <c r="F100" s="162">
        <f t="shared" si="6"/>
        <v>1.0192880664889399E-3</v>
      </c>
      <c r="G100" s="162">
        <f t="shared" si="6"/>
        <v>1.0192880664889399E-3</v>
      </c>
      <c r="H100" s="162">
        <f t="shared" si="6"/>
        <v>1.0192880664889399E-3</v>
      </c>
      <c r="I100" s="162">
        <f t="shared" si="6"/>
        <v>1.0192880664889399E-3</v>
      </c>
      <c r="J100" s="163">
        <f t="shared" si="6"/>
        <v>1.0192880664889399E-3</v>
      </c>
      <c r="L100" s="164">
        <f t="shared" si="5"/>
        <v>105752.65850785341</v>
      </c>
      <c r="M100" s="165">
        <f t="shared" si="5"/>
        <v>108585.81626673439</v>
      </c>
      <c r="N100" s="165">
        <f t="shared" si="5"/>
        <v>121050.11592516674</v>
      </c>
      <c r="O100" s="165">
        <f t="shared" si="4"/>
        <v>133547.0246924063</v>
      </c>
      <c r="P100" s="165">
        <f t="shared" si="4"/>
        <v>144929.41420507678</v>
      </c>
      <c r="Q100" s="166">
        <f t="shared" si="4"/>
        <v>158453.32794497072</v>
      </c>
    </row>
    <row r="101" spans="1:17" ht="12.75" customHeight="1" x14ac:dyDescent="0.35">
      <c r="A101" s="81"/>
      <c r="B101" s="100">
        <v>1903</v>
      </c>
      <c r="C101" s="160" t="s">
        <v>101</v>
      </c>
      <c r="D101" s="161">
        <v>1.58773718049239E-3</v>
      </c>
      <c r="E101" s="161">
        <f t="shared" si="7"/>
        <v>1.58773718049239E-3</v>
      </c>
      <c r="F101" s="162">
        <f t="shared" si="6"/>
        <v>1.58773718049239E-3</v>
      </c>
      <c r="G101" s="162">
        <f t="shared" si="6"/>
        <v>1.58773718049239E-3</v>
      </c>
      <c r="H101" s="162">
        <f t="shared" si="6"/>
        <v>1.58773718049239E-3</v>
      </c>
      <c r="I101" s="162">
        <f t="shared" si="6"/>
        <v>1.58773718049239E-3</v>
      </c>
      <c r="J101" s="163">
        <f t="shared" si="6"/>
        <v>1.58773718049239E-3</v>
      </c>
      <c r="L101" s="164">
        <f t="shared" si="5"/>
        <v>164730.10267569506</v>
      </c>
      <c r="M101" s="165">
        <f t="shared" si="5"/>
        <v>169143.29072318273</v>
      </c>
      <c r="N101" s="165">
        <f t="shared" si="5"/>
        <v>188558.83442189469</v>
      </c>
      <c r="O101" s="165">
        <f t="shared" si="4"/>
        <v>208025.17307855634</v>
      </c>
      <c r="P101" s="165">
        <f t="shared" si="4"/>
        <v>225755.43366560078</v>
      </c>
      <c r="Q101" s="166">
        <f t="shared" si="4"/>
        <v>246821.53006812793</v>
      </c>
    </row>
    <row r="102" spans="1:17" ht="12.75" customHeight="1" x14ac:dyDescent="0.35">
      <c r="A102" s="81"/>
      <c r="B102" s="100">
        <v>772</v>
      </c>
      <c r="C102" s="160" t="s">
        <v>102</v>
      </c>
      <c r="D102" s="161">
        <v>1.7955151325074501E-2</v>
      </c>
      <c r="E102" s="161">
        <f t="shared" si="7"/>
        <v>1.7955151325074501E-2</v>
      </c>
      <c r="F102" s="162">
        <f t="shared" si="6"/>
        <v>1.7955151325074501E-2</v>
      </c>
      <c r="G102" s="162">
        <f t="shared" si="6"/>
        <v>1.7955151325074501E-2</v>
      </c>
      <c r="H102" s="162">
        <f t="shared" si="6"/>
        <v>1.7955151325074501E-2</v>
      </c>
      <c r="I102" s="162">
        <f t="shared" si="6"/>
        <v>1.7955151325074501E-2</v>
      </c>
      <c r="J102" s="163">
        <f t="shared" si="6"/>
        <v>1.7955151325074501E-2</v>
      </c>
      <c r="L102" s="164">
        <f t="shared" si="5"/>
        <v>1862873.7537152744</v>
      </c>
      <c r="M102" s="165">
        <f t="shared" si="5"/>
        <v>1912780.9173140239</v>
      </c>
      <c r="N102" s="165">
        <f t="shared" si="5"/>
        <v>2132344.3497587177</v>
      </c>
      <c r="O102" s="165">
        <f t="shared" si="4"/>
        <v>2352482.2041970161</v>
      </c>
      <c r="P102" s="165">
        <f t="shared" si="4"/>
        <v>2552987.3733048281</v>
      </c>
      <c r="Q102" s="166">
        <f t="shared" si="4"/>
        <v>2791216.3153383462</v>
      </c>
    </row>
    <row r="103" spans="1:17" ht="12.75" customHeight="1" x14ac:dyDescent="0.35">
      <c r="A103" s="81"/>
      <c r="B103" s="100">
        <v>230</v>
      </c>
      <c r="C103" s="160" t="s">
        <v>103</v>
      </c>
      <c r="D103" s="161">
        <v>1.60733887407872E-3</v>
      </c>
      <c r="E103" s="161">
        <f t="shared" si="7"/>
        <v>1.60733887407872E-3</v>
      </c>
      <c r="F103" s="162">
        <f t="shared" si="6"/>
        <v>1.60733887407872E-3</v>
      </c>
      <c r="G103" s="162">
        <f t="shared" si="6"/>
        <v>1.60733887407872E-3</v>
      </c>
      <c r="H103" s="162">
        <f t="shared" si="6"/>
        <v>1.60733887407872E-3</v>
      </c>
      <c r="I103" s="162">
        <f t="shared" si="6"/>
        <v>1.60733887407872E-3</v>
      </c>
      <c r="J103" s="163">
        <f t="shared" si="6"/>
        <v>1.60733887407872E-3</v>
      </c>
      <c r="L103" s="164">
        <f t="shared" si="5"/>
        <v>166763.80764700039</v>
      </c>
      <c r="M103" s="165">
        <f t="shared" si="5"/>
        <v>171231.47949754348</v>
      </c>
      <c r="N103" s="165">
        <f t="shared" si="5"/>
        <v>190886.72126660994</v>
      </c>
      <c r="O103" s="165">
        <f t="shared" si="4"/>
        <v>210593.38509187239</v>
      </c>
      <c r="P103" s="165">
        <f t="shared" si="4"/>
        <v>228542.53778492979</v>
      </c>
      <c r="Q103" s="166">
        <f t="shared" si="4"/>
        <v>249868.70945168569</v>
      </c>
    </row>
    <row r="104" spans="1:17" ht="12.75" customHeight="1" x14ac:dyDescent="0.35">
      <c r="A104" s="81"/>
      <c r="B104" s="100">
        <v>114</v>
      </c>
      <c r="C104" s="160" t="s">
        <v>104</v>
      </c>
      <c r="D104" s="161">
        <v>7.5074486435628002E-3</v>
      </c>
      <c r="E104" s="161">
        <f t="shared" si="7"/>
        <v>7.5074486435628002E-3</v>
      </c>
      <c r="F104" s="162">
        <f t="shared" si="6"/>
        <v>7.5074486435628002E-3</v>
      </c>
      <c r="G104" s="162">
        <f t="shared" si="6"/>
        <v>7.5074486435628002E-3</v>
      </c>
      <c r="H104" s="162">
        <f t="shared" si="6"/>
        <v>7.5074486435628002E-3</v>
      </c>
      <c r="I104" s="162">
        <f t="shared" si="6"/>
        <v>7.5074486435628002E-3</v>
      </c>
      <c r="J104" s="163">
        <f t="shared" si="6"/>
        <v>7.5074486435628002E-3</v>
      </c>
      <c r="L104" s="164">
        <f t="shared" si="5"/>
        <v>778909.00400976988</v>
      </c>
      <c r="M104" s="165">
        <f t="shared" si="5"/>
        <v>799776.30057998933</v>
      </c>
      <c r="N104" s="165">
        <f t="shared" si="5"/>
        <v>891580.66152575111</v>
      </c>
      <c r="O104" s="165">
        <f t="shared" si="4"/>
        <v>983625.20109984279</v>
      </c>
      <c r="P104" s="165">
        <f t="shared" si="4"/>
        <v>1067460.8777027815</v>
      </c>
      <c r="Q104" s="166">
        <f t="shared" si="4"/>
        <v>1167069.7039023854</v>
      </c>
    </row>
    <row r="105" spans="1:17" ht="12.75" customHeight="1" x14ac:dyDescent="0.35">
      <c r="A105" s="81"/>
      <c r="B105" s="100">
        <v>388</v>
      </c>
      <c r="C105" s="160" t="s">
        <v>105</v>
      </c>
      <c r="D105" s="161">
        <v>1.2153050023522001E-3</v>
      </c>
      <c r="E105" s="161">
        <f t="shared" si="7"/>
        <v>1.2153050023522001E-3</v>
      </c>
      <c r="F105" s="162">
        <f t="shared" si="6"/>
        <v>1.2153050023522001E-3</v>
      </c>
      <c r="G105" s="162">
        <f t="shared" si="6"/>
        <v>1.2153050023522001E-3</v>
      </c>
      <c r="H105" s="162">
        <f t="shared" si="6"/>
        <v>1.2153050023522001E-3</v>
      </c>
      <c r="I105" s="162">
        <f t="shared" si="6"/>
        <v>1.2153050023522001E-3</v>
      </c>
      <c r="J105" s="163">
        <f t="shared" si="6"/>
        <v>1.2153050023522001E-3</v>
      </c>
      <c r="L105" s="164">
        <f t="shared" si="5"/>
        <v>126089.70822090242</v>
      </c>
      <c r="M105" s="165">
        <f t="shared" si="5"/>
        <v>129467.70401033743</v>
      </c>
      <c r="N105" s="165">
        <f t="shared" si="5"/>
        <v>144328.98437231447</v>
      </c>
      <c r="O105" s="165">
        <f t="shared" si="4"/>
        <v>159229.14482556167</v>
      </c>
      <c r="P105" s="165">
        <f t="shared" si="4"/>
        <v>172800.45539836114</v>
      </c>
      <c r="Q105" s="166">
        <f t="shared" si="4"/>
        <v>188925.12178054242</v>
      </c>
    </row>
    <row r="106" spans="1:17" ht="12.75" customHeight="1" x14ac:dyDescent="0.35">
      <c r="A106" s="81"/>
      <c r="B106" s="100">
        <v>153</v>
      </c>
      <c r="C106" s="160" t="s">
        <v>106</v>
      </c>
      <c r="D106" s="161">
        <v>1.15846009095186E-2</v>
      </c>
      <c r="E106" s="161">
        <f t="shared" si="7"/>
        <v>1.15846009095186E-2</v>
      </c>
      <c r="F106" s="162">
        <f t="shared" si="6"/>
        <v>1.15846009095186E-2</v>
      </c>
      <c r="G106" s="162">
        <f t="shared" si="6"/>
        <v>1.15846009095186E-2</v>
      </c>
      <c r="H106" s="162">
        <f t="shared" si="6"/>
        <v>1.15846009095186E-2</v>
      </c>
      <c r="I106" s="162">
        <f t="shared" si="6"/>
        <v>1.15846009095186E-2</v>
      </c>
      <c r="J106" s="163">
        <f t="shared" si="6"/>
        <v>1.15846009095186E-2</v>
      </c>
      <c r="L106" s="164">
        <f t="shared" si="5"/>
        <v>1201919.6380411875</v>
      </c>
      <c r="M106" s="165">
        <f t="shared" si="5"/>
        <v>1234119.5656469311</v>
      </c>
      <c r="N106" s="165">
        <f t="shared" si="5"/>
        <v>1375781.1252264229</v>
      </c>
      <c r="O106" s="165">
        <f t="shared" si="4"/>
        <v>1517813.2998694733</v>
      </c>
      <c r="P106" s="165">
        <f t="shared" si="4"/>
        <v>1647178.5345230943</v>
      </c>
      <c r="Q106" s="166">
        <f t="shared" si="4"/>
        <v>1800883.0156822745</v>
      </c>
    </row>
    <row r="107" spans="1:17" ht="12.75" customHeight="1" x14ac:dyDescent="0.35">
      <c r="A107" s="81"/>
      <c r="B107" s="100">
        <v>232</v>
      </c>
      <c r="C107" s="160" t="s">
        <v>107</v>
      </c>
      <c r="D107" s="161">
        <v>1.5485337933197399E-3</v>
      </c>
      <c r="E107" s="161">
        <f t="shared" si="7"/>
        <v>1.5485337933197399E-3</v>
      </c>
      <c r="F107" s="162">
        <f t="shared" si="6"/>
        <v>1.5485337933197399E-3</v>
      </c>
      <c r="G107" s="162">
        <f t="shared" si="6"/>
        <v>1.5485337933197399E-3</v>
      </c>
      <c r="H107" s="162">
        <f t="shared" si="6"/>
        <v>1.5485337933197399E-3</v>
      </c>
      <c r="I107" s="162">
        <f t="shared" si="6"/>
        <v>1.5485337933197399E-3</v>
      </c>
      <c r="J107" s="163">
        <f t="shared" si="6"/>
        <v>1.5485337933197399E-3</v>
      </c>
      <c r="L107" s="164">
        <f t="shared" si="5"/>
        <v>160662.69273308548</v>
      </c>
      <c r="M107" s="165">
        <f t="shared" si="5"/>
        <v>164966.91317446233</v>
      </c>
      <c r="N107" s="165">
        <f t="shared" si="5"/>
        <v>183903.06073246535</v>
      </c>
      <c r="O107" s="165">
        <f t="shared" si="4"/>
        <v>202888.74905192555</v>
      </c>
      <c r="P107" s="165">
        <f t="shared" si="4"/>
        <v>220181.22542694421</v>
      </c>
      <c r="Q107" s="166">
        <f t="shared" si="4"/>
        <v>240727.17130101388</v>
      </c>
    </row>
    <row r="108" spans="1:17" ht="12.75" customHeight="1" x14ac:dyDescent="0.35">
      <c r="A108" s="81"/>
      <c r="B108" s="100">
        <v>233</v>
      </c>
      <c r="C108" s="160" t="s">
        <v>108</v>
      </c>
      <c r="D108" s="161">
        <v>1.68574564842402E-3</v>
      </c>
      <c r="E108" s="161">
        <f t="shared" si="7"/>
        <v>1.68574564842402E-3</v>
      </c>
      <c r="F108" s="162">
        <f t="shared" si="6"/>
        <v>1.68574564842402E-3</v>
      </c>
      <c r="G108" s="162">
        <f t="shared" si="6"/>
        <v>1.68574564842402E-3</v>
      </c>
      <c r="H108" s="162">
        <f t="shared" si="6"/>
        <v>1.68574564842402E-3</v>
      </c>
      <c r="I108" s="162">
        <f t="shared" si="6"/>
        <v>1.68574564842402E-3</v>
      </c>
      <c r="J108" s="163">
        <f t="shared" si="6"/>
        <v>1.68574564842402E-3</v>
      </c>
      <c r="L108" s="164">
        <f t="shared" si="5"/>
        <v>174898.62753221954</v>
      </c>
      <c r="M108" s="165">
        <f t="shared" si="5"/>
        <v>179584.23459498424</v>
      </c>
      <c r="N108" s="165">
        <f t="shared" si="5"/>
        <v>200198.26864546855</v>
      </c>
      <c r="O108" s="165">
        <f t="shared" si="4"/>
        <v>220866.23314513403</v>
      </c>
      <c r="P108" s="165">
        <f t="shared" si="4"/>
        <v>239690.95426224294</v>
      </c>
      <c r="Q108" s="166">
        <f t="shared" si="4"/>
        <v>262057.42698591371</v>
      </c>
    </row>
    <row r="109" spans="1:17" ht="12.75" customHeight="1" x14ac:dyDescent="0.35">
      <c r="A109" s="81"/>
      <c r="B109" s="100">
        <v>777</v>
      </c>
      <c r="C109" s="160" t="s">
        <v>109</v>
      </c>
      <c r="D109" s="161">
        <v>2.0777795201505399E-3</v>
      </c>
      <c r="E109" s="161">
        <f t="shared" si="7"/>
        <v>2.0777795201505399E-3</v>
      </c>
      <c r="F109" s="162">
        <f t="shared" si="6"/>
        <v>2.0777795201505399E-3</v>
      </c>
      <c r="G109" s="162">
        <f t="shared" si="6"/>
        <v>2.0777795201505399E-3</v>
      </c>
      <c r="H109" s="162">
        <f t="shared" si="6"/>
        <v>2.0777795201505399E-3</v>
      </c>
      <c r="I109" s="162">
        <f t="shared" si="6"/>
        <v>2.0777795201505399E-3</v>
      </c>
      <c r="J109" s="163">
        <f t="shared" si="6"/>
        <v>2.0777795201505399E-3</v>
      </c>
      <c r="L109" s="164">
        <f t="shared" si="5"/>
        <v>215572.72695831751</v>
      </c>
      <c r="M109" s="165">
        <f t="shared" si="5"/>
        <v>221348.01008219027</v>
      </c>
      <c r="N109" s="165">
        <f t="shared" si="5"/>
        <v>246756.00553976401</v>
      </c>
      <c r="O109" s="165">
        <f t="shared" si="4"/>
        <v>272230.47341144475</v>
      </c>
      <c r="P109" s="165">
        <f t="shared" si="4"/>
        <v>295433.0366488116</v>
      </c>
      <c r="Q109" s="166">
        <f t="shared" si="4"/>
        <v>323001.01465705707</v>
      </c>
    </row>
    <row r="110" spans="1:17" ht="12.75" customHeight="1" x14ac:dyDescent="0.35">
      <c r="A110" s="81"/>
      <c r="B110" s="100">
        <v>779</v>
      </c>
      <c r="C110" s="160" t="s">
        <v>110</v>
      </c>
      <c r="D110" s="161">
        <v>1.47012701897444E-3</v>
      </c>
      <c r="E110" s="161">
        <f t="shared" si="7"/>
        <v>1.47012701897444E-3</v>
      </c>
      <c r="F110" s="162">
        <f t="shared" si="6"/>
        <v>1.47012701897444E-3</v>
      </c>
      <c r="G110" s="162">
        <f t="shared" si="6"/>
        <v>1.47012701897444E-3</v>
      </c>
      <c r="H110" s="162">
        <f t="shared" si="6"/>
        <v>1.47012701897444E-3</v>
      </c>
      <c r="I110" s="162">
        <f t="shared" si="6"/>
        <v>1.47012701897444E-3</v>
      </c>
      <c r="J110" s="163">
        <f t="shared" si="6"/>
        <v>1.47012701897444E-3</v>
      </c>
      <c r="L110" s="164">
        <f t="shared" si="5"/>
        <v>152527.87284786627</v>
      </c>
      <c r="M110" s="165">
        <f t="shared" si="5"/>
        <v>156614.15807702157</v>
      </c>
      <c r="N110" s="165">
        <f t="shared" si="5"/>
        <v>174591.51335360674</v>
      </c>
      <c r="O110" s="165">
        <f t="shared" si="4"/>
        <v>192615.90099866391</v>
      </c>
      <c r="P110" s="165">
        <f t="shared" si="4"/>
        <v>209032.80894963103</v>
      </c>
      <c r="Q110" s="166">
        <f t="shared" si="4"/>
        <v>228538.45376678585</v>
      </c>
    </row>
    <row r="111" spans="1:17" ht="12.75" customHeight="1" x14ac:dyDescent="0.35">
      <c r="A111" s="81"/>
      <c r="B111" s="100">
        <v>1771</v>
      </c>
      <c r="C111" s="160" t="s">
        <v>111</v>
      </c>
      <c r="D111" s="161">
        <v>2.4894150854633799E-3</v>
      </c>
      <c r="E111" s="161">
        <f t="shared" si="7"/>
        <v>2.4894150854633799E-3</v>
      </c>
      <c r="F111" s="162">
        <f t="shared" si="6"/>
        <v>2.4894150854633799E-3</v>
      </c>
      <c r="G111" s="162">
        <f t="shared" si="6"/>
        <v>2.4894150854633799E-3</v>
      </c>
      <c r="H111" s="162">
        <f t="shared" si="6"/>
        <v>2.4894150854633799E-3</v>
      </c>
      <c r="I111" s="162">
        <f t="shared" si="6"/>
        <v>2.4894150854633799E-3</v>
      </c>
      <c r="J111" s="163">
        <f t="shared" si="6"/>
        <v>2.4894150854633799E-3</v>
      </c>
      <c r="L111" s="164">
        <f t="shared" si="5"/>
        <v>258280.53135571969</v>
      </c>
      <c r="M111" s="165">
        <f t="shared" si="5"/>
        <v>265199.97434375598</v>
      </c>
      <c r="N111" s="165">
        <f t="shared" si="5"/>
        <v>295641.6292787735</v>
      </c>
      <c r="O111" s="165">
        <f t="shared" si="4"/>
        <v>326162.92569107021</v>
      </c>
      <c r="P111" s="165">
        <f t="shared" si="4"/>
        <v>353962.22315470781</v>
      </c>
      <c r="Q111" s="166">
        <f t="shared" si="4"/>
        <v>386991.7817117566</v>
      </c>
    </row>
    <row r="112" spans="1:17" ht="12.75" customHeight="1" x14ac:dyDescent="0.35">
      <c r="A112" s="81"/>
      <c r="B112" s="100">
        <v>1652</v>
      </c>
      <c r="C112" s="160" t="s">
        <v>112</v>
      </c>
      <c r="D112" s="161">
        <v>2.0777795201505399E-3</v>
      </c>
      <c r="E112" s="161">
        <f t="shared" si="7"/>
        <v>2.0777795201505399E-3</v>
      </c>
      <c r="F112" s="162">
        <f t="shared" si="6"/>
        <v>2.0777795201505399E-3</v>
      </c>
      <c r="G112" s="162">
        <f t="shared" si="6"/>
        <v>2.0777795201505399E-3</v>
      </c>
      <c r="H112" s="162">
        <f t="shared" si="6"/>
        <v>2.0777795201505399E-3</v>
      </c>
      <c r="I112" s="162">
        <f t="shared" si="6"/>
        <v>2.0777795201505399E-3</v>
      </c>
      <c r="J112" s="163">
        <f t="shared" si="6"/>
        <v>2.0777795201505399E-3</v>
      </c>
      <c r="L112" s="164">
        <f t="shared" si="5"/>
        <v>215572.72695831751</v>
      </c>
      <c r="M112" s="165">
        <f t="shared" si="5"/>
        <v>221348.01008219027</v>
      </c>
      <c r="N112" s="165">
        <f t="shared" si="5"/>
        <v>246756.00553976401</v>
      </c>
      <c r="O112" s="165">
        <f t="shared" si="4"/>
        <v>272230.47341144475</v>
      </c>
      <c r="P112" s="165">
        <f t="shared" si="4"/>
        <v>295433.0366488116</v>
      </c>
      <c r="Q112" s="166">
        <f t="shared" si="4"/>
        <v>323001.01465705707</v>
      </c>
    </row>
    <row r="113" spans="1:17" ht="12.75" customHeight="1" x14ac:dyDescent="0.35">
      <c r="A113" s="81"/>
      <c r="B113" s="100">
        <v>907</v>
      </c>
      <c r="C113" s="160" t="s">
        <v>113</v>
      </c>
      <c r="D113" s="161">
        <v>1.5485337933197399E-3</v>
      </c>
      <c r="E113" s="161">
        <f t="shared" si="7"/>
        <v>1.5485337933197399E-3</v>
      </c>
      <c r="F113" s="162">
        <f t="shared" ref="F113:J163" si="8">MAX(7700/M$10,$D113)</f>
        <v>1.5485337933197399E-3</v>
      </c>
      <c r="G113" s="162">
        <f t="shared" si="8"/>
        <v>1.5485337933197399E-3</v>
      </c>
      <c r="H113" s="162">
        <f t="shared" si="8"/>
        <v>1.5485337933197399E-3</v>
      </c>
      <c r="I113" s="162">
        <f t="shared" si="8"/>
        <v>1.5485337933197399E-3</v>
      </c>
      <c r="J113" s="163">
        <f t="shared" si="8"/>
        <v>1.5485337933197399E-3</v>
      </c>
      <c r="L113" s="164">
        <f t="shared" si="5"/>
        <v>160662.69273308548</v>
      </c>
      <c r="M113" s="165">
        <f t="shared" si="5"/>
        <v>164966.91317446233</v>
      </c>
      <c r="N113" s="165">
        <f t="shared" si="5"/>
        <v>183903.06073246535</v>
      </c>
      <c r="O113" s="165">
        <f t="shared" si="4"/>
        <v>202888.74905192555</v>
      </c>
      <c r="P113" s="165">
        <f t="shared" si="4"/>
        <v>220181.22542694421</v>
      </c>
      <c r="Q113" s="166">
        <f t="shared" si="4"/>
        <v>240727.17130101388</v>
      </c>
    </row>
    <row r="114" spans="1:17" ht="12.75" customHeight="1" x14ac:dyDescent="0.35">
      <c r="A114" s="81"/>
      <c r="B114" s="100">
        <v>784</v>
      </c>
      <c r="C114" s="160" t="s">
        <v>114</v>
      </c>
      <c r="D114" s="161">
        <v>8.6247451779833796E-4</v>
      </c>
      <c r="E114" s="161">
        <f t="shared" si="7"/>
        <v>8.6247451779833796E-4</v>
      </c>
      <c r="F114" s="162">
        <f t="shared" si="8"/>
        <v>8.6247451779833796E-4</v>
      </c>
      <c r="G114" s="162">
        <f t="shared" si="8"/>
        <v>8.6247451779833796E-4</v>
      </c>
      <c r="H114" s="162">
        <f t="shared" si="8"/>
        <v>8.6247451779833796E-4</v>
      </c>
      <c r="I114" s="162">
        <f t="shared" si="8"/>
        <v>8.6247451779833796E-4</v>
      </c>
      <c r="J114" s="163">
        <f t="shared" si="8"/>
        <v>8.6247451779833796E-4</v>
      </c>
      <c r="L114" s="164">
        <f t="shared" si="5"/>
        <v>89483.018737414881</v>
      </c>
      <c r="M114" s="165">
        <f t="shared" si="5"/>
        <v>91880.306071852625</v>
      </c>
      <c r="N114" s="165">
        <f t="shared" si="5"/>
        <v>102427.02116744929</v>
      </c>
      <c r="O114" s="165">
        <f t="shared" si="4"/>
        <v>113001.3285858828</v>
      </c>
      <c r="P114" s="165">
        <f t="shared" si="4"/>
        <v>122632.58125045018</v>
      </c>
      <c r="Q114" s="166">
        <f t="shared" si="4"/>
        <v>134075.89287651435</v>
      </c>
    </row>
    <row r="115" spans="1:17" ht="12.75" customHeight="1" x14ac:dyDescent="0.35">
      <c r="A115" s="81"/>
      <c r="B115" s="100">
        <v>1924</v>
      </c>
      <c r="C115" s="160" t="s">
        <v>115</v>
      </c>
      <c r="D115" s="161">
        <v>1.8425591971146301E-3</v>
      </c>
      <c r="E115" s="161">
        <f t="shared" si="7"/>
        <v>1.8425591971146301E-3</v>
      </c>
      <c r="F115" s="162">
        <f t="shared" si="8"/>
        <v>1.8425591971146301E-3</v>
      </c>
      <c r="G115" s="162">
        <f t="shared" si="8"/>
        <v>1.8425591971146301E-3</v>
      </c>
      <c r="H115" s="162">
        <f t="shared" si="8"/>
        <v>1.8425591971146301E-3</v>
      </c>
      <c r="I115" s="162">
        <f t="shared" si="8"/>
        <v>1.8425591971146301E-3</v>
      </c>
      <c r="J115" s="163">
        <f t="shared" si="8"/>
        <v>1.8425591971146301E-3</v>
      </c>
      <c r="L115" s="164">
        <f t="shared" si="5"/>
        <v>191168.26730265896</v>
      </c>
      <c r="M115" s="165">
        <f t="shared" si="5"/>
        <v>196289.74478986685</v>
      </c>
      <c r="N115" s="165">
        <f t="shared" si="5"/>
        <v>218821.36340318699</v>
      </c>
      <c r="O115" s="165">
        <f t="shared" si="4"/>
        <v>241411.92925165861</v>
      </c>
      <c r="P115" s="165">
        <f t="shared" si="4"/>
        <v>261987.7872168707</v>
      </c>
      <c r="Q115" s="166">
        <f t="shared" si="4"/>
        <v>286434.86205437139</v>
      </c>
    </row>
    <row r="116" spans="1:17" ht="12.75" customHeight="1" x14ac:dyDescent="0.35">
      <c r="A116" s="81"/>
      <c r="B116" s="100">
        <v>664</v>
      </c>
      <c r="C116" s="160" t="s">
        <v>116</v>
      </c>
      <c r="D116" s="161">
        <v>2.4698133918770598E-3</v>
      </c>
      <c r="E116" s="161">
        <f t="shared" si="7"/>
        <v>2.4698133918770598E-3</v>
      </c>
      <c r="F116" s="162">
        <f t="shared" si="8"/>
        <v>2.4698133918770598E-3</v>
      </c>
      <c r="G116" s="162">
        <f t="shared" si="8"/>
        <v>2.4698133918770598E-3</v>
      </c>
      <c r="H116" s="162">
        <f t="shared" si="8"/>
        <v>2.4698133918770598E-3</v>
      </c>
      <c r="I116" s="162">
        <f t="shared" si="8"/>
        <v>2.4698133918770598E-3</v>
      </c>
      <c r="J116" s="163">
        <f t="shared" si="8"/>
        <v>2.4698133918770598E-3</v>
      </c>
      <c r="L116" s="164">
        <f t="shared" si="5"/>
        <v>256246.82638441541</v>
      </c>
      <c r="M116" s="165">
        <f t="shared" si="5"/>
        <v>263111.78556939628</v>
      </c>
      <c r="N116" s="165">
        <f t="shared" si="5"/>
        <v>293313.74243405944</v>
      </c>
      <c r="O116" s="165">
        <f t="shared" si="4"/>
        <v>323594.71367775544</v>
      </c>
      <c r="P116" s="165">
        <f t="shared" si="4"/>
        <v>351175.11903538025</v>
      </c>
      <c r="Q116" s="166">
        <f t="shared" si="4"/>
        <v>383944.60232820036</v>
      </c>
    </row>
    <row r="117" spans="1:17" ht="12.75" customHeight="1" x14ac:dyDescent="0.35">
      <c r="A117" s="81"/>
      <c r="B117" s="100">
        <v>785</v>
      </c>
      <c r="C117" s="160" t="s">
        <v>117</v>
      </c>
      <c r="D117" s="161">
        <v>1.17610161517955E-3</v>
      </c>
      <c r="E117" s="161">
        <f t="shared" si="7"/>
        <v>1.17610161517955E-3</v>
      </c>
      <c r="F117" s="162">
        <f t="shared" si="8"/>
        <v>1.17610161517955E-3</v>
      </c>
      <c r="G117" s="162">
        <f t="shared" si="8"/>
        <v>1.17610161517955E-3</v>
      </c>
      <c r="H117" s="162">
        <f t="shared" si="8"/>
        <v>1.17610161517955E-3</v>
      </c>
      <c r="I117" s="162">
        <f t="shared" si="8"/>
        <v>1.17610161517955E-3</v>
      </c>
      <c r="J117" s="163">
        <f t="shared" si="8"/>
        <v>1.17610161517955E-3</v>
      </c>
      <c r="L117" s="164">
        <f t="shared" si="5"/>
        <v>122022.29827829282</v>
      </c>
      <c r="M117" s="165">
        <f t="shared" si="5"/>
        <v>125291.32646161702</v>
      </c>
      <c r="N117" s="165">
        <f t="shared" si="5"/>
        <v>139673.2106828852</v>
      </c>
      <c r="O117" s="165">
        <f t="shared" si="5"/>
        <v>154092.72079893088</v>
      </c>
      <c r="P117" s="165">
        <f t="shared" si="5"/>
        <v>167226.24715970457</v>
      </c>
      <c r="Q117" s="166">
        <f t="shared" si="5"/>
        <v>182830.76301342837</v>
      </c>
    </row>
    <row r="118" spans="1:17" ht="12.75" customHeight="1" x14ac:dyDescent="0.35">
      <c r="A118" s="81"/>
      <c r="B118" s="100">
        <v>1942</v>
      </c>
      <c r="C118" s="160" t="s">
        <v>118</v>
      </c>
      <c r="D118" s="161">
        <v>1.0976948408342501E-3</v>
      </c>
      <c r="E118" s="161">
        <f t="shared" si="7"/>
        <v>1.0976948408342501E-3</v>
      </c>
      <c r="F118" s="162">
        <f t="shared" si="8"/>
        <v>1.0976948408342501E-3</v>
      </c>
      <c r="G118" s="162">
        <f t="shared" si="8"/>
        <v>1.0976948408342501E-3</v>
      </c>
      <c r="H118" s="162">
        <f t="shared" si="8"/>
        <v>1.0976948408342501E-3</v>
      </c>
      <c r="I118" s="162">
        <f t="shared" si="8"/>
        <v>1.0976948408342501E-3</v>
      </c>
      <c r="J118" s="163">
        <f t="shared" si="8"/>
        <v>1.0976948408342501E-3</v>
      </c>
      <c r="L118" s="164">
        <f t="shared" ref="L118:Q160" si="9">E118/E$10*L$10</f>
        <v>113887.47839307366</v>
      </c>
      <c r="M118" s="165">
        <f t="shared" si="9"/>
        <v>116938.57136417626</v>
      </c>
      <c r="N118" s="165">
        <f t="shared" si="9"/>
        <v>130361.66330402656</v>
      </c>
      <c r="O118" s="165">
        <f t="shared" si="9"/>
        <v>143819.87274566927</v>
      </c>
      <c r="P118" s="165">
        <f t="shared" si="9"/>
        <v>156077.83068239139</v>
      </c>
      <c r="Q118" s="166">
        <f t="shared" si="9"/>
        <v>170642.04547920034</v>
      </c>
    </row>
    <row r="119" spans="1:17" ht="12.75" customHeight="1" x14ac:dyDescent="0.35">
      <c r="A119" s="81"/>
      <c r="B119" s="100">
        <v>512</v>
      </c>
      <c r="C119" s="160" t="s">
        <v>119</v>
      </c>
      <c r="D119" s="161">
        <v>3.3126862160890698E-3</v>
      </c>
      <c r="E119" s="161">
        <f t="shared" si="7"/>
        <v>3.3126862160890698E-3</v>
      </c>
      <c r="F119" s="162">
        <f t="shared" si="8"/>
        <v>3.3126862160890698E-3</v>
      </c>
      <c r="G119" s="162">
        <f t="shared" si="8"/>
        <v>3.3126862160890698E-3</v>
      </c>
      <c r="H119" s="162">
        <f t="shared" si="8"/>
        <v>3.3126862160890698E-3</v>
      </c>
      <c r="I119" s="162">
        <f t="shared" si="8"/>
        <v>3.3126862160890698E-3</v>
      </c>
      <c r="J119" s="163">
        <f t="shared" si="8"/>
        <v>3.3126862160890698E-3</v>
      </c>
      <c r="L119" s="164">
        <f t="shared" si="9"/>
        <v>343696.1401505252</v>
      </c>
      <c r="M119" s="165">
        <f t="shared" si="9"/>
        <v>352903.90286688844</v>
      </c>
      <c r="N119" s="165">
        <f t="shared" si="9"/>
        <v>393412.8767567937</v>
      </c>
      <c r="O119" s="165">
        <f t="shared" si="9"/>
        <v>434027.83025032247</v>
      </c>
      <c r="P119" s="165">
        <f t="shared" si="9"/>
        <v>471020.59616650175</v>
      </c>
      <c r="Q119" s="166">
        <f t="shared" si="9"/>
        <v>514973.31582115724</v>
      </c>
    </row>
    <row r="120" spans="1:17" ht="12.75" customHeight="1" x14ac:dyDescent="0.35">
      <c r="A120" s="81"/>
      <c r="B120" s="100">
        <v>513</v>
      </c>
      <c r="C120" s="160" t="s">
        <v>120</v>
      </c>
      <c r="D120" s="161">
        <v>7.7818723537713703E-3</v>
      </c>
      <c r="E120" s="161">
        <f t="shared" si="7"/>
        <v>7.7818723537713703E-3</v>
      </c>
      <c r="F120" s="162">
        <f t="shared" si="8"/>
        <v>7.7818723537713703E-3</v>
      </c>
      <c r="G120" s="162">
        <f t="shared" si="8"/>
        <v>7.7818723537713703E-3</v>
      </c>
      <c r="H120" s="162">
        <f t="shared" si="8"/>
        <v>7.7818723537713703E-3</v>
      </c>
      <c r="I120" s="162">
        <f t="shared" si="8"/>
        <v>7.7818723537713703E-3</v>
      </c>
      <c r="J120" s="163">
        <f t="shared" si="8"/>
        <v>7.7818723537713703E-3</v>
      </c>
      <c r="L120" s="164">
        <f t="shared" si="9"/>
        <v>807380.87360803899</v>
      </c>
      <c r="M120" s="165">
        <f t="shared" si="9"/>
        <v>829010.94342103426</v>
      </c>
      <c r="N120" s="165">
        <f t="shared" si="9"/>
        <v>924171.07735175861</v>
      </c>
      <c r="O120" s="165">
        <f t="shared" si="9"/>
        <v>1019580.1692862612</v>
      </c>
      <c r="P120" s="165">
        <f t="shared" si="9"/>
        <v>1106480.3353733805</v>
      </c>
      <c r="Q120" s="166">
        <f t="shared" si="9"/>
        <v>1209730.2152721866</v>
      </c>
    </row>
    <row r="121" spans="1:17" ht="12.75" customHeight="1" x14ac:dyDescent="0.35">
      <c r="A121" s="81"/>
      <c r="B121" s="100">
        <v>786</v>
      </c>
      <c r="C121" s="160" t="s">
        <v>121</v>
      </c>
      <c r="D121" s="161">
        <v>9.2127959855731504E-4</v>
      </c>
      <c r="E121" s="161">
        <f t="shared" si="7"/>
        <v>9.2127959855731504E-4</v>
      </c>
      <c r="F121" s="162">
        <f t="shared" si="8"/>
        <v>9.2127959855731504E-4</v>
      </c>
      <c r="G121" s="162">
        <f t="shared" si="8"/>
        <v>9.2127959855731504E-4</v>
      </c>
      <c r="H121" s="162">
        <f t="shared" si="8"/>
        <v>9.2127959855731504E-4</v>
      </c>
      <c r="I121" s="162">
        <f t="shared" si="8"/>
        <v>9.2127959855731504E-4</v>
      </c>
      <c r="J121" s="163">
        <f t="shared" si="8"/>
        <v>9.2127959855731504E-4</v>
      </c>
      <c r="L121" s="164">
        <f t="shared" si="9"/>
        <v>95584.133651329481</v>
      </c>
      <c r="M121" s="165">
        <f t="shared" si="9"/>
        <v>98144.872394933423</v>
      </c>
      <c r="N121" s="165">
        <f t="shared" si="9"/>
        <v>109410.68170159349</v>
      </c>
      <c r="O121" s="165">
        <f t="shared" si="9"/>
        <v>120705.96462582931</v>
      </c>
      <c r="P121" s="165">
        <f t="shared" si="9"/>
        <v>130993.89360843535</v>
      </c>
      <c r="Q121" s="166">
        <f t="shared" si="9"/>
        <v>143217.4310271857</v>
      </c>
    </row>
    <row r="122" spans="1:17" ht="12.75" customHeight="1" x14ac:dyDescent="0.35">
      <c r="A122" s="81"/>
      <c r="B122" s="100">
        <v>14</v>
      </c>
      <c r="C122" s="160" t="s">
        <v>122</v>
      </c>
      <c r="D122" s="161">
        <v>1.6034185353614599E-2</v>
      </c>
      <c r="E122" s="161">
        <f t="shared" si="7"/>
        <v>1.6034185353614599E-2</v>
      </c>
      <c r="F122" s="162">
        <f t="shared" si="8"/>
        <v>1.6034185353614599E-2</v>
      </c>
      <c r="G122" s="162">
        <f t="shared" si="8"/>
        <v>1.6034185353614599E-2</v>
      </c>
      <c r="H122" s="162">
        <f t="shared" si="8"/>
        <v>1.6034185353614599E-2</v>
      </c>
      <c r="I122" s="162">
        <f t="shared" si="8"/>
        <v>1.6034185353614599E-2</v>
      </c>
      <c r="J122" s="163">
        <f t="shared" si="8"/>
        <v>1.6034185353614599E-2</v>
      </c>
      <c r="L122" s="164">
        <f t="shared" si="9"/>
        <v>1663570.6665273991</v>
      </c>
      <c r="M122" s="165">
        <f t="shared" si="9"/>
        <v>1708138.4174267196</v>
      </c>
      <c r="N122" s="165">
        <f t="shared" si="9"/>
        <v>1904211.438976676</v>
      </c>
      <c r="O122" s="165">
        <f t="shared" si="9"/>
        <v>2100797.4268920999</v>
      </c>
      <c r="P122" s="165">
        <f t="shared" si="9"/>
        <v>2279851.1696106484</v>
      </c>
      <c r="Q122" s="166">
        <f t="shared" si="9"/>
        <v>2492592.7357497509</v>
      </c>
    </row>
    <row r="123" spans="1:17" ht="12.75" customHeight="1" x14ac:dyDescent="0.35">
      <c r="A123" s="81"/>
      <c r="B123" s="100">
        <v>1729</v>
      </c>
      <c r="C123" s="160" t="s">
        <v>123</v>
      </c>
      <c r="D123" s="161">
        <v>2.7442371020856198E-4</v>
      </c>
      <c r="E123" s="161">
        <f t="shared" si="7"/>
        <v>2.7442371020856198E-4</v>
      </c>
      <c r="F123" s="162">
        <f t="shared" si="8"/>
        <v>2.7442371020856198E-4</v>
      </c>
      <c r="G123" s="162">
        <f t="shared" si="8"/>
        <v>2.7442371020856198E-4</v>
      </c>
      <c r="H123" s="162">
        <f t="shared" si="8"/>
        <v>2.7442371020856198E-4</v>
      </c>
      <c r="I123" s="162">
        <f t="shared" si="8"/>
        <v>2.7442371020856198E-4</v>
      </c>
      <c r="J123" s="163">
        <f t="shared" si="8"/>
        <v>2.7442371020856198E-4</v>
      </c>
      <c r="L123" s="164">
        <f t="shared" si="9"/>
        <v>28471.86959826836</v>
      </c>
      <c r="M123" s="165">
        <f t="shared" si="9"/>
        <v>29234.642841044006</v>
      </c>
      <c r="N123" s="165">
        <f t="shared" si="9"/>
        <v>32590.415826006578</v>
      </c>
      <c r="O123" s="165">
        <f t="shared" si="9"/>
        <v>35954.968186417245</v>
      </c>
      <c r="P123" s="165">
        <f t="shared" si="9"/>
        <v>39019.457670597774</v>
      </c>
      <c r="Q123" s="166">
        <f t="shared" si="9"/>
        <v>42660.511369799999</v>
      </c>
    </row>
    <row r="124" spans="1:17" ht="12.75" customHeight="1" x14ac:dyDescent="0.35">
      <c r="A124" s="81"/>
      <c r="B124" s="100">
        <v>158</v>
      </c>
      <c r="C124" s="160" t="s">
        <v>124</v>
      </c>
      <c r="D124" s="161">
        <v>1.0584914536616E-3</v>
      </c>
      <c r="E124" s="161">
        <f t="shared" si="7"/>
        <v>1.0584914536616E-3</v>
      </c>
      <c r="F124" s="162">
        <f t="shared" si="8"/>
        <v>1.0584914536616E-3</v>
      </c>
      <c r="G124" s="162">
        <f t="shared" si="8"/>
        <v>1.0584914536616E-3</v>
      </c>
      <c r="H124" s="162">
        <f t="shared" si="8"/>
        <v>1.0584914536616E-3</v>
      </c>
      <c r="I124" s="162">
        <f t="shared" si="8"/>
        <v>1.0584914536616E-3</v>
      </c>
      <c r="J124" s="163">
        <f t="shared" si="8"/>
        <v>1.0584914536616E-3</v>
      </c>
      <c r="L124" s="164">
        <f t="shared" si="9"/>
        <v>109820.06845046405</v>
      </c>
      <c r="M124" s="165">
        <f t="shared" si="9"/>
        <v>112762.19381545586</v>
      </c>
      <c r="N124" s="165">
        <f t="shared" si="9"/>
        <v>125705.88961459724</v>
      </c>
      <c r="O124" s="165">
        <f t="shared" si="9"/>
        <v>138683.44871903842</v>
      </c>
      <c r="P124" s="165">
        <f t="shared" si="9"/>
        <v>150503.62244373481</v>
      </c>
      <c r="Q124" s="166">
        <f t="shared" si="9"/>
        <v>164547.68671208632</v>
      </c>
    </row>
    <row r="125" spans="1:17" ht="12.75" customHeight="1" x14ac:dyDescent="0.35">
      <c r="A125" s="81"/>
      <c r="B125" s="100">
        <v>788</v>
      </c>
      <c r="C125" s="160" t="s">
        <v>125</v>
      </c>
      <c r="D125" s="161">
        <v>3.5283048455386502E-4</v>
      </c>
      <c r="E125" s="161">
        <f t="shared" si="7"/>
        <v>3.5283048455386502E-4</v>
      </c>
      <c r="F125" s="162">
        <f t="shared" si="8"/>
        <v>3.5283048455386502E-4</v>
      </c>
      <c r="G125" s="162">
        <f t="shared" si="8"/>
        <v>3.5283048455386502E-4</v>
      </c>
      <c r="H125" s="162">
        <f t="shared" si="8"/>
        <v>3.5283048455386502E-4</v>
      </c>
      <c r="I125" s="162">
        <f t="shared" si="8"/>
        <v>3.5283048455386502E-4</v>
      </c>
      <c r="J125" s="163">
        <f t="shared" si="8"/>
        <v>3.5283048455386502E-4</v>
      </c>
      <c r="L125" s="164">
        <f t="shared" si="9"/>
        <v>36606.689483487848</v>
      </c>
      <c r="M125" s="165">
        <f t="shared" si="9"/>
        <v>37587.397938485112</v>
      </c>
      <c r="N125" s="165">
        <f t="shared" si="9"/>
        <v>41901.963204865555</v>
      </c>
      <c r="O125" s="165">
        <f t="shared" si="9"/>
        <v>46227.816239679261</v>
      </c>
      <c r="P125" s="165">
        <f t="shared" si="9"/>
        <v>50167.874147911374</v>
      </c>
      <c r="Q125" s="166">
        <f t="shared" si="9"/>
        <v>54849.228904028518</v>
      </c>
    </row>
    <row r="126" spans="1:17" ht="12.75" customHeight="1" x14ac:dyDescent="0.35">
      <c r="A126" s="81"/>
      <c r="B126" s="100">
        <v>392</v>
      </c>
      <c r="C126" s="160" t="s">
        <v>126</v>
      </c>
      <c r="D126" s="161">
        <v>8.7423553395013301E-3</v>
      </c>
      <c r="E126" s="161">
        <f t="shared" si="7"/>
        <v>8.7423553395013301E-3</v>
      </c>
      <c r="F126" s="162">
        <f t="shared" si="8"/>
        <v>8.7423553395013301E-3</v>
      </c>
      <c r="G126" s="162">
        <f t="shared" si="8"/>
        <v>8.7423553395013301E-3</v>
      </c>
      <c r="H126" s="162">
        <f t="shared" si="8"/>
        <v>8.7423553395013301E-3</v>
      </c>
      <c r="I126" s="162">
        <f t="shared" si="8"/>
        <v>8.7423553395013301E-3</v>
      </c>
      <c r="J126" s="163">
        <f t="shared" si="8"/>
        <v>8.7423553395013301E-3</v>
      </c>
      <c r="L126" s="164">
        <f t="shared" si="9"/>
        <v>907032.41720197746</v>
      </c>
      <c r="M126" s="165">
        <f t="shared" si="9"/>
        <v>931332.19336468761</v>
      </c>
      <c r="N126" s="165">
        <f t="shared" si="9"/>
        <v>1038237.5327427807</v>
      </c>
      <c r="O126" s="165">
        <f t="shared" si="9"/>
        <v>1145422.5579387206</v>
      </c>
      <c r="P126" s="165">
        <f t="shared" si="9"/>
        <v>1243048.4372204717</v>
      </c>
      <c r="Q126" s="166">
        <f t="shared" si="9"/>
        <v>1359042.0050664856</v>
      </c>
    </row>
    <row r="127" spans="1:17" ht="12.75" customHeight="1" x14ac:dyDescent="0.35">
      <c r="A127" s="81"/>
      <c r="B127" s="100">
        <v>394</v>
      </c>
      <c r="C127" s="160" t="s">
        <v>127</v>
      </c>
      <c r="D127" s="161">
        <v>4.5671946056139298E-3</v>
      </c>
      <c r="E127" s="161">
        <f t="shared" si="7"/>
        <v>4.5671946056139298E-3</v>
      </c>
      <c r="F127" s="162">
        <f t="shared" si="8"/>
        <v>4.5671946056139298E-3</v>
      </c>
      <c r="G127" s="162">
        <f t="shared" si="8"/>
        <v>4.5671946056139298E-3</v>
      </c>
      <c r="H127" s="162">
        <f t="shared" si="8"/>
        <v>4.5671946056139298E-3</v>
      </c>
      <c r="I127" s="162">
        <f t="shared" si="8"/>
        <v>4.5671946056139298E-3</v>
      </c>
      <c r="J127" s="163">
        <f t="shared" si="8"/>
        <v>4.5671946056139298E-3</v>
      </c>
      <c r="L127" s="164">
        <f t="shared" si="9"/>
        <v>473853.25831403822</v>
      </c>
      <c r="M127" s="165">
        <f t="shared" si="9"/>
        <v>486547.9844259473</v>
      </c>
      <c r="N127" s="165">
        <f t="shared" si="9"/>
        <v>542397.63481853867</v>
      </c>
      <c r="O127" s="165">
        <f t="shared" si="9"/>
        <v>598393.39910251624</v>
      </c>
      <c r="P127" s="165">
        <f t="shared" si="9"/>
        <v>649395.25980352075</v>
      </c>
      <c r="Q127" s="166">
        <f t="shared" si="9"/>
        <v>709992.79636881512</v>
      </c>
    </row>
    <row r="128" spans="1:17" ht="12.75" customHeight="1" x14ac:dyDescent="0.35">
      <c r="A128" s="81"/>
      <c r="B128" s="100">
        <v>1655</v>
      </c>
      <c r="C128" s="160" t="s">
        <v>128</v>
      </c>
      <c r="D128" s="161">
        <v>1.7641524227693299E-3</v>
      </c>
      <c r="E128" s="161">
        <f t="shared" si="7"/>
        <v>1.7641524227693299E-3</v>
      </c>
      <c r="F128" s="162">
        <f t="shared" si="8"/>
        <v>1.7641524227693299E-3</v>
      </c>
      <c r="G128" s="162">
        <f t="shared" si="8"/>
        <v>1.7641524227693299E-3</v>
      </c>
      <c r="H128" s="162">
        <f t="shared" si="8"/>
        <v>1.7641524227693299E-3</v>
      </c>
      <c r="I128" s="162">
        <f t="shared" si="8"/>
        <v>1.7641524227693299E-3</v>
      </c>
      <c r="J128" s="163">
        <f t="shared" si="8"/>
        <v>1.7641524227693299E-3</v>
      </c>
      <c r="L128" s="164">
        <f t="shared" si="9"/>
        <v>183033.44741743975</v>
      </c>
      <c r="M128" s="165">
        <f t="shared" si="9"/>
        <v>187936.98969242608</v>
      </c>
      <c r="N128" s="165">
        <f t="shared" si="9"/>
        <v>209509.81602432832</v>
      </c>
      <c r="O128" s="165">
        <f t="shared" si="9"/>
        <v>231139.08119839695</v>
      </c>
      <c r="P128" s="165">
        <f t="shared" si="9"/>
        <v>250839.37073955755</v>
      </c>
      <c r="Q128" s="166">
        <f t="shared" si="9"/>
        <v>274246.14452014334</v>
      </c>
    </row>
    <row r="129" spans="1:17" ht="12.75" customHeight="1" x14ac:dyDescent="0.35">
      <c r="A129" s="81"/>
      <c r="B129" s="100">
        <v>160</v>
      </c>
      <c r="C129" s="160" t="s">
        <v>129</v>
      </c>
      <c r="D129" s="161">
        <v>3.4498980711933501E-3</v>
      </c>
      <c r="E129" s="161">
        <f t="shared" si="7"/>
        <v>3.4498980711933501E-3</v>
      </c>
      <c r="F129" s="162">
        <f t="shared" si="8"/>
        <v>3.4498980711933501E-3</v>
      </c>
      <c r="G129" s="162">
        <f t="shared" si="8"/>
        <v>3.4498980711933501E-3</v>
      </c>
      <c r="H129" s="162">
        <f t="shared" si="8"/>
        <v>3.4498980711933501E-3</v>
      </c>
      <c r="I129" s="162">
        <f t="shared" si="8"/>
        <v>3.4498980711933501E-3</v>
      </c>
      <c r="J129" s="163">
        <f t="shared" si="8"/>
        <v>3.4498980711933501E-3</v>
      </c>
      <c r="L129" s="164">
        <f t="shared" si="9"/>
        <v>357932.07494965935</v>
      </c>
      <c r="M129" s="165">
        <f t="shared" si="9"/>
        <v>367521.22428741032</v>
      </c>
      <c r="N129" s="165">
        <f t="shared" si="9"/>
        <v>409708.08466979692</v>
      </c>
      <c r="O129" s="165">
        <f t="shared" si="9"/>
        <v>452005.31434353098</v>
      </c>
      <c r="P129" s="165">
        <f t="shared" si="9"/>
        <v>490530.32500180049</v>
      </c>
      <c r="Q129" s="166">
        <f t="shared" si="9"/>
        <v>536303.57150605705</v>
      </c>
    </row>
    <row r="130" spans="1:17" ht="12.75" customHeight="1" x14ac:dyDescent="0.35">
      <c r="A130" s="81"/>
      <c r="B130" s="100">
        <v>243</v>
      </c>
      <c r="C130" s="160" t="s">
        <v>130</v>
      </c>
      <c r="D130" s="161">
        <v>2.6658303277403198E-3</v>
      </c>
      <c r="E130" s="161">
        <f t="shared" si="7"/>
        <v>2.6658303277403198E-3</v>
      </c>
      <c r="F130" s="162">
        <f t="shared" si="8"/>
        <v>2.6658303277403198E-3</v>
      </c>
      <c r="G130" s="162">
        <f t="shared" si="8"/>
        <v>2.6658303277403198E-3</v>
      </c>
      <c r="H130" s="162">
        <f t="shared" si="8"/>
        <v>2.6658303277403198E-3</v>
      </c>
      <c r="I130" s="162">
        <f t="shared" si="8"/>
        <v>2.6658303277403198E-3</v>
      </c>
      <c r="J130" s="163">
        <f t="shared" si="8"/>
        <v>2.6658303277403198E-3</v>
      </c>
      <c r="L130" s="164">
        <f t="shared" si="9"/>
        <v>276583.87609746441</v>
      </c>
      <c r="M130" s="165">
        <f t="shared" si="9"/>
        <v>283993.67331299931</v>
      </c>
      <c r="N130" s="165">
        <f t="shared" si="9"/>
        <v>316592.61088120716</v>
      </c>
      <c r="O130" s="165">
        <f t="shared" si="9"/>
        <v>349276.83381091082</v>
      </c>
      <c r="P130" s="165">
        <f t="shared" si="9"/>
        <v>379046.16022866458</v>
      </c>
      <c r="Q130" s="166">
        <f t="shared" si="9"/>
        <v>414416.39616377203</v>
      </c>
    </row>
    <row r="131" spans="1:17" ht="12.75" customHeight="1" x14ac:dyDescent="0.35">
      <c r="A131" s="81"/>
      <c r="B131" s="100">
        <v>523</v>
      </c>
      <c r="C131" s="160" t="s">
        <v>131</v>
      </c>
      <c r="D131" s="161">
        <v>8.2327113062568603E-4</v>
      </c>
      <c r="E131" s="161">
        <f t="shared" si="7"/>
        <v>8.2327113062568603E-4</v>
      </c>
      <c r="F131" s="162">
        <f t="shared" si="8"/>
        <v>8.2327113062568603E-4</v>
      </c>
      <c r="G131" s="162">
        <f t="shared" si="8"/>
        <v>8.2327113062568603E-4</v>
      </c>
      <c r="H131" s="162">
        <f t="shared" si="8"/>
        <v>8.2327113062568603E-4</v>
      </c>
      <c r="I131" s="162">
        <f t="shared" si="8"/>
        <v>8.2327113062568603E-4</v>
      </c>
      <c r="J131" s="163">
        <f t="shared" si="8"/>
        <v>8.2327113062568603E-4</v>
      </c>
      <c r="L131" s="164">
        <f t="shared" si="9"/>
        <v>85415.608794805084</v>
      </c>
      <c r="M131" s="165">
        <f t="shared" si="9"/>
        <v>87703.928523132039</v>
      </c>
      <c r="N131" s="165">
        <f t="shared" si="9"/>
        <v>97771.247478019737</v>
      </c>
      <c r="O131" s="165">
        <f t="shared" si="9"/>
        <v>107864.90455925174</v>
      </c>
      <c r="P131" s="165">
        <f t="shared" si="9"/>
        <v>117058.37301179334</v>
      </c>
      <c r="Q131" s="166">
        <f t="shared" si="9"/>
        <v>127981.53410940002</v>
      </c>
    </row>
    <row r="132" spans="1:17" ht="12.75" customHeight="1" x14ac:dyDescent="0.35">
      <c r="A132" s="81"/>
      <c r="B132" s="100">
        <v>72</v>
      </c>
      <c r="C132" s="160" t="s">
        <v>132</v>
      </c>
      <c r="D132" s="161">
        <v>8.4287282421201205E-4</v>
      </c>
      <c r="E132" s="161">
        <f t="shared" si="7"/>
        <v>8.4287282421201205E-4</v>
      </c>
      <c r="F132" s="162">
        <f t="shared" si="8"/>
        <v>8.4287282421201205E-4</v>
      </c>
      <c r="G132" s="162">
        <f t="shared" si="8"/>
        <v>8.4287282421201205E-4</v>
      </c>
      <c r="H132" s="162">
        <f t="shared" si="8"/>
        <v>8.4287282421201205E-4</v>
      </c>
      <c r="I132" s="162">
        <f t="shared" si="8"/>
        <v>8.4287282421201205E-4</v>
      </c>
      <c r="J132" s="163">
        <f t="shared" si="8"/>
        <v>8.4287282421201205E-4</v>
      </c>
      <c r="L132" s="164">
        <f t="shared" si="9"/>
        <v>87449.31376610999</v>
      </c>
      <c r="M132" s="165">
        <f t="shared" si="9"/>
        <v>89792.117297492339</v>
      </c>
      <c r="N132" s="165">
        <f t="shared" si="9"/>
        <v>100099.13432273452</v>
      </c>
      <c r="O132" s="165">
        <f t="shared" si="9"/>
        <v>110433.11657256728</v>
      </c>
      <c r="P132" s="165">
        <f t="shared" si="9"/>
        <v>119845.47713112176</v>
      </c>
      <c r="Q132" s="166">
        <f t="shared" si="9"/>
        <v>131028.71349295718</v>
      </c>
    </row>
    <row r="133" spans="1:17" ht="12.75" customHeight="1" x14ac:dyDescent="0.35">
      <c r="A133" s="81"/>
      <c r="B133" s="100">
        <v>244</v>
      </c>
      <c r="C133" s="160" t="s">
        <v>133</v>
      </c>
      <c r="D133" s="161">
        <v>3.7243217814019098E-4</v>
      </c>
      <c r="E133" s="161">
        <f t="shared" si="7"/>
        <v>3.7243217814019098E-4</v>
      </c>
      <c r="F133" s="162">
        <f t="shared" si="8"/>
        <v>3.7243217814019098E-4</v>
      </c>
      <c r="G133" s="162">
        <f t="shared" si="8"/>
        <v>3.7243217814019098E-4</v>
      </c>
      <c r="H133" s="162">
        <f t="shared" si="8"/>
        <v>3.7243217814019098E-4</v>
      </c>
      <c r="I133" s="162">
        <f t="shared" si="8"/>
        <v>3.7243217814019098E-4</v>
      </c>
      <c r="J133" s="163">
        <f t="shared" si="8"/>
        <v>3.7243217814019098E-4</v>
      </c>
      <c r="L133" s="164">
        <f t="shared" si="9"/>
        <v>38640.394454792746</v>
      </c>
      <c r="M133" s="165">
        <f t="shared" si="9"/>
        <v>39675.586712845412</v>
      </c>
      <c r="N133" s="165">
        <f t="shared" si="9"/>
        <v>44229.850049580324</v>
      </c>
      <c r="O133" s="165">
        <f t="shared" si="9"/>
        <v>48796.028252994794</v>
      </c>
      <c r="P133" s="165">
        <f t="shared" si="9"/>
        <v>52954.978267239792</v>
      </c>
      <c r="Q133" s="166">
        <f t="shared" si="9"/>
        <v>57896.408287585677</v>
      </c>
    </row>
    <row r="134" spans="1:17" ht="12.75" customHeight="1" x14ac:dyDescent="0.35">
      <c r="A134" s="81"/>
      <c r="B134" s="100">
        <v>396</v>
      </c>
      <c r="C134" s="160" t="s">
        <v>134</v>
      </c>
      <c r="D134" s="161">
        <v>2.0777795201505399E-3</v>
      </c>
      <c r="E134" s="161">
        <f t="shared" si="7"/>
        <v>2.0777795201505399E-3</v>
      </c>
      <c r="F134" s="162">
        <f t="shared" si="8"/>
        <v>2.0777795201505399E-3</v>
      </c>
      <c r="G134" s="162">
        <f t="shared" si="8"/>
        <v>2.0777795201505399E-3</v>
      </c>
      <c r="H134" s="162">
        <f t="shared" si="8"/>
        <v>2.0777795201505399E-3</v>
      </c>
      <c r="I134" s="162">
        <f t="shared" si="8"/>
        <v>2.0777795201505399E-3</v>
      </c>
      <c r="J134" s="163">
        <f t="shared" si="8"/>
        <v>2.0777795201505399E-3</v>
      </c>
      <c r="L134" s="164">
        <f t="shared" si="9"/>
        <v>215572.72695831751</v>
      </c>
      <c r="M134" s="165">
        <f t="shared" si="9"/>
        <v>221348.01008219027</v>
      </c>
      <c r="N134" s="165">
        <f t="shared" si="9"/>
        <v>246756.00553976401</v>
      </c>
      <c r="O134" s="165">
        <f t="shared" si="9"/>
        <v>272230.47341144475</v>
      </c>
      <c r="P134" s="165">
        <f t="shared" si="9"/>
        <v>295433.0366488116</v>
      </c>
      <c r="Q134" s="166">
        <f t="shared" si="9"/>
        <v>323001.01465705707</v>
      </c>
    </row>
    <row r="135" spans="1:17" ht="12.75" customHeight="1" x14ac:dyDescent="0.35">
      <c r="A135" s="81"/>
      <c r="B135" s="100">
        <v>397</v>
      </c>
      <c r="C135" s="160" t="s">
        <v>135</v>
      </c>
      <c r="D135" s="161">
        <v>8.2327113062568603E-4</v>
      </c>
      <c r="E135" s="161">
        <f t="shared" si="7"/>
        <v>8.2327113062568603E-4</v>
      </c>
      <c r="F135" s="162">
        <f t="shared" si="8"/>
        <v>8.2327113062568603E-4</v>
      </c>
      <c r="G135" s="162">
        <f t="shared" si="8"/>
        <v>8.2327113062568603E-4</v>
      </c>
      <c r="H135" s="162">
        <f t="shared" si="8"/>
        <v>8.2327113062568603E-4</v>
      </c>
      <c r="I135" s="162">
        <f t="shared" si="8"/>
        <v>8.2327113062568603E-4</v>
      </c>
      <c r="J135" s="163">
        <f t="shared" si="8"/>
        <v>8.2327113062568603E-4</v>
      </c>
      <c r="L135" s="164">
        <f t="shared" si="9"/>
        <v>85415.608794805084</v>
      </c>
      <c r="M135" s="165">
        <f t="shared" si="9"/>
        <v>87703.928523132039</v>
      </c>
      <c r="N135" s="165">
        <f t="shared" si="9"/>
        <v>97771.247478019737</v>
      </c>
      <c r="O135" s="165">
        <f t="shared" si="9"/>
        <v>107864.90455925174</v>
      </c>
      <c r="P135" s="165">
        <f t="shared" si="9"/>
        <v>117058.37301179334</v>
      </c>
      <c r="Q135" s="166">
        <f t="shared" si="9"/>
        <v>127981.53410940002</v>
      </c>
    </row>
    <row r="136" spans="1:17" ht="12.75" customHeight="1" x14ac:dyDescent="0.35">
      <c r="A136" s="81"/>
      <c r="B136" s="100">
        <v>246</v>
      </c>
      <c r="C136" s="160" t="s">
        <v>136</v>
      </c>
      <c r="D136" s="161">
        <v>1.0192880664889399E-3</v>
      </c>
      <c r="E136" s="161">
        <f t="shared" si="7"/>
        <v>1.0192880664889399E-3</v>
      </c>
      <c r="F136" s="162">
        <f t="shared" si="8"/>
        <v>1.0192880664889399E-3</v>
      </c>
      <c r="G136" s="162">
        <f t="shared" si="8"/>
        <v>1.0192880664889399E-3</v>
      </c>
      <c r="H136" s="162">
        <f t="shared" si="8"/>
        <v>1.0192880664889399E-3</v>
      </c>
      <c r="I136" s="162">
        <f t="shared" si="8"/>
        <v>1.0192880664889399E-3</v>
      </c>
      <c r="J136" s="163">
        <f t="shared" si="8"/>
        <v>1.0192880664889399E-3</v>
      </c>
      <c r="L136" s="164">
        <f t="shared" si="9"/>
        <v>105752.65850785341</v>
      </c>
      <c r="M136" s="165">
        <f t="shared" si="9"/>
        <v>108585.81626673439</v>
      </c>
      <c r="N136" s="165">
        <f t="shared" si="9"/>
        <v>121050.11592516674</v>
      </c>
      <c r="O136" s="165">
        <f t="shared" si="9"/>
        <v>133547.0246924063</v>
      </c>
      <c r="P136" s="165">
        <f t="shared" si="9"/>
        <v>144929.41420507678</v>
      </c>
      <c r="Q136" s="166">
        <f t="shared" si="9"/>
        <v>158453.32794497072</v>
      </c>
    </row>
    <row r="137" spans="1:17" ht="12.75" customHeight="1" x14ac:dyDescent="0.35">
      <c r="A137" s="81"/>
      <c r="B137" s="100">
        <v>74</v>
      </c>
      <c r="C137" s="160" t="s">
        <v>137</v>
      </c>
      <c r="D137" s="161">
        <v>1.5289320997334201E-3</v>
      </c>
      <c r="E137" s="161">
        <f t="shared" si="7"/>
        <v>1.5289320997334201E-3</v>
      </c>
      <c r="F137" s="162">
        <f t="shared" si="8"/>
        <v>1.5289320997334201E-3</v>
      </c>
      <c r="G137" s="162">
        <f t="shared" si="8"/>
        <v>1.5289320997334201E-3</v>
      </c>
      <c r="H137" s="162">
        <f t="shared" si="8"/>
        <v>1.5289320997334201E-3</v>
      </c>
      <c r="I137" s="162">
        <f t="shared" si="8"/>
        <v>1.5289320997334201E-3</v>
      </c>
      <c r="J137" s="163">
        <f t="shared" si="8"/>
        <v>1.5289320997334201E-3</v>
      </c>
      <c r="L137" s="164">
        <f t="shared" si="9"/>
        <v>158628.9877617812</v>
      </c>
      <c r="M137" s="165">
        <f t="shared" si="9"/>
        <v>162878.72440010268</v>
      </c>
      <c r="N137" s="165">
        <f t="shared" si="9"/>
        <v>181575.17388775133</v>
      </c>
      <c r="O137" s="165">
        <f t="shared" si="9"/>
        <v>200320.53703861081</v>
      </c>
      <c r="P137" s="165">
        <f t="shared" si="9"/>
        <v>217394.12130761665</v>
      </c>
      <c r="Q137" s="166">
        <f t="shared" si="9"/>
        <v>237679.99191745766</v>
      </c>
    </row>
    <row r="138" spans="1:17" ht="12.75" customHeight="1" x14ac:dyDescent="0.35">
      <c r="A138" s="81"/>
      <c r="B138" s="100">
        <v>398</v>
      </c>
      <c r="C138" s="160" t="s">
        <v>138</v>
      </c>
      <c r="D138" s="161">
        <v>3.8615336365061901E-3</v>
      </c>
      <c r="E138" s="161">
        <f t="shared" si="7"/>
        <v>3.8615336365061901E-3</v>
      </c>
      <c r="F138" s="162">
        <f t="shared" si="8"/>
        <v>3.8615336365061901E-3</v>
      </c>
      <c r="G138" s="162">
        <f t="shared" si="8"/>
        <v>3.8615336365061901E-3</v>
      </c>
      <c r="H138" s="162">
        <f t="shared" si="8"/>
        <v>3.8615336365061901E-3</v>
      </c>
      <c r="I138" s="162">
        <f t="shared" si="8"/>
        <v>3.8615336365061901E-3</v>
      </c>
      <c r="J138" s="163">
        <f t="shared" si="8"/>
        <v>3.8615336365061901E-3</v>
      </c>
      <c r="L138" s="164">
        <f t="shared" si="9"/>
        <v>400639.87934706151</v>
      </c>
      <c r="M138" s="165">
        <f t="shared" si="9"/>
        <v>411373.18854897603</v>
      </c>
      <c r="N138" s="165">
        <f t="shared" si="9"/>
        <v>458593.70840880647</v>
      </c>
      <c r="O138" s="165">
        <f t="shared" si="9"/>
        <v>505937.76662315644</v>
      </c>
      <c r="P138" s="165">
        <f t="shared" si="9"/>
        <v>549059.5115076967</v>
      </c>
      <c r="Q138" s="166">
        <f t="shared" si="9"/>
        <v>600294.33856075665</v>
      </c>
    </row>
    <row r="139" spans="1:17" ht="12.75" customHeight="1" x14ac:dyDescent="0.35">
      <c r="A139" s="81"/>
      <c r="B139" s="100">
        <v>917</v>
      </c>
      <c r="C139" s="160" t="s">
        <v>139</v>
      </c>
      <c r="D139" s="161">
        <v>8.9383722753645905E-3</v>
      </c>
      <c r="E139" s="161">
        <f t="shared" ref="E139:E202" si="10">MAX(9000/L$10,$D139)</f>
        <v>8.9383722753645905E-3</v>
      </c>
      <c r="F139" s="162">
        <f t="shared" si="8"/>
        <v>8.9383722753645905E-3</v>
      </c>
      <c r="G139" s="162">
        <f t="shared" si="8"/>
        <v>8.9383722753645905E-3</v>
      </c>
      <c r="H139" s="162">
        <f t="shared" si="8"/>
        <v>8.9383722753645905E-3</v>
      </c>
      <c r="I139" s="162">
        <f t="shared" si="8"/>
        <v>8.9383722753645905E-3</v>
      </c>
      <c r="J139" s="163">
        <f t="shared" si="8"/>
        <v>8.9383722753645905E-3</v>
      </c>
      <c r="L139" s="164">
        <f t="shared" si="9"/>
        <v>927369.46691502654</v>
      </c>
      <c r="M139" s="165">
        <f t="shared" si="9"/>
        <v>952214.08110829059</v>
      </c>
      <c r="N139" s="165">
        <f t="shared" si="9"/>
        <v>1061516.4011899284</v>
      </c>
      <c r="O139" s="165">
        <f t="shared" si="9"/>
        <v>1171104.6780718761</v>
      </c>
      <c r="P139" s="165">
        <f t="shared" si="9"/>
        <v>1270919.478413756</v>
      </c>
      <c r="Q139" s="166">
        <f t="shared" si="9"/>
        <v>1389513.7989020573</v>
      </c>
    </row>
    <row r="140" spans="1:17" ht="12.75" customHeight="1" x14ac:dyDescent="0.35">
      <c r="A140" s="81"/>
      <c r="B140" s="100">
        <v>1658</v>
      </c>
      <c r="C140" s="160" t="s">
        <v>140</v>
      </c>
      <c r="D140" s="161">
        <v>4.50838952485495E-4</v>
      </c>
      <c r="E140" s="161">
        <f t="shared" si="10"/>
        <v>4.50838952485495E-4</v>
      </c>
      <c r="F140" s="162">
        <f t="shared" si="8"/>
        <v>4.50838952485495E-4</v>
      </c>
      <c r="G140" s="162">
        <f t="shared" si="8"/>
        <v>4.50838952485495E-4</v>
      </c>
      <c r="H140" s="162">
        <f t="shared" si="8"/>
        <v>4.50838952485495E-4</v>
      </c>
      <c r="I140" s="162">
        <f t="shared" si="8"/>
        <v>4.50838952485495E-4</v>
      </c>
      <c r="J140" s="163">
        <f t="shared" si="8"/>
        <v>4.50838952485495E-4</v>
      </c>
      <c r="L140" s="164">
        <f t="shared" si="9"/>
        <v>46775.214340012339</v>
      </c>
      <c r="M140" s="165">
        <f t="shared" si="9"/>
        <v>48028.34181028662</v>
      </c>
      <c r="N140" s="165">
        <f t="shared" si="9"/>
        <v>53541.397428439413</v>
      </c>
      <c r="O140" s="165">
        <f t="shared" si="9"/>
        <v>59068.876306256941</v>
      </c>
      <c r="P140" s="165">
        <f t="shared" si="9"/>
        <v>64103.39474455353</v>
      </c>
      <c r="Q140" s="166">
        <f t="shared" si="9"/>
        <v>70085.125821814334</v>
      </c>
    </row>
    <row r="141" spans="1:17" ht="12.75" customHeight="1" x14ac:dyDescent="0.35">
      <c r="A141" s="81"/>
      <c r="B141" s="100">
        <v>399</v>
      </c>
      <c r="C141" s="160" t="s">
        <v>141</v>
      </c>
      <c r="D141" s="161">
        <v>1.39172024462914E-3</v>
      </c>
      <c r="E141" s="161">
        <f t="shared" si="10"/>
        <v>1.39172024462914E-3</v>
      </c>
      <c r="F141" s="162">
        <f t="shared" si="8"/>
        <v>1.39172024462914E-3</v>
      </c>
      <c r="G141" s="162">
        <f t="shared" si="8"/>
        <v>1.39172024462914E-3</v>
      </c>
      <c r="H141" s="162">
        <f t="shared" si="8"/>
        <v>1.39172024462914E-3</v>
      </c>
      <c r="I141" s="162">
        <f t="shared" si="8"/>
        <v>1.39172024462914E-3</v>
      </c>
      <c r="J141" s="163">
        <f t="shared" si="8"/>
        <v>1.39172024462914E-3</v>
      </c>
      <c r="L141" s="164">
        <f t="shared" si="9"/>
        <v>144393.05296264711</v>
      </c>
      <c r="M141" s="165">
        <f t="shared" si="9"/>
        <v>148261.40297958077</v>
      </c>
      <c r="N141" s="165">
        <f t="shared" si="9"/>
        <v>165279.96597474816</v>
      </c>
      <c r="O141" s="165">
        <f t="shared" si="9"/>
        <v>182343.05294540231</v>
      </c>
      <c r="P141" s="165">
        <f t="shared" si="9"/>
        <v>197884.39247231788</v>
      </c>
      <c r="Q141" s="166">
        <f t="shared" si="9"/>
        <v>216349.73623255783</v>
      </c>
    </row>
    <row r="142" spans="1:17" ht="12.75" customHeight="1" x14ac:dyDescent="0.35">
      <c r="A142" s="81"/>
      <c r="B142" s="100">
        <v>163</v>
      </c>
      <c r="C142" s="160" t="s">
        <v>142</v>
      </c>
      <c r="D142" s="161">
        <v>1.3329151638701599E-3</v>
      </c>
      <c r="E142" s="161">
        <f t="shared" si="10"/>
        <v>1.3329151638701599E-3</v>
      </c>
      <c r="F142" s="162">
        <f t="shared" si="8"/>
        <v>1.3329151638701599E-3</v>
      </c>
      <c r="G142" s="162">
        <f t="shared" si="8"/>
        <v>1.3329151638701599E-3</v>
      </c>
      <c r="H142" s="162">
        <f t="shared" si="8"/>
        <v>1.3329151638701599E-3</v>
      </c>
      <c r="I142" s="162">
        <f t="shared" si="8"/>
        <v>1.3329151638701599E-3</v>
      </c>
      <c r="J142" s="163">
        <f t="shared" si="8"/>
        <v>1.3329151638701599E-3</v>
      </c>
      <c r="L142" s="164">
        <f t="shared" si="9"/>
        <v>138291.93804873221</v>
      </c>
      <c r="M142" s="165">
        <f t="shared" si="9"/>
        <v>141996.83665649965</v>
      </c>
      <c r="N142" s="165">
        <f t="shared" si="9"/>
        <v>158296.30544060358</v>
      </c>
      <c r="O142" s="165">
        <f t="shared" si="9"/>
        <v>174638.41690545541</v>
      </c>
      <c r="P142" s="165">
        <f t="shared" si="9"/>
        <v>189523.08011433229</v>
      </c>
      <c r="Q142" s="166">
        <f t="shared" si="9"/>
        <v>207208.19808188602</v>
      </c>
    </row>
    <row r="143" spans="1:17" ht="12.75" customHeight="1" x14ac:dyDescent="0.35">
      <c r="A143" s="81"/>
      <c r="B143" s="100">
        <v>530</v>
      </c>
      <c r="C143" s="160" t="s">
        <v>143</v>
      </c>
      <c r="D143" s="161">
        <v>1.5485337933197399E-3</v>
      </c>
      <c r="E143" s="161">
        <f t="shared" si="10"/>
        <v>1.5485337933197399E-3</v>
      </c>
      <c r="F143" s="162">
        <f t="shared" si="8"/>
        <v>1.5485337933197399E-3</v>
      </c>
      <c r="G143" s="162">
        <f t="shared" si="8"/>
        <v>1.5485337933197399E-3</v>
      </c>
      <c r="H143" s="162">
        <f t="shared" si="8"/>
        <v>1.5485337933197399E-3</v>
      </c>
      <c r="I143" s="162">
        <f t="shared" si="8"/>
        <v>1.5485337933197399E-3</v>
      </c>
      <c r="J143" s="163">
        <f t="shared" si="8"/>
        <v>1.5485337933197399E-3</v>
      </c>
      <c r="L143" s="164">
        <f t="shared" si="9"/>
        <v>160662.69273308548</v>
      </c>
      <c r="M143" s="165">
        <f t="shared" si="9"/>
        <v>164966.91317446233</v>
      </c>
      <c r="N143" s="165">
        <f t="shared" si="9"/>
        <v>183903.06073246535</v>
      </c>
      <c r="O143" s="165">
        <f t="shared" si="9"/>
        <v>202888.74905192555</v>
      </c>
      <c r="P143" s="165">
        <f t="shared" si="9"/>
        <v>220181.22542694421</v>
      </c>
      <c r="Q143" s="166">
        <f t="shared" si="9"/>
        <v>240727.17130101388</v>
      </c>
    </row>
    <row r="144" spans="1:17" ht="12.75" customHeight="1" x14ac:dyDescent="0.35">
      <c r="A144" s="81"/>
      <c r="B144" s="100">
        <v>794</v>
      </c>
      <c r="C144" s="160" t="s">
        <v>144</v>
      </c>
      <c r="D144" s="161">
        <v>1.0192880664889501E-2</v>
      </c>
      <c r="E144" s="161">
        <f t="shared" si="10"/>
        <v>1.0192880664889501E-2</v>
      </c>
      <c r="F144" s="162">
        <f t="shared" si="8"/>
        <v>1.0192880664889501E-2</v>
      </c>
      <c r="G144" s="162">
        <f t="shared" si="8"/>
        <v>1.0192880664889501E-2</v>
      </c>
      <c r="H144" s="162">
        <f t="shared" si="8"/>
        <v>1.0192880664889501E-2</v>
      </c>
      <c r="I144" s="162">
        <f t="shared" si="8"/>
        <v>1.0192880664889501E-2</v>
      </c>
      <c r="J144" s="163">
        <f t="shared" si="8"/>
        <v>1.0192880664889501E-2</v>
      </c>
      <c r="L144" s="164">
        <f t="shared" si="9"/>
        <v>1057526.5850785449</v>
      </c>
      <c r="M144" s="165">
        <f t="shared" si="9"/>
        <v>1085858.1626673548</v>
      </c>
      <c r="N144" s="165">
        <f t="shared" si="9"/>
        <v>1210501.1592516797</v>
      </c>
      <c r="O144" s="165">
        <f t="shared" si="9"/>
        <v>1335470.2469240762</v>
      </c>
      <c r="P144" s="165">
        <f t="shared" si="9"/>
        <v>1449294.1420507825</v>
      </c>
      <c r="Q144" s="166">
        <f t="shared" si="9"/>
        <v>1584533.279449723</v>
      </c>
    </row>
    <row r="145" spans="1:17" ht="12.75" customHeight="1" x14ac:dyDescent="0.35">
      <c r="A145" s="81"/>
      <c r="B145" s="100">
        <v>531</v>
      </c>
      <c r="C145" s="160" t="s">
        <v>145</v>
      </c>
      <c r="D145" s="161">
        <v>9.2127959855731602E-4</v>
      </c>
      <c r="E145" s="161">
        <f t="shared" si="10"/>
        <v>9.2127959855731602E-4</v>
      </c>
      <c r="F145" s="162">
        <f t="shared" si="8"/>
        <v>9.2127959855731602E-4</v>
      </c>
      <c r="G145" s="162">
        <f t="shared" si="8"/>
        <v>9.2127959855731602E-4</v>
      </c>
      <c r="H145" s="162">
        <f t="shared" si="8"/>
        <v>9.2127959855731602E-4</v>
      </c>
      <c r="I145" s="162">
        <f t="shared" si="8"/>
        <v>9.2127959855731602E-4</v>
      </c>
      <c r="J145" s="163">
        <f t="shared" si="8"/>
        <v>9.2127959855731602E-4</v>
      </c>
      <c r="L145" s="164">
        <f t="shared" si="9"/>
        <v>95584.133651329568</v>
      </c>
      <c r="M145" s="165">
        <f t="shared" si="9"/>
        <v>98144.87239493354</v>
      </c>
      <c r="N145" s="165">
        <f t="shared" si="9"/>
        <v>109410.68170159361</v>
      </c>
      <c r="O145" s="165">
        <f t="shared" si="9"/>
        <v>120705.96462582942</v>
      </c>
      <c r="P145" s="165">
        <f t="shared" si="9"/>
        <v>130993.89360843549</v>
      </c>
      <c r="Q145" s="166">
        <f t="shared" si="9"/>
        <v>143217.43102718584</v>
      </c>
    </row>
    <row r="146" spans="1:17" ht="12.75" customHeight="1" x14ac:dyDescent="0.35">
      <c r="A146" s="81"/>
      <c r="B146" s="100">
        <v>164</v>
      </c>
      <c r="C146" s="160" t="s">
        <v>146</v>
      </c>
      <c r="D146" s="161">
        <v>5.6256860592755198E-3</v>
      </c>
      <c r="E146" s="161">
        <f t="shared" si="10"/>
        <v>5.6256860592755198E-3</v>
      </c>
      <c r="F146" s="162">
        <f t="shared" si="8"/>
        <v>5.6256860592755198E-3</v>
      </c>
      <c r="G146" s="162">
        <f t="shared" si="8"/>
        <v>5.6256860592755198E-3</v>
      </c>
      <c r="H146" s="162">
        <f t="shared" si="8"/>
        <v>5.6256860592755198E-3</v>
      </c>
      <c r="I146" s="162">
        <f t="shared" si="8"/>
        <v>5.6256860592755198E-3</v>
      </c>
      <c r="J146" s="163">
        <f t="shared" si="8"/>
        <v>5.6256860592755198E-3</v>
      </c>
      <c r="L146" s="164">
        <f t="shared" si="9"/>
        <v>583673.32676450128</v>
      </c>
      <c r="M146" s="165">
        <f t="shared" si="9"/>
        <v>599310.17824140203</v>
      </c>
      <c r="N146" s="165">
        <f t="shared" si="9"/>
        <v>668103.52443313471</v>
      </c>
      <c r="O146" s="165">
        <f t="shared" si="9"/>
        <v>737076.84782155335</v>
      </c>
      <c r="P146" s="165">
        <f t="shared" si="9"/>
        <v>799898.88224725425</v>
      </c>
      <c r="Q146" s="166">
        <f t="shared" si="9"/>
        <v>874540.48308089992</v>
      </c>
    </row>
    <row r="147" spans="1:17" ht="12.75" customHeight="1" x14ac:dyDescent="0.35">
      <c r="A147" s="81"/>
      <c r="B147" s="100">
        <v>1966</v>
      </c>
      <c r="C147" s="160" t="s">
        <v>147</v>
      </c>
      <c r="D147" s="161">
        <v>3.9203387172651698E-3</v>
      </c>
      <c r="E147" s="161">
        <f t="shared" si="10"/>
        <v>3.9203387172651698E-3</v>
      </c>
      <c r="F147" s="162">
        <f t="shared" si="8"/>
        <v>3.9203387172651698E-3</v>
      </c>
      <c r="G147" s="162">
        <f t="shared" si="8"/>
        <v>3.9203387172651698E-3</v>
      </c>
      <c r="H147" s="162">
        <f t="shared" si="8"/>
        <v>3.9203387172651698E-3</v>
      </c>
      <c r="I147" s="162">
        <f t="shared" si="8"/>
        <v>3.9203387172651698E-3</v>
      </c>
      <c r="J147" s="163">
        <f t="shared" si="8"/>
        <v>3.9203387172651698E-3</v>
      </c>
      <c r="L147" s="164">
        <f t="shared" si="9"/>
        <v>406740.99426097644</v>
      </c>
      <c r="M147" s="165">
        <f t="shared" si="9"/>
        <v>417637.75487205712</v>
      </c>
      <c r="N147" s="165">
        <f t="shared" si="9"/>
        <v>465577.36894295097</v>
      </c>
      <c r="O147" s="165">
        <f t="shared" si="9"/>
        <v>513642.4026631033</v>
      </c>
      <c r="P147" s="165">
        <f t="shared" si="9"/>
        <v>557420.82386568224</v>
      </c>
      <c r="Q147" s="166">
        <f t="shared" si="9"/>
        <v>609435.8767114284</v>
      </c>
    </row>
    <row r="148" spans="1:17" ht="12.75" customHeight="1" x14ac:dyDescent="0.35">
      <c r="A148" s="81"/>
      <c r="B148" s="100">
        <v>252</v>
      </c>
      <c r="C148" s="160" t="s">
        <v>148</v>
      </c>
      <c r="D148" s="161">
        <v>6.8605927552140499E-4</v>
      </c>
      <c r="E148" s="161">
        <f t="shared" si="10"/>
        <v>6.8605927552140499E-4</v>
      </c>
      <c r="F148" s="162">
        <f t="shared" si="8"/>
        <v>6.8605927552140499E-4</v>
      </c>
      <c r="G148" s="162">
        <f t="shared" si="8"/>
        <v>6.8605927552140499E-4</v>
      </c>
      <c r="H148" s="162">
        <f t="shared" si="8"/>
        <v>6.8605927552140499E-4</v>
      </c>
      <c r="I148" s="162">
        <f t="shared" si="8"/>
        <v>6.8605927552140499E-4</v>
      </c>
      <c r="J148" s="163">
        <f t="shared" si="8"/>
        <v>6.8605927552140499E-4</v>
      </c>
      <c r="L148" s="164">
        <f t="shared" si="9"/>
        <v>71179.673995670906</v>
      </c>
      <c r="M148" s="165">
        <f t="shared" si="9"/>
        <v>73086.607102610025</v>
      </c>
      <c r="N148" s="165">
        <f t="shared" si="9"/>
        <v>81476.039565016457</v>
      </c>
      <c r="O148" s="165">
        <f t="shared" si="9"/>
        <v>89887.420466043113</v>
      </c>
      <c r="P148" s="165">
        <f t="shared" si="9"/>
        <v>97548.644176494432</v>
      </c>
      <c r="Q148" s="166">
        <f t="shared" si="9"/>
        <v>106651.27842450001</v>
      </c>
    </row>
    <row r="149" spans="1:17" ht="12.75" customHeight="1" x14ac:dyDescent="0.35">
      <c r="A149" s="81"/>
      <c r="B149" s="100">
        <v>797</v>
      </c>
      <c r="C149" s="160" t="s">
        <v>149</v>
      </c>
      <c r="D149" s="161">
        <v>2.2149913752548202E-3</v>
      </c>
      <c r="E149" s="161">
        <f t="shared" si="10"/>
        <v>2.2149913752548202E-3</v>
      </c>
      <c r="F149" s="162">
        <f t="shared" si="8"/>
        <v>2.2149913752548202E-3</v>
      </c>
      <c r="G149" s="162">
        <f t="shared" si="8"/>
        <v>2.2149913752548202E-3</v>
      </c>
      <c r="H149" s="162">
        <f t="shared" si="8"/>
        <v>2.2149913752548202E-3</v>
      </c>
      <c r="I149" s="162">
        <f t="shared" si="8"/>
        <v>2.2149913752548202E-3</v>
      </c>
      <c r="J149" s="163">
        <f t="shared" si="8"/>
        <v>2.2149913752548202E-3</v>
      </c>
      <c r="L149" s="164">
        <f t="shared" si="9"/>
        <v>229808.6617574516</v>
      </c>
      <c r="M149" s="165">
        <f t="shared" si="9"/>
        <v>235965.33150271219</v>
      </c>
      <c r="N149" s="165">
        <f t="shared" si="9"/>
        <v>263051.21345276717</v>
      </c>
      <c r="O149" s="165">
        <f t="shared" si="9"/>
        <v>290207.95750465326</v>
      </c>
      <c r="P149" s="165">
        <f t="shared" si="9"/>
        <v>314942.76548411039</v>
      </c>
      <c r="Q149" s="166">
        <f t="shared" si="9"/>
        <v>344331.27034195693</v>
      </c>
    </row>
    <row r="150" spans="1:17" ht="12.75" customHeight="1" x14ac:dyDescent="0.35">
      <c r="A150" s="81"/>
      <c r="B150" s="100">
        <v>534</v>
      </c>
      <c r="C150" s="160" t="s">
        <v>150</v>
      </c>
      <c r="D150" s="161">
        <v>1.3133134702838301E-3</v>
      </c>
      <c r="E150" s="161">
        <f t="shared" si="10"/>
        <v>1.3133134702838301E-3</v>
      </c>
      <c r="F150" s="162">
        <f t="shared" si="8"/>
        <v>1.3133134702838301E-3</v>
      </c>
      <c r="G150" s="162">
        <f t="shared" si="8"/>
        <v>1.3133134702838301E-3</v>
      </c>
      <c r="H150" s="162">
        <f t="shared" si="8"/>
        <v>1.3133134702838301E-3</v>
      </c>
      <c r="I150" s="162">
        <f t="shared" si="8"/>
        <v>1.3133134702838301E-3</v>
      </c>
      <c r="J150" s="163">
        <f t="shared" si="8"/>
        <v>1.3133134702838301E-3</v>
      </c>
      <c r="L150" s="164">
        <f t="shared" si="9"/>
        <v>136258.23307742691</v>
      </c>
      <c r="M150" s="165">
        <f t="shared" si="9"/>
        <v>139908.64788213893</v>
      </c>
      <c r="N150" s="165">
        <f t="shared" si="9"/>
        <v>155968.41859588836</v>
      </c>
      <c r="O150" s="165">
        <f t="shared" si="9"/>
        <v>172070.20489213936</v>
      </c>
      <c r="P150" s="165">
        <f t="shared" si="9"/>
        <v>186735.9759950033</v>
      </c>
      <c r="Q150" s="166">
        <f t="shared" si="9"/>
        <v>204161.01869832823</v>
      </c>
    </row>
    <row r="151" spans="1:17" ht="12.75" customHeight="1" x14ac:dyDescent="0.35">
      <c r="A151" s="81"/>
      <c r="B151" s="100">
        <v>798</v>
      </c>
      <c r="C151" s="160" t="s">
        <v>151</v>
      </c>
      <c r="D151" s="161">
        <v>2.7442371020856198E-4</v>
      </c>
      <c r="E151" s="161">
        <f t="shared" si="10"/>
        <v>2.7442371020856198E-4</v>
      </c>
      <c r="F151" s="162">
        <f t="shared" si="8"/>
        <v>2.7442371020856198E-4</v>
      </c>
      <c r="G151" s="162">
        <f t="shared" si="8"/>
        <v>2.7442371020856198E-4</v>
      </c>
      <c r="H151" s="162">
        <f t="shared" si="8"/>
        <v>2.7442371020856198E-4</v>
      </c>
      <c r="I151" s="162">
        <f t="shared" si="8"/>
        <v>2.7442371020856198E-4</v>
      </c>
      <c r="J151" s="163">
        <f t="shared" si="8"/>
        <v>2.7442371020856198E-4</v>
      </c>
      <c r="L151" s="164">
        <f t="shared" si="9"/>
        <v>28471.86959826836</v>
      </c>
      <c r="M151" s="165">
        <f t="shared" si="9"/>
        <v>29234.642841044006</v>
      </c>
      <c r="N151" s="165">
        <f t="shared" si="9"/>
        <v>32590.415826006578</v>
      </c>
      <c r="O151" s="165">
        <f t="shared" si="9"/>
        <v>35954.968186417245</v>
      </c>
      <c r="P151" s="165">
        <f t="shared" si="9"/>
        <v>39019.457670597774</v>
      </c>
      <c r="Q151" s="166">
        <f t="shared" si="9"/>
        <v>42660.511369799999</v>
      </c>
    </row>
    <row r="152" spans="1:17" ht="12.75" customHeight="1" x14ac:dyDescent="0.35">
      <c r="A152" s="81"/>
      <c r="B152" s="100">
        <v>402</v>
      </c>
      <c r="C152" s="160" t="s">
        <v>152</v>
      </c>
      <c r="D152" s="161">
        <v>3.0578641994668302E-3</v>
      </c>
      <c r="E152" s="161">
        <f t="shared" si="10"/>
        <v>3.0578641994668302E-3</v>
      </c>
      <c r="F152" s="162">
        <f t="shared" si="8"/>
        <v>3.0578641994668302E-3</v>
      </c>
      <c r="G152" s="162">
        <f t="shared" si="8"/>
        <v>3.0578641994668302E-3</v>
      </c>
      <c r="H152" s="162">
        <f t="shared" si="8"/>
        <v>3.0578641994668302E-3</v>
      </c>
      <c r="I152" s="162">
        <f t="shared" si="8"/>
        <v>3.0578641994668302E-3</v>
      </c>
      <c r="J152" s="163">
        <f t="shared" si="8"/>
        <v>3.0578641994668302E-3</v>
      </c>
      <c r="L152" s="164">
        <f t="shared" si="9"/>
        <v>317257.97552356136</v>
      </c>
      <c r="M152" s="165">
        <f t="shared" si="9"/>
        <v>325757.44880020432</v>
      </c>
      <c r="N152" s="165">
        <f t="shared" si="9"/>
        <v>363150.34777550149</v>
      </c>
      <c r="O152" s="165">
        <f t="shared" si="9"/>
        <v>400641.07407722028</v>
      </c>
      <c r="P152" s="165">
        <f t="shared" si="9"/>
        <v>434788.24261523189</v>
      </c>
      <c r="Q152" s="166">
        <f t="shared" si="9"/>
        <v>475359.98383491376</v>
      </c>
    </row>
    <row r="153" spans="1:17" ht="12.75" customHeight="1" x14ac:dyDescent="0.35">
      <c r="A153" s="81"/>
      <c r="B153" s="100">
        <v>1963</v>
      </c>
      <c r="C153" s="160" t="s">
        <v>153</v>
      </c>
      <c r="D153" s="161">
        <v>2.4894150854633799E-3</v>
      </c>
      <c r="E153" s="161">
        <f t="shared" si="10"/>
        <v>2.4894150854633799E-3</v>
      </c>
      <c r="F153" s="162">
        <f t="shared" si="8"/>
        <v>2.4894150854633799E-3</v>
      </c>
      <c r="G153" s="162">
        <f t="shared" si="8"/>
        <v>2.4894150854633799E-3</v>
      </c>
      <c r="H153" s="162">
        <f t="shared" si="8"/>
        <v>2.4894150854633799E-3</v>
      </c>
      <c r="I153" s="162">
        <f t="shared" si="8"/>
        <v>2.4894150854633799E-3</v>
      </c>
      <c r="J153" s="163">
        <f t="shared" si="8"/>
        <v>2.4894150854633799E-3</v>
      </c>
      <c r="L153" s="164">
        <f t="shared" si="9"/>
        <v>258280.53135571969</v>
      </c>
      <c r="M153" s="165">
        <f t="shared" si="9"/>
        <v>265199.97434375598</v>
      </c>
      <c r="N153" s="165">
        <f t="shared" si="9"/>
        <v>295641.6292787735</v>
      </c>
      <c r="O153" s="165">
        <f t="shared" si="9"/>
        <v>326162.92569107021</v>
      </c>
      <c r="P153" s="165">
        <f t="shared" si="9"/>
        <v>353962.22315470781</v>
      </c>
      <c r="Q153" s="166">
        <f t="shared" si="9"/>
        <v>386991.7817117566</v>
      </c>
    </row>
    <row r="154" spans="1:17" ht="12.75" customHeight="1" x14ac:dyDescent="0.35">
      <c r="A154" s="81"/>
      <c r="B154" s="100">
        <v>1735</v>
      </c>
      <c r="C154" s="160" t="s">
        <v>154</v>
      </c>
      <c r="D154" s="161">
        <v>1.0584914536616E-3</v>
      </c>
      <c r="E154" s="161">
        <f t="shared" si="10"/>
        <v>1.0584914536616E-3</v>
      </c>
      <c r="F154" s="162">
        <f t="shared" si="8"/>
        <v>1.0584914536616E-3</v>
      </c>
      <c r="G154" s="162">
        <f t="shared" si="8"/>
        <v>1.0584914536616E-3</v>
      </c>
      <c r="H154" s="162">
        <f t="shared" si="8"/>
        <v>1.0584914536616E-3</v>
      </c>
      <c r="I154" s="162">
        <f t="shared" si="8"/>
        <v>1.0584914536616E-3</v>
      </c>
      <c r="J154" s="163">
        <f t="shared" si="8"/>
        <v>1.0584914536616E-3</v>
      </c>
      <c r="L154" s="164">
        <f t="shared" si="9"/>
        <v>109820.06845046405</v>
      </c>
      <c r="M154" s="165">
        <f t="shared" si="9"/>
        <v>112762.19381545586</v>
      </c>
      <c r="N154" s="165">
        <f t="shared" si="9"/>
        <v>125705.88961459724</v>
      </c>
      <c r="O154" s="165">
        <f t="shared" si="9"/>
        <v>138683.44871903842</v>
      </c>
      <c r="P154" s="165">
        <f t="shared" si="9"/>
        <v>150503.62244373481</v>
      </c>
      <c r="Q154" s="166">
        <f t="shared" si="9"/>
        <v>164547.68671208632</v>
      </c>
    </row>
    <row r="155" spans="1:17" ht="12.75" customHeight="1" x14ac:dyDescent="0.35">
      <c r="A155" s="81"/>
      <c r="B155" s="100">
        <v>1911</v>
      </c>
      <c r="C155" s="160" t="s">
        <v>155</v>
      </c>
      <c r="D155" s="161">
        <v>2.13658460090952E-3</v>
      </c>
      <c r="E155" s="161">
        <f t="shared" si="10"/>
        <v>2.13658460090952E-3</v>
      </c>
      <c r="F155" s="162">
        <f t="shared" si="8"/>
        <v>2.13658460090952E-3</v>
      </c>
      <c r="G155" s="162">
        <f t="shared" si="8"/>
        <v>2.13658460090952E-3</v>
      </c>
      <c r="H155" s="162">
        <f t="shared" si="8"/>
        <v>2.13658460090952E-3</v>
      </c>
      <c r="I155" s="162">
        <f t="shared" si="8"/>
        <v>2.13658460090952E-3</v>
      </c>
      <c r="J155" s="163">
        <f t="shared" si="8"/>
        <v>2.13658460090952E-3</v>
      </c>
      <c r="L155" s="164">
        <f t="shared" si="9"/>
        <v>221673.84187223238</v>
      </c>
      <c r="M155" s="165">
        <f t="shared" si="9"/>
        <v>227612.57640527142</v>
      </c>
      <c r="N155" s="165">
        <f t="shared" si="9"/>
        <v>253739.66607390853</v>
      </c>
      <c r="O155" s="165">
        <f t="shared" si="9"/>
        <v>279935.10945139162</v>
      </c>
      <c r="P155" s="165">
        <f t="shared" si="9"/>
        <v>303794.34900679719</v>
      </c>
      <c r="Q155" s="166">
        <f t="shared" si="9"/>
        <v>332142.55280772888</v>
      </c>
    </row>
    <row r="156" spans="1:17" ht="12.75" customHeight="1" x14ac:dyDescent="0.35">
      <c r="A156" s="81"/>
      <c r="B156" s="100">
        <v>118</v>
      </c>
      <c r="C156" s="160" t="s">
        <v>156</v>
      </c>
      <c r="D156" s="161">
        <v>4.2927708954053597E-3</v>
      </c>
      <c r="E156" s="161">
        <f t="shared" si="10"/>
        <v>4.2927708954053597E-3</v>
      </c>
      <c r="F156" s="162">
        <f t="shared" si="8"/>
        <v>4.2927708954053597E-3</v>
      </c>
      <c r="G156" s="162">
        <f t="shared" si="8"/>
        <v>4.2927708954053597E-3</v>
      </c>
      <c r="H156" s="162">
        <f t="shared" si="8"/>
        <v>4.2927708954053597E-3</v>
      </c>
      <c r="I156" s="162">
        <f t="shared" si="8"/>
        <v>4.2927708954053597E-3</v>
      </c>
      <c r="J156" s="163">
        <f t="shared" si="8"/>
        <v>4.2927708954053597E-3</v>
      </c>
      <c r="L156" s="164">
        <f t="shared" si="9"/>
        <v>445381.38871576905</v>
      </c>
      <c r="M156" s="165">
        <f t="shared" si="9"/>
        <v>457313.34158490237</v>
      </c>
      <c r="N156" s="165">
        <f t="shared" si="9"/>
        <v>509807.21899253118</v>
      </c>
      <c r="O156" s="165">
        <f t="shared" si="9"/>
        <v>562438.43091609795</v>
      </c>
      <c r="P156" s="165">
        <f t="shared" si="9"/>
        <v>610375.80213292199</v>
      </c>
      <c r="Q156" s="166">
        <f t="shared" si="9"/>
        <v>667332.28499901388</v>
      </c>
    </row>
    <row r="157" spans="1:17" ht="12.75" customHeight="1" x14ac:dyDescent="0.35">
      <c r="A157" s="81"/>
      <c r="B157" s="100">
        <v>405</v>
      </c>
      <c r="C157" s="160" t="s">
        <v>157</v>
      </c>
      <c r="D157" s="161">
        <v>6.6449741257644697E-3</v>
      </c>
      <c r="E157" s="161">
        <f t="shared" si="10"/>
        <v>6.6449741257644697E-3</v>
      </c>
      <c r="F157" s="162">
        <f t="shared" si="8"/>
        <v>6.6449741257644697E-3</v>
      </c>
      <c r="G157" s="162">
        <f t="shared" si="8"/>
        <v>6.6449741257644697E-3</v>
      </c>
      <c r="H157" s="162">
        <f t="shared" si="8"/>
        <v>6.6449741257644697E-3</v>
      </c>
      <c r="I157" s="162">
        <f t="shared" si="8"/>
        <v>6.6449741257644697E-3</v>
      </c>
      <c r="J157" s="163">
        <f t="shared" si="8"/>
        <v>6.6449741257644697E-3</v>
      </c>
      <c r="L157" s="164">
        <f t="shared" si="9"/>
        <v>689425.98527235573</v>
      </c>
      <c r="M157" s="165">
        <f t="shared" si="9"/>
        <v>707895.99450813758</v>
      </c>
      <c r="N157" s="165">
        <f t="shared" si="9"/>
        <v>789153.64035830263</v>
      </c>
      <c r="O157" s="165">
        <f t="shared" si="9"/>
        <v>870623.87251396105</v>
      </c>
      <c r="P157" s="165">
        <f t="shared" si="9"/>
        <v>944828.29645233252</v>
      </c>
      <c r="Q157" s="166">
        <f t="shared" si="9"/>
        <v>1032993.8110258721</v>
      </c>
    </row>
    <row r="158" spans="1:17" ht="12.75" customHeight="1" x14ac:dyDescent="0.35">
      <c r="A158" s="81"/>
      <c r="B158" s="100">
        <v>1507</v>
      </c>
      <c r="C158" s="160" t="s">
        <v>158</v>
      </c>
      <c r="D158" s="161">
        <v>1.2545083895248599E-3</v>
      </c>
      <c r="E158" s="161">
        <f t="shared" si="10"/>
        <v>1.2545083895248599E-3</v>
      </c>
      <c r="F158" s="162">
        <f t="shared" si="8"/>
        <v>1.2545083895248599E-3</v>
      </c>
      <c r="G158" s="162">
        <f t="shared" si="8"/>
        <v>1.2545083895248599E-3</v>
      </c>
      <c r="H158" s="162">
        <f t="shared" si="8"/>
        <v>1.2545083895248599E-3</v>
      </c>
      <c r="I158" s="162">
        <f t="shared" si="8"/>
        <v>1.2545083895248599E-3</v>
      </c>
      <c r="J158" s="163">
        <f t="shared" si="8"/>
        <v>1.2545083895248599E-3</v>
      </c>
      <c r="L158" s="164">
        <f t="shared" si="9"/>
        <v>130157.11816351302</v>
      </c>
      <c r="M158" s="165">
        <f t="shared" si="9"/>
        <v>133644.08155905886</v>
      </c>
      <c r="N158" s="165">
        <f t="shared" si="9"/>
        <v>148984.75806174497</v>
      </c>
      <c r="O158" s="165">
        <f t="shared" si="9"/>
        <v>164365.56885219377</v>
      </c>
      <c r="P158" s="165">
        <f t="shared" si="9"/>
        <v>178374.66363701911</v>
      </c>
      <c r="Q158" s="166">
        <f t="shared" si="9"/>
        <v>195019.48054765793</v>
      </c>
    </row>
    <row r="159" spans="1:17" ht="12.75" customHeight="1" x14ac:dyDescent="0.35">
      <c r="A159" s="81"/>
      <c r="B159" s="100">
        <v>321</v>
      </c>
      <c r="C159" s="160" t="s">
        <v>159</v>
      </c>
      <c r="D159" s="161">
        <v>1.5093304061470901E-3</v>
      </c>
      <c r="E159" s="161">
        <f t="shared" si="10"/>
        <v>1.5093304061470901E-3</v>
      </c>
      <c r="F159" s="162">
        <f t="shared" si="8"/>
        <v>1.5093304061470901E-3</v>
      </c>
      <c r="G159" s="162">
        <f t="shared" si="8"/>
        <v>1.5093304061470901E-3</v>
      </c>
      <c r="H159" s="162">
        <f t="shared" si="8"/>
        <v>1.5093304061470901E-3</v>
      </c>
      <c r="I159" s="162">
        <f t="shared" si="8"/>
        <v>1.5093304061470901E-3</v>
      </c>
      <c r="J159" s="163">
        <f t="shared" si="8"/>
        <v>1.5093304061470901E-3</v>
      </c>
      <c r="L159" s="164">
        <f t="shared" si="9"/>
        <v>156595.28279047587</v>
      </c>
      <c r="M159" s="165">
        <f t="shared" si="9"/>
        <v>160790.53562574193</v>
      </c>
      <c r="N159" s="165">
        <f t="shared" si="9"/>
        <v>179247.28704303608</v>
      </c>
      <c r="O159" s="165">
        <f t="shared" si="9"/>
        <v>197752.32502529473</v>
      </c>
      <c r="P159" s="165">
        <f t="shared" si="9"/>
        <v>214607.01718828763</v>
      </c>
      <c r="Q159" s="166">
        <f t="shared" si="9"/>
        <v>234632.81253389991</v>
      </c>
    </row>
    <row r="160" spans="1:17" ht="12.75" customHeight="1" x14ac:dyDescent="0.35">
      <c r="A160" s="81"/>
      <c r="B160" s="100">
        <v>406</v>
      </c>
      <c r="C160" s="160" t="s">
        <v>160</v>
      </c>
      <c r="D160" s="161">
        <v>1.2545083895248599E-3</v>
      </c>
      <c r="E160" s="161">
        <f t="shared" si="10"/>
        <v>1.2545083895248599E-3</v>
      </c>
      <c r="F160" s="162">
        <f t="shared" si="8"/>
        <v>1.2545083895248599E-3</v>
      </c>
      <c r="G160" s="162">
        <f t="shared" si="8"/>
        <v>1.2545083895248599E-3</v>
      </c>
      <c r="H160" s="162">
        <f t="shared" si="8"/>
        <v>1.2545083895248599E-3</v>
      </c>
      <c r="I160" s="162">
        <f t="shared" si="8"/>
        <v>1.2545083895248599E-3</v>
      </c>
      <c r="J160" s="163">
        <f t="shared" si="8"/>
        <v>1.2545083895248599E-3</v>
      </c>
      <c r="L160" s="164">
        <f t="shared" si="9"/>
        <v>130157.11816351302</v>
      </c>
      <c r="M160" s="165">
        <f t="shared" si="9"/>
        <v>133644.08155905886</v>
      </c>
      <c r="N160" s="165">
        <f t="shared" si="9"/>
        <v>148984.75806174497</v>
      </c>
      <c r="O160" s="165">
        <f t="shared" ref="O160:Q223" si="11">H160/H$10*O$10</f>
        <v>164365.56885219377</v>
      </c>
      <c r="P160" s="165">
        <f t="shared" si="11"/>
        <v>178374.66363701911</v>
      </c>
      <c r="Q160" s="166">
        <f t="shared" si="11"/>
        <v>195019.48054765793</v>
      </c>
    </row>
    <row r="161" spans="1:17" ht="12.75" customHeight="1" x14ac:dyDescent="0.35">
      <c r="A161" s="81"/>
      <c r="B161" s="100">
        <v>677</v>
      </c>
      <c r="C161" s="160" t="s">
        <v>161</v>
      </c>
      <c r="D161" s="161">
        <v>1.6465422612513699E-3</v>
      </c>
      <c r="E161" s="161">
        <f t="shared" si="10"/>
        <v>1.6465422612513699E-3</v>
      </c>
      <c r="F161" s="162">
        <f t="shared" si="8"/>
        <v>1.6465422612513699E-3</v>
      </c>
      <c r="G161" s="162">
        <f t="shared" si="8"/>
        <v>1.6465422612513699E-3</v>
      </c>
      <c r="H161" s="162">
        <f t="shared" si="8"/>
        <v>1.6465422612513699E-3</v>
      </c>
      <c r="I161" s="162">
        <f t="shared" si="8"/>
        <v>1.6465422612513699E-3</v>
      </c>
      <c r="J161" s="163">
        <f t="shared" si="8"/>
        <v>1.6465422612513699E-3</v>
      </c>
      <c r="L161" s="164">
        <f t="shared" ref="L161:Q224" si="12">E161/E$10*L$10</f>
        <v>170831.21758960994</v>
      </c>
      <c r="M161" s="165">
        <f t="shared" si="12"/>
        <v>175407.85704626385</v>
      </c>
      <c r="N161" s="165">
        <f t="shared" si="12"/>
        <v>195542.49495603924</v>
      </c>
      <c r="O161" s="165">
        <f t="shared" si="11"/>
        <v>215729.80911850321</v>
      </c>
      <c r="P161" s="165">
        <f t="shared" si="11"/>
        <v>234116.74602358637</v>
      </c>
      <c r="Q161" s="166">
        <f t="shared" si="11"/>
        <v>255963.06821879972</v>
      </c>
    </row>
    <row r="162" spans="1:17" ht="12.75" customHeight="1" x14ac:dyDescent="0.35">
      <c r="A162" s="81"/>
      <c r="B162" s="100">
        <v>353</v>
      </c>
      <c r="C162" s="160" t="s">
        <v>162</v>
      </c>
      <c r="D162" s="161">
        <v>1.6661439548376999E-3</v>
      </c>
      <c r="E162" s="161">
        <f t="shared" si="10"/>
        <v>1.6661439548376999E-3</v>
      </c>
      <c r="F162" s="162">
        <f t="shared" si="8"/>
        <v>1.6661439548376999E-3</v>
      </c>
      <c r="G162" s="162">
        <f t="shared" si="8"/>
        <v>1.6661439548376999E-3</v>
      </c>
      <c r="H162" s="162">
        <f t="shared" si="8"/>
        <v>1.6661439548376999E-3</v>
      </c>
      <c r="I162" s="162">
        <f t="shared" si="8"/>
        <v>1.6661439548376999E-3</v>
      </c>
      <c r="J162" s="163">
        <f t="shared" si="8"/>
        <v>1.6661439548376999E-3</v>
      </c>
      <c r="L162" s="164">
        <f t="shared" si="12"/>
        <v>172864.92256091526</v>
      </c>
      <c r="M162" s="165">
        <f t="shared" si="12"/>
        <v>177496.04582062457</v>
      </c>
      <c r="N162" s="165">
        <f t="shared" si="12"/>
        <v>197870.38180075446</v>
      </c>
      <c r="O162" s="165">
        <f t="shared" si="11"/>
        <v>218298.02113181926</v>
      </c>
      <c r="P162" s="165">
        <f t="shared" si="11"/>
        <v>236903.85014291538</v>
      </c>
      <c r="Q162" s="166">
        <f t="shared" si="11"/>
        <v>259010.2476023575</v>
      </c>
    </row>
    <row r="163" spans="1:17" ht="12.75" customHeight="1" x14ac:dyDescent="0.35">
      <c r="A163" s="81"/>
      <c r="B163" s="100">
        <v>1884</v>
      </c>
      <c r="C163" s="160" t="s">
        <v>163</v>
      </c>
      <c r="D163" s="161">
        <v>6.6645758193507897E-4</v>
      </c>
      <c r="E163" s="161">
        <f t="shared" si="10"/>
        <v>6.6645758193507897E-4</v>
      </c>
      <c r="F163" s="162">
        <f t="shared" si="8"/>
        <v>6.6645758193507897E-4</v>
      </c>
      <c r="G163" s="162">
        <f t="shared" si="8"/>
        <v>6.6645758193507897E-4</v>
      </c>
      <c r="H163" s="162">
        <f t="shared" si="8"/>
        <v>6.6645758193507897E-4</v>
      </c>
      <c r="I163" s="162">
        <f t="shared" si="8"/>
        <v>6.6645758193507897E-4</v>
      </c>
      <c r="J163" s="163">
        <f t="shared" si="8"/>
        <v>6.6645758193507897E-4</v>
      </c>
      <c r="L163" s="164">
        <f t="shared" si="12"/>
        <v>69145.969024366001</v>
      </c>
      <c r="M163" s="165">
        <f t="shared" si="12"/>
        <v>70998.418328249711</v>
      </c>
      <c r="N163" s="165">
        <f t="shared" si="12"/>
        <v>79148.152720301674</v>
      </c>
      <c r="O163" s="165">
        <f t="shared" si="11"/>
        <v>87319.208452727573</v>
      </c>
      <c r="P163" s="165">
        <f t="shared" si="11"/>
        <v>94761.540057165999</v>
      </c>
      <c r="Q163" s="166">
        <f t="shared" si="11"/>
        <v>103604.09904094285</v>
      </c>
    </row>
    <row r="164" spans="1:17" ht="12.75" customHeight="1" x14ac:dyDescent="0.35">
      <c r="A164" s="81"/>
      <c r="B164" s="100">
        <v>166</v>
      </c>
      <c r="C164" s="160" t="s">
        <v>164</v>
      </c>
      <c r="D164" s="161">
        <v>2.31299984318645E-3</v>
      </c>
      <c r="E164" s="161">
        <f t="shared" si="10"/>
        <v>2.31299984318645E-3</v>
      </c>
      <c r="F164" s="162">
        <f t="shared" ref="F164:J214" si="13">MAX(7700/M$10,$D164)</f>
        <v>2.31299984318645E-3</v>
      </c>
      <c r="G164" s="162">
        <f t="shared" si="13"/>
        <v>2.31299984318645E-3</v>
      </c>
      <c r="H164" s="162">
        <f t="shared" si="13"/>
        <v>2.31299984318645E-3</v>
      </c>
      <c r="I164" s="162">
        <f t="shared" si="13"/>
        <v>2.31299984318645E-3</v>
      </c>
      <c r="J164" s="163">
        <f t="shared" si="13"/>
        <v>2.31299984318645E-3</v>
      </c>
      <c r="L164" s="164">
        <f t="shared" si="12"/>
        <v>239977.18661397605</v>
      </c>
      <c r="M164" s="165">
        <f t="shared" si="12"/>
        <v>246406.27537451367</v>
      </c>
      <c r="N164" s="165">
        <f t="shared" si="12"/>
        <v>274690.647676341</v>
      </c>
      <c r="O164" s="165">
        <f t="shared" si="11"/>
        <v>303049.01757123094</v>
      </c>
      <c r="P164" s="165">
        <f t="shared" si="11"/>
        <v>328878.28608075256</v>
      </c>
      <c r="Q164" s="166">
        <f t="shared" si="11"/>
        <v>359567.16725974274</v>
      </c>
    </row>
    <row r="165" spans="1:17" ht="12.75" customHeight="1" x14ac:dyDescent="0.35">
      <c r="A165" s="81"/>
      <c r="B165" s="100">
        <v>678</v>
      </c>
      <c r="C165" s="160" t="s">
        <v>165</v>
      </c>
      <c r="D165" s="161">
        <v>5.4884742041712395E-4</v>
      </c>
      <c r="E165" s="161">
        <f t="shared" si="10"/>
        <v>5.4884742041712395E-4</v>
      </c>
      <c r="F165" s="162">
        <f t="shared" si="13"/>
        <v>5.4884742041712395E-4</v>
      </c>
      <c r="G165" s="162">
        <f t="shared" si="13"/>
        <v>5.4884742041712395E-4</v>
      </c>
      <c r="H165" s="162">
        <f t="shared" si="13"/>
        <v>5.4884742041712395E-4</v>
      </c>
      <c r="I165" s="162">
        <f t="shared" si="13"/>
        <v>5.4884742041712395E-4</v>
      </c>
      <c r="J165" s="163">
        <f t="shared" si="13"/>
        <v>5.4884742041712395E-4</v>
      </c>
      <c r="L165" s="164">
        <f t="shared" si="12"/>
        <v>56943.739196536721</v>
      </c>
      <c r="M165" s="165">
        <f t="shared" si="12"/>
        <v>58469.285682088012</v>
      </c>
      <c r="N165" s="165">
        <f t="shared" si="12"/>
        <v>65180.831652013156</v>
      </c>
      <c r="O165" s="165">
        <f t="shared" si="11"/>
        <v>71909.936372834491</v>
      </c>
      <c r="P165" s="165">
        <f t="shared" si="11"/>
        <v>78038.915341195549</v>
      </c>
      <c r="Q165" s="166">
        <f t="shared" si="11"/>
        <v>85321.022739599997</v>
      </c>
    </row>
    <row r="166" spans="1:17" ht="12.75" customHeight="1" x14ac:dyDescent="0.35">
      <c r="A166" s="81"/>
      <c r="B166" s="100">
        <v>537</v>
      </c>
      <c r="C166" s="160" t="s">
        <v>166</v>
      </c>
      <c r="D166" s="161">
        <v>2.9010506507762298E-3</v>
      </c>
      <c r="E166" s="161">
        <f t="shared" si="10"/>
        <v>2.9010506507762298E-3</v>
      </c>
      <c r="F166" s="162">
        <f t="shared" si="13"/>
        <v>2.9010506507762298E-3</v>
      </c>
      <c r="G166" s="162">
        <f t="shared" si="13"/>
        <v>2.9010506507762298E-3</v>
      </c>
      <c r="H166" s="162">
        <f t="shared" si="13"/>
        <v>2.9010506507762298E-3</v>
      </c>
      <c r="I166" s="162">
        <f t="shared" si="13"/>
        <v>2.9010506507762298E-3</v>
      </c>
      <c r="J166" s="163">
        <f t="shared" si="13"/>
        <v>2.9010506507762298E-3</v>
      </c>
      <c r="L166" s="164">
        <f t="shared" si="12"/>
        <v>300988.33575312298</v>
      </c>
      <c r="M166" s="165">
        <f t="shared" si="12"/>
        <v>309051.93860532274</v>
      </c>
      <c r="N166" s="165">
        <f t="shared" si="12"/>
        <v>344527.25301778421</v>
      </c>
      <c r="O166" s="165">
        <f t="shared" si="11"/>
        <v>380095.37797069701</v>
      </c>
      <c r="P166" s="165">
        <f t="shared" si="11"/>
        <v>412491.40966060548</v>
      </c>
      <c r="Q166" s="166">
        <f t="shared" si="11"/>
        <v>450982.54876645765</v>
      </c>
    </row>
    <row r="167" spans="1:17" ht="12.75" customHeight="1" x14ac:dyDescent="0.35">
      <c r="A167" s="81"/>
      <c r="B167" s="100">
        <v>928</v>
      </c>
      <c r="C167" s="160" t="s">
        <v>167</v>
      </c>
      <c r="D167" s="161">
        <v>4.0183471851968E-3</v>
      </c>
      <c r="E167" s="161">
        <f t="shared" si="10"/>
        <v>4.0183471851968E-3</v>
      </c>
      <c r="F167" s="162">
        <f t="shared" si="13"/>
        <v>4.0183471851968E-3</v>
      </c>
      <c r="G167" s="162">
        <f t="shared" si="13"/>
        <v>4.0183471851968E-3</v>
      </c>
      <c r="H167" s="162">
        <f t="shared" si="13"/>
        <v>4.0183471851968E-3</v>
      </c>
      <c r="I167" s="162">
        <f t="shared" si="13"/>
        <v>4.0183471851968E-3</v>
      </c>
      <c r="J167" s="163">
        <f t="shared" si="13"/>
        <v>4.0183471851968E-3</v>
      </c>
      <c r="L167" s="164">
        <f t="shared" si="12"/>
        <v>416909.51911750092</v>
      </c>
      <c r="M167" s="165">
        <f t="shared" si="12"/>
        <v>428078.69874385861</v>
      </c>
      <c r="N167" s="165">
        <f t="shared" si="12"/>
        <v>477216.8031665248</v>
      </c>
      <c r="O167" s="165">
        <f t="shared" si="11"/>
        <v>526483.46272968105</v>
      </c>
      <c r="P167" s="165">
        <f t="shared" si="11"/>
        <v>571356.3444623244</v>
      </c>
      <c r="Q167" s="166">
        <f t="shared" si="11"/>
        <v>624671.77362921427</v>
      </c>
    </row>
    <row r="168" spans="1:17" ht="12.75" customHeight="1" x14ac:dyDescent="0.35">
      <c r="A168" s="81"/>
      <c r="B168" s="100">
        <v>1598</v>
      </c>
      <c r="C168" s="160" t="s">
        <v>168</v>
      </c>
      <c r="D168" s="161">
        <v>8.6247451779833796E-4</v>
      </c>
      <c r="E168" s="161">
        <f t="shared" si="10"/>
        <v>8.6247451779833796E-4</v>
      </c>
      <c r="F168" s="162">
        <f t="shared" si="13"/>
        <v>8.6247451779833796E-4</v>
      </c>
      <c r="G168" s="162">
        <f t="shared" si="13"/>
        <v>8.6247451779833796E-4</v>
      </c>
      <c r="H168" s="162">
        <f t="shared" si="13"/>
        <v>8.6247451779833796E-4</v>
      </c>
      <c r="I168" s="162">
        <f t="shared" si="13"/>
        <v>8.6247451779833796E-4</v>
      </c>
      <c r="J168" s="163">
        <f t="shared" si="13"/>
        <v>8.6247451779833796E-4</v>
      </c>
      <c r="L168" s="164">
        <f t="shared" si="12"/>
        <v>89483.018737414881</v>
      </c>
      <c r="M168" s="165">
        <f t="shared" si="12"/>
        <v>91880.306071852625</v>
      </c>
      <c r="N168" s="165">
        <f t="shared" si="12"/>
        <v>102427.02116744929</v>
      </c>
      <c r="O168" s="165">
        <f t="shared" si="11"/>
        <v>113001.3285858828</v>
      </c>
      <c r="P168" s="165">
        <f t="shared" si="11"/>
        <v>122632.58125045018</v>
      </c>
      <c r="Q168" s="166">
        <f t="shared" si="11"/>
        <v>134075.89287651435</v>
      </c>
    </row>
    <row r="169" spans="1:17" ht="12.75" customHeight="1" x14ac:dyDescent="0.35">
      <c r="A169" s="81"/>
      <c r="B169" s="100">
        <v>542</v>
      </c>
      <c r="C169" s="160" t="s">
        <v>169</v>
      </c>
      <c r="D169" s="161">
        <v>1.1172965344205699E-3</v>
      </c>
      <c r="E169" s="161">
        <f t="shared" si="10"/>
        <v>1.1172965344205699E-3</v>
      </c>
      <c r="F169" s="162">
        <f t="shared" si="13"/>
        <v>1.1172965344205699E-3</v>
      </c>
      <c r="G169" s="162">
        <f t="shared" si="13"/>
        <v>1.1172965344205699E-3</v>
      </c>
      <c r="H169" s="162">
        <f t="shared" si="13"/>
        <v>1.1172965344205699E-3</v>
      </c>
      <c r="I169" s="162">
        <f t="shared" si="13"/>
        <v>1.1172965344205699E-3</v>
      </c>
      <c r="J169" s="163">
        <f t="shared" si="13"/>
        <v>1.1172965344205699E-3</v>
      </c>
      <c r="L169" s="164">
        <f t="shared" si="12"/>
        <v>115921.18336437791</v>
      </c>
      <c r="M169" s="165">
        <f t="shared" si="12"/>
        <v>119026.76013853592</v>
      </c>
      <c r="N169" s="165">
        <f t="shared" si="12"/>
        <v>132689.55014874059</v>
      </c>
      <c r="O169" s="165">
        <f t="shared" si="11"/>
        <v>146388.08475898398</v>
      </c>
      <c r="P169" s="165">
        <f t="shared" si="11"/>
        <v>158864.93480171895</v>
      </c>
      <c r="Q169" s="166">
        <f t="shared" si="11"/>
        <v>173689.22486275656</v>
      </c>
    </row>
    <row r="170" spans="1:17" ht="12.75" customHeight="1" x14ac:dyDescent="0.35">
      <c r="A170" s="81"/>
      <c r="B170" s="100">
        <v>1931</v>
      </c>
      <c r="C170" s="160" t="s">
        <v>170</v>
      </c>
      <c r="D170" s="161">
        <v>2.2541947624274698E-3</v>
      </c>
      <c r="E170" s="161">
        <f t="shared" si="10"/>
        <v>2.2541947624274698E-3</v>
      </c>
      <c r="F170" s="162">
        <f t="shared" si="13"/>
        <v>2.2541947624274698E-3</v>
      </c>
      <c r="G170" s="162">
        <f t="shared" si="13"/>
        <v>2.2541947624274698E-3</v>
      </c>
      <c r="H170" s="162">
        <f t="shared" si="13"/>
        <v>2.2541947624274698E-3</v>
      </c>
      <c r="I170" s="162">
        <f t="shared" si="13"/>
        <v>2.2541947624274698E-3</v>
      </c>
      <c r="J170" s="163">
        <f t="shared" si="13"/>
        <v>2.2541947624274698E-3</v>
      </c>
      <c r="L170" s="164">
        <f t="shared" si="12"/>
        <v>233876.07170006112</v>
      </c>
      <c r="M170" s="165">
        <f t="shared" si="12"/>
        <v>240141.70905143252</v>
      </c>
      <c r="N170" s="165">
        <f t="shared" si="12"/>
        <v>267706.98714219651</v>
      </c>
      <c r="O170" s="165">
        <f t="shared" si="11"/>
        <v>295344.38153128407</v>
      </c>
      <c r="P170" s="165">
        <f t="shared" si="11"/>
        <v>320516.97372276691</v>
      </c>
      <c r="Q170" s="166">
        <f t="shared" si="11"/>
        <v>350425.62910907093</v>
      </c>
    </row>
    <row r="171" spans="1:17" ht="12.75" customHeight="1" x14ac:dyDescent="0.35">
      <c r="A171" s="81"/>
      <c r="B171" s="100">
        <v>1659</v>
      </c>
      <c r="C171" s="160" t="s">
        <v>171</v>
      </c>
      <c r="D171" s="161">
        <v>7.6446604986670896E-4</v>
      </c>
      <c r="E171" s="161">
        <f t="shared" si="10"/>
        <v>7.6446604986670896E-4</v>
      </c>
      <c r="F171" s="162">
        <f t="shared" si="13"/>
        <v>7.6446604986670896E-4</v>
      </c>
      <c r="G171" s="162">
        <f t="shared" si="13"/>
        <v>7.6446604986670896E-4</v>
      </c>
      <c r="H171" s="162">
        <f t="shared" si="13"/>
        <v>7.6446604986670896E-4</v>
      </c>
      <c r="I171" s="162">
        <f t="shared" si="13"/>
        <v>7.6446604986670896E-4</v>
      </c>
      <c r="J171" s="163">
        <f t="shared" si="13"/>
        <v>7.6446604986670896E-4</v>
      </c>
      <c r="L171" s="164">
        <f t="shared" si="12"/>
        <v>79314.493880890484</v>
      </c>
      <c r="M171" s="165">
        <f t="shared" si="12"/>
        <v>81439.362200051226</v>
      </c>
      <c r="N171" s="165">
        <f t="shared" si="12"/>
        <v>90787.586943875547</v>
      </c>
      <c r="O171" s="165">
        <f t="shared" si="11"/>
        <v>100160.26851930526</v>
      </c>
      <c r="P171" s="165">
        <f t="shared" si="11"/>
        <v>108697.06065380818</v>
      </c>
      <c r="Q171" s="166">
        <f t="shared" si="11"/>
        <v>118839.99595872866</v>
      </c>
    </row>
    <row r="172" spans="1:17" ht="12.75" customHeight="1" x14ac:dyDescent="0.35">
      <c r="A172" s="81"/>
      <c r="B172" s="100">
        <v>1685</v>
      </c>
      <c r="C172" s="160" t="s">
        <v>172</v>
      </c>
      <c r="D172" s="161">
        <v>9.99686372902619E-4</v>
      </c>
      <c r="E172" s="161">
        <f t="shared" si="10"/>
        <v>9.99686372902619E-4</v>
      </c>
      <c r="F172" s="162">
        <f t="shared" si="13"/>
        <v>9.99686372902619E-4</v>
      </c>
      <c r="G172" s="162">
        <f t="shared" si="13"/>
        <v>9.99686372902619E-4</v>
      </c>
      <c r="H172" s="162">
        <f t="shared" si="13"/>
        <v>9.99686372902619E-4</v>
      </c>
      <c r="I172" s="162">
        <f t="shared" si="13"/>
        <v>9.99686372902619E-4</v>
      </c>
      <c r="J172" s="163">
        <f t="shared" si="13"/>
        <v>9.99686372902619E-4</v>
      </c>
      <c r="L172" s="164">
        <f t="shared" si="12"/>
        <v>103718.95353654906</v>
      </c>
      <c r="M172" s="165">
        <f t="shared" si="12"/>
        <v>106497.62749237464</v>
      </c>
      <c r="N172" s="165">
        <f t="shared" si="12"/>
        <v>118722.22908045257</v>
      </c>
      <c r="O172" s="165">
        <f t="shared" si="11"/>
        <v>130978.81267909144</v>
      </c>
      <c r="P172" s="165">
        <f t="shared" si="11"/>
        <v>142142.31008574908</v>
      </c>
      <c r="Q172" s="166">
        <f t="shared" si="11"/>
        <v>155406.14856141433</v>
      </c>
    </row>
    <row r="173" spans="1:17" ht="12.75" customHeight="1" x14ac:dyDescent="0.35">
      <c r="A173" s="81"/>
      <c r="B173" s="100">
        <v>882</v>
      </c>
      <c r="C173" s="160" t="s">
        <v>173</v>
      </c>
      <c r="D173" s="161">
        <v>2.0189744393915598E-3</v>
      </c>
      <c r="E173" s="161">
        <f t="shared" si="10"/>
        <v>2.0189744393915598E-3</v>
      </c>
      <c r="F173" s="162">
        <f t="shared" si="13"/>
        <v>2.0189744393915598E-3</v>
      </c>
      <c r="G173" s="162">
        <f t="shared" si="13"/>
        <v>2.0189744393915598E-3</v>
      </c>
      <c r="H173" s="162">
        <f t="shared" si="13"/>
        <v>2.0189744393915598E-3</v>
      </c>
      <c r="I173" s="162">
        <f t="shared" si="13"/>
        <v>2.0189744393915598E-3</v>
      </c>
      <c r="J173" s="163">
        <f t="shared" si="13"/>
        <v>2.0189744393915598E-3</v>
      </c>
      <c r="L173" s="164">
        <f t="shared" si="12"/>
        <v>209471.61204440257</v>
      </c>
      <c r="M173" s="165">
        <f t="shared" si="12"/>
        <v>215083.44375910913</v>
      </c>
      <c r="N173" s="165">
        <f t="shared" si="12"/>
        <v>239772.3450056194</v>
      </c>
      <c r="O173" s="165">
        <f t="shared" si="11"/>
        <v>264525.83737149788</v>
      </c>
      <c r="P173" s="165">
        <f t="shared" si="11"/>
        <v>287071.72429082595</v>
      </c>
      <c r="Q173" s="166">
        <f t="shared" si="11"/>
        <v>313859.4765063852</v>
      </c>
    </row>
    <row r="174" spans="1:17" ht="12.75" customHeight="1" x14ac:dyDescent="0.35">
      <c r="A174" s="81"/>
      <c r="B174" s="100">
        <v>415</v>
      </c>
      <c r="C174" s="160" t="s">
        <v>174</v>
      </c>
      <c r="D174" s="161">
        <v>3.92033871726517E-4</v>
      </c>
      <c r="E174" s="161">
        <f t="shared" si="10"/>
        <v>3.92033871726517E-4</v>
      </c>
      <c r="F174" s="162">
        <f t="shared" si="13"/>
        <v>3.92033871726517E-4</v>
      </c>
      <c r="G174" s="162">
        <f t="shared" si="13"/>
        <v>3.92033871726517E-4</v>
      </c>
      <c r="H174" s="162">
        <f t="shared" si="13"/>
        <v>3.92033871726517E-4</v>
      </c>
      <c r="I174" s="162">
        <f t="shared" si="13"/>
        <v>3.92033871726517E-4</v>
      </c>
      <c r="J174" s="163">
        <f t="shared" si="13"/>
        <v>3.92033871726517E-4</v>
      </c>
      <c r="L174" s="164">
        <f t="shared" si="12"/>
        <v>40674.099426097644</v>
      </c>
      <c r="M174" s="165">
        <f t="shared" si="12"/>
        <v>41763.775487205712</v>
      </c>
      <c r="N174" s="165">
        <f t="shared" si="12"/>
        <v>46557.736894295092</v>
      </c>
      <c r="O174" s="165">
        <f t="shared" si="11"/>
        <v>51364.240266310328</v>
      </c>
      <c r="P174" s="165">
        <f t="shared" si="11"/>
        <v>55742.082386568232</v>
      </c>
      <c r="Q174" s="166">
        <f t="shared" si="11"/>
        <v>60943.587671142843</v>
      </c>
    </row>
    <row r="175" spans="1:17" ht="12.75" customHeight="1" x14ac:dyDescent="0.35">
      <c r="A175" s="81"/>
      <c r="B175" s="100">
        <v>416</v>
      </c>
      <c r="C175" s="160" t="s">
        <v>175</v>
      </c>
      <c r="D175" s="161">
        <v>1.4113219382154601E-3</v>
      </c>
      <c r="E175" s="161">
        <f t="shared" si="10"/>
        <v>1.4113219382154601E-3</v>
      </c>
      <c r="F175" s="162">
        <f t="shared" si="13"/>
        <v>1.4113219382154601E-3</v>
      </c>
      <c r="G175" s="162">
        <f t="shared" si="13"/>
        <v>1.4113219382154601E-3</v>
      </c>
      <c r="H175" s="162">
        <f t="shared" si="13"/>
        <v>1.4113219382154601E-3</v>
      </c>
      <c r="I175" s="162">
        <f t="shared" si="13"/>
        <v>1.4113219382154601E-3</v>
      </c>
      <c r="J175" s="163">
        <f t="shared" si="13"/>
        <v>1.4113219382154601E-3</v>
      </c>
      <c r="L175" s="164">
        <f t="shared" si="12"/>
        <v>146426.75793395139</v>
      </c>
      <c r="M175" s="165">
        <f t="shared" si="12"/>
        <v>150349.59175394045</v>
      </c>
      <c r="N175" s="165">
        <f t="shared" si="12"/>
        <v>167607.85281946222</v>
      </c>
      <c r="O175" s="165">
        <f t="shared" si="11"/>
        <v>184911.26495871705</v>
      </c>
      <c r="P175" s="165">
        <f t="shared" si="11"/>
        <v>200671.4965916455</v>
      </c>
      <c r="Q175" s="166">
        <f t="shared" si="11"/>
        <v>219396.91561611407</v>
      </c>
    </row>
    <row r="176" spans="1:17" ht="12.75" customHeight="1" x14ac:dyDescent="0.35">
      <c r="A176" s="81"/>
      <c r="B176" s="100">
        <v>1621</v>
      </c>
      <c r="C176" s="160" t="s">
        <v>176</v>
      </c>
      <c r="D176" s="161">
        <v>1.0976948408342501E-3</v>
      </c>
      <c r="E176" s="161">
        <f t="shared" si="10"/>
        <v>1.0976948408342501E-3</v>
      </c>
      <c r="F176" s="162">
        <f t="shared" si="13"/>
        <v>1.0976948408342501E-3</v>
      </c>
      <c r="G176" s="162">
        <f t="shared" si="13"/>
        <v>1.0976948408342501E-3</v>
      </c>
      <c r="H176" s="162">
        <f t="shared" si="13"/>
        <v>1.0976948408342501E-3</v>
      </c>
      <c r="I176" s="162">
        <f t="shared" si="13"/>
        <v>1.0976948408342501E-3</v>
      </c>
      <c r="J176" s="163">
        <f t="shared" si="13"/>
        <v>1.0976948408342501E-3</v>
      </c>
      <c r="L176" s="164">
        <f t="shared" si="12"/>
        <v>113887.47839307366</v>
      </c>
      <c r="M176" s="165">
        <f t="shared" si="12"/>
        <v>116938.57136417626</v>
      </c>
      <c r="N176" s="165">
        <f t="shared" si="12"/>
        <v>130361.66330402656</v>
      </c>
      <c r="O176" s="165">
        <f t="shared" si="11"/>
        <v>143819.87274566927</v>
      </c>
      <c r="P176" s="165">
        <f t="shared" si="11"/>
        <v>156077.83068239139</v>
      </c>
      <c r="Q176" s="166">
        <f t="shared" si="11"/>
        <v>170642.04547920034</v>
      </c>
    </row>
    <row r="177" spans="1:17" ht="12.75" customHeight="1" x14ac:dyDescent="0.35">
      <c r="A177" s="81"/>
      <c r="B177" s="100">
        <v>417</v>
      </c>
      <c r="C177" s="160" t="s">
        <v>177</v>
      </c>
      <c r="D177" s="161">
        <v>1.5681354869060701E-4</v>
      </c>
      <c r="E177" s="161">
        <f t="shared" si="10"/>
        <v>1.5681354869060701E-4</v>
      </c>
      <c r="F177" s="162">
        <f t="shared" si="13"/>
        <v>1.5681354869060701E-4</v>
      </c>
      <c r="G177" s="162">
        <f t="shared" si="13"/>
        <v>1.5681354869060701E-4</v>
      </c>
      <c r="H177" s="162">
        <f t="shared" si="13"/>
        <v>1.5681354869060701E-4</v>
      </c>
      <c r="I177" s="162">
        <f t="shared" si="13"/>
        <v>1.5681354869060701E-4</v>
      </c>
      <c r="J177" s="163">
        <f t="shared" si="13"/>
        <v>1.5681354869060701E-4</v>
      </c>
      <c r="L177" s="164">
        <f t="shared" si="12"/>
        <v>16269.639770439077</v>
      </c>
      <c r="M177" s="165">
        <f t="shared" si="12"/>
        <v>16705.510194882307</v>
      </c>
      <c r="N177" s="165">
        <f t="shared" si="12"/>
        <v>18623.094757718063</v>
      </c>
      <c r="O177" s="165">
        <f t="shared" si="11"/>
        <v>20545.696106524159</v>
      </c>
      <c r="P177" s="165">
        <f t="shared" si="11"/>
        <v>22296.83295462732</v>
      </c>
      <c r="Q177" s="166">
        <f t="shared" si="11"/>
        <v>24377.435068457165</v>
      </c>
    </row>
    <row r="178" spans="1:17" ht="12.75" customHeight="1" x14ac:dyDescent="0.35">
      <c r="A178" s="81"/>
      <c r="B178" s="100">
        <v>80</v>
      </c>
      <c r="C178" s="160" t="s">
        <v>178</v>
      </c>
      <c r="D178" s="161">
        <v>7.6054571114944304E-3</v>
      </c>
      <c r="E178" s="161">
        <f t="shared" si="10"/>
        <v>7.6054571114944304E-3</v>
      </c>
      <c r="F178" s="162">
        <f t="shared" si="13"/>
        <v>7.6054571114944304E-3</v>
      </c>
      <c r="G178" s="162">
        <f t="shared" si="13"/>
        <v>7.6054571114944304E-3</v>
      </c>
      <c r="H178" s="162">
        <f t="shared" si="13"/>
        <v>7.6054571114944304E-3</v>
      </c>
      <c r="I178" s="162">
        <f t="shared" si="13"/>
        <v>7.6054571114944304E-3</v>
      </c>
      <c r="J178" s="163">
        <f t="shared" si="13"/>
        <v>7.6054571114944304E-3</v>
      </c>
      <c r="L178" s="164">
        <f t="shared" si="12"/>
        <v>789077.52886629431</v>
      </c>
      <c r="M178" s="165">
        <f t="shared" si="12"/>
        <v>810217.24445179093</v>
      </c>
      <c r="N178" s="165">
        <f t="shared" si="12"/>
        <v>903220.09574932489</v>
      </c>
      <c r="O178" s="165">
        <f t="shared" si="11"/>
        <v>996466.26116642053</v>
      </c>
      <c r="P178" s="165">
        <f t="shared" si="11"/>
        <v>1081396.3982994237</v>
      </c>
      <c r="Q178" s="166">
        <f t="shared" si="11"/>
        <v>1182305.6008201712</v>
      </c>
    </row>
    <row r="179" spans="1:17" ht="12.75" customHeight="1" x14ac:dyDescent="0.35">
      <c r="A179" s="81"/>
      <c r="B179" s="100">
        <v>546</v>
      </c>
      <c r="C179" s="160" t="s">
        <v>179</v>
      </c>
      <c r="D179" s="161">
        <v>9.9184569546808803E-3</v>
      </c>
      <c r="E179" s="161">
        <f t="shared" si="10"/>
        <v>9.9184569546808803E-3</v>
      </c>
      <c r="F179" s="162">
        <f t="shared" si="13"/>
        <v>9.9184569546808803E-3</v>
      </c>
      <c r="G179" s="162">
        <f t="shared" si="13"/>
        <v>9.9184569546808803E-3</v>
      </c>
      <c r="H179" s="162">
        <f t="shared" si="13"/>
        <v>9.9184569546808803E-3</v>
      </c>
      <c r="I179" s="162">
        <f t="shared" si="13"/>
        <v>9.9184569546808803E-3</v>
      </c>
      <c r="J179" s="163">
        <f t="shared" si="13"/>
        <v>9.9184569546808803E-3</v>
      </c>
      <c r="L179" s="164">
        <f t="shared" si="12"/>
        <v>1029054.7154802704</v>
      </c>
      <c r="M179" s="165">
        <f t="shared" si="12"/>
        <v>1056623.5198263046</v>
      </c>
      <c r="N179" s="165">
        <f t="shared" si="12"/>
        <v>1177910.7434256661</v>
      </c>
      <c r="O179" s="165">
        <f t="shared" si="11"/>
        <v>1299515.2787376514</v>
      </c>
      <c r="P179" s="165">
        <f t="shared" si="11"/>
        <v>1410274.6843801762</v>
      </c>
      <c r="Q179" s="166">
        <f t="shared" si="11"/>
        <v>1541872.7680799139</v>
      </c>
    </row>
    <row r="180" spans="1:17" ht="12.75" customHeight="1" x14ac:dyDescent="0.35">
      <c r="A180" s="81"/>
      <c r="B180" s="100">
        <v>547</v>
      </c>
      <c r="C180" s="160" t="s">
        <v>180</v>
      </c>
      <c r="D180" s="161">
        <v>1.48972871256077E-3</v>
      </c>
      <c r="E180" s="161">
        <f t="shared" si="10"/>
        <v>1.48972871256077E-3</v>
      </c>
      <c r="F180" s="162">
        <f t="shared" si="13"/>
        <v>1.48972871256077E-3</v>
      </c>
      <c r="G180" s="162">
        <f t="shared" si="13"/>
        <v>1.48972871256077E-3</v>
      </c>
      <c r="H180" s="162">
        <f t="shared" si="13"/>
        <v>1.48972871256077E-3</v>
      </c>
      <c r="I180" s="162">
        <f t="shared" si="13"/>
        <v>1.48972871256077E-3</v>
      </c>
      <c r="J180" s="163">
        <f t="shared" si="13"/>
        <v>1.48972871256077E-3</v>
      </c>
      <c r="L180" s="164">
        <f t="shared" si="12"/>
        <v>154561.57781917162</v>
      </c>
      <c r="M180" s="165">
        <f t="shared" si="12"/>
        <v>158702.34685138229</v>
      </c>
      <c r="N180" s="165">
        <f t="shared" si="12"/>
        <v>176919.40019832202</v>
      </c>
      <c r="O180" s="165">
        <f t="shared" si="11"/>
        <v>195184.11301197999</v>
      </c>
      <c r="P180" s="165">
        <f t="shared" si="11"/>
        <v>211819.91306896004</v>
      </c>
      <c r="Q180" s="166">
        <f t="shared" si="11"/>
        <v>231585.63315034364</v>
      </c>
    </row>
    <row r="181" spans="1:17" ht="12.75" customHeight="1" x14ac:dyDescent="0.35">
      <c r="A181" s="81"/>
      <c r="B181" s="100">
        <v>1916</v>
      </c>
      <c r="C181" s="160" t="s">
        <v>181</v>
      </c>
      <c r="D181" s="161">
        <v>3.4498980711933501E-3</v>
      </c>
      <c r="E181" s="161">
        <f t="shared" si="10"/>
        <v>3.4498980711933501E-3</v>
      </c>
      <c r="F181" s="162">
        <f t="shared" si="13"/>
        <v>3.4498980711933501E-3</v>
      </c>
      <c r="G181" s="162">
        <f t="shared" si="13"/>
        <v>3.4498980711933501E-3</v>
      </c>
      <c r="H181" s="162">
        <f t="shared" si="13"/>
        <v>3.4498980711933501E-3</v>
      </c>
      <c r="I181" s="162">
        <f t="shared" si="13"/>
        <v>3.4498980711933501E-3</v>
      </c>
      <c r="J181" s="163">
        <f t="shared" si="13"/>
        <v>3.4498980711933501E-3</v>
      </c>
      <c r="L181" s="164">
        <f t="shared" si="12"/>
        <v>357932.07494965935</v>
      </c>
      <c r="M181" s="165">
        <f t="shared" si="12"/>
        <v>367521.22428741032</v>
      </c>
      <c r="N181" s="165">
        <f t="shared" si="12"/>
        <v>409708.08466979692</v>
      </c>
      <c r="O181" s="165">
        <f t="shared" si="11"/>
        <v>452005.31434353098</v>
      </c>
      <c r="P181" s="165">
        <f t="shared" si="11"/>
        <v>490530.32500180049</v>
      </c>
      <c r="Q181" s="166">
        <f t="shared" si="11"/>
        <v>536303.57150605705</v>
      </c>
    </row>
    <row r="182" spans="1:17" ht="12.75" customHeight="1" x14ac:dyDescent="0.35">
      <c r="A182" s="81"/>
      <c r="B182" s="100">
        <v>995</v>
      </c>
      <c r="C182" s="160" t="s">
        <v>182</v>
      </c>
      <c r="D182" s="161">
        <v>4.7632115414771902E-3</v>
      </c>
      <c r="E182" s="161">
        <f t="shared" si="10"/>
        <v>4.7632115414771902E-3</v>
      </c>
      <c r="F182" s="162">
        <f t="shared" si="13"/>
        <v>4.7632115414771902E-3</v>
      </c>
      <c r="G182" s="162">
        <f t="shared" si="13"/>
        <v>4.7632115414771902E-3</v>
      </c>
      <c r="H182" s="162">
        <f t="shared" si="13"/>
        <v>4.7632115414771902E-3</v>
      </c>
      <c r="I182" s="162">
        <f t="shared" si="13"/>
        <v>4.7632115414771902E-3</v>
      </c>
      <c r="J182" s="163">
        <f t="shared" si="13"/>
        <v>4.7632115414771902E-3</v>
      </c>
      <c r="L182" s="164">
        <f t="shared" si="12"/>
        <v>494190.30802708725</v>
      </c>
      <c r="M182" s="165">
        <f t="shared" si="12"/>
        <v>507429.87216955033</v>
      </c>
      <c r="N182" s="165">
        <f t="shared" si="12"/>
        <v>565676.50326568645</v>
      </c>
      <c r="O182" s="165">
        <f t="shared" si="11"/>
        <v>624075.51923567173</v>
      </c>
      <c r="P182" s="165">
        <f t="shared" si="11"/>
        <v>677266.30099680531</v>
      </c>
      <c r="Q182" s="166">
        <f t="shared" si="11"/>
        <v>740464.59020438697</v>
      </c>
    </row>
    <row r="183" spans="1:17" ht="12.75" customHeight="1" x14ac:dyDescent="0.35">
      <c r="A183" s="81"/>
      <c r="B183" s="100">
        <v>1640</v>
      </c>
      <c r="C183" s="160" t="s">
        <v>183</v>
      </c>
      <c r="D183" s="161">
        <v>9.2127959855731504E-4</v>
      </c>
      <c r="E183" s="161">
        <f t="shared" si="10"/>
        <v>9.2127959855731504E-4</v>
      </c>
      <c r="F183" s="162">
        <f t="shared" si="13"/>
        <v>9.2127959855731504E-4</v>
      </c>
      <c r="G183" s="162">
        <f t="shared" si="13"/>
        <v>9.2127959855731504E-4</v>
      </c>
      <c r="H183" s="162">
        <f t="shared" si="13"/>
        <v>9.2127959855731504E-4</v>
      </c>
      <c r="I183" s="162">
        <f t="shared" si="13"/>
        <v>9.2127959855731504E-4</v>
      </c>
      <c r="J183" s="163">
        <f t="shared" si="13"/>
        <v>9.2127959855731504E-4</v>
      </c>
      <c r="L183" s="164">
        <f t="shared" si="12"/>
        <v>95584.133651329481</v>
      </c>
      <c r="M183" s="165">
        <f t="shared" si="12"/>
        <v>98144.872394933423</v>
      </c>
      <c r="N183" s="165">
        <f t="shared" si="12"/>
        <v>109410.68170159349</v>
      </c>
      <c r="O183" s="165">
        <f t="shared" si="11"/>
        <v>120705.96462582931</v>
      </c>
      <c r="P183" s="165">
        <f t="shared" si="11"/>
        <v>130993.89360843535</v>
      </c>
      <c r="Q183" s="166">
        <f t="shared" si="11"/>
        <v>143217.4310271857</v>
      </c>
    </row>
    <row r="184" spans="1:17" ht="12.75" customHeight="1" x14ac:dyDescent="0.35">
      <c r="A184" s="81"/>
      <c r="B184" s="100">
        <v>327</v>
      </c>
      <c r="C184" s="160" t="s">
        <v>184</v>
      </c>
      <c r="D184" s="161">
        <v>4.50838952485495E-4</v>
      </c>
      <c r="E184" s="161">
        <f t="shared" si="10"/>
        <v>4.50838952485495E-4</v>
      </c>
      <c r="F184" s="162">
        <f t="shared" si="13"/>
        <v>4.50838952485495E-4</v>
      </c>
      <c r="G184" s="162">
        <f t="shared" si="13"/>
        <v>4.50838952485495E-4</v>
      </c>
      <c r="H184" s="162">
        <f t="shared" si="13"/>
        <v>4.50838952485495E-4</v>
      </c>
      <c r="I184" s="162">
        <f t="shared" si="13"/>
        <v>4.50838952485495E-4</v>
      </c>
      <c r="J184" s="163">
        <f t="shared" si="13"/>
        <v>4.50838952485495E-4</v>
      </c>
      <c r="L184" s="164">
        <f t="shared" si="12"/>
        <v>46775.214340012339</v>
      </c>
      <c r="M184" s="165">
        <f t="shared" si="12"/>
        <v>48028.34181028662</v>
      </c>
      <c r="N184" s="165">
        <f t="shared" si="12"/>
        <v>53541.397428439413</v>
      </c>
      <c r="O184" s="165">
        <f t="shared" si="11"/>
        <v>59068.876306256941</v>
      </c>
      <c r="P184" s="165">
        <f t="shared" si="11"/>
        <v>64103.39474455353</v>
      </c>
      <c r="Q184" s="166">
        <f t="shared" si="11"/>
        <v>70085.125821814334</v>
      </c>
    </row>
    <row r="185" spans="1:17" ht="12.75" customHeight="1" x14ac:dyDescent="0.35">
      <c r="A185" s="81"/>
      <c r="B185" s="100">
        <v>1705</v>
      </c>
      <c r="C185" s="160" t="s">
        <v>185</v>
      </c>
      <c r="D185" s="161">
        <v>1.7445507291830001E-3</v>
      </c>
      <c r="E185" s="161">
        <f t="shared" si="10"/>
        <v>1.7445507291830001E-3</v>
      </c>
      <c r="F185" s="162">
        <f t="shared" si="13"/>
        <v>1.7445507291830001E-3</v>
      </c>
      <c r="G185" s="162">
        <f t="shared" si="13"/>
        <v>1.7445507291830001E-3</v>
      </c>
      <c r="H185" s="162">
        <f t="shared" si="13"/>
        <v>1.7445507291830001E-3</v>
      </c>
      <c r="I185" s="162">
        <f t="shared" si="13"/>
        <v>1.7445507291830001E-3</v>
      </c>
      <c r="J185" s="163">
        <f t="shared" si="13"/>
        <v>1.7445507291830001E-3</v>
      </c>
      <c r="L185" s="164">
        <f t="shared" si="12"/>
        <v>180999.74244613445</v>
      </c>
      <c r="M185" s="165">
        <f t="shared" si="12"/>
        <v>185848.80091806536</v>
      </c>
      <c r="N185" s="165">
        <f t="shared" si="12"/>
        <v>207181.92917961313</v>
      </c>
      <c r="O185" s="165">
        <f t="shared" si="11"/>
        <v>228570.86918508093</v>
      </c>
      <c r="P185" s="165">
        <f t="shared" si="11"/>
        <v>248052.26662022853</v>
      </c>
      <c r="Q185" s="166">
        <f t="shared" si="11"/>
        <v>271198.96513658558</v>
      </c>
    </row>
    <row r="186" spans="1:17" ht="12.75" customHeight="1" x14ac:dyDescent="0.35">
      <c r="A186" s="81"/>
      <c r="B186" s="100">
        <v>553</v>
      </c>
      <c r="C186" s="160" t="s">
        <v>186</v>
      </c>
      <c r="D186" s="161">
        <v>9.8008467931629309E-4</v>
      </c>
      <c r="E186" s="161">
        <f t="shared" si="10"/>
        <v>9.8008467931629309E-4</v>
      </c>
      <c r="F186" s="162">
        <f t="shared" si="13"/>
        <v>9.8008467931629309E-4</v>
      </c>
      <c r="G186" s="162">
        <f t="shared" si="13"/>
        <v>9.8008467931629309E-4</v>
      </c>
      <c r="H186" s="162">
        <f t="shared" si="13"/>
        <v>9.8008467931629309E-4</v>
      </c>
      <c r="I186" s="162">
        <f t="shared" si="13"/>
        <v>9.8008467931629309E-4</v>
      </c>
      <c r="J186" s="163">
        <f t="shared" si="13"/>
        <v>9.8008467931629309E-4</v>
      </c>
      <c r="L186" s="164">
        <f t="shared" si="12"/>
        <v>101685.24856524417</v>
      </c>
      <c r="M186" s="165">
        <f t="shared" si="12"/>
        <v>104409.43871801435</v>
      </c>
      <c r="N186" s="165">
        <f t="shared" si="12"/>
        <v>116394.34223573783</v>
      </c>
      <c r="O186" s="165">
        <f t="shared" si="11"/>
        <v>128410.60066577591</v>
      </c>
      <c r="P186" s="165">
        <f t="shared" si="11"/>
        <v>139355.20596642065</v>
      </c>
      <c r="Q186" s="166">
        <f t="shared" si="11"/>
        <v>152358.96917785722</v>
      </c>
    </row>
    <row r="187" spans="1:17" ht="12.75" customHeight="1" x14ac:dyDescent="0.35">
      <c r="A187" s="81"/>
      <c r="B187" s="100">
        <v>262</v>
      </c>
      <c r="C187" s="160" t="s">
        <v>187</v>
      </c>
      <c r="D187" s="161">
        <v>1.2153050023522001E-3</v>
      </c>
      <c r="E187" s="161">
        <f t="shared" si="10"/>
        <v>1.2153050023522001E-3</v>
      </c>
      <c r="F187" s="162">
        <f t="shared" si="13"/>
        <v>1.2153050023522001E-3</v>
      </c>
      <c r="G187" s="162">
        <f t="shared" si="13"/>
        <v>1.2153050023522001E-3</v>
      </c>
      <c r="H187" s="162">
        <f t="shared" si="13"/>
        <v>1.2153050023522001E-3</v>
      </c>
      <c r="I187" s="162">
        <f t="shared" si="13"/>
        <v>1.2153050023522001E-3</v>
      </c>
      <c r="J187" s="163">
        <f t="shared" si="13"/>
        <v>1.2153050023522001E-3</v>
      </c>
      <c r="L187" s="164">
        <f t="shared" si="12"/>
        <v>126089.70822090242</v>
      </c>
      <c r="M187" s="165">
        <f t="shared" si="12"/>
        <v>129467.70401033743</v>
      </c>
      <c r="N187" s="165">
        <f t="shared" si="12"/>
        <v>144328.98437231447</v>
      </c>
      <c r="O187" s="165">
        <f t="shared" si="11"/>
        <v>159229.14482556167</v>
      </c>
      <c r="P187" s="165">
        <f t="shared" si="11"/>
        <v>172800.45539836114</v>
      </c>
      <c r="Q187" s="166">
        <f t="shared" si="11"/>
        <v>188925.12178054242</v>
      </c>
    </row>
    <row r="188" spans="1:17" ht="12.75" customHeight="1" x14ac:dyDescent="0.35">
      <c r="A188" s="81"/>
      <c r="B188" s="100">
        <v>809</v>
      </c>
      <c r="C188" s="160" t="s">
        <v>188</v>
      </c>
      <c r="D188" s="161">
        <v>9.6048298572996697E-4</v>
      </c>
      <c r="E188" s="161">
        <f t="shared" si="10"/>
        <v>9.6048298572996697E-4</v>
      </c>
      <c r="F188" s="162">
        <f t="shared" si="13"/>
        <v>9.6048298572996697E-4</v>
      </c>
      <c r="G188" s="162">
        <f t="shared" si="13"/>
        <v>9.6048298572996697E-4</v>
      </c>
      <c r="H188" s="162">
        <f t="shared" si="13"/>
        <v>9.6048298572996697E-4</v>
      </c>
      <c r="I188" s="162">
        <f t="shared" si="13"/>
        <v>9.6048298572996697E-4</v>
      </c>
      <c r="J188" s="163">
        <f t="shared" si="13"/>
        <v>9.6048298572996697E-4</v>
      </c>
      <c r="L188" s="164">
        <f t="shared" si="12"/>
        <v>99651.543593939263</v>
      </c>
      <c r="M188" s="165">
        <f t="shared" si="12"/>
        <v>102321.24994365402</v>
      </c>
      <c r="N188" s="165">
        <f t="shared" si="12"/>
        <v>114066.45539102303</v>
      </c>
      <c r="O188" s="165">
        <f t="shared" si="11"/>
        <v>125842.38865246036</v>
      </c>
      <c r="P188" s="165">
        <f t="shared" si="11"/>
        <v>136568.10184709221</v>
      </c>
      <c r="Q188" s="166">
        <f t="shared" si="11"/>
        <v>149311.78979430001</v>
      </c>
    </row>
    <row r="189" spans="1:17" ht="12.75" customHeight="1" x14ac:dyDescent="0.35">
      <c r="A189" s="81"/>
      <c r="B189" s="100">
        <v>331</v>
      </c>
      <c r="C189" s="160" t="s">
        <v>189</v>
      </c>
      <c r="D189" s="161">
        <v>3.7243217814019098E-4</v>
      </c>
      <c r="E189" s="161">
        <f t="shared" si="10"/>
        <v>3.7243217814019098E-4</v>
      </c>
      <c r="F189" s="162">
        <f t="shared" si="13"/>
        <v>3.7243217814019098E-4</v>
      </c>
      <c r="G189" s="162">
        <f t="shared" si="13"/>
        <v>3.7243217814019098E-4</v>
      </c>
      <c r="H189" s="162">
        <f t="shared" si="13"/>
        <v>3.7243217814019098E-4</v>
      </c>
      <c r="I189" s="162">
        <f t="shared" si="13"/>
        <v>3.7243217814019098E-4</v>
      </c>
      <c r="J189" s="163">
        <f t="shared" si="13"/>
        <v>3.7243217814019098E-4</v>
      </c>
      <c r="L189" s="164">
        <f t="shared" si="12"/>
        <v>38640.394454792746</v>
      </c>
      <c r="M189" s="165">
        <f t="shared" si="12"/>
        <v>39675.586712845412</v>
      </c>
      <c r="N189" s="165">
        <f t="shared" si="12"/>
        <v>44229.850049580324</v>
      </c>
      <c r="O189" s="165">
        <f t="shared" si="11"/>
        <v>48796.028252994794</v>
      </c>
      <c r="P189" s="165">
        <f t="shared" si="11"/>
        <v>52954.978267239792</v>
      </c>
      <c r="Q189" s="166">
        <f t="shared" si="11"/>
        <v>57896.408287585677</v>
      </c>
    </row>
    <row r="190" spans="1:17" ht="12.75" customHeight="1" x14ac:dyDescent="0.35">
      <c r="A190" s="81"/>
      <c r="B190" s="100">
        <v>24</v>
      </c>
      <c r="C190" s="160" t="s">
        <v>190</v>
      </c>
      <c r="D190" s="161">
        <v>9.6048298572996697E-4</v>
      </c>
      <c r="E190" s="161">
        <f t="shared" si="10"/>
        <v>9.6048298572996697E-4</v>
      </c>
      <c r="F190" s="162">
        <f t="shared" si="13"/>
        <v>9.6048298572996697E-4</v>
      </c>
      <c r="G190" s="162">
        <f t="shared" si="13"/>
        <v>9.6048298572996697E-4</v>
      </c>
      <c r="H190" s="162">
        <f t="shared" si="13"/>
        <v>9.6048298572996697E-4</v>
      </c>
      <c r="I190" s="162">
        <f t="shared" si="13"/>
        <v>9.6048298572996697E-4</v>
      </c>
      <c r="J190" s="163">
        <f t="shared" si="13"/>
        <v>9.6048298572996697E-4</v>
      </c>
      <c r="L190" s="164">
        <f t="shared" si="12"/>
        <v>99651.543593939263</v>
      </c>
      <c r="M190" s="165">
        <f t="shared" si="12"/>
        <v>102321.24994365402</v>
      </c>
      <c r="N190" s="165">
        <f t="shared" si="12"/>
        <v>114066.45539102303</v>
      </c>
      <c r="O190" s="165">
        <f t="shared" si="11"/>
        <v>125842.38865246036</v>
      </c>
      <c r="P190" s="165">
        <f t="shared" si="11"/>
        <v>136568.10184709221</v>
      </c>
      <c r="Q190" s="166">
        <f t="shared" si="11"/>
        <v>149311.78979430001</v>
      </c>
    </row>
    <row r="191" spans="1:17" ht="12.75" customHeight="1" x14ac:dyDescent="0.35">
      <c r="A191" s="81"/>
      <c r="B191" s="100">
        <v>168</v>
      </c>
      <c r="C191" s="160" t="s">
        <v>191</v>
      </c>
      <c r="D191" s="161">
        <v>8.0366943703936002E-4</v>
      </c>
      <c r="E191" s="161">
        <f t="shared" si="10"/>
        <v>8.0366943703936002E-4</v>
      </c>
      <c r="F191" s="162">
        <f t="shared" si="13"/>
        <v>8.0366943703936002E-4</v>
      </c>
      <c r="G191" s="162">
        <f t="shared" si="13"/>
        <v>8.0366943703936002E-4</v>
      </c>
      <c r="H191" s="162">
        <f t="shared" si="13"/>
        <v>8.0366943703936002E-4</v>
      </c>
      <c r="I191" s="162">
        <f t="shared" si="13"/>
        <v>8.0366943703936002E-4</v>
      </c>
      <c r="J191" s="163">
        <f t="shared" si="13"/>
        <v>8.0366943703936002E-4</v>
      </c>
      <c r="L191" s="164">
        <f t="shared" si="12"/>
        <v>83381.903823500194</v>
      </c>
      <c r="M191" s="165">
        <f t="shared" si="12"/>
        <v>85615.739748771739</v>
      </c>
      <c r="N191" s="165">
        <f t="shared" si="12"/>
        <v>95443.360633304968</v>
      </c>
      <c r="O191" s="165">
        <f t="shared" si="11"/>
        <v>105296.6925459362</v>
      </c>
      <c r="P191" s="165">
        <f t="shared" si="11"/>
        <v>114271.2688924649</v>
      </c>
      <c r="Q191" s="166">
        <f t="shared" si="11"/>
        <v>124934.35472584284</v>
      </c>
    </row>
    <row r="192" spans="1:17" ht="12.75" customHeight="1" x14ac:dyDescent="0.35">
      <c r="A192" s="81"/>
      <c r="B192" s="100">
        <v>263</v>
      </c>
      <c r="C192" s="160" t="s">
        <v>192</v>
      </c>
      <c r="D192" s="161">
        <v>1.5289320997334201E-3</v>
      </c>
      <c r="E192" s="161">
        <f t="shared" si="10"/>
        <v>1.5289320997334201E-3</v>
      </c>
      <c r="F192" s="162">
        <f t="shared" si="13"/>
        <v>1.5289320997334201E-3</v>
      </c>
      <c r="G192" s="162">
        <f t="shared" si="13"/>
        <v>1.5289320997334201E-3</v>
      </c>
      <c r="H192" s="162">
        <f t="shared" si="13"/>
        <v>1.5289320997334201E-3</v>
      </c>
      <c r="I192" s="162">
        <f t="shared" si="13"/>
        <v>1.5289320997334201E-3</v>
      </c>
      <c r="J192" s="163">
        <f t="shared" si="13"/>
        <v>1.5289320997334201E-3</v>
      </c>
      <c r="L192" s="164">
        <f t="shared" si="12"/>
        <v>158628.9877617812</v>
      </c>
      <c r="M192" s="165">
        <f t="shared" si="12"/>
        <v>162878.72440010268</v>
      </c>
      <c r="N192" s="165">
        <f t="shared" si="12"/>
        <v>181575.17388775133</v>
      </c>
      <c r="O192" s="165">
        <f t="shared" si="11"/>
        <v>200320.53703861081</v>
      </c>
      <c r="P192" s="165">
        <f t="shared" si="11"/>
        <v>217394.12130761665</v>
      </c>
      <c r="Q192" s="166">
        <f t="shared" si="11"/>
        <v>237679.99191745766</v>
      </c>
    </row>
    <row r="193" spans="1:17" ht="12.75" customHeight="1" x14ac:dyDescent="0.35">
      <c r="A193" s="81"/>
      <c r="B193" s="100">
        <v>1641</v>
      </c>
      <c r="C193" s="160" t="s">
        <v>193</v>
      </c>
      <c r="D193" s="161">
        <v>7.0566096910773101E-4</v>
      </c>
      <c r="E193" s="161">
        <f t="shared" si="10"/>
        <v>7.0566096910773101E-4</v>
      </c>
      <c r="F193" s="162">
        <f t="shared" si="13"/>
        <v>7.0566096910773101E-4</v>
      </c>
      <c r="G193" s="162">
        <f t="shared" si="13"/>
        <v>7.0566096910773101E-4</v>
      </c>
      <c r="H193" s="162">
        <f t="shared" si="13"/>
        <v>7.0566096910773101E-4</v>
      </c>
      <c r="I193" s="162">
        <f t="shared" si="13"/>
        <v>7.0566096910773101E-4</v>
      </c>
      <c r="J193" s="163">
        <f t="shared" si="13"/>
        <v>7.0566096910773101E-4</v>
      </c>
      <c r="L193" s="164">
        <f t="shared" si="12"/>
        <v>73213.378966975797</v>
      </c>
      <c r="M193" s="165">
        <f t="shared" si="12"/>
        <v>75174.795876970325</v>
      </c>
      <c r="N193" s="165">
        <f t="shared" si="12"/>
        <v>83803.926409731226</v>
      </c>
      <c r="O193" s="165">
        <f t="shared" si="11"/>
        <v>92455.632479358654</v>
      </c>
      <c r="P193" s="165">
        <f t="shared" si="11"/>
        <v>100335.74829582288</v>
      </c>
      <c r="Q193" s="166">
        <f t="shared" si="11"/>
        <v>109698.45780805718</v>
      </c>
    </row>
    <row r="194" spans="1:17" ht="12.75" customHeight="1" x14ac:dyDescent="0.35">
      <c r="A194" s="81"/>
      <c r="B194" s="100">
        <v>556</v>
      </c>
      <c r="C194" s="160" t="s">
        <v>194</v>
      </c>
      <c r="D194" s="161">
        <v>1.78375411635565E-3</v>
      </c>
      <c r="E194" s="161">
        <f t="shared" si="10"/>
        <v>1.78375411635565E-3</v>
      </c>
      <c r="F194" s="162">
        <f t="shared" si="13"/>
        <v>1.78375411635565E-3</v>
      </c>
      <c r="G194" s="162">
        <f t="shared" si="13"/>
        <v>1.78375411635565E-3</v>
      </c>
      <c r="H194" s="162">
        <f t="shared" si="13"/>
        <v>1.78375411635565E-3</v>
      </c>
      <c r="I194" s="162">
        <f t="shared" si="13"/>
        <v>1.78375411635565E-3</v>
      </c>
      <c r="J194" s="163">
        <f t="shared" si="13"/>
        <v>1.78375411635565E-3</v>
      </c>
      <c r="L194" s="164">
        <f t="shared" si="12"/>
        <v>185067.15238874403</v>
      </c>
      <c r="M194" s="165">
        <f t="shared" si="12"/>
        <v>190025.17846678576</v>
      </c>
      <c r="N194" s="165">
        <f t="shared" si="12"/>
        <v>211837.7028690424</v>
      </c>
      <c r="O194" s="165">
        <f t="shared" si="11"/>
        <v>233707.29321171172</v>
      </c>
      <c r="P194" s="165">
        <f t="shared" si="11"/>
        <v>253626.47485888514</v>
      </c>
      <c r="Q194" s="166">
        <f t="shared" si="11"/>
        <v>277293.32390369958</v>
      </c>
    </row>
    <row r="195" spans="1:17" ht="12.75" customHeight="1" x14ac:dyDescent="0.35">
      <c r="A195" s="81"/>
      <c r="B195" s="100">
        <v>935</v>
      </c>
      <c r="C195" s="160" t="s">
        <v>195</v>
      </c>
      <c r="D195" s="161">
        <v>1.17414144582092E-2</v>
      </c>
      <c r="E195" s="161">
        <f t="shared" si="10"/>
        <v>1.17414144582092E-2</v>
      </c>
      <c r="F195" s="162">
        <f t="shared" si="13"/>
        <v>1.17414144582092E-2</v>
      </c>
      <c r="G195" s="162">
        <f t="shared" si="13"/>
        <v>1.17414144582092E-2</v>
      </c>
      <c r="H195" s="162">
        <f t="shared" si="13"/>
        <v>1.17414144582092E-2</v>
      </c>
      <c r="I195" s="162">
        <f t="shared" si="13"/>
        <v>1.17414144582092E-2</v>
      </c>
      <c r="J195" s="163">
        <f t="shared" si="13"/>
        <v>1.17414144582092E-2</v>
      </c>
      <c r="L195" s="164">
        <f t="shared" si="12"/>
        <v>1218189.277811626</v>
      </c>
      <c r="M195" s="165">
        <f t="shared" si="12"/>
        <v>1250825.0758418129</v>
      </c>
      <c r="N195" s="165">
        <f t="shared" si="12"/>
        <v>1394404.21998414</v>
      </c>
      <c r="O195" s="165">
        <f t="shared" si="11"/>
        <v>1538358.9959759966</v>
      </c>
      <c r="P195" s="165">
        <f t="shared" si="11"/>
        <v>1669475.3674777208</v>
      </c>
      <c r="Q195" s="166">
        <f t="shared" si="11"/>
        <v>1825260.4507507307</v>
      </c>
    </row>
    <row r="196" spans="1:17" ht="12.75" customHeight="1" x14ac:dyDescent="0.35">
      <c r="A196" s="81"/>
      <c r="B196" s="100">
        <v>420</v>
      </c>
      <c r="C196" s="160" t="s">
        <v>196</v>
      </c>
      <c r="D196" s="161">
        <v>2.1953896816685001E-3</v>
      </c>
      <c r="E196" s="161">
        <f t="shared" si="10"/>
        <v>2.1953896816685001E-3</v>
      </c>
      <c r="F196" s="162">
        <f t="shared" si="13"/>
        <v>2.1953896816685001E-3</v>
      </c>
      <c r="G196" s="162">
        <f t="shared" si="13"/>
        <v>2.1953896816685001E-3</v>
      </c>
      <c r="H196" s="162">
        <f t="shared" si="13"/>
        <v>2.1953896816685001E-3</v>
      </c>
      <c r="I196" s="162">
        <f t="shared" si="13"/>
        <v>2.1953896816685001E-3</v>
      </c>
      <c r="J196" s="163">
        <f t="shared" si="13"/>
        <v>2.1953896816685001E-3</v>
      </c>
      <c r="L196" s="164">
        <f t="shared" si="12"/>
        <v>227774.95678614732</v>
      </c>
      <c r="M196" s="165">
        <f t="shared" si="12"/>
        <v>233877.14272835251</v>
      </c>
      <c r="N196" s="165">
        <f t="shared" si="12"/>
        <v>260723.32660805312</v>
      </c>
      <c r="O196" s="165">
        <f t="shared" si="11"/>
        <v>287639.74549133854</v>
      </c>
      <c r="P196" s="165">
        <f t="shared" si="11"/>
        <v>312155.66136478278</v>
      </c>
      <c r="Q196" s="166">
        <f t="shared" si="11"/>
        <v>341284.09095840069</v>
      </c>
    </row>
    <row r="197" spans="1:17" ht="12.75" customHeight="1" x14ac:dyDescent="0.35">
      <c r="A197" s="81"/>
      <c r="B197" s="100">
        <v>938</v>
      </c>
      <c r="C197" s="160" t="s">
        <v>197</v>
      </c>
      <c r="D197" s="161">
        <v>9.2127959855731504E-4</v>
      </c>
      <c r="E197" s="161">
        <f t="shared" si="10"/>
        <v>9.2127959855731504E-4</v>
      </c>
      <c r="F197" s="162">
        <f t="shared" si="13"/>
        <v>9.2127959855731504E-4</v>
      </c>
      <c r="G197" s="162">
        <f t="shared" si="13"/>
        <v>9.2127959855731504E-4</v>
      </c>
      <c r="H197" s="162">
        <f t="shared" si="13"/>
        <v>9.2127959855731504E-4</v>
      </c>
      <c r="I197" s="162">
        <f t="shared" si="13"/>
        <v>9.2127959855731504E-4</v>
      </c>
      <c r="J197" s="163">
        <f t="shared" si="13"/>
        <v>9.2127959855731504E-4</v>
      </c>
      <c r="L197" s="164">
        <f t="shared" si="12"/>
        <v>95584.133651329481</v>
      </c>
      <c r="M197" s="165">
        <f t="shared" si="12"/>
        <v>98144.872394933423</v>
      </c>
      <c r="N197" s="165">
        <f t="shared" si="12"/>
        <v>109410.68170159349</v>
      </c>
      <c r="O197" s="165">
        <f t="shared" si="11"/>
        <v>120705.96462582931</v>
      </c>
      <c r="P197" s="165">
        <f t="shared" si="11"/>
        <v>130993.89360843535</v>
      </c>
      <c r="Q197" s="166">
        <f t="shared" si="11"/>
        <v>143217.4310271857</v>
      </c>
    </row>
    <row r="198" spans="1:17" ht="12.75" customHeight="1" x14ac:dyDescent="0.35">
      <c r="A198" s="81"/>
      <c r="B198" s="100">
        <v>1948</v>
      </c>
      <c r="C198" s="160" t="s">
        <v>198</v>
      </c>
      <c r="D198" s="161">
        <v>7.1154147718362898E-3</v>
      </c>
      <c r="E198" s="161">
        <f t="shared" si="10"/>
        <v>7.1154147718362898E-3</v>
      </c>
      <c r="F198" s="162">
        <f t="shared" si="13"/>
        <v>7.1154147718362898E-3</v>
      </c>
      <c r="G198" s="162">
        <f t="shared" si="13"/>
        <v>7.1154147718362898E-3</v>
      </c>
      <c r="H198" s="162">
        <f t="shared" si="13"/>
        <v>7.1154147718362898E-3</v>
      </c>
      <c r="I198" s="162">
        <f t="shared" si="13"/>
        <v>7.1154147718362898E-3</v>
      </c>
      <c r="J198" s="163">
        <f t="shared" si="13"/>
        <v>7.1154147718362898E-3</v>
      </c>
      <c r="L198" s="164">
        <f t="shared" si="12"/>
        <v>738234.90458367288</v>
      </c>
      <c r="M198" s="165">
        <f t="shared" si="12"/>
        <v>758012.52509278432</v>
      </c>
      <c r="N198" s="165">
        <f t="shared" si="12"/>
        <v>845022.92463145684</v>
      </c>
      <c r="O198" s="165">
        <f t="shared" si="11"/>
        <v>932260.96083353332</v>
      </c>
      <c r="P198" s="165">
        <f t="shared" si="11"/>
        <v>1011718.7953162143</v>
      </c>
      <c r="Q198" s="166">
        <f t="shared" si="11"/>
        <v>1106126.1162312436</v>
      </c>
    </row>
    <row r="199" spans="1:17" ht="12.75" customHeight="1" x14ac:dyDescent="0.35">
      <c r="A199" s="81"/>
      <c r="B199" s="100">
        <v>119</v>
      </c>
      <c r="C199" s="160" t="s">
        <v>199</v>
      </c>
      <c r="D199" s="161">
        <v>2.11698290732319E-3</v>
      </c>
      <c r="E199" s="161">
        <f t="shared" si="10"/>
        <v>2.11698290732319E-3</v>
      </c>
      <c r="F199" s="162">
        <f t="shared" si="13"/>
        <v>2.11698290732319E-3</v>
      </c>
      <c r="G199" s="162">
        <f t="shared" si="13"/>
        <v>2.11698290732319E-3</v>
      </c>
      <c r="H199" s="162">
        <f t="shared" si="13"/>
        <v>2.11698290732319E-3</v>
      </c>
      <c r="I199" s="162">
        <f t="shared" si="13"/>
        <v>2.11698290732319E-3</v>
      </c>
      <c r="J199" s="163">
        <f t="shared" si="13"/>
        <v>2.11698290732319E-3</v>
      </c>
      <c r="L199" s="164">
        <f t="shared" si="12"/>
        <v>219640.13690092709</v>
      </c>
      <c r="M199" s="165">
        <f t="shared" si="12"/>
        <v>225524.38763091067</v>
      </c>
      <c r="N199" s="165">
        <f t="shared" si="12"/>
        <v>251411.77922919329</v>
      </c>
      <c r="O199" s="165">
        <f t="shared" si="11"/>
        <v>277366.89743807557</v>
      </c>
      <c r="P199" s="165">
        <f t="shared" si="11"/>
        <v>301007.24488746823</v>
      </c>
      <c r="Q199" s="166">
        <f t="shared" si="11"/>
        <v>329095.37342417106</v>
      </c>
    </row>
    <row r="200" spans="1:17" ht="12.75" customHeight="1" x14ac:dyDescent="0.35">
      <c r="A200" s="81"/>
      <c r="B200" s="100">
        <v>687</v>
      </c>
      <c r="C200" s="160" t="s">
        <v>200</v>
      </c>
      <c r="D200" s="161">
        <v>2.0581778265642099E-3</v>
      </c>
      <c r="E200" s="161">
        <f t="shared" si="10"/>
        <v>2.0581778265642099E-3</v>
      </c>
      <c r="F200" s="162">
        <f t="shared" si="13"/>
        <v>2.0581778265642099E-3</v>
      </c>
      <c r="G200" s="162">
        <f t="shared" si="13"/>
        <v>2.0581778265642099E-3</v>
      </c>
      <c r="H200" s="162">
        <f t="shared" si="13"/>
        <v>2.0581778265642099E-3</v>
      </c>
      <c r="I200" s="162">
        <f t="shared" si="13"/>
        <v>2.0581778265642099E-3</v>
      </c>
      <c r="J200" s="163">
        <f t="shared" si="13"/>
        <v>2.0581778265642099E-3</v>
      </c>
      <c r="L200" s="164">
        <f t="shared" si="12"/>
        <v>213539.02198701218</v>
      </c>
      <c r="M200" s="165">
        <f t="shared" si="12"/>
        <v>219259.82130782952</v>
      </c>
      <c r="N200" s="165">
        <f t="shared" si="12"/>
        <v>244428.11869504876</v>
      </c>
      <c r="O200" s="165">
        <f t="shared" si="11"/>
        <v>269662.2613981287</v>
      </c>
      <c r="P200" s="165">
        <f t="shared" si="11"/>
        <v>292645.93252948264</v>
      </c>
      <c r="Q200" s="166">
        <f t="shared" si="11"/>
        <v>319953.83527349925</v>
      </c>
    </row>
    <row r="201" spans="1:17" ht="12.75" customHeight="1" x14ac:dyDescent="0.35">
      <c r="A201" s="81"/>
      <c r="B201" s="100">
        <v>1731</v>
      </c>
      <c r="C201" s="160" t="s">
        <v>201</v>
      </c>
      <c r="D201" s="161">
        <v>1.5289320997334201E-3</v>
      </c>
      <c r="E201" s="161">
        <f t="shared" si="10"/>
        <v>1.5289320997334201E-3</v>
      </c>
      <c r="F201" s="162">
        <f t="shared" si="13"/>
        <v>1.5289320997334201E-3</v>
      </c>
      <c r="G201" s="162">
        <f t="shared" si="13"/>
        <v>1.5289320997334201E-3</v>
      </c>
      <c r="H201" s="162">
        <f t="shared" si="13"/>
        <v>1.5289320997334201E-3</v>
      </c>
      <c r="I201" s="162">
        <f t="shared" si="13"/>
        <v>1.5289320997334201E-3</v>
      </c>
      <c r="J201" s="163">
        <f t="shared" si="13"/>
        <v>1.5289320997334201E-3</v>
      </c>
      <c r="L201" s="164">
        <f t="shared" si="12"/>
        <v>158628.9877617812</v>
      </c>
      <c r="M201" s="165">
        <f t="shared" si="12"/>
        <v>162878.72440010268</v>
      </c>
      <c r="N201" s="165">
        <f t="shared" si="12"/>
        <v>181575.17388775133</v>
      </c>
      <c r="O201" s="165">
        <f t="shared" si="11"/>
        <v>200320.53703861081</v>
      </c>
      <c r="P201" s="165">
        <f t="shared" si="11"/>
        <v>217394.12130761665</v>
      </c>
      <c r="Q201" s="166">
        <f t="shared" si="11"/>
        <v>237679.99191745766</v>
      </c>
    </row>
    <row r="202" spans="1:17" ht="12.75" customHeight="1" x14ac:dyDescent="0.35">
      <c r="A202" s="81"/>
      <c r="B202" s="100">
        <v>1842</v>
      </c>
      <c r="C202" s="160" t="s">
        <v>202</v>
      </c>
      <c r="D202" s="161">
        <v>6.4685588834875404E-4</v>
      </c>
      <c r="E202" s="161">
        <f t="shared" si="10"/>
        <v>6.4685588834875404E-4</v>
      </c>
      <c r="F202" s="162">
        <f t="shared" si="13"/>
        <v>6.4685588834875404E-4</v>
      </c>
      <c r="G202" s="162">
        <f t="shared" si="13"/>
        <v>6.4685588834875404E-4</v>
      </c>
      <c r="H202" s="162">
        <f t="shared" si="13"/>
        <v>6.4685588834875404E-4</v>
      </c>
      <c r="I202" s="162">
        <f t="shared" si="13"/>
        <v>6.4685588834875404E-4</v>
      </c>
      <c r="J202" s="163">
        <f t="shared" si="13"/>
        <v>6.4685588834875404E-4</v>
      </c>
      <c r="L202" s="164">
        <f t="shared" si="12"/>
        <v>67112.264053061212</v>
      </c>
      <c r="M202" s="165">
        <f t="shared" si="12"/>
        <v>68910.229553889541</v>
      </c>
      <c r="N202" s="165">
        <f t="shared" si="12"/>
        <v>76820.265875587036</v>
      </c>
      <c r="O202" s="165">
        <f t="shared" si="11"/>
        <v>84750.996439412178</v>
      </c>
      <c r="P202" s="165">
        <f t="shared" si="11"/>
        <v>91974.435937837727</v>
      </c>
      <c r="Q202" s="166">
        <f t="shared" si="11"/>
        <v>100556.91965738585</v>
      </c>
    </row>
    <row r="203" spans="1:17" ht="12.75" customHeight="1" x14ac:dyDescent="0.35">
      <c r="A203" s="81"/>
      <c r="B203" s="100">
        <v>1952</v>
      </c>
      <c r="C203" s="160" t="s">
        <v>203</v>
      </c>
      <c r="D203" s="161">
        <v>4.2927708954053597E-3</v>
      </c>
      <c r="E203" s="161">
        <f t="shared" ref="E203:E266" si="14">MAX(9000/L$10,$D203)</f>
        <v>4.2927708954053597E-3</v>
      </c>
      <c r="F203" s="162">
        <f t="shared" si="13"/>
        <v>4.2927708954053597E-3</v>
      </c>
      <c r="G203" s="162">
        <f t="shared" si="13"/>
        <v>4.2927708954053597E-3</v>
      </c>
      <c r="H203" s="162">
        <f t="shared" si="13"/>
        <v>4.2927708954053597E-3</v>
      </c>
      <c r="I203" s="162">
        <f t="shared" si="13"/>
        <v>4.2927708954053597E-3</v>
      </c>
      <c r="J203" s="163">
        <f t="shared" si="13"/>
        <v>4.2927708954053597E-3</v>
      </c>
      <c r="L203" s="164">
        <f t="shared" si="12"/>
        <v>445381.38871576905</v>
      </c>
      <c r="M203" s="165">
        <f t="shared" si="12"/>
        <v>457313.34158490237</v>
      </c>
      <c r="N203" s="165">
        <f t="shared" si="12"/>
        <v>509807.21899253118</v>
      </c>
      <c r="O203" s="165">
        <f t="shared" si="11"/>
        <v>562438.43091609795</v>
      </c>
      <c r="P203" s="165">
        <f t="shared" si="11"/>
        <v>610375.80213292199</v>
      </c>
      <c r="Q203" s="166">
        <f t="shared" si="11"/>
        <v>667332.28499901388</v>
      </c>
    </row>
    <row r="204" spans="1:17" ht="12.75" customHeight="1" x14ac:dyDescent="0.35">
      <c r="A204" s="81"/>
      <c r="B204" s="100">
        <v>815</v>
      </c>
      <c r="C204" s="160" t="s">
        <v>204</v>
      </c>
      <c r="D204" s="161">
        <v>1.03888976007527E-3</v>
      </c>
      <c r="E204" s="161">
        <f t="shared" si="14"/>
        <v>1.03888976007527E-3</v>
      </c>
      <c r="F204" s="162">
        <f t="shared" si="13"/>
        <v>1.03888976007527E-3</v>
      </c>
      <c r="G204" s="162">
        <f t="shared" si="13"/>
        <v>1.03888976007527E-3</v>
      </c>
      <c r="H204" s="162">
        <f t="shared" si="13"/>
        <v>1.03888976007527E-3</v>
      </c>
      <c r="I204" s="162">
        <f t="shared" si="13"/>
        <v>1.03888976007527E-3</v>
      </c>
      <c r="J204" s="163">
        <f t="shared" si="13"/>
        <v>1.03888976007527E-3</v>
      </c>
      <c r="L204" s="164">
        <f t="shared" si="12"/>
        <v>107786.36347915875</v>
      </c>
      <c r="M204" s="165">
        <f t="shared" si="12"/>
        <v>110674.00504109514</v>
      </c>
      <c r="N204" s="165">
        <f t="shared" si="12"/>
        <v>123378.002769882</v>
      </c>
      <c r="O204" s="165">
        <f t="shared" si="11"/>
        <v>136115.23670572237</v>
      </c>
      <c r="P204" s="165">
        <f t="shared" si="11"/>
        <v>147716.5183244058</v>
      </c>
      <c r="Q204" s="166">
        <f t="shared" si="11"/>
        <v>161500.50732852853</v>
      </c>
    </row>
    <row r="205" spans="1:17" ht="12.75" customHeight="1" x14ac:dyDescent="0.35">
      <c r="A205" s="81"/>
      <c r="B205" s="100">
        <v>1709</v>
      </c>
      <c r="C205" s="160" t="s">
        <v>205</v>
      </c>
      <c r="D205" s="161">
        <v>1.5289320997334201E-3</v>
      </c>
      <c r="E205" s="161">
        <f t="shared" si="14"/>
        <v>1.5289320997334201E-3</v>
      </c>
      <c r="F205" s="162">
        <f t="shared" si="13"/>
        <v>1.5289320997334201E-3</v>
      </c>
      <c r="G205" s="162">
        <f t="shared" si="13"/>
        <v>1.5289320997334201E-3</v>
      </c>
      <c r="H205" s="162">
        <f t="shared" si="13"/>
        <v>1.5289320997334201E-3</v>
      </c>
      <c r="I205" s="162">
        <f t="shared" si="13"/>
        <v>1.5289320997334201E-3</v>
      </c>
      <c r="J205" s="163">
        <f t="shared" si="13"/>
        <v>1.5289320997334201E-3</v>
      </c>
      <c r="L205" s="164">
        <f t="shared" si="12"/>
        <v>158628.9877617812</v>
      </c>
      <c r="M205" s="165">
        <f t="shared" si="12"/>
        <v>162878.72440010268</v>
      </c>
      <c r="N205" s="165">
        <f t="shared" si="12"/>
        <v>181575.17388775133</v>
      </c>
      <c r="O205" s="165">
        <f t="shared" si="11"/>
        <v>200320.53703861081</v>
      </c>
      <c r="P205" s="165">
        <f t="shared" si="11"/>
        <v>217394.12130761665</v>
      </c>
      <c r="Q205" s="166">
        <f t="shared" si="11"/>
        <v>237679.99191745766</v>
      </c>
    </row>
    <row r="206" spans="1:17" ht="12.75" customHeight="1" x14ac:dyDescent="0.35">
      <c r="A206" s="81"/>
      <c r="B206" s="100">
        <v>1978</v>
      </c>
      <c r="C206" s="160" t="s">
        <v>206</v>
      </c>
      <c r="D206" s="161">
        <v>9.99686372902619E-4</v>
      </c>
      <c r="E206" s="161">
        <f t="shared" si="14"/>
        <v>9.99686372902619E-4</v>
      </c>
      <c r="F206" s="162">
        <f t="shared" si="13"/>
        <v>9.99686372902619E-4</v>
      </c>
      <c r="G206" s="162">
        <f t="shared" si="13"/>
        <v>9.99686372902619E-4</v>
      </c>
      <c r="H206" s="162">
        <f t="shared" si="13"/>
        <v>9.99686372902619E-4</v>
      </c>
      <c r="I206" s="162">
        <f t="shared" si="13"/>
        <v>9.99686372902619E-4</v>
      </c>
      <c r="J206" s="163">
        <f t="shared" si="13"/>
        <v>9.99686372902619E-4</v>
      </c>
      <c r="L206" s="164">
        <f t="shared" si="12"/>
        <v>103718.95353654906</v>
      </c>
      <c r="M206" s="165">
        <f t="shared" si="12"/>
        <v>106497.62749237464</v>
      </c>
      <c r="N206" s="165">
        <f t="shared" si="12"/>
        <v>118722.22908045257</v>
      </c>
      <c r="O206" s="165">
        <f t="shared" si="11"/>
        <v>130978.81267909144</v>
      </c>
      <c r="P206" s="165">
        <f t="shared" si="11"/>
        <v>142142.31008574908</v>
      </c>
      <c r="Q206" s="166">
        <f t="shared" si="11"/>
        <v>155406.14856141433</v>
      </c>
    </row>
    <row r="207" spans="1:17" ht="12.75" customHeight="1" x14ac:dyDescent="0.35">
      <c r="A207" s="81"/>
      <c r="B207" s="100">
        <v>1955</v>
      </c>
      <c r="C207" s="160" t="s">
        <v>207</v>
      </c>
      <c r="D207" s="161">
        <v>2.4502116982907298E-3</v>
      </c>
      <c r="E207" s="161">
        <f t="shared" si="14"/>
        <v>2.4502116982907298E-3</v>
      </c>
      <c r="F207" s="162">
        <f t="shared" si="13"/>
        <v>2.4502116982907298E-3</v>
      </c>
      <c r="G207" s="162">
        <f t="shared" si="13"/>
        <v>2.4502116982907298E-3</v>
      </c>
      <c r="H207" s="162">
        <f t="shared" si="13"/>
        <v>2.4502116982907298E-3</v>
      </c>
      <c r="I207" s="162">
        <f t="shared" si="13"/>
        <v>2.4502116982907298E-3</v>
      </c>
      <c r="J207" s="163">
        <f t="shared" si="13"/>
        <v>2.4502116982907298E-3</v>
      </c>
      <c r="L207" s="164">
        <f t="shared" si="12"/>
        <v>254213.12141311012</v>
      </c>
      <c r="M207" s="165">
        <f t="shared" si="12"/>
        <v>261023.59679503553</v>
      </c>
      <c r="N207" s="165">
        <f t="shared" si="12"/>
        <v>290985.85558934422</v>
      </c>
      <c r="O207" s="165">
        <f t="shared" si="11"/>
        <v>321026.50166443939</v>
      </c>
      <c r="P207" s="165">
        <f t="shared" si="11"/>
        <v>348388.01491605124</v>
      </c>
      <c r="Q207" s="166">
        <f t="shared" si="11"/>
        <v>380897.42294464255</v>
      </c>
    </row>
    <row r="208" spans="1:17" ht="12.75" customHeight="1" x14ac:dyDescent="0.35">
      <c r="A208" s="81"/>
      <c r="B208" s="100">
        <v>335</v>
      </c>
      <c r="C208" s="160" t="s">
        <v>208</v>
      </c>
      <c r="D208" s="161">
        <v>3.1362709738121401E-4</v>
      </c>
      <c r="E208" s="161">
        <f t="shared" si="14"/>
        <v>3.1362709738121401E-4</v>
      </c>
      <c r="F208" s="162">
        <f t="shared" si="13"/>
        <v>3.1362709738121401E-4</v>
      </c>
      <c r="G208" s="162">
        <f t="shared" si="13"/>
        <v>3.1362709738121401E-4</v>
      </c>
      <c r="H208" s="162">
        <f t="shared" si="13"/>
        <v>3.1362709738121401E-4</v>
      </c>
      <c r="I208" s="162">
        <f t="shared" si="13"/>
        <v>3.1362709738121401E-4</v>
      </c>
      <c r="J208" s="163">
        <f t="shared" si="13"/>
        <v>3.1362709738121401E-4</v>
      </c>
      <c r="L208" s="164">
        <f t="shared" si="12"/>
        <v>32539.279540878153</v>
      </c>
      <c r="M208" s="165">
        <f t="shared" si="12"/>
        <v>33411.020389764613</v>
      </c>
      <c r="N208" s="165">
        <f t="shared" si="12"/>
        <v>37246.189515436126</v>
      </c>
      <c r="O208" s="165">
        <f t="shared" si="11"/>
        <v>41091.392213048319</v>
      </c>
      <c r="P208" s="165">
        <f t="shared" si="11"/>
        <v>44593.66590925464</v>
      </c>
      <c r="Q208" s="166">
        <f t="shared" si="11"/>
        <v>48754.870136914331</v>
      </c>
    </row>
    <row r="209" spans="1:17" ht="12.75" customHeight="1" x14ac:dyDescent="0.35">
      <c r="A209" s="81"/>
      <c r="B209" s="100">
        <v>944</v>
      </c>
      <c r="C209" s="160" t="s">
        <v>209</v>
      </c>
      <c r="D209" s="161">
        <v>3.3322879096753998E-4</v>
      </c>
      <c r="E209" s="161">
        <f t="shared" si="14"/>
        <v>3.3322879096753998E-4</v>
      </c>
      <c r="F209" s="162">
        <f t="shared" si="13"/>
        <v>3.3322879096753998E-4</v>
      </c>
      <c r="G209" s="162">
        <f t="shared" si="13"/>
        <v>3.3322879096753998E-4</v>
      </c>
      <c r="H209" s="162">
        <f t="shared" si="13"/>
        <v>3.3322879096753998E-4</v>
      </c>
      <c r="I209" s="162">
        <f t="shared" si="13"/>
        <v>3.3322879096753998E-4</v>
      </c>
      <c r="J209" s="163">
        <f t="shared" si="13"/>
        <v>3.3322879096753998E-4</v>
      </c>
      <c r="L209" s="164">
        <f t="shared" si="12"/>
        <v>34572.984512183051</v>
      </c>
      <c r="M209" s="165">
        <f t="shared" si="12"/>
        <v>35499.209164124914</v>
      </c>
      <c r="N209" s="165">
        <f t="shared" si="12"/>
        <v>39574.076360150895</v>
      </c>
      <c r="O209" s="165">
        <f t="shared" si="11"/>
        <v>43659.604226363852</v>
      </c>
      <c r="P209" s="165">
        <f t="shared" si="11"/>
        <v>47380.770028583072</v>
      </c>
      <c r="Q209" s="166">
        <f t="shared" si="11"/>
        <v>51802.049520471504</v>
      </c>
    </row>
    <row r="210" spans="1:17" ht="12.75" customHeight="1" x14ac:dyDescent="0.35">
      <c r="A210" s="81"/>
      <c r="B210" s="100">
        <v>1740</v>
      </c>
      <c r="C210" s="160" t="s">
        <v>210</v>
      </c>
      <c r="D210" s="161">
        <v>1.0584914536616E-3</v>
      </c>
      <c r="E210" s="161">
        <f t="shared" si="14"/>
        <v>1.0584914536616E-3</v>
      </c>
      <c r="F210" s="162">
        <f t="shared" si="13"/>
        <v>1.0584914536616E-3</v>
      </c>
      <c r="G210" s="162">
        <f t="shared" si="13"/>
        <v>1.0584914536616E-3</v>
      </c>
      <c r="H210" s="162">
        <f t="shared" si="13"/>
        <v>1.0584914536616E-3</v>
      </c>
      <c r="I210" s="162">
        <f t="shared" si="13"/>
        <v>1.0584914536616E-3</v>
      </c>
      <c r="J210" s="163">
        <f t="shared" si="13"/>
        <v>1.0584914536616E-3</v>
      </c>
      <c r="L210" s="164">
        <f t="shared" si="12"/>
        <v>109820.06845046405</v>
      </c>
      <c r="M210" s="165">
        <f t="shared" si="12"/>
        <v>112762.19381545586</v>
      </c>
      <c r="N210" s="165">
        <f t="shared" si="12"/>
        <v>125705.88961459724</v>
      </c>
      <c r="O210" s="165">
        <f t="shared" si="11"/>
        <v>138683.44871903842</v>
      </c>
      <c r="P210" s="165">
        <f t="shared" si="11"/>
        <v>150503.62244373481</v>
      </c>
      <c r="Q210" s="166">
        <f t="shared" si="11"/>
        <v>164547.68671208632</v>
      </c>
    </row>
    <row r="211" spans="1:17" ht="12.75" customHeight="1" x14ac:dyDescent="0.35">
      <c r="A211" s="81"/>
      <c r="B211" s="100">
        <v>946</v>
      </c>
      <c r="C211" s="160" t="s">
        <v>211</v>
      </c>
      <c r="D211" s="161">
        <v>4.7044064607182102E-4</v>
      </c>
      <c r="E211" s="161">
        <f t="shared" si="14"/>
        <v>4.7044064607182102E-4</v>
      </c>
      <c r="F211" s="162">
        <f t="shared" si="13"/>
        <v>4.7044064607182102E-4</v>
      </c>
      <c r="G211" s="162">
        <f t="shared" si="13"/>
        <v>4.7044064607182102E-4</v>
      </c>
      <c r="H211" s="162">
        <f t="shared" si="13"/>
        <v>4.7044064607182102E-4</v>
      </c>
      <c r="I211" s="162">
        <f t="shared" si="13"/>
        <v>4.7044064607182102E-4</v>
      </c>
      <c r="J211" s="163">
        <f t="shared" si="13"/>
        <v>4.7044064607182102E-4</v>
      </c>
      <c r="L211" s="164">
        <f t="shared" si="12"/>
        <v>48808.919311317237</v>
      </c>
      <c r="M211" s="165">
        <f t="shared" si="12"/>
        <v>50116.53058464692</v>
      </c>
      <c r="N211" s="165">
        <f t="shared" si="12"/>
        <v>55869.28427315419</v>
      </c>
      <c r="O211" s="165">
        <f t="shared" si="11"/>
        <v>61637.088319572482</v>
      </c>
      <c r="P211" s="165">
        <f t="shared" si="11"/>
        <v>66890.498863881963</v>
      </c>
      <c r="Q211" s="166">
        <f t="shared" si="11"/>
        <v>73132.305205371507</v>
      </c>
    </row>
    <row r="212" spans="1:17" ht="12.75" customHeight="1" x14ac:dyDescent="0.35">
      <c r="A212" s="81"/>
      <c r="B212" s="100">
        <v>356</v>
      </c>
      <c r="C212" s="160" t="s">
        <v>212</v>
      </c>
      <c r="D212" s="161">
        <v>3.17547436098479E-3</v>
      </c>
      <c r="E212" s="161">
        <f t="shared" si="14"/>
        <v>3.17547436098479E-3</v>
      </c>
      <c r="F212" s="162">
        <f t="shared" si="13"/>
        <v>3.17547436098479E-3</v>
      </c>
      <c r="G212" s="162">
        <f t="shared" si="13"/>
        <v>3.17547436098479E-3</v>
      </c>
      <c r="H212" s="162">
        <f t="shared" si="13"/>
        <v>3.17547436098479E-3</v>
      </c>
      <c r="I212" s="162">
        <f t="shared" si="13"/>
        <v>3.17547436098479E-3</v>
      </c>
      <c r="J212" s="163">
        <f t="shared" si="13"/>
        <v>3.17547436098479E-3</v>
      </c>
      <c r="L212" s="164">
        <f t="shared" si="12"/>
        <v>329460.20535139111</v>
      </c>
      <c r="M212" s="165">
        <f t="shared" si="12"/>
        <v>338286.5814463665</v>
      </c>
      <c r="N212" s="165">
        <f t="shared" si="12"/>
        <v>377117.66884379054</v>
      </c>
      <c r="O212" s="165">
        <f t="shared" si="11"/>
        <v>416050.34615711396</v>
      </c>
      <c r="P212" s="165">
        <f t="shared" si="11"/>
        <v>451510.86733120302</v>
      </c>
      <c r="Q212" s="166">
        <f t="shared" si="11"/>
        <v>493643.06013625744</v>
      </c>
    </row>
    <row r="213" spans="1:17" ht="12.75" customHeight="1" x14ac:dyDescent="0.35">
      <c r="A213" s="81"/>
      <c r="B213" s="100">
        <v>569</v>
      </c>
      <c r="C213" s="160" t="s">
        <v>213</v>
      </c>
      <c r="D213" s="161">
        <v>9.2127959855731504E-4</v>
      </c>
      <c r="E213" s="161">
        <f t="shared" si="14"/>
        <v>9.2127959855731504E-4</v>
      </c>
      <c r="F213" s="162">
        <f t="shared" si="13"/>
        <v>9.2127959855731504E-4</v>
      </c>
      <c r="G213" s="162">
        <f t="shared" si="13"/>
        <v>9.2127959855731504E-4</v>
      </c>
      <c r="H213" s="162">
        <f t="shared" si="13"/>
        <v>9.2127959855731504E-4</v>
      </c>
      <c r="I213" s="162">
        <f t="shared" si="13"/>
        <v>9.2127959855731504E-4</v>
      </c>
      <c r="J213" s="163">
        <f t="shared" si="13"/>
        <v>9.2127959855731504E-4</v>
      </c>
      <c r="L213" s="164">
        <f t="shared" si="12"/>
        <v>95584.133651329481</v>
      </c>
      <c r="M213" s="165">
        <f t="shared" si="12"/>
        <v>98144.872394933423</v>
      </c>
      <c r="N213" s="165">
        <f t="shared" si="12"/>
        <v>109410.68170159349</v>
      </c>
      <c r="O213" s="165">
        <f t="shared" si="11"/>
        <v>120705.96462582931</v>
      </c>
      <c r="P213" s="165">
        <f t="shared" si="11"/>
        <v>130993.89360843535</v>
      </c>
      <c r="Q213" s="166">
        <f t="shared" si="11"/>
        <v>143217.4310271857</v>
      </c>
    </row>
    <row r="214" spans="1:17" ht="12.75" customHeight="1" x14ac:dyDescent="0.35">
      <c r="A214" s="81"/>
      <c r="B214" s="100">
        <v>267</v>
      </c>
      <c r="C214" s="160" t="s">
        <v>214</v>
      </c>
      <c r="D214" s="161">
        <v>1.4113219382154601E-3</v>
      </c>
      <c r="E214" s="161">
        <f t="shared" si="14"/>
        <v>1.4113219382154601E-3</v>
      </c>
      <c r="F214" s="162">
        <f t="shared" si="13"/>
        <v>1.4113219382154601E-3</v>
      </c>
      <c r="G214" s="162">
        <f t="shared" si="13"/>
        <v>1.4113219382154601E-3</v>
      </c>
      <c r="H214" s="162">
        <f t="shared" si="13"/>
        <v>1.4113219382154601E-3</v>
      </c>
      <c r="I214" s="162">
        <f t="shared" si="13"/>
        <v>1.4113219382154601E-3</v>
      </c>
      <c r="J214" s="163">
        <f t="shared" si="13"/>
        <v>1.4113219382154601E-3</v>
      </c>
      <c r="L214" s="164">
        <f t="shared" si="12"/>
        <v>146426.75793395139</v>
      </c>
      <c r="M214" s="165">
        <f t="shared" si="12"/>
        <v>150349.59175394045</v>
      </c>
      <c r="N214" s="165">
        <f t="shared" si="12"/>
        <v>167607.85281946222</v>
      </c>
      <c r="O214" s="165">
        <f t="shared" si="11"/>
        <v>184911.26495871705</v>
      </c>
      <c r="P214" s="165">
        <f t="shared" si="11"/>
        <v>200671.4965916455</v>
      </c>
      <c r="Q214" s="166">
        <f t="shared" si="11"/>
        <v>219396.91561611407</v>
      </c>
    </row>
    <row r="215" spans="1:17" ht="12.75" customHeight="1" x14ac:dyDescent="0.35">
      <c r="A215" s="81"/>
      <c r="B215" s="100">
        <v>268</v>
      </c>
      <c r="C215" s="160" t="s">
        <v>215</v>
      </c>
      <c r="D215" s="161">
        <v>1.7229888662380399E-2</v>
      </c>
      <c r="E215" s="161">
        <f t="shared" si="14"/>
        <v>1.7229888662380399E-2</v>
      </c>
      <c r="F215" s="162">
        <f t="shared" ref="F215:J265" si="15">MAX(7700/M$10,$D215)</f>
        <v>1.7229888662380399E-2</v>
      </c>
      <c r="G215" s="162">
        <f t="shared" si="15"/>
        <v>1.7229888662380399E-2</v>
      </c>
      <c r="H215" s="162">
        <f t="shared" si="15"/>
        <v>1.7229888662380399E-2</v>
      </c>
      <c r="I215" s="162">
        <f t="shared" si="15"/>
        <v>1.7229888662380399E-2</v>
      </c>
      <c r="J215" s="163">
        <f t="shared" si="15"/>
        <v>1.7229888662380399E-2</v>
      </c>
      <c r="L215" s="164">
        <f t="shared" si="12"/>
        <v>1787626.6697769891</v>
      </c>
      <c r="M215" s="165">
        <f t="shared" si="12"/>
        <v>1835517.9326626884</v>
      </c>
      <c r="N215" s="165">
        <f t="shared" si="12"/>
        <v>2046212.5365042668</v>
      </c>
      <c r="O215" s="165">
        <f t="shared" si="11"/>
        <v>2257458.3597043366</v>
      </c>
      <c r="P215" s="165">
        <f t="shared" si="11"/>
        <v>2449864.5208896706</v>
      </c>
      <c r="Q215" s="166">
        <f t="shared" si="11"/>
        <v>2678470.6781467246</v>
      </c>
    </row>
    <row r="216" spans="1:17" ht="12.75" customHeight="1" x14ac:dyDescent="0.35">
      <c r="A216" s="81"/>
      <c r="B216" s="100">
        <v>1930</v>
      </c>
      <c r="C216" s="160" t="s">
        <v>216</v>
      </c>
      <c r="D216" s="161">
        <v>3.84193194291987E-3</v>
      </c>
      <c r="E216" s="161">
        <f t="shared" si="14"/>
        <v>3.84193194291987E-3</v>
      </c>
      <c r="F216" s="162">
        <f t="shared" si="15"/>
        <v>3.84193194291987E-3</v>
      </c>
      <c r="G216" s="162">
        <f t="shared" si="15"/>
        <v>3.84193194291987E-3</v>
      </c>
      <c r="H216" s="162">
        <f t="shared" si="15"/>
        <v>3.84193194291987E-3</v>
      </c>
      <c r="I216" s="162">
        <f t="shared" si="15"/>
        <v>3.84193194291987E-3</v>
      </c>
      <c r="J216" s="163">
        <f t="shared" si="15"/>
        <v>3.84193194291987E-3</v>
      </c>
      <c r="L216" s="164">
        <f t="shared" si="12"/>
        <v>398606.17437575728</v>
      </c>
      <c r="M216" s="165">
        <f t="shared" si="12"/>
        <v>409284.99977461633</v>
      </c>
      <c r="N216" s="165">
        <f t="shared" si="12"/>
        <v>456265.82156409236</v>
      </c>
      <c r="O216" s="165">
        <f t="shared" si="11"/>
        <v>503369.55460984167</v>
      </c>
      <c r="P216" s="165">
        <f t="shared" si="11"/>
        <v>546272.4073883692</v>
      </c>
      <c r="Q216" s="166">
        <f t="shared" si="11"/>
        <v>597247.1591772004</v>
      </c>
    </row>
    <row r="217" spans="1:17" ht="12.75" customHeight="1" x14ac:dyDescent="0.35">
      <c r="A217" s="81"/>
      <c r="B217" s="100">
        <v>1970</v>
      </c>
      <c r="C217" s="160" t="s">
        <v>217</v>
      </c>
      <c r="D217" s="161">
        <v>1.8425591971146301E-3</v>
      </c>
      <c r="E217" s="161">
        <f t="shared" si="14"/>
        <v>1.8425591971146301E-3</v>
      </c>
      <c r="F217" s="162">
        <f t="shared" si="15"/>
        <v>1.8425591971146301E-3</v>
      </c>
      <c r="G217" s="162">
        <f t="shared" si="15"/>
        <v>1.8425591971146301E-3</v>
      </c>
      <c r="H217" s="162">
        <f t="shared" si="15"/>
        <v>1.8425591971146301E-3</v>
      </c>
      <c r="I217" s="162">
        <f t="shared" si="15"/>
        <v>1.8425591971146301E-3</v>
      </c>
      <c r="J217" s="163">
        <f t="shared" si="15"/>
        <v>1.8425591971146301E-3</v>
      </c>
      <c r="L217" s="164">
        <f t="shared" si="12"/>
        <v>191168.26730265896</v>
      </c>
      <c r="M217" s="165">
        <f t="shared" si="12"/>
        <v>196289.74478986685</v>
      </c>
      <c r="N217" s="165">
        <f t="shared" si="12"/>
        <v>218821.36340318699</v>
      </c>
      <c r="O217" s="165">
        <f t="shared" si="11"/>
        <v>241411.92925165861</v>
      </c>
      <c r="P217" s="165">
        <f t="shared" si="11"/>
        <v>261987.7872168707</v>
      </c>
      <c r="Q217" s="166">
        <f t="shared" si="11"/>
        <v>286434.86205437139</v>
      </c>
    </row>
    <row r="218" spans="1:17" ht="12.75" customHeight="1" x14ac:dyDescent="0.35">
      <c r="A218" s="81"/>
      <c r="B218" s="100">
        <v>1695</v>
      </c>
      <c r="C218" s="160" t="s">
        <v>218</v>
      </c>
      <c r="D218" s="161">
        <v>4.50838952485495E-4</v>
      </c>
      <c r="E218" s="161">
        <f t="shared" si="14"/>
        <v>4.50838952485495E-4</v>
      </c>
      <c r="F218" s="162">
        <f t="shared" si="15"/>
        <v>4.50838952485495E-4</v>
      </c>
      <c r="G218" s="162">
        <f t="shared" si="15"/>
        <v>4.50838952485495E-4</v>
      </c>
      <c r="H218" s="162">
        <f t="shared" si="15"/>
        <v>4.50838952485495E-4</v>
      </c>
      <c r="I218" s="162">
        <f t="shared" si="15"/>
        <v>4.50838952485495E-4</v>
      </c>
      <c r="J218" s="163">
        <f t="shared" si="15"/>
        <v>4.50838952485495E-4</v>
      </c>
      <c r="L218" s="164">
        <f t="shared" si="12"/>
        <v>46775.214340012339</v>
      </c>
      <c r="M218" s="165">
        <f t="shared" si="12"/>
        <v>48028.34181028662</v>
      </c>
      <c r="N218" s="165">
        <f t="shared" si="12"/>
        <v>53541.397428439413</v>
      </c>
      <c r="O218" s="165">
        <f t="shared" si="11"/>
        <v>59068.876306256941</v>
      </c>
      <c r="P218" s="165">
        <f t="shared" si="11"/>
        <v>64103.39474455353</v>
      </c>
      <c r="Q218" s="166">
        <f t="shared" si="11"/>
        <v>70085.125821814334</v>
      </c>
    </row>
    <row r="219" spans="1:17" ht="12.75" customHeight="1" x14ac:dyDescent="0.35">
      <c r="A219" s="81"/>
      <c r="B219" s="100">
        <v>1699</v>
      </c>
      <c r="C219" s="160" t="s">
        <v>219</v>
      </c>
      <c r="D219" s="161">
        <v>1.0192880664889399E-3</v>
      </c>
      <c r="E219" s="161">
        <f t="shared" si="14"/>
        <v>1.0192880664889399E-3</v>
      </c>
      <c r="F219" s="162">
        <f t="shared" si="15"/>
        <v>1.0192880664889399E-3</v>
      </c>
      <c r="G219" s="162">
        <f t="shared" si="15"/>
        <v>1.0192880664889399E-3</v>
      </c>
      <c r="H219" s="162">
        <f t="shared" si="15"/>
        <v>1.0192880664889399E-3</v>
      </c>
      <c r="I219" s="162">
        <f t="shared" si="15"/>
        <v>1.0192880664889399E-3</v>
      </c>
      <c r="J219" s="163">
        <f t="shared" si="15"/>
        <v>1.0192880664889399E-3</v>
      </c>
      <c r="L219" s="164">
        <f t="shared" si="12"/>
        <v>105752.65850785341</v>
      </c>
      <c r="M219" s="165">
        <f t="shared" si="12"/>
        <v>108585.81626673439</v>
      </c>
      <c r="N219" s="165">
        <f t="shared" si="12"/>
        <v>121050.11592516674</v>
      </c>
      <c r="O219" s="165">
        <f t="shared" si="11"/>
        <v>133547.0246924063</v>
      </c>
      <c r="P219" s="165">
        <f t="shared" si="11"/>
        <v>144929.41420507678</v>
      </c>
      <c r="Q219" s="166">
        <f t="shared" si="11"/>
        <v>158453.32794497072</v>
      </c>
    </row>
    <row r="220" spans="1:17" ht="12.75" customHeight="1" x14ac:dyDescent="0.35">
      <c r="A220" s="81"/>
      <c r="B220" s="100">
        <v>171</v>
      </c>
      <c r="C220" s="160" t="s">
        <v>220</v>
      </c>
      <c r="D220" s="161">
        <v>1.5877371804924E-3</v>
      </c>
      <c r="E220" s="161">
        <f t="shared" si="14"/>
        <v>1.5877371804924E-3</v>
      </c>
      <c r="F220" s="162">
        <f t="shared" si="15"/>
        <v>1.5877371804924E-3</v>
      </c>
      <c r="G220" s="162">
        <f t="shared" si="15"/>
        <v>1.5877371804924E-3</v>
      </c>
      <c r="H220" s="162">
        <f t="shared" si="15"/>
        <v>1.5877371804924E-3</v>
      </c>
      <c r="I220" s="162">
        <f t="shared" si="15"/>
        <v>1.5877371804924E-3</v>
      </c>
      <c r="J220" s="163">
        <f t="shared" si="15"/>
        <v>1.5877371804924E-3</v>
      </c>
      <c r="L220" s="164">
        <f t="shared" si="12"/>
        <v>164730.10267569608</v>
      </c>
      <c r="M220" s="165">
        <f t="shared" si="12"/>
        <v>169143.29072318377</v>
      </c>
      <c r="N220" s="165">
        <f t="shared" si="12"/>
        <v>188558.83442189588</v>
      </c>
      <c r="O220" s="165">
        <f t="shared" si="11"/>
        <v>208025.17307855765</v>
      </c>
      <c r="P220" s="165">
        <f t="shared" si="11"/>
        <v>225755.43366560221</v>
      </c>
      <c r="Q220" s="166">
        <f t="shared" si="11"/>
        <v>246821.53006812948</v>
      </c>
    </row>
    <row r="221" spans="1:17" ht="12.75" customHeight="1" x14ac:dyDescent="0.35">
      <c r="A221" s="81"/>
      <c r="B221" s="100">
        <v>575</v>
      </c>
      <c r="C221" s="160" t="s">
        <v>221</v>
      </c>
      <c r="D221" s="161">
        <v>1.60733887407872E-3</v>
      </c>
      <c r="E221" s="161">
        <f t="shared" si="14"/>
        <v>1.60733887407872E-3</v>
      </c>
      <c r="F221" s="162">
        <f t="shared" si="15"/>
        <v>1.60733887407872E-3</v>
      </c>
      <c r="G221" s="162">
        <f t="shared" si="15"/>
        <v>1.60733887407872E-3</v>
      </c>
      <c r="H221" s="162">
        <f t="shared" si="15"/>
        <v>1.60733887407872E-3</v>
      </c>
      <c r="I221" s="162">
        <f t="shared" si="15"/>
        <v>1.60733887407872E-3</v>
      </c>
      <c r="J221" s="163">
        <f t="shared" si="15"/>
        <v>1.60733887407872E-3</v>
      </c>
      <c r="L221" s="164">
        <f t="shared" si="12"/>
        <v>166763.80764700039</v>
      </c>
      <c r="M221" s="165">
        <f t="shared" si="12"/>
        <v>171231.47949754348</v>
      </c>
      <c r="N221" s="165">
        <f t="shared" si="12"/>
        <v>190886.72126660994</v>
      </c>
      <c r="O221" s="165">
        <f t="shared" si="11"/>
        <v>210593.38509187239</v>
      </c>
      <c r="P221" s="165">
        <f t="shared" si="11"/>
        <v>228542.53778492979</v>
      </c>
      <c r="Q221" s="166">
        <f t="shared" si="11"/>
        <v>249868.70945168569</v>
      </c>
    </row>
    <row r="222" spans="1:17" ht="12.75" customHeight="1" x14ac:dyDescent="0.35">
      <c r="A222" s="81"/>
      <c r="B222" s="100">
        <v>820</v>
      </c>
      <c r="C222" s="160" t="s">
        <v>222</v>
      </c>
      <c r="D222" s="161">
        <v>1.03888976007527E-3</v>
      </c>
      <c r="E222" s="161">
        <f t="shared" si="14"/>
        <v>1.03888976007527E-3</v>
      </c>
      <c r="F222" s="162">
        <f t="shared" si="15"/>
        <v>1.03888976007527E-3</v>
      </c>
      <c r="G222" s="162">
        <f t="shared" si="15"/>
        <v>1.03888976007527E-3</v>
      </c>
      <c r="H222" s="162">
        <f t="shared" si="15"/>
        <v>1.03888976007527E-3</v>
      </c>
      <c r="I222" s="162">
        <f t="shared" si="15"/>
        <v>1.03888976007527E-3</v>
      </c>
      <c r="J222" s="163">
        <f t="shared" si="15"/>
        <v>1.03888976007527E-3</v>
      </c>
      <c r="L222" s="164">
        <f t="shared" si="12"/>
        <v>107786.36347915875</v>
      </c>
      <c r="M222" s="165">
        <f t="shared" si="12"/>
        <v>110674.00504109514</v>
      </c>
      <c r="N222" s="165">
        <f t="shared" si="12"/>
        <v>123378.002769882</v>
      </c>
      <c r="O222" s="165">
        <f t="shared" si="11"/>
        <v>136115.23670572237</v>
      </c>
      <c r="P222" s="165">
        <f t="shared" si="11"/>
        <v>147716.5183244058</v>
      </c>
      <c r="Q222" s="166">
        <f t="shared" si="11"/>
        <v>161500.50732852853</v>
      </c>
    </row>
    <row r="223" spans="1:17" ht="12.75" customHeight="1" x14ac:dyDescent="0.35">
      <c r="A223" s="81"/>
      <c r="B223" s="100">
        <v>302</v>
      </c>
      <c r="C223" s="160" t="s">
        <v>223</v>
      </c>
      <c r="D223" s="161">
        <v>1.5681354869060699E-3</v>
      </c>
      <c r="E223" s="161">
        <f t="shared" si="14"/>
        <v>1.5681354869060699E-3</v>
      </c>
      <c r="F223" s="162">
        <f t="shared" si="15"/>
        <v>1.5681354869060699E-3</v>
      </c>
      <c r="G223" s="162">
        <f t="shared" si="15"/>
        <v>1.5681354869060699E-3</v>
      </c>
      <c r="H223" s="162">
        <f t="shared" si="15"/>
        <v>1.5681354869060699E-3</v>
      </c>
      <c r="I223" s="162">
        <f t="shared" si="15"/>
        <v>1.5681354869060699E-3</v>
      </c>
      <c r="J223" s="163">
        <f t="shared" si="15"/>
        <v>1.5681354869060699E-3</v>
      </c>
      <c r="L223" s="164">
        <f t="shared" si="12"/>
        <v>162696.39770439078</v>
      </c>
      <c r="M223" s="165">
        <f t="shared" si="12"/>
        <v>167055.10194882305</v>
      </c>
      <c r="N223" s="165">
        <f t="shared" si="12"/>
        <v>186230.9475771806</v>
      </c>
      <c r="O223" s="165">
        <f t="shared" si="11"/>
        <v>205456.96106524157</v>
      </c>
      <c r="P223" s="165">
        <f t="shared" si="11"/>
        <v>222968.32954627319</v>
      </c>
      <c r="Q223" s="166">
        <f t="shared" si="11"/>
        <v>243774.35068457169</v>
      </c>
    </row>
    <row r="224" spans="1:17" ht="12.75" customHeight="1" x14ac:dyDescent="0.35">
      <c r="A224" s="81"/>
      <c r="B224" s="100">
        <v>579</v>
      </c>
      <c r="C224" s="160" t="s">
        <v>224</v>
      </c>
      <c r="D224" s="161">
        <v>6.6645758193507897E-4</v>
      </c>
      <c r="E224" s="161">
        <f t="shared" si="14"/>
        <v>6.6645758193507897E-4</v>
      </c>
      <c r="F224" s="162">
        <f t="shared" si="15"/>
        <v>6.6645758193507897E-4</v>
      </c>
      <c r="G224" s="162">
        <f t="shared" si="15"/>
        <v>6.6645758193507897E-4</v>
      </c>
      <c r="H224" s="162">
        <f t="shared" si="15"/>
        <v>6.6645758193507897E-4</v>
      </c>
      <c r="I224" s="162">
        <f t="shared" si="15"/>
        <v>6.6645758193507897E-4</v>
      </c>
      <c r="J224" s="163">
        <f t="shared" si="15"/>
        <v>6.6645758193507897E-4</v>
      </c>
      <c r="L224" s="164">
        <f t="shared" si="12"/>
        <v>69145.969024366001</v>
      </c>
      <c r="M224" s="165">
        <f t="shared" si="12"/>
        <v>70998.418328249711</v>
      </c>
      <c r="N224" s="165">
        <f t="shared" si="12"/>
        <v>79148.152720301674</v>
      </c>
      <c r="O224" s="165">
        <f t="shared" si="12"/>
        <v>87319.208452727573</v>
      </c>
      <c r="P224" s="165">
        <f t="shared" si="12"/>
        <v>94761.540057165999</v>
      </c>
      <c r="Q224" s="166">
        <f t="shared" si="12"/>
        <v>103604.09904094285</v>
      </c>
    </row>
    <row r="225" spans="1:17" ht="12.75" customHeight="1" x14ac:dyDescent="0.35">
      <c r="A225" s="81"/>
      <c r="B225" s="100">
        <v>823</v>
      </c>
      <c r="C225" s="160" t="s">
        <v>225</v>
      </c>
      <c r="D225" s="161">
        <v>6.6645758193507897E-4</v>
      </c>
      <c r="E225" s="161">
        <f t="shared" si="14"/>
        <v>6.6645758193507897E-4</v>
      </c>
      <c r="F225" s="162">
        <f t="shared" si="15"/>
        <v>6.6645758193507897E-4</v>
      </c>
      <c r="G225" s="162">
        <f t="shared" si="15"/>
        <v>6.6645758193507897E-4</v>
      </c>
      <c r="H225" s="162">
        <f t="shared" si="15"/>
        <v>6.6645758193507897E-4</v>
      </c>
      <c r="I225" s="162">
        <f t="shared" si="15"/>
        <v>6.6645758193507897E-4</v>
      </c>
      <c r="J225" s="163">
        <f t="shared" si="15"/>
        <v>6.6645758193507897E-4</v>
      </c>
      <c r="L225" s="164">
        <f t="shared" ref="L225:Q267" si="16">E225/E$10*L$10</f>
        <v>69145.969024366001</v>
      </c>
      <c r="M225" s="165">
        <f t="shared" si="16"/>
        <v>70998.418328249711</v>
      </c>
      <c r="N225" s="165">
        <f t="shared" si="16"/>
        <v>79148.152720301674</v>
      </c>
      <c r="O225" s="165">
        <f t="shared" si="16"/>
        <v>87319.208452727573</v>
      </c>
      <c r="P225" s="165">
        <f t="shared" si="16"/>
        <v>94761.540057165999</v>
      </c>
      <c r="Q225" s="166">
        <f t="shared" si="16"/>
        <v>103604.09904094285</v>
      </c>
    </row>
    <row r="226" spans="1:17" ht="12.75" customHeight="1" x14ac:dyDescent="0.35">
      <c r="A226" s="81"/>
      <c r="B226" s="100">
        <v>824</v>
      </c>
      <c r="C226" s="160" t="s">
        <v>226</v>
      </c>
      <c r="D226" s="161">
        <v>1.37211855104281E-3</v>
      </c>
      <c r="E226" s="161">
        <f t="shared" si="14"/>
        <v>1.37211855104281E-3</v>
      </c>
      <c r="F226" s="162">
        <f t="shared" si="15"/>
        <v>1.37211855104281E-3</v>
      </c>
      <c r="G226" s="162">
        <f t="shared" si="15"/>
        <v>1.37211855104281E-3</v>
      </c>
      <c r="H226" s="162">
        <f t="shared" si="15"/>
        <v>1.37211855104281E-3</v>
      </c>
      <c r="I226" s="162">
        <f t="shared" si="15"/>
        <v>1.37211855104281E-3</v>
      </c>
      <c r="J226" s="163">
        <f t="shared" si="15"/>
        <v>1.37211855104281E-3</v>
      </c>
      <c r="L226" s="164">
        <f t="shared" si="16"/>
        <v>142359.34799134181</v>
      </c>
      <c r="M226" s="165">
        <f t="shared" si="16"/>
        <v>146173.21420522005</v>
      </c>
      <c r="N226" s="165">
        <f t="shared" si="16"/>
        <v>162952.07913003291</v>
      </c>
      <c r="O226" s="165">
        <f t="shared" si="16"/>
        <v>179774.84093208623</v>
      </c>
      <c r="P226" s="165">
        <f t="shared" si="16"/>
        <v>195097.28835298886</v>
      </c>
      <c r="Q226" s="166">
        <f t="shared" si="16"/>
        <v>213302.55684900002</v>
      </c>
    </row>
    <row r="227" spans="1:17" ht="12.75" customHeight="1" x14ac:dyDescent="0.35">
      <c r="A227" s="81"/>
      <c r="B227" s="100">
        <v>1895</v>
      </c>
      <c r="C227" s="160" t="s">
        <v>227</v>
      </c>
      <c r="D227" s="161">
        <v>3.39109299043437E-3</v>
      </c>
      <c r="E227" s="161">
        <f t="shared" si="14"/>
        <v>3.39109299043437E-3</v>
      </c>
      <c r="F227" s="162">
        <f t="shared" si="15"/>
        <v>3.39109299043437E-3</v>
      </c>
      <c r="G227" s="162">
        <f t="shared" si="15"/>
        <v>3.39109299043437E-3</v>
      </c>
      <c r="H227" s="162">
        <f t="shared" si="15"/>
        <v>3.39109299043437E-3</v>
      </c>
      <c r="I227" s="162">
        <f t="shared" si="15"/>
        <v>3.39109299043437E-3</v>
      </c>
      <c r="J227" s="163">
        <f t="shared" si="15"/>
        <v>3.39109299043437E-3</v>
      </c>
      <c r="L227" s="164">
        <f t="shared" si="16"/>
        <v>351830.96003574441</v>
      </c>
      <c r="M227" s="165">
        <f t="shared" si="16"/>
        <v>361256.65796432918</v>
      </c>
      <c r="N227" s="165">
        <f t="shared" si="16"/>
        <v>402724.42413565237</v>
      </c>
      <c r="O227" s="165">
        <f t="shared" si="16"/>
        <v>444300.67830358411</v>
      </c>
      <c r="P227" s="165">
        <f t="shared" si="16"/>
        <v>482169.0126438149</v>
      </c>
      <c r="Q227" s="166">
        <f t="shared" si="16"/>
        <v>527162.0333553853</v>
      </c>
    </row>
    <row r="228" spans="1:17" ht="12.75" customHeight="1" x14ac:dyDescent="0.35">
      <c r="A228" s="81"/>
      <c r="B228" s="100">
        <v>269</v>
      </c>
      <c r="C228" s="160" t="s">
        <v>228</v>
      </c>
      <c r="D228" s="161">
        <v>1.1368982280068999E-3</v>
      </c>
      <c r="E228" s="161">
        <f t="shared" si="14"/>
        <v>1.1368982280068999E-3</v>
      </c>
      <c r="F228" s="162">
        <f t="shared" si="15"/>
        <v>1.1368982280068999E-3</v>
      </c>
      <c r="G228" s="162">
        <f t="shared" si="15"/>
        <v>1.1368982280068999E-3</v>
      </c>
      <c r="H228" s="162">
        <f t="shared" si="15"/>
        <v>1.1368982280068999E-3</v>
      </c>
      <c r="I228" s="162">
        <f t="shared" si="15"/>
        <v>1.1368982280068999E-3</v>
      </c>
      <c r="J228" s="163">
        <f t="shared" si="15"/>
        <v>1.1368982280068999E-3</v>
      </c>
      <c r="L228" s="164">
        <f t="shared" si="16"/>
        <v>117954.88833568322</v>
      </c>
      <c r="M228" s="165">
        <f t="shared" si="16"/>
        <v>121114.94891289664</v>
      </c>
      <c r="N228" s="165">
        <f t="shared" si="16"/>
        <v>135017.43699345586</v>
      </c>
      <c r="O228" s="165">
        <f t="shared" si="16"/>
        <v>148956.29677230006</v>
      </c>
      <c r="P228" s="165">
        <f t="shared" si="16"/>
        <v>161652.03892104796</v>
      </c>
      <c r="Q228" s="166">
        <f t="shared" si="16"/>
        <v>176736.40424631434</v>
      </c>
    </row>
    <row r="229" spans="1:17" ht="12.75" customHeight="1" x14ac:dyDescent="0.35">
      <c r="A229" s="81"/>
      <c r="B229" s="100">
        <v>173</v>
      </c>
      <c r="C229" s="160" t="s">
        <v>229</v>
      </c>
      <c r="D229" s="161">
        <v>1.9993727458052402E-3</v>
      </c>
      <c r="E229" s="161">
        <f t="shared" si="14"/>
        <v>1.9993727458052402E-3</v>
      </c>
      <c r="F229" s="162">
        <f t="shared" si="15"/>
        <v>1.9993727458052402E-3</v>
      </c>
      <c r="G229" s="162">
        <f t="shared" si="15"/>
        <v>1.9993727458052402E-3</v>
      </c>
      <c r="H229" s="162">
        <f t="shared" si="15"/>
        <v>1.9993727458052402E-3</v>
      </c>
      <c r="I229" s="162">
        <f t="shared" si="15"/>
        <v>1.9993727458052402E-3</v>
      </c>
      <c r="J229" s="163">
        <f t="shared" si="15"/>
        <v>1.9993727458052402E-3</v>
      </c>
      <c r="L229" s="164">
        <f t="shared" si="16"/>
        <v>207437.90707309832</v>
      </c>
      <c r="M229" s="165">
        <f t="shared" si="16"/>
        <v>212995.25498474951</v>
      </c>
      <c r="N229" s="165">
        <f t="shared" si="16"/>
        <v>237444.4581609054</v>
      </c>
      <c r="O229" s="165">
        <f t="shared" si="16"/>
        <v>261957.62535818314</v>
      </c>
      <c r="P229" s="165">
        <f t="shared" si="16"/>
        <v>284284.62017149845</v>
      </c>
      <c r="Q229" s="166">
        <f t="shared" si="16"/>
        <v>310812.29712282901</v>
      </c>
    </row>
    <row r="230" spans="1:17" ht="12.75" customHeight="1" x14ac:dyDescent="0.35">
      <c r="A230" s="81"/>
      <c r="B230" s="100">
        <v>1773</v>
      </c>
      <c r="C230" s="160" t="s">
        <v>230</v>
      </c>
      <c r="D230" s="161">
        <v>7.6446604986670896E-4</v>
      </c>
      <c r="E230" s="161">
        <f t="shared" si="14"/>
        <v>7.6446604986670896E-4</v>
      </c>
      <c r="F230" s="162">
        <f t="shared" si="15"/>
        <v>7.6446604986670896E-4</v>
      </c>
      <c r="G230" s="162">
        <f t="shared" si="15"/>
        <v>7.6446604986670896E-4</v>
      </c>
      <c r="H230" s="162">
        <f t="shared" si="15"/>
        <v>7.6446604986670896E-4</v>
      </c>
      <c r="I230" s="162">
        <f t="shared" si="15"/>
        <v>7.6446604986670896E-4</v>
      </c>
      <c r="J230" s="163">
        <f t="shared" si="15"/>
        <v>7.6446604986670896E-4</v>
      </c>
      <c r="L230" s="164">
        <f t="shared" si="16"/>
        <v>79314.493880890484</v>
      </c>
      <c r="M230" s="165">
        <f t="shared" si="16"/>
        <v>81439.362200051226</v>
      </c>
      <c r="N230" s="165">
        <f t="shared" si="16"/>
        <v>90787.586943875547</v>
      </c>
      <c r="O230" s="165">
        <f t="shared" si="16"/>
        <v>100160.26851930526</v>
      </c>
      <c r="P230" s="165">
        <f t="shared" si="16"/>
        <v>108697.06065380818</v>
      </c>
      <c r="Q230" s="166">
        <f t="shared" si="16"/>
        <v>118839.99595872866</v>
      </c>
    </row>
    <row r="231" spans="1:17" ht="12.75" customHeight="1" x14ac:dyDescent="0.35">
      <c r="A231" s="81"/>
      <c r="B231" s="100">
        <v>175</v>
      </c>
      <c r="C231" s="160" t="s">
        <v>231</v>
      </c>
      <c r="D231" s="161">
        <v>9.4088129214364095E-4</v>
      </c>
      <c r="E231" s="161">
        <f t="shared" si="14"/>
        <v>9.4088129214364095E-4</v>
      </c>
      <c r="F231" s="162">
        <f t="shared" si="15"/>
        <v>9.4088129214364095E-4</v>
      </c>
      <c r="G231" s="162">
        <f t="shared" si="15"/>
        <v>9.4088129214364095E-4</v>
      </c>
      <c r="H231" s="162">
        <f t="shared" si="15"/>
        <v>9.4088129214364095E-4</v>
      </c>
      <c r="I231" s="162">
        <f t="shared" si="15"/>
        <v>9.4088129214364095E-4</v>
      </c>
      <c r="J231" s="163">
        <f t="shared" si="15"/>
        <v>9.4088129214364095E-4</v>
      </c>
      <c r="L231" s="164">
        <f t="shared" si="16"/>
        <v>97617.838622634357</v>
      </c>
      <c r="M231" s="165">
        <f t="shared" si="16"/>
        <v>100233.06116929372</v>
      </c>
      <c r="N231" s="165">
        <f t="shared" si="16"/>
        <v>111738.56854630825</v>
      </c>
      <c r="O231" s="165">
        <f t="shared" si="16"/>
        <v>123274.17663914483</v>
      </c>
      <c r="P231" s="165">
        <f t="shared" si="16"/>
        <v>133780.99772776378</v>
      </c>
      <c r="Q231" s="166">
        <f t="shared" si="16"/>
        <v>146264.61041074284</v>
      </c>
    </row>
    <row r="232" spans="1:17" ht="12.75" customHeight="1" x14ac:dyDescent="0.35">
      <c r="A232" s="81"/>
      <c r="B232" s="100">
        <v>1586</v>
      </c>
      <c r="C232" s="160" t="s">
        <v>232</v>
      </c>
      <c r="D232" s="161">
        <v>1.1957033087658801E-3</v>
      </c>
      <c r="E232" s="161">
        <f t="shared" si="14"/>
        <v>1.1957033087658801E-3</v>
      </c>
      <c r="F232" s="162">
        <f t="shared" si="15"/>
        <v>1.1957033087658801E-3</v>
      </c>
      <c r="G232" s="162">
        <f t="shared" si="15"/>
        <v>1.1957033087658801E-3</v>
      </c>
      <c r="H232" s="162">
        <f t="shared" si="15"/>
        <v>1.1957033087658801E-3</v>
      </c>
      <c r="I232" s="162">
        <f t="shared" si="15"/>
        <v>1.1957033087658801E-3</v>
      </c>
      <c r="J232" s="163">
        <f t="shared" si="15"/>
        <v>1.1957033087658801E-3</v>
      </c>
      <c r="L232" s="164">
        <f t="shared" si="16"/>
        <v>124056.00324959813</v>
      </c>
      <c r="M232" s="165">
        <f t="shared" si="16"/>
        <v>127379.51523597777</v>
      </c>
      <c r="N232" s="165">
        <f t="shared" si="16"/>
        <v>142001.09752760042</v>
      </c>
      <c r="O232" s="165">
        <f t="shared" si="16"/>
        <v>156660.93281224696</v>
      </c>
      <c r="P232" s="165">
        <f t="shared" si="16"/>
        <v>170013.35127903355</v>
      </c>
      <c r="Q232" s="166">
        <f t="shared" si="16"/>
        <v>185877.94239698615</v>
      </c>
    </row>
    <row r="233" spans="1:17" ht="12.75" customHeight="1" x14ac:dyDescent="0.35">
      <c r="A233" s="81"/>
      <c r="B233" s="100">
        <v>826</v>
      </c>
      <c r="C233" s="160" t="s">
        <v>233</v>
      </c>
      <c r="D233" s="161">
        <v>4.2339658146463904E-3</v>
      </c>
      <c r="E233" s="161">
        <f t="shared" si="14"/>
        <v>4.2339658146463904E-3</v>
      </c>
      <c r="F233" s="162">
        <f t="shared" si="15"/>
        <v>4.2339658146463904E-3</v>
      </c>
      <c r="G233" s="162">
        <f t="shared" si="15"/>
        <v>4.2339658146463904E-3</v>
      </c>
      <c r="H233" s="162">
        <f t="shared" si="15"/>
        <v>4.2339658146463904E-3</v>
      </c>
      <c r="I233" s="162">
        <f t="shared" si="15"/>
        <v>4.2339658146463904E-3</v>
      </c>
      <c r="J233" s="163">
        <f t="shared" si="15"/>
        <v>4.2339658146463904E-3</v>
      </c>
      <c r="L233" s="164">
        <f t="shared" si="16"/>
        <v>439280.27380185522</v>
      </c>
      <c r="M233" s="165">
        <f t="shared" si="16"/>
        <v>451048.77526182245</v>
      </c>
      <c r="N233" s="165">
        <f t="shared" si="16"/>
        <v>502823.55845838785</v>
      </c>
      <c r="O233" s="165">
        <f t="shared" si="16"/>
        <v>554733.79487615253</v>
      </c>
      <c r="P233" s="165">
        <f t="shared" si="16"/>
        <v>602014.48977493786</v>
      </c>
      <c r="Q233" s="166">
        <f t="shared" si="16"/>
        <v>658190.74684834376</v>
      </c>
    </row>
    <row r="234" spans="1:17" ht="12.75" customHeight="1" x14ac:dyDescent="0.35">
      <c r="A234" s="81"/>
      <c r="B234" s="100">
        <v>85</v>
      </c>
      <c r="C234" s="160" t="s">
        <v>234</v>
      </c>
      <c r="D234" s="161">
        <v>1.07809314724792E-3</v>
      </c>
      <c r="E234" s="161">
        <f t="shared" si="14"/>
        <v>1.07809314724792E-3</v>
      </c>
      <c r="F234" s="162">
        <f t="shared" si="15"/>
        <v>1.07809314724792E-3</v>
      </c>
      <c r="G234" s="162">
        <f t="shared" si="15"/>
        <v>1.07809314724792E-3</v>
      </c>
      <c r="H234" s="162">
        <f t="shared" si="15"/>
        <v>1.07809314724792E-3</v>
      </c>
      <c r="I234" s="162">
        <f t="shared" si="15"/>
        <v>1.07809314724792E-3</v>
      </c>
      <c r="J234" s="163">
        <f t="shared" si="15"/>
        <v>1.07809314724792E-3</v>
      </c>
      <c r="L234" s="164">
        <f t="shared" si="16"/>
        <v>111853.77342176833</v>
      </c>
      <c r="M234" s="165">
        <f t="shared" si="16"/>
        <v>114850.38258981552</v>
      </c>
      <c r="N234" s="165">
        <f t="shared" si="16"/>
        <v>128033.77645931132</v>
      </c>
      <c r="O234" s="165">
        <f t="shared" si="16"/>
        <v>141251.66073235319</v>
      </c>
      <c r="P234" s="165">
        <f t="shared" si="16"/>
        <v>153290.7265630624</v>
      </c>
      <c r="Q234" s="166">
        <f t="shared" si="16"/>
        <v>167594.86609564256</v>
      </c>
    </row>
    <row r="235" spans="1:17" ht="12.75" customHeight="1" x14ac:dyDescent="0.35">
      <c r="A235" s="81"/>
      <c r="B235" s="100">
        <v>431</v>
      </c>
      <c r="C235" s="160" t="s">
        <v>235</v>
      </c>
      <c r="D235" s="161">
        <v>2.3522032303590999E-4</v>
      </c>
      <c r="E235" s="161">
        <f t="shared" si="14"/>
        <v>2.3522032303590999E-4</v>
      </c>
      <c r="F235" s="162">
        <f t="shared" si="15"/>
        <v>2.3522032303590999E-4</v>
      </c>
      <c r="G235" s="162">
        <f t="shared" si="15"/>
        <v>2.3522032303590999E-4</v>
      </c>
      <c r="H235" s="162">
        <f t="shared" si="15"/>
        <v>2.3522032303590999E-4</v>
      </c>
      <c r="I235" s="162">
        <f t="shared" si="15"/>
        <v>2.3522032303590999E-4</v>
      </c>
      <c r="J235" s="163">
        <f t="shared" si="15"/>
        <v>2.3522032303590999E-4</v>
      </c>
      <c r="L235" s="164">
        <f t="shared" si="16"/>
        <v>24404.459655658564</v>
      </c>
      <c r="M235" s="165">
        <f t="shared" si="16"/>
        <v>25058.265292323405</v>
      </c>
      <c r="N235" s="165">
        <f t="shared" si="16"/>
        <v>27934.642136577037</v>
      </c>
      <c r="O235" s="165">
        <f t="shared" si="16"/>
        <v>30818.544159786175</v>
      </c>
      <c r="P235" s="165">
        <f t="shared" si="16"/>
        <v>33445.249431940909</v>
      </c>
      <c r="Q235" s="166">
        <f t="shared" si="16"/>
        <v>36566.152602685674</v>
      </c>
    </row>
    <row r="236" spans="1:17" ht="12.75" customHeight="1" x14ac:dyDescent="0.35">
      <c r="A236" s="81"/>
      <c r="B236" s="100">
        <v>432</v>
      </c>
      <c r="C236" s="160" t="s">
        <v>236</v>
      </c>
      <c r="D236" s="161">
        <v>5.2924572683079804E-4</v>
      </c>
      <c r="E236" s="161">
        <f t="shared" si="14"/>
        <v>5.2924572683079804E-4</v>
      </c>
      <c r="F236" s="162">
        <f t="shared" si="15"/>
        <v>5.2924572683079804E-4</v>
      </c>
      <c r="G236" s="162">
        <f t="shared" si="15"/>
        <v>5.2924572683079804E-4</v>
      </c>
      <c r="H236" s="162">
        <f t="shared" si="15"/>
        <v>5.2924572683079804E-4</v>
      </c>
      <c r="I236" s="162">
        <f t="shared" si="15"/>
        <v>5.2924572683079804E-4</v>
      </c>
      <c r="J236" s="163">
        <f t="shared" si="15"/>
        <v>5.2924572683079804E-4</v>
      </c>
      <c r="L236" s="164">
        <f t="shared" si="16"/>
        <v>54910.034225231822</v>
      </c>
      <c r="M236" s="165">
        <f t="shared" si="16"/>
        <v>56381.096907727726</v>
      </c>
      <c r="N236" s="165">
        <f t="shared" si="16"/>
        <v>62852.944807298387</v>
      </c>
      <c r="O236" s="165">
        <f t="shared" si="16"/>
        <v>69341.724359518965</v>
      </c>
      <c r="P236" s="165">
        <f t="shared" si="16"/>
        <v>75251.81122186713</v>
      </c>
      <c r="Q236" s="166">
        <f t="shared" si="16"/>
        <v>82273.843356042853</v>
      </c>
    </row>
    <row r="237" spans="1:17" ht="12.75" customHeight="1" x14ac:dyDescent="0.35">
      <c r="A237" s="81"/>
      <c r="B237" s="100">
        <v>86</v>
      </c>
      <c r="C237" s="160" t="s">
        <v>237</v>
      </c>
      <c r="D237" s="161">
        <v>1.3329151638701599E-3</v>
      </c>
      <c r="E237" s="161">
        <f t="shared" si="14"/>
        <v>1.3329151638701599E-3</v>
      </c>
      <c r="F237" s="162">
        <f t="shared" si="15"/>
        <v>1.3329151638701599E-3</v>
      </c>
      <c r="G237" s="162">
        <f t="shared" si="15"/>
        <v>1.3329151638701599E-3</v>
      </c>
      <c r="H237" s="162">
        <f t="shared" si="15"/>
        <v>1.3329151638701599E-3</v>
      </c>
      <c r="I237" s="162">
        <f t="shared" si="15"/>
        <v>1.3329151638701599E-3</v>
      </c>
      <c r="J237" s="163">
        <f t="shared" si="15"/>
        <v>1.3329151638701599E-3</v>
      </c>
      <c r="L237" s="164">
        <f t="shared" si="16"/>
        <v>138291.93804873221</v>
      </c>
      <c r="M237" s="165">
        <f t="shared" si="16"/>
        <v>141996.83665649965</v>
      </c>
      <c r="N237" s="165">
        <f t="shared" si="16"/>
        <v>158296.30544060358</v>
      </c>
      <c r="O237" s="165">
        <f t="shared" si="16"/>
        <v>174638.41690545541</v>
      </c>
      <c r="P237" s="165">
        <f t="shared" si="16"/>
        <v>189523.08011433229</v>
      </c>
      <c r="Q237" s="166">
        <f t="shared" si="16"/>
        <v>207208.19808188602</v>
      </c>
    </row>
    <row r="238" spans="1:17" ht="12.75" customHeight="1" x14ac:dyDescent="0.35">
      <c r="A238" s="81"/>
      <c r="B238" s="100">
        <v>828</v>
      </c>
      <c r="C238" s="160" t="s">
        <v>238</v>
      </c>
      <c r="D238" s="161">
        <v>1.42700329308452E-2</v>
      </c>
      <c r="E238" s="161">
        <f t="shared" si="14"/>
        <v>1.42700329308452E-2</v>
      </c>
      <c r="F238" s="162">
        <f t="shared" si="15"/>
        <v>1.42700329308452E-2</v>
      </c>
      <c r="G238" s="162">
        <f t="shared" si="15"/>
        <v>1.42700329308452E-2</v>
      </c>
      <c r="H238" s="162">
        <f t="shared" si="15"/>
        <v>1.42700329308452E-2</v>
      </c>
      <c r="I238" s="162">
        <f t="shared" si="15"/>
        <v>1.42700329308452E-2</v>
      </c>
      <c r="J238" s="163">
        <f t="shared" si="15"/>
        <v>1.42700329308452E-2</v>
      </c>
      <c r="L238" s="164">
        <f t="shared" si="16"/>
        <v>1480537.2191099522</v>
      </c>
      <c r="M238" s="165">
        <f t="shared" si="16"/>
        <v>1520201.4277342861</v>
      </c>
      <c r="N238" s="165">
        <f t="shared" si="16"/>
        <v>1694701.6229523392</v>
      </c>
      <c r="O238" s="165">
        <f t="shared" si="16"/>
        <v>1869658.3456936937</v>
      </c>
      <c r="P238" s="165">
        <f t="shared" si="16"/>
        <v>2029011.7988710811</v>
      </c>
      <c r="Q238" s="166">
        <f t="shared" si="16"/>
        <v>2218346.5912295966</v>
      </c>
    </row>
    <row r="239" spans="1:17" ht="12.75" customHeight="1" x14ac:dyDescent="0.35">
      <c r="A239" s="81"/>
      <c r="B239" s="100">
        <v>1509</v>
      </c>
      <c r="C239" s="160" t="s">
        <v>239</v>
      </c>
      <c r="D239" s="161">
        <v>2.56782185980869E-3</v>
      </c>
      <c r="E239" s="161">
        <f t="shared" si="14"/>
        <v>2.56782185980869E-3</v>
      </c>
      <c r="F239" s="162">
        <f t="shared" si="15"/>
        <v>2.56782185980869E-3</v>
      </c>
      <c r="G239" s="162">
        <f t="shared" si="15"/>
        <v>2.56782185980869E-3</v>
      </c>
      <c r="H239" s="162">
        <f t="shared" si="15"/>
        <v>2.56782185980869E-3</v>
      </c>
      <c r="I239" s="162">
        <f t="shared" si="15"/>
        <v>2.56782185980869E-3</v>
      </c>
      <c r="J239" s="163">
        <f t="shared" si="15"/>
        <v>2.56782185980869E-3</v>
      </c>
      <c r="L239" s="164">
        <f t="shared" si="16"/>
        <v>266415.35124093993</v>
      </c>
      <c r="M239" s="165">
        <f t="shared" si="16"/>
        <v>273552.72944119782</v>
      </c>
      <c r="N239" s="165">
        <f t="shared" si="16"/>
        <v>304953.17665763333</v>
      </c>
      <c r="O239" s="165">
        <f t="shared" si="16"/>
        <v>336435.77374433313</v>
      </c>
      <c r="P239" s="165">
        <f t="shared" si="16"/>
        <v>365110.63963202247</v>
      </c>
      <c r="Q239" s="166">
        <f t="shared" si="16"/>
        <v>399180.49924598617</v>
      </c>
    </row>
    <row r="240" spans="1:17" ht="12.75" customHeight="1" x14ac:dyDescent="0.35">
      <c r="A240" s="81"/>
      <c r="B240" s="100">
        <v>437</v>
      </c>
      <c r="C240" s="160" t="s">
        <v>240</v>
      </c>
      <c r="D240" s="161">
        <v>2.5482201662223601E-4</v>
      </c>
      <c r="E240" s="161">
        <f t="shared" si="14"/>
        <v>2.5482201662223601E-4</v>
      </c>
      <c r="F240" s="162">
        <f t="shared" si="15"/>
        <v>2.5482201662223601E-4</v>
      </c>
      <c r="G240" s="162">
        <f t="shared" si="15"/>
        <v>2.5482201662223601E-4</v>
      </c>
      <c r="H240" s="162">
        <f t="shared" si="15"/>
        <v>2.5482201662223601E-4</v>
      </c>
      <c r="I240" s="162">
        <f t="shared" si="15"/>
        <v>2.5482201662223601E-4</v>
      </c>
      <c r="J240" s="163">
        <f t="shared" si="15"/>
        <v>2.5482201662223601E-4</v>
      </c>
      <c r="L240" s="164">
        <f t="shared" si="16"/>
        <v>26438.164626963462</v>
      </c>
      <c r="M240" s="165">
        <f t="shared" si="16"/>
        <v>27146.454066683706</v>
      </c>
      <c r="N240" s="165">
        <f t="shared" si="16"/>
        <v>30262.528981291805</v>
      </c>
      <c r="O240" s="165">
        <f t="shared" si="16"/>
        <v>33386.756173101712</v>
      </c>
      <c r="P240" s="165">
        <f t="shared" si="16"/>
        <v>36232.353551269342</v>
      </c>
      <c r="Q240" s="166">
        <f t="shared" si="16"/>
        <v>39613.33198624284</v>
      </c>
    </row>
    <row r="241" spans="1:17" ht="12.75" customHeight="1" x14ac:dyDescent="0.35">
      <c r="A241" s="81"/>
      <c r="B241" s="100">
        <v>589</v>
      </c>
      <c r="C241" s="160" t="s">
        <v>241</v>
      </c>
      <c r="D241" s="161">
        <v>1.17610161517955E-4</v>
      </c>
      <c r="E241" s="161">
        <f t="shared" si="14"/>
        <v>1.17610161517955E-4</v>
      </c>
      <c r="F241" s="162">
        <f t="shared" si="15"/>
        <v>1.17610161517955E-4</v>
      </c>
      <c r="G241" s="162">
        <f t="shared" si="15"/>
        <v>1.17610161517955E-4</v>
      </c>
      <c r="H241" s="162">
        <f t="shared" si="15"/>
        <v>1.17610161517955E-4</v>
      </c>
      <c r="I241" s="162">
        <f t="shared" si="15"/>
        <v>1.17610161517955E-4</v>
      </c>
      <c r="J241" s="163">
        <f t="shared" si="15"/>
        <v>1.17610161517955E-4</v>
      </c>
      <c r="L241" s="164">
        <f t="shared" si="16"/>
        <v>12202.229827829282</v>
      </c>
      <c r="M241" s="165">
        <f t="shared" si="16"/>
        <v>12529.132646161703</v>
      </c>
      <c r="N241" s="165">
        <f t="shared" si="16"/>
        <v>13967.321068288518</v>
      </c>
      <c r="O241" s="165">
        <f t="shared" si="16"/>
        <v>15409.272079893088</v>
      </c>
      <c r="P241" s="165">
        <f t="shared" si="16"/>
        <v>16722.624715970454</v>
      </c>
      <c r="Q241" s="166">
        <f t="shared" si="16"/>
        <v>18283.076301342837</v>
      </c>
    </row>
    <row r="242" spans="1:17" ht="12.75" customHeight="1" x14ac:dyDescent="0.35">
      <c r="A242" s="81"/>
      <c r="B242" s="100">
        <v>1734</v>
      </c>
      <c r="C242" s="160" t="s">
        <v>242</v>
      </c>
      <c r="D242" s="161">
        <v>2.7246354084992899E-3</v>
      </c>
      <c r="E242" s="161">
        <f t="shared" si="14"/>
        <v>2.7246354084992899E-3</v>
      </c>
      <c r="F242" s="162">
        <f t="shared" si="15"/>
        <v>2.7246354084992899E-3</v>
      </c>
      <c r="G242" s="162">
        <f t="shared" si="15"/>
        <v>2.7246354084992899E-3</v>
      </c>
      <c r="H242" s="162">
        <f t="shared" si="15"/>
        <v>2.7246354084992899E-3</v>
      </c>
      <c r="I242" s="162">
        <f t="shared" si="15"/>
        <v>2.7246354084992899E-3</v>
      </c>
      <c r="J242" s="163">
        <f t="shared" si="15"/>
        <v>2.7246354084992899E-3</v>
      </c>
      <c r="L242" s="164">
        <f t="shared" si="16"/>
        <v>282684.99101137824</v>
      </c>
      <c r="M242" s="165">
        <f t="shared" si="16"/>
        <v>290258.23963607935</v>
      </c>
      <c r="N242" s="165">
        <f t="shared" si="16"/>
        <v>323576.27141535055</v>
      </c>
      <c r="O242" s="165">
        <f t="shared" si="16"/>
        <v>356981.4698508564</v>
      </c>
      <c r="P242" s="165">
        <f t="shared" si="16"/>
        <v>387407.47258664871</v>
      </c>
      <c r="Q242" s="166">
        <f t="shared" si="16"/>
        <v>423557.93431444222</v>
      </c>
    </row>
    <row r="243" spans="1:17" ht="12.75" customHeight="1" x14ac:dyDescent="0.35">
      <c r="A243" s="81"/>
      <c r="B243" s="100">
        <v>590</v>
      </c>
      <c r="C243" s="160" t="s">
        <v>243</v>
      </c>
      <c r="D243" s="161">
        <v>1.3329151638701599E-3</v>
      </c>
      <c r="E243" s="161">
        <f t="shared" si="14"/>
        <v>1.3329151638701599E-3</v>
      </c>
      <c r="F243" s="162">
        <f t="shared" si="15"/>
        <v>1.3329151638701599E-3</v>
      </c>
      <c r="G243" s="162">
        <f t="shared" si="15"/>
        <v>1.3329151638701599E-3</v>
      </c>
      <c r="H243" s="162">
        <f t="shared" si="15"/>
        <v>1.3329151638701599E-3</v>
      </c>
      <c r="I243" s="162">
        <f t="shared" si="15"/>
        <v>1.3329151638701599E-3</v>
      </c>
      <c r="J243" s="163">
        <f t="shared" si="15"/>
        <v>1.3329151638701599E-3</v>
      </c>
      <c r="L243" s="164">
        <f t="shared" si="16"/>
        <v>138291.93804873221</v>
      </c>
      <c r="M243" s="165">
        <f t="shared" si="16"/>
        <v>141996.83665649965</v>
      </c>
      <c r="N243" s="165">
        <f t="shared" si="16"/>
        <v>158296.30544060358</v>
      </c>
      <c r="O243" s="165">
        <f t="shared" si="16"/>
        <v>174638.41690545541</v>
      </c>
      <c r="P243" s="165">
        <f t="shared" si="16"/>
        <v>189523.08011433229</v>
      </c>
      <c r="Q243" s="166">
        <f t="shared" si="16"/>
        <v>207208.19808188602</v>
      </c>
    </row>
    <row r="244" spans="1:17" ht="12.75" customHeight="1" x14ac:dyDescent="0.35">
      <c r="A244" s="81"/>
      <c r="B244" s="100">
        <v>1894</v>
      </c>
      <c r="C244" s="160" t="s">
        <v>244</v>
      </c>
      <c r="D244" s="161">
        <v>1.5681354869060699E-3</v>
      </c>
      <c r="E244" s="161">
        <f t="shared" si="14"/>
        <v>1.5681354869060699E-3</v>
      </c>
      <c r="F244" s="162">
        <f t="shared" si="15"/>
        <v>1.5681354869060699E-3</v>
      </c>
      <c r="G244" s="162">
        <f t="shared" si="15"/>
        <v>1.5681354869060699E-3</v>
      </c>
      <c r="H244" s="162">
        <f t="shared" si="15"/>
        <v>1.5681354869060699E-3</v>
      </c>
      <c r="I244" s="162">
        <f t="shared" si="15"/>
        <v>1.5681354869060699E-3</v>
      </c>
      <c r="J244" s="163">
        <f t="shared" si="15"/>
        <v>1.5681354869060699E-3</v>
      </c>
      <c r="L244" s="164">
        <f t="shared" si="16"/>
        <v>162696.39770439078</v>
      </c>
      <c r="M244" s="165">
        <f t="shared" si="16"/>
        <v>167055.10194882305</v>
      </c>
      <c r="N244" s="165">
        <f t="shared" si="16"/>
        <v>186230.9475771806</v>
      </c>
      <c r="O244" s="165">
        <f t="shared" si="16"/>
        <v>205456.96106524157</v>
      </c>
      <c r="P244" s="165">
        <f t="shared" si="16"/>
        <v>222968.32954627319</v>
      </c>
      <c r="Q244" s="166">
        <f t="shared" si="16"/>
        <v>243774.35068457169</v>
      </c>
    </row>
    <row r="245" spans="1:17" ht="12.75" customHeight="1" x14ac:dyDescent="0.35">
      <c r="A245" s="81"/>
      <c r="B245" s="100">
        <v>765</v>
      </c>
      <c r="C245" s="160" t="s">
        <v>245</v>
      </c>
      <c r="D245" s="161">
        <v>1.2545083895248599E-3</v>
      </c>
      <c r="E245" s="161">
        <f t="shared" si="14"/>
        <v>1.2545083895248599E-3</v>
      </c>
      <c r="F245" s="162">
        <f t="shared" si="15"/>
        <v>1.2545083895248599E-3</v>
      </c>
      <c r="G245" s="162">
        <f t="shared" si="15"/>
        <v>1.2545083895248599E-3</v>
      </c>
      <c r="H245" s="162">
        <f t="shared" si="15"/>
        <v>1.2545083895248599E-3</v>
      </c>
      <c r="I245" s="162">
        <f t="shared" si="15"/>
        <v>1.2545083895248599E-3</v>
      </c>
      <c r="J245" s="163">
        <f t="shared" si="15"/>
        <v>1.2545083895248599E-3</v>
      </c>
      <c r="L245" s="164">
        <f t="shared" si="16"/>
        <v>130157.11816351302</v>
      </c>
      <c r="M245" s="165">
        <f t="shared" si="16"/>
        <v>133644.08155905886</v>
      </c>
      <c r="N245" s="165">
        <f t="shared" si="16"/>
        <v>148984.75806174497</v>
      </c>
      <c r="O245" s="165">
        <f t="shared" si="16"/>
        <v>164365.56885219377</v>
      </c>
      <c r="P245" s="165">
        <f t="shared" si="16"/>
        <v>178374.66363701911</v>
      </c>
      <c r="Q245" s="166">
        <f t="shared" si="16"/>
        <v>195019.48054765793</v>
      </c>
    </row>
    <row r="246" spans="1:17" ht="12.75" customHeight="1" x14ac:dyDescent="0.35">
      <c r="A246" s="81"/>
      <c r="B246" s="100">
        <v>1926</v>
      </c>
      <c r="C246" s="160" t="s">
        <v>246</v>
      </c>
      <c r="D246" s="161">
        <v>1.5093304061470901E-3</v>
      </c>
      <c r="E246" s="161">
        <f t="shared" si="14"/>
        <v>1.5093304061470901E-3</v>
      </c>
      <c r="F246" s="162">
        <f t="shared" si="15"/>
        <v>1.5093304061470901E-3</v>
      </c>
      <c r="G246" s="162">
        <f t="shared" si="15"/>
        <v>1.5093304061470901E-3</v>
      </c>
      <c r="H246" s="162">
        <f t="shared" si="15"/>
        <v>1.5093304061470901E-3</v>
      </c>
      <c r="I246" s="162">
        <f t="shared" si="15"/>
        <v>1.5093304061470901E-3</v>
      </c>
      <c r="J246" s="163">
        <f t="shared" si="15"/>
        <v>1.5093304061470901E-3</v>
      </c>
      <c r="L246" s="164">
        <f t="shared" si="16"/>
        <v>156595.28279047587</v>
      </c>
      <c r="M246" s="165">
        <f t="shared" si="16"/>
        <v>160790.53562574193</v>
      </c>
      <c r="N246" s="165">
        <f t="shared" si="16"/>
        <v>179247.28704303608</v>
      </c>
      <c r="O246" s="165">
        <f t="shared" si="16"/>
        <v>197752.32502529473</v>
      </c>
      <c r="P246" s="165">
        <f t="shared" si="16"/>
        <v>214607.01718828763</v>
      </c>
      <c r="Q246" s="166">
        <f t="shared" si="16"/>
        <v>234632.81253389991</v>
      </c>
    </row>
    <row r="247" spans="1:17" ht="12.75" customHeight="1" x14ac:dyDescent="0.35">
      <c r="A247" s="81"/>
      <c r="B247" s="100">
        <v>439</v>
      </c>
      <c r="C247" s="160" t="s">
        <v>247</v>
      </c>
      <c r="D247" s="161">
        <v>5.9981182374157097E-3</v>
      </c>
      <c r="E247" s="161">
        <f t="shared" si="14"/>
        <v>5.9981182374157097E-3</v>
      </c>
      <c r="F247" s="162">
        <f t="shared" si="15"/>
        <v>5.9981182374157097E-3</v>
      </c>
      <c r="G247" s="162">
        <f t="shared" si="15"/>
        <v>5.9981182374157097E-3</v>
      </c>
      <c r="H247" s="162">
        <f t="shared" si="15"/>
        <v>5.9981182374157097E-3</v>
      </c>
      <c r="I247" s="162">
        <f t="shared" si="15"/>
        <v>5.9981182374157097E-3</v>
      </c>
      <c r="J247" s="163">
        <f t="shared" si="15"/>
        <v>5.9981182374157097E-3</v>
      </c>
      <c r="L247" s="164">
        <f t="shared" si="16"/>
        <v>622313.72121929389</v>
      </c>
      <c r="M247" s="165">
        <f t="shared" si="16"/>
        <v>638985.7649542474</v>
      </c>
      <c r="N247" s="165">
        <f t="shared" si="16"/>
        <v>712333.37448271492</v>
      </c>
      <c r="O247" s="165">
        <f t="shared" si="16"/>
        <v>785872.87607454811</v>
      </c>
      <c r="P247" s="165">
        <f t="shared" si="16"/>
        <v>852853.86051449378</v>
      </c>
      <c r="Q247" s="166">
        <f t="shared" si="16"/>
        <v>932436.89136848552</v>
      </c>
    </row>
    <row r="248" spans="1:17" ht="12.75" customHeight="1" x14ac:dyDescent="0.35">
      <c r="A248" s="81"/>
      <c r="B248" s="100">
        <v>273</v>
      </c>
      <c r="C248" s="160" t="s">
        <v>248</v>
      </c>
      <c r="D248" s="161">
        <v>8.4287282421201205E-4</v>
      </c>
      <c r="E248" s="161">
        <f t="shared" si="14"/>
        <v>8.4287282421201205E-4</v>
      </c>
      <c r="F248" s="162">
        <f t="shared" si="15"/>
        <v>8.4287282421201205E-4</v>
      </c>
      <c r="G248" s="162">
        <f t="shared" si="15"/>
        <v>8.4287282421201205E-4</v>
      </c>
      <c r="H248" s="162">
        <f t="shared" si="15"/>
        <v>8.4287282421201205E-4</v>
      </c>
      <c r="I248" s="162">
        <f t="shared" si="15"/>
        <v>8.4287282421201205E-4</v>
      </c>
      <c r="J248" s="163">
        <f t="shared" si="15"/>
        <v>8.4287282421201205E-4</v>
      </c>
      <c r="L248" s="164">
        <f t="shared" si="16"/>
        <v>87449.31376610999</v>
      </c>
      <c r="M248" s="165">
        <f t="shared" si="16"/>
        <v>89792.117297492339</v>
      </c>
      <c r="N248" s="165">
        <f t="shared" si="16"/>
        <v>100099.13432273452</v>
      </c>
      <c r="O248" s="165">
        <f t="shared" si="16"/>
        <v>110433.11657256728</v>
      </c>
      <c r="P248" s="165">
        <f t="shared" si="16"/>
        <v>119845.47713112176</v>
      </c>
      <c r="Q248" s="166">
        <f t="shared" si="16"/>
        <v>131028.71349295718</v>
      </c>
    </row>
    <row r="249" spans="1:17" ht="12.75" customHeight="1" x14ac:dyDescent="0.35">
      <c r="A249" s="81"/>
      <c r="B249" s="100">
        <v>177</v>
      </c>
      <c r="C249" s="160" t="s">
        <v>249</v>
      </c>
      <c r="D249" s="161">
        <v>1.29371177669751E-3</v>
      </c>
      <c r="E249" s="161">
        <f t="shared" si="14"/>
        <v>1.29371177669751E-3</v>
      </c>
      <c r="F249" s="162">
        <f t="shared" si="15"/>
        <v>1.29371177669751E-3</v>
      </c>
      <c r="G249" s="162">
        <f t="shared" si="15"/>
        <v>1.29371177669751E-3</v>
      </c>
      <c r="H249" s="162">
        <f t="shared" si="15"/>
        <v>1.29371177669751E-3</v>
      </c>
      <c r="I249" s="162">
        <f t="shared" si="15"/>
        <v>1.29371177669751E-3</v>
      </c>
      <c r="J249" s="163">
        <f t="shared" si="15"/>
        <v>1.29371177669751E-3</v>
      </c>
      <c r="L249" s="164">
        <f t="shared" si="16"/>
        <v>134224.52810612263</v>
      </c>
      <c r="M249" s="165">
        <f t="shared" si="16"/>
        <v>137820.45910777929</v>
      </c>
      <c r="N249" s="165">
        <f t="shared" si="16"/>
        <v>153640.53175117428</v>
      </c>
      <c r="O249" s="165">
        <f t="shared" si="16"/>
        <v>169501.99287882462</v>
      </c>
      <c r="P249" s="165">
        <f t="shared" si="16"/>
        <v>183948.87187567574</v>
      </c>
      <c r="Q249" s="166">
        <f t="shared" si="16"/>
        <v>201113.83931477199</v>
      </c>
    </row>
    <row r="250" spans="1:17" ht="12.75" customHeight="1" x14ac:dyDescent="0.35">
      <c r="A250" s="81"/>
      <c r="B250" s="100">
        <v>703</v>
      </c>
      <c r="C250" s="160" t="s">
        <v>250</v>
      </c>
      <c r="D250" s="161">
        <v>9.0167790497098902E-4</v>
      </c>
      <c r="E250" s="161">
        <f t="shared" si="14"/>
        <v>9.0167790497098902E-4</v>
      </c>
      <c r="F250" s="162">
        <f t="shared" si="15"/>
        <v>9.0167790497098902E-4</v>
      </c>
      <c r="G250" s="162">
        <f t="shared" si="15"/>
        <v>9.0167790497098902E-4</v>
      </c>
      <c r="H250" s="162">
        <f t="shared" si="15"/>
        <v>9.0167790497098902E-4</v>
      </c>
      <c r="I250" s="162">
        <f t="shared" si="15"/>
        <v>9.0167790497098902E-4</v>
      </c>
      <c r="J250" s="163">
        <f t="shared" si="15"/>
        <v>9.0167790497098902E-4</v>
      </c>
      <c r="L250" s="164">
        <f t="shared" si="16"/>
        <v>93550.428680024575</v>
      </c>
      <c r="M250" s="165">
        <f t="shared" si="16"/>
        <v>96056.683620573138</v>
      </c>
      <c r="N250" s="165">
        <f t="shared" si="16"/>
        <v>107082.79485687871</v>
      </c>
      <c r="O250" s="165">
        <f t="shared" si="16"/>
        <v>118137.75261251377</v>
      </c>
      <c r="P250" s="165">
        <f t="shared" si="16"/>
        <v>128206.78948910692</v>
      </c>
      <c r="Q250" s="166">
        <f t="shared" si="16"/>
        <v>140170.25164362852</v>
      </c>
    </row>
    <row r="251" spans="1:17" ht="12.75" customHeight="1" x14ac:dyDescent="0.35">
      <c r="A251" s="81"/>
      <c r="B251" s="100">
        <v>274</v>
      </c>
      <c r="C251" s="160" t="s">
        <v>251</v>
      </c>
      <c r="D251" s="161">
        <v>2.1757879880821701E-3</v>
      </c>
      <c r="E251" s="161">
        <f t="shared" si="14"/>
        <v>2.1757879880821701E-3</v>
      </c>
      <c r="F251" s="162">
        <f t="shared" si="15"/>
        <v>2.1757879880821701E-3</v>
      </c>
      <c r="G251" s="162">
        <f t="shared" si="15"/>
        <v>2.1757879880821701E-3</v>
      </c>
      <c r="H251" s="162">
        <f t="shared" si="15"/>
        <v>2.1757879880821701E-3</v>
      </c>
      <c r="I251" s="162">
        <f t="shared" si="15"/>
        <v>2.1757879880821701E-3</v>
      </c>
      <c r="J251" s="163">
        <f t="shared" si="15"/>
        <v>2.1757879880821701E-3</v>
      </c>
      <c r="L251" s="164">
        <f t="shared" si="16"/>
        <v>225741.25181484202</v>
      </c>
      <c r="M251" s="165">
        <f t="shared" si="16"/>
        <v>231788.95395399179</v>
      </c>
      <c r="N251" s="165">
        <f t="shared" si="16"/>
        <v>258395.4397633379</v>
      </c>
      <c r="O251" s="165">
        <f t="shared" si="16"/>
        <v>285071.53347802244</v>
      </c>
      <c r="P251" s="165">
        <f t="shared" si="16"/>
        <v>309368.55724545382</v>
      </c>
      <c r="Q251" s="166">
        <f t="shared" si="16"/>
        <v>338236.91157484287</v>
      </c>
    </row>
    <row r="252" spans="1:17" ht="12.75" customHeight="1" x14ac:dyDescent="0.35">
      <c r="A252" s="81"/>
      <c r="B252" s="100">
        <v>339</v>
      </c>
      <c r="C252" s="160" t="s">
        <v>252</v>
      </c>
      <c r="D252" s="161">
        <v>1.9601693586325899E-4</v>
      </c>
      <c r="E252" s="161">
        <f t="shared" si="14"/>
        <v>1.9601693586325899E-4</v>
      </c>
      <c r="F252" s="162">
        <f t="shared" si="15"/>
        <v>1.9601693586325899E-4</v>
      </c>
      <c r="G252" s="162">
        <f t="shared" si="15"/>
        <v>1.9601693586325899E-4</v>
      </c>
      <c r="H252" s="162">
        <f t="shared" si="15"/>
        <v>1.9601693586325899E-4</v>
      </c>
      <c r="I252" s="162">
        <f t="shared" si="15"/>
        <v>1.9601693586325899E-4</v>
      </c>
      <c r="J252" s="163">
        <f t="shared" si="15"/>
        <v>1.9601693586325899E-4</v>
      </c>
      <c r="L252" s="164">
        <f t="shared" si="16"/>
        <v>20337.049713048873</v>
      </c>
      <c r="M252" s="165">
        <f t="shared" si="16"/>
        <v>20881.887743602907</v>
      </c>
      <c r="N252" s="165">
        <f t="shared" si="16"/>
        <v>23278.868447147604</v>
      </c>
      <c r="O252" s="165">
        <f t="shared" si="16"/>
        <v>25682.120133155229</v>
      </c>
      <c r="P252" s="165">
        <f t="shared" si="16"/>
        <v>27871.041193284185</v>
      </c>
      <c r="Q252" s="166">
        <f t="shared" si="16"/>
        <v>30471.793835571498</v>
      </c>
    </row>
    <row r="253" spans="1:17" ht="12.75" customHeight="1" x14ac:dyDescent="0.35">
      <c r="A253" s="81"/>
      <c r="B253" s="100">
        <v>1667</v>
      </c>
      <c r="C253" s="160" t="s">
        <v>253</v>
      </c>
      <c r="D253" s="161">
        <v>7.2526266269405703E-4</v>
      </c>
      <c r="E253" s="161">
        <f t="shared" si="14"/>
        <v>7.2526266269405703E-4</v>
      </c>
      <c r="F253" s="162">
        <f t="shared" si="15"/>
        <v>7.2526266269405703E-4</v>
      </c>
      <c r="G253" s="162">
        <f t="shared" si="15"/>
        <v>7.2526266269405703E-4</v>
      </c>
      <c r="H253" s="162">
        <f t="shared" si="15"/>
        <v>7.2526266269405703E-4</v>
      </c>
      <c r="I253" s="162">
        <f t="shared" si="15"/>
        <v>7.2526266269405703E-4</v>
      </c>
      <c r="J253" s="163">
        <f t="shared" si="15"/>
        <v>7.2526266269405703E-4</v>
      </c>
      <c r="L253" s="164">
        <f t="shared" si="16"/>
        <v>75247.083938280703</v>
      </c>
      <c r="M253" s="165">
        <f t="shared" si="16"/>
        <v>77262.98465133064</v>
      </c>
      <c r="N253" s="165">
        <f t="shared" si="16"/>
        <v>86131.813254445995</v>
      </c>
      <c r="O253" s="165">
        <f t="shared" si="16"/>
        <v>95023.844492674194</v>
      </c>
      <c r="P253" s="165">
        <f t="shared" si="16"/>
        <v>103122.85241515131</v>
      </c>
      <c r="Q253" s="166">
        <f t="shared" si="16"/>
        <v>112745.63719161434</v>
      </c>
    </row>
    <row r="254" spans="1:17" ht="12.75" customHeight="1" x14ac:dyDescent="0.35">
      <c r="A254" s="81"/>
      <c r="B254" s="100">
        <v>275</v>
      </c>
      <c r="C254" s="160" t="s">
        <v>254</v>
      </c>
      <c r="D254" s="161">
        <v>3.5283048455386598E-3</v>
      </c>
      <c r="E254" s="161">
        <f t="shared" si="14"/>
        <v>3.5283048455386598E-3</v>
      </c>
      <c r="F254" s="162">
        <f t="shared" si="15"/>
        <v>3.5283048455386598E-3</v>
      </c>
      <c r="G254" s="162">
        <f t="shared" si="15"/>
        <v>3.5283048455386598E-3</v>
      </c>
      <c r="H254" s="162">
        <f t="shared" si="15"/>
        <v>3.5283048455386598E-3</v>
      </c>
      <c r="I254" s="162">
        <f t="shared" si="15"/>
        <v>3.5283048455386598E-3</v>
      </c>
      <c r="J254" s="163">
        <f t="shared" si="15"/>
        <v>3.5283048455386598E-3</v>
      </c>
      <c r="L254" s="164">
        <f t="shared" si="16"/>
        <v>366066.89483487949</v>
      </c>
      <c r="M254" s="165">
        <f t="shared" si="16"/>
        <v>375873.97938485217</v>
      </c>
      <c r="N254" s="165">
        <f t="shared" si="16"/>
        <v>419019.63204865664</v>
      </c>
      <c r="O254" s="165">
        <f t="shared" si="16"/>
        <v>462278.16239679389</v>
      </c>
      <c r="P254" s="165">
        <f t="shared" si="16"/>
        <v>501678.74147911509</v>
      </c>
      <c r="Q254" s="166">
        <f t="shared" si="16"/>
        <v>548492.28904028668</v>
      </c>
    </row>
    <row r="255" spans="1:17" ht="12.75" customHeight="1" x14ac:dyDescent="0.35">
      <c r="A255" s="81"/>
      <c r="B255" s="100">
        <v>340</v>
      </c>
      <c r="C255" s="160" t="s">
        <v>255</v>
      </c>
      <c r="D255" s="161">
        <v>5.6844911400344997E-4</v>
      </c>
      <c r="E255" s="161">
        <f t="shared" si="14"/>
        <v>5.6844911400344997E-4</v>
      </c>
      <c r="F255" s="162">
        <f t="shared" si="15"/>
        <v>5.6844911400344997E-4</v>
      </c>
      <c r="G255" s="162">
        <f t="shared" si="15"/>
        <v>5.6844911400344997E-4</v>
      </c>
      <c r="H255" s="162">
        <f t="shared" si="15"/>
        <v>5.6844911400344997E-4</v>
      </c>
      <c r="I255" s="162">
        <f t="shared" si="15"/>
        <v>5.6844911400344997E-4</v>
      </c>
      <c r="J255" s="163">
        <f t="shared" si="15"/>
        <v>5.6844911400344997E-4</v>
      </c>
      <c r="L255" s="164">
        <f t="shared" si="16"/>
        <v>58977.444167841611</v>
      </c>
      <c r="M255" s="165">
        <f t="shared" si="16"/>
        <v>60557.474456448319</v>
      </c>
      <c r="N255" s="165">
        <f t="shared" si="16"/>
        <v>67508.718496727932</v>
      </c>
      <c r="O255" s="165">
        <f t="shared" si="16"/>
        <v>74478.148386150031</v>
      </c>
      <c r="P255" s="165">
        <f t="shared" si="16"/>
        <v>80826.019460523981</v>
      </c>
      <c r="Q255" s="166">
        <f t="shared" si="16"/>
        <v>88368.202123157171</v>
      </c>
    </row>
    <row r="256" spans="1:17" ht="12.75" customHeight="1" x14ac:dyDescent="0.35">
      <c r="A256" s="81"/>
      <c r="B256" s="100">
        <v>597</v>
      </c>
      <c r="C256" s="160" t="s">
        <v>256</v>
      </c>
      <c r="D256" s="161">
        <v>1.70534734201035E-3</v>
      </c>
      <c r="E256" s="161">
        <f t="shared" si="14"/>
        <v>1.70534734201035E-3</v>
      </c>
      <c r="F256" s="162">
        <f t="shared" si="15"/>
        <v>1.70534734201035E-3</v>
      </c>
      <c r="G256" s="162">
        <f t="shared" si="15"/>
        <v>1.70534734201035E-3</v>
      </c>
      <c r="H256" s="162">
        <f t="shared" si="15"/>
        <v>1.70534734201035E-3</v>
      </c>
      <c r="I256" s="162">
        <f t="shared" si="15"/>
        <v>1.70534734201035E-3</v>
      </c>
      <c r="J256" s="163">
        <f t="shared" si="15"/>
        <v>1.70534734201035E-3</v>
      </c>
      <c r="L256" s="164">
        <f t="shared" si="16"/>
        <v>176932.33250352484</v>
      </c>
      <c r="M256" s="165">
        <f t="shared" si="16"/>
        <v>181672.42336934496</v>
      </c>
      <c r="N256" s="165">
        <f t="shared" si="16"/>
        <v>202526.1554901838</v>
      </c>
      <c r="O256" s="165">
        <f t="shared" si="16"/>
        <v>223434.44515845008</v>
      </c>
      <c r="P256" s="165">
        <f t="shared" si="16"/>
        <v>242478.05838157196</v>
      </c>
      <c r="Q256" s="166">
        <f t="shared" si="16"/>
        <v>265104.60636947153</v>
      </c>
    </row>
    <row r="257" spans="1:17" ht="12.75" customHeight="1" x14ac:dyDescent="0.35">
      <c r="A257" s="81"/>
      <c r="B257" s="100">
        <v>1742</v>
      </c>
      <c r="C257" s="160" t="s">
        <v>257</v>
      </c>
      <c r="D257" s="161">
        <v>1.29371177669751E-3</v>
      </c>
      <c r="E257" s="161">
        <f t="shared" si="14"/>
        <v>1.29371177669751E-3</v>
      </c>
      <c r="F257" s="162">
        <f t="shared" si="15"/>
        <v>1.29371177669751E-3</v>
      </c>
      <c r="G257" s="162">
        <f t="shared" si="15"/>
        <v>1.29371177669751E-3</v>
      </c>
      <c r="H257" s="162">
        <f t="shared" si="15"/>
        <v>1.29371177669751E-3</v>
      </c>
      <c r="I257" s="162">
        <f t="shared" si="15"/>
        <v>1.29371177669751E-3</v>
      </c>
      <c r="J257" s="163">
        <f t="shared" si="15"/>
        <v>1.29371177669751E-3</v>
      </c>
      <c r="L257" s="164">
        <f t="shared" si="16"/>
        <v>134224.52810612263</v>
      </c>
      <c r="M257" s="165">
        <f t="shared" si="16"/>
        <v>137820.45910777929</v>
      </c>
      <c r="N257" s="165">
        <f t="shared" si="16"/>
        <v>153640.53175117428</v>
      </c>
      <c r="O257" s="165">
        <f t="shared" si="16"/>
        <v>169501.99287882462</v>
      </c>
      <c r="P257" s="165">
        <f t="shared" si="16"/>
        <v>183948.87187567574</v>
      </c>
      <c r="Q257" s="166">
        <f t="shared" si="16"/>
        <v>201113.83931477199</v>
      </c>
    </row>
    <row r="258" spans="1:17" ht="12.75" customHeight="1" x14ac:dyDescent="0.35">
      <c r="A258" s="81"/>
      <c r="B258" s="100">
        <v>603</v>
      </c>
      <c r="C258" s="160" t="s">
        <v>258</v>
      </c>
      <c r="D258" s="161">
        <v>2.7834404892582701E-3</v>
      </c>
      <c r="E258" s="161">
        <f t="shared" si="14"/>
        <v>2.7834404892582701E-3</v>
      </c>
      <c r="F258" s="162">
        <f t="shared" si="15"/>
        <v>2.7834404892582701E-3</v>
      </c>
      <c r="G258" s="162">
        <f t="shared" si="15"/>
        <v>2.7834404892582701E-3</v>
      </c>
      <c r="H258" s="162">
        <f t="shared" si="15"/>
        <v>2.7834404892582701E-3</v>
      </c>
      <c r="I258" s="162">
        <f t="shared" si="15"/>
        <v>2.7834404892582701E-3</v>
      </c>
      <c r="J258" s="163">
        <f t="shared" si="15"/>
        <v>2.7834404892582701E-3</v>
      </c>
      <c r="L258" s="164">
        <f t="shared" si="16"/>
        <v>288786.10592529317</v>
      </c>
      <c r="M258" s="165">
        <f t="shared" si="16"/>
        <v>296522.8059591605</v>
      </c>
      <c r="N258" s="165">
        <f t="shared" si="16"/>
        <v>330559.93194949511</v>
      </c>
      <c r="O258" s="165">
        <f t="shared" si="16"/>
        <v>364686.10589080327</v>
      </c>
      <c r="P258" s="165">
        <f t="shared" si="16"/>
        <v>395768.7849446343</v>
      </c>
      <c r="Q258" s="166">
        <f t="shared" si="16"/>
        <v>432699.47246511409</v>
      </c>
    </row>
    <row r="259" spans="1:17" ht="12.75" customHeight="1" x14ac:dyDescent="0.35">
      <c r="A259" s="81"/>
      <c r="B259" s="100">
        <v>1669</v>
      </c>
      <c r="C259" s="160" t="s">
        <v>259</v>
      </c>
      <c r="D259" s="161">
        <v>1.07809314724792E-3</v>
      </c>
      <c r="E259" s="161">
        <f t="shared" si="14"/>
        <v>1.07809314724792E-3</v>
      </c>
      <c r="F259" s="162">
        <f t="shared" si="15"/>
        <v>1.07809314724792E-3</v>
      </c>
      <c r="G259" s="162">
        <f t="shared" si="15"/>
        <v>1.07809314724792E-3</v>
      </c>
      <c r="H259" s="162">
        <f t="shared" si="15"/>
        <v>1.07809314724792E-3</v>
      </c>
      <c r="I259" s="162">
        <f t="shared" si="15"/>
        <v>1.07809314724792E-3</v>
      </c>
      <c r="J259" s="163">
        <f t="shared" si="15"/>
        <v>1.07809314724792E-3</v>
      </c>
      <c r="L259" s="164">
        <f t="shared" si="16"/>
        <v>111853.77342176833</v>
      </c>
      <c r="M259" s="165">
        <f t="shared" si="16"/>
        <v>114850.38258981552</v>
      </c>
      <c r="N259" s="165">
        <f t="shared" si="16"/>
        <v>128033.77645931132</v>
      </c>
      <c r="O259" s="165">
        <f t="shared" si="16"/>
        <v>141251.66073235319</v>
      </c>
      <c r="P259" s="165">
        <f t="shared" si="16"/>
        <v>153290.7265630624</v>
      </c>
      <c r="Q259" s="166">
        <f t="shared" si="16"/>
        <v>167594.86609564256</v>
      </c>
    </row>
    <row r="260" spans="1:17" ht="12.75" customHeight="1" x14ac:dyDescent="0.35">
      <c r="A260" s="81"/>
      <c r="B260" s="100">
        <v>957</v>
      </c>
      <c r="C260" s="160" t="s">
        <v>260</v>
      </c>
      <c r="D260" s="161">
        <v>6.1157283989336699E-3</v>
      </c>
      <c r="E260" s="161">
        <f t="shared" si="14"/>
        <v>6.1157283989336699E-3</v>
      </c>
      <c r="F260" s="162">
        <f t="shared" si="15"/>
        <v>6.1157283989336699E-3</v>
      </c>
      <c r="G260" s="162">
        <f t="shared" si="15"/>
        <v>6.1157283989336699E-3</v>
      </c>
      <c r="H260" s="162">
        <f t="shared" si="15"/>
        <v>6.1157283989336699E-3</v>
      </c>
      <c r="I260" s="162">
        <f t="shared" si="15"/>
        <v>6.1157283989336699E-3</v>
      </c>
      <c r="J260" s="163">
        <f t="shared" si="15"/>
        <v>6.1157283989336699E-3</v>
      </c>
      <c r="L260" s="164">
        <f t="shared" si="16"/>
        <v>634515.95104712364</v>
      </c>
      <c r="M260" s="165">
        <f t="shared" si="16"/>
        <v>651514.89760040969</v>
      </c>
      <c r="N260" s="165">
        <f t="shared" si="16"/>
        <v>726300.69555100414</v>
      </c>
      <c r="O260" s="165">
        <f t="shared" si="16"/>
        <v>801282.14815444185</v>
      </c>
      <c r="P260" s="165">
        <f t="shared" si="16"/>
        <v>869576.48523046507</v>
      </c>
      <c r="Q260" s="166">
        <f t="shared" si="16"/>
        <v>950719.96766982903</v>
      </c>
    </row>
    <row r="261" spans="1:17" ht="12.75" customHeight="1" x14ac:dyDescent="0.35">
      <c r="A261" s="81"/>
      <c r="B261" s="100">
        <v>1674</v>
      </c>
      <c r="C261" s="160" t="s">
        <v>261</v>
      </c>
      <c r="D261" s="161">
        <v>6.0569233181746998E-3</v>
      </c>
      <c r="E261" s="161">
        <f t="shared" si="14"/>
        <v>6.0569233181746998E-3</v>
      </c>
      <c r="F261" s="162">
        <f t="shared" si="15"/>
        <v>6.0569233181746998E-3</v>
      </c>
      <c r="G261" s="162">
        <f t="shared" si="15"/>
        <v>6.0569233181746998E-3</v>
      </c>
      <c r="H261" s="162">
        <f t="shared" si="15"/>
        <v>6.0569233181746998E-3</v>
      </c>
      <c r="I261" s="162">
        <f t="shared" si="15"/>
        <v>6.0569233181746998E-3</v>
      </c>
      <c r="J261" s="163">
        <f t="shared" si="15"/>
        <v>6.0569233181746998E-3</v>
      </c>
      <c r="L261" s="164">
        <f t="shared" si="16"/>
        <v>628414.83613320976</v>
      </c>
      <c r="M261" s="165">
        <f t="shared" si="16"/>
        <v>645250.33127732959</v>
      </c>
      <c r="N261" s="165">
        <f t="shared" si="16"/>
        <v>719317.0350168607</v>
      </c>
      <c r="O261" s="165">
        <f t="shared" si="16"/>
        <v>793577.5121144962</v>
      </c>
      <c r="P261" s="165">
        <f t="shared" si="16"/>
        <v>861215.17287248094</v>
      </c>
      <c r="Q261" s="166">
        <f t="shared" si="16"/>
        <v>941578.42951915879</v>
      </c>
    </row>
    <row r="262" spans="1:17" ht="12.75" customHeight="1" x14ac:dyDescent="0.35">
      <c r="A262" s="81"/>
      <c r="B262" s="100">
        <v>599</v>
      </c>
      <c r="C262" s="160" t="s">
        <v>262</v>
      </c>
      <c r="D262" s="161">
        <v>3.7321624588364501E-2</v>
      </c>
      <c r="E262" s="161">
        <f t="shared" si="14"/>
        <v>3.7321624588364501E-2</v>
      </c>
      <c r="F262" s="162">
        <f t="shared" si="15"/>
        <v>3.7321624588364501E-2</v>
      </c>
      <c r="G262" s="162">
        <f t="shared" si="15"/>
        <v>3.7321624588364501E-2</v>
      </c>
      <c r="H262" s="162">
        <f t="shared" si="15"/>
        <v>3.7321624588364501E-2</v>
      </c>
      <c r="I262" s="162">
        <f t="shared" si="15"/>
        <v>3.7321624588364501E-2</v>
      </c>
      <c r="J262" s="163">
        <f t="shared" si="15"/>
        <v>3.7321624588364501E-2</v>
      </c>
      <c r="L262" s="164">
        <f t="shared" si="16"/>
        <v>3872174.265364504</v>
      </c>
      <c r="M262" s="165">
        <f t="shared" si="16"/>
        <v>3975911.4263819926</v>
      </c>
      <c r="N262" s="165">
        <f t="shared" si="16"/>
        <v>4432296.5523369024</v>
      </c>
      <c r="O262" s="165">
        <f t="shared" si="16"/>
        <v>4889875.6733527547</v>
      </c>
      <c r="P262" s="165">
        <f t="shared" si="16"/>
        <v>5306646.243201308</v>
      </c>
      <c r="Q262" s="166">
        <f t="shared" si="16"/>
        <v>5801829.5462928116</v>
      </c>
    </row>
    <row r="263" spans="1:17" ht="12.75" customHeight="1" x14ac:dyDescent="0.35">
      <c r="A263" s="81"/>
      <c r="B263" s="100">
        <v>277</v>
      </c>
      <c r="C263" s="160" t="s">
        <v>263</v>
      </c>
      <c r="D263" s="161">
        <v>0</v>
      </c>
      <c r="E263" s="161">
        <f t="shared" si="14"/>
        <v>8.6716898232902325E-5</v>
      </c>
      <c r="F263" s="162">
        <f t="shared" si="15"/>
        <v>7.2261794157117785E-5</v>
      </c>
      <c r="G263" s="162">
        <f t="shared" si="15"/>
        <v>6.4823545258620684E-5</v>
      </c>
      <c r="H263" s="162">
        <f t="shared" si="15"/>
        <v>5.8759338537731889E-5</v>
      </c>
      <c r="I263" s="162">
        <f t="shared" si="15"/>
        <v>5.4145278109837566E-5</v>
      </c>
      <c r="J263" s="163">
        <f t="shared" si="15"/>
        <v>4.9524691596238695E-5</v>
      </c>
      <c r="L263" s="164">
        <f t="shared" si="16"/>
        <v>8997.0076440445646</v>
      </c>
      <c r="M263" s="165">
        <f t="shared" si="16"/>
        <v>7698.1239763533658</v>
      </c>
      <c r="N263" s="165">
        <f t="shared" si="16"/>
        <v>7698.4102200528141</v>
      </c>
      <c r="O263" s="165">
        <f t="shared" si="16"/>
        <v>7698.6428985069351</v>
      </c>
      <c r="P263" s="165">
        <f t="shared" si="16"/>
        <v>7698.7494472102453</v>
      </c>
      <c r="Q263" s="166">
        <f t="shared" si="16"/>
        <v>7698.8561495706435</v>
      </c>
    </row>
    <row r="264" spans="1:17" ht="12.75" customHeight="1" x14ac:dyDescent="0.35">
      <c r="A264" s="81"/>
      <c r="B264" s="100">
        <v>840</v>
      </c>
      <c r="C264" s="160" t="s">
        <v>264</v>
      </c>
      <c r="D264" s="161">
        <v>2.1757879880821701E-3</v>
      </c>
      <c r="E264" s="161">
        <f t="shared" si="14"/>
        <v>2.1757879880821701E-3</v>
      </c>
      <c r="F264" s="162">
        <f t="shared" si="15"/>
        <v>2.1757879880821701E-3</v>
      </c>
      <c r="G264" s="162">
        <f t="shared" si="15"/>
        <v>2.1757879880821701E-3</v>
      </c>
      <c r="H264" s="162">
        <f t="shared" si="15"/>
        <v>2.1757879880821701E-3</v>
      </c>
      <c r="I264" s="162">
        <f t="shared" si="15"/>
        <v>2.1757879880821701E-3</v>
      </c>
      <c r="J264" s="163">
        <f t="shared" si="15"/>
        <v>2.1757879880821701E-3</v>
      </c>
      <c r="L264" s="164">
        <f t="shared" si="16"/>
        <v>225741.25181484202</v>
      </c>
      <c r="M264" s="165">
        <f t="shared" si="16"/>
        <v>231788.95395399179</v>
      </c>
      <c r="N264" s="165">
        <f t="shared" si="16"/>
        <v>258395.4397633379</v>
      </c>
      <c r="O264" s="165">
        <f t="shared" si="16"/>
        <v>285071.53347802244</v>
      </c>
      <c r="P264" s="165">
        <f t="shared" si="16"/>
        <v>309368.55724545382</v>
      </c>
      <c r="Q264" s="166">
        <f t="shared" si="16"/>
        <v>338236.91157484287</v>
      </c>
    </row>
    <row r="265" spans="1:17" ht="12.75" customHeight="1" x14ac:dyDescent="0.35">
      <c r="A265" s="81"/>
      <c r="B265" s="100">
        <v>441</v>
      </c>
      <c r="C265" s="160" t="s">
        <v>265</v>
      </c>
      <c r="D265" s="161">
        <v>2.0385761329778898E-3</v>
      </c>
      <c r="E265" s="161">
        <f t="shared" si="14"/>
        <v>2.0385761329778898E-3</v>
      </c>
      <c r="F265" s="162">
        <f t="shared" si="15"/>
        <v>2.0385761329778898E-3</v>
      </c>
      <c r="G265" s="162">
        <f t="shared" si="15"/>
        <v>2.0385761329778898E-3</v>
      </c>
      <c r="H265" s="162">
        <f t="shared" si="15"/>
        <v>2.0385761329778898E-3</v>
      </c>
      <c r="I265" s="162">
        <f t="shared" si="15"/>
        <v>2.0385761329778898E-3</v>
      </c>
      <c r="J265" s="163">
        <f t="shared" si="15"/>
        <v>2.0385761329778898E-3</v>
      </c>
      <c r="L265" s="164">
        <f t="shared" si="16"/>
        <v>211505.31701570787</v>
      </c>
      <c r="M265" s="165">
        <f t="shared" si="16"/>
        <v>217171.63253346985</v>
      </c>
      <c r="N265" s="165">
        <f t="shared" si="16"/>
        <v>242100.23185033465</v>
      </c>
      <c r="O265" s="165">
        <f t="shared" si="16"/>
        <v>267094.04938481393</v>
      </c>
      <c r="P265" s="165">
        <f t="shared" si="16"/>
        <v>289858.82841015497</v>
      </c>
      <c r="Q265" s="166">
        <f t="shared" si="16"/>
        <v>316906.65588994301</v>
      </c>
    </row>
    <row r="266" spans="1:17" ht="12.75" customHeight="1" x14ac:dyDescent="0.35">
      <c r="A266" s="81"/>
      <c r="B266" s="100">
        <v>279</v>
      </c>
      <c r="C266" s="160" t="s">
        <v>266</v>
      </c>
      <c r="D266" s="161">
        <v>2.9402540379488799E-4</v>
      </c>
      <c r="E266" s="161">
        <f t="shared" si="14"/>
        <v>2.9402540379488799E-4</v>
      </c>
      <c r="F266" s="162">
        <f t="shared" ref="F266:J316" si="17">MAX(7700/M$10,$D266)</f>
        <v>2.9402540379488799E-4</v>
      </c>
      <c r="G266" s="162">
        <f t="shared" si="17"/>
        <v>2.9402540379488799E-4</v>
      </c>
      <c r="H266" s="162">
        <f t="shared" si="17"/>
        <v>2.9402540379488799E-4</v>
      </c>
      <c r="I266" s="162">
        <f t="shared" si="17"/>
        <v>2.9402540379488799E-4</v>
      </c>
      <c r="J266" s="163">
        <f t="shared" si="17"/>
        <v>2.9402540379488799E-4</v>
      </c>
      <c r="L266" s="164">
        <f t="shared" si="16"/>
        <v>30505.574569573255</v>
      </c>
      <c r="M266" s="165">
        <f t="shared" si="16"/>
        <v>31322.83161540431</v>
      </c>
      <c r="N266" s="165">
        <f t="shared" si="16"/>
        <v>34918.302670721358</v>
      </c>
      <c r="O266" s="165">
        <f t="shared" si="16"/>
        <v>38523.180199732786</v>
      </c>
      <c r="P266" s="165">
        <f t="shared" si="16"/>
        <v>41806.561789926207</v>
      </c>
      <c r="Q266" s="166">
        <f t="shared" si="16"/>
        <v>45707.690753357165</v>
      </c>
    </row>
    <row r="267" spans="1:17" ht="12.75" customHeight="1" x14ac:dyDescent="0.35">
      <c r="A267" s="81"/>
      <c r="B267" s="100">
        <v>606</v>
      </c>
      <c r="C267" s="160" t="s">
        <v>267</v>
      </c>
      <c r="D267" s="161">
        <v>4.4299827505096404E-3</v>
      </c>
      <c r="E267" s="161">
        <f t="shared" ref="E267:E330" si="18">MAX(9000/L$10,$D267)</f>
        <v>4.4299827505096404E-3</v>
      </c>
      <c r="F267" s="162">
        <f t="shared" si="17"/>
        <v>4.4299827505096404E-3</v>
      </c>
      <c r="G267" s="162">
        <f t="shared" si="17"/>
        <v>4.4299827505096404E-3</v>
      </c>
      <c r="H267" s="162">
        <f t="shared" si="17"/>
        <v>4.4299827505096404E-3</v>
      </c>
      <c r="I267" s="162">
        <f t="shared" si="17"/>
        <v>4.4299827505096404E-3</v>
      </c>
      <c r="J267" s="163">
        <f t="shared" si="17"/>
        <v>4.4299827505096404E-3</v>
      </c>
      <c r="L267" s="164">
        <f t="shared" si="16"/>
        <v>459617.3235149032</v>
      </c>
      <c r="M267" s="165">
        <f t="shared" si="16"/>
        <v>471930.66300542437</v>
      </c>
      <c r="N267" s="165">
        <f t="shared" si="16"/>
        <v>526102.42690553435</v>
      </c>
      <c r="O267" s="165">
        <f t="shared" ref="O267:Q330" si="19">H267/H$10*O$10</f>
        <v>580415.91500930651</v>
      </c>
      <c r="P267" s="165">
        <f t="shared" si="19"/>
        <v>629885.53096822079</v>
      </c>
      <c r="Q267" s="166">
        <f t="shared" si="19"/>
        <v>688662.54068391386</v>
      </c>
    </row>
    <row r="268" spans="1:17" ht="12.75" customHeight="1" x14ac:dyDescent="0.35">
      <c r="A268" s="81"/>
      <c r="B268" s="100">
        <v>88</v>
      </c>
      <c r="C268" s="160" t="s">
        <v>268</v>
      </c>
      <c r="D268" s="161">
        <v>0</v>
      </c>
      <c r="E268" s="161">
        <f t="shared" si="18"/>
        <v>8.6716898232902325E-5</v>
      </c>
      <c r="F268" s="162">
        <f t="shared" si="17"/>
        <v>7.2261794157117785E-5</v>
      </c>
      <c r="G268" s="162">
        <f t="shared" si="17"/>
        <v>6.4823545258620684E-5</v>
      </c>
      <c r="H268" s="162">
        <f t="shared" si="17"/>
        <v>5.8759338537731889E-5</v>
      </c>
      <c r="I268" s="162">
        <f t="shared" si="17"/>
        <v>5.4145278109837566E-5</v>
      </c>
      <c r="J268" s="163">
        <f t="shared" si="17"/>
        <v>4.9524691596238695E-5</v>
      </c>
      <c r="L268" s="164">
        <f t="shared" ref="L268:Q331" si="20">E268/E$10*L$10</f>
        <v>8997.0076440445646</v>
      </c>
      <c r="M268" s="165">
        <f t="shared" si="20"/>
        <v>7698.1239763533658</v>
      </c>
      <c r="N268" s="165">
        <f t="shared" si="20"/>
        <v>7698.4102200528141</v>
      </c>
      <c r="O268" s="165">
        <f t="shared" si="19"/>
        <v>7698.6428985069351</v>
      </c>
      <c r="P268" s="165">
        <f t="shared" si="19"/>
        <v>7698.7494472102453</v>
      </c>
      <c r="Q268" s="166">
        <f t="shared" si="19"/>
        <v>7698.8561495706435</v>
      </c>
    </row>
    <row r="269" spans="1:17" ht="12.75" customHeight="1" x14ac:dyDescent="0.35">
      <c r="A269" s="81"/>
      <c r="B269" s="100">
        <v>1676</v>
      </c>
      <c r="C269" s="160" t="s">
        <v>269</v>
      </c>
      <c r="D269" s="161">
        <v>2.0581778265642199E-3</v>
      </c>
      <c r="E269" s="161">
        <f t="shared" si="18"/>
        <v>2.0581778265642199E-3</v>
      </c>
      <c r="F269" s="162">
        <f t="shared" si="17"/>
        <v>2.0581778265642199E-3</v>
      </c>
      <c r="G269" s="162">
        <f t="shared" si="17"/>
        <v>2.0581778265642199E-3</v>
      </c>
      <c r="H269" s="162">
        <f t="shared" si="17"/>
        <v>2.0581778265642199E-3</v>
      </c>
      <c r="I269" s="162">
        <f t="shared" si="17"/>
        <v>2.0581778265642199E-3</v>
      </c>
      <c r="J269" s="163">
        <f t="shared" si="17"/>
        <v>2.0581778265642199E-3</v>
      </c>
      <c r="L269" s="164">
        <f t="shared" si="20"/>
        <v>213539.02198701323</v>
      </c>
      <c r="M269" s="165">
        <f t="shared" si="20"/>
        <v>219259.8213078306</v>
      </c>
      <c r="N269" s="165">
        <f t="shared" si="20"/>
        <v>244428.11869504995</v>
      </c>
      <c r="O269" s="165">
        <f t="shared" si="19"/>
        <v>269662.26139812998</v>
      </c>
      <c r="P269" s="165">
        <f t="shared" si="19"/>
        <v>292645.93252948398</v>
      </c>
      <c r="Q269" s="166">
        <f t="shared" si="19"/>
        <v>319953.83527350076</v>
      </c>
    </row>
    <row r="270" spans="1:17" ht="12.75" customHeight="1" x14ac:dyDescent="0.35">
      <c r="A270" s="81"/>
      <c r="B270" s="100">
        <v>518</v>
      </c>
      <c r="C270" s="160" t="s">
        <v>270</v>
      </c>
      <c r="D270" s="161">
        <v>2.76579896503058E-2</v>
      </c>
      <c r="E270" s="161">
        <f t="shared" si="18"/>
        <v>2.76579896503058E-2</v>
      </c>
      <c r="F270" s="162">
        <f t="shared" si="17"/>
        <v>2.76579896503058E-2</v>
      </c>
      <c r="G270" s="162">
        <f t="shared" si="17"/>
        <v>2.76579896503058E-2</v>
      </c>
      <c r="H270" s="162">
        <f t="shared" si="17"/>
        <v>2.76579896503058E-2</v>
      </c>
      <c r="I270" s="162">
        <f t="shared" si="17"/>
        <v>2.76579896503058E-2</v>
      </c>
      <c r="J270" s="163">
        <f t="shared" si="17"/>
        <v>2.76579896503058E-2</v>
      </c>
      <c r="L270" s="164">
        <f t="shared" si="20"/>
        <v>2869557.714511191</v>
      </c>
      <c r="M270" s="165">
        <f t="shared" si="20"/>
        <v>2946434.3606223655</v>
      </c>
      <c r="N270" s="165">
        <f t="shared" si="20"/>
        <v>3284648.3378925221</v>
      </c>
      <c r="O270" s="165">
        <f t="shared" si="19"/>
        <v>3623747.1507881973</v>
      </c>
      <c r="P270" s="165">
        <f t="shared" si="19"/>
        <v>3932603.9123723921</v>
      </c>
      <c r="Q270" s="166">
        <f t="shared" si="19"/>
        <v>4299570.110199132</v>
      </c>
    </row>
    <row r="271" spans="1:17" ht="12.75" customHeight="1" x14ac:dyDescent="0.35">
      <c r="A271" s="81"/>
      <c r="B271" s="100">
        <v>796</v>
      </c>
      <c r="C271" s="160" t="s">
        <v>271</v>
      </c>
      <c r="D271" s="161">
        <v>1.95036851183942E-2</v>
      </c>
      <c r="E271" s="161">
        <f t="shared" si="18"/>
        <v>1.95036851183942E-2</v>
      </c>
      <c r="F271" s="162">
        <f t="shared" si="17"/>
        <v>1.95036851183942E-2</v>
      </c>
      <c r="G271" s="162">
        <f t="shared" si="17"/>
        <v>1.95036851183942E-2</v>
      </c>
      <c r="H271" s="162">
        <f t="shared" si="17"/>
        <v>1.95036851183942E-2</v>
      </c>
      <c r="I271" s="162">
        <f t="shared" si="17"/>
        <v>1.95036851183942E-2</v>
      </c>
      <c r="J271" s="163">
        <f t="shared" si="17"/>
        <v>1.95036851183942E-2</v>
      </c>
      <c r="L271" s="164">
        <f t="shared" si="20"/>
        <v>2023536.4464483557</v>
      </c>
      <c r="M271" s="165">
        <f t="shared" si="20"/>
        <v>2077747.830488482</v>
      </c>
      <c r="N271" s="165">
        <f t="shared" si="20"/>
        <v>2316247.4104911787</v>
      </c>
      <c r="O271" s="165">
        <f t="shared" si="19"/>
        <v>2555370.9532489367</v>
      </c>
      <c r="P271" s="165">
        <f t="shared" si="19"/>
        <v>2773168.5987317669</v>
      </c>
      <c r="Q271" s="166">
        <f t="shared" si="19"/>
        <v>3031943.4866393534</v>
      </c>
    </row>
    <row r="272" spans="1:17" ht="12.75" customHeight="1" x14ac:dyDescent="0.35">
      <c r="A272" s="81"/>
      <c r="B272" s="100">
        <v>965</v>
      </c>
      <c r="C272" s="160" t="s">
        <v>272</v>
      </c>
      <c r="D272" s="161">
        <v>4.3123725889916898E-4</v>
      </c>
      <c r="E272" s="161">
        <f t="shared" si="18"/>
        <v>4.3123725889916898E-4</v>
      </c>
      <c r="F272" s="162">
        <f t="shared" si="17"/>
        <v>4.3123725889916898E-4</v>
      </c>
      <c r="G272" s="162">
        <f t="shared" si="17"/>
        <v>4.3123725889916898E-4</v>
      </c>
      <c r="H272" s="162">
        <f t="shared" si="17"/>
        <v>4.3123725889916898E-4</v>
      </c>
      <c r="I272" s="162">
        <f t="shared" si="17"/>
        <v>4.3123725889916898E-4</v>
      </c>
      <c r="J272" s="163">
        <f t="shared" si="17"/>
        <v>4.3123725889916898E-4</v>
      </c>
      <c r="L272" s="164">
        <f t="shared" si="20"/>
        <v>44741.50936870744</v>
      </c>
      <c r="M272" s="165">
        <f t="shared" si="20"/>
        <v>45940.153035926312</v>
      </c>
      <c r="N272" s="165">
        <f t="shared" si="20"/>
        <v>51213.510583724645</v>
      </c>
      <c r="O272" s="165">
        <f t="shared" si="19"/>
        <v>56500.664292941401</v>
      </c>
      <c r="P272" s="165">
        <f t="shared" si="19"/>
        <v>61316.29062522509</v>
      </c>
      <c r="Q272" s="166">
        <f t="shared" si="19"/>
        <v>67037.946438257175</v>
      </c>
    </row>
    <row r="273" spans="1:17" ht="12.75" customHeight="1" x14ac:dyDescent="0.35">
      <c r="A273" s="81"/>
      <c r="B273" s="100">
        <v>1702</v>
      </c>
      <c r="C273" s="160" t="s">
        <v>273</v>
      </c>
      <c r="D273" s="161">
        <v>5.0964403324447202E-4</v>
      </c>
      <c r="E273" s="161">
        <f t="shared" si="18"/>
        <v>5.0964403324447202E-4</v>
      </c>
      <c r="F273" s="162">
        <f t="shared" si="17"/>
        <v>5.0964403324447202E-4</v>
      </c>
      <c r="G273" s="162">
        <f t="shared" si="17"/>
        <v>5.0964403324447202E-4</v>
      </c>
      <c r="H273" s="162">
        <f t="shared" si="17"/>
        <v>5.0964403324447202E-4</v>
      </c>
      <c r="I273" s="162">
        <f t="shared" si="17"/>
        <v>5.0964403324447202E-4</v>
      </c>
      <c r="J273" s="163">
        <f t="shared" si="17"/>
        <v>5.0964403324447202E-4</v>
      </c>
      <c r="L273" s="164">
        <f t="shared" si="20"/>
        <v>52876.329253926924</v>
      </c>
      <c r="M273" s="165">
        <f t="shared" si="20"/>
        <v>54292.908133367411</v>
      </c>
      <c r="N273" s="165">
        <f t="shared" si="20"/>
        <v>60525.057962583611</v>
      </c>
      <c r="O273" s="165">
        <f t="shared" si="19"/>
        <v>66773.512346203424</v>
      </c>
      <c r="P273" s="165">
        <f t="shared" si="19"/>
        <v>72464.707102538683</v>
      </c>
      <c r="Q273" s="166">
        <f t="shared" si="19"/>
        <v>79226.66397248568</v>
      </c>
    </row>
    <row r="274" spans="1:17" ht="12.75" customHeight="1" x14ac:dyDescent="0.35">
      <c r="A274" s="81"/>
      <c r="B274" s="100">
        <v>845</v>
      </c>
      <c r="C274" s="160" t="s">
        <v>274</v>
      </c>
      <c r="D274" s="161">
        <v>1.80335580994198E-3</v>
      </c>
      <c r="E274" s="161">
        <f t="shared" si="18"/>
        <v>1.80335580994198E-3</v>
      </c>
      <c r="F274" s="162">
        <f t="shared" si="17"/>
        <v>1.80335580994198E-3</v>
      </c>
      <c r="G274" s="162">
        <f t="shared" si="17"/>
        <v>1.80335580994198E-3</v>
      </c>
      <c r="H274" s="162">
        <f t="shared" si="17"/>
        <v>1.80335580994198E-3</v>
      </c>
      <c r="I274" s="162">
        <f t="shared" si="17"/>
        <v>1.80335580994198E-3</v>
      </c>
      <c r="J274" s="163">
        <f t="shared" si="17"/>
        <v>1.80335580994198E-3</v>
      </c>
      <c r="L274" s="164">
        <f t="shared" si="20"/>
        <v>187100.85736004935</v>
      </c>
      <c r="M274" s="165">
        <f t="shared" si="20"/>
        <v>192113.36724114648</v>
      </c>
      <c r="N274" s="165">
        <f t="shared" si="20"/>
        <v>214165.58971375765</v>
      </c>
      <c r="O274" s="165">
        <f t="shared" si="19"/>
        <v>236275.50522502777</v>
      </c>
      <c r="P274" s="165">
        <f t="shared" si="19"/>
        <v>256413.57897821412</v>
      </c>
      <c r="Q274" s="166">
        <f t="shared" si="19"/>
        <v>280340.50328725734</v>
      </c>
    </row>
    <row r="275" spans="1:17" ht="12.75" customHeight="1" x14ac:dyDescent="0.35">
      <c r="A275" s="81"/>
      <c r="B275" s="100">
        <v>1883</v>
      </c>
      <c r="C275" s="160" t="s">
        <v>275</v>
      </c>
      <c r="D275" s="161">
        <v>6.0373216245883697E-3</v>
      </c>
      <c r="E275" s="161">
        <f t="shared" si="18"/>
        <v>6.0373216245883697E-3</v>
      </c>
      <c r="F275" s="162">
        <f t="shared" si="17"/>
        <v>6.0373216245883697E-3</v>
      </c>
      <c r="G275" s="162">
        <f t="shared" si="17"/>
        <v>6.0373216245883697E-3</v>
      </c>
      <c r="H275" s="162">
        <f t="shared" si="17"/>
        <v>6.0373216245883697E-3</v>
      </c>
      <c r="I275" s="162">
        <f t="shared" si="17"/>
        <v>6.0373216245883697E-3</v>
      </c>
      <c r="J275" s="163">
        <f t="shared" si="17"/>
        <v>6.0373216245883697E-3</v>
      </c>
      <c r="L275" s="164">
        <f t="shared" si="20"/>
        <v>626381.13116190454</v>
      </c>
      <c r="M275" s="165">
        <f t="shared" si="20"/>
        <v>643162.14250296878</v>
      </c>
      <c r="N275" s="165">
        <f t="shared" si="20"/>
        <v>716989.14817214536</v>
      </c>
      <c r="O275" s="165">
        <f t="shared" si="19"/>
        <v>791009.30010118021</v>
      </c>
      <c r="P275" s="165">
        <f t="shared" si="19"/>
        <v>858428.06875315181</v>
      </c>
      <c r="Q275" s="166">
        <f t="shared" si="19"/>
        <v>938531.25013560103</v>
      </c>
    </row>
    <row r="276" spans="1:17" ht="12.75" customHeight="1" x14ac:dyDescent="0.35">
      <c r="A276" s="81"/>
      <c r="B276" s="100">
        <v>610</v>
      </c>
      <c r="C276" s="160" t="s">
        <v>276</v>
      </c>
      <c r="D276" s="161">
        <v>1.1172965344205699E-3</v>
      </c>
      <c r="E276" s="161">
        <f t="shared" si="18"/>
        <v>1.1172965344205699E-3</v>
      </c>
      <c r="F276" s="162">
        <f t="shared" si="17"/>
        <v>1.1172965344205699E-3</v>
      </c>
      <c r="G276" s="162">
        <f t="shared" si="17"/>
        <v>1.1172965344205699E-3</v>
      </c>
      <c r="H276" s="162">
        <f t="shared" si="17"/>
        <v>1.1172965344205699E-3</v>
      </c>
      <c r="I276" s="162">
        <f t="shared" si="17"/>
        <v>1.1172965344205699E-3</v>
      </c>
      <c r="J276" s="163">
        <f t="shared" si="17"/>
        <v>1.1172965344205699E-3</v>
      </c>
      <c r="L276" s="164">
        <f t="shared" si="20"/>
        <v>115921.18336437791</v>
      </c>
      <c r="M276" s="165">
        <f t="shared" si="20"/>
        <v>119026.76013853592</v>
      </c>
      <c r="N276" s="165">
        <f t="shared" si="20"/>
        <v>132689.55014874059</v>
      </c>
      <c r="O276" s="165">
        <f t="shared" si="19"/>
        <v>146388.08475898398</v>
      </c>
      <c r="P276" s="165">
        <f t="shared" si="19"/>
        <v>158864.93480171895</v>
      </c>
      <c r="Q276" s="166">
        <f t="shared" si="19"/>
        <v>173689.22486275656</v>
      </c>
    </row>
    <row r="277" spans="1:17" ht="12.75" customHeight="1" x14ac:dyDescent="0.35">
      <c r="A277" s="81"/>
      <c r="B277" s="100">
        <v>1714</v>
      </c>
      <c r="C277" s="160" t="s">
        <v>277</v>
      </c>
      <c r="D277" s="161">
        <v>1.3133134702838301E-3</v>
      </c>
      <c r="E277" s="161">
        <f t="shared" si="18"/>
        <v>1.3133134702838301E-3</v>
      </c>
      <c r="F277" s="162">
        <f t="shared" si="17"/>
        <v>1.3133134702838301E-3</v>
      </c>
      <c r="G277" s="162">
        <f t="shared" si="17"/>
        <v>1.3133134702838301E-3</v>
      </c>
      <c r="H277" s="162">
        <f t="shared" si="17"/>
        <v>1.3133134702838301E-3</v>
      </c>
      <c r="I277" s="162">
        <f t="shared" si="17"/>
        <v>1.3133134702838301E-3</v>
      </c>
      <c r="J277" s="163">
        <f t="shared" si="17"/>
        <v>1.3133134702838301E-3</v>
      </c>
      <c r="L277" s="164">
        <f t="shared" si="20"/>
        <v>136258.23307742691</v>
      </c>
      <c r="M277" s="165">
        <f t="shared" si="20"/>
        <v>139908.64788213893</v>
      </c>
      <c r="N277" s="165">
        <f t="shared" si="20"/>
        <v>155968.41859588836</v>
      </c>
      <c r="O277" s="165">
        <f t="shared" si="19"/>
        <v>172070.20489213936</v>
      </c>
      <c r="P277" s="165">
        <f t="shared" si="19"/>
        <v>186735.9759950033</v>
      </c>
      <c r="Q277" s="166">
        <f t="shared" si="19"/>
        <v>204161.01869832823</v>
      </c>
    </row>
    <row r="278" spans="1:17" ht="12.75" customHeight="1" x14ac:dyDescent="0.35">
      <c r="A278" s="81"/>
      <c r="B278" s="100">
        <v>90</v>
      </c>
      <c r="C278" s="160" t="s">
        <v>278</v>
      </c>
      <c r="D278" s="161">
        <v>4.2731692018190401E-3</v>
      </c>
      <c r="E278" s="161">
        <f t="shared" si="18"/>
        <v>4.2731692018190401E-3</v>
      </c>
      <c r="F278" s="162">
        <f t="shared" si="17"/>
        <v>4.2731692018190401E-3</v>
      </c>
      <c r="G278" s="162">
        <f t="shared" si="17"/>
        <v>4.2731692018190401E-3</v>
      </c>
      <c r="H278" s="162">
        <f t="shared" si="17"/>
        <v>4.2731692018190401E-3</v>
      </c>
      <c r="I278" s="162">
        <f t="shared" si="17"/>
        <v>4.2731692018190401E-3</v>
      </c>
      <c r="J278" s="163">
        <f t="shared" si="17"/>
        <v>4.2731692018190401E-3</v>
      </c>
      <c r="L278" s="164">
        <f t="shared" si="20"/>
        <v>443347.68374446477</v>
      </c>
      <c r="M278" s="165">
        <f t="shared" si="20"/>
        <v>455225.15281054284</v>
      </c>
      <c r="N278" s="165">
        <f t="shared" si="20"/>
        <v>507479.33214781707</v>
      </c>
      <c r="O278" s="165">
        <f t="shared" si="19"/>
        <v>559870.21890278324</v>
      </c>
      <c r="P278" s="165">
        <f t="shared" si="19"/>
        <v>607588.69801359437</v>
      </c>
      <c r="Q278" s="166">
        <f t="shared" si="19"/>
        <v>664285.10561545775</v>
      </c>
    </row>
    <row r="279" spans="1:17" ht="12.75" customHeight="1" x14ac:dyDescent="0.35">
      <c r="A279" s="81"/>
      <c r="B279" s="100">
        <v>342</v>
      </c>
      <c r="C279" s="160" t="s">
        <v>279</v>
      </c>
      <c r="D279" s="161">
        <v>1.0976948408342501E-3</v>
      </c>
      <c r="E279" s="161">
        <f t="shared" si="18"/>
        <v>1.0976948408342501E-3</v>
      </c>
      <c r="F279" s="162">
        <f t="shared" si="17"/>
        <v>1.0976948408342501E-3</v>
      </c>
      <c r="G279" s="162">
        <f t="shared" si="17"/>
        <v>1.0976948408342501E-3</v>
      </c>
      <c r="H279" s="162">
        <f t="shared" si="17"/>
        <v>1.0976948408342501E-3</v>
      </c>
      <c r="I279" s="162">
        <f t="shared" si="17"/>
        <v>1.0976948408342501E-3</v>
      </c>
      <c r="J279" s="163">
        <f t="shared" si="17"/>
        <v>1.0976948408342501E-3</v>
      </c>
      <c r="L279" s="164">
        <f t="shared" si="20"/>
        <v>113887.47839307366</v>
      </c>
      <c r="M279" s="165">
        <f t="shared" si="20"/>
        <v>116938.57136417626</v>
      </c>
      <c r="N279" s="165">
        <f t="shared" si="20"/>
        <v>130361.66330402656</v>
      </c>
      <c r="O279" s="165">
        <f t="shared" si="19"/>
        <v>143819.87274566927</v>
      </c>
      <c r="P279" s="165">
        <f t="shared" si="19"/>
        <v>156077.83068239139</v>
      </c>
      <c r="Q279" s="166">
        <f t="shared" si="19"/>
        <v>170642.04547920034</v>
      </c>
    </row>
    <row r="280" spans="1:17" ht="12.75" customHeight="1" x14ac:dyDescent="0.35">
      <c r="A280" s="81"/>
      <c r="B280" s="100">
        <v>847</v>
      </c>
      <c r="C280" s="160" t="s">
        <v>280</v>
      </c>
      <c r="D280" s="161">
        <v>6.2725419476242705E-4</v>
      </c>
      <c r="E280" s="161">
        <f t="shared" si="18"/>
        <v>6.2725419476242705E-4</v>
      </c>
      <c r="F280" s="162">
        <f t="shared" si="17"/>
        <v>6.2725419476242705E-4</v>
      </c>
      <c r="G280" s="162">
        <f t="shared" si="17"/>
        <v>6.2725419476242705E-4</v>
      </c>
      <c r="H280" s="162">
        <f t="shared" si="17"/>
        <v>6.2725419476242705E-4</v>
      </c>
      <c r="I280" s="162">
        <f t="shared" si="17"/>
        <v>6.2725419476242705E-4</v>
      </c>
      <c r="J280" s="163">
        <f t="shared" si="17"/>
        <v>6.2725419476242705E-4</v>
      </c>
      <c r="L280" s="164">
        <f t="shared" si="20"/>
        <v>65078.559081756204</v>
      </c>
      <c r="M280" s="165">
        <f t="shared" si="20"/>
        <v>66822.040779529125</v>
      </c>
      <c r="N280" s="165">
        <f t="shared" si="20"/>
        <v>74492.379030872136</v>
      </c>
      <c r="O280" s="165">
        <f t="shared" si="19"/>
        <v>82182.784426096507</v>
      </c>
      <c r="P280" s="165">
        <f t="shared" si="19"/>
        <v>89187.331818509148</v>
      </c>
      <c r="Q280" s="166">
        <f t="shared" si="19"/>
        <v>97509.740273828516</v>
      </c>
    </row>
    <row r="281" spans="1:17" ht="12.75" customHeight="1" x14ac:dyDescent="0.35">
      <c r="A281" s="81"/>
      <c r="B281" s="100">
        <v>848</v>
      </c>
      <c r="C281" s="160" t="s">
        <v>281</v>
      </c>
      <c r="D281" s="161">
        <v>5.2924572683079804E-4</v>
      </c>
      <c r="E281" s="161">
        <f t="shared" si="18"/>
        <v>5.2924572683079804E-4</v>
      </c>
      <c r="F281" s="162">
        <f t="shared" si="17"/>
        <v>5.2924572683079804E-4</v>
      </c>
      <c r="G281" s="162">
        <f t="shared" si="17"/>
        <v>5.2924572683079804E-4</v>
      </c>
      <c r="H281" s="162">
        <f t="shared" si="17"/>
        <v>5.2924572683079804E-4</v>
      </c>
      <c r="I281" s="162">
        <f t="shared" si="17"/>
        <v>5.2924572683079804E-4</v>
      </c>
      <c r="J281" s="163">
        <f t="shared" si="17"/>
        <v>5.2924572683079804E-4</v>
      </c>
      <c r="L281" s="164">
        <f t="shared" si="20"/>
        <v>54910.034225231822</v>
      </c>
      <c r="M281" s="165">
        <f t="shared" si="20"/>
        <v>56381.096907727726</v>
      </c>
      <c r="N281" s="165">
        <f t="shared" si="20"/>
        <v>62852.944807298387</v>
      </c>
      <c r="O281" s="165">
        <f t="shared" si="19"/>
        <v>69341.724359518965</v>
      </c>
      <c r="P281" s="165">
        <f t="shared" si="19"/>
        <v>75251.81122186713</v>
      </c>
      <c r="Q281" s="166">
        <f t="shared" si="19"/>
        <v>82273.843356042853</v>
      </c>
    </row>
    <row r="282" spans="1:17" ht="12.75" customHeight="1" x14ac:dyDescent="0.35">
      <c r="A282" s="81"/>
      <c r="B282" s="100">
        <v>37</v>
      </c>
      <c r="C282" s="160" t="s">
        <v>282</v>
      </c>
      <c r="D282" s="161">
        <v>4.4103810569233199E-3</v>
      </c>
      <c r="E282" s="161">
        <f t="shared" si="18"/>
        <v>4.4103810569233199E-3</v>
      </c>
      <c r="F282" s="162">
        <f t="shared" si="17"/>
        <v>4.4103810569233199E-3</v>
      </c>
      <c r="G282" s="162">
        <f t="shared" si="17"/>
        <v>4.4103810569233199E-3</v>
      </c>
      <c r="H282" s="162">
        <f t="shared" si="17"/>
        <v>4.4103810569233199E-3</v>
      </c>
      <c r="I282" s="162">
        <f t="shared" si="17"/>
        <v>4.4103810569233199E-3</v>
      </c>
      <c r="J282" s="163">
        <f t="shared" si="17"/>
        <v>4.4103810569233199E-3</v>
      </c>
      <c r="L282" s="164">
        <f t="shared" si="20"/>
        <v>457583.6185435988</v>
      </c>
      <c r="M282" s="165">
        <f t="shared" si="20"/>
        <v>469842.47423106467</v>
      </c>
      <c r="N282" s="165">
        <f t="shared" si="20"/>
        <v>523774.54006082029</v>
      </c>
      <c r="O282" s="165">
        <f t="shared" si="19"/>
        <v>577847.70299599168</v>
      </c>
      <c r="P282" s="165">
        <f t="shared" si="19"/>
        <v>627098.42684889305</v>
      </c>
      <c r="Q282" s="166">
        <f t="shared" si="19"/>
        <v>685615.36130035762</v>
      </c>
    </row>
    <row r="283" spans="1:17" ht="12.75" customHeight="1" x14ac:dyDescent="0.35">
      <c r="A283" s="81"/>
      <c r="B283" s="100">
        <v>180</v>
      </c>
      <c r="C283" s="160" t="s">
        <v>283</v>
      </c>
      <c r="D283" s="161">
        <v>5.8805080758977599E-4</v>
      </c>
      <c r="E283" s="161">
        <f t="shared" si="18"/>
        <v>5.8805080758977599E-4</v>
      </c>
      <c r="F283" s="162">
        <f t="shared" si="17"/>
        <v>5.8805080758977599E-4</v>
      </c>
      <c r="G283" s="162">
        <f t="shared" si="17"/>
        <v>5.8805080758977599E-4</v>
      </c>
      <c r="H283" s="162">
        <f t="shared" si="17"/>
        <v>5.8805080758977599E-4</v>
      </c>
      <c r="I283" s="162">
        <f t="shared" si="17"/>
        <v>5.8805080758977599E-4</v>
      </c>
      <c r="J283" s="163">
        <f t="shared" si="17"/>
        <v>5.8805080758977599E-4</v>
      </c>
      <c r="L283" s="164">
        <f t="shared" si="20"/>
        <v>61011.14913914651</v>
      </c>
      <c r="M283" s="165">
        <f t="shared" si="20"/>
        <v>62645.663230808619</v>
      </c>
      <c r="N283" s="165">
        <f t="shared" si="20"/>
        <v>69836.605341442715</v>
      </c>
      <c r="O283" s="165">
        <f t="shared" si="19"/>
        <v>77046.360399465571</v>
      </c>
      <c r="P283" s="165">
        <f t="shared" si="19"/>
        <v>83613.123579852414</v>
      </c>
      <c r="Q283" s="166">
        <f t="shared" si="19"/>
        <v>91415.38150671433</v>
      </c>
    </row>
    <row r="284" spans="1:17" ht="12.75" customHeight="1" x14ac:dyDescent="0.35">
      <c r="A284" s="81"/>
      <c r="B284" s="100">
        <v>532</v>
      </c>
      <c r="C284" s="160" t="s">
        <v>284</v>
      </c>
      <c r="D284" s="161">
        <v>1.25450838952485E-3</v>
      </c>
      <c r="E284" s="161">
        <f t="shared" si="18"/>
        <v>1.25450838952485E-3</v>
      </c>
      <c r="F284" s="162">
        <f t="shared" si="17"/>
        <v>1.25450838952485E-3</v>
      </c>
      <c r="G284" s="162">
        <f t="shared" si="17"/>
        <v>1.25450838952485E-3</v>
      </c>
      <c r="H284" s="162">
        <f t="shared" si="17"/>
        <v>1.25450838952485E-3</v>
      </c>
      <c r="I284" s="162">
        <f t="shared" si="17"/>
        <v>1.25450838952485E-3</v>
      </c>
      <c r="J284" s="163">
        <f t="shared" si="17"/>
        <v>1.25450838952485E-3</v>
      </c>
      <c r="L284" s="164">
        <f t="shared" si="20"/>
        <v>130157.11816351199</v>
      </c>
      <c r="M284" s="165">
        <f t="shared" si="20"/>
        <v>133644.08155905781</v>
      </c>
      <c r="N284" s="165">
        <f t="shared" si="20"/>
        <v>148984.75806174378</v>
      </c>
      <c r="O284" s="165">
        <f t="shared" si="19"/>
        <v>164365.56885219249</v>
      </c>
      <c r="P284" s="165">
        <f t="shared" si="19"/>
        <v>178374.66363701769</v>
      </c>
      <c r="Q284" s="166">
        <f t="shared" si="19"/>
        <v>195019.48054765639</v>
      </c>
    </row>
    <row r="285" spans="1:17" ht="12.75" customHeight="1" x14ac:dyDescent="0.35">
      <c r="A285" s="81"/>
      <c r="B285" s="100">
        <v>851</v>
      </c>
      <c r="C285" s="160" t="s">
        <v>285</v>
      </c>
      <c r="D285" s="161">
        <v>1.0192880664889399E-3</v>
      </c>
      <c r="E285" s="161">
        <f t="shared" si="18"/>
        <v>1.0192880664889399E-3</v>
      </c>
      <c r="F285" s="162">
        <f t="shared" si="17"/>
        <v>1.0192880664889399E-3</v>
      </c>
      <c r="G285" s="162">
        <f t="shared" si="17"/>
        <v>1.0192880664889399E-3</v>
      </c>
      <c r="H285" s="162">
        <f t="shared" si="17"/>
        <v>1.0192880664889399E-3</v>
      </c>
      <c r="I285" s="162">
        <f t="shared" si="17"/>
        <v>1.0192880664889399E-3</v>
      </c>
      <c r="J285" s="163">
        <f t="shared" si="17"/>
        <v>1.0192880664889399E-3</v>
      </c>
      <c r="L285" s="164">
        <f t="shared" si="20"/>
        <v>105752.65850785341</v>
      </c>
      <c r="M285" s="165">
        <f t="shared" si="20"/>
        <v>108585.81626673439</v>
      </c>
      <c r="N285" s="165">
        <f t="shared" si="20"/>
        <v>121050.11592516674</v>
      </c>
      <c r="O285" s="165">
        <f t="shared" si="19"/>
        <v>133547.0246924063</v>
      </c>
      <c r="P285" s="165">
        <f t="shared" si="19"/>
        <v>144929.41420507678</v>
      </c>
      <c r="Q285" s="166">
        <f t="shared" si="19"/>
        <v>158453.32794497072</v>
      </c>
    </row>
    <row r="286" spans="1:17" ht="12.75" customHeight="1" x14ac:dyDescent="0.35">
      <c r="A286" s="81"/>
      <c r="B286" s="100">
        <v>1708</v>
      </c>
      <c r="C286" s="160" t="s">
        <v>286</v>
      </c>
      <c r="D286" s="161">
        <v>2.2541947624274698E-3</v>
      </c>
      <c r="E286" s="161">
        <f t="shared" si="18"/>
        <v>2.2541947624274698E-3</v>
      </c>
      <c r="F286" s="162">
        <f t="shared" si="17"/>
        <v>2.2541947624274698E-3</v>
      </c>
      <c r="G286" s="162">
        <f t="shared" si="17"/>
        <v>2.2541947624274698E-3</v>
      </c>
      <c r="H286" s="162">
        <f t="shared" si="17"/>
        <v>2.2541947624274698E-3</v>
      </c>
      <c r="I286" s="162">
        <f t="shared" si="17"/>
        <v>2.2541947624274698E-3</v>
      </c>
      <c r="J286" s="163">
        <f t="shared" si="17"/>
        <v>2.2541947624274698E-3</v>
      </c>
      <c r="L286" s="164">
        <f t="shared" si="20"/>
        <v>233876.07170006112</v>
      </c>
      <c r="M286" s="165">
        <f t="shared" si="20"/>
        <v>240141.70905143252</v>
      </c>
      <c r="N286" s="165">
        <f t="shared" si="20"/>
        <v>267706.98714219651</v>
      </c>
      <c r="O286" s="165">
        <f t="shared" si="19"/>
        <v>295344.38153128407</v>
      </c>
      <c r="P286" s="165">
        <f t="shared" si="19"/>
        <v>320516.97372276691</v>
      </c>
      <c r="Q286" s="166">
        <f t="shared" si="19"/>
        <v>350425.62910907093</v>
      </c>
    </row>
    <row r="287" spans="1:17" ht="12.75" customHeight="1" x14ac:dyDescent="0.35">
      <c r="A287" s="81"/>
      <c r="B287" s="100">
        <v>971</v>
      </c>
      <c r="C287" s="160" t="s">
        <v>287</v>
      </c>
      <c r="D287" s="161">
        <v>9.8008467931629309E-4</v>
      </c>
      <c r="E287" s="161">
        <f t="shared" si="18"/>
        <v>9.8008467931629309E-4</v>
      </c>
      <c r="F287" s="162">
        <f t="shared" si="17"/>
        <v>9.8008467931629309E-4</v>
      </c>
      <c r="G287" s="162">
        <f t="shared" si="17"/>
        <v>9.8008467931629309E-4</v>
      </c>
      <c r="H287" s="162">
        <f t="shared" si="17"/>
        <v>9.8008467931629309E-4</v>
      </c>
      <c r="I287" s="162">
        <f t="shared" si="17"/>
        <v>9.8008467931629309E-4</v>
      </c>
      <c r="J287" s="163">
        <f t="shared" si="17"/>
        <v>9.8008467931629309E-4</v>
      </c>
      <c r="L287" s="164">
        <f t="shared" si="20"/>
        <v>101685.24856524417</v>
      </c>
      <c r="M287" s="165">
        <f t="shared" si="20"/>
        <v>104409.43871801435</v>
      </c>
      <c r="N287" s="165">
        <f t="shared" si="20"/>
        <v>116394.34223573783</v>
      </c>
      <c r="O287" s="165">
        <f t="shared" si="19"/>
        <v>128410.60066577591</v>
      </c>
      <c r="P287" s="165">
        <f t="shared" si="19"/>
        <v>139355.20596642065</v>
      </c>
      <c r="Q287" s="166">
        <f t="shared" si="19"/>
        <v>152358.96917785722</v>
      </c>
    </row>
    <row r="288" spans="1:17" ht="12.75" customHeight="1" x14ac:dyDescent="0.35">
      <c r="A288" s="81"/>
      <c r="B288" s="100">
        <v>1904</v>
      </c>
      <c r="C288" s="160" t="s">
        <v>288</v>
      </c>
      <c r="D288" s="161">
        <v>2.3718049239454301E-3</v>
      </c>
      <c r="E288" s="161">
        <f t="shared" si="18"/>
        <v>2.3718049239454301E-3</v>
      </c>
      <c r="F288" s="162">
        <f t="shared" si="17"/>
        <v>2.3718049239454301E-3</v>
      </c>
      <c r="G288" s="162">
        <f t="shared" si="17"/>
        <v>2.3718049239454301E-3</v>
      </c>
      <c r="H288" s="162">
        <f t="shared" si="17"/>
        <v>2.3718049239454301E-3</v>
      </c>
      <c r="I288" s="162">
        <f t="shared" si="17"/>
        <v>2.3718049239454301E-3</v>
      </c>
      <c r="J288" s="163">
        <f t="shared" si="17"/>
        <v>2.3718049239454301E-3</v>
      </c>
      <c r="L288" s="164">
        <f t="shared" si="20"/>
        <v>246078.30152789096</v>
      </c>
      <c r="M288" s="165">
        <f t="shared" si="20"/>
        <v>252670.84169759479</v>
      </c>
      <c r="N288" s="165">
        <f t="shared" si="20"/>
        <v>281674.30821048561</v>
      </c>
      <c r="O288" s="165">
        <f t="shared" si="19"/>
        <v>310753.65361117781</v>
      </c>
      <c r="P288" s="165">
        <f t="shared" si="19"/>
        <v>337239.59843873815</v>
      </c>
      <c r="Q288" s="166">
        <f t="shared" si="19"/>
        <v>368708.70541041455</v>
      </c>
    </row>
    <row r="289" spans="1:17" ht="12.75" customHeight="1" x14ac:dyDescent="0.35">
      <c r="A289" s="81"/>
      <c r="B289" s="100">
        <v>1900</v>
      </c>
      <c r="C289" s="160" t="s">
        <v>289</v>
      </c>
      <c r="D289" s="161">
        <v>2.8814489571898998E-3</v>
      </c>
      <c r="E289" s="161">
        <f t="shared" si="18"/>
        <v>2.8814489571898998E-3</v>
      </c>
      <c r="F289" s="162">
        <f t="shared" si="17"/>
        <v>2.8814489571898998E-3</v>
      </c>
      <c r="G289" s="162">
        <f t="shared" si="17"/>
        <v>2.8814489571898998E-3</v>
      </c>
      <c r="H289" s="162">
        <f t="shared" si="17"/>
        <v>2.8814489571898998E-3</v>
      </c>
      <c r="I289" s="162">
        <f t="shared" si="17"/>
        <v>2.8814489571898998E-3</v>
      </c>
      <c r="J289" s="163">
        <f t="shared" si="17"/>
        <v>2.8814489571898998E-3</v>
      </c>
      <c r="L289" s="164">
        <f t="shared" si="20"/>
        <v>298954.63078181766</v>
      </c>
      <c r="M289" s="165">
        <f t="shared" si="20"/>
        <v>306963.74983096198</v>
      </c>
      <c r="N289" s="165">
        <f t="shared" si="20"/>
        <v>342199.36617306893</v>
      </c>
      <c r="O289" s="165">
        <f t="shared" si="19"/>
        <v>377527.16595738096</v>
      </c>
      <c r="P289" s="165">
        <f t="shared" si="19"/>
        <v>409704.30554127647</v>
      </c>
      <c r="Q289" s="166">
        <f t="shared" si="19"/>
        <v>447935.36938289984</v>
      </c>
    </row>
    <row r="290" spans="1:17" ht="12.75" customHeight="1" x14ac:dyDescent="0.35">
      <c r="A290" s="81"/>
      <c r="B290" s="100">
        <v>715</v>
      </c>
      <c r="C290" s="160" t="s">
        <v>290</v>
      </c>
      <c r="D290" s="161">
        <v>5.72369452720715E-3</v>
      </c>
      <c r="E290" s="161">
        <f t="shared" si="18"/>
        <v>5.72369452720715E-3</v>
      </c>
      <c r="F290" s="162">
        <f t="shared" si="17"/>
        <v>5.72369452720715E-3</v>
      </c>
      <c r="G290" s="162">
        <f t="shared" si="17"/>
        <v>5.72369452720715E-3</v>
      </c>
      <c r="H290" s="162">
        <f t="shared" si="17"/>
        <v>5.72369452720715E-3</v>
      </c>
      <c r="I290" s="162">
        <f t="shared" si="17"/>
        <v>5.72369452720715E-3</v>
      </c>
      <c r="J290" s="163">
        <f t="shared" si="17"/>
        <v>5.72369452720715E-3</v>
      </c>
      <c r="L290" s="164">
        <f t="shared" si="20"/>
        <v>593841.85162102582</v>
      </c>
      <c r="M290" s="165">
        <f t="shared" si="20"/>
        <v>609751.12211320351</v>
      </c>
      <c r="N290" s="165">
        <f t="shared" si="20"/>
        <v>679742.95865670871</v>
      </c>
      <c r="O290" s="165">
        <f t="shared" si="19"/>
        <v>749917.9078881311</v>
      </c>
      <c r="P290" s="165">
        <f t="shared" si="19"/>
        <v>813834.40284389642</v>
      </c>
      <c r="Q290" s="166">
        <f t="shared" si="19"/>
        <v>889776.37999868568</v>
      </c>
    </row>
    <row r="291" spans="1:17" ht="12.75" customHeight="1" x14ac:dyDescent="0.35">
      <c r="A291" s="81"/>
      <c r="B291" s="100">
        <v>93</v>
      </c>
      <c r="C291" s="160" t="s">
        <v>291</v>
      </c>
      <c r="D291" s="161">
        <v>5.88050807589776E-5</v>
      </c>
      <c r="E291" s="161">
        <f t="shared" si="18"/>
        <v>8.6716898232902325E-5</v>
      </c>
      <c r="F291" s="162">
        <f t="shared" si="17"/>
        <v>7.2261794157117785E-5</v>
      </c>
      <c r="G291" s="162">
        <f t="shared" si="17"/>
        <v>6.4823545258620684E-5</v>
      </c>
      <c r="H291" s="162">
        <f t="shared" si="17"/>
        <v>5.88050807589776E-5</v>
      </c>
      <c r="I291" s="162">
        <f t="shared" si="17"/>
        <v>5.88050807589776E-5</v>
      </c>
      <c r="J291" s="163">
        <f t="shared" si="17"/>
        <v>5.88050807589776E-5</v>
      </c>
      <c r="L291" s="164">
        <f t="shared" si="20"/>
        <v>8997.0076440445646</v>
      </c>
      <c r="M291" s="165">
        <f t="shared" si="20"/>
        <v>7698.1239763533658</v>
      </c>
      <c r="N291" s="165">
        <f t="shared" si="20"/>
        <v>7698.4102200528141</v>
      </c>
      <c r="O291" s="165">
        <f t="shared" si="19"/>
        <v>7704.6360399465566</v>
      </c>
      <c r="P291" s="165">
        <f t="shared" si="19"/>
        <v>8361.3123579852418</v>
      </c>
      <c r="Q291" s="166">
        <f t="shared" si="19"/>
        <v>9141.5381506714348</v>
      </c>
    </row>
    <row r="292" spans="1:17" ht="12.75" customHeight="1" x14ac:dyDescent="0.35">
      <c r="A292" s="81"/>
      <c r="B292" s="100">
        <v>448</v>
      </c>
      <c r="C292" s="160" t="s">
        <v>292</v>
      </c>
      <c r="D292" s="161">
        <v>9.8008467931629309E-4</v>
      </c>
      <c r="E292" s="161">
        <f t="shared" si="18"/>
        <v>9.8008467931629309E-4</v>
      </c>
      <c r="F292" s="162">
        <f t="shared" si="17"/>
        <v>9.8008467931629309E-4</v>
      </c>
      <c r="G292" s="162">
        <f t="shared" si="17"/>
        <v>9.8008467931629309E-4</v>
      </c>
      <c r="H292" s="162">
        <f t="shared" si="17"/>
        <v>9.8008467931629309E-4</v>
      </c>
      <c r="I292" s="162">
        <f t="shared" si="17"/>
        <v>9.8008467931629309E-4</v>
      </c>
      <c r="J292" s="163">
        <f t="shared" si="17"/>
        <v>9.8008467931629309E-4</v>
      </c>
      <c r="L292" s="164">
        <f t="shared" si="20"/>
        <v>101685.24856524417</v>
      </c>
      <c r="M292" s="165">
        <f t="shared" si="20"/>
        <v>104409.43871801435</v>
      </c>
      <c r="N292" s="165">
        <f t="shared" si="20"/>
        <v>116394.34223573783</v>
      </c>
      <c r="O292" s="165">
        <f t="shared" si="19"/>
        <v>128410.60066577591</v>
      </c>
      <c r="P292" s="165">
        <f t="shared" si="19"/>
        <v>139355.20596642065</v>
      </c>
      <c r="Q292" s="166">
        <f t="shared" si="19"/>
        <v>152358.96917785722</v>
      </c>
    </row>
    <row r="293" spans="1:17" ht="12.75" customHeight="1" x14ac:dyDescent="0.35">
      <c r="A293" s="81"/>
      <c r="B293" s="100">
        <v>1525</v>
      </c>
      <c r="C293" s="160" t="s">
        <v>293</v>
      </c>
      <c r="D293" s="161">
        <v>1.70534734201035E-3</v>
      </c>
      <c r="E293" s="161">
        <f t="shared" si="18"/>
        <v>1.70534734201035E-3</v>
      </c>
      <c r="F293" s="162">
        <f t="shared" si="17"/>
        <v>1.70534734201035E-3</v>
      </c>
      <c r="G293" s="162">
        <f t="shared" si="17"/>
        <v>1.70534734201035E-3</v>
      </c>
      <c r="H293" s="162">
        <f t="shared" si="17"/>
        <v>1.70534734201035E-3</v>
      </c>
      <c r="I293" s="162">
        <f t="shared" si="17"/>
        <v>1.70534734201035E-3</v>
      </c>
      <c r="J293" s="163">
        <f t="shared" si="17"/>
        <v>1.70534734201035E-3</v>
      </c>
      <c r="L293" s="164">
        <f t="shared" si="20"/>
        <v>176932.33250352484</v>
      </c>
      <c r="M293" s="165">
        <f t="shared" si="20"/>
        <v>181672.42336934496</v>
      </c>
      <c r="N293" s="165">
        <f t="shared" si="20"/>
        <v>202526.1554901838</v>
      </c>
      <c r="O293" s="165">
        <f t="shared" si="19"/>
        <v>223434.44515845008</v>
      </c>
      <c r="P293" s="165">
        <f t="shared" si="19"/>
        <v>242478.05838157196</v>
      </c>
      <c r="Q293" s="166">
        <f t="shared" si="19"/>
        <v>265104.60636947153</v>
      </c>
    </row>
    <row r="294" spans="1:17" ht="12.75" customHeight="1" x14ac:dyDescent="0.35">
      <c r="A294" s="81"/>
      <c r="B294" s="100">
        <v>716</v>
      </c>
      <c r="C294" s="160" t="s">
        <v>294</v>
      </c>
      <c r="D294" s="161">
        <v>1.1172965344205699E-3</v>
      </c>
      <c r="E294" s="161">
        <f t="shared" si="18"/>
        <v>1.1172965344205699E-3</v>
      </c>
      <c r="F294" s="162">
        <f t="shared" si="17"/>
        <v>1.1172965344205699E-3</v>
      </c>
      <c r="G294" s="162">
        <f t="shared" si="17"/>
        <v>1.1172965344205699E-3</v>
      </c>
      <c r="H294" s="162">
        <f t="shared" si="17"/>
        <v>1.1172965344205699E-3</v>
      </c>
      <c r="I294" s="162">
        <f t="shared" si="17"/>
        <v>1.1172965344205699E-3</v>
      </c>
      <c r="J294" s="163">
        <f t="shared" si="17"/>
        <v>1.1172965344205699E-3</v>
      </c>
      <c r="L294" s="164">
        <f t="shared" si="20"/>
        <v>115921.18336437791</v>
      </c>
      <c r="M294" s="165">
        <f t="shared" si="20"/>
        <v>119026.76013853592</v>
      </c>
      <c r="N294" s="165">
        <f t="shared" si="20"/>
        <v>132689.55014874059</v>
      </c>
      <c r="O294" s="165">
        <f t="shared" si="19"/>
        <v>146388.08475898398</v>
      </c>
      <c r="P294" s="165">
        <f t="shared" si="19"/>
        <v>158864.93480171895</v>
      </c>
      <c r="Q294" s="166">
        <f t="shared" si="19"/>
        <v>173689.22486275656</v>
      </c>
    </row>
    <row r="295" spans="1:17" ht="12.75" customHeight="1" x14ac:dyDescent="0.35">
      <c r="A295" s="81"/>
      <c r="B295" s="100">
        <v>281</v>
      </c>
      <c r="C295" s="160" t="s">
        <v>295</v>
      </c>
      <c r="D295" s="161">
        <v>4.86122000940881E-3</v>
      </c>
      <c r="E295" s="161">
        <f t="shared" si="18"/>
        <v>4.86122000940881E-3</v>
      </c>
      <c r="F295" s="162">
        <f t="shared" si="17"/>
        <v>4.86122000940881E-3</v>
      </c>
      <c r="G295" s="162">
        <f t="shared" si="17"/>
        <v>4.86122000940881E-3</v>
      </c>
      <c r="H295" s="162">
        <f t="shared" si="17"/>
        <v>4.86122000940881E-3</v>
      </c>
      <c r="I295" s="162">
        <f t="shared" si="17"/>
        <v>4.86122000940881E-3</v>
      </c>
      <c r="J295" s="163">
        <f t="shared" si="17"/>
        <v>4.86122000940881E-3</v>
      </c>
      <c r="L295" s="164">
        <f t="shared" si="20"/>
        <v>504358.83288361068</v>
      </c>
      <c r="M295" s="165">
        <f t="shared" si="20"/>
        <v>517870.81604135077</v>
      </c>
      <c r="N295" s="165">
        <f t="shared" si="20"/>
        <v>577315.93748925906</v>
      </c>
      <c r="O295" s="165">
        <f t="shared" si="19"/>
        <v>636916.57930224796</v>
      </c>
      <c r="P295" s="165">
        <f t="shared" si="19"/>
        <v>691201.82159344596</v>
      </c>
      <c r="Q295" s="166">
        <f t="shared" si="19"/>
        <v>755700.48712217109</v>
      </c>
    </row>
    <row r="296" spans="1:17" ht="12.75" customHeight="1" x14ac:dyDescent="0.35">
      <c r="A296" s="81"/>
      <c r="B296" s="100">
        <v>855</v>
      </c>
      <c r="C296" s="160" t="s">
        <v>296</v>
      </c>
      <c r="D296" s="161">
        <v>1.54853379331974E-2</v>
      </c>
      <c r="E296" s="161">
        <f t="shared" si="18"/>
        <v>1.54853379331974E-2</v>
      </c>
      <c r="F296" s="162">
        <f t="shared" si="17"/>
        <v>1.54853379331974E-2</v>
      </c>
      <c r="G296" s="162">
        <f t="shared" si="17"/>
        <v>1.54853379331974E-2</v>
      </c>
      <c r="H296" s="162">
        <f t="shared" si="17"/>
        <v>1.54853379331974E-2</v>
      </c>
      <c r="I296" s="162">
        <f t="shared" si="17"/>
        <v>1.54853379331974E-2</v>
      </c>
      <c r="J296" s="163">
        <f t="shared" si="17"/>
        <v>1.54853379331974E-2</v>
      </c>
      <c r="L296" s="164">
        <f t="shared" si="20"/>
        <v>1606626.9273308546</v>
      </c>
      <c r="M296" s="165">
        <f t="shared" si="20"/>
        <v>1649669.1317446234</v>
      </c>
      <c r="N296" s="165">
        <f t="shared" si="20"/>
        <v>1839030.6073246538</v>
      </c>
      <c r="O296" s="165">
        <f t="shared" si="19"/>
        <v>2028887.4905192554</v>
      </c>
      <c r="P296" s="165">
        <f t="shared" si="19"/>
        <v>2201812.2542694421</v>
      </c>
      <c r="Q296" s="166">
        <f t="shared" si="19"/>
        <v>2407271.7130101388</v>
      </c>
    </row>
    <row r="297" spans="1:17" ht="12.75" customHeight="1" x14ac:dyDescent="0.35">
      <c r="A297" s="81"/>
      <c r="B297" s="100">
        <v>183</v>
      </c>
      <c r="C297" s="160" t="s">
        <v>297</v>
      </c>
      <c r="D297" s="161">
        <v>4.3123725889916898E-4</v>
      </c>
      <c r="E297" s="161">
        <f t="shared" si="18"/>
        <v>4.3123725889916898E-4</v>
      </c>
      <c r="F297" s="162">
        <f t="shared" si="17"/>
        <v>4.3123725889916898E-4</v>
      </c>
      <c r="G297" s="162">
        <f t="shared" si="17"/>
        <v>4.3123725889916898E-4</v>
      </c>
      <c r="H297" s="162">
        <f t="shared" si="17"/>
        <v>4.3123725889916898E-4</v>
      </c>
      <c r="I297" s="162">
        <f t="shared" si="17"/>
        <v>4.3123725889916898E-4</v>
      </c>
      <c r="J297" s="163">
        <f t="shared" si="17"/>
        <v>4.3123725889916898E-4</v>
      </c>
      <c r="L297" s="164">
        <f t="shared" si="20"/>
        <v>44741.50936870744</v>
      </c>
      <c r="M297" s="165">
        <f t="shared" si="20"/>
        <v>45940.153035926312</v>
      </c>
      <c r="N297" s="165">
        <f t="shared" si="20"/>
        <v>51213.510583724645</v>
      </c>
      <c r="O297" s="165">
        <f t="shared" si="19"/>
        <v>56500.664292941401</v>
      </c>
      <c r="P297" s="165">
        <f t="shared" si="19"/>
        <v>61316.29062522509</v>
      </c>
      <c r="Q297" s="166">
        <f t="shared" si="19"/>
        <v>67037.946438257175</v>
      </c>
    </row>
    <row r="298" spans="1:17" ht="12.75" customHeight="1" x14ac:dyDescent="0.35">
      <c r="A298" s="81"/>
      <c r="B298" s="100">
        <v>1700</v>
      </c>
      <c r="C298" s="160" t="s">
        <v>298</v>
      </c>
      <c r="D298" s="161">
        <v>1.8229575035283001E-3</v>
      </c>
      <c r="E298" s="161">
        <f t="shared" si="18"/>
        <v>1.8229575035283001E-3</v>
      </c>
      <c r="F298" s="162">
        <f t="shared" si="17"/>
        <v>1.8229575035283001E-3</v>
      </c>
      <c r="G298" s="162">
        <f t="shared" si="17"/>
        <v>1.8229575035283001E-3</v>
      </c>
      <c r="H298" s="162">
        <f t="shared" si="17"/>
        <v>1.8229575035283001E-3</v>
      </c>
      <c r="I298" s="162">
        <f t="shared" si="17"/>
        <v>1.8229575035283001E-3</v>
      </c>
      <c r="J298" s="163">
        <f t="shared" si="17"/>
        <v>1.8229575035283001E-3</v>
      </c>
      <c r="L298" s="164">
        <f t="shared" si="20"/>
        <v>189134.56233135361</v>
      </c>
      <c r="M298" s="165">
        <f t="shared" si="20"/>
        <v>194201.55601550612</v>
      </c>
      <c r="N298" s="165">
        <f t="shared" si="20"/>
        <v>216493.47655847174</v>
      </c>
      <c r="O298" s="165">
        <f t="shared" si="19"/>
        <v>238843.71723834253</v>
      </c>
      <c r="P298" s="165">
        <f t="shared" si="19"/>
        <v>259200.68309754171</v>
      </c>
      <c r="Q298" s="166">
        <f t="shared" si="19"/>
        <v>283387.68267081358</v>
      </c>
    </row>
    <row r="299" spans="1:17" ht="12.75" customHeight="1" x14ac:dyDescent="0.35">
      <c r="A299" s="81"/>
      <c r="B299" s="100">
        <v>1730</v>
      </c>
      <c r="C299" s="160" t="s">
        <v>299</v>
      </c>
      <c r="D299" s="161">
        <v>1.5093304061470901E-3</v>
      </c>
      <c r="E299" s="161">
        <f t="shared" si="18"/>
        <v>1.5093304061470901E-3</v>
      </c>
      <c r="F299" s="162">
        <f t="shared" si="17"/>
        <v>1.5093304061470901E-3</v>
      </c>
      <c r="G299" s="162">
        <f t="shared" si="17"/>
        <v>1.5093304061470901E-3</v>
      </c>
      <c r="H299" s="162">
        <f t="shared" si="17"/>
        <v>1.5093304061470901E-3</v>
      </c>
      <c r="I299" s="162">
        <f t="shared" si="17"/>
        <v>1.5093304061470901E-3</v>
      </c>
      <c r="J299" s="163">
        <f t="shared" si="17"/>
        <v>1.5093304061470901E-3</v>
      </c>
      <c r="L299" s="164">
        <f t="shared" si="20"/>
        <v>156595.28279047587</v>
      </c>
      <c r="M299" s="165">
        <f t="shared" si="20"/>
        <v>160790.53562574193</v>
      </c>
      <c r="N299" s="165">
        <f t="shared" si="20"/>
        <v>179247.28704303608</v>
      </c>
      <c r="O299" s="165">
        <f t="shared" si="19"/>
        <v>197752.32502529473</v>
      </c>
      <c r="P299" s="165">
        <f t="shared" si="19"/>
        <v>214607.01718828763</v>
      </c>
      <c r="Q299" s="166">
        <f t="shared" si="19"/>
        <v>234632.81253389991</v>
      </c>
    </row>
    <row r="300" spans="1:17" ht="12.75" customHeight="1" x14ac:dyDescent="0.35">
      <c r="A300" s="81"/>
      <c r="B300" s="100">
        <v>737</v>
      </c>
      <c r="C300" s="160" t="s">
        <v>300</v>
      </c>
      <c r="D300" s="161">
        <v>1.1172965344205699E-3</v>
      </c>
      <c r="E300" s="161">
        <f t="shared" si="18"/>
        <v>1.1172965344205699E-3</v>
      </c>
      <c r="F300" s="162">
        <f t="shared" si="17"/>
        <v>1.1172965344205699E-3</v>
      </c>
      <c r="G300" s="162">
        <f t="shared" si="17"/>
        <v>1.1172965344205699E-3</v>
      </c>
      <c r="H300" s="162">
        <f t="shared" si="17"/>
        <v>1.1172965344205699E-3</v>
      </c>
      <c r="I300" s="162">
        <f t="shared" si="17"/>
        <v>1.1172965344205699E-3</v>
      </c>
      <c r="J300" s="163">
        <f t="shared" si="17"/>
        <v>1.1172965344205699E-3</v>
      </c>
      <c r="L300" s="164">
        <f t="shared" si="20"/>
        <v>115921.18336437791</v>
      </c>
      <c r="M300" s="165">
        <f t="shared" si="20"/>
        <v>119026.76013853592</v>
      </c>
      <c r="N300" s="165">
        <f t="shared" si="20"/>
        <v>132689.55014874059</v>
      </c>
      <c r="O300" s="165">
        <f t="shared" si="19"/>
        <v>146388.08475898398</v>
      </c>
      <c r="P300" s="165">
        <f t="shared" si="19"/>
        <v>158864.93480171895</v>
      </c>
      <c r="Q300" s="166">
        <f t="shared" si="19"/>
        <v>173689.22486275656</v>
      </c>
    </row>
    <row r="301" spans="1:17" ht="12.75" customHeight="1" x14ac:dyDescent="0.35">
      <c r="A301" s="81"/>
      <c r="B301" s="100">
        <v>856</v>
      </c>
      <c r="C301" s="160" t="s">
        <v>301</v>
      </c>
      <c r="D301" s="161">
        <v>4.0967539595421001E-3</v>
      </c>
      <c r="E301" s="161">
        <f t="shared" si="18"/>
        <v>4.0967539595421001E-3</v>
      </c>
      <c r="F301" s="162">
        <f t="shared" si="17"/>
        <v>4.0967539595421001E-3</v>
      </c>
      <c r="G301" s="162">
        <f t="shared" si="17"/>
        <v>4.0967539595421001E-3</v>
      </c>
      <c r="H301" s="162">
        <f t="shared" si="17"/>
        <v>4.0967539595421001E-3</v>
      </c>
      <c r="I301" s="162">
        <f t="shared" si="17"/>
        <v>4.0967539595421001E-3</v>
      </c>
      <c r="J301" s="163">
        <f t="shared" si="17"/>
        <v>4.0967539595421001E-3</v>
      </c>
      <c r="L301" s="164">
        <f t="shared" si="20"/>
        <v>425044.33900272008</v>
      </c>
      <c r="M301" s="165">
        <f t="shared" si="20"/>
        <v>436431.4538412994</v>
      </c>
      <c r="N301" s="165">
        <f t="shared" si="20"/>
        <v>486528.35054538352</v>
      </c>
      <c r="O301" s="165">
        <f t="shared" si="19"/>
        <v>536756.31078294269</v>
      </c>
      <c r="P301" s="165">
        <f t="shared" si="19"/>
        <v>582504.76093963755</v>
      </c>
      <c r="Q301" s="166">
        <f t="shared" si="19"/>
        <v>636860.49116344238</v>
      </c>
    </row>
    <row r="302" spans="1:17" ht="12.75" customHeight="1" x14ac:dyDescent="0.35">
      <c r="A302" s="81"/>
      <c r="B302" s="100">
        <v>450</v>
      </c>
      <c r="C302" s="160" t="s">
        <v>302</v>
      </c>
      <c r="D302" s="161">
        <v>5.4884742041712395E-4</v>
      </c>
      <c r="E302" s="161">
        <f t="shared" si="18"/>
        <v>5.4884742041712395E-4</v>
      </c>
      <c r="F302" s="162">
        <f t="shared" si="17"/>
        <v>5.4884742041712395E-4</v>
      </c>
      <c r="G302" s="162">
        <f t="shared" si="17"/>
        <v>5.4884742041712395E-4</v>
      </c>
      <c r="H302" s="162">
        <f t="shared" si="17"/>
        <v>5.4884742041712395E-4</v>
      </c>
      <c r="I302" s="162">
        <f t="shared" si="17"/>
        <v>5.4884742041712395E-4</v>
      </c>
      <c r="J302" s="163">
        <f t="shared" si="17"/>
        <v>5.4884742041712395E-4</v>
      </c>
      <c r="L302" s="164">
        <f t="shared" si="20"/>
        <v>56943.739196536721</v>
      </c>
      <c r="M302" s="165">
        <f t="shared" si="20"/>
        <v>58469.285682088012</v>
      </c>
      <c r="N302" s="165">
        <f t="shared" si="20"/>
        <v>65180.831652013156</v>
      </c>
      <c r="O302" s="165">
        <f t="shared" si="19"/>
        <v>71909.936372834491</v>
      </c>
      <c r="P302" s="165">
        <f t="shared" si="19"/>
        <v>78038.915341195549</v>
      </c>
      <c r="Q302" s="166">
        <f t="shared" si="19"/>
        <v>85321.022739599997</v>
      </c>
    </row>
    <row r="303" spans="1:17" ht="12.75" customHeight="1" x14ac:dyDescent="0.35">
      <c r="A303" s="81"/>
      <c r="B303" s="100">
        <v>451</v>
      </c>
      <c r="C303" s="160" t="s">
        <v>303</v>
      </c>
      <c r="D303" s="161">
        <v>1.0976948408342501E-3</v>
      </c>
      <c r="E303" s="161">
        <f t="shared" si="18"/>
        <v>1.0976948408342501E-3</v>
      </c>
      <c r="F303" s="162">
        <f t="shared" si="17"/>
        <v>1.0976948408342501E-3</v>
      </c>
      <c r="G303" s="162">
        <f t="shared" si="17"/>
        <v>1.0976948408342501E-3</v>
      </c>
      <c r="H303" s="162">
        <f t="shared" si="17"/>
        <v>1.0976948408342501E-3</v>
      </c>
      <c r="I303" s="162">
        <f t="shared" si="17"/>
        <v>1.0976948408342501E-3</v>
      </c>
      <c r="J303" s="163">
        <f t="shared" si="17"/>
        <v>1.0976948408342501E-3</v>
      </c>
      <c r="L303" s="164">
        <f t="shared" si="20"/>
        <v>113887.47839307366</v>
      </c>
      <c r="M303" s="165">
        <f t="shared" si="20"/>
        <v>116938.57136417626</v>
      </c>
      <c r="N303" s="165">
        <f t="shared" si="20"/>
        <v>130361.66330402656</v>
      </c>
      <c r="O303" s="165">
        <f t="shared" si="19"/>
        <v>143819.87274566927</v>
      </c>
      <c r="P303" s="165">
        <f t="shared" si="19"/>
        <v>156077.83068239139</v>
      </c>
      <c r="Q303" s="166">
        <f t="shared" si="19"/>
        <v>170642.04547920034</v>
      </c>
    </row>
    <row r="304" spans="1:17" ht="12.75" customHeight="1" x14ac:dyDescent="0.35">
      <c r="A304" s="81"/>
      <c r="B304" s="100">
        <v>184</v>
      </c>
      <c r="C304" s="160" t="s">
        <v>304</v>
      </c>
      <c r="D304" s="161">
        <v>4.3123725889916898E-4</v>
      </c>
      <c r="E304" s="161">
        <f t="shared" si="18"/>
        <v>4.3123725889916898E-4</v>
      </c>
      <c r="F304" s="162">
        <f t="shared" si="17"/>
        <v>4.3123725889916898E-4</v>
      </c>
      <c r="G304" s="162">
        <f t="shared" si="17"/>
        <v>4.3123725889916898E-4</v>
      </c>
      <c r="H304" s="162">
        <f t="shared" si="17"/>
        <v>4.3123725889916898E-4</v>
      </c>
      <c r="I304" s="162">
        <f t="shared" si="17"/>
        <v>4.3123725889916898E-4</v>
      </c>
      <c r="J304" s="163">
        <f t="shared" si="17"/>
        <v>4.3123725889916898E-4</v>
      </c>
      <c r="L304" s="164">
        <f t="shared" si="20"/>
        <v>44741.50936870744</v>
      </c>
      <c r="M304" s="165">
        <f t="shared" si="20"/>
        <v>45940.153035926312</v>
      </c>
      <c r="N304" s="165">
        <f t="shared" si="20"/>
        <v>51213.510583724645</v>
      </c>
      <c r="O304" s="165">
        <f t="shared" si="19"/>
        <v>56500.664292941401</v>
      </c>
      <c r="P304" s="165">
        <f t="shared" si="19"/>
        <v>61316.29062522509</v>
      </c>
      <c r="Q304" s="166">
        <f t="shared" si="19"/>
        <v>67037.946438257175</v>
      </c>
    </row>
    <row r="305" spans="1:17" ht="12.75" customHeight="1" x14ac:dyDescent="0.35">
      <c r="A305" s="81"/>
      <c r="B305" s="100">
        <v>344</v>
      </c>
      <c r="C305" s="160" t="s">
        <v>305</v>
      </c>
      <c r="D305" s="161">
        <v>1.42700329308452E-2</v>
      </c>
      <c r="E305" s="161">
        <f t="shared" si="18"/>
        <v>1.42700329308452E-2</v>
      </c>
      <c r="F305" s="162">
        <f t="shared" si="17"/>
        <v>1.42700329308452E-2</v>
      </c>
      <c r="G305" s="162">
        <f t="shared" si="17"/>
        <v>1.42700329308452E-2</v>
      </c>
      <c r="H305" s="162">
        <f t="shared" si="17"/>
        <v>1.42700329308452E-2</v>
      </c>
      <c r="I305" s="162">
        <f t="shared" si="17"/>
        <v>1.42700329308452E-2</v>
      </c>
      <c r="J305" s="163">
        <f t="shared" si="17"/>
        <v>1.42700329308452E-2</v>
      </c>
      <c r="L305" s="164">
        <f t="shared" si="20"/>
        <v>1480537.2191099522</v>
      </c>
      <c r="M305" s="165">
        <f t="shared" si="20"/>
        <v>1520201.4277342861</v>
      </c>
      <c r="N305" s="165">
        <f t="shared" si="20"/>
        <v>1694701.6229523392</v>
      </c>
      <c r="O305" s="165">
        <f t="shared" si="19"/>
        <v>1869658.3456936937</v>
      </c>
      <c r="P305" s="165">
        <f t="shared" si="19"/>
        <v>2029011.7988710811</v>
      </c>
      <c r="Q305" s="166">
        <f t="shared" si="19"/>
        <v>2218346.5912295966</v>
      </c>
    </row>
    <row r="306" spans="1:17" ht="12.75" customHeight="1" x14ac:dyDescent="0.35">
      <c r="A306" s="81"/>
      <c r="B306" s="100">
        <v>1581</v>
      </c>
      <c r="C306" s="160" t="s">
        <v>306</v>
      </c>
      <c r="D306" s="161">
        <v>1.2545083895248599E-3</v>
      </c>
      <c r="E306" s="161">
        <f t="shared" si="18"/>
        <v>1.2545083895248599E-3</v>
      </c>
      <c r="F306" s="162">
        <f t="shared" si="17"/>
        <v>1.2545083895248599E-3</v>
      </c>
      <c r="G306" s="162">
        <f t="shared" si="17"/>
        <v>1.2545083895248599E-3</v>
      </c>
      <c r="H306" s="162">
        <f t="shared" si="17"/>
        <v>1.2545083895248599E-3</v>
      </c>
      <c r="I306" s="162">
        <f t="shared" si="17"/>
        <v>1.2545083895248599E-3</v>
      </c>
      <c r="J306" s="163">
        <f t="shared" si="17"/>
        <v>1.2545083895248599E-3</v>
      </c>
      <c r="L306" s="164">
        <f t="shared" si="20"/>
        <v>130157.11816351302</v>
      </c>
      <c r="M306" s="165">
        <f t="shared" si="20"/>
        <v>133644.08155905886</v>
      </c>
      <c r="N306" s="165">
        <f t="shared" si="20"/>
        <v>148984.75806174497</v>
      </c>
      <c r="O306" s="165">
        <f t="shared" si="19"/>
        <v>164365.56885219377</v>
      </c>
      <c r="P306" s="165">
        <f t="shared" si="19"/>
        <v>178374.66363701911</v>
      </c>
      <c r="Q306" s="166">
        <f t="shared" si="19"/>
        <v>195019.48054765793</v>
      </c>
    </row>
    <row r="307" spans="1:17" ht="12.75" customHeight="1" x14ac:dyDescent="0.35">
      <c r="A307" s="81"/>
      <c r="B307" s="100">
        <v>981</v>
      </c>
      <c r="C307" s="160" t="s">
        <v>307</v>
      </c>
      <c r="D307" s="161">
        <v>3.5283048455386502E-4</v>
      </c>
      <c r="E307" s="161">
        <f t="shared" si="18"/>
        <v>3.5283048455386502E-4</v>
      </c>
      <c r="F307" s="162">
        <f t="shared" si="17"/>
        <v>3.5283048455386502E-4</v>
      </c>
      <c r="G307" s="162">
        <f t="shared" si="17"/>
        <v>3.5283048455386502E-4</v>
      </c>
      <c r="H307" s="162">
        <f t="shared" si="17"/>
        <v>3.5283048455386502E-4</v>
      </c>
      <c r="I307" s="162">
        <f t="shared" si="17"/>
        <v>3.5283048455386502E-4</v>
      </c>
      <c r="J307" s="163">
        <f t="shared" si="17"/>
        <v>3.5283048455386502E-4</v>
      </c>
      <c r="L307" s="164">
        <f t="shared" si="20"/>
        <v>36606.689483487848</v>
      </c>
      <c r="M307" s="165">
        <f t="shared" si="20"/>
        <v>37587.397938485112</v>
      </c>
      <c r="N307" s="165">
        <f t="shared" si="20"/>
        <v>41901.963204865555</v>
      </c>
      <c r="O307" s="165">
        <f t="shared" si="19"/>
        <v>46227.816239679261</v>
      </c>
      <c r="P307" s="165">
        <f t="shared" si="19"/>
        <v>50167.874147911374</v>
      </c>
      <c r="Q307" s="166">
        <f t="shared" si="19"/>
        <v>54849.228904028518</v>
      </c>
    </row>
    <row r="308" spans="1:17" ht="12.75" customHeight="1" x14ac:dyDescent="0.35">
      <c r="A308" s="81"/>
      <c r="B308" s="100">
        <v>994</v>
      </c>
      <c r="C308" s="160" t="s">
        <v>308</v>
      </c>
      <c r="D308" s="161">
        <v>7.2526266269405703E-4</v>
      </c>
      <c r="E308" s="161">
        <f t="shared" si="18"/>
        <v>7.2526266269405703E-4</v>
      </c>
      <c r="F308" s="162">
        <f t="shared" si="17"/>
        <v>7.2526266269405703E-4</v>
      </c>
      <c r="G308" s="162">
        <f t="shared" si="17"/>
        <v>7.2526266269405703E-4</v>
      </c>
      <c r="H308" s="162">
        <f t="shared" si="17"/>
        <v>7.2526266269405703E-4</v>
      </c>
      <c r="I308" s="162">
        <f t="shared" si="17"/>
        <v>7.2526266269405703E-4</v>
      </c>
      <c r="J308" s="163">
        <f t="shared" si="17"/>
        <v>7.2526266269405703E-4</v>
      </c>
      <c r="L308" s="164">
        <f t="shared" si="20"/>
        <v>75247.083938280703</v>
      </c>
      <c r="M308" s="165">
        <f t="shared" si="20"/>
        <v>77262.98465133064</v>
      </c>
      <c r="N308" s="165">
        <f t="shared" si="20"/>
        <v>86131.813254445995</v>
      </c>
      <c r="O308" s="165">
        <f t="shared" si="19"/>
        <v>95023.844492674194</v>
      </c>
      <c r="P308" s="165">
        <f t="shared" si="19"/>
        <v>103122.85241515131</v>
      </c>
      <c r="Q308" s="166">
        <f t="shared" si="19"/>
        <v>112745.63719161434</v>
      </c>
    </row>
    <row r="309" spans="1:17" ht="12.75" customHeight="1" x14ac:dyDescent="0.35">
      <c r="A309" s="81"/>
      <c r="B309" s="100">
        <v>858</v>
      </c>
      <c r="C309" s="160" t="s">
        <v>309</v>
      </c>
      <c r="D309" s="161">
        <v>1.15649992159323E-3</v>
      </c>
      <c r="E309" s="161">
        <f t="shared" si="18"/>
        <v>1.15649992159323E-3</v>
      </c>
      <c r="F309" s="162">
        <f t="shared" si="17"/>
        <v>1.15649992159323E-3</v>
      </c>
      <c r="G309" s="162">
        <f t="shared" si="17"/>
        <v>1.15649992159323E-3</v>
      </c>
      <c r="H309" s="162">
        <f t="shared" si="17"/>
        <v>1.15649992159323E-3</v>
      </c>
      <c r="I309" s="162">
        <f t="shared" si="17"/>
        <v>1.15649992159323E-3</v>
      </c>
      <c r="J309" s="163">
        <f t="shared" si="17"/>
        <v>1.15649992159323E-3</v>
      </c>
      <c r="L309" s="164">
        <f t="shared" si="20"/>
        <v>119988.59330698855</v>
      </c>
      <c r="M309" s="165">
        <f t="shared" si="20"/>
        <v>123203.13768725736</v>
      </c>
      <c r="N309" s="165">
        <f t="shared" si="20"/>
        <v>137345.32383817111</v>
      </c>
      <c r="O309" s="165">
        <f t="shared" si="19"/>
        <v>151524.50878561611</v>
      </c>
      <c r="P309" s="165">
        <f t="shared" si="19"/>
        <v>164439.14304037698</v>
      </c>
      <c r="Q309" s="166">
        <f t="shared" si="19"/>
        <v>179783.58362987216</v>
      </c>
    </row>
    <row r="310" spans="1:17" ht="12.75" customHeight="1" x14ac:dyDescent="0.35">
      <c r="A310" s="81"/>
      <c r="B310" s="100">
        <v>47</v>
      </c>
      <c r="C310" s="160" t="s">
        <v>310</v>
      </c>
      <c r="D310" s="161">
        <v>3.2342794417437701E-3</v>
      </c>
      <c r="E310" s="161">
        <f t="shared" si="18"/>
        <v>3.2342794417437701E-3</v>
      </c>
      <c r="F310" s="162">
        <f t="shared" si="17"/>
        <v>3.2342794417437701E-3</v>
      </c>
      <c r="G310" s="162">
        <f t="shared" si="17"/>
        <v>3.2342794417437701E-3</v>
      </c>
      <c r="H310" s="162">
        <f t="shared" si="17"/>
        <v>3.2342794417437701E-3</v>
      </c>
      <c r="I310" s="162">
        <f t="shared" si="17"/>
        <v>3.2342794417437701E-3</v>
      </c>
      <c r="J310" s="163">
        <f t="shared" si="17"/>
        <v>3.2342794417437701E-3</v>
      </c>
      <c r="L310" s="164">
        <f t="shared" si="20"/>
        <v>335561.32026530604</v>
      </c>
      <c r="M310" s="165">
        <f t="shared" si="20"/>
        <v>344551.14776944765</v>
      </c>
      <c r="N310" s="165">
        <f t="shared" si="20"/>
        <v>384101.32937793509</v>
      </c>
      <c r="O310" s="165">
        <f t="shared" si="19"/>
        <v>423754.98219706089</v>
      </c>
      <c r="P310" s="165">
        <f t="shared" si="19"/>
        <v>459872.1796891886</v>
      </c>
      <c r="Q310" s="166">
        <f t="shared" si="19"/>
        <v>502784.59828692919</v>
      </c>
    </row>
    <row r="311" spans="1:17" ht="12.75" customHeight="1" x14ac:dyDescent="0.35">
      <c r="A311" s="81"/>
      <c r="B311" s="100">
        <v>345</v>
      </c>
      <c r="C311" s="160" t="s">
        <v>311</v>
      </c>
      <c r="D311" s="161">
        <v>3.4302963776070301E-3</v>
      </c>
      <c r="E311" s="161">
        <f t="shared" si="18"/>
        <v>3.4302963776070301E-3</v>
      </c>
      <c r="F311" s="162">
        <f t="shared" si="17"/>
        <v>3.4302963776070301E-3</v>
      </c>
      <c r="G311" s="162">
        <f t="shared" si="17"/>
        <v>3.4302963776070301E-3</v>
      </c>
      <c r="H311" s="162">
        <f t="shared" si="17"/>
        <v>3.4302963776070301E-3</v>
      </c>
      <c r="I311" s="162">
        <f t="shared" si="17"/>
        <v>3.4302963776070301E-3</v>
      </c>
      <c r="J311" s="163">
        <f t="shared" si="17"/>
        <v>3.4302963776070301E-3</v>
      </c>
      <c r="L311" s="164">
        <f t="shared" si="20"/>
        <v>355898.36997835501</v>
      </c>
      <c r="M311" s="165">
        <f t="shared" si="20"/>
        <v>365433.03551305062</v>
      </c>
      <c r="N311" s="165">
        <f t="shared" si="20"/>
        <v>407380.19782508281</v>
      </c>
      <c r="O311" s="165">
        <f t="shared" si="19"/>
        <v>449437.10233021626</v>
      </c>
      <c r="P311" s="165">
        <f t="shared" si="19"/>
        <v>487743.22088247293</v>
      </c>
      <c r="Q311" s="166">
        <f t="shared" si="19"/>
        <v>533256.39212250081</v>
      </c>
    </row>
    <row r="312" spans="1:17" ht="12.75" customHeight="1" x14ac:dyDescent="0.35">
      <c r="A312" s="81"/>
      <c r="B312" s="100">
        <v>717</v>
      </c>
      <c r="C312" s="160" t="s">
        <v>312</v>
      </c>
      <c r="D312" s="161">
        <v>3.7243217814019098E-4</v>
      </c>
      <c r="E312" s="161">
        <f t="shared" si="18"/>
        <v>3.7243217814019098E-4</v>
      </c>
      <c r="F312" s="162">
        <f t="shared" si="17"/>
        <v>3.7243217814019098E-4</v>
      </c>
      <c r="G312" s="162">
        <f t="shared" si="17"/>
        <v>3.7243217814019098E-4</v>
      </c>
      <c r="H312" s="162">
        <f t="shared" si="17"/>
        <v>3.7243217814019098E-4</v>
      </c>
      <c r="I312" s="162">
        <f t="shared" si="17"/>
        <v>3.7243217814019098E-4</v>
      </c>
      <c r="J312" s="163">
        <f t="shared" si="17"/>
        <v>3.7243217814019098E-4</v>
      </c>
      <c r="L312" s="164">
        <f t="shared" si="20"/>
        <v>38640.394454792746</v>
      </c>
      <c r="M312" s="165">
        <f t="shared" si="20"/>
        <v>39675.586712845412</v>
      </c>
      <c r="N312" s="165">
        <f t="shared" si="20"/>
        <v>44229.850049580324</v>
      </c>
      <c r="O312" s="165">
        <f t="shared" si="19"/>
        <v>48796.028252994794</v>
      </c>
      <c r="P312" s="165">
        <f t="shared" si="19"/>
        <v>52954.978267239792</v>
      </c>
      <c r="Q312" s="166">
        <f t="shared" si="19"/>
        <v>57896.408287585677</v>
      </c>
    </row>
    <row r="313" spans="1:17" ht="12.75" customHeight="1" x14ac:dyDescent="0.35">
      <c r="A313" s="81"/>
      <c r="B313" s="100">
        <v>861</v>
      </c>
      <c r="C313" s="160" t="s">
        <v>313</v>
      </c>
      <c r="D313" s="161">
        <v>2.0189744393915598E-3</v>
      </c>
      <c r="E313" s="161">
        <f t="shared" si="18"/>
        <v>2.0189744393915598E-3</v>
      </c>
      <c r="F313" s="162">
        <f t="shared" si="17"/>
        <v>2.0189744393915598E-3</v>
      </c>
      <c r="G313" s="162">
        <f t="shared" si="17"/>
        <v>2.0189744393915598E-3</v>
      </c>
      <c r="H313" s="162">
        <f t="shared" si="17"/>
        <v>2.0189744393915598E-3</v>
      </c>
      <c r="I313" s="162">
        <f t="shared" si="17"/>
        <v>2.0189744393915598E-3</v>
      </c>
      <c r="J313" s="163">
        <f t="shared" si="17"/>
        <v>2.0189744393915598E-3</v>
      </c>
      <c r="L313" s="164">
        <f t="shared" si="20"/>
        <v>209471.61204440257</v>
      </c>
      <c r="M313" s="165">
        <f t="shared" si="20"/>
        <v>215083.44375910913</v>
      </c>
      <c r="N313" s="165">
        <f t="shared" si="20"/>
        <v>239772.3450056194</v>
      </c>
      <c r="O313" s="165">
        <f t="shared" si="19"/>
        <v>264525.83737149788</v>
      </c>
      <c r="P313" s="165">
        <f t="shared" si="19"/>
        <v>287071.72429082595</v>
      </c>
      <c r="Q313" s="166">
        <f t="shared" si="19"/>
        <v>313859.4765063852</v>
      </c>
    </row>
    <row r="314" spans="1:17" ht="12.75" customHeight="1" x14ac:dyDescent="0.35">
      <c r="A314" s="81"/>
      <c r="B314" s="100">
        <v>453</v>
      </c>
      <c r="C314" s="160" t="s">
        <v>314</v>
      </c>
      <c r="D314" s="161">
        <v>4.5279912184412697E-3</v>
      </c>
      <c r="E314" s="161">
        <f t="shared" si="18"/>
        <v>4.5279912184412697E-3</v>
      </c>
      <c r="F314" s="162">
        <f t="shared" si="17"/>
        <v>4.5279912184412697E-3</v>
      </c>
      <c r="G314" s="162">
        <f t="shared" si="17"/>
        <v>4.5279912184412697E-3</v>
      </c>
      <c r="H314" s="162">
        <f t="shared" si="17"/>
        <v>4.5279912184412697E-3</v>
      </c>
      <c r="I314" s="162">
        <f t="shared" si="17"/>
        <v>4.5279912184412697E-3</v>
      </c>
      <c r="J314" s="163">
        <f t="shared" si="17"/>
        <v>4.5279912184412697E-3</v>
      </c>
      <c r="L314" s="164">
        <f t="shared" si="20"/>
        <v>469785.84837142762</v>
      </c>
      <c r="M314" s="165">
        <f t="shared" si="20"/>
        <v>482371.6068772258</v>
      </c>
      <c r="N314" s="165">
        <f t="shared" si="20"/>
        <v>537741.86112910823</v>
      </c>
      <c r="O314" s="165">
        <f t="shared" si="19"/>
        <v>593256.97507588414</v>
      </c>
      <c r="P314" s="165">
        <f t="shared" si="19"/>
        <v>643821.05156486284</v>
      </c>
      <c r="Q314" s="166">
        <f t="shared" si="19"/>
        <v>703898.43760169949</v>
      </c>
    </row>
    <row r="315" spans="1:17" ht="12.75" customHeight="1" x14ac:dyDescent="0.35">
      <c r="A315" s="81"/>
      <c r="B315" s="100">
        <v>983</v>
      </c>
      <c r="C315" s="160" t="s">
        <v>315</v>
      </c>
      <c r="D315" s="161">
        <v>5.7628979143797996E-3</v>
      </c>
      <c r="E315" s="161">
        <f t="shared" si="18"/>
        <v>5.7628979143797996E-3</v>
      </c>
      <c r="F315" s="162">
        <f t="shared" si="17"/>
        <v>5.7628979143797996E-3</v>
      </c>
      <c r="G315" s="162">
        <f t="shared" si="17"/>
        <v>5.7628979143797996E-3</v>
      </c>
      <c r="H315" s="162">
        <f t="shared" si="17"/>
        <v>5.7628979143797996E-3</v>
      </c>
      <c r="I315" s="162">
        <f t="shared" si="17"/>
        <v>5.7628979143797996E-3</v>
      </c>
      <c r="J315" s="163">
        <f t="shared" si="17"/>
        <v>5.7628979143797996E-3</v>
      </c>
      <c r="L315" s="164">
        <f t="shared" si="20"/>
        <v>597909.26156363531</v>
      </c>
      <c r="M315" s="165">
        <f t="shared" si="20"/>
        <v>613927.49966192397</v>
      </c>
      <c r="N315" s="165">
        <f t="shared" si="20"/>
        <v>684398.73234613787</v>
      </c>
      <c r="O315" s="165">
        <f t="shared" si="19"/>
        <v>755054.33191476192</v>
      </c>
      <c r="P315" s="165">
        <f t="shared" si="19"/>
        <v>819408.61108255293</v>
      </c>
      <c r="Q315" s="166">
        <f t="shared" si="19"/>
        <v>895870.73876579967</v>
      </c>
    </row>
    <row r="316" spans="1:17" ht="12.75" customHeight="1" x14ac:dyDescent="0.35">
      <c r="A316" s="81"/>
      <c r="B316" s="100">
        <v>984</v>
      </c>
      <c r="C316" s="160" t="s">
        <v>316</v>
      </c>
      <c r="D316" s="161">
        <v>3.2146777481574401E-3</v>
      </c>
      <c r="E316" s="161">
        <f t="shared" si="18"/>
        <v>3.2146777481574401E-3</v>
      </c>
      <c r="F316" s="162">
        <f t="shared" si="17"/>
        <v>3.2146777481574401E-3</v>
      </c>
      <c r="G316" s="162">
        <f t="shared" si="17"/>
        <v>3.2146777481574401E-3</v>
      </c>
      <c r="H316" s="162">
        <f t="shared" si="17"/>
        <v>3.2146777481574401E-3</v>
      </c>
      <c r="I316" s="162">
        <f t="shared" si="17"/>
        <v>3.2146777481574401E-3</v>
      </c>
      <c r="J316" s="163">
        <f t="shared" si="17"/>
        <v>3.2146777481574401E-3</v>
      </c>
      <c r="L316" s="164">
        <f t="shared" si="20"/>
        <v>333527.61529400077</v>
      </c>
      <c r="M316" s="165">
        <f t="shared" si="20"/>
        <v>342462.95899508696</v>
      </c>
      <c r="N316" s="165">
        <f t="shared" si="20"/>
        <v>381773.44253321987</v>
      </c>
      <c r="O316" s="165">
        <f t="shared" si="19"/>
        <v>421186.77018374478</v>
      </c>
      <c r="P316" s="165">
        <f t="shared" si="19"/>
        <v>457085.07556985959</v>
      </c>
      <c r="Q316" s="166">
        <f t="shared" si="19"/>
        <v>499737.41890337138</v>
      </c>
    </row>
    <row r="317" spans="1:17" ht="12.75" customHeight="1" x14ac:dyDescent="0.35">
      <c r="A317" s="81"/>
      <c r="B317" s="100">
        <v>1961</v>
      </c>
      <c r="C317" s="160" t="s">
        <v>317</v>
      </c>
      <c r="D317" s="161">
        <v>2.2345930688411498E-3</v>
      </c>
      <c r="E317" s="161">
        <f t="shared" si="18"/>
        <v>2.2345930688411498E-3</v>
      </c>
      <c r="F317" s="162">
        <f t="shared" ref="F317:J365" si="21">MAX(7700/M$10,$D317)</f>
        <v>2.2345930688411498E-3</v>
      </c>
      <c r="G317" s="162">
        <f t="shared" si="21"/>
        <v>2.2345930688411498E-3</v>
      </c>
      <c r="H317" s="162">
        <f t="shared" si="21"/>
        <v>2.2345930688411498E-3</v>
      </c>
      <c r="I317" s="162">
        <f t="shared" si="21"/>
        <v>2.2345930688411498E-3</v>
      </c>
      <c r="J317" s="163">
        <f t="shared" si="21"/>
        <v>2.2345930688411498E-3</v>
      </c>
      <c r="L317" s="164">
        <f t="shared" si="20"/>
        <v>231842.36672875687</v>
      </c>
      <c r="M317" s="165">
        <f t="shared" si="20"/>
        <v>238053.52027707288</v>
      </c>
      <c r="N317" s="165">
        <f t="shared" si="20"/>
        <v>265379.10029748239</v>
      </c>
      <c r="O317" s="165">
        <f t="shared" si="19"/>
        <v>292776.16951796931</v>
      </c>
      <c r="P317" s="165">
        <f t="shared" si="19"/>
        <v>317729.86960343929</v>
      </c>
      <c r="Q317" s="166">
        <f t="shared" si="19"/>
        <v>347378.44972551463</v>
      </c>
    </row>
    <row r="318" spans="1:17" ht="12.75" customHeight="1" x14ac:dyDescent="0.35">
      <c r="A318" s="81"/>
      <c r="B318" s="100">
        <v>622</v>
      </c>
      <c r="C318" s="160" t="s">
        <v>318</v>
      </c>
      <c r="D318" s="161">
        <v>4.1359573467147498E-3</v>
      </c>
      <c r="E318" s="161">
        <f t="shared" si="18"/>
        <v>4.1359573467147498E-3</v>
      </c>
      <c r="F318" s="162">
        <f t="shared" si="21"/>
        <v>4.1359573467147498E-3</v>
      </c>
      <c r="G318" s="162">
        <f t="shared" si="21"/>
        <v>4.1359573467147498E-3</v>
      </c>
      <c r="H318" s="162">
        <f t="shared" si="21"/>
        <v>4.1359573467147498E-3</v>
      </c>
      <c r="I318" s="162">
        <f t="shared" si="21"/>
        <v>4.1359573467147498E-3</v>
      </c>
      <c r="J318" s="163">
        <f t="shared" si="21"/>
        <v>4.1359573467147498E-3</v>
      </c>
      <c r="L318" s="164">
        <f t="shared" si="20"/>
        <v>429111.74894532963</v>
      </c>
      <c r="M318" s="165">
        <f t="shared" si="20"/>
        <v>440607.8313900198</v>
      </c>
      <c r="N318" s="165">
        <f t="shared" si="20"/>
        <v>491184.12423481274</v>
      </c>
      <c r="O318" s="165">
        <f t="shared" si="19"/>
        <v>541892.73480957351</v>
      </c>
      <c r="P318" s="165">
        <f t="shared" si="19"/>
        <v>588078.9691782943</v>
      </c>
      <c r="Q318" s="166">
        <f t="shared" si="19"/>
        <v>642954.84993055637</v>
      </c>
    </row>
    <row r="319" spans="1:17" ht="12.75" customHeight="1" x14ac:dyDescent="0.35">
      <c r="A319" s="81"/>
      <c r="B319" s="100">
        <v>96</v>
      </c>
      <c r="C319" s="160" t="s">
        <v>319</v>
      </c>
      <c r="D319" s="161">
        <v>0</v>
      </c>
      <c r="E319" s="161">
        <f t="shared" si="18"/>
        <v>8.6716898232902325E-5</v>
      </c>
      <c r="F319" s="162">
        <f t="shared" si="21"/>
        <v>7.2261794157117785E-5</v>
      </c>
      <c r="G319" s="162">
        <f t="shared" si="21"/>
        <v>6.4823545258620684E-5</v>
      </c>
      <c r="H319" s="162">
        <f t="shared" si="21"/>
        <v>5.8759338537731889E-5</v>
      </c>
      <c r="I319" s="162">
        <f t="shared" si="21"/>
        <v>5.4145278109837566E-5</v>
      </c>
      <c r="J319" s="163">
        <f t="shared" si="21"/>
        <v>4.9524691596238695E-5</v>
      </c>
      <c r="L319" s="164">
        <f t="shared" si="20"/>
        <v>8997.0076440445646</v>
      </c>
      <c r="M319" s="165">
        <f t="shared" si="20"/>
        <v>7698.1239763533658</v>
      </c>
      <c r="N319" s="165">
        <f t="shared" si="20"/>
        <v>7698.4102200528141</v>
      </c>
      <c r="O319" s="165">
        <f t="shared" si="19"/>
        <v>7698.6428985069351</v>
      </c>
      <c r="P319" s="165">
        <f t="shared" si="19"/>
        <v>7698.7494472102453</v>
      </c>
      <c r="Q319" s="166">
        <f t="shared" si="19"/>
        <v>7698.8561495706435</v>
      </c>
    </row>
    <row r="320" spans="1:17" ht="12.75" customHeight="1" x14ac:dyDescent="0.35">
      <c r="A320" s="81"/>
      <c r="B320" s="100">
        <v>718</v>
      </c>
      <c r="C320" s="160" t="s">
        <v>320</v>
      </c>
      <c r="D320" s="161">
        <v>2.3718049239454301E-3</v>
      </c>
      <c r="E320" s="161">
        <f t="shared" si="18"/>
        <v>2.3718049239454301E-3</v>
      </c>
      <c r="F320" s="162">
        <f t="shared" si="21"/>
        <v>2.3718049239454301E-3</v>
      </c>
      <c r="G320" s="162">
        <f t="shared" si="21"/>
        <v>2.3718049239454301E-3</v>
      </c>
      <c r="H320" s="162">
        <f t="shared" si="21"/>
        <v>2.3718049239454301E-3</v>
      </c>
      <c r="I320" s="162">
        <f t="shared" si="21"/>
        <v>2.3718049239454301E-3</v>
      </c>
      <c r="J320" s="163">
        <f t="shared" si="21"/>
        <v>2.3718049239454301E-3</v>
      </c>
      <c r="L320" s="164">
        <f t="shared" si="20"/>
        <v>246078.30152789096</v>
      </c>
      <c r="M320" s="165">
        <f t="shared" si="20"/>
        <v>252670.84169759479</v>
      </c>
      <c r="N320" s="165">
        <f t="shared" si="20"/>
        <v>281674.30821048561</v>
      </c>
      <c r="O320" s="165">
        <f t="shared" si="19"/>
        <v>310753.65361117781</v>
      </c>
      <c r="P320" s="165">
        <f t="shared" si="19"/>
        <v>337239.59843873815</v>
      </c>
      <c r="Q320" s="166">
        <f t="shared" si="19"/>
        <v>368708.70541041455</v>
      </c>
    </row>
    <row r="321" spans="1:17" ht="12.75" customHeight="1" x14ac:dyDescent="0.35">
      <c r="A321" s="81"/>
      <c r="B321" s="100">
        <v>986</v>
      </c>
      <c r="C321" s="160" t="s">
        <v>321</v>
      </c>
      <c r="D321" s="161">
        <v>2.7442371020856198E-4</v>
      </c>
      <c r="E321" s="161">
        <f t="shared" si="18"/>
        <v>2.7442371020856198E-4</v>
      </c>
      <c r="F321" s="162">
        <f t="shared" si="21"/>
        <v>2.7442371020856198E-4</v>
      </c>
      <c r="G321" s="162">
        <f t="shared" si="21"/>
        <v>2.7442371020856198E-4</v>
      </c>
      <c r="H321" s="162">
        <f t="shared" si="21"/>
        <v>2.7442371020856198E-4</v>
      </c>
      <c r="I321" s="162">
        <f t="shared" si="21"/>
        <v>2.7442371020856198E-4</v>
      </c>
      <c r="J321" s="163">
        <f t="shared" si="21"/>
        <v>2.7442371020856198E-4</v>
      </c>
      <c r="L321" s="164">
        <f t="shared" si="20"/>
        <v>28471.86959826836</v>
      </c>
      <c r="M321" s="165">
        <f t="shared" si="20"/>
        <v>29234.642841044006</v>
      </c>
      <c r="N321" s="165">
        <f t="shared" si="20"/>
        <v>32590.415826006578</v>
      </c>
      <c r="O321" s="165">
        <f t="shared" si="19"/>
        <v>35954.968186417245</v>
      </c>
      <c r="P321" s="165">
        <f t="shared" si="19"/>
        <v>39019.457670597774</v>
      </c>
      <c r="Q321" s="166">
        <f t="shared" si="19"/>
        <v>42660.511369799999</v>
      </c>
    </row>
    <row r="322" spans="1:17" ht="12.75" customHeight="1" x14ac:dyDescent="0.35">
      <c r="A322" s="81"/>
      <c r="B322" s="100">
        <v>626</v>
      </c>
      <c r="C322" s="160" t="s">
        <v>322</v>
      </c>
      <c r="D322" s="161">
        <v>8.82076211384663E-4</v>
      </c>
      <c r="E322" s="161">
        <f t="shared" si="18"/>
        <v>8.82076211384663E-4</v>
      </c>
      <c r="F322" s="162">
        <f t="shared" si="21"/>
        <v>8.82076211384663E-4</v>
      </c>
      <c r="G322" s="162">
        <f t="shared" si="21"/>
        <v>8.82076211384663E-4</v>
      </c>
      <c r="H322" s="162">
        <f t="shared" si="21"/>
        <v>8.82076211384663E-4</v>
      </c>
      <c r="I322" s="162">
        <f t="shared" si="21"/>
        <v>8.82076211384663E-4</v>
      </c>
      <c r="J322" s="163">
        <f t="shared" si="21"/>
        <v>8.82076211384663E-4</v>
      </c>
      <c r="L322" s="164">
        <f t="shared" si="20"/>
        <v>91516.72370871967</v>
      </c>
      <c r="M322" s="165">
        <f t="shared" si="20"/>
        <v>93968.494846212838</v>
      </c>
      <c r="N322" s="165">
        <f t="shared" si="20"/>
        <v>104754.90801216394</v>
      </c>
      <c r="O322" s="165">
        <f t="shared" si="19"/>
        <v>115569.54059919823</v>
      </c>
      <c r="P322" s="165">
        <f t="shared" si="19"/>
        <v>125419.6853697785</v>
      </c>
      <c r="Q322" s="166">
        <f t="shared" si="19"/>
        <v>137123.07226007138</v>
      </c>
    </row>
    <row r="323" spans="1:17" ht="12.75" customHeight="1" x14ac:dyDescent="0.35">
      <c r="A323" s="81"/>
      <c r="B323" s="100">
        <v>285</v>
      </c>
      <c r="C323" s="160" t="s">
        <v>323</v>
      </c>
      <c r="D323" s="161">
        <v>1.1172965344205699E-3</v>
      </c>
      <c r="E323" s="161">
        <f t="shared" si="18"/>
        <v>1.1172965344205699E-3</v>
      </c>
      <c r="F323" s="162">
        <f t="shared" si="21"/>
        <v>1.1172965344205699E-3</v>
      </c>
      <c r="G323" s="162">
        <f t="shared" si="21"/>
        <v>1.1172965344205699E-3</v>
      </c>
      <c r="H323" s="162">
        <f t="shared" si="21"/>
        <v>1.1172965344205699E-3</v>
      </c>
      <c r="I323" s="162">
        <f t="shared" si="21"/>
        <v>1.1172965344205699E-3</v>
      </c>
      <c r="J323" s="163">
        <f t="shared" si="21"/>
        <v>1.1172965344205699E-3</v>
      </c>
      <c r="L323" s="164">
        <f t="shared" si="20"/>
        <v>115921.18336437791</v>
      </c>
      <c r="M323" s="165">
        <f t="shared" si="20"/>
        <v>119026.76013853592</v>
      </c>
      <c r="N323" s="165">
        <f t="shared" si="20"/>
        <v>132689.55014874059</v>
      </c>
      <c r="O323" s="165">
        <f t="shared" si="19"/>
        <v>146388.08475898398</v>
      </c>
      <c r="P323" s="165">
        <f t="shared" si="19"/>
        <v>158864.93480171895</v>
      </c>
      <c r="Q323" s="166">
        <f t="shared" si="19"/>
        <v>173689.22486275656</v>
      </c>
    </row>
    <row r="324" spans="1:17" ht="12.75" customHeight="1" x14ac:dyDescent="0.35">
      <c r="A324" s="81"/>
      <c r="B324" s="100">
        <v>865</v>
      </c>
      <c r="C324" s="160" t="s">
        <v>324</v>
      </c>
      <c r="D324" s="161">
        <v>2.52861847263604E-3</v>
      </c>
      <c r="E324" s="161">
        <f t="shared" si="18"/>
        <v>2.52861847263604E-3</v>
      </c>
      <c r="F324" s="162">
        <f t="shared" si="21"/>
        <v>2.52861847263604E-3</v>
      </c>
      <c r="G324" s="162">
        <f t="shared" si="21"/>
        <v>2.52861847263604E-3</v>
      </c>
      <c r="H324" s="162">
        <f t="shared" si="21"/>
        <v>2.52861847263604E-3</v>
      </c>
      <c r="I324" s="162">
        <f t="shared" si="21"/>
        <v>2.52861847263604E-3</v>
      </c>
      <c r="J324" s="163">
        <f t="shared" si="21"/>
        <v>2.52861847263604E-3</v>
      </c>
      <c r="L324" s="164">
        <f t="shared" si="20"/>
        <v>262347.94129833038</v>
      </c>
      <c r="M324" s="165">
        <f t="shared" si="20"/>
        <v>269376.35189247743</v>
      </c>
      <c r="N324" s="165">
        <f t="shared" si="20"/>
        <v>300297.402968204</v>
      </c>
      <c r="O324" s="165">
        <f t="shared" si="19"/>
        <v>331299.34971770231</v>
      </c>
      <c r="P324" s="165">
        <f t="shared" si="19"/>
        <v>359536.43139336584</v>
      </c>
      <c r="Q324" s="166">
        <f t="shared" si="19"/>
        <v>393086.14047887211</v>
      </c>
    </row>
    <row r="325" spans="1:17" ht="12.75" customHeight="1" x14ac:dyDescent="0.35">
      <c r="A325" s="81"/>
      <c r="B325" s="100">
        <v>1949</v>
      </c>
      <c r="C325" s="160" t="s">
        <v>325</v>
      </c>
      <c r="D325" s="161">
        <v>1.9797710522189101E-3</v>
      </c>
      <c r="E325" s="161">
        <f t="shared" si="18"/>
        <v>1.9797710522189101E-3</v>
      </c>
      <c r="F325" s="162">
        <f t="shared" si="21"/>
        <v>1.9797710522189101E-3</v>
      </c>
      <c r="G325" s="162">
        <f t="shared" si="21"/>
        <v>1.9797710522189101E-3</v>
      </c>
      <c r="H325" s="162">
        <f t="shared" si="21"/>
        <v>1.9797710522189101E-3</v>
      </c>
      <c r="I325" s="162">
        <f t="shared" si="21"/>
        <v>1.9797710522189101E-3</v>
      </c>
      <c r="J325" s="163">
        <f t="shared" si="21"/>
        <v>1.9797710522189101E-3</v>
      </c>
      <c r="L325" s="164">
        <f t="shared" si="20"/>
        <v>205404.20210179302</v>
      </c>
      <c r="M325" s="165">
        <f t="shared" si="20"/>
        <v>210907.06621038879</v>
      </c>
      <c r="N325" s="165">
        <f t="shared" si="20"/>
        <v>235116.57131619018</v>
      </c>
      <c r="O325" s="165">
        <f t="shared" si="19"/>
        <v>259389.41334486709</v>
      </c>
      <c r="P325" s="165">
        <f t="shared" si="19"/>
        <v>281497.51605216943</v>
      </c>
      <c r="Q325" s="166">
        <f t="shared" si="19"/>
        <v>307765.11773927126</v>
      </c>
    </row>
    <row r="326" spans="1:17" ht="12.75" customHeight="1" x14ac:dyDescent="0.35">
      <c r="A326" s="81"/>
      <c r="B326" s="100">
        <v>866</v>
      </c>
      <c r="C326" s="160" t="s">
        <v>326</v>
      </c>
      <c r="D326" s="161">
        <v>3.3322879096753998E-4</v>
      </c>
      <c r="E326" s="161">
        <f t="shared" si="18"/>
        <v>3.3322879096753998E-4</v>
      </c>
      <c r="F326" s="162">
        <f t="shared" si="21"/>
        <v>3.3322879096753998E-4</v>
      </c>
      <c r="G326" s="162">
        <f t="shared" si="21"/>
        <v>3.3322879096753998E-4</v>
      </c>
      <c r="H326" s="162">
        <f t="shared" si="21"/>
        <v>3.3322879096753998E-4</v>
      </c>
      <c r="I326" s="162">
        <f t="shared" si="21"/>
        <v>3.3322879096753998E-4</v>
      </c>
      <c r="J326" s="163">
        <f t="shared" si="21"/>
        <v>3.3322879096753998E-4</v>
      </c>
      <c r="L326" s="164">
        <f t="shared" si="20"/>
        <v>34572.984512183051</v>
      </c>
      <c r="M326" s="165">
        <f t="shared" si="20"/>
        <v>35499.209164124914</v>
      </c>
      <c r="N326" s="165">
        <f t="shared" si="20"/>
        <v>39574.076360150895</v>
      </c>
      <c r="O326" s="165">
        <f t="shared" si="19"/>
        <v>43659.604226363852</v>
      </c>
      <c r="P326" s="165">
        <f t="shared" si="19"/>
        <v>47380.770028583072</v>
      </c>
      <c r="Q326" s="166">
        <f t="shared" si="19"/>
        <v>51802.049520471504</v>
      </c>
    </row>
    <row r="327" spans="1:17" ht="12.75" customHeight="1" x14ac:dyDescent="0.35">
      <c r="A327" s="81"/>
      <c r="B327" s="100">
        <v>867</v>
      </c>
      <c r="C327" s="160" t="s">
        <v>327</v>
      </c>
      <c r="D327" s="161">
        <v>2.4306100047044102E-3</v>
      </c>
      <c r="E327" s="161">
        <f t="shared" si="18"/>
        <v>2.4306100047044102E-3</v>
      </c>
      <c r="F327" s="162">
        <f t="shared" si="21"/>
        <v>2.4306100047044102E-3</v>
      </c>
      <c r="G327" s="162">
        <f t="shared" si="21"/>
        <v>2.4306100047044102E-3</v>
      </c>
      <c r="H327" s="162">
        <f t="shared" si="21"/>
        <v>2.4306100047044102E-3</v>
      </c>
      <c r="I327" s="162">
        <f t="shared" si="21"/>
        <v>2.4306100047044102E-3</v>
      </c>
      <c r="J327" s="163">
        <f t="shared" si="21"/>
        <v>2.4306100047044102E-3</v>
      </c>
      <c r="L327" s="164">
        <f t="shared" si="20"/>
        <v>252179.41644180589</v>
      </c>
      <c r="M327" s="165">
        <f t="shared" si="20"/>
        <v>258935.40802067594</v>
      </c>
      <c r="N327" s="165">
        <f t="shared" si="20"/>
        <v>288657.96874463017</v>
      </c>
      <c r="O327" s="165">
        <f t="shared" si="19"/>
        <v>318458.28965112468</v>
      </c>
      <c r="P327" s="165">
        <f t="shared" si="19"/>
        <v>345600.91079672374</v>
      </c>
      <c r="Q327" s="166">
        <f t="shared" si="19"/>
        <v>377850.24356108636</v>
      </c>
    </row>
    <row r="328" spans="1:17" ht="12.75" customHeight="1" x14ac:dyDescent="0.35">
      <c r="A328" s="81"/>
      <c r="B328" s="100">
        <v>627</v>
      </c>
      <c r="C328" s="160" t="s">
        <v>328</v>
      </c>
      <c r="D328" s="161">
        <v>1.9797710522189101E-3</v>
      </c>
      <c r="E328" s="161">
        <f t="shared" si="18"/>
        <v>1.9797710522189101E-3</v>
      </c>
      <c r="F328" s="162">
        <f t="shared" si="21"/>
        <v>1.9797710522189101E-3</v>
      </c>
      <c r="G328" s="162">
        <f t="shared" si="21"/>
        <v>1.9797710522189101E-3</v>
      </c>
      <c r="H328" s="162">
        <f t="shared" si="21"/>
        <v>1.9797710522189101E-3</v>
      </c>
      <c r="I328" s="162">
        <f t="shared" si="21"/>
        <v>1.9797710522189101E-3</v>
      </c>
      <c r="J328" s="163">
        <f t="shared" si="21"/>
        <v>1.9797710522189101E-3</v>
      </c>
      <c r="L328" s="164">
        <f t="shared" si="20"/>
        <v>205404.20210179302</v>
      </c>
      <c r="M328" s="165">
        <f t="shared" si="20"/>
        <v>210907.06621038879</v>
      </c>
      <c r="N328" s="165">
        <f t="shared" si="20"/>
        <v>235116.57131619018</v>
      </c>
      <c r="O328" s="165">
        <f t="shared" si="19"/>
        <v>259389.41334486709</v>
      </c>
      <c r="P328" s="165">
        <f t="shared" si="19"/>
        <v>281497.51605216943</v>
      </c>
      <c r="Q328" s="166">
        <f t="shared" si="19"/>
        <v>307765.11773927126</v>
      </c>
    </row>
    <row r="329" spans="1:17" ht="12.75" customHeight="1" x14ac:dyDescent="0.35">
      <c r="A329" s="81"/>
      <c r="B329" s="100">
        <v>289</v>
      </c>
      <c r="C329" s="160" t="s">
        <v>329</v>
      </c>
      <c r="D329" s="161">
        <v>2.0581778265642099E-3</v>
      </c>
      <c r="E329" s="161">
        <f t="shared" si="18"/>
        <v>2.0581778265642099E-3</v>
      </c>
      <c r="F329" s="162">
        <f t="shared" si="21"/>
        <v>2.0581778265642099E-3</v>
      </c>
      <c r="G329" s="162">
        <f t="shared" si="21"/>
        <v>2.0581778265642099E-3</v>
      </c>
      <c r="H329" s="162">
        <f t="shared" si="21"/>
        <v>2.0581778265642099E-3</v>
      </c>
      <c r="I329" s="162">
        <f t="shared" si="21"/>
        <v>2.0581778265642099E-3</v>
      </c>
      <c r="J329" s="163">
        <f t="shared" si="21"/>
        <v>2.0581778265642099E-3</v>
      </c>
      <c r="L329" s="164">
        <f t="shared" si="20"/>
        <v>213539.02198701218</v>
      </c>
      <c r="M329" s="165">
        <f t="shared" si="20"/>
        <v>219259.82130782952</v>
      </c>
      <c r="N329" s="165">
        <f t="shared" si="20"/>
        <v>244428.11869504876</v>
      </c>
      <c r="O329" s="165">
        <f t="shared" si="19"/>
        <v>269662.2613981287</v>
      </c>
      <c r="P329" s="165">
        <f t="shared" si="19"/>
        <v>292645.93252948264</v>
      </c>
      <c r="Q329" s="166">
        <f t="shared" si="19"/>
        <v>319953.83527349925</v>
      </c>
    </row>
    <row r="330" spans="1:17" ht="12.75" customHeight="1" x14ac:dyDescent="0.35">
      <c r="A330" s="81"/>
      <c r="B330" s="100">
        <v>629</v>
      </c>
      <c r="C330" s="160" t="s">
        <v>330</v>
      </c>
      <c r="D330" s="161">
        <v>6.07652501176102E-4</v>
      </c>
      <c r="E330" s="161">
        <f t="shared" si="18"/>
        <v>6.07652501176102E-4</v>
      </c>
      <c r="F330" s="162">
        <f t="shared" si="21"/>
        <v>6.07652501176102E-4</v>
      </c>
      <c r="G330" s="162">
        <f t="shared" si="21"/>
        <v>6.07652501176102E-4</v>
      </c>
      <c r="H330" s="162">
        <f t="shared" si="21"/>
        <v>6.07652501176102E-4</v>
      </c>
      <c r="I330" s="162">
        <f t="shared" si="21"/>
        <v>6.07652501176102E-4</v>
      </c>
      <c r="J330" s="163">
        <f t="shared" si="21"/>
        <v>6.07652501176102E-4</v>
      </c>
      <c r="L330" s="164">
        <f t="shared" si="20"/>
        <v>63044.854110451415</v>
      </c>
      <c r="M330" s="165">
        <f t="shared" si="20"/>
        <v>64733.852005168927</v>
      </c>
      <c r="N330" s="165">
        <f t="shared" si="20"/>
        <v>72164.492186157469</v>
      </c>
      <c r="O330" s="165">
        <f t="shared" si="19"/>
        <v>79614.572412781097</v>
      </c>
      <c r="P330" s="165">
        <f t="shared" si="19"/>
        <v>86400.227699180847</v>
      </c>
      <c r="Q330" s="166">
        <f t="shared" si="19"/>
        <v>94462.560890271503</v>
      </c>
    </row>
    <row r="331" spans="1:17" ht="12.75" customHeight="1" x14ac:dyDescent="0.35">
      <c r="A331" s="81"/>
      <c r="B331" s="100">
        <v>852</v>
      </c>
      <c r="C331" s="160" t="s">
        <v>331</v>
      </c>
      <c r="D331" s="161">
        <v>6.07652501176102E-4</v>
      </c>
      <c r="E331" s="161">
        <f t="shared" ref="E331:E365" si="22">MAX(9000/L$10,$D331)</f>
        <v>6.07652501176102E-4</v>
      </c>
      <c r="F331" s="162">
        <f t="shared" si="21"/>
        <v>6.07652501176102E-4</v>
      </c>
      <c r="G331" s="162">
        <f t="shared" si="21"/>
        <v>6.07652501176102E-4</v>
      </c>
      <c r="H331" s="162">
        <f t="shared" si="21"/>
        <v>6.07652501176102E-4</v>
      </c>
      <c r="I331" s="162">
        <f t="shared" si="21"/>
        <v>6.07652501176102E-4</v>
      </c>
      <c r="J331" s="163">
        <f t="shared" si="21"/>
        <v>6.07652501176102E-4</v>
      </c>
      <c r="L331" s="164">
        <f t="shared" si="20"/>
        <v>63044.854110451415</v>
      </c>
      <c r="M331" s="165">
        <f t="shared" si="20"/>
        <v>64733.852005168927</v>
      </c>
      <c r="N331" s="165">
        <f t="shared" si="20"/>
        <v>72164.492186157469</v>
      </c>
      <c r="O331" s="165">
        <f t="shared" si="20"/>
        <v>79614.572412781097</v>
      </c>
      <c r="P331" s="165">
        <f t="shared" si="20"/>
        <v>86400.227699180847</v>
      </c>
      <c r="Q331" s="166">
        <f t="shared" si="20"/>
        <v>94462.560890271503</v>
      </c>
    </row>
    <row r="332" spans="1:17" ht="12.75" customHeight="1" x14ac:dyDescent="0.35">
      <c r="A332" s="81"/>
      <c r="B332" s="100">
        <v>988</v>
      </c>
      <c r="C332" s="160" t="s">
        <v>332</v>
      </c>
      <c r="D332" s="161">
        <v>3.4106946840207E-3</v>
      </c>
      <c r="E332" s="161">
        <f t="shared" si="22"/>
        <v>3.4106946840207E-3</v>
      </c>
      <c r="F332" s="162">
        <f t="shared" si="21"/>
        <v>3.4106946840207E-3</v>
      </c>
      <c r="G332" s="162">
        <f t="shared" si="21"/>
        <v>3.4106946840207E-3</v>
      </c>
      <c r="H332" s="162">
        <f t="shared" si="21"/>
        <v>3.4106946840207E-3</v>
      </c>
      <c r="I332" s="162">
        <f t="shared" si="21"/>
        <v>3.4106946840207E-3</v>
      </c>
      <c r="J332" s="163">
        <f t="shared" si="21"/>
        <v>3.4106946840207E-3</v>
      </c>
      <c r="L332" s="164">
        <f t="shared" ref="L332:Q365" si="23">E332/E$10*L$10</f>
        <v>353864.66500704968</v>
      </c>
      <c r="M332" s="165">
        <f t="shared" si="23"/>
        <v>363344.84673868993</v>
      </c>
      <c r="N332" s="165">
        <f t="shared" si="23"/>
        <v>405052.31098036759</v>
      </c>
      <c r="O332" s="165">
        <f t="shared" si="23"/>
        <v>446868.89031690016</v>
      </c>
      <c r="P332" s="165">
        <f t="shared" si="23"/>
        <v>484956.11676314392</v>
      </c>
      <c r="Q332" s="166">
        <f t="shared" si="23"/>
        <v>530209.21273894305</v>
      </c>
    </row>
    <row r="333" spans="1:17" ht="12.75" customHeight="1" x14ac:dyDescent="0.35">
      <c r="A333" s="81"/>
      <c r="B333" s="100">
        <v>457</v>
      </c>
      <c r="C333" s="160" t="s">
        <v>333</v>
      </c>
      <c r="D333" s="161">
        <v>4.1163556531284302E-4</v>
      </c>
      <c r="E333" s="161">
        <f t="shared" si="22"/>
        <v>4.1163556531284302E-4</v>
      </c>
      <c r="F333" s="162">
        <f t="shared" si="21"/>
        <v>4.1163556531284302E-4</v>
      </c>
      <c r="G333" s="162">
        <f t="shared" si="21"/>
        <v>4.1163556531284302E-4</v>
      </c>
      <c r="H333" s="162">
        <f t="shared" si="21"/>
        <v>4.1163556531284302E-4</v>
      </c>
      <c r="I333" s="162">
        <f t="shared" si="21"/>
        <v>4.1163556531284302E-4</v>
      </c>
      <c r="J333" s="163">
        <f t="shared" si="21"/>
        <v>4.1163556531284302E-4</v>
      </c>
      <c r="L333" s="164">
        <f t="shared" si="23"/>
        <v>42707.804397402542</v>
      </c>
      <c r="M333" s="165">
        <f t="shared" si="23"/>
        <v>43851.96426156602</v>
      </c>
      <c r="N333" s="165">
        <f t="shared" si="23"/>
        <v>48885.623739009869</v>
      </c>
      <c r="O333" s="165">
        <f t="shared" si="23"/>
        <v>53932.452279625868</v>
      </c>
      <c r="P333" s="165">
        <f t="shared" si="23"/>
        <v>58529.186505896672</v>
      </c>
      <c r="Q333" s="166">
        <f t="shared" si="23"/>
        <v>63990.767054700009</v>
      </c>
    </row>
    <row r="334" spans="1:17" ht="12.75" customHeight="1" x14ac:dyDescent="0.35">
      <c r="A334" s="81"/>
      <c r="B334" s="100">
        <v>1960</v>
      </c>
      <c r="C334" s="160" t="s">
        <v>334</v>
      </c>
      <c r="D334" s="161">
        <v>2.13658460090952E-3</v>
      </c>
      <c r="E334" s="161">
        <f t="shared" si="22"/>
        <v>2.13658460090952E-3</v>
      </c>
      <c r="F334" s="162">
        <f t="shared" si="21"/>
        <v>2.13658460090952E-3</v>
      </c>
      <c r="G334" s="162">
        <f t="shared" si="21"/>
        <v>2.13658460090952E-3</v>
      </c>
      <c r="H334" s="162">
        <f t="shared" si="21"/>
        <v>2.13658460090952E-3</v>
      </c>
      <c r="I334" s="162">
        <f t="shared" si="21"/>
        <v>2.13658460090952E-3</v>
      </c>
      <c r="J334" s="163">
        <f t="shared" si="21"/>
        <v>2.13658460090952E-3</v>
      </c>
      <c r="L334" s="164">
        <f t="shared" si="23"/>
        <v>221673.84187223238</v>
      </c>
      <c r="M334" s="165">
        <f t="shared" si="23"/>
        <v>227612.57640527142</v>
      </c>
      <c r="N334" s="165">
        <f t="shared" si="23"/>
        <v>253739.66607390853</v>
      </c>
      <c r="O334" s="165">
        <f t="shared" si="23"/>
        <v>279935.10945139162</v>
      </c>
      <c r="P334" s="165">
        <f t="shared" si="23"/>
        <v>303794.34900679719</v>
      </c>
      <c r="Q334" s="166">
        <f t="shared" si="23"/>
        <v>332142.55280772888</v>
      </c>
    </row>
    <row r="335" spans="1:17" ht="12.75" customHeight="1" x14ac:dyDescent="0.35">
      <c r="A335" s="81"/>
      <c r="B335" s="100">
        <v>668</v>
      </c>
      <c r="C335" s="160" t="s">
        <v>335</v>
      </c>
      <c r="D335" s="161">
        <v>5.6844911400344997E-4</v>
      </c>
      <c r="E335" s="161">
        <f t="shared" si="22"/>
        <v>5.6844911400344997E-4</v>
      </c>
      <c r="F335" s="162">
        <f t="shared" si="21"/>
        <v>5.6844911400344997E-4</v>
      </c>
      <c r="G335" s="162">
        <f t="shared" si="21"/>
        <v>5.6844911400344997E-4</v>
      </c>
      <c r="H335" s="162">
        <f t="shared" si="21"/>
        <v>5.6844911400344997E-4</v>
      </c>
      <c r="I335" s="162">
        <f t="shared" si="21"/>
        <v>5.6844911400344997E-4</v>
      </c>
      <c r="J335" s="163">
        <f t="shared" si="21"/>
        <v>5.6844911400344997E-4</v>
      </c>
      <c r="L335" s="164">
        <f t="shared" si="23"/>
        <v>58977.444167841611</v>
      </c>
      <c r="M335" s="165">
        <f t="shared" si="23"/>
        <v>60557.474456448319</v>
      </c>
      <c r="N335" s="165">
        <f t="shared" si="23"/>
        <v>67508.718496727932</v>
      </c>
      <c r="O335" s="165">
        <f t="shared" si="23"/>
        <v>74478.148386150031</v>
      </c>
      <c r="P335" s="165">
        <f t="shared" si="23"/>
        <v>80826.019460523981</v>
      </c>
      <c r="Q335" s="166">
        <f t="shared" si="23"/>
        <v>88368.202123157171</v>
      </c>
    </row>
    <row r="336" spans="1:17" ht="12.75" customHeight="1" x14ac:dyDescent="0.35">
      <c r="A336" s="81"/>
      <c r="B336" s="100">
        <v>1969</v>
      </c>
      <c r="C336" s="160" t="s">
        <v>336</v>
      </c>
      <c r="D336" s="161">
        <v>2.7050337149129699E-3</v>
      </c>
      <c r="E336" s="161">
        <f t="shared" si="22"/>
        <v>2.7050337149129699E-3</v>
      </c>
      <c r="F336" s="162">
        <f t="shared" si="21"/>
        <v>2.7050337149129699E-3</v>
      </c>
      <c r="G336" s="162">
        <f t="shared" si="21"/>
        <v>2.7050337149129699E-3</v>
      </c>
      <c r="H336" s="162">
        <f t="shared" si="21"/>
        <v>2.7050337149129699E-3</v>
      </c>
      <c r="I336" s="162">
        <f t="shared" si="21"/>
        <v>2.7050337149129699E-3</v>
      </c>
      <c r="J336" s="163">
        <f t="shared" si="21"/>
        <v>2.7050337149129699E-3</v>
      </c>
      <c r="L336" s="164">
        <f t="shared" si="23"/>
        <v>280651.28604007402</v>
      </c>
      <c r="M336" s="165">
        <f t="shared" si="23"/>
        <v>288170.0508617197</v>
      </c>
      <c r="N336" s="165">
        <f t="shared" si="23"/>
        <v>321248.3845706365</v>
      </c>
      <c r="O336" s="165">
        <f t="shared" si="23"/>
        <v>354413.25783754163</v>
      </c>
      <c r="P336" s="165">
        <f t="shared" si="23"/>
        <v>384620.36846732115</v>
      </c>
      <c r="Q336" s="166">
        <f t="shared" si="23"/>
        <v>420510.75493088597</v>
      </c>
    </row>
    <row r="337" spans="1:17" ht="12.75" customHeight="1" x14ac:dyDescent="0.35">
      <c r="A337" s="81"/>
      <c r="B337" s="100">
        <v>1701</v>
      </c>
      <c r="C337" s="160" t="s">
        <v>337</v>
      </c>
      <c r="D337" s="161">
        <v>8.8207621138466398E-4</v>
      </c>
      <c r="E337" s="161">
        <f t="shared" si="22"/>
        <v>8.8207621138466398E-4</v>
      </c>
      <c r="F337" s="162">
        <f t="shared" si="21"/>
        <v>8.8207621138466398E-4</v>
      </c>
      <c r="G337" s="162">
        <f t="shared" si="21"/>
        <v>8.8207621138466398E-4</v>
      </c>
      <c r="H337" s="162">
        <f t="shared" si="21"/>
        <v>8.8207621138466398E-4</v>
      </c>
      <c r="I337" s="162">
        <f t="shared" si="21"/>
        <v>8.8207621138466398E-4</v>
      </c>
      <c r="J337" s="163">
        <f t="shared" si="21"/>
        <v>8.8207621138466398E-4</v>
      </c>
      <c r="L337" s="164">
        <f t="shared" si="23"/>
        <v>91516.723708719772</v>
      </c>
      <c r="M337" s="165">
        <f t="shared" si="23"/>
        <v>93968.49484621294</v>
      </c>
      <c r="N337" s="165">
        <f t="shared" si="23"/>
        <v>104754.90801216406</v>
      </c>
      <c r="O337" s="165">
        <f t="shared" si="23"/>
        <v>115569.54059919834</v>
      </c>
      <c r="P337" s="165">
        <f t="shared" si="23"/>
        <v>125419.68536977863</v>
      </c>
      <c r="Q337" s="166">
        <f t="shared" si="23"/>
        <v>137123.07226007152</v>
      </c>
    </row>
    <row r="338" spans="1:17" ht="12.75" customHeight="1" x14ac:dyDescent="0.35">
      <c r="A338" s="81"/>
      <c r="B338" s="100">
        <v>293</v>
      </c>
      <c r="C338" s="160" t="s">
        <v>338</v>
      </c>
      <c r="D338" s="161">
        <v>1.39172024462914E-3</v>
      </c>
      <c r="E338" s="161">
        <f t="shared" si="22"/>
        <v>1.39172024462914E-3</v>
      </c>
      <c r="F338" s="162">
        <f t="shared" si="21"/>
        <v>1.39172024462914E-3</v>
      </c>
      <c r="G338" s="162">
        <f t="shared" si="21"/>
        <v>1.39172024462914E-3</v>
      </c>
      <c r="H338" s="162">
        <f t="shared" si="21"/>
        <v>1.39172024462914E-3</v>
      </c>
      <c r="I338" s="162">
        <f t="shared" si="21"/>
        <v>1.39172024462914E-3</v>
      </c>
      <c r="J338" s="163">
        <f t="shared" si="21"/>
        <v>1.39172024462914E-3</v>
      </c>
      <c r="L338" s="164">
        <f t="shared" si="23"/>
        <v>144393.05296264711</v>
      </c>
      <c r="M338" s="165">
        <f t="shared" si="23"/>
        <v>148261.40297958077</v>
      </c>
      <c r="N338" s="165">
        <f t="shared" si="23"/>
        <v>165279.96597474816</v>
      </c>
      <c r="O338" s="165">
        <f t="shared" si="23"/>
        <v>182343.05294540231</v>
      </c>
      <c r="P338" s="165">
        <f t="shared" si="23"/>
        <v>197884.39247231788</v>
      </c>
      <c r="Q338" s="166">
        <f t="shared" si="23"/>
        <v>216349.73623255783</v>
      </c>
    </row>
    <row r="339" spans="1:17" ht="12.75" customHeight="1" x14ac:dyDescent="0.35">
      <c r="A339" s="81"/>
      <c r="B339" s="100">
        <v>1950</v>
      </c>
      <c r="C339" s="160" t="s">
        <v>339</v>
      </c>
      <c r="D339" s="161">
        <v>1.7641524227693299E-3</v>
      </c>
      <c r="E339" s="161">
        <f t="shared" si="22"/>
        <v>1.7641524227693299E-3</v>
      </c>
      <c r="F339" s="162">
        <f t="shared" si="21"/>
        <v>1.7641524227693299E-3</v>
      </c>
      <c r="G339" s="162">
        <f t="shared" si="21"/>
        <v>1.7641524227693299E-3</v>
      </c>
      <c r="H339" s="162">
        <f t="shared" si="21"/>
        <v>1.7641524227693299E-3</v>
      </c>
      <c r="I339" s="162">
        <f t="shared" si="21"/>
        <v>1.7641524227693299E-3</v>
      </c>
      <c r="J339" s="163">
        <f t="shared" si="21"/>
        <v>1.7641524227693299E-3</v>
      </c>
      <c r="L339" s="164">
        <f t="shared" si="23"/>
        <v>183033.44741743975</v>
      </c>
      <c r="M339" s="165">
        <f t="shared" si="23"/>
        <v>187936.98969242608</v>
      </c>
      <c r="N339" s="165">
        <f t="shared" si="23"/>
        <v>209509.81602432832</v>
      </c>
      <c r="O339" s="165">
        <f t="shared" si="23"/>
        <v>231139.08119839695</v>
      </c>
      <c r="P339" s="165">
        <f t="shared" si="23"/>
        <v>250839.37073955755</v>
      </c>
      <c r="Q339" s="166">
        <f t="shared" si="23"/>
        <v>274246.14452014334</v>
      </c>
    </row>
    <row r="340" spans="1:17" ht="12.75" customHeight="1" x14ac:dyDescent="0.35">
      <c r="A340" s="81"/>
      <c r="B340" s="100">
        <v>1783</v>
      </c>
      <c r="C340" s="160" t="s">
        <v>340</v>
      </c>
      <c r="D340" s="161">
        <v>3.5675082327113099E-3</v>
      </c>
      <c r="E340" s="161">
        <f t="shared" si="22"/>
        <v>3.5675082327113099E-3</v>
      </c>
      <c r="F340" s="162">
        <f t="shared" si="21"/>
        <v>3.5675082327113099E-3</v>
      </c>
      <c r="G340" s="162">
        <f t="shared" si="21"/>
        <v>3.5675082327113099E-3</v>
      </c>
      <c r="H340" s="162">
        <f t="shared" si="21"/>
        <v>3.5675082327113099E-3</v>
      </c>
      <c r="I340" s="162">
        <f t="shared" si="21"/>
        <v>3.5675082327113099E-3</v>
      </c>
      <c r="J340" s="163">
        <f t="shared" si="21"/>
        <v>3.5675082327113099E-3</v>
      </c>
      <c r="L340" s="164">
        <f t="shared" si="23"/>
        <v>370134.3047774891</v>
      </c>
      <c r="M340" s="165">
        <f t="shared" si="23"/>
        <v>380050.35693357256</v>
      </c>
      <c r="N340" s="165">
        <f t="shared" si="23"/>
        <v>423675.40573808603</v>
      </c>
      <c r="O340" s="165">
        <f t="shared" si="23"/>
        <v>467414.58642342471</v>
      </c>
      <c r="P340" s="165">
        <f t="shared" si="23"/>
        <v>507252.94971777167</v>
      </c>
      <c r="Q340" s="166">
        <f t="shared" si="23"/>
        <v>554586.64780740067</v>
      </c>
    </row>
    <row r="341" spans="1:17" ht="12.75" customHeight="1" x14ac:dyDescent="0.35">
      <c r="A341" s="81"/>
      <c r="B341" s="100">
        <v>98</v>
      </c>
      <c r="C341" s="160" t="s">
        <v>341</v>
      </c>
      <c r="D341" s="161">
        <v>1.15649992159323E-3</v>
      </c>
      <c r="E341" s="161">
        <f t="shared" si="22"/>
        <v>1.15649992159323E-3</v>
      </c>
      <c r="F341" s="162">
        <f t="shared" si="21"/>
        <v>1.15649992159323E-3</v>
      </c>
      <c r="G341" s="162">
        <f t="shared" si="21"/>
        <v>1.15649992159323E-3</v>
      </c>
      <c r="H341" s="162">
        <f t="shared" si="21"/>
        <v>1.15649992159323E-3</v>
      </c>
      <c r="I341" s="162">
        <f t="shared" si="21"/>
        <v>1.15649992159323E-3</v>
      </c>
      <c r="J341" s="163">
        <f t="shared" si="21"/>
        <v>1.15649992159323E-3</v>
      </c>
      <c r="L341" s="164">
        <f t="shared" si="23"/>
        <v>119988.59330698855</v>
      </c>
      <c r="M341" s="165">
        <f t="shared" si="23"/>
        <v>123203.13768725736</v>
      </c>
      <c r="N341" s="165">
        <f t="shared" si="23"/>
        <v>137345.32383817111</v>
      </c>
      <c r="O341" s="165">
        <f t="shared" si="23"/>
        <v>151524.50878561611</v>
      </c>
      <c r="P341" s="165">
        <f t="shared" si="23"/>
        <v>164439.14304037698</v>
      </c>
      <c r="Q341" s="166">
        <f t="shared" si="23"/>
        <v>179783.58362987216</v>
      </c>
    </row>
    <row r="342" spans="1:17" ht="12.75" customHeight="1" x14ac:dyDescent="0.35">
      <c r="A342" s="81"/>
      <c r="B342" s="100">
        <v>614</v>
      </c>
      <c r="C342" s="160" t="s">
        <v>342</v>
      </c>
      <c r="D342" s="161">
        <v>3.7243217814019098E-4</v>
      </c>
      <c r="E342" s="161">
        <f t="shared" si="22"/>
        <v>3.7243217814019098E-4</v>
      </c>
      <c r="F342" s="162">
        <f t="shared" si="21"/>
        <v>3.7243217814019098E-4</v>
      </c>
      <c r="G342" s="162">
        <f t="shared" si="21"/>
        <v>3.7243217814019098E-4</v>
      </c>
      <c r="H342" s="162">
        <f t="shared" si="21"/>
        <v>3.7243217814019098E-4</v>
      </c>
      <c r="I342" s="162">
        <f t="shared" si="21"/>
        <v>3.7243217814019098E-4</v>
      </c>
      <c r="J342" s="163">
        <f t="shared" si="21"/>
        <v>3.7243217814019098E-4</v>
      </c>
      <c r="L342" s="164">
        <f t="shared" si="23"/>
        <v>38640.394454792746</v>
      </c>
      <c r="M342" s="165">
        <f t="shared" si="23"/>
        <v>39675.586712845412</v>
      </c>
      <c r="N342" s="165">
        <f t="shared" si="23"/>
        <v>44229.850049580324</v>
      </c>
      <c r="O342" s="165">
        <f t="shared" si="23"/>
        <v>48796.028252994794</v>
      </c>
      <c r="P342" s="165">
        <f t="shared" si="23"/>
        <v>52954.978267239792</v>
      </c>
      <c r="Q342" s="166">
        <f t="shared" si="23"/>
        <v>57896.408287585677</v>
      </c>
    </row>
    <row r="343" spans="1:17" ht="12.75" customHeight="1" x14ac:dyDescent="0.35">
      <c r="A343" s="81"/>
      <c r="B343" s="100">
        <v>189</v>
      </c>
      <c r="C343" s="160" t="s">
        <v>343</v>
      </c>
      <c r="D343" s="161">
        <v>5.0964403324447202E-4</v>
      </c>
      <c r="E343" s="161">
        <f t="shared" si="22"/>
        <v>5.0964403324447202E-4</v>
      </c>
      <c r="F343" s="162">
        <f t="shared" si="21"/>
        <v>5.0964403324447202E-4</v>
      </c>
      <c r="G343" s="162">
        <f t="shared" si="21"/>
        <v>5.0964403324447202E-4</v>
      </c>
      <c r="H343" s="162">
        <f t="shared" si="21"/>
        <v>5.0964403324447202E-4</v>
      </c>
      <c r="I343" s="162">
        <f t="shared" si="21"/>
        <v>5.0964403324447202E-4</v>
      </c>
      <c r="J343" s="163">
        <f t="shared" si="21"/>
        <v>5.0964403324447202E-4</v>
      </c>
      <c r="L343" s="164">
        <f t="shared" si="23"/>
        <v>52876.329253926924</v>
      </c>
      <c r="M343" s="165">
        <f t="shared" si="23"/>
        <v>54292.908133367411</v>
      </c>
      <c r="N343" s="165">
        <f t="shared" si="23"/>
        <v>60525.057962583611</v>
      </c>
      <c r="O343" s="165">
        <f t="shared" si="23"/>
        <v>66773.512346203424</v>
      </c>
      <c r="P343" s="165">
        <f t="shared" si="23"/>
        <v>72464.707102538683</v>
      </c>
      <c r="Q343" s="166">
        <f t="shared" si="23"/>
        <v>79226.66397248568</v>
      </c>
    </row>
    <row r="344" spans="1:17" ht="12.75" customHeight="1" x14ac:dyDescent="0.35">
      <c r="A344" s="81"/>
      <c r="B344" s="100">
        <v>296</v>
      </c>
      <c r="C344" s="160" t="s">
        <v>344</v>
      </c>
      <c r="D344" s="161">
        <v>2.2737964560137999E-3</v>
      </c>
      <c r="E344" s="161">
        <f t="shared" si="22"/>
        <v>2.2737964560137999E-3</v>
      </c>
      <c r="F344" s="162">
        <f t="shared" si="21"/>
        <v>2.2737964560137999E-3</v>
      </c>
      <c r="G344" s="162">
        <f t="shared" si="21"/>
        <v>2.2737964560137999E-3</v>
      </c>
      <c r="H344" s="162">
        <f t="shared" si="21"/>
        <v>2.2737964560137999E-3</v>
      </c>
      <c r="I344" s="162">
        <f t="shared" si="21"/>
        <v>2.2737964560137999E-3</v>
      </c>
      <c r="J344" s="163">
        <f t="shared" si="21"/>
        <v>2.2737964560137999E-3</v>
      </c>
      <c r="L344" s="164">
        <f t="shared" si="23"/>
        <v>235909.77667136645</v>
      </c>
      <c r="M344" s="165">
        <f t="shared" si="23"/>
        <v>242229.89782579328</v>
      </c>
      <c r="N344" s="165">
        <f t="shared" si="23"/>
        <v>270034.87398691173</v>
      </c>
      <c r="O344" s="165">
        <f t="shared" si="23"/>
        <v>297912.59354460012</v>
      </c>
      <c r="P344" s="165">
        <f t="shared" si="23"/>
        <v>323304.07784209593</v>
      </c>
      <c r="Q344" s="166">
        <f t="shared" si="23"/>
        <v>353472.80849262868</v>
      </c>
    </row>
    <row r="345" spans="1:17" ht="12.75" customHeight="1" x14ac:dyDescent="0.35">
      <c r="A345" s="81"/>
      <c r="B345" s="100">
        <v>1696</v>
      </c>
      <c r="C345" s="160" t="s">
        <v>345</v>
      </c>
      <c r="D345" s="161">
        <v>4.9004233965814601E-4</v>
      </c>
      <c r="E345" s="161">
        <f t="shared" si="22"/>
        <v>4.9004233965814601E-4</v>
      </c>
      <c r="F345" s="162">
        <f t="shared" si="21"/>
        <v>4.9004233965814601E-4</v>
      </c>
      <c r="G345" s="162">
        <f t="shared" si="21"/>
        <v>4.9004233965814601E-4</v>
      </c>
      <c r="H345" s="162">
        <f t="shared" si="21"/>
        <v>4.9004233965814601E-4</v>
      </c>
      <c r="I345" s="162">
        <f t="shared" si="21"/>
        <v>4.9004233965814601E-4</v>
      </c>
      <c r="J345" s="163">
        <f t="shared" si="21"/>
        <v>4.9004233965814601E-4</v>
      </c>
      <c r="L345" s="164">
        <f t="shared" si="23"/>
        <v>50842.624282622033</v>
      </c>
      <c r="M345" s="165">
        <f t="shared" si="23"/>
        <v>52204.719359007118</v>
      </c>
      <c r="N345" s="165">
        <f t="shared" si="23"/>
        <v>58197.171117868849</v>
      </c>
      <c r="O345" s="165">
        <f t="shared" si="23"/>
        <v>64205.300332887884</v>
      </c>
      <c r="P345" s="165">
        <f t="shared" si="23"/>
        <v>69677.60298321025</v>
      </c>
      <c r="Q345" s="166">
        <f t="shared" si="23"/>
        <v>76179.484588928521</v>
      </c>
    </row>
    <row r="346" spans="1:17" ht="12.75" customHeight="1" x14ac:dyDescent="0.35">
      <c r="A346" s="81"/>
      <c r="B346" s="100">
        <v>352</v>
      </c>
      <c r="C346" s="160" t="s">
        <v>346</v>
      </c>
      <c r="D346" s="161">
        <v>7.84067743453034E-4</v>
      </c>
      <c r="E346" s="161">
        <f t="shared" si="22"/>
        <v>7.84067743453034E-4</v>
      </c>
      <c r="F346" s="162">
        <f t="shared" si="21"/>
        <v>7.84067743453034E-4</v>
      </c>
      <c r="G346" s="162">
        <f t="shared" si="21"/>
        <v>7.84067743453034E-4</v>
      </c>
      <c r="H346" s="162">
        <f t="shared" si="21"/>
        <v>7.84067743453034E-4</v>
      </c>
      <c r="I346" s="162">
        <f t="shared" si="21"/>
        <v>7.84067743453034E-4</v>
      </c>
      <c r="J346" s="163">
        <f t="shared" si="21"/>
        <v>7.84067743453034E-4</v>
      </c>
      <c r="L346" s="164">
        <f t="shared" si="23"/>
        <v>81348.198852195288</v>
      </c>
      <c r="M346" s="165">
        <f t="shared" si="23"/>
        <v>83527.550974411424</v>
      </c>
      <c r="N346" s="165">
        <f t="shared" si="23"/>
        <v>93115.473788590185</v>
      </c>
      <c r="O346" s="165">
        <f t="shared" si="23"/>
        <v>102728.48053262066</v>
      </c>
      <c r="P346" s="165">
        <f t="shared" si="23"/>
        <v>111484.16477313646</v>
      </c>
      <c r="Q346" s="166">
        <f t="shared" si="23"/>
        <v>121887.17534228569</v>
      </c>
    </row>
    <row r="347" spans="1:17" ht="12.75" customHeight="1" x14ac:dyDescent="0.35">
      <c r="A347" s="81"/>
      <c r="B347" s="100">
        <v>294</v>
      </c>
      <c r="C347" s="160" t="s">
        <v>347</v>
      </c>
      <c r="D347" s="161">
        <v>1.3133134702838301E-3</v>
      </c>
      <c r="E347" s="161">
        <f t="shared" si="22"/>
        <v>1.3133134702838301E-3</v>
      </c>
      <c r="F347" s="162">
        <f t="shared" si="21"/>
        <v>1.3133134702838301E-3</v>
      </c>
      <c r="G347" s="162">
        <f t="shared" si="21"/>
        <v>1.3133134702838301E-3</v>
      </c>
      <c r="H347" s="162">
        <f t="shared" si="21"/>
        <v>1.3133134702838301E-3</v>
      </c>
      <c r="I347" s="162">
        <f t="shared" si="21"/>
        <v>1.3133134702838301E-3</v>
      </c>
      <c r="J347" s="163">
        <f t="shared" si="21"/>
        <v>1.3133134702838301E-3</v>
      </c>
      <c r="L347" s="164">
        <f t="shared" si="23"/>
        <v>136258.23307742691</v>
      </c>
      <c r="M347" s="165">
        <f t="shared" si="23"/>
        <v>139908.64788213893</v>
      </c>
      <c r="N347" s="165">
        <f t="shared" si="23"/>
        <v>155968.41859588836</v>
      </c>
      <c r="O347" s="165">
        <f t="shared" si="23"/>
        <v>172070.20489213936</v>
      </c>
      <c r="P347" s="165">
        <f t="shared" si="23"/>
        <v>186735.9759950033</v>
      </c>
      <c r="Q347" s="166">
        <f t="shared" si="23"/>
        <v>204161.01869832823</v>
      </c>
    </row>
    <row r="348" spans="1:17" ht="12.75" customHeight="1" x14ac:dyDescent="0.35">
      <c r="A348" s="81"/>
      <c r="B348" s="100">
        <v>873</v>
      </c>
      <c r="C348" s="160" t="s">
        <v>348</v>
      </c>
      <c r="D348" s="161">
        <v>1.07809314724792E-3</v>
      </c>
      <c r="E348" s="161">
        <f t="shared" si="22"/>
        <v>1.07809314724792E-3</v>
      </c>
      <c r="F348" s="162">
        <f t="shared" si="21"/>
        <v>1.07809314724792E-3</v>
      </c>
      <c r="G348" s="162">
        <f t="shared" si="21"/>
        <v>1.07809314724792E-3</v>
      </c>
      <c r="H348" s="162">
        <f t="shared" si="21"/>
        <v>1.07809314724792E-3</v>
      </c>
      <c r="I348" s="162">
        <f t="shared" si="21"/>
        <v>1.07809314724792E-3</v>
      </c>
      <c r="J348" s="163">
        <f t="shared" si="21"/>
        <v>1.07809314724792E-3</v>
      </c>
      <c r="L348" s="164">
        <f t="shared" si="23"/>
        <v>111853.77342176833</v>
      </c>
      <c r="M348" s="165">
        <f t="shared" si="23"/>
        <v>114850.38258981552</v>
      </c>
      <c r="N348" s="165">
        <f t="shared" si="23"/>
        <v>128033.77645931132</v>
      </c>
      <c r="O348" s="165">
        <f t="shared" si="23"/>
        <v>141251.66073235319</v>
      </c>
      <c r="P348" s="165">
        <f t="shared" si="23"/>
        <v>153290.7265630624</v>
      </c>
      <c r="Q348" s="166">
        <f t="shared" si="23"/>
        <v>167594.86609564256</v>
      </c>
    </row>
    <row r="349" spans="1:17" ht="12.75" customHeight="1" x14ac:dyDescent="0.35">
      <c r="A349" s="81"/>
      <c r="B349" s="100">
        <v>632</v>
      </c>
      <c r="C349" s="160" t="s">
        <v>349</v>
      </c>
      <c r="D349" s="161">
        <v>1.78375411635565E-3</v>
      </c>
      <c r="E349" s="161">
        <f t="shared" si="22"/>
        <v>1.78375411635565E-3</v>
      </c>
      <c r="F349" s="162">
        <f t="shared" si="21"/>
        <v>1.78375411635565E-3</v>
      </c>
      <c r="G349" s="162">
        <f t="shared" si="21"/>
        <v>1.78375411635565E-3</v>
      </c>
      <c r="H349" s="162">
        <f t="shared" si="21"/>
        <v>1.78375411635565E-3</v>
      </c>
      <c r="I349" s="162">
        <f t="shared" si="21"/>
        <v>1.78375411635565E-3</v>
      </c>
      <c r="J349" s="163">
        <f t="shared" si="21"/>
        <v>1.78375411635565E-3</v>
      </c>
      <c r="L349" s="164">
        <f t="shared" si="23"/>
        <v>185067.15238874403</v>
      </c>
      <c r="M349" s="165">
        <f t="shared" si="23"/>
        <v>190025.17846678576</v>
      </c>
      <c r="N349" s="165">
        <f t="shared" si="23"/>
        <v>211837.7028690424</v>
      </c>
      <c r="O349" s="165">
        <f t="shared" si="23"/>
        <v>233707.29321171172</v>
      </c>
      <c r="P349" s="165">
        <f t="shared" si="23"/>
        <v>253626.47485888514</v>
      </c>
      <c r="Q349" s="166">
        <f t="shared" si="23"/>
        <v>277293.32390369958</v>
      </c>
    </row>
    <row r="350" spans="1:17" ht="12.75" customHeight="1" x14ac:dyDescent="0.35">
      <c r="A350" s="81"/>
      <c r="B350" s="100">
        <v>880</v>
      </c>
      <c r="C350" s="160" t="s">
        <v>350</v>
      </c>
      <c r="D350" s="161">
        <v>7.0566096910773101E-4</v>
      </c>
      <c r="E350" s="161">
        <f t="shared" si="22"/>
        <v>7.0566096910773101E-4</v>
      </c>
      <c r="F350" s="162">
        <f t="shared" si="21"/>
        <v>7.0566096910773101E-4</v>
      </c>
      <c r="G350" s="162">
        <f t="shared" si="21"/>
        <v>7.0566096910773101E-4</v>
      </c>
      <c r="H350" s="162">
        <f t="shared" si="21"/>
        <v>7.0566096910773101E-4</v>
      </c>
      <c r="I350" s="162">
        <f t="shared" si="21"/>
        <v>7.0566096910773101E-4</v>
      </c>
      <c r="J350" s="163">
        <f t="shared" si="21"/>
        <v>7.0566096910773101E-4</v>
      </c>
      <c r="L350" s="164">
        <f t="shared" si="23"/>
        <v>73213.378966975797</v>
      </c>
      <c r="M350" s="165">
        <f t="shared" si="23"/>
        <v>75174.795876970325</v>
      </c>
      <c r="N350" s="165">
        <f t="shared" si="23"/>
        <v>83803.926409731226</v>
      </c>
      <c r="O350" s="165">
        <f t="shared" si="23"/>
        <v>92455.632479358654</v>
      </c>
      <c r="P350" s="165">
        <f t="shared" si="23"/>
        <v>100335.74829582288</v>
      </c>
      <c r="Q350" s="166">
        <f t="shared" si="23"/>
        <v>109698.45780805718</v>
      </c>
    </row>
    <row r="351" spans="1:17" ht="12.75" customHeight="1" x14ac:dyDescent="0.35">
      <c r="A351" s="81"/>
      <c r="B351" s="100">
        <v>351</v>
      </c>
      <c r="C351" s="160" t="s">
        <v>351</v>
      </c>
      <c r="D351" s="161">
        <v>1.76415242276933E-4</v>
      </c>
      <c r="E351" s="161">
        <f t="shared" si="22"/>
        <v>1.76415242276933E-4</v>
      </c>
      <c r="F351" s="162">
        <f t="shared" si="21"/>
        <v>1.76415242276933E-4</v>
      </c>
      <c r="G351" s="162">
        <f t="shared" si="21"/>
        <v>1.76415242276933E-4</v>
      </c>
      <c r="H351" s="162">
        <f t="shared" si="21"/>
        <v>1.76415242276933E-4</v>
      </c>
      <c r="I351" s="162">
        <f t="shared" si="21"/>
        <v>1.76415242276933E-4</v>
      </c>
      <c r="J351" s="163">
        <f t="shared" si="21"/>
        <v>1.76415242276933E-4</v>
      </c>
      <c r="L351" s="164">
        <f t="shared" si="23"/>
        <v>18303.344741743975</v>
      </c>
      <c r="M351" s="165">
        <f t="shared" si="23"/>
        <v>18793.698969242607</v>
      </c>
      <c r="N351" s="165">
        <f t="shared" si="23"/>
        <v>20950.981602432836</v>
      </c>
      <c r="O351" s="165">
        <f t="shared" si="23"/>
        <v>23113.908119839696</v>
      </c>
      <c r="P351" s="165">
        <f t="shared" si="23"/>
        <v>25083.937073955756</v>
      </c>
      <c r="Q351" s="166">
        <f t="shared" si="23"/>
        <v>27424.614452014335</v>
      </c>
    </row>
    <row r="352" spans="1:17" ht="12.75" customHeight="1" x14ac:dyDescent="0.35">
      <c r="A352" s="81"/>
      <c r="B352" s="100">
        <v>479</v>
      </c>
      <c r="C352" s="160" t="s">
        <v>352</v>
      </c>
      <c r="D352" s="161">
        <v>1.04281009879254E-2</v>
      </c>
      <c r="E352" s="161">
        <f t="shared" si="22"/>
        <v>1.04281009879254E-2</v>
      </c>
      <c r="F352" s="162">
        <f t="shared" si="21"/>
        <v>1.04281009879254E-2</v>
      </c>
      <c r="G352" s="162">
        <f t="shared" si="21"/>
        <v>1.04281009879254E-2</v>
      </c>
      <c r="H352" s="162">
        <f t="shared" si="21"/>
        <v>1.04281009879254E-2</v>
      </c>
      <c r="I352" s="162">
        <f t="shared" si="21"/>
        <v>1.04281009879254E-2</v>
      </c>
      <c r="J352" s="163">
        <f t="shared" si="21"/>
        <v>1.04281009879254E-2</v>
      </c>
      <c r="L352" s="164">
        <f t="shared" si="23"/>
        <v>1081931.0447342023</v>
      </c>
      <c r="M352" s="165">
        <f t="shared" si="23"/>
        <v>1110916.4279596771</v>
      </c>
      <c r="N352" s="165">
        <f t="shared" si="23"/>
        <v>1238435.8013882553</v>
      </c>
      <c r="O352" s="165">
        <f t="shared" si="23"/>
        <v>1366288.7910838611</v>
      </c>
      <c r="P352" s="165">
        <f t="shared" si="23"/>
        <v>1482739.3914827218</v>
      </c>
      <c r="Q352" s="166">
        <f t="shared" si="23"/>
        <v>1621099.4320524072</v>
      </c>
    </row>
    <row r="353" spans="1:17" ht="12.75" customHeight="1" x14ac:dyDescent="0.35">
      <c r="A353" s="81"/>
      <c r="B353" s="100">
        <v>297</v>
      </c>
      <c r="C353" s="160" t="s">
        <v>353</v>
      </c>
      <c r="D353" s="161">
        <v>1.4113219382154601E-3</v>
      </c>
      <c r="E353" s="161">
        <f t="shared" si="22"/>
        <v>1.4113219382154601E-3</v>
      </c>
      <c r="F353" s="162">
        <f t="shared" si="21"/>
        <v>1.4113219382154601E-3</v>
      </c>
      <c r="G353" s="162">
        <f t="shared" si="21"/>
        <v>1.4113219382154601E-3</v>
      </c>
      <c r="H353" s="162">
        <f t="shared" si="21"/>
        <v>1.4113219382154601E-3</v>
      </c>
      <c r="I353" s="162">
        <f t="shared" si="21"/>
        <v>1.4113219382154601E-3</v>
      </c>
      <c r="J353" s="163">
        <f t="shared" si="21"/>
        <v>1.4113219382154601E-3</v>
      </c>
      <c r="L353" s="164">
        <f t="shared" si="23"/>
        <v>146426.75793395139</v>
      </c>
      <c r="M353" s="165">
        <f t="shared" si="23"/>
        <v>150349.59175394045</v>
      </c>
      <c r="N353" s="165">
        <f t="shared" si="23"/>
        <v>167607.85281946222</v>
      </c>
      <c r="O353" s="165">
        <f t="shared" si="23"/>
        <v>184911.26495871705</v>
      </c>
      <c r="P353" s="165">
        <f t="shared" si="23"/>
        <v>200671.4965916455</v>
      </c>
      <c r="Q353" s="166">
        <f t="shared" si="23"/>
        <v>219396.91561611407</v>
      </c>
    </row>
    <row r="354" spans="1:17" ht="12.75" customHeight="1" x14ac:dyDescent="0.35">
      <c r="A354" s="81"/>
      <c r="B354" s="100">
        <v>473</v>
      </c>
      <c r="C354" s="160" t="s">
        <v>354</v>
      </c>
      <c r="D354" s="161">
        <v>5.4884742041712395E-4</v>
      </c>
      <c r="E354" s="161">
        <f t="shared" si="22"/>
        <v>5.4884742041712395E-4</v>
      </c>
      <c r="F354" s="162">
        <f t="shared" si="21"/>
        <v>5.4884742041712395E-4</v>
      </c>
      <c r="G354" s="162">
        <f t="shared" si="21"/>
        <v>5.4884742041712395E-4</v>
      </c>
      <c r="H354" s="162">
        <f t="shared" si="21"/>
        <v>5.4884742041712395E-4</v>
      </c>
      <c r="I354" s="162">
        <f t="shared" si="21"/>
        <v>5.4884742041712395E-4</v>
      </c>
      <c r="J354" s="163">
        <f t="shared" si="21"/>
        <v>5.4884742041712395E-4</v>
      </c>
      <c r="L354" s="164">
        <f t="shared" si="23"/>
        <v>56943.739196536721</v>
      </c>
      <c r="M354" s="165">
        <f t="shared" si="23"/>
        <v>58469.285682088012</v>
      </c>
      <c r="N354" s="165">
        <f t="shared" si="23"/>
        <v>65180.831652013156</v>
      </c>
      <c r="O354" s="165">
        <f t="shared" si="23"/>
        <v>71909.936372834491</v>
      </c>
      <c r="P354" s="165">
        <f t="shared" si="23"/>
        <v>78038.915341195549</v>
      </c>
      <c r="Q354" s="166">
        <f t="shared" si="23"/>
        <v>85321.022739599997</v>
      </c>
    </row>
    <row r="355" spans="1:17" ht="12.75" customHeight="1" x14ac:dyDescent="0.35">
      <c r="A355" s="81"/>
      <c r="B355" s="100">
        <v>50</v>
      </c>
      <c r="C355" s="160" t="s">
        <v>355</v>
      </c>
      <c r="D355" s="161">
        <v>6.2725419476242705E-4</v>
      </c>
      <c r="E355" s="161">
        <f t="shared" si="22"/>
        <v>6.2725419476242705E-4</v>
      </c>
      <c r="F355" s="162">
        <f t="shared" si="21"/>
        <v>6.2725419476242705E-4</v>
      </c>
      <c r="G355" s="162">
        <f t="shared" si="21"/>
        <v>6.2725419476242705E-4</v>
      </c>
      <c r="H355" s="162">
        <f t="shared" si="21"/>
        <v>6.2725419476242705E-4</v>
      </c>
      <c r="I355" s="162">
        <f t="shared" si="21"/>
        <v>6.2725419476242705E-4</v>
      </c>
      <c r="J355" s="163">
        <f t="shared" si="21"/>
        <v>6.2725419476242705E-4</v>
      </c>
      <c r="L355" s="164">
        <f t="shared" si="23"/>
        <v>65078.559081756204</v>
      </c>
      <c r="M355" s="165">
        <f t="shared" si="23"/>
        <v>66822.040779529125</v>
      </c>
      <c r="N355" s="165">
        <f t="shared" si="23"/>
        <v>74492.379030872136</v>
      </c>
      <c r="O355" s="165">
        <f t="shared" si="23"/>
        <v>82182.784426096507</v>
      </c>
      <c r="P355" s="165">
        <f t="shared" si="23"/>
        <v>89187.331818509148</v>
      </c>
      <c r="Q355" s="166">
        <f t="shared" si="23"/>
        <v>97509.740273828516</v>
      </c>
    </row>
    <row r="356" spans="1:17" ht="12.75" customHeight="1" x14ac:dyDescent="0.35">
      <c r="A356" s="81"/>
      <c r="B356" s="100">
        <v>355</v>
      </c>
      <c r="C356" s="160" t="s">
        <v>356</v>
      </c>
      <c r="D356" s="161">
        <v>4.0183471851968E-3</v>
      </c>
      <c r="E356" s="161">
        <f t="shared" si="22"/>
        <v>4.0183471851968E-3</v>
      </c>
      <c r="F356" s="162">
        <f t="shared" si="21"/>
        <v>4.0183471851968E-3</v>
      </c>
      <c r="G356" s="162">
        <f t="shared" si="21"/>
        <v>4.0183471851968E-3</v>
      </c>
      <c r="H356" s="162">
        <f t="shared" si="21"/>
        <v>4.0183471851968E-3</v>
      </c>
      <c r="I356" s="162">
        <f t="shared" si="21"/>
        <v>4.0183471851968E-3</v>
      </c>
      <c r="J356" s="163">
        <f t="shared" si="21"/>
        <v>4.0183471851968E-3</v>
      </c>
      <c r="L356" s="164">
        <f t="shared" si="23"/>
        <v>416909.51911750092</v>
      </c>
      <c r="M356" s="165">
        <f t="shared" si="23"/>
        <v>428078.69874385861</v>
      </c>
      <c r="N356" s="165">
        <f t="shared" si="23"/>
        <v>477216.8031665248</v>
      </c>
      <c r="O356" s="165">
        <f t="shared" si="23"/>
        <v>526483.46272968105</v>
      </c>
      <c r="P356" s="165">
        <f t="shared" si="23"/>
        <v>571356.3444623244</v>
      </c>
      <c r="Q356" s="166">
        <f t="shared" si="23"/>
        <v>624671.77362921427</v>
      </c>
    </row>
    <row r="357" spans="1:17" ht="12.75" customHeight="1" x14ac:dyDescent="0.35">
      <c r="A357" s="81"/>
      <c r="B357" s="100">
        <v>299</v>
      </c>
      <c r="C357" s="160" t="s">
        <v>357</v>
      </c>
      <c r="D357" s="161">
        <v>2.9402540379488799E-3</v>
      </c>
      <c r="E357" s="161">
        <f t="shared" si="22"/>
        <v>2.9402540379488799E-3</v>
      </c>
      <c r="F357" s="162">
        <f t="shared" si="21"/>
        <v>2.9402540379488799E-3</v>
      </c>
      <c r="G357" s="162">
        <f t="shared" si="21"/>
        <v>2.9402540379488799E-3</v>
      </c>
      <c r="H357" s="162">
        <f t="shared" si="21"/>
        <v>2.9402540379488799E-3</v>
      </c>
      <c r="I357" s="162">
        <f t="shared" si="21"/>
        <v>2.9402540379488799E-3</v>
      </c>
      <c r="J357" s="163">
        <f t="shared" si="21"/>
        <v>2.9402540379488799E-3</v>
      </c>
      <c r="L357" s="164">
        <f t="shared" si="23"/>
        <v>305055.74569573253</v>
      </c>
      <c r="M357" s="165">
        <f t="shared" si="23"/>
        <v>313228.31615404313</v>
      </c>
      <c r="N357" s="165">
        <f t="shared" si="23"/>
        <v>349183.02670721349</v>
      </c>
      <c r="O357" s="165">
        <f t="shared" si="23"/>
        <v>385231.80199732783</v>
      </c>
      <c r="P357" s="165">
        <f t="shared" si="23"/>
        <v>418065.61789926206</v>
      </c>
      <c r="Q357" s="166">
        <f t="shared" si="23"/>
        <v>457076.90753357171</v>
      </c>
    </row>
    <row r="358" spans="1:17" ht="12.75" customHeight="1" x14ac:dyDescent="0.35">
      <c r="A358" s="81"/>
      <c r="B358" s="100">
        <v>637</v>
      </c>
      <c r="C358" s="160" t="s">
        <v>358</v>
      </c>
      <c r="D358" s="161">
        <v>6.8997961423867002E-3</v>
      </c>
      <c r="E358" s="161">
        <f t="shared" si="22"/>
        <v>6.8997961423867002E-3</v>
      </c>
      <c r="F358" s="162">
        <f t="shared" si="21"/>
        <v>6.8997961423867002E-3</v>
      </c>
      <c r="G358" s="162">
        <f t="shared" si="21"/>
        <v>6.8997961423867002E-3</v>
      </c>
      <c r="H358" s="162">
        <f t="shared" si="21"/>
        <v>6.8997961423867002E-3</v>
      </c>
      <c r="I358" s="162">
        <f t="shared" si="21"/>
        <v>6.8997961423867002E-3</v>
      </c>
      <c r="J358" s="163">
        <f t="shared" si="21"/>
        <v>6.8997961423867002E-3</v>
      </c>
      <c r="L358" s="164">
        <f t="shared" si="23"/>
        <v>715864.1498993187</v>
      </c>
      <c r="M358" s="165">
        <f t="shared" si="23"/>
        <v>735042.44857482065</v>
      </c>
      <c r="N358" s="165">
        <f t="shared" si="23"/>
        <v>819416.16933959385</v>
      </c>
      <c r="O358" s="165">
        <f t="shared" si="23"/>
        <v>904010.62868706195</v>
      </c>
      <c r="P358" s="165">
        <f t="shared" si="23"/>
        <v>981060.65000360098</v>
      </c>
      <c r="Q358" s="166">
        <f t="shared" si="23"/>
        <v>1072607.1430121141</v>
      </c>
    </row>
    <row r="359" spans="1:17" ht="12.75" customHeight="1" x14ac:dyDescent="0.35">
      <c r="A359" s="81"/>
      <c r="B359" s="100">
        <v>638</v>
      </c>
      <c r="C359" s="160" t="s">
        <v>359</v>
      </c>
      <c r="D359" s="161">
        <v>2.15618629449584E-4</v>
      </c>
      <c r="E359" s="161">
        <f t="shared" si="22"/>
        <v>2.15618629449584E-4</v>
      </c>
      <c r="F359" s="162">
        <f t="shared" si="21"/>
        <v>2.15618629449584E-4</v>
      </c>
      <c r="G359" s="162">
        <f t="shared" si="21"/>
        <v>2.15618629449584E-4</v>
      </c>
      <c r="H359" s="162">
        <f t="shared" si="21"/>
        <v>2.15618629449584E-4</v>
      </c>
      <c r="I359" s="162">
        <f t="shared" si="21"/>
        <v>2.15618629449584E-4</v>
      </c>
      <c r="J359" s="163">
        <f t="shared" si="21"/>
        <v>2.15618629449584E-4</v>
      </c>
      <c r="L359" s="164">
        <f t="shared" si="23"/>
        <v>22370.754684353669</v>
      </c>
      <c r="M359" s="165">
        <f t="shared" si="23"/>
        <v>22970.076517963105</v>
      </c>
      <c r="N359" s="165">
        <f t="shared" si="23"/>
        <v>25606.755291862264</v>
      </c>
      <c r="O359" s="165">
        <f t="shared" si="23"/>
        <v>28250.332146470639</v>
      </c>
      <c r="P359" s="165">
        <f t="shared" si="23"/>
        <v>30658.145312612476</v>
      </c>
      <c r="Q359" s="166">
        <f t="shared" si="23"/>
        <v>33518.973219128507</v>
      </c>
    </row>
    <row r="360" spans="1:17" ht="12.75" customHeight="1" x14ac:dyDescent="0.35">
      <c r="A360" s="81"/>
      <c r="B360" s="100">
        <v>1892</v>
      </c>
      <c r="C360" s="160" t="s">
        <v>360</v>
      </c>
      <c r="D360" s="161">
        <v>1.4113219382154601E-3</v>
      </c>
      <c r="E360" s="161">
        <f t="shared" si="22"/>
        <v>1.4113219382154601E-3</v>
      </c>
      <c r="F360" s="162">
        <f t="shared" si="21"/>
        <v>1.4113219382154601E-3</v>
      </c>
      <c r="G360" s="162">
        <f t="shared" si="21"/>
        <v>1.4113219382154601E-3</v>
      </c>
      <c r="H360" s="162">
        <f t="shared" si="21"/>
        <v>1.4113219382154601E-3</v>
      </c>
      <c r="I360" s="162">
        <f t="shared" si="21"/>
        <v>1.4113219382154601E-3</v>
      </c>
      <c r="J360" s="163">
        <f t="shared" si="21"/>
        <v>1.4113219382154601E-3</v>
      </c>
      <c r="L360" s="164">
        <f t="shared" si="23"/>
        <v>146426.75793395139</v>
      </c>
      <c r="M360" s="165">
        <f t="shared" si="23"/>
        <v>150349.59175394045</v>
      </c>
      <c r="N360" s="165">
        <f t="shared" si="23"/>
        <v>167607.85281946222</v>
      </c>
      <c r="O360" s="165">
        <f t="shared" si="23"/>
        <v>184911.26495871705</v>
      </c>
      <c r="P360" s="165">
        <f t="shared" si="23"/>
        <v>200671.4965916455</v>
      </c>
      <c r="Q360" s="166">
        <f t="shared" si="23"/>
        <v>219396.91561611407</v>
      </c>
    </row>
    <row r="361" spans="1:17" ht="12.75" customHeight="1" x14ac:dyDescent="0.35">
      <c r="A361" s="81"/>
      <c r="B361" s="100">
        <v>879</v>
      </c>
      <c r="C361" s="160" t="s">
        <v>361</v>
      </c>
      <c r="D361" s="161">
        <v>6.6645758193507897E-4</v>
      </c>
      <c r="E361" s="161">
        <f t="shared" si="22"/>
        <v>6.6645758193507897E-4</v>
      </c>
      <c r="F361" s="162">
        <f t="shared" si="21"/>
        <v>6.6645758193507897E-4</v>
      </c>
      <c r="G361" s="162">
        <f t="shared" si="21"/>
        <v>6.6645758193507897E-4</v>
      </c>
      <c r="H361" s="162">
        <f t="shared" si="21"/>
        <v>6.6645758193507897E-4</v>
      </c>
      <c r="I361" s="162">
        <f t="shared" si="21"/>
        <v>6.6645758193507897E-4</v>
      </c>
      <c r="J361" s="163">
        <f t="shared" si="21"/>
        <v>6.6645758193507897E-4</v>
      </c>
      <c r="L361" s="164">
        <f t="shared" si="23"/>
        <v>69145.969024366001</v>
      </c>
      <c r="M361" s="165">
        <f t="shared" si="23"/>
        <v>70998.418328249711</v>
      </c>
      <c r="N361" s="165">
        <f t="shared" si="23"/>
        <v>79148.152720301674</v>
      </c>
      <c r="O361" s="165">
        <f t="shared" si="23"/>
        <v>87319.208452727573</v>
      </c>
      <c r="P361" s="165">
        <f t="shared" si="23"/>
        <v>94761.540057165999</v>
      </c>
      <c r="Q361" s="166">
        <f t="shared" si="23"/>
        <v>103604.09904094285</v>
      </c>
    </row>
    <row r="362" spans="1:17" ht="12.75" customHeight="1" x14ac:dyDescent="0.35">
      <c r="A362" s="81"/>
      <c r="B362" s="100">
        <v>301</v>
      </c>
      <c r="C362" s="160" t="s">
        <v>362</v>
      </c>
      <c r="D362" s="161">
        <v>5.9785165438293901E-3</v>
      </c>
      <c r="E362" s="161">
        <f t="shared" si="22"/>
        <v>5.9785165438293901E-3</v>
      </c>
      <c r="F362" s="162">
        <f t="shared" si="21"/>
        <v>5.9785165438293901E-3</v>
      </c>
      <c r="G362" s="162">
        <f t="shared" si="21"/>
        <v>5.9785165438293901E-3</v>
      </c>
      <c r="H362" s="162">
        <f t="shared" si="21"/>
        <v>5.9785165438293901E-3</v>
      </c>
      <c r="I362" s="162">
        <f t="shared" si="21"/>
        <v>5.9785165438293901E-3</v>
      </c>
      <c r="J362" s="163">
        <f t="shared" si="21"/>
        <v>5.9785165438293901E-3</v>
      </c>
      <c r="L362" s="164">
        <f t="shared" si="23"/>
        <v>620280.01624798961</v>
      </c>
      <c r="M362" s="165">
        <f t="shared" si="23"/>
        <v>636897.57617988775</v>
      </c>
      <c r="N362" s="165">
        <f t="shared" si="23"/>
        <v>710005.48763800098</v>
      </c>
      <c r="O362" s="165">
        <f t="shared" si="23"/>
        <v>783304.66406123328</v>
      </c>
      <c r="P362" s="165">
        <f t="shared" si="23"/>
        <v>850066.75639516627</v>
      </c>
      <c r="Q362" s="166">
        <f t="shared" si="23"/>
        <v>929389.71198492928</v>
      </c>
    </row>
    <row r="363" spans="1:17" ht="12.75" customHeight="1" x14ac:dyDescent="0.35">
      <c r="A363" s="81"/>
      <c r="B363" s="100">
        <v>1896</v>
      </c>
      <c r="C363" s="160" t="s">
        <v>363</v>
      </c>
      <c r="D363" s="161">
        <v>1.1368982280068999E-3</v>
      </c>
      <c r="E363" s="161">
        <f t="shared" si="22"/>
        <v>1.1368982280068999E-3</v>
      </c>
      <c r="F363" s="162">
        <f t="shared" si="21"/>
        <v>1.1368982280068999E-3</v>
      </c>
      <c r="G363" s="162">
        <f t="shared" si="21"/>
        <v>1.1368982280068999E-3</v>
      </c>
      <c r="H363" s="162">
        <f t="shared" si="21"/>
        <v>1.1368982280068999E-3</v>
      </c>
      <c r="I363" s="162">
        <f t="shared" si="21"/>
        <v>1.1368982280068999E-3</v>
      </c>
      <c r="J363" s="163">
        <f t="shared" si="21"/>
        <v>1.1368982280068999E-3</v>
      </c>
      <c r="L363" s="164">
        <f t="shared" si="23"/>
        <v>117954.88833568322</v>
      </c>
      <c r="M363" s="165">
        <f t="shared" si="23"/>
        <v>121114.94891289664</v>
      </c>
      <c r="N363" s="165">
        <f t="shared" si="23"/>
        <v>135017.43699345586</v>
      </c>
      <c r="O363" s="165">
        <f t="shared" si="23"/>
        <v>148956.29677230006</v>
      </c>
      <c r="P363" s="165">
        <f t="shared" si="23"/>
        <v>161652.03892104796</v>
      </c>
      <c r="Q363" s="166">
        <f t="shared" si="23"/>
        <v>176736.40424631434</v>
      </c>
    </row>
    <row r="364" spans="1:17" ht="12.75" customHeight="1" x14ac:dyDescent="0.35">
      <c r="A364" s="81"/>
      <c r="B364" s="100">
        <v>642</v>
      </c>
      <c r="C364" s="160" t="s">
        <v>364</v>
      </c>
      <c r="D364" s="161">
        <v>2.3522032303591E-3</v>
      </c>
      <c r="E364" s="161">
        <f t="shared" si="22"/>
        <v>2.3522032303591E-3</v>
      </c>
      <c r="F364" s="162">
        <f t="shared" si="21"/>
        <v>2.3522032303591E-3</v>
      </c>
      <c r="G364" s="162">
        <f t="shared" si="21"/>
        <v>2.3522032303591E-3</v>
      </c>
      <c r="H364" s="162">
        <f t="shared" si="21"/>
        <v>2.3522032303591E-3</v>
      </c>
      <c r="I364" s="162">
        <f t="shared" si="21"/>
        <v>2.3522032303591E-3</v>
      </c>
      <c r="J364" s="163">
        <f t="shared" si="21"/>
        <v>2.3522032303591E-3</v>
      </c>
      <c r="L364" s="164">
        <f t="shared" si="23"/>
        <v>244044.59655658563</v>
      </c>
      <c r="M364" s="165">
        <f t="shared" si="23"/>
        <v>250582.65292323404</v>
      </c>
      <c r="N364" s="165">
        <f t="shared" si="23"/>
        <v>279346.42136577039</v>
      </c>
      <c r="O364" s="165">
        <f t="shared" si="23"/>
        <v>308185.44159786176</v>
      </c>
      <c r="P364" s="165">
        <f t="shared" si="23"/>
        <v>334452.49431940913</v>
      </c>
      <c r="Q364" s="166">
        <f t="shared" si="23"/>
        <v>365661.52602685674</v>
      </c>
    </row>
    <row r="365" spans="1:17" ht="12.75" customHeight="1" x14ac:dyDescent="0.35">
      <c r="A365" s="81"/>
      <c r="B365" s="103">
        <v>193</v>
      </c>
      <c r="C365" s="167" t="s">
        <v>365</v>
      </c>
      <c r="D365" s="168">
        <v>8.6639485651560204E-3</v>
      </c>
      <c r="E365" s="168">
        <f t="shared" si="22"/>
        <v>8.6639485651560204E-3</v>
      </c>
      <c r="F365" s="169">
        <f t="shared" si="21"/>
        <v>8.6639485651560204E-3</v>
      </c>
      <c r="G365" s="169">
        <f t="shared" si="21"/>
        <v>8.6639485651560204E-3</v>
      </c>
      <c r="H365" s="169">
        <f t="shared" si="21"/>
        <v>8.6639485651560204E-3</v>
      </c>
      <c r="I365" s="169">
        <f t="shared" si="21"/>
        <v>8.6639485651560204E-3</v>
      </c>
      <c r="J365" s="170">
        <f t="shared" si="21"/>
        <v>8.6639485651560204E-3</v>
      </c>
      <c r="L365" s="171">
        <f t="shared" si="23"/>
        <v>898897.59731675731</v>
      </c>
      <c r="M365" s="172">
        <f t="shared" si="23"/>
        <v>922979.43826724566</v>
      </c>
      <c r="N365" s="172">
        <f t="shared" si="23"/>
        <v>1028925.985363921</v>
      </c>
      <c r="O365" s="172">
        <f t="shared" si="23"/>
        <v>1135149.7098854575</v>
      </c>
      <c r="P365" s="172">
        <f t="shared" si="23"/>
        <v>1231900.0207431572</v>
      </c>
      <c r="Q365" s="173">
        <f t="shared" si="23"/>
        <v>1346853.287532256</v>
      </c>
    </row>
    <row r="366" spans="1:17" ht="12.75" customHeight="1" x14ac:dyDescent="0.35">
      <c r="A366" s="81"/>
    </row>
    <row r="367" spans="1:17" ht="12.75" customHeight="1" x14ac:dyDescent="0.35">
      <c r="A367" s="81"/>
    </row>
    <row r="368" spans="1:17" ht="12.75" customHeight="1" x14ac:dyDescent="0.35">
      <c r="A368" s="81"/>
    </row>
    <row r="369" spans="1:1" ht="12.75" customHeight="1" x14ac:dyDescent="0.35">
      <c r="A369" s="81"/>
    </row>
    <row r="370" spans="1:1" ht="12.75" customHeight="1" x14ac:dyDescent="0.35">
      <c r="A370" s="81"/>
    </row>
    <row r="371" spans="1:1" ht="12.75" customHeight="1" x14ac:dyDescent="0.35">
      <c r="A371" s="81"/>
    </row>
    <row r="372" spans="1:1" ht="12.75" customHeight="1" x14ac:dyDescent="0.35">
      <c r="A372" s="81"/>
    </row>
    <row r="373" spans="1:1" ht="12.75" customHeight="1" x14ac:dyDescent="0.35">
      <c r="A373" s="81"/>
    </row>
    <row r="374" spans="1:1" ht="12.75" customHeight="1" x14ac:dyDescent="0.35">
      <c r="A374" s="81"/>
    </row>
    <row r="375" spans="1:1" ht="12.75" customHeight="1" x14ac:dyDescent="0.35">
      <c r="A375" s="81"/>
    </row>
    <row r="376" spans="1:1" ht="12.75" customHeight="1" x14ac:dyDescent="0.35">
      <c r="A376" s="81"/>
    </row>
    <row r="377" spans="1:1" ht="12.75" customHeight="1" x14ac:dyDescent="0.35">
      <c r="A377" s="81"/>
    </row>
    <row r="378" spans="1:1" ht="12.75" customHeight="1" x14ac:dyDescent="0.35">
      <c r="A378" s="81"/>
    </row>
    <row r="379" spans="1:1" ht="12.75" customHeight="1" x14ac:dyDescent="0.35">
      <c r="A379" s="81"/>
    </row>
    <row r="380" spans="1:1" ht="12.75" customHeight="1" x14ac:dyDescent="0.35">
      <c r="A380" s="81"/>
    </row>
    <row r="381" spans="1:1" ht="12.75" customHeight="1" x14ac:dyDescent="0.35">
      <c r="A381" s="81"/>
    </row>
    <row r="382" spans="1:1" ht="12.75" customHeight="1" x14ac:dyDescent="0.35">
      <c r="A382" s="81"/>
    </row>
    <row r="383" spans="1:1" ht="12.75" customHeight="1" x14ac:dyDescent="0.35">
      <c r="A383" s="81"/>
    </row>
    <row r="384" spans="1:1" ht="12.75" customHeight="1" x14ac:dyDescent="0.35">
      <c r="A384" s="81"/>
    </row>
    <row r="385" spans="1:4" ht="12.75" customHeight="1" x14ac:dyDescent="0.35">
      <c r="A385" s="81"/>
    </row>
    <row r="386" spans="1:4" ht="12.75" customHeight="1" x14ac:dyDescent="0.35">
      <c r="A386" s="81"/>
    </row>
    <row r="387" spans="1:4" ht="12.75" customHeight="1" x14ac:dyDescent="0.35">
      <c r="A387" s="81"/>
    </row>
    <row r="388" spans="1:4" ht="12.75" customHeight="1" x14ac:dyDescent="0.35">
      <c r="A388" s="81"/>
    </row>
    <row r="389" spans="1:4" ht="12.75" customHeight="1" x14ac:dyDescent="0.35">
      <c r="A389" s="81"/>
    </row>
    <row r="390" spans="1:4" ht="12.75" customHeight="1" x14ac:dyDescent="0.35">
      <c r="A390" s="81"/>
    </row>
    <row r="391" spans="1:4" ht="12.75" customHeight="1" x14ac:dyDescent="0.35">
      <c r="A391" s="81"/>
    </row>
    <row r="392" spans="1:4" ht="12.75" customHeight="1" x14ac:dyDescent="0.35">
      <c r="A392" s="81"/>
    </row>
    <row r="393" spans="1:4" ht="12.75" customHeight="1" x14ac:dyDescent="0.35">
      <c r="A393" s="81"/>
    </row>
    <row r="394" spans="1:4" ht="12.75" customHeight="1" x14ac:dyDescent="0.35">
      <c r="A394" s="81"/>
    </row>
    <row r="395" spans="1:4" ht="12.75" customHeight="1" x14ac:dyDescent="0.35">
      <c r="A395" s="81"/>
    </row>
    <row r="396" spans="1:4" ht="12.75" customHeight="1" x14ac:dyDescent="0.35">
      <c r="A396" s="81"/>
    </row>
    <row r="397" spans="1:4" ht="12.75" customHeight="1" x14ac:dyDescent="0.35">
      <c r="A397" s="81"/>
      <c r="D397" s="35"/>
    </row>
    <row r="398" spans="1:4" ht="12.75" customHeight="1" x14ac:dyDescent="0.35">
      <c r="A398" s="81"/>
      <c r="D398" s="35"/>
    </row>
    <row r="399" spans="1:4" ht="12.75" customHeight="1" x14ac:dyDescent="0.35">
      <c r="A399" s="81"/>
      <c r="D399" s="35"/>
    </row>
    <row r="400" spans="1:4" ht="12.75" customHeight="1" x14ac:dyDescent="0.35">
      <c r="A400" s="81"/>
      <c r="D400" s="35"/>
    </row>
    <row r="401" spans="1:4" ht="12.75" customHeight="1" x14ac:dyDescent="0.35">
      <c r="A401" s="81"/>
      <c r="D401" s="81"/>
    </row>
    <row r="402" spans="1:4" ht="12.75" customHeight="1" x14ac:dyDescent="0.35">
      <c r="A402" s="81"/>
      <c r="D402" s="81"/>
    </row>
    <row r="403" spans="1:4" ht="12.75" customHeight="1" x14ac:dyDescent="0.35">
      <c r="A403" s="81"/>
      <c r="D403" s="8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C4D25-C8C4-4F89-979D-E4E0FA059639}">
  <sheetPr codeName="Blad5">
    <tabColor rgb="FF00B0F0"/>
  </sheetPr>
  <dimension ref="A1:G367"/>
  <sheetViews>
    <sheetView topLeftCell="A127" workbookViewId="0">
      <selection activeCell="E146" sqref="E146"/>
    </sheetView>
  </sheetViews>
  <sheetFormatPr defaultColWidth="9.08984375" defaultRowHeight="14.5" x14ac:dyDescent="0.35"/>
  <cols>
    <col min="1" max="1" width="16.54296875" style="178" customWidth="1"/>
    <col min="2" max="2" width="31.6328125" style="178" bestFit="1" customWidth="1"/>
    <col min="3" max="5" width="24.54296875" style="178" customWidth="1"/>
    <col min="6" max="7" width="15.6328125" style="177" bestFit="1" customWidth="1"/>
    <col min="8" max="256" width="9.08984375" style="178"/>
    <col min="257" max="257" width="16.54296875" style="178" customWidth="1"/>
    <col min="258" max="258" width="31.6328125" style="178" bestFit="1" customWidth="1"/>
    <col min="259" max="261" width="24.54296875" style="178" customWidth="1"/>
    <col min="262" max="263" width="15.6328125" style="178" bestFit="1" customWidth="1"/>
    <col min="264" max="512" width="9.08984375" style="178"/>
    <col min="513" max="513" width="16.54296875" style="178" customWidth="1"/>
    <col min="514" max="514" width="31.6328125" style="178" bestFit="1" customWidth="1"/>
    <col min="515" max="517" width="24.54296875" style="178" customWidth="1"/>
    <col min="518" max="519" width="15.6328125" style="178" bestFit="1" customWidth="1"/>
    <col min="520" max="768" width="9.08984375" style="178"/>
    <col min="769" max="769" width="16.54296875" style="178" customWidth="1"/>
    <col min="770" max="770" width="31.6328125" style="178" bestFit="1" customWidth="1"/>
    <col min="771" max="773" width="24.54296875" style="178" customWidth="1"/>
    <col min="774" max="775" width="15.6328125" style="178" bestFit="1" customWidth="1"/>
    <col min="776" max="1024" width="9.08984375" style="178"/>
    <col min="1025" max="1025" width="16.54296875" style="178" customWidth="1"/>
    <col min="1026" max="1026" width="31.6328125" style="178" bestFit="1" customWidth="1"/>
    <col min="1027" max="1029" width="24.54296875" style="178" customWidth="1"/>
    <col min="1030" max="1031" width="15.6328125" style="178" bestFit="1" customWidth="1"/>
    <col min="1032" max="1280" width="9.08984375" style="178"/>
    <col min="1281" max="1281" width="16.54296875" style="178" customWidth="1"/>
    <col min="1282" max="1282" width="31.6328125" style="178" bestFit="1" customWidth="1"/>
    <col min="1283" max="1285" width="24.54296875" style="178" customWidth="1"/>
    <col min="1286" max="1287" width="15.6328125" style="178" bestFit="1" customWidth="1"/>
    <col min="1288" max="1536" width="9.08984375" style="178"/>
    <col min="1537" max="1537" width="16.54296875" style="178" customWidth="1"/>
    <col min="1538" max="1538" width="31.6328125" style="178" bestFit="1" customWidth="1"/>
    <col min="1539" max="1541" width="24.54296875" style="178" customWidth="1"/>
    <col min="1542" max="1543" width="15.6328125" style="178" bestFit="1" customWidth="1"/>
    <col min="1544" max="1792" width="9.08984375" style="178"/>
    <col min="1793" max="1793" width="16.54296875" style="178" customWidth="1"/>
    <col min="1794" max="1794" width="31.6328125" style="178" bestFit="1" customWidth="1"/>
    <col min="1795" max="1797" width="24.54296875" style="178" customWidth="1"/>
    <col min="1798" max="1799" width="15.6328125" style="178" bestFit="1" customWidth="1"/>
    <col min="1800" max="2048" width="9.08984375" style="178"/>
    <col min="2049" max="2049" width="16.54296875" style="178" customWidth="1"/>
    <col min="2050" max="2050" width="31.6328125" style="178" bestFit="1" customWidth="1"/>
    <col min="2051" max="2053" width="24.54296875" style="178" customWidth="1"/>
    <col min="2054" max="2055" width="15.6328125" style="178" bestFit="1" customWidth="1"/>
    <col min="2056" max="2304" width="9.08984375" style="178"/>
    <col min="2305" max="2305" width="16.54296875" style="178" customWidth="1"/>
    <col min="2306" max="2306" width="31.6328125" style="178" bestFit="1" customWidth="1"/>
    <col min="2307" max="2309" width="24.54296875" style="178" customWidth="1"/>
    <col min="2310" max="2311" width="15.6328125" style="178" bestFit="1" customWidth="1"/>
    <col min="2312" max="2560" width="9.08984375" style="178"/>
    <col min="2561" max="2561" width="16.54296875" style="178" customWidth="1"/>
    <col min="2562" max="2562" width="31.6328125" style="178" bestFit="1" customWidth="1"/>
    <col min="2563" max="2565" width="24.54296875" style="178" customWidth="1"/>
    <col min="2566" max="2567" width="15.6328125" style="178" bestFit="1" customWidth="1"/>
    <col min="2568" max="2816" width="9.08984375" style="178"/>
    <col min="2817" max="2817" width="16.54296875" style="178" customWidth="1"/>
    <col min="2818" max="2818" width="31.6328125" style="178" bestFit="1" customWidth="1"/>
    <col min="2819" max="2821" width="24.54296875" style="178" customWidth="1"/>
    <col min="2822" max="2823" width="15.6328125" style="178" bestFit="1" customWidth="1"/>
    <col min="2824" max="3072" width="9.08984375" style="178"/>
    <col min="3073" max="3073" width="16.54296875" style="178" customWidth="1"/>
    <col min="3074" max="3074" width="31.6328125" style="178" bestFit="1" customWidth="1"/>
    <col min="3075" max="3077" width="24.54296875" style="178" customWidth="1"/>
    <col min="3078" max="3079" width="15.6328125" style="178" bestFit="1" customWidth="1"/>
    <col min="3080" max="3328" width="9.08984375" style="178"/>
    <col min="3329" max="3329" width="16.54296875" style="178" customWidth="1"/>
    <col min="3330" max="3330" width="31.6328125" style="178" bestFit="1" customWidth="1"/>
    <col min="3331" max="3333" width="24.54296875" style="178" customWidth="1"/>
    <col min="3334" max="3335" width="15.6328125" style="178" bestFit="1" customWidth="1"/>
    <col min="3336" max="3584" width="9.08984375" style="178"/>
    <col min="3585" max="3585" width="16.54296875" style="178" customWidth="1"/>
    <col min="3586" max="3586" width="31.6328125" style="178" bestFit="1" customWidth="1"/>
    <col min="3587" max="3589" width="24.54296875" style="178" customWidth="1"/>
    <col min="3590" max="3591" width="15.6328125" style="178" bestFit="1" customWidth="1"/>
    <col min="3592" max="3840" width="9.08984375" style="178"/>
    <col min="3841" max="3841" width="16.54296875" style="178" customWidth="1"/>
    <col min="3842" max="3842" width="31.6328125" style="178" bestFit="1" customWidth="1"/>
    <col min="3843" max="3845" width="24.54296875" style="178" customWidth="1"/>
    <col min="3846" max="3847" width="15.6328125" style="178" bestFit="1" customWidth="1"/>
    <col min="3848" max="4096" width="9.08984375" style="178"/>
    <col min="4097" max="4097" width="16.54296875" style="178" customWidth="1"/>
    <col min="4098" max="4098" width="31.6328125" style="178" bestFit="1" customWidth="1"/>
    <col min="4099" max="4101" width="24.54296875" style="178" customWidth="1"/>
    <col min="4102" max="4103" width="15.6328125" style="178" bestFit="1" customWidth="1"/>
    <col min="4104" max="4352" width="9.08984375" style="178"/>
    <col min="4353" max="4353" width="16.54296875" style="178" customWidth="1"/>
    <col min="4354" max="4354" width="31.6328125" style="178" bestFit="1" customWidth="1"/>
    <col min="4355" max="4357" width="24.54296875" style="178" customWidth="1"/>
    <col min="4358" max="4359" width="15.6328125" style="178" bestFit="1" customWidth="1"/>
    <col min="4360" max="4608" width="9.08984375" style="178"/>
    <col min="4609" max="4609" width="16.54296875" style="178" customWidth="1"/>
    <col min="4610" max="4610" width="31.6328125" style="178" bestFit="1" customWidth="1"/>
    <col min="4611" max="4613" width="24.54296875" style="178" customWidth="1"/>
    <col min="4614" max="4615" width="15.6328125" style="178" bestFit="1" customWidth="1"/>
    <col min="4616" max="4864" width="9.08984375" style="178"/>
    <col min="4865" max="4865" width="16.54296875" style="178" customWidth="1"/>
    <col min="4866" max="4866" width="31.6328125" style="178" bestFit="1" customWidth="1"/>
    <col min="4867" max="4869" width="24.54296875" style="178" customWidth="1"/>
    <col min="4870" max="4871" width="15.6328125" style="178" bestFit="1" customWidth="1"/>
    <col min="4872" max="5120" width="9.08984375" style="178"/>
    <col min="5121" max="5121" width="16.54296875" style="178" customWidth="1"/>
    <col min="5122" max="5122" width="31.6328125" style="178" bestFit="1" customWidth="1"/>
    <col min="5123" max="5125" width="24.54296875" style="178" customWidth="1"/>
    <col min="5126" max="5127" width="15.6328125" style="178" bestFit="1" customWidth="1"/>
    <col min="5128" max="5376" width="9.08984375" style="178"/>
    <col min="5377" max="5377" width="16.54296875" style="178" customWidth="1"/>
    <col min="5378" max="5378" width="31.6328125" style="178" bestFit="1" customWidth="1"/>
    <col min="5379" max="5381" width="24.54296875" style="178" customWidth="1"/>
    <col min="5382" max="5383" width="15.6328125" style="178" bestFit="1" customWidth="1"/>
    <col min="5384" max="5632" width="9.08984375" style="178"/>
    <col min="5633" max="5633" width="16.54296875" style="178" customWidth="1"/>
    <col min="5634" max="5634" width="31.6328125" style="178" bestFit="1" customWidth="1"/>
    <col min="5635" max="5637" width="24.54296875" style="178" customWidth="1"/>
    <col min="5638" max="5639" width="15.6328125" style="178" bestFit="1" customWidth="1"/>
    <col min="5640" max="5888" width="9.08984375" style="178"/>
    <col min="5889" max="5889" width="16.54296875" style="178" customWidth="1"/>
    <col min="5890" max="5890" width="31.6328125" style="178" bestFit="1" customWidth="1"/>
    <col min="5891" max="5893" width="24.54296875" style="178" customWidth="1"/>
    <col min="5894" max="5895" width="15.6328125" style="178" bestFit="1" customWidth="1"/>
    <col min="5896" max="6144" width="9.08984375" style="178"/>
    <col min="6145" max="6145" width="16.54296875" style="178" customWidth="1"/>
    <col min="6146" max="6146" width="31.6328125" style="178" bestFit="1" customWidth="1"/>
    <col min="6147" max="6149" width="24.54296875" style="178" customWidth="1"/>
    <col min="6150" max="6151" width="15.6328125" style="178" bestFit="1" customWidth="1"/>
    <col min="6152" max="6400" width="9.08984375" style="178"/>
    <col min="6401" max="6401" width="16.54296875" style="178" customWidth="1"/>
    <col min="6402" max="6402" width="31.6328125" style="178" bestFit="1" customWidth="1"/>
    <col min="6403" max="6405" width="24.54296875" style="178" customWidth="1"/>
    <col min="6406" max="6407" width="15.6328125" style="178" bestFit="1" customWidth="1"/>
    <col min="6408" max="6656" width="9.08984375" style="178"/>
    <col min="6657" max="6657" width="16.54296875" style="178" customWidth="1"/>
    <col min="6658" max="6658" width="31.6328125" style="178" bestFit="1" customWidth="1"/>
    <col min="6659" max="6661" width="24.54296875" style="178" customWidth="1"/>
    <col min="6662" max="6663" width="15.6328125" style="178" bestFit="1" customWidth="1"/>
    <col min="6664" max="6912" width="9.08984375" style="178"/>
    <col min="6913" max="6913" width="16.54296875" style="178" customWidth="1"/>
    <col min="6914" max="6914" width="31.6328125" style="178" bestFit="1" customWidth="1"/>
    <col min="6915" max="6917" width="24.54296875" style="178" customWidth="1"/>
    <col min="6918" max="6919" width="15.6328125" style="178" bestFit="1" customWidth="1"/>
    <col min="6920" max="7168" width="9.08984375" style="178"/>
    <col min="7169" max="7169" width="16.54296875" style="178" customWidth="1"/>
    <col min="7170" max="7170" width="31.6328125" style="178" bestFit="1" customWidth="1"/>
    <col min="7171" max="7173" width="24.54296875" style="178" customWidth="1"/>
    <col min="7174" max="7175" width="15.6328125" style="178" bestFit="1" customWidth="1"/>
    <col min="7176" max="7424" width="9.08984375" style="178"/>
    <col min="7425" max="7425" width="16.54296875" style="178" customWidth="1"/>
    <col min="7426" max="7426" width="31.6328125" style="178" bestFit="1" customWidth="1"/>
    <col min="7427" max="7429" width="24.54296875" style="178" customWidth="1"/>
    <col min="7430" max="7431" width="15.6328125" style="178" bestFit="1" customWidth="1"/>
    <col min="7432" max="7680" width="9.08984375" style="178"/>
    <col min="7681" max="7681" width="16.54296875" style="178" customWidth="1"/>
    <col min="7682" max="7682" width="31.6328125" style="178" bestFit="1" customWidth="1"/>
    <col min="7683" max="7685" width="24.54296875" style="178" customWidth="1"/>
    <col min="7686" max="7687" width="15.6328125" style="178" bestFit="1" customWidth="1"/>
    <col min="7688" max="7936" width="9.08984375" style="178"/>
    <col min="7937" max="7937" width="16.54296875" style="178" customWidth="1"/>
    <col min="7938" max="7938" width="31.6328125" style="178" bestFit="1" customWidth="1"/>
    <col min="7939" max="7941" width="24.54296875" style="178" customWidth="1"/>
    <col min="7942" max="7943" width="15.6328125" style="178" bestFit="1" customWidth="1"/>
    <col min="7944" max="8192" width="9.08984375" style="178"/>
    <col min="8193" max="8193" width="16.54296875" style="178" customWidth="1"/>
    <col min="8194" max="8194" width="31.6328125" style="178" bestFit="1" customWidth="1"/>
    <col min="8195" max="8197" width="24.54296875" style="178" customWidth="1"/>
    <col min="8198" max="8199" width="15.6328125" style="178" bestFit="1" customWidth="1"/>
    <col min="8200" max="8448" width="9.08984375" style="178"/>
    <col min="8449" max="8449" width="16.54296875" style="178" customWidth="1"/>
    <col min="8450" max="8450" width="31.6328125" style="178" bestFit="1" customWidth="1"/>
    <col min="8451" max="8453" width="24.54296875" style="178" customWidth="1"/>
    <col min="8454" max="8455" width="15.6328125" style="178" bestFit="1" customWidth="1"/>
    <col min="8456" max="8704" width="9.08984375" style="178"/>
    <col min="8705" max="8705" width="16.54296875" style="178" customWidth="1"/>
    <col min="8706" max="8706" width="31.6328125" style="178" bestFit="1" customWidth="1"/>
    <col min="8707" max="8709" width="24.54296875" style="178" customWidth="1"/>
    <col min="8710" max="8711" width="15.6328125" style="178" bestFit="1" customWidth="1"/>
    <col min="8712" max="8960" width="9.08984375" style="178"/>
    <col min="8961" max="8961" width="16.54296875" style="178" customWidth="1"/>
    <col min="8962" max="8962" width="31.6328125" style="178" bestFit="1" customWidth="1"/>
    <col min="8963" max="8965" width="24.54296875" style="178" customWidth="1"/>
    <col min="8966" max="8967" width="15.6328125" style="178" bestFit="1" customWidth="1"/>
    <col min="8968" max="9216" width="9.08984375" style="178"/>
    <col min="9217" max="9217" width="16.54296875" style="178" customWidth="1"/>
    <col min="9218" max="9218" width="31.6328125" style="178" bestFit="1" customWidth="1"/>
    <col min="9219" max="9221" width="24.54296875" style="178" customWidth="1"/>
    <col min="9222" max="9223" width="15.6328125" style="178" bestFit="1" customWidth="1"/>
    <col min="9224" max="9472" width="9.08984375" style="178"/>
    <col min="9473" max="9473" width="16.54296875" style="178" customWidth="1"/>
    <col min="9474" max="9474" width="31.6328125" style="178" bestFit="1" customWidth="1"/>
    <col min="9475" max="9477" width="24.54296875" style="178" customWidth="1"/>
    <col min="9478" max="9479" width="15.6328125" style="178" bestFit="1" customWidth="1"/>
    <col min="9480" max="9728" width="9.08984375" style="178"/>
    <col min="9729" max="9729" width="16.54296875" style="178" customWidth="1"/>
    <col min="9730" max="9730" width="31.6328125" style="178" bestFit="1" customWidth="1"/>
    <col min="9731" max="9733" width="24.54296875" style="178" customWidth="1"/>
    <col min="9734" max="9735" width="15.6328125" style="178" bestFit="1" customWidth="1"/>
    <col min="9736" max="9984" width="9.08984375" style="178"/>
    <col min="9985" max="9985" width="16.54296875" style="178" customWidth="1"/>
    <col min="9986" max="9986" width="31.6328125" style="178" bestFit="1" customWidth="1"/>
    <col min="9987" max="9989" width="24.54296875" style="178" customWidth="1"/>
    <col min="9990" max="9991" width="15.6328125" style="178" bestFit="1" customWidth="1"/>
    <col min="9992" max="10240" width="9.08984375" style="178"/>
    <col min="10241" max="10241" width="16.54296875" style="178" customWidth="1"/>
    <col min="10242" max="10242" width="31.6328125" style="178" bestFit="1" customWidth="1"/>
    <col min="10243" max="10245" width="24.54296875" style="178" customWidth="1"/>
    <col min="10246" max="10247" width="15.6328125" style="178" bestFit="1" customWidth="1"/>
    <col min="10248" max="10496" width="9.08984375" style="178"/>
    <col min="10497" max="10497" width="16.54296875" style="178" customWidth="1"/>
    <col min="10498" max="10498" width="31.6328125" style="178" bestFit="1" customWidth="1"/>
    <col min="10499" max="10501" width="24.54296875" style="178" customWidth="1"/>
    <col min="10502" max="10503" width="15.6328125" style="178" bestFit="1" customWidth="1"/>
    <col min="10504" max="10752" width="9.08984375" style="178"/>
    <col min="10753" max="10753" width="16.54296875" style="178" customWidth="1"/>
    <col min="10754" max="10754" width="31.6328125" style="178" bestFit="1" customWidth="1"/>
    <col min="10755" max="10757" width="24.54296875" style="178" customWidth="1"/>
    <col min="10758" max="10759" width="15.6328125" style="178" bestFit="1" customWidth="1"/>
    <col min="10760" max="11008" width="9.08984375" style="178"/>
    <col min="11009" max="11009" width="16.54296875" style="178" customWidth="1"/>
    <col min="11010" max="11010" width="31.6328125" style="178" bestFit="1" customWidth="1"/>
    <col min="11011" max="11013" width="24.54296875" style="178" customWidth="1"/>
    <col min="11014" max="11015" width="15.6328125" style="178" bestFit="1" customWidth="1"/>
    <col min="11016" max="11264" width="9.08984375" style="178"/>
    <col min="11265" max="11265" width="16.54296875" style="178" customWidth="1"/>
    <col min="11266" max="11266" width="31.6328125" style="178" bestFit="1" customWidth="1"/>
    <col min="11267" max="11269" width="24.54296875" style="178" customWidth="1"/>
    <col min="11270" max="11271" width="15.6328125" style="178" bestFit="1" customWidth="1"/>
    <col min="11272" max="11520" width="9.08984375" style="178"/>
    <col min="11521" max="11521" width="16.54296875" style="178" customWidth="1"/>
    <col min="11522" max="11522" width="31.6328125" style="178" bestFit="1" customWidth="1"/>
    <col min="11523" max="11525" width="24.54296875" style="178" customWidth="1"/>
    <col min="11526" max="11527" width="15.6328125" style="178" bestFit="1" customWidth="1"/>
    <col min="11528" max="11776" width="9.08984375" style="178"/>
    <col min="11777" max="11777" width="16.54296875" style="178" customWidth="1"/>
    <col min="11778" max="11778" width="31.6328125" style="178" bestFit="1" customWidth="1"/>
    <col min="11779" max="11781" width="24.54296875" style="178" customWidth="1"/>
    <col min="11782" max="11783" width="15.6328125" style="178" bestFit="1" customWidth="1"/>
    <col min="11784" max="12032" width="9.08984375" style="178"/>
    <col min="12033" max="12033" width="16.54296875" style="178" customWidth="1"/>
    <col min="12034" max="12034" width="31.6328125" style="178" bestFit="1" customWidth="1"/>
    <col min="12035" max="12037" width="24.54296875" style="178" customWidth="1"/>
    <col min="12038" max="12039" width="15.6328125" style="178" bestFit="1" customWidth="1"/>
    <col min="12040" max="12288" width="9.08984375" style="178"/>
    <col min="12289" max="12289" width="16.54296875" style="178" customWidth="1"/>
    <col min="12290" max="12290" width="31.6328125" style="178" bestFit="1" customWidth="1"/>
    <col min="12291" max="12293" width="24.54296875" style="178" customWidth="1"/>
    <col min="12294" max="12295" width="15.6328125" style="178" bestFit="1" customWidth="1"/>
    <col min="12296" max="12544" width="9.08984375" style="178"/>
    <col min="12545" max="12545" width="16.54296875" style="178" customWidth="1"/>
    <col min="12546" max="12546" width="31.6328125" style="178" bestFit="1" customWidth="1"/>
    <col min="12547" max="12549" width="24.54296875" style="178" customWidth="1"/>
    <col min="12550" max="12551" width="15.6328125" style="178" bestFit="1" customWidth="1"/>
    <col min="12552" max="12800" width="9.08984375" style="178"/>
    <col min="12801" max="12801" width="16.54296875" style="178" customWidth="1"/>
    <col min="12802" max="12802" width="31.6328125" style="178" bestFit="1" customWidth="1"/>
    <col min="12803" max="12805" width="24.54296875" style="178" customWidth="1"/>
    <col min="12806" max="12807" width="15.6328125" style="178" bestFit="1" customWidth="1"/>
    <col min="12808" max="13056" width="9.08984375" style="178"/>
    <col min="13057" max="13057" width="16.54296875" style="178" customWidth="1"/>
    <col min="13058" max="13058" width="31.6328125" style="178" bestFit="1" customWidth="1"/>
    <col min="13059" max="13061" width="24.54296875" style="178" customWidth="1"/>
    <col min="13062" max="13063" width="15.6328125" style="178" bestFit="1" customWidth="1"/>
    <col min="13064" max="13312" width="9.08984375" style="178"/>
    <col min="13313" max="13313" width="16.54296875" style="178" customWidth="1"/>
    <col min="13314" max="13314" width="31.6328125" style="178" bestFit="1" customWidth="1"/>
    <col min="13315" max="13317" width="24.54296875" style="178" customWidth="1"/>
    <col min="13318" max="13319" width="15.6328125" style="178" bestFit="1" customWidth="1"/>
    <col min="13320" max="13568" width="9.08984375" style="178"/>
    <col min="13569" max="13569" width="16.54296875" style="178" customWidth="1"/>
    <col min="13570" max="13570" width="31.6328125" style="178" bestFit="1" customWidth="1"/>
    <col min="13571" max="13573" width="24.54296875" style="178" customWidth="1"/>
    <col min="13574" max="13575" width="15.6328125" style="178" bestFit="1" customWidth="1"/>
    <col min="13576" max="13824" width="9.08984375" style="178"/>
    <col min="13825" max="13825" width="16.54296875" style="178" customWidth="1"/>
    <col min="13826" max="13826" width="31.6328125" style="178" bestFit="1" customWidth="1"/>
    <col min="13827" max="13829" width="24.54296875" style="178" customWidth="1"/>
    <col min="13830" max="13831" width="15.6328125" style="178" bestFit="1" customWidth="1"/>
    <col min="13832" max="14080" width="9.08984375" style="178"/>
    <col min="14081" max="14081" width="16.54296875" style="178" customWidth="1"/>
    <col min="14082" max="14082" width="31.6328125" style="178" bestFit="1" customWidth="1"/>
    <col min="14083" max="14085" width="24.54296875" style="178" customWidth="1"/>
    <col min="14086" max="14087" width="15.6328125" style="178" bestFit="1" customWidth="1"/>
    <col min="14088" max="14336" width="9.08984375" style="178"/>
    <col min="14337" max="14337" width="16.54296875" style="178" customWidth="1"/>
    <col min="14338" max="14338" width="31.6328125" style="178" bestFit="1" customWidth="1"/>
    <col min="14339" max="14341" width="24.54296875" style="178" customWidth="1"/>
    <col min="14342" max="14343" width="15.6328125" style="178" bestFit="1" customWidth="1"/>
    <col min="14344" max="14592" width="9.08984375" style="178"/>
    <col min="14593" max="14593" width="16.54296875" style="178" customWidth="1"/>
    <col min="14594" max="14594" width="31.6328125" style="178" bestFit="1" customWidth="1"/>
    <col min="14595" max="14597" width="24.54296875" style="178" customWidth="1"/>
    <col min="14598" max="14599" width="15.6328125" style="178" bestFit="1" customWidth="1"/>
    <col min="14600" max="14848" width="9.08984375" style="178"/>
    <col min="14849" max="14849" width="16.54296875" style="178" customWidth="1"/>
    <col min="14850" max="14850" width="31.6328125" style="178" bestFit="1" customWidth="1"/>
    <col min="14851" max="14853" width="24.54296875" style="178" customWidth="1"/>
    <col min="14854" max="14855" width="15.6328125" style="178" bestFit="1" customWidth="1"/>
    <col min="14856" max="15104" width="9.08984375" style="178"/>
    <col min="15105" max="15105" width="16.54296875" style="178" customWidth="1"/>
    <col min="15106" max="15106" width="31.6328125" style="178" bestFit="1" customWidth="1"/>
    <col min="15107" max="15109" width="24.54296875" style="178" customWidth="1"/>
    <col min="15110" max="15111" width="15.6328125" style="178" bestFit="1" customWidth="1"/>
    <col min="15112" max="15360" width="9.08984375" style="178"/>
    <col min="15361" max="15361" width="16.54296875" style="178" customWidth="1"/>
    <col min="15362" max="15362" width="31.6328125" style="178" bestFit="1" customWidth="1"/>
    <col min="15363" max="15365" width="24.54296875" style="178" customWidth="1"/>
    <col min="15366" max="15367" width="15.6328125" style="178" bestFit="1" customWidth="1"/>
    <col min="15368" max="15616" width="9.08984375" style="178"/>
    <col min="15617" max="15617" width="16.54296875" style="178" customWidth="1"/>
    <col min="15618" max="15618" width="31.6328125" style="178" bestFit="1" customWidth="1"/>
    <col min="15619" max="15621" width="24.54296875" style="178" customWidth="1"/>
    <col min="15622" max="15623" width="15.6328125" style="178" bestFit="1" customWidth="1"/>
    <col min="15624" max="15872" width="9.08984375" style="178"/>
    <col min="15873" max="15873" width="16.54296875" style="178" customWidth="1"/>
    <col min="15874" max="15874" width="31.6328125" style="178" bestFit="1" customWidth="1"/>
    <col min="15875" max="15877" width="24.54296875" style="178" customWidth="1"/>
    <col min="15878" max="15879" width="15.6328125" style="178" bestFit="1" customWidth="1"/>
    <col min="15880" max="16128" width="9.08984375" style="178"/>
    <col min="16129" max="16129" width="16.54296875" style="178" customWidth="1"/>
    <col min="16130" max="16130" width="31.6328125" style="178" bestFit="1" customWidth="1"/>
    <col min="16131" max="16133" width="24.54296875" style="178" customWidth="1"/>
    <col min="16134" max="16135" width="15.6328125" style="178" bestFit="1" customWidth="1"/>
    <col min="16136" max="16384" width="9.08984375" style="178"/>
  </cols>
  <sheetData>
    <row r="1" spans="1:7" x14ac:dyDescent="0.35">
      <c r="A1" s="177" t="s">
        <v>368</v>
      </c>
      <c r="B1" s="176" t="s">
        <v>369</v>
      </c>
    </row>
    <row r="2" spans="1:7" ht="30.65" customHeight="1" x14ac:dyDescent="0.35">
      <c r="C2" s="179" t="s">
        <v>370</v>
      </c>
      <c r="D2" s="179" t="s">
        <v>371</v>
      </c>
      <c r="E2" s="179" t="s">
        <v>372</v>
      </c>
      <c r="F2" s="572" t="s">
        <v>373</v>
      </c>
      <c r="G2" s="572"/>
    </row>
    <row r="3" spans="1:7" s="183" customFormat="1" ht="72.5" x14ac:dyDescent="0.35">
      <c r="A3" s="180"/>
      <c r="B3" s="180"/>
      <c r="C3" s="181" t="s">
        <v>374</v>
      </c>
      <c r="D3" s="181" t="s">
        <v>375</v>
      </c>
      <c r="E3" s="181" t="s">
        <v>376</v>
      </c>
      <c r="F3" s="182" t="s">
        <v>377</v>
      </c>
      <c r="G3" s="182" t="s">
        <v>378</v>
      </c>
    </row>
    <row r="4" spans="1:7" x14ac:dyDescent="0.35">
      <c r="A4" s="184"/>
      <c r="B4" s="184"/>
      <c r="C4" s="185"/>
      <c r="D4" s="185"/>
      <c r="E4" s="185"/>
    </row>
    <row r="5" spans="1:7" x14ac:dyDescent="0.35">
      <c r="A5" s="184" t="s">
        <v>379</v>
      </c>
      <c r="B5" s="184"/>
      <c r="C5" s="184">
        <v>26058.999999999851</v>
      </c>
      <c r="D5" s="184">
        <v>25488.999999999945</v>
      </c>
      <c r="E5" s="184">
        <v>25929</v>
      </c>
    </row>
    <row r="6" spans="1:7" x14ac:dyDescent="0.35">
      <c r="A6" s="184"/>
      <c r="B6" s="184"/>
      <c r="C6" s="184"/>
      <c r="D6" s="184"/>
      <c r="E6" s="184"/>
    </row>
    <row r="7" spans="1:7" x14ac:dyDescent="0.35">
      <c r="A7" s="186" t="s">
        <v>380</v>
      </c>
      <c r="B7" s="186" t="s">
        <v>381</v>
      </c>
      <c r="C7" s="184"/>
      <c r="D7" s="184"/>
      <c r="E7" s="184"/>
    </row>
    <row r="8" spans="1:7" x14ac:dyDescent="0.35">
      <c r="A8" s="187" t="s">
        <v>382</v>
      </c>
      <c r="B8" s="188" t="s">
        <v>383</v>
      </c>
      <c r="C8" s="189">
        <v>352.99999999999994</v>
      </c>
      <c r="D8" s="189">
        <v>352.99999999999994</v>
      </c>
      <c r="E8" s="189">
        <v>49.000000000000007</v>
      </c>
    </row>
    <row r="9" spans="1:7" x14ac:dyDescent="0.35">
      <c r="A9" s="189" t="s">
        <v>384</v>
      </c>
      <c r="B9" s="188" t="s">
        <v>28</v>
      </c>
      <c r="C9" s="189">
        <v>18</v>
      </c>
      <c r="D9" s="189">
        <v>17.000000000000004</v>
      </c>
      <c r="E9" s="189">
        <v>35.999999999999986</v>
      </c>
      <c r="F9" s="190">
        <f>+C9/(C$5-C$8)*100%</f>
        <v>7.0022562825799832E-4</v>
      </c>
      <c r="G9" s="190">
        <f>(+D9+E9)/(D$5-D$8+E$5-E$8)*100%</f>
        <v>1.0388897600752715E-3</v>
      </c>
    </row>
    <row r="10" spans="1:7" x14ac:dyDescent="0.35">
      <c r="A10" s="189" t="s">
        <v>385</v>
      </c>
      <c r="B10" s="188" t="s">
        <v>81</v>
      </c>
      <c r="C10" s="189">
        <v>54.999999999999993</v>
      </c>
      <c r="D10" s="189">
        <v>53.999999999999993</v>
      </c>
      <c r="E10" s="189">
        <v>58.000000000000007</v>
      </c>
      <c r="F10" s="190">
        <f t="shared" ref="F10:F73" si="0">+C10/(C$5-C$8)*100%</f>
        <v>2.1395783085661054E-3</v>
      </c>
      <c r="G10" s="190">
        <f t="shared" ref="G10:G73" si="1">(+D10+E10)/(D$5-D$8+E$5-E$8)*100%</f>
        <v>2.1953896816684988E-3</v>
      </c>
    </row>
    <row r="11" spans="1:7" x14ac:dyDescent="0.35">
      <c r="A11" s="187" t="s">
        <v>386</v>
      </c>
      <c r="B11" s="188" t="s">
        <v>122</v>
      </c>
      <c r="C11" s="189">
        <v>549.99999999999943</v>
      </c>
      <c r="D11" s="189">
        <v>548.00000000000023</v>
      </c>
      <c r="E11" s="189">
        <v>269.99999999999994</v>
      </c>
      <c r="F11" s="190">
        <f t="shared" si="0"/>
        <v>2.1395783085661039E-2</v>
      </c>
      <c r="G11" s="190">
        <f t="shared" si="1"/>
        <v>1.6034185353614575E-2</v>
      </c>
    </row>
    <row r="12" spans="1:7" x14ac:dyDescent="0.35">
      <c r="A12" s="189" t="s">
        <v>387</v>
      </c>
      <c r="B12" s="188" t="s">
        <v>190</v>
      </c>
      <c r="C12" s="189">
        <v>25</v>
      </c>
      <c r="D12" s="189">
        <v>24</v>
      </c>
      <c r="E12" s="189">
        <v>25</v>
      </c>
      <c r="F12" s="190">
        <f t="shared" si="0"/>
        <v>9.7253559480277546E-4</v>
      </c>
      <c r="G12" s="190">
        <f t="shared" si="1"/>
        <v>9.6048298572996816E-4</v>
      </c>
    </row>
    <row r="13" spans="1:7" x14ac:dyDescent="0.35">
      <c r="A13" s="189" t="s">
        <v>388</v>
      </c>
      <c r="B13" s="188" t="s">
        <v>19</v>
      </c>
      <c r="C13" s="189">
        <v>273.00000000000006</v>
      </c>
      <c r="D13" s="189">
        <v>268.00000000000011</v>
      </c>
      <c r="E13" s="189">
        <v>284.99999999999994</v>
      </c>
      <c r="F13" s="190">
        <f t="shared" si="0"/>
        <v>1.062008869524631E-2</v>
      </c>
      <c r="G13" s="190">
        <f t="shared" si="1"/>
        <v>1.0839736553238211E-2</v>
      </c>
    </row>
    <row r="14" spans="1:7" x14ac:dyDescent="0.35">
      <c r="A14" s="189" t="s">
        <v>389</v>
      </c>
      <c r="B14" s="188" t="s">
        <v>282</v>
      </c>
      <c r="C14" s="189">
        <v>86.000000000000028</v>
      </c>
      <c r="D14" s="189">
        <v>86.000000000000028</v>
      </c>
      <c r="E14" s="189">
        <v>138.99999999999997</v>
      </c>
      <c r="F14" s="190">
        <f t="shared" si="0"/>
        <v>3.3455224461215486E-3</v>
      </c>
      <c r="G14" s="190">
        <f t="shared" si="1"/>
        <v>4.4103810569233234E-3</v>
      </c>
    </row>
    <row r="15" spans="1:7" x14ac:dyDescent="0.35">
      <c r="A15" s="189" t="s">
        <v>390</v>
      </c>
      <c r="B15" s="188" t="s">
        <v>310</v>
      </c>
      <c r="C15" s="189">
        <v>60.000000000000021</v>
      </c>
      <c r="D15" s="189">
        <v>58.999999999999986</v>
      </c>
      <c r="E15" s="189">
        <v>106.00000000000003</v>
      </c>
      <c r="F15" s="190">
        <f t="shared" si="0"/>
        <v>2.3340854275266617E-3</v>
      </c>
      <c r="G15" s="190">
        <f t="shared" si="1"/>
        <v>3.2342794417437705E-3</v>
      </c>
    </row>
    <row r="16" spans="1:7" x14ac:dyDescent="0.35">
      <c r="A16" s="189" t="s">
        <v>391</v>
      </c>
      <c r="B16" s="188" t="s">
        <v>355</v>
      </c>
      <c r="C16" s="189">
        <v>20.000000000000004</v>
      </c>
      <c r="D16" s="189">
        <v>20.000000000000004</v>
      </c>
      <c r="E16" s="189">
        <v>12</v>
      </c>
      <c r="F16" s="190">
        <f t="shared" si="0"/>
        <v>7.780284758422205E-4</v>
      </c>
      <c r="G16" s="190">
        <f t="shared" si="1"/>
        <v>6.2725419476242824E-4</v>
      </c>
    </row>
    <row r="17" spans="1:7" x14ac:dyDescent="0.35">
      <c r="A17" s="189" t="s">
        <v>392</v>
      </c>
      <c r="B17" s="188" t="s">
        <v>14</v>
      </c>
      <c r="C17" s="189">
        <v>34</v>
      </c>
      <c r="D17" s="189">
        <v>34</v>
      </c>
      <c r="E17" s="189">
        <v>25</v>
      </c>
      <c r="F17" s="190">
        <f t="shared" si="0"/>
        <v>1.3226484089317746E-3</v>
      </c>
      <c r="G17" s="190">
        <f t="shared" si="1"/>
        <v>1.1564999215932269E-3</v>
      </c>
    </row>
    <row r="18" spans="1:7" x14ac:dyDescent="0.35">
      <c r="A18" s="189" t="s">
        <v>393</v>
      </c>
      <c r="B18" s="188" t="s">
        <v>23</v>
      </c>
      <c r="C18" s="189">
        <v>3</v>
      </c>
      <c r="D18" s="189">
        <v>3</v>
      </c>
      <c r="E18" s="189">
        <v>0</v>
      </c>
      <c r="F18" s="190">
        <f t="shared" si="0"/>
        <v>1.1670427137633305E-4</v>
      </c>
      <c r="G18" s="190">
        <f t="shared" si="1"/>
        <v>5.8805080758977641E-5</v>
      </c>
    </row>
    <row r="19" spans="1:7" x14ac:dyDescent="0.35">
      <c r="A19" s="189" t="s">
        <v>394</v>
      </c>
      <c r="B19" s="188" t="s">
        <v>132</v>
      </c>
      <c r="C19" s="189">
        <v>23.999999999999993</v>
      </c>
      <c r="D19" s="189">
        <v>23.999999999999993</v>
      </c>
      <c r="E19" s="189">
        <v>18.999999999999996</v>
      </c>
      <c r="F19" s="190">
        <f t="shared" si="0"/>
        <v>9.336341710106641E-4</v>
      </c>
      <c r="G19" s="190">
        <f t="shared" si="1"/>
        <v>8.4287282421201259E-4</v>
      </c>
    </row>
    <row r="20" spans="1:7" x14ac:dyDescent="0.35">
      <c r="A20" s="189" t="s">
        <v>395</v>
      </c>
      <c r="B20" s="188" t="s">
        <v>137</v>
      </c>
      <c r="C20" s="189">
        <v>46</v>
      </c>
      <c r="D20" s="189">
        <v>46</v>
      </c>
      <c r="E20" s="189">
        <v>32</v>
      </c>
      <c r="F20" s="190">
        <f t="shared" si="0"/>
        <v>1.7894654944371068E-3</v>
      </c>
      <c r="G20" s="190">
        <f t="shared" si="1"/>
        <v>1.5289320997334188E-3</v>
      </c>
    </row>
    <row r="21" spans="1:7" x14ac:dyDescent="0.35">
      <c r="A21" s="189" t="s">
        <v>396</v>
      </c>
      <c r="B21" s="188" t="s">
        <v>178</v>
      </c>
      <c r="C21" s="189">
        <v>286.00000000000017</v>
      </c>
      <c r="D21" s="189">
        <v>284.99999999999994</v>
      </c>
      <c r="E21" s="189">
        <v>102.99999999999991</v>
      </c>
      <c r="F21" s="190">
        <f t="shared" si="0"/>
        <v>1.1125807204543757E-2</v>
      </c>
      <c r="G21" s="190">
        <f t="shared" si="1"/>
        <v>7.6054571114944399E-3</v>
      </c>
    </row>
    <row r="22" spans="1:7" x14ac:dyDescent="0.35">
      <c r="A22" s="189" t="s">
        <v>397</v>
      </c>
      <c r="B22" s="188" t="s">
        <v>234</v>
      </c>
      <c r="C22" s="189">
        <v>35</v>
      </c>
      <c r="D22" s="189">
        <v>35</v>
      </c>
      <c r="E22" s="189">
        <v>20.000000000000004</v>
      </c>
      <c r="F22" s="190">
        <f t="shared" si="0"/>
        <v>1.3615498327238856E-3</v>
      </c>
      <c r="G22" s="190">
        <f t="shared" si="1"/>
        <v>1.0780931472479235E-3</v>
      </c>
    </row>
    <row r="23" spans="1:7" x14ac:dyDescent="0.35">
      <c r="A23" s="189" t="s">
        <v>398</v>
      </c>
      <c r="B23" s="188" t="s">
        <v>237</v>
      </c>
      <c r="C23" s="189">
        <v>44.999999999999986</v>
      </c>
      <c r="D23" s="189">
        <v>43.999999999999979</v>
      </c>
      <c r="E23" s="189">
        <v>24</v>
      </c>
      <c r="F23" s="190">
        <f t="shared" si="0"/>
        <v>1.7505640706449953E-3</v>
      </c>
      <c r="G23" s="190">
        <f t="shared" si="1"/>
        <v>1.3329151638701593E-3</v>
      </c>
    </row>
    <row r="24" spans="1:7" x14ac:dyDescent="0.35">
      <c r="A24" s="189" t="s">
        <v>399</v>
      </c>
      <c r="B24" s="188" t="s">
        <v>268</v>
      </c>
      <c r="C24" s="189" t="s">
        <v>400</v>
      </c>
      <c r="D24" s="189" t="s">
        <v>400</v>
      </c>
      <c r="E24" s="189" t="s">
        <v>400</v>
      </c>
      <c r="F24" s="190">
        <f t="shared" si="0"/>
        <v>0</v>
      </c>
      <c r="G24" s="190">
        <f t="shared" si="1"/>
        <v>0</v>
      </c>
    </row>
    <row r="25" spans="1:7" x14ac:dyDescent="0.35">
      <c r="A25" s="189" t="s">
        <v>401</v>
      </c>
      <c r="B25" s="188" t="s">
        <v>278</v>
      </c>
      <c r="C25" s="189">
        <v>122.00000000000001</v>
      </c>
      <c r="D25" s="189">
        <v>120.00000000000001</v>
      </c>
      <c r="E25" s="189">
        <v>98.000000000000085</v>
      </c>
      <c r="F25" s="190">
        <f t="shared" si="0"/>
        <v>4.7459737026375451E-3</v>
      </c>
      <c r="G25" s="190">
        <f t="shared" si="1"/>
        <v>4.2731692018190444E-3</v>
      </c>
    </row>
    <row r="26" spans="1:7" x14ac:dyDescent="0.35">
      <c r="A26" s="189" t="s">
        <v>402</v>
      </c>
      <c r="B26" s="188" t="s">
        <v>291</v>
      </c>
      <c r="C26" s="189">
        <v>2</v>
      </c>
      <c r="D26" s="189">
        <v>2</v>
      </c>
      <c r="E26" s="189">
        <v>1</v>
      </c>
      <c r="F26" s="190">
        <f t="shared" si="0"/>
        <v>7.7802847584222031E-5</v>
      </c>
      <c r="G26" s="190">
        <f t="shared" si="1"/>
        <v>5.8805080758977641E-5</v>
      </c>
    </row>
    <row r="27" spans="1:7" x14ac:dyDescent="0.35">
      <c r="A27" s="189" t="s">
        <v>403</v>
      </c>
      <c r="B27" s="188" t="s">
        <v>319</v>
      </c>
      <c r="C27" s="189" t="s">
        <v>400</v>
      </c>
      <c r="D27" s="189" t="s">
        <v>400</v>
      </c>
      <c r="E27" s="189" t="s">
        <v>400</v>
      </c>
      <c r="F27" s="190">
        <f t="shared" si="0"/>
        <v>0</v>
      </c>
      <c r="G27" s="190">
        <f t="shared" si="1"/>
        <v>0</v>
      </c>
    </row>
    <row r="28" spans="1:7" x14ac:dyDescent="0.35">
      <c r="A28" s="189" t="s">
        <v>404</v>
      </c>
      <c r="B28" s="188" t="s">
        <v>341</v>
      </c>
      <c r="C28" s="189">
        <v>28.999999999999996</v>
      </c>
      <c r="D28" s="189">
        <v>28.999999999999996</v>
      </c>
      <c r="E28" s="189">
        <v>30.000000000000007</v>
      </c>
      <c r="F28" s="190">
        <f t="shared" si="0"/>
        <v>1.1281412899712194E-3</v>
      </c>
      <c r="G28" s="190">
        <f t="shared" si="1"/>
        <v>1.1564999215932269E-3</v>
      </c>
    </row>
    <row r="29" spans="1:7" x14ac:dyDescent="0.35">
      <c r="A29" s="189" t="s">
        <v>405</v>
      </c>
      <c r="B29" s="188" t="s">
        <v>30</v>
      </c>
      <c r="C29" s="189">
        <v>138.99999999999997</v>
      </c>
      <c r="D29" s="189">
        <v>136.99999999999997</v>
      </c>
      <c r="E29" s="189">
        <v>160.99999999999983</v>
      </c>
      <c r="F29" s="190">
        <f t="shared" si="0"/>
        <v>5.4072979071034298E-3</v>
      </c>
      <c r="G29" s="190">
        <f t="shared" si="1"/>
        <v>5.8413046887251085E-3</v>
      </c>
    </row>
    <row r="30" spans="1:7" x14ac:dyDescent="0.35">
      <c r="A30" s="189" t="s">
        <v>406</v>
      </c>
      <c r="B30" s="188" t="s">
        <v>70</v>
      </c>
      <c r="C30" s="189">
        <v>60.000000000000021</v>
      </c>
      <c r="D30" s="189">
        <v>60.000000000000021</v>
      </c>
      <c r="E30" s="189">
        <v>36.000000000000007</v>
      </c>
      <c r="F30" s="190">
        <f t="shared" si="0"/>
        <v>2.3340854275266617E-3</v>
      </c>
      <c r="G30" s="190">
        <f t="shared" si="1"/>
        <v>1.8817625842872852E-3</v>
      </c>
    </row>
    <row r="31" spans="1:7" x14ac:dyDescent="0.35">
      <c r="A31" s="189" t="s">
        <v>407</v>
      </c>
      <c r="B31" s="188" t="s">
        <v>104</v>
      </c>
      <c r="C31" s="189">
        <v>222.00000000000011</v>
      </c>
      <c r="D31" s="189">
        <v>216.00000000000009</v>
      </c>
      <c r="E31" s="189">
        <v>166.99999999999994</v>
      </c>
      <c r="F31" s="190">
        <f t="shared" si="0"/>
        <v>8.6361160818486504E-3</v>
      </c>
      <c r="G31" s="190">
        <f t="shared" si="1"/>
        <v>7.5074486435628123E-3</v>
      </c>
    </row>
    <row r="32" spans="1:7" x14ac:dyDescent="0.35">
      <c r="A32" s="189" t="s">
        <v>408</v>
      </c>
      <c r="B32" s="188" t="s">
        <v>156</v>
      </c>
      <c r="C32" s="189">
        <v>68.000000000000014</v>
      </c>
      <c r="D32" s="189">
        <v>68.000000000000014</v>
      </c>
      <c r="E32" s="189">
        <v>150.99999999999997</v>
      </c>
      <c r="F32" s="190">
        <f t="shared" si="0"/>
        <v>2.6452968178635496E-3</v>
      </c>
      <c r="G32" s="190">
        <f t="shared" si="1"/>
        <v>4.2927708954053683E-3</v>
      </c>
    </row>
    <row r="33" spans="1:7" x14ac:dyDescent="0.35">
      <c r="A33" s="189" t="s">
        <v>409</v>
      </c>
      <c r="B33" s="188" t="s">
        <v>199</v>
      </c>
      <c r="C33" s="189">
        <v>55.999999999999972</v>
      </c>
      <c r="D33" s="189">
        <v>54.999999999999979</v>
      </c>
      <c r="E33" s="189">
        <v>53.000000000000014</v>
      </c>
      <c r="F33" s="190">
        <f t="shared" si="0"/>
        <v>2.1784797323582158E-3</v>
      </c>
      <c r="G33" s="190">
        <f t="shared" si="1"/>
        <v>2.1169829073231952E-3</v>
      </c>
    </row>
    <row r="34" spans="1:7" x14ac:dyDescent="0.35">
      <c r="A34" s="189" t="s">
        <v>410</v>
      </c>
      <c r="B34" s="188" t="s">
        <v>18</v>
      </c>
      <c r="C34" s="189">
        <v>181.99999999999997</v>
      </c>
      <c r="D34" s="189">
        <v>180.00000000000003</v>
      </c>
      <c r="E34" s="189">
        <v>264.00000000000006</v>
      </c>
      <c r="F34" s="190">
        <f t="shared" si="0"/>
        <v>7.0800591301642037E-3</v>
      </c>
      <c r="G34" s="190">
        <f t="shared" si="1"/>
        <v>8.7031519523286926E-3</v>
      </c>
    </row>
    <row r="35" spans="1:7" x14ac:dyDescent="0.35">
      <c r="A35" s="189" t="s">
        <v>411</v>
      </c>
      <c r="B35" s="188" t="s">
        <v>56</v>
      </c>
      <c r="C35" s="189">
        <v>19.000000000000004</v>
      </c>
      <c r="D35" s="189">
        <v>18</v>
      </c>
      <c r="E35" s="189">
        <v>24.999999999999996</v>
      </c>
      <c r="F35" s="190">
        <f t="shared" si="0"/>
        <v>7.3912705205010946E-4</v>
      </c>
      <c r="G35" s="190">
        <f t="shared" si="1"/>
        <v>8.4287282421201292E-4</v>
      </c>
    </row>
    <row r="36" spans="1:7" x14ac:dyDescent="0.35">
      <c r="A36" s="189" t="s">
        <v>412</v>
      </c>
      <c r="B36" s="188" t="s">
        <v>74</v>
      </c>
      <c r="C36" s="189">
        <v>25</v>
      </c>
      <c r="D36" s="189">
        <v>25</v>
      </c>
      <c r="E36" s="189">
        <v>17.999999999999996</v>
      </c>
      <c r="F36" s="190">
        <f t="shared" si="0"/>
        <v>9.7253559480277546E-4</v>
      </c>
      <c r="G36" s="190">
        <f t="shared" si="1"/>
        <v>8.4287282421201292E-4</v>
      </c>
    </row>
    <row r="37" spans="1:7" x14ac:dyDescent="0.35">
      <c r="A37" s="189" t="s">
        <v>413</v>
      </c>
      <c r="B37" s="188" t="s">
        <v>84</v>
      </c>
      <c r="C37" s="189">
        <v>235.00000000000006</v>
      </c>
      <c r="D37" s="189">
        <v>224.00000000000006</v>
      </c>
      <c r="E37" s="189">
        <v>366.00000000000034</v>
      </c>
      <c r="F37" s="190">
        <f t="shared" si="0"/>
        <v>9.1418345911460919E-3</v>
      </c>
      <c r="G37" s="190">
        <f t="shared" si="1"/>
        <v>1.1564999215932278E-2</v>
      </c>
    </row>
    <row r="38" spans="1:7" x14ac:dyDescent="0.35">
      <c r="A38" s="189" t="s">
        <v>414</v>
      </c>
      <c r="B38" s="188" t="s">
        <v>106</v>
      </c>
      <c r="C38" s="189">
        <v>359.00000000000034</v>
      </c>
      <c r="D38" s="189">
        <v>357</v>
      </c>
      <c r="E38" s="189">
        <v>233.99999999999991</v>
      </c>
      <c r="F38" s="190">
        <f t="shared" si="0"/>
        <v>1.3965611141367868E-2</v>
      </c>
      <c r="G38" s="190">
        <f t="shared" si="1"/>
        <v>1.1584600909518593E-2</v>
      </c>
    </row>
    <row r="39" spans="1:7" x14ac:dyDescent="0.35">
      <c r="A39" s="189" t="s">
        <v>415</v>
      </c>
      <c r="B39" s="188" t="s">
        <v>124</v>
      </c>
      <c r="C39" s="189">
        <v>21</v>
      </c>
      <c r="D39" s="189">
        <v>20</v>
      </c>
      <c r="E39" s="189">
        <v>34</v>
      </c>
      <c r="F39" s="190">
        <f t="shared" si="0"/>
        <v>8.1692989963433132E-4</v>
      </c>
      <c r="G39" s="190">
        <f t="shared" si="1"/>
        <v>1.0584914536615976E-3</v>
      </c>
    </row>
    <row r="40" spans="1:7" x14ac:dyDescent="0.35">
      <c r="A40" s="189" t="s">
        <v>416</v>
      </c>
      <c r="B40" s="188" t="s">
        <v>129</v>
      </c>
      <c r="C40" s="189">
        <v>91</v>
      </c>
      <c r="D40" s="189">
        <v>89.999999999999972</v>
      </c>
      <c r="E40" s="189">
        <v>86.000000000000043</v>
      </c>
      <c r="F40" s="190">
        <f t="shared" si="0"/>
        <v>3.5400295650821027E-3</v>
      </c>
      <c r="G40" s="190">
        <f t="shared" si="1"/>
        <v>3.4498980711933549E-3</v>
      </c>
    </row>
    <row r="41" spans="1:7" x14ac:dyDescent="0.35">
      <c r="A41" s="189" t="s">
        <v>417</v>
      </c>
      <c r="B41" s="188" t="s">
        <v>142</v>
      </c>
      <c r="C41" s="189">
        <v>36.000000000000007</v>
      </c>
      <c r="D41" s="189">
        <v>36.000000000000007</v>
      </c>
      <c r="E41" s="189">
        <v>31.999999999999996</v>
      </c>
      <c r="F41" s="190">
        <f t="shared" si="0"/>
        <v>1.4004512565159969E-3</v>
      </c>
      <c r="G41" s="190">
        <f t="shared" si="1"/>
        <v>1.3329151638701599E-3</v>
      </c>
    </row>
    <row r="42" spans="1:7" x14ac:dyDescent="0.35">
      <c r="A42" s="189" t="s">
        <v>418</v>
      </c>
      <c r="B42" s="188" t="s">
        <v>419</v>
      </c>
      <c r="C42" s="189">
        <v>129.99999999999991</v>
      </c>
      <c r="D42" s="189">
        <v>128.99999999999997</v>
      </c>
      <c r="E42" s="189">
        <v>158.00000000000003</v>
      </c>
      <c r="F42" s="190">
        <f t="shared" si="0"/>
        <v>5.057185092974429E-3</v>
      </c>
      <c r="G42" s="190">
        <f t="shared" si="1"/>
        <v>5.6256860592755276E-3</v>
      </c>
    </row>
    <row r="43" spans="1:7" x14ac:dyDescent="0.35">
      <c r="A43" s="189" t="s">
        <v>420</v>
      </c>
      <c r="B43" s="188" t="s">
        <v>164</v>
      </c>
      <c r="C43" s="189">
        <v>81.999999999999972</v>
      </c>
      <c r="D43" s="189">
        <v>81.999999999999972</v>
      </c>
      <c r="E43" s="189">
        <v>36.000000000000007</v>
      </c>
      <c r="F43" s="190">
        <f t="shared" si="0"/>
        <v>3.1899167509531023E-3</v>
      </c>
      <c r="G43" s="190">
        <f t="shared" si="1"/>
        <v>2.3129998431864534E-3</v>
      </c>
    </row>
    <row r="44" spans="1:7" x14ac:dyDescent="0.35">
      <c r="A44" s="189" t="s">
        <v>421</v>
      </c>
      <c r="B44" s="188" t="s">
        <v>191</v>
      </c>
      <c r="C44" s="189">
        <v>31.999999999999993</v>
      </c>
      <c r="D44" s="189">
        <v>30.999999999999993</v>
      </c>
      <c r="E44" s="189">
        <v>9.9999999999999982</v>
      </c>
      <c r="F44" s="190">
        <f t="shared" si="0"/>
        <v>1.2448455613475523E-3</v>
      </c>
      <c r="G44" s="190">
        <f t="shared" si="1"/>
        <v>8.0366943703936099E-4</v>
      </c>
    </row>
    <row r="45" spans="1:7" x14ac:dyDescent="0.35">
      <c r="A45" s="189" t="s">
        <v>422</v>
      </c>
      <c r="B45" s="188" t="s">
        <v>220</v>
      </c>
      <c r="C45" s="189">
        <v>45.000000000000014</v>
      </c>
      <c r="D45" s="189">
        <v>45.000000000000014</v>
      </c>
      <c r="E45" s="189">
        <v>36.000000000000007</v>
      </c>
      <c r="F45" s="190">
        <f t="shared" si="0"/>
        <v>1.7505640706449964E-3</v>
      </c>
      <c r="G45" s="190">
        <f t="shared" si="1"/>
        <v>1.5877371804923969E-3</v>
      </c>
    </row>
    <row r="46" spans="1:7" x14ac:dyDescent="0.35">
      <c r="A46" s="189" t="s">
        <v>423</v>
      </c>
      <c r="B46" s="188" t="s">
        <v>229</v>
      </c>
      <c r="C46" s="189">
        <v>52.999999999999979</v>
      </c>
      <c r="D46" s="189">
        <v>52.999999999999979</v>
      </c>
      <c r="E46" s="189">
        <v>49.000000000000007</v>
      </c>
      <c r="F46" s="190">
        <f t="shared" si="0"/>
        <v>2.0617754609818829E-3</v>
      </c>
      <c r="G46" s="190">
        <f t="shared" si="1"/>
        <v>1.9993727458052397E-3</v>
      </c>
    </row>
    <row r="47" spans="1:7" x14ac:dyDescent="0.35">
      <c r="A47" s="189" t="s">
        <v>424</v>
      </c>
      <c r="B47" s="188" t="s">
        <v>231</v>
      </c>
      <c r="C47" s="189">
        <v>26</v>
      </c>
      <c r="D47" s="189">
        <v>26</v>
      </c>
      <c r="E47" s="189">
        <v>22.000000000000007</v>
      </c>
      <c r="F47" s="190">
        <f t="shared" si="0"/>
        <v>1.0114370185948865E-3</v>
      </c>
      <c r="G47" s="190">
        <f t="shared" si="1"/>
        <v>9.4088129214364247E-4</v>
      </c>
    </row>
    <row r="48" spans="1:7" x14ac:dyDescent="0.35">
      <c r="A48" s="189" t="s">
        <v>425</v>
      </c>
      <c r="B48" s="188" t="s">
        <v>249</v>
      </c>
      <c r="C48" s="189">
        <v>35</v>
      </c>
      <c r="D48" s="189">
        <v>34</v>
      </c>
      <c r="E48" s="189">
        <v>32</v>
      </c>
      <c r="F48" s="190">
        <f t="shared" si="0"/>
        <v>1.3615498327238856E-3</v>
      </c>
      <c r="G48" s="190">
        <f t="shared" si="1"/>
        <v>1.2937117766975081E-3</v>
      </c>
    </row>
    <row r="49" spans="1:7" x14ac:dyDescent="0.35">
      <c r="A49" s="189" t="s">
        <v>426</v>
      </c>
      <c r="B49" s="188" t="s">
        <v>283</v>
      </c>
      <c r="C49" s="189">
        <v>21.999999999999993</v>
      </c>
      <c r="D49" s="189">
        <v>20.000000000000004</v>
      </c>
      <c r="E49" s="189">
        <v>10.000000000000002</v>
      </c>
      <c r="F49" s="190">
        <f t="shared" si="0"/>
        <v>8.5583132342644213E-4</v>
      </c>
      <c r="G49" s="190">
        <f t="shared" si="1"/>
        <v>5.8805080758977653E-4</v>
      </c>
    </row>
    <row r="50" spans="1:7" x14ac:dyDescent="0.35">
      <c r="A50" s="189" t="s">
        <v>427</v>
      </c>
      <c r="B50" s="188" t="s">
        <v>297</v>
      </c>
      <c r="C50" s="189">
        <v>10.999999999999998</v>
      </c>
      <c r="D50" s="189">
        <v>10.999999999999998</v>
      </c>
      <c r="E50" s="189">
        <v>11</v>
      </c>
      <c r="F50" s="190">
        <f t="shared" si="0"/>
        <v>4.2791566171322112E-4</v>
      </c>
      <c r="G50" s="190">
        <f t="shared" si="1"/>
        <v>4.3123725889916936E-4</v>
      </c>
    </row>
    <row r="51" spans="1:7" x14ac:dyDescent="0.35">
      <c r="A51" s="189" t="s">
        <v>428</v>
      </c>
      <c r="B51" s="188" t="s">
        <v>304</v>
      </c>
      <c r="C51" s="189">
        <v>16.000000000000004</v>
      </c>
      <c r="D51" s="189">
        <v>16.000000000000004</v>
      </c>
      <c r="E51" s="189">
        <v>6</v>
      </c>
      <c r="F51" s="190">
        <f t="shared" si="0"/>
        <v>6.2242278067377646E-4</v>
      </c>
      <c r="G51" s="190">
        <f t="shared" si="1"/>
        <v>4.3123725889916947E-4</v>
      </c>
    </row>
    <row r="52" spans="1:7" x14ac:dyDescent="0.35">
      <c r="A52" s="189" t="s">
        <v>429</v>
      </c>
      <c r="B52" s="188" t="s">
        <v>343</v>
      </c>
      <c r="C52" s="189">
        <v>20</v>
      </c>
      <c r="D52" s="189">
        <v>20</v>
      </c>
      <c r="E52" s="189">
        <v>6</v>
      </c>
      <c r="F52" s="190">
        <f t="shared" si="0"/>
        <v>7.7802847584222039E-4</v>
      </c>
      <c r="G52" s="190">
        <f t="shared" si="1"/>
        <v>5.0964403324447289E-4</v>
      </c>
    </row>
    <row r="53" spans="1:7" x14ac:dyDescent="0.35">
      <c r="A53" s="189" t="s">
        <v>430</v>
      </c>
      <c r="B53" s="188" t="s">
        <v>365</v>
      </c>
      <c r="C53" s="189">
        <v>328.99999999999977</v>
      </c>
      <c r="D53" s="189">
        <v>325.99999999999972</v>
      </c>
      <c r="E53" s="189">
        <v>115.99999999999993</v>
      </c>
      <c r="F53" s="190">
        <f t="shared" si="0"/>
        <v>1.2798568427604516E-2</v>
      </c>
      <c r="G53" s="190">
        <f t="shared" si="1"/>
        <v>8.6639485651560325E-3</v>
      </c>
    </row>
    <row r="54" spans="1:7" x14ac:dyDescent="0.35">
      <c r="A54" s="189" t="s">
        <v>431</v>
      </c>
      <c r="B54" s="188" t="s">
        <v>13</v>
      </c>
      <c r="C54" s="189">
        <v>20</v>
      </c>
      <c r="D54" s="189">
        <v>20</v>
      </c>
      <c r="E54" s="189">
        <v>27.999999999999993</v>
      </c>
      <c r="F54" s="190">
        <f t="shared" si="0"/>
        <v>7.7802847584222039E-4</v>
      </c>
      <c r="G54" s="190">
        <f t="shared" si="1"/>
        <v>9.4088129214364214E-4</v>
      </c>
    </row>
    <row r="55" spans="1:7" x14ac:dyDescent="0.35">
      <c r="A55" s="189" t="s">
        <v>432</v>
      </c>
      <c r="B55" s="188" t="s">
        <v>27</v>
      </c>
      <c r="C55" s="189">
        <v>273.99999999999994</v>
      </c>
      <c r="D55" s="189">
        <v>272.00000000000051</v>
      </c>
      <c r="E55" s="189">
        <v>257.99999999999989</v>
      </c>
      <c r="F55" s="190">
        <f t="shared" si="0"/>
        <v>1.0658990119038416E-2</v>
      </c>
      <c r="G55" s="190">
        <f t="shared" si="1"/>
        <v>1.0388897600752726E-2</v>
      </c>
    </row>
    <row r="56" spans="1:7" x14ac:dyDescent="0.35">
      <c r="A56" s="189" t="s">
        <v>433</v>
      </c>
      <c r="B56" s="188" t="s">
        <v>29</v>
      </c>
      <c r="C56" s="189">
        <v>529.99999999999886</v>
      </c>
      <c r="D56" s="189">
        <v>527.00000000000045</v>
      </c>
      <c r="E56" s="189">
        <v>551.99999999999989</v>
      </c>
      <c r="F56" s="190">
        <f t="shared" si="0"/>
        <v>2.0617754609818795E-2</v>
      </c>
      <c r="G56" s="190">
        <f t="shared" si="1"/>
        <v>2.1150227379645635E-2</v>
      </c>
    </row>
    <row r="57" spans="1:7" x14ac:dyDescent="0.35">
      <c r="A57" s="189" t="s">
        <v>434</v>
      </c>
      <c r="B57" s="188" t="s">
        <v>35</v>
      </c>
      <c r="C57" s="189">
        <v>61.000000000000014</v>
      </c>
      <c r="D57" s="189">
        <v>59.999999999999993</v>
      </c>
      <c r="E57" s="189">
        <v>20.999999999999993</v>
      </c>
      <c r="F57" s="190">
        <f t="shared" si="0"/>
        <v>2.3729868513187725E-3</v>
      </c>
      <c r="G57" s="190">
        <f t="shared" si="1"/>
        <v>1.5877371804923961E-3</v>
      </c>
    </row>
    <row r="58" spans="1:7" x14ac:dyDescent="0.35">
      <c r="A58" s="189" t="s">
        <v>435</v>
      </c>
      <c r="B58" s="188" t="s">
        <v>48</v>
      </c>
      <c r="C58" s="189">
        <v>25.999999999999996</v>
      </c>
      <c r="D58" s="189">
        <v>25.999999999999996</v>
      </c>
      <c r="E58" s="189">
        <v>38.999999999999993</v>
      </c>
      <c r="F58" s="190">
        <f t="shared" si="0"/>
        <v>1.0114370185948863E-3</v>
      </c>
      <c r="G58" s="190">
        <f t="shared" si="1"/>
        <v>1.274110083111182E-3</v>
      </c>
    </row>
    <row r="59" spans="1:7" x14ac:dyDescent="0.35">
      <c r="A59" s="189" t="s">
        <v>436</v>
      </c>
      <c r="B59" s="188" t="s">
        <v>63</v>
      </c>
      <c r="C59" s="189">
        <v>25</v>
      </c>
      <c r="D59" s="189">
        <v>25</v>
      </c>
      <c r="E59" s="189">
        <v>28.999999999999996</v>
      </c>
      <c r="F59" s="190">
        <f t="shared" si="0"/>
        <v>9.7253559480277546E-4</v>
      </c>
      <c r="G59" s="190">
        <f t="shared" si="1"/>
        <v>1.0584914536615976E-3</v>
      </c>
    </row>
    <row r="60" spans="1:7" x14ac:dyDescent="0.35">
      <c r="A60" s="189" t="s">
        <v>437</v>
      </c>
      <c r="B60" s="188" t="s">
        <v>67</v>
      </c>
      <c r="C60" s="189">
        <v>27</v>
      </c>
      <c r="D60" s="189">
        <v>27</v>
      </c>
      <c r="E60" s="189">
        <v>34.000000000000007</v>
      </c>
      <c r="F60" s="190">
        <f t="shared" si="0"/>
        <v>1.0503384423869975E-3</v>
      </c>
      <c r="G60" s="190">
        <f t="shared" si="1"/>
        <v>1.195703308765879E-3</v>
      </c>
    </row>
    <row r="61" spans="1:7" x14ac:dyDescent="0.35">
      <c r="A61" s="189" t="s">
        <v>438</v>
      </c>
      <c r="B61" s="188" t="s">
        <v>73</v>
      </c>
      <c r="C61" s="189">
        <v>36.000000000000014</v>
      </c>
      <c r="D61" s="189">
        <v>36.000000000000014</v>
      </c>
      <c r="E61" s="189">
        <v>56.999999999999979</v>
      </c>
      <c r="F61" s="190">
        <f t="shared" si="0"/>
        <v>1.4004512565159971E-3</v>
      </c>
      <c r="G61" s="190">
        <f t="shared" si="1"/>
        <v>1.822957503528307E-3</v>
      </c>
    </row>
    <row r="62" spans="1:7" x14ac:dyDescent="0.35">
      <c r="A62" s="189" t="s">
        <v>439</v>
      </c>
      <c r="B62" s="188" t="s">
        <v>87</v>
      </c>
      <c r="C62" s="189">
        <v>18.000000000000004</v>
      </c>
      <c r="D62" s="189">
        <v>18.000000000000004</v>
      </c>
      <c r="E62" s="189">
        <v>21</v>
      </c>
      <c r="F62" s="190">
        <f t="shared" si="0"/>
        <v>7.0022562825799843E-4</v>
      </c>
      <c r="G62" s="190">
        <f t="shared" si="1"/>
        <v>7.6446604986670939E-4</v>
      </c>
    </row>
    <row r="63" spans="1:7" x14ac:dyDescent="0.35">
      <c r="A63" s="189" t="s">
        <v>440</v>
      </c>
      <c r="B63" s="188" t="s">
        <v>88</v>
      </c>
      <c r="C63" s="189">
        <v>100.99999999999999</v>
      </c>
      <c r="D63" s="189">
        <v>100</v>
      </c>
      <c r="E63" s="189">
        <v>124.00000000000004</v>
      </c>
      <c r="F63" s="190">
        <f t="shared" si="0"/>
        <v>3.9290438030032118E-3</v>
      </c>
      <c r="G63" s="190">
        <f t="shared" si="1"/>
        <v>4.3907793633369985E-3</v>
      </c>
    </row>
    <row r="64" spans="1:7" x14ac:dyDescent="0.35">
      <c r="A64" s="189" t="s">
        <v>441</v>
      </c>
      <c r="B64" s="188" t="s">
        <v>94</v>
      </c>
      <c r="C64" s="189">
        <v>17</v>
      </c>
      <c r="D64" s="189">
        <v>17</v>
      </c>
      <c r="E64" s="189">
        <v>26.999999999999993</v>
      </c>
      <c r="F64" s="190">
        <f t="shared" si="0"/>
        <v>6.6132420446588728E-4</v>
      </c>
      <c r="G64" s="190">
        <f t="shared" si="1"/>
        <v>8.6247451779833861E-4</v>
      </c>
    </row>
    <row r="65" spans="1:7" x14ac:dyDescent="0.35">
      <c r="A65" s="189" t="s">
        <v>442</v>
      </c>
      <c r="B65" s="188" t="s">
        <v>95</v>
      </c>
      <c r="C65" s="189">
        <v>38.000000000000007</v>
      </c>
      <c r="D65" s="189">
        <v>38.000000000000007</v>
      </c>
      <c r="E65" s="189">
        <v>28.999999999999993</v>
      </c>
      <c r="F65" s="190">
        <f t="shared" si="0"/>
        <v>1.4782541041002189E-3</v>
      </c>
      <c r="G65" s="190">
        <f t="shared" si="1"/>
        <v>1.313313470283834E-3</v>
      </c>
    </row>
    <row r="66" spans="1:7" x14ac:dyDescent="0.35">
      <c r="A66" s="189" t="s">
        <v>443</v>
      </c>
      <c r="B66" s="188" t="s">
        <v>98</v>
      </c>
      <c r="C66" s="189">
        <v>246.00000000000003</v>
      </c>
      <c r="D66" s="189">
        <v>244.00000000000009</v>
      </c>
      <c r="E66" s="189">
        <v>116.00000000000009</v>
      </c>
      <c r="F66" s="190">
        <f t="shared" si="0"/>
        <v>9.5697502528593117E-3</v>
      </c>
      <c r="G66" s="190">
        <f t="shared" si="1"/>
        <v>7.0566096910773205E-3</v>
      </c>
    </row>
    <row r="67" spans="1:7" x14ac:dyDescent="0.35">
      <c r="A67" s="189" t="s">
        <v>444</v>
      </c>
      <c r="B67" s="188" t="s">
        <v>103</v>
      </c>
      <c r="C67" s="189">
        <v>34</v>
      </c>
      <c r="D67" s="189">
        <v>33</v>
      </c>
      <c r="E67" s="189">
        <v>49.000000000000007</v>
      </c>
      <c r="F67" s="190">
        <f t="shared" si="0"/>
        <v>1.3226484089317746E-3</v>
      </c>
      <c r="G67" s="190">
        <f t="shared" si="1"/>
        <v>1.6073388740787222E-3</v>
      </c>
    </row>
    <row r="68" spans="1:7" x14ac:dyDescent="0.35">
      <c r="A68" s="189" t="s">
        <v>445</v>
      </c>
      <c r="B68" s="188" t="s">
        <v>107</v>
      </c>
      <c r="C68" s="189">
        <v>47.000000000000014</v>
      </c>
      <c r="D68" s="189">
        <v>45.999999999999957</v>
      </c>
      <c r="E68" s="189">
        <v>33</v>
      </c>
      <c r="F68" s="190">
        <f t="shared" si="0"/>
        <v>1.8283669182292182E-3</v>
      </c>
      <c r="G68" s="190">
        <f t="shared" si="1"/>
        <v>1.5485337933197438E-3</v>
      </c>
    </row>
    <row r="69" spans="1:7" x14ac:dyDescent="0.35">
      <c r="A69" s="189" t="s">
        <v>446</v>
      </c>
      <c r="B69" s="188" t="s">
        <v>108</v>
      </c>
      <c r="C69" s="189">
        <v>45.000000000000028</v>
      </c>
      <c r="D69" s="189">
        <v>43</v>
      </c>
      <c r="E69" s="189">
        <v>43</v>
      </c>
      <c r="F69" s="190">
        <f t="shared" si="0"/>
        <v>1.7505640706449968E-3</v>
      </c>
      <c r="G69" s="190">
        <f t="shared" si="1"/>
        <v>1.6857456484240258E-3</v>
      </c>
    </row>
    <row r="70" spans="1:7" x14ac:dyDescent="0.35">
      <c r="A70" s="189" t="s">
        <v>447</v>
      </c>
      <c r="B70" s="188" t="s">
        <v>130</v>
      </c>
      <c r="C70" s="189">
        <v>50</v>
      </c>
      <c r="D70" s="189">
        <v>48.999999999999993</v>
      </c>
      <c r="E70" s="189">
        <v>87.000000000000014</v>
      </c>
      <c r="F70" s="190">
        <f t="shared" si="0"/>
        <v>1.9450711896055509E-3</v>
      </c>
      <c r="G70" s="190">
        <f t="shared" si="1"/>
        <v>2.6658303277403198E-3</v>
      </c>
    </row>
    <row r="71" spans="1:7" x14ac:dyDescent="0.35">
      <c r="A71" s="189" t="s">
        <v>448</v>
      </c>
      <c r="B71" s="188" t="s">
        <v>133</v>
      </c>
      <c r="C71" s="189">
        <v>13.999999999999996</v>
      </c>
      <c r="D71" s="189">
        <v>13.999999999999996</v>
      </c>
      <c r="E71" s="189">
        <v>5.0000000000000009</v>
      </c>
      <c r="F71" s="190">
        <f t="shared" si="0"/>
        <v>5.4461993308955407E-4</v>
      </c>
      <c r="G71" s="190">
        <f t="shared" si="1"/>
        <v>3.7243217814019169E-4</v>
      </c>
    </row>
    <row r="72" spans="1:7" x14ac:dyDescent="0.35">
      <c r="A72" s="189" t="s">
        <v>449</v>
      </c>
      <c r="B72" s="188" t="s">
        <v>136</v>
      </c>
      <c r="C72" s="189">
        <v>29.999999999999989</v>
      </c>
      <c r="D72" s="189">
        <v>29.999999999999989</v>
      </c>
      <c r="E72" s="189">
        <v>22</v>
      </c>
      <c r="F72" s="190">
        <f t="shared" si="0"/>
        <v>1.16704271376333E-3</v>
      </c>
      <c r="G72" s="190">
        <f t="shared" si="1"/>
        <v>1.0192880664889456E-3</v>
      </c>
    </row>
    <row r="73" spans="1:7" x14ac:dyDescent="0.35">
      <c r="A73" s="189" t="s">
        <v>450</v>
      </c>
      <c r="B73" s="188" t="s">
        <v>148</v>
      </c>
      <c r="C73" s="189">
        <v>19.000000000000004</v>
      </c>
      <c r="D73" s="189">
        <v>19.000000000000004</v>
      </c>
      <c r="E73" s="189">
        <v>15.999999999999998</v>
      </c>
      <c r="F73" s="190">
        <f t="shared" si="0"/>
        <v>7.3912705205010946E-4</v>
      </c>
      <c r="G73" s="190">
        <f t="shared" si="1"/>
        <v>6.8605927552140586E-4</v>
      </c>
    </row>
    <row r="74" spans="1:7" x14ac:dyDescent="0.35">
      <c r="A74" s="189" t="s">
        <v>451</v>
      </c>
      <c r="B74" s="188" t="s">
        <v>187</v>
      </c>
      <c r="C74" s="189">
        <v>32.999999999999993</v>
      </c>
      <c r="D74" s="189">
        <v>32</v>
      </c>
      <c r="E74" s="189">
        <v>30.000000000000004</v>
      </c>
      <c r="F74" s="190">
        <f t="shared" ref="F74:F137" si="2">+C74/(C$5-C$8)*100%</f>
        <v>1.2837469851396633E-3</v>
      </c>
      <c r="G74" s="190">
        <f t="shared" ref="G74:G137" si="3">(+D74+E74)/(D$5-D$8+E$5-E$8)*100%</f>
        <v>1.2153050023522047E-3</v>
      </c>
    </row>
    <row r="75" spans="1:7" x14ac:dyDescent="0.35">
      <c r="A75" s="189" t="s">
        <v>452</v>
      </c>
      <c r="B75" s="188" t="s">
        <v>192</v>
      </c>
      <c r="C75" s="189">
        <v>21.000000000000007</v>
      </c>
      <c r="D75" s="189">
        <v>20</v>
      </c>
      <c r="E75" s="189">
        <v>58</v>
      </c>
      <c r="F75" s="190">
        <f t="shared" si="2"/>
        <v>8.1692989963433164E-4</v>
      </c>
      <c r="G75" s="190">
        <f t="shared" si="3"/>
        <v>1.5289320997334188E-3</v>
      </c>
    </row>
    <row r="76" spans="1:7" x14ac:dyDescent="0.35">
      <c r="A76" s="189" t="s">
        <v>453</v>
      </c>
      <c r="B76" s="188" t="s">
        <v>214</v>
      </c>
      <c r="C76" s="189">
        <v>46.999999999999986</v>
      </c>
      <c r="D76" s="189">
        <v>46.999999999999986</v>
      </c>
      <c r="E76" s="189">
        <v>25.000000000000004</v>
      </c>
      <c r="F76" s="190">
        <f t="shared" si="2"/>
        <v>1.8283669182292172E-3</v>
      </c>
      <c r="G76" s="190">
        <f t="shared" si="3"/>
        <v>1.4113219382154631E-3</v>
      </c>
    </row>
    <row r="77" spans="1:7" x14ac:dyDescent="0.35">
      <c r="A77" s="189" t="s">
        <v>454</v>
      </c>
      <c r="B77" s="188" t="s">
        <v>215</v>
      </c>
      <c r="C77" s="189">
        <v>372.99999999999994</v>
      </c>
      <c r="D77" s="189">
        <v>367.99999999999994</v>
      </c>
      <c r="E77" s="189">
        <v>511.0000000000004</v>
      </c>
      <c r="F77" s="190">
        <f t="shared" si="2"/>
        <v>1.4510231074457407E-2</v>
      </c>
      <c r="G77" s="190">
        <f t="shared" si="3"/>
        <v>1.7229888662380455E-2</v>
      </c>
    </row>
    <row r="78" spans="1:7" x14ac:dyDescent="0.35">
      <c r="A78" s="189" t="s">
        <v>455</v>
      </c>
      <c r="B78" s="188" t="s">
        <v>228</v>
      </c>
      <c r="C78" s="189">
        <v>29</v>
      </c>
      <c r="D78" s="189">
        <v>29</v>
      </c>
      <c r="E78" s="189">
        <v>28.999999999999993</v>
      </c>
      <c r="F78" s="190">
        <f t="shared" si="2"/>
        <v>1.1281412899712194E-3</v>
      </c>
      <c r="G78" s="190">
        <f t="shared" si="3"/>
        <v>1.136898228006901E-3</v>
      </c>
    </row>
    <row r="79" spans="1:7" x14ac:dyDescent="0.35">
      <c r="A79" s="189" t="s">
        <v>456</v>
      </c>
      <c r="B79" s="188" t="s">
        <v>248</v>
      </c>
      <c r="C79" s="189">
        <v>18.000000000000004</v>
      </c>
      <c r="D79" s="189">
        <v>18.000000000000004</v>
      </c>
      <c r="E79" s="189">
        <v>25</v>
      </c>
      <c r="F79" s="190">
        <f t="shared" si="2"/>
        <v>7.0022562825799843E-4</v>
      </c>
      <c r="G79" s="190">
        <f t="shared" si="3"/>
        <v>8.4287282421201292E-4</v>
      </c>
    </row>
    <row r="80" spans="1:7" x14ac:dyDescent="0.35">
      <c r="A80" s="189" t="s">
        <v>457</v>
      </c>
      <c r="B80" s="188" t="s">
        <v>251</v>
      </c>
      <c r="C80" s="189">
        <v>78</v>
      </c>
      <c r="D80" s="189">
        <v>78</v>
      </c>
      <c r="E80" s="189">
        <v>33.000000000000007</v>
      </c>
      <c r="F80" s="190">
        <f t="shared" si="2"/>
        <v>3.0343110557846595E-3</v>
      </c>
      <c r="G80" s="190">
        <f t="shared" si="3"/>
        <v>2.1757879880821727E-3</v>
      </c>
    </row>
    <row r="81" spans="1:7" x14ac:dyDescent="0.35">
      <c r="A81" s="189" t="s">
        <v>458</v>
      </c>
      <c r="B81" s="188" t="s">
        <v>254</v>
      </c>
      <c r="C81" s="189">
        <v>80.000000000000014</v>
      </c>
      <c r="D81" s="189">
        <v>80.000000000000014</v>
      </c>
      <c r="E81" s="189">
        <v>100.00000000000003</v>
      </c>
      <c r="F81" s="190">
        <f t="shared" si="2"/>
        <v>3.112113903368882E-3</v>
      </c>
      <c r="G81" s="190">
        <f t="shared" si="3"/>
        <v>3.5283048455386598E-3</v>
      </c>
    </row>
    <row r="82" spans="1:7" x14ac:dyDescent="0.35">
      <c r="A82" s="189" t="s">
        <v>459</v>
      </c>
      <c r="B82" s="188" t="s">
        <v>263</v>
      </c>
      <c r="C82" s="189" t="s">
        <v>400</v>
      </c>
      <c r="D82" s="189" t="s">
        <v>400</v>
      </c>
      <c r="E82" s="189" t="s">
        <v>400</v>
      </c>
      <c r="F82" s="190">
        <f t="shared" si="2"/>
        <v>0</v>
      </c>
      <c r="G82" s="190">
        <f t="shared" si="3"/>
        <v>0</v>
      </c>
    </row>
    <row r="83" spans="1:7" x14ac:dyDescent="0.35">
      <c r="A83" s="189" t="s">
        <v>460</v>
      </c>
      <c r="B83" s="188" t="s">
        <v>266</v>
      </c>
      <c r="C83" s="189">
        <v>11.000000000000002</v>
      </c>
      <c r="D83" s="189">
        <v>11.000000000000002</v>
      </c>
      <c r="E83" s="189">
        <v>4.0000000000000009</v>
      </c>
      <c r="F83" s="190">
        <f t="shared" si="2"/>
        <v>4.2791566171322123E-4</v>
      </c>
      <c r="G83" s="190">
        <f t="shared" si="3"/>
        <v>2.9402540379488826E-4</v>
      </c>
    </row>
    <row r="84" spans="1:7" x14ac:dyDescent="0.35">
      <c r="A84" s="189" t="s">
        <v>461</v>
      </c>
      <c r="B84" s="188" t="s">
        <v>295</v>
      </c>
      <c r="C84" s="189">
        <v>76.999999999999957</v>
      </c>
      <c r="D84" s="189">
        <v>76.000000000000014</v>
      </c>
      <c r="E84" s="189">
        <v>172.00000000000006</v>
      </c>
      <c r="F84" s="190">
        <f t="shared" si="2"/>
        <v>2.9954096319925465E-3</v>
      </c>
      <c r="G84" s="190">
        <f t="shared" si="3"/>
        <v>4.8612200094088195E-3</v>
      </c>
    </row>
    <row r="85" spans="1:7" x14ac:dyDescent="0.35">
      <c r="A85" s="189" t="s">
        <v>462</v>
      </c>
      <c r="B85" s="188" t="s">
        <v>323</v>
      </c>
      <c r="C85" s="189">
        <v>27</v>
      </c>
      <c r="D85" s="189">
        <v>27</v>
      </c>
      <c r="E85" s="189">
        <v>30.000000000000007</v>
      </c>
      <c r="F85" s="190">
        <f t="shared" si="2"/>
        <v>1.0503384423869975E-3</v>
      </c>
      <c r="G85" s="190">
        <f t="shared" si="3"/>
        <v>1.1172965344205753E-3</v>
      </c>
    </row>
    <row r="86" spans="1:7" x14ac:dyDescent="0.35">
      <c r="A86" s="189" t="s">
        <v>463</v>
      </c>
      <c r="B86" s="188" t="s">
        <v>329</v>
      </c>
      <c r="C86" s="189">
        <v>61.999999999999986</v>
      </c>
      <c r="D86" s="189">
        <v>61.999999999999986</v>
      </c>
      <c r="E86" s="189">
        <v>43.000000000000007</v>
      </c>
      <c r="F86" s="190">
        <f t="shared" si="2"/>
        <v>2.4118882751108825E-3</v>
      </c>
      <c r="G86" s="190">
        <f t="shared" si="3"/>
        <v>2.0581778265642177E-3</v>
      </c>
    </row>
    <row r="87" spans="1:7" x14ac:dyDescent="0.35">
      <c r="A87" s="189" t="s">
        <v>464</v>
      </c>
      <c r="B87" s="188" t="s">
        <v>338</v>
      </c>
      <c r="C87" s="189">
        <v>47.999999999999986</v>
      </c>
      <c r="D87" s="189">
        <v>47.999999999999986</v>
      </c>
      <c r="E87" s="189">
        <v>23.000000000000007</v>
      </c>
      <c r="F87" s="190">
        <f t="shared" si="2"/>
        <v>1.8672683420213282E-3</v>
      </c>
      <c r="G87" s="190">
        <f t="shared" si="3"/>
        <v>1.3917202446291376E-3</v>
      </c>
    </row>
    <row r="88" spans="1:7" x14ac:dyDescent="0.35">
      <c r="A88" s="189" t="s">
        <v>465</v>
      </c>
      <c r="B88" s="188" t="s">
        <v>347</v>
      </c>
      <c r="C88" s="189">
        <v>36</v>
      </c>
      <c r="D88" s="189">
        <v>35</v>
      </c>
      <c r="E88" s="189">
        <v>32</v>
      </c>
      <c r="F88" s="190">
        <f t="shared" si="2"/>
        <v>1.4004512565159966E-3</v>
      </c>
      <c r="G88" s="190">
        <f t="shared" si="3"/>
        <v>1.313313470283834E-3</v>
      </c>
    </row>
    <row r="89" spans="1:7" x14ac:dyDescent="0.35">
      <c r="A89" s="189" t="s">
        <v>466</v>
      </c>
      <c r="B89" s="188" t="s">
        <v>344</v>
      </c>
      <c r="C89" s="189">
        <v>63.000000000000007</v>
      </c>
      <c r="D89" s="189">
        <v>62.000000000000021</v>
      </c>
      <c r="E89" s="189">
        <v>53.999999999999993</v>
      </c>
      <c r="F89" s="190">
        <f t="shared" si="2"/>
        <v>2.4507896989029942E-3</v>
      </c>
      <c r="G89" s="190">
        <f t="shared" si="3"/>
        <v>2.2737964560138025E-3</v>
      </c>
    </row>
    <row r="90" spans="1:7" x14ac:dyDescent="0.35">
      <c r="A90" s="189" t="s">
        <v>467</v>
      </c>
      <c r="B90" s="188" t="s">
        <v>353</v>
      </c>
      <c r="C90" s="189">
        <v>23.000000000000011</v>
      </c>
      <c r="D90" s="189">
        <v>23.000000000000011</v>
      </c>
      <c r="E90" s="189">
        <v>48.999999999999986</v>
      </c>
      <c r="F90" s="190">
        <f t="shared" si="2"/>
        <v>8.9473274721855382E-4</v>
      </c>
      <c r="G90" s="190">
        <f t="shared" si="3"/>
        <v>1.4113219382154633E-3</v>
      </c>
    </row>
    <row r="91" spans="1:7" x14ac:dyDescent="0.35">
      <c r="A91" s="189" t="s">
        <v>468</v>
      </c>
      <c r="B91" s="188" t="s">
        <v>357</v>
      </c>
      <c r="C91" s="189">
        <v>79.999999999999986</v>
      </c>
      <c r="D91" s="189">
        <v>79</v>
      </c>
      <c r="E91" s="189">
        <v>70.999999999999986</v>
      </c>
      <c r="F91" s="190">
        <f t="shared" si="2"/>
        <v>3.1121139033688807E-3</v>
      </c>
      <c r="G91" s="190">
        <f t="shared" si="3"/>
        <v>2.9402540379488821E-3</v>
      </c>
    </row>
    <row r="92" spans="1:7" x14ac:dyDescent="0.35">
      <c r="A92" s="189" t="s">
        <v>469</v>
      </c>
      <c r="B92" s="188" t="s">
        <v>362</v>
      </c>
      <c r="C92" s="189">
        <v>115.99999999999996</v>
      </c>
      <c r="D92" s="189">
        <v>112.00000000000006</v>
      </c>
      <c r="E92" s="189">
        <v>193.00000000000006</v>
      </c>
      <c r="F92" s="190">
        <f t="shared" si="2"/>
        <v>4.5125651598848767E-3</v>
      </c>
      <c r="G92" s="190">
        <f t="shared" si="3"/>
        <v>5.9785165438293961E-3</v>
      </c>
    </row>
    <row r="93" spans="1:7" x14ac:dyDescent="0.35">
      <c r="A93" s="189" t="s">
        <v>470</v>
      </c>
      <c r="B93" s="188" t="s">
        <v>223</v>
      </c>
      <c r="C93" s="189">
        <v>32</v>
      </c>
      <c r="D93" s="189">
        <v>32</v>
      </c>
      <c r="E93" s="189">
        <v>47.999999999999993</v>
      </c>
      <c r="F93" s="190">
        <f t="shared" si="2"/>
        <v>1.2448455613475525E-3</v>
      </c>
      <c r="G93" s="190">
        <f t="shared" si="3"/>
        <v>1.5681354869060704E-3</v>
      </c>
    </row>
    <row r="94" spans="1:7" x14ac:dyDescent="0.35">
      <c r="A94" s="189" t="s">
        <v>471</v>
      </c>
      <c r="B94" s="188" t="s">
        <v>93</v>
      </c>
      <c r="C94" s="189">
        <v>19.000000000000007</v>
      </c>
      <c r="D94" s="189">
        <v>19.000000000000007</v>
      </c>
      <c r="E94" s="189">
        <v>44</v>
      </c>
      <c r="F94" s="190">
        <f t="shared" si="2"/>
        <v>7.3912705205010957E-4</v>
      </c>
      <c r="G94" s="190">
        <f t="shared" si="3"/>
        <v>1.2349066959385306E-3</v>
      </c>
    </row>
    <row r="95" spans="1:7" x14ac:dyDescent="0.35">
      <c r="A95" s="189" t="s">
        <v>472</v>
      </c>
      <c r="B95" s="188" t="s">
        <v>24</v>
      </c>
      <c r="C95" s="189">
        <v>163.00000000000009</v>
      </c>
      <c r="D95" s="189">
        <v>162.00000000000006</v>
      </c>
      <c r="E95" s="189">
        <v>184.99999999999997</v>
      </c>
      <c r="F95" s="190">
        <f t="shared" si="2"/>
        <v>6.340932078114099E-3</v>
      </c>
      <c r="G95" s="190">
        <f t="shared" si="3"/>
        <v>6.8017876744550804E-3</v>
      </c>
    </row>
    <row r="96" spans="1:7" x14ac:dyDescent="0.35">
      <c r="A96" s="189" t="s">
        <v>473</v>
      </c>
      <c r="B96" s="188" t="s">
        <v>33</v>
      </c>
      <c r="C96" s="189">
        <v>17</v>
      </c>
      <c r="D96" s="189">
        <v>17</v>
      </c>
      <c r="E96" s="189">
        <v>6.0000000000000027</v>
      </c>
      <c r="F96" s="190">
        <f t="shared" si="2"/>
        <v>6.6132420446588728E-4</v>
      </c>
      <c r="G96" s="190">
        <f t="shared" si="3"/>
        <v>4.5083895248549532E-4</v>
      </c>
    </row>
    <row r="97" spans="1:7" x14ac:dyDescent="0.35">
      <c r="A97" s="189" t="s">
        <v>474</v>
      </c>
      <c r="B97" s="188" t="s">
        <v>76</v>
      </c>
      <c r="C97" s="189">
        <v>35</v>
      </c>
      <c r="D97" s="189">
        <v>35</v>
      </c>
      <c r="E97" s="189">
        <v>13</v>
      </c>
      <c r="F97" s="190">
        <f t="shared" si="2"/>
        <v>1.3615498327238856E-3</v>
      </c>
      <c r="G97" s="190">
        <f t="shared" si="3"/>
        <v>9.4088129214364225E-4</v>
      </c>
    </row>
    <row r="98" spans="1:7" x14ac:dyDescent="0.35">
      <c r="A98" s="189" t="s">
        <v>475</v>
      </c>
      <c r="B98" s="188" t="s">
        <v>65</v>
      </c>
      <c r="C98" s="189">
        <v>7.9999999999999991</v>
      </c>
      <c r="D98" s="189">
        <v>7.9999999999999991</v>
      </c>
      <c r="E98" s="189">
        <v>3</v>
      </c>
      <c r="F98" s="190">
        <f t="shared" si="2"/>
        <v>3.1121139033688812E-4</v>
      </c>
      <c r="G98" s="190">
        <f t="shared" si="3"/>
        <v>2.1561862944958468E-4</v>
      </c>
    </row>
    <row r="99" spans="1:7" x14ac:dyDescent="0.35">
      <c r="A99" s="189" t="s">
        <v>476</v>
      </c>
      <c r="B99" s="188" t="s">
        <v>66</v>
      </c>
      <c r="C99" s="189">
        <v>15.999999999999996</v>
      </c>
      <c r="D99" s="189">
        <v>15.999999999999996</v>
      </c>
      <c r="E99" s="189">
        <v>3.0000000000000004</v>
      </c>
      <c r="F99" s="190">
        <f t="shared" si="2"/>
        <v>6.2242278067377614E-4</v>
      </c>
      <c r="G99" s="190">
        <f t="shared" si="3"/>
        <v>3.7243217814019169E-4</v>
      </c>
    </row>
    <row r="100" spans="1:7" x14ac:dyDescent="0.35">
      <c r="A100" s="189" t="s">
        <v>477</v>
      </c>
      <c r="B100" s="188" t="s">
        <v>99</v>
      </c>
      <c r="C100" s="189">
        <v>6</v>
      </c>
      <c r="D100" s="189">
        <v>6</v>
      </c>
      <c r="E100" s="189">
        <v>2</v>
      </c>
      <c r="F100" s="190">
        <f t="shared" si="2"/>
        <v>2.3340854275266611E-4</v>
      </c>
      <c r="G100" s="190">
        <f t="shared" si="3"/>
        <v>1.5681354869060706E-4</v>
      </c>
    </row>
    <row r="101" spans="1:7" x14ac:dyDescent="0.35">
      <c r="A101" s="189" t="s">
        <v>478</v>
      </c>
      <c r="B101" s="188" t="s">
        <v>159</v>
      </c>
      <c r="C101" s="189">
        <v>54.999999999999986</v>
      </c>
      <c r="D101" s="189">
        <v>54.999999999999986</v>
      </c>
      <c r="E101" s="189">
        <v>22.000000000000004</v>
      </c>
      <c r="F101" s="190">
        <f t="shared" si="2"/>
        <v>2.1395783085661054E-3</v>
      </c>
      <c r="G101" s="190">
        <f t="shared" si="3"/>
        <v>1.5093304061470927E-3</v>
      </c>
    </row>
    <row r="102" spans="1:7" x14ac:dyDescent="0.35">
      <c r="A102" s="189" t="s">
        <v>479</v>
      </c>
      <c r="B102" s="188" t="s">
        <v>184</v>
      </c>
      <c r="C102" s="189">
        <v>15.000000000000004</v>
      </c>
      <c r="D102" s="189">
        <v>15.000000000000004</v>
      </c>
      <c r="E102" s="189">
        <v>8</v>
      </c>
      <c r="F102" s="190">
        <f t="shared" si="2"/>
        <v>5.8352135688166543E-4</v>
      </c>
      <c r="G102" s="190">
        <f t="shared" si="3"/>
        <v>4.5083895248549532E-4</v>
      </c>
    </row>
    <row r="103" spans="1:7" x14ac:dyDescent="0.35">
      <c r="A103" s="189" t="s">
        <v>480</v>
      </c>
      <c r="B103" s="188" t="s">
        <v>189</v>
      </c>
      <c r="C103" s="189">
        <v>13</v>
      </c>
      <c r="D103" s="189">
        <v>13</v>
      </c>
      <c r="E103" s="189">
        <v>6.0000000000000009</v>
      </c>
      <c r="F103" s="190">
        <f t="shared" si="2"/>
        <v>5.0571850929744325E-4</v>
      </c>
      <c r="G103" s="190">
        <f t="shared" si="3"/>
        <v>3.7243217814019174E-4</v>
      </c>
    </row>
    <row r="104" spans="1:7" x14ac:dyDescent="0.35">
      <c r="A104" s="189" t="s">
        <v>481</v>
      </c>
      <c r="B104" s="188" t="s">
        <v>482</v>
      </c>
      <c r="C104" s="189">
        <v>9</v>
      </c>
      <c r="D104" s="189">
        <v>9</v>
      </c>
      <c r="E104" s="189">
        <v>7</v>
      </c>
      <c r="F104" s="190">
        <f t="shared" si="2"/>
        <v>3.5011281412899916E-4</v>
      </c>
      <c r="G104" s="190">
        <f t="shared" si="3"/>
        <v>3.1362709738121412E-4</v>
      </c>
    </row>
    <row r="105" spans="1:7" x14ac:dyDescent="0.35">
      <c r="A105" s="189" t="s">
        <v>483</v>
      </c>
      <c r="B105" s="188" t="s">
        <v>252</v>
      </c>
      <c r="C105" s="189">
        <v>7</v>
      </c>
      <c r="D105" s="189">
        <v>7</v>
      </c>
      <c r="E105" s="189">
        <v>3</v>
      </c>
      <c r="F105" s="190">
        <f t="shared" si="2"/>
        <v>2.7230996654477714E-4</v>
      </c>
      <c r="G105" s="190">
        <f t="shared" si="3"/>
        <v>1.960169358632588E-4</v>
      </c>
    </row>
    <row r="106" spans="1:7" x14ac:dyDescent="0.35">
      <c r="A106" s="189" t="s">
        <v>484</v>
      </c>
      <c r="B106" s="188" t="s">
        <v>255</v>
      </c>
      <c r="C106" s="189">
        <v>17</v>
      </c>
      <c r="D106" s="189">
        <v>15.000000000000002</v>
      </c>
      <c r="E106" s="189">
        <v>13.999999999999998</v>
      </c>
      <c r="F106" s="190">
        <f t="shared" si="2"/>
        <v>6.6132420446588728E-4</v>
      </c>
      <c r="G106" s="190">
        <f t="shared" si="3"/>
        <v>5.6844911400345051E-4</v>
      </c>
    </row>
    <row r="107" spans="1:7" x14ac:dyDescent="0.35">
      <c r="A107" s="189" t="s">
        <v>485</v>
      </c>
      <c r="B107" s="188" t="s">
        <v>279</v>
      </c>
      <c r="C107" s="189">
        <v>31</v>
      </c>
      <c r="D107" s="189">
        <v>31</v>
      </c>
      <c r="E107" s="189">
        <v>25</v>
      </c>
      <c r="F107" s="190">
        <f t="shared" si="2"/>
        <v>1.2059441375554415E-3</v>
      </c>
      <c r="G107" s="190">
        <f t="shared" si="3"/>
        <v>1.0976948408342494E-3</v>
      </c>
    </row>
    <row r="108" spans="1:7" x14ac:dyDescent="0.35">
      <c r="A108" s="189" t="s">
        <v>486</v>
      </c>
      <c r="B108" s="188" t="s">
        <v>305</v>
      </c>
      <c r="C108" s="189">
        <v>435.00000000000068</v>
      </c>
      <c r="D108" s="189">
        <v>429.00000000000006</v>
      </c>
      <c r="E108" s="189">
        <v>299.00000000000006</v>
      </c>
      <c r="F108" s="190">
        <f t="shared" si="2"/>
        <v>1.6922119349568318E-2</v>
      </c>
      <c r="G108" s="190">
        <f t="shared" si="3"/>
        <v>1.4270032930845243E-2</v>
      </c>
    </row>
    <row r="109" spans="1:7" x14ac:dyDescent="0.35">
      <c r="A109" s="189" t="s">
        <v>487</v>
      </c>
      <c r="B109" s="188" t="s">
        <v>311</v>
      </c>
      <c r="C109" s="189">
        <v>111.00000000000004</v>
      </c>
      <c r="D109" s="189">
        <v>107.00000000000001</v>
      </c>
      <c r="E109" s="189">
        <v>67.999999999999986</v>
      </c>
      <c r="F109" s="190">
        <f t="shared" si="2"/>
        <v>4.3180580409243243E-3</v>
      </c>
      <c r="G109" s="190">
        <f t="shared" si="3"/>
        <v>3.4302963776070292E-3</v>
      </c>
    </row>
    <row r="110" spans="1:7" x14ac:dyDescent="0.35">
      <c r="A110" s="189" t="s">
        <v>488</v>
      </c>
      <c r="B110" s="188" t="s">
        <v>351</v>
      </c>
      <c r="C110" s="189">
        <v>6</v>
      </c>
      <c r="D110" s="189">
        <v>5.0000000000000009</v>
      </c>
      <c r="E110" s="189">
        <v>4</v>
      </c>
      <c r="F110" s="190">
        <f t="shared" si="2"/>
        <v>2.3340854275266611E-4</v>
      </c>
      <c r="G110" s="190">
        <f t="shared" si="3"/>
        <v>1.7641524227693292E-4</v>
      </c>
    </row>
    <row r="111" spans="1:7" x14ac:dyDescent="0.35">
      <c r="A111" s="189" t="s">
        <v>489</v>
      </c>
      <c r="B111" s="188" t="s">
        <v>346</v>
      </c>
      <c r="C111" s="189">
        <v>22</v>
      </c>
      <c r="D111" s="189">
        <v>22</v>
      </c>
      <c r="E111" s="189">
        <v>18.000000000000004</v>
      </c>
      <c r="F111" s="190">
        <f t="shared" si="2"/>
        <v>8.5583132342644235E-4</v>
      </c>
      <c r="G111" s="190">
        <f t="shared" si="3"/>
        <v>7.8406774345303519E-4</v>
      </c>
    </row>
    <row r="112" spans="1:7" x14ac:dyDescent="0.35">
      <c r="A112" s="189" t="s">
        <v>490</v>
      </c>
      <c r="B112" s="188" t="s">
        <v>162</v>
      </c>
      <c r="C112" s="189">
        <v>51.999999999999979</v>
      </c>
      <c r="D112" s="189">
        <v>48.999999999999993</v>
      </c>
      <c r="E112" s="189">
        <v>35.999999999999993</v>
      </c>
      <c r="F112" s="190">
        <f t="shared" si="2"/>
        <v>2.0228740371897721E-3</v>
      </c>
      <c r="G112" s="190">
        <f t="shared" si="3"/>
        <v>1.6661439548376995E-3</v>
      </c>
    </row>
    <row r="113" spans="1:7" x14ac:dyDescent="0.35">
      <c r="A113" s="189" t="s">
        <v>491</v>
      </c>
      <c r="B113" s="188" t="s">
        <v>356</v>
      </c>
      <c r="C113" s="189">
        <v>115.99999999999993</v>
      </c>
      <c r="D113" s="189">
        <v>115.00000000000004</v>
      </c>
      <c r="E113" s="189">
        <v>90.000000000000043</v>
      </c>
      <c r="F113" s="190">
        <f t="shared" si="2"/>
        <v>4.5125651598848749E-3</v>
      </c>
      <c r="G113" s="190">
        <f t="shared" si="3"/>
        <v>4.0183471851968069E-3</v>
      </c>
    </row>
    <row r="114" spans="1:7" x14ac:dyDescent="0.35">
      <c r="A114" s="189" t="s">
        <v>492</v>
      </c>
      <c r="B114" s="188" t="s">
        <v>212</v>
      </c>
      <c r="C114" s="189">
        <v>98.000000000000028</v>
      </c>
      <c r="D114" s="189">
        <v>95.999999999999972</v>
      </c>
      <c r="E114" s="189">
        <v>66.000000000000014</v>
      </c>
      <c r="F114" s="190">
        <f t="shared" si="2"/>
        <v>3.8123395316268806E-3</v>
      </c>
      <c r="G114" s="190">
        <f t="shared" si="3"/>
        <v>3.1754743609847926E-3</v>
      </c>
    </row>
    <row r="115" spans="1:7" x14ac:dyDescent="0.35">
      <c r="A115" s="189" t="s">
        <v>493</v>
      </c>
      <c r="B115" s="188" t="s">
        <v>12</v>
      </c>
      <c r="C115" s="189">
        <v>30</v>
      </c>
      <c r="D115" s="189">
        <v>28</v>
      </c>
      <c r="E115" s="189">
        <v>11.999999999999996</v>
      </c>
      <c r="F115" s="190">
        <f t="shared" si="2"/>
        <v>1.1670427137633304E-3</v>
      </c>
      <c r="G115" s="190">
        <f t="shared" si="3"/>
        <v>7.8406774345303519E-4</v>
      </c>
    </row>
    <row r="116" spans="1:7" x14ac:dyDescent="0.35">
      <c r="A116" s="189" t="s">
        <v>494</v>
      </c>
      <c r="B116" s="188" t="s">
        <v>17</v>
      </c>
      <c r="C116" s="189">
        <v>263.99999999999983</v>
      </c>
      <c r="D116" s="189">
        <v>260.00000000000011</v>
      </c>
      <c r="E116" s="189">
        <v>164</v>
      </c>
      <c r="F116" s="190">
        <f t="shared" si="2"/>
        <v>1.0269975881117301E-2</v>
      </c>
      <c r="G116" s="190">
        <f t="shared" si="3"/>
        <v>8.3111180806021753E-3</v>
      </c>
    </row>
    <row r="117" spans="1:7" x14ac:dyDescent="0.35">
      <c r="A117" s="189" t="s">
        <v>495</v>
      </c>
      <c r="B117" s="188" t="s">
        <v>25</v>
      </c>
      <c r="C117" s="189">
        <v>104</v>
      </c>
      <c r="D117" s="189">
        <v>103.00000000000001</v>
      </c>
      <c r="E117" s="189">
        <v>55.999999999999993</v>
      </c>
      <c r="F117" s="190">
        <f t="shared" si="2"/>
        <v>4.045748074379546E-3</v>
      </c>
      <c r="G117" s="190">
        <f t="shared" si="3"/>
        <v>3.1166692802258151E-3</v>
      </c>
    </row>
    <row r="118" spans="1:7" x14ac:dyDescent="0.35">
      <c r="A118" s="189" t="s">
        <v>496</v>
      </c>
      <c r="B118" s="188" t="s">
        <v>26</v>
      </c>
      <c r="C118" s="189">
        <v>1143</v>
      </c>
      <c r="D118" s="189">
        <v>1121</v>
      </c>
      <c r="E118" s="189">
        <v>1592</v>
      </c>
      <c r="F118" s="190">
        <f t="shared" si="2"/>
        <v>4.4464327394382892E-2</v>
      </c>
      <c r="G118" s="190">
        <f t="shared" si="3"/>
        <v>5.3179394699702114E-2</v>
      </c>
    </row>
    <row r="119" spans="1:7" x14ac:dyDescent="0.35">
      <c r="A119" s="189" t="s">
        <v>497</v>
      </c>
      <c r="B119" s="188" t="s">
        <v>38</v>
      </c>
      <c r="C119" s="189">
        <v>10</v>
      </c>
      <c r="D119" s="189">
        <v>10</v>
      </c>
      <c r="E119" s="189">
        <v>9</v>
      </c>
      <c r="F119" s="190">
        <f t="shared" si="2"/>
        <v>3.8901423792111019E-4</v>
      </c>
      <c r="G119" s="190">
        <f t="shared" si="3"/>
        <v>3.7243217814019174E-4</v>
      </c>
    </row>
    <row r="120" spans="1:7" x14ac:dyDescent="0.35">
      <c r="A120" s="189" t="s">
        <v>498</v>
      </c>
      <c r="B120" s="188" t="s">
        <v>499</v>
      </c>
      <c r="C120" s="189">
        <v>31.000000000000007</v>
      </c>
      <c r="D120" s="189">
        <v>31.000000000000007</v>
      </c>
      <c r="E120" s="189">
        <v>13</v>
      </c>
      <c r="F120" s="190">
        <f t="shared" si="2"/>
        <v>1.2059441375554419E-3</v>
      </c>
      <c r="G120" s="190">
        <f t="shared" si="3"/>
        <v>8.6247451779833894E-4</v>
      </c>
    </row>
    <row r="121" spans="1:7" x14ac:dyDescent="0.35">
      <c r="A121" s="189" t="s">
        <v>500</v>
      </c>
      <c r="B121" s="188" t="s">
        <v>49</v>
      </c>
      <c r="C121" s="189">
        <v>63.000000000000021</v>
      </c>
      <c r="D121" s="189">
        <v>62.000000000000007</v>
      </c>
      <c r="E121" s="189">
        <v>64.999999999999986</v>
      </c>
      <c r="F121" s="190">
        <f t="shared" si="2"/>
        <v>2.450789698902995E-3</v>
      </c>
      <c r="G121" s="190">
        <f t="shared" si="3"/>
        <v>2.4894150854633868E-3</v>
      </c>
    </row>
    <row r="122" spans="1:7" x14ac:dyDescent="0.35">
      <c r="A122" s="189" t="s">
        <v>501</v>
      </c>
      <c r="B122" s="188" t="s">
        <v>51</v>
      </c>
      <c r="C122" s="189">
        <v>2</v>
      </c>
      <c r="D122" s="189">
        <v>2</v>
      </c>
      <c r="E122" s="189">
        <v>2</v>
      </c>
      <c r="F122" s="190">
        <f t="shared" si="2"/>
        <v>7.7802847584222031E-5</v>
      </c>
      <c r="G122" s="190">
        <f t="shared" si="3"/>
        <v>7.840677434530353E-5</v>
      </c>
    </row>
    <row r="123" spans="1:7" x14ac:dyDescent="0.35">
      <c r="A123" s="189" t="s">
        <v>502</v>
      </c>
      <c r="B123" s="188" t="s">
        <v>52</v>
      </c>
      <c r="C123" s="189">
        <v>15.000000000000002</v>
      </c>
      <c r="D123" s="189">
        <v>15.000000000000002</v>
      </c>
      <c r="E123" s="189">
        <v>11</v>
      </c>
      <c r="F123" s="190">
        <f t="shared" si="2"/>
        <v>5.8352135688166532E-4</v>
      </c>
      <c r="G123" s="190">
        <f t="shared" si="3"/>
        <v>5.0964403324447289E-4</v>
      </c>
    </row>
    <row r="124" spans="1:7" x14ac:dyDescent="0.35">
      <c r="A124" s="189" t="s">
        <v>503</v>
      </c>
      <c r="B124" s="188" t="s">
        <v>69</v>
      </c>
      <c r="C124" s="189">
        <v>49.999999999999993</v>
      </c>
      <c r="D124" s="189">
        <v>49.000000000000007</v>
      </c>
      <c r="E124" s="189">
        <v>11.000000000000004</v>
      </c>
      <c r="F124" s="190">
        <f t="shared" si="2"/>
        <v>1.9450711896055505E-3</v>
      </c>
      <c r="G124" s="190">
        <f t="shared" si="3"/>
        <v>1.1761016151795531E-3</v>
      </c>
    </row>
    <row r="125" spans="1:7" x14ac:dyDescent="0.35">
      <c r="A125" s="189" t="s">
        <v>504</v>
      </c>
      <c r="B125" s="188" t="s">
        <v>85</v>
      </c>
      <c r="C125" s="189">
        <v>36.999999999999979</v>
      </c>
      <c r="D125" s="189">
        <v>34.999999999999986</v>
      </c>
      <c r="E125" s="189">
        <v>26.999999999999996</v>
      </c>
      <c r="F125" s="190">
        <f t="shared" si="2"/>
        <v>1.4393526803081068E-3</v>
      </c>
      <c r="G125" s="190">
        <f t="shared" si="3"/>
        <v>1.2153050023522044E-3</v>
      </c>
    </row>
    <row r="126" spans="1:7" x14ac:dyDescent="0.35">
      <c r="A126" s="189" t="s">
        <v>505</v>
      </c>
      <c r="B126" s="188" t="s">
        <v>97</v>
      </c>
      <c r="C126" s="189">
        <v>31.000000000000004</v>
      </c>
      <c r="D126" s="189">
        <v>29.000000000000004</v>
      </c>
      <c r="E126" s="189">
        <v>21.000000000000004</v>
      </c>
      <c r="F126" s="190">
        <f t="shared" si="2"/>
        <v>1.2059441375554417E-3</v>
      </c>
      <c r="G126" s="190">
        <f t="shared" si="3"/>
        <v>9.8008467931629418E-4</v>
      </c>
    </row>
    <row r="127" spans="1:7" x14ac:dyDescent="0.35">
      <c r="A127" s="189" t="s">
        <v>506</v>
      </c>
      <c r="B127" s="188" t="s">
        <v>105</v>
      </c>
      <c r="C127" s="189">
        <v>51.999999999999993</v>
      </c>
      <c r="D127" s="189">
        <v>48.999999999999993</v>
      </c>
      <c r="E127" s="189">
        <v>12.999999999999998</v>
      </c>
      <c r="F127" s="190">
        <f t="shared" si="2"/>
        <v>2.0228740371897726E-3</v>
      </c>
      <c r="G127" s="190">
        <f t="shared" si="3"/>
        <v>1.2153050023522044E-3</v>
      </c>
    </row>
    <row r="128" spans="1:7" x14ac:dyDescent="0.35">
      <c r="A128" s="189" t="s">
        <v>507</v>
      </c>
      <c r="B128" s="188" t="s">
        <v>126</v>
      </c>
      <c r="C128" s="189">
        <v>297.99999999999989</v>
      </c>
      <c r="D128" s="189">
        <v>290.99999999999994</v>
      </c>
      <c r="E128" s="189">
        <v>155.00000000000011</v>
      </c>
      <c r="F128" s="190">
        <f t="shared" si="2"/>
        <v>1.1592624290049078E-2</v>
      </c>
      <c r="G128" s="190">
        <f t="shared" si="3"/>
        <v>8.742355339501344E-3</v>
      </c>
    </row>
    <row r="129" spans="1:7" x14ac:dyDescent="0.35">
      <c r="A129" s="189" t="s">
        <v>508</v>
      </c>
      <c r="B129" s="188" t="s">
        <v>127</v>
      </c>
      <c r="C129" s="189">
        <v>169</v>
      </c>
      <c r="D129" s="189">
        <v>166.00000000000003</v>
      </c>
      <c r="E129" s="189">
        <v>66.999999999999957</v>
      </c>
      <c r="F129" s="190">
        <f t="shared" si="2"/>
        <v>6.5743406208667622E-3</v>
      </c>
      <c r="G129" s="190">
        <f t="shared" si="3"/>
        <v>4.5671946056139306E-3</v>
      </c>
    </row>
    <row r="130" spans="1:7" x14ac:dyDescent="0.35">
      <c r="A130" s="189" t="s">
        <v>509</v>
      </c>
      <c r="B130" s="188" t="s">
        <v>134</v>
      </c>
      <c r="C130" s="189">
        <v>55.999999999999986</v>
      </c>
      <c r="D130" s="189">
        <v>53.999999999999993</v>
      </c>
      <c r="E130" s="189">
        <v>52.000000000000021</v>
      </c>
      <c r="F130" s="190">
        <f t="shared" si="2"/>
        <v>2.1784797323582163E-3</v>
      </c>
      <c r="G130" s="190">
        <f t="shared" si="3"/>
        <v>2.0777795201505438E-3</v>
      </c>
    </row>
    <row r="131" spans="1:7" x14ac:dyDescent="0.35">
      <c r="A131" s="189" t="s">
        <v>510</v>
      </c>
      <c r="B131" s="188" t="s">
        <v>135</v>
      </c>
      <c r="C131" s="189">
        <v>25</v>
      </c>
      <c r="D131" s="189">
        <v>23.999999999999993</v>
      </c>
      <c r="E131" s="189">
        <v>17.999999999999996</v>
      </c>
      <c r="F131" s="190">
        <f t="shared" si="2"/>
        <v>9.7253559480277546E-4</v>
      </c>
      <c r="G131" s="190">
        <f t="shared" si="3"/>
        <v>8.2327113062568669E-4</v>
      </c>
    </row>
    <row r="132" spans="1:7" x14ac:dyDescent="0.35">
      <c r="A132" s="189" t="s">
        <v>511</v>
      </c>
      <c r="B132" s="188" t="s">
        <v>138</v>
      </c>
      <c r="C132" s="189">
        <v>147.00000000000006</v>
      </c>
      <c r="D132" s="189">
        <v>146</v>
      </c>
      <c r="E132" s="189">
        <v>50.999999999999979</v>
      </c>
      <c r="F132" s="190">
        <f t="shared" si="2"/>
        <v>5.7185092974403216E-3</v>
      </c>
      <c r="G132" s="190">
        <f t="shared" si="3"/>
        <v>3.8615336365061979E-3</v>
      </c>
    </row>
    <row r="133" spans="1:7" x14ac:dyDescent="0.35">
      <c r="A133" s="189" t="s">
        <v>512</v>
      </c>
      <c r="B133" s="188" t="s">
        <v>141</v>
      </c>
      <c r="C133" s="189">
        <v>40.999999999999979</v>
      </c>
      <c r="D133" s="189">
        <v>39</v>
      </c>
      <c r="E133" s="189">
        <v>31.999999999999993</v>
      </c>
      <c r="F133" s="190">
        <f t="shared" si="2"/>
        <v>1.5949583754765509E-3</v>
      </c>
      <c r="G133" s="190">
        <f t="shared" si="3"/>
        <v>1.3917202446291376E-3</v>
      </c>
    </row>
    <row r="134" spans="1:7" x14ac:dyDescent="0.35">
      <c r="A134" s="189" t="s">
        <v>513</v>
      </c>
      <c r="B134" s="188" t="s">
        <v>82</v>
      </c>
      <c r="C134" s="189">
        <v>238.99999999999997</v>
      </c>
      <c r="D134" s="189">
        <v>235.00000000000009</v>
      </c>
      <c r="E134" s="189">
        <v>74</v>
      </c>
      <c r="F134" s="190">
        <f t="shared" si="2"/>
        <v>9.2974402863145317E-3</v>
      </c>
      <c r="G134" s="190">
        <f t="shared" si="3"/>
        <v>6.0569233181746998E-3</v>
      </c>
    </row>
    <row r="135" spans="1:7" x14ac:dyDescent="0.35">
      <c r="A135" s="189" t="s">
        <v>514</v>
      </c>
      <c r="B135" s="188" t="s">
        <v>152</v>
      </c>
      <c r="C135" s="189">
        <v>71.999999999999972</v>
      </c>
      <c r="D135" s="189">
        <v>69.999999999999972</v>
      </c>
      <c r="E135" s="189">
        <v>86</v>
      </c>
      <c r="F135" s="190">
        <f t="shared" si="2"/>
        <v>2.800902513031992E-3</v>
      </c>
      <c r="G135" s="190">
        <f t="shared" si="3"/>
        <v>3.0578641994668367E-3</v>
      </c>
    </row>
    <row r="136" spans="1:7" x14ac:dyDescent="0.35">
      <c r="A136" s="189" t="s">
        <v>515</v>
      </c>
      <c r="B136" s="188" t="s">
        <v>157</v>
      </c>
      <c r="C136" s="189">
        <v>242.00000000000009</v>
      </c>
      <c r="D136" s="189">
        <v>240.00000000000017</v>
      </c>
      <c r="E136" s="189">
        <v>99.000000000000014</v>
      </c>
      <c r="F136" s="190">
        <f t="shared" si="2"/>
        <v>9.4141445576908702E-3</v>
      </c>
      <c r="G136" s="190">
        <f t="shared" si="3"/>
        <v>6.6449741257644766E-3</v>
      </c>
    </row>
    <row r="137" spans="1:7" x14ac:dyDescent="0.35">
      <c r="A137" s="189" t="s">
        <v>516</v>
      </c>
      <c r="B137" s="188" t="s">
        <v>160</v>
      </c>
      <c r="C137" s="189">
        <v>26.000000000000007</v>
      </c>
      <c r="D137" s="189">
        <v>26.000000000000007</v>
      </c>
      <c r="E137" s="189">
        <v>38.000000000000007</v>
      </c>
      <c r="F137" s="190">
        <f t="shared" si="2"/>
        <v>1.0114370185948867E-3</v>
      </c>
      <c r="G137" s="190">
        <f t="shared" si="3"/>
        <v>1.2545083895248567E-3</v>
      </c>
    </row>
    <row r="138" spans="1:7" x14ac:dyDescent="0.35">
      <c r="A138" s="189" t="s">
        <v>517</v>
      </c>
      <c r="B138" s="188" t="s">
        <v>174</v>
      </c>
      <c r="C138" s="189">
        <v>15</v>
      </c>
      <c r="D138" s="189">
        <v>15</v>
      </c>
      <c r="E138" s="189">
        <v>5</v>
      </c>
      <c r="F138" s="190">
        <f t="shared" ref="F138:F201" si="4">+C138/(C$5-C$8)*100%</f>
        <v>5.8352135688166521E-4</v>
      </c>
      <c r="G138" s="190">
        <f t="shared" ref="G138:G201" si="5">(+D138+E138)/(D$5-D$8+E$5-E$8)*100%</f>
        <v>3.920338717265176E-4</v>
      </c>
    </row>
    <row r="139" spans="1:7" x14ac:dyDescent="0.35">
      <c r="A139" s="189" t="s">
        <v>518</v>
      </c>
      <c r="B139" s="188" t="s">
        <v>175</v>
      </c>
      <c r="C139" s="189">
        <v>47</v>
      </c>
      <c r="D139" s="189">
        <v>47</v>
      </c>
      <c r="E139" s="189">
        <v>25.000000000000007</v>
      </c>
      <c r="F139" s="190">
        <f t="shared" si="4"/>
        <v>1.8283669182292178E-3</v>
      </c>
      <c r="G139" s="190">
        <f t="shared" si="5"/>
        <v>1.4113219382154633E-3</v>
      </c>
    </row>
    <row r="140" spans="1:7" x14ac:dyDescent="0.35">
      <c r="A140" s="189" t="s">
        <v>519</v>
      </c>
      <c r="B140" s="188" t="s">
        <v>177</v>
      </c>
      <c r="C140" s="189">
        <v>6</v>
      </c>
      <c r="D140" s="189">
        <v>5</v>
      </c>
      <c r="E140" s="189">
        <v>3</v>
      </c>
      <c r="F140" s="190">
        <f t="shared" si="4"/>
        <v>2.3340854275266611E-4</v>
      </c>
      <c r="G140" s="190">
        <f t="shared" si="5"/>
        <v>1.5681354869060706E-4</v>
      </c>
    </row>
    <row r="141" spans="1:7" x14ac:dyDescent="0.35">
      <c r="A141" s="189" t="s">
        <v>520</v>
      </c>
      <c r="B141" s="188" t="s">
        <v>196</v>
      </c>
      <c r="C141" s="189">
        <v>82.999999999999986</v>
      </c>
      <c r="D141" s="189">
        <v>82.000000000000014</v>
      </c>
      <c r="E141" s="189">
        <v>29.999999999999979</v>
      </c>
      <c r="F141" s="190">
        <f t="shared" si="4"/>
        <v>3.228818174745214E-3</v>
      </c>
      <c r="G141" s="190">
        <f t="shared" si="5"/>
        <v>2.1953896816684988E-3</v>
      </c>
    </row>
    <row r="142" spans="1:7" x14ac:dyDescent="0.35">
      <c r="A142" s="189" t="s">
        <v>521</v>
      </c>
      <c r="B142" s="188" t="s">
        <v>235</v>
      </c>
      <c r="C142" s="189">
        <v>8</v>
      </c>
      <c r="D142" s="189">
        <v>8</v>
      </c>
      <c r="E142" s="189">
        <v>4</v>
      </c>
      <c r="F142" s="190">
        <f t="shared" si="4"/>
        <v>3.1121139033688812E-4</v>
      </c>
      <c r="G142" s="190">
        <f t="shared" si="5"/>
        <v>2.3522032303591056E-4</v>
      </c>
    </row>
    <row r="143" spans="1:7" x14ac:dyDescent="0.35">
      <c r="A143" s="189" t="s">
        <v>522</v>
      </c>
      <c r="B143" s="188" t="s">
        <v>236</v>
      </c>
      <c r="C143" s="189">
        <v>19.000000000000004</v>
      </c>
      <c r="D143" s="189">
        <v>19.000000000000004</v>
      </c>
      <c r="E143" s="189">
        <v>8</v>
      </c>
      <c r="F143" s="190">
        <f t="shared" si="4"/>
        <v>7.3912705205010946E-4</v>
      </c>
      <c r="G143" s="190">
        <f t="shared" si="5"/>
        <v>5.2924572683079891E-4</v>
      </c>
    </row>
    <row r="144" spans="1:7" x14ac:dyDescent="0.35">
      <c r="A144" s="189" t="s">
        <v>523</v>
      </c>
      <c r="B144" s="188" t="s">
        <v>240</v>
      </c>
      <c r="C144" s="189">
        <v>10.999999999999998</v>
      </c>
      <c r="D144" s="189">
        <v>10.999999999999998</v>
      </c>
      <c r="E144" s="189">
        <v>1.9999999999999998</v>
      </c>
      <c r="F144" s="190">
        <f t="shared" si="4"/>
        <v>4.2791566171322112E-4</v>
      </c>
      <c r="G144" s="190">
        <f t="shared" si="5"/>
        <v>2.5482201662223639E-4</v>
      </c>
    </row>
    <row r="145" spans="1:7" x14ac:dyDescent="0.35">
      <c r="A145" s="189" t="s">
        <v>524</v>
      </c>
      <c r="B145" s="188" t="s">
        <v>247</v>
      </c>
      <c r="C145" s="189">
        <v>211</v>
      </c>
      <c r="D145" s="189">
        <v>208</v>
      </c>
      <c r="E145" s="189">
        <v>117</v>
      </c>
      <c r="F145" s="190">
        <f t="shared" si="4"/>
        <v>8.2082004201354253E-3</v>
      </c>
      <c r="G145" s="190">
        <f t="shared" si="5"/>
        <v>6.3705504155559117E-3</v>
      </c>
    </row>
    <row r="146" spans="1:7" x14ac:dyDescent="0.35">
      <c r="A146" s="189" t="s">
        <v>525</v>
      </c>
      <c r="B146" s="188" t="s">
        <v>265</v>
      </c>
      <c r="C146" s="189">
        <v>74.999999999999972</v>
      </c>
      <c r="D146" s="189">
        <v>73.000000000000014</v>
      </c>
      <c r="E146" s="189">
        <v>30.999999999999989</v>
      </c>
      <c r="F146" s="190">
        <f t="shared" si="4"/>
        <v>2.9176067844083253E-3</v>
      </c>
      <c r="G146" s="190">
        <f t="shared" si="5"/>
        <v>2.0385761329778916E-3</v>
      </c>
    </row>
    <row r="147" spans="1:7" x14ac:dyDescent="0.35">
      <c r="A147" s="189" t="s">
        <v>526</v>
      </c>
      <c r="B147" s="188" t="s">
        <v>292</v>
      </c>
      <c r="C147" s="189">
        <v>21</v>
      </c>
      <c r="D147" s="189">
        <v>21</v>
      </c>
      <c r="E147" s="189">
        <v>28.999999999999993</v>
      </c>
      <c r="F147" s="190">
        <f t="shared" si="4"/>
        <v>8.1692989963433132E-4</v>
      </c>
      <c r="G147" s="190">
        <f t="shared" si="5"/>
        <v>9.8008467931629396E-4</v>
      </c>
    </row>
    <row r="148" spans="1:7" x14ac:dyDescent="0.35">
      <c r="A148" s="189" t="s">
        <v>527</v>
      </c>
      <c r="B148" s="188" t="s">
        <v>302</v>
      </c>
      <c r="C148" s="189">
        <v>20.999999999999996</v>
      </c>
      <c r="D148" s="189">
        <v>20.999999999999996</v>
      </c>
      <c r="E148" s="189">
        <v>7</v>
      </c>
      <c r="F148" s="190">
        <f t="shared" si="4"/>
        <v>8.1692989963433121E-4</v>
      </c>
      <c r="G148" s="190">
        <f t="shared" si="5"/>
        <v>5.488474204171246E-4</v>
      </c>
    </row>
    <row r="149" spans="1:7" x14ac:dyDescent="0.35">
      <c r="A149" s="189" t="s">
        <v>528</v>
      </c>
      <c r="B149" s="188" t="s">
        <v>303</v>
      </c>
      <c r="C149" s="189">
        <v>33.000000000000007</v>
      </c>
      <c r="D149" s="189">
        <v>33.000000000000007</v>
      </c>
      <c r="E149" s="189">
        <v>22.999999999999996</v>
      </c>
      <c r="F149" s="190">
        <f t="shared" si="4"/>
        <v>1.2837469851396637E-3</v>
      </c>
      <c r="G149" s="190">
        <f t="shared" si="5"/>
        <v>1.0976948408342494E-3</v>
      </c>
    </row>
    <row r="150" spans="1:7" x14ac:dyDescent="0.35">
      <c r="A150" s="189" t="s">
        <v>529</v>
      </c>
      <c r="B150" s="188" t="s">
        <v>314</v>
      </c>
      <c r="C150" s="189">
        <v>132.99999999999994</v>
      </c>
      <c r="D150" s="189">
        <v>129.99999999999991</v>
      </c>
      <c r="E150" s="189">
        <v>100.99999999999997</v>
      </c>
      <c r="F150" s="190">
        <f t="shared" si="4"/>
        <v>5.1738893643507632E-3</v>
      </c>
      <c r="G150" s="190">
        <f t="shared" si="5"/>
        <v>4.5279912184412767E-3</v>
      </c>
    </row>
    <row r="151" spans="1:7" x14ac:dyDescent="0.35">
      <c r="A151" s="189" t="s">
        <v>530</v>
      </c>
      <c r="B151" s="188" t="s">
        <v>333</v>
      </c>
      <c r="C151" s="189">
        <v>13</v>
      </c>
      <c r="D151" s="189">
        <v>13</v>
      </c>
      <c r="E151" s="189">
        <v>8.0000000000000018</v>
      </c>
      <c r="F151" s="190">
        <f t="shared" si="4"/>
        <v>5.0571850929744325E-4</v>
      </c>
      <c r="G151" s="190">
        <f t="shared" si="5"/>
        <v>4.1163556531284351E-4</v>
      </c>
    </row>
    <row r="152" spans="1:7" x14ac:dyDescent="0.35">
      <c r="A152" s="189" t="s">
        <v>531</v>
      </c>
      <c r="B152" s="188" t="s">
        <v>354</v>
      </c>
      <c r="C152" s="189">
        <v>22</v>
      </c>
      <c r="D152" s="189">
        <v>20</v>
      </c>
      <c r="E152" s="189">
        <v>8</v>
      </c>
      <c r="F152" s="190">
        <f t="shared" si="4"/>
        <v>8.5583132342644235E-4</v>
      </c>
      <c r="G152" s="190">
        <f t="shared" si="5"/>
        <v>5.4884742041712471E-4</v>
      </c>
    </row>
    <row r="153" spans="1:7" x14ac:dyDescent="0.35">
      <c r="A153" s="189" t="s">
        <v>532</v>
      </c>
      <c r="B153" s="188" t="s">
        <v>352</v>
      </c>
      <c r="C153" s="189">
        <v>388.00000000000017</v>
      </c>
      <c r="D153" s="189">
        <v>385</v>
      </c>
      <c r="E153" s="189">
        <v>146.99999999999997</v>
      </c>
      <c r="F153" s="190">
        <f t="shared" si="4"/>
        <v>1.5093752431339081E-2</v>
      </c>
      <c r="G153" s="190">
        <f t="shared" si="5"/>
        <v>1.0428100987925369E-2</v>
      </c>
    </row>
    <row r="154" spans="1:7" x14ac:dyDescent="0.35">
      <c r="A154" s="189" t="s">
        <v>533</v>
      </c>
      <c r="B154" s="188" t="s">
        <v>15</v>
      </c>
      <c r="C154" s="189">
        <v>20</v>
      </c>
      <c r="D154" s="189">
        <v>20</v>
      </c>
      <c r="E154" s="189">
        <v>25.999999999999993</v>
      </c>
      <c r="F154" s="190">
        <f t="shared" si="4"/>
        <v>7.7802847584222039E-4</v>
      </c>
      <c r="G154" s="190">
        <f t="shared" si="5"/>
        <v>9.0167790497099043E-4</v>
      </c>
    </row>
    <row r="155" spans="1:7" x14ac:dyDescent="0.35">
      <c r="A155" s="189" t="s">
        <v>534</v>
      </c>
      <c r="B155" s="188" t="s">
        <v>20</v>
      </c>
      <c r="C155" s="189">
        <v>146</v>
      </c>
      <c r="D155" s="189">
        <v>141.00000000000003</v>
      </c>
      <c r="E155" s="189">
        <v>169</v>
      </c>
      <c r="F155" s="190">
        <f t="shared" si="4"/>
        <v>5.6796078736482082E-3</v>
      </c>
      <c r="G155" s="190">
        <f t="shared" si="5"/>
        <v>6.0765250117610229E-3</v>
      </c>
    </row>
    <row r="156" spans="1:7" x14ac:dyDescent="0.35">
      <c r="A156" s="189" t="s">
        <v>535</v>
      </c>
      <c r="B156" s="188" t="s">
        <v>34</v>
      </c>
      <c r="C156" s="189">
        <v>38</v>
      </c>
      <c r="D156" s="189">
        <v>38</v>
      </c>
      <c r="E156" s="189">
        <v>21.999999999999996</v>
      </c>
      <c r="F156" s="190">
        <f t="shared" si="4"/>
        <v>1.4782541041002187E-3</v>
      </c>
      <c r="G156" s="190">
        <f t="shared" si="5"/>
        <v>1.1761016151795528E-3</v>
      </c>
    </row>
    <row r="157" spans="1:7" x14ac:dyDescent="0.35">
      <c r="A157" s="189" t="s">
        <v>536</v>
      </c>
      <c r="B157" s="188" t="s">
        <v>91</v>
      </c>
      <c r="C157" s="189">
        <v>25.999999999999996</v>
      </c>
      <c r="D157" s="189">
        <v>25.999999999999996</v>
      </c>
      <c r="E157" s="189">
        <v>4.0000000000000009</v>
      </c>
      <c r="F157" s="190">
        <f t="shared" si="4"/>
        <v>1.0114370185948863E-3</v>
      </c>
      <c r="G157" s="190">
        <f t="shared" si="5"/>
        <v>5.8805080758977631E-4</v>
      </c>
    </row>
    <row r="158" spans="1:7" x14ac:dyDescent="0.35">
      <c r="A158" s="189" t="s">
        <v>537</v>
      </c>
      <c r="B158" s="188" t="s">
        <v>61</v>
      </c>
      <c r="C158" s="189">
        <v>14.000000000000002</v>
      </c>
      <c r="D158" s="189">
        <v>14.000000000000002</v>
      </c>
      <c r="E158" s="189">
        <v>6.9999999999999982</v>
      </c>
      <c r="F158" s="190">
        <f t="shared" si="4"/>
        <v>5.4461993308955428E-4</v>
      </c>
      <c r="G158" s="190">
        <f t="shared" si="5"/>
        <v>4.1163556531284351E-4</v>
      </c>
    </row>
    <row r="159" spans="1:7" x14ac:dyDescent="0.35">
      <c r="A159" s="189" t="s">
        <v>538</v>
      </c>
      <c r="B159" s="188" t="s">
        <v>68</v>
      </c>
      <c r="C159" s="189">
        <v>120.00000000000004</v>
      </c>
      <c r="D159" s="189">
        <v>119.00000000000004</v>
      </c>
      <c r="E159" s="189">
        <v>44.00000000000005</v>
      </c>
      <c r="F159" s="190">
        <f t="shared" si="4"/>
        <v>4.6681708550533234E-3</v>
      </c>
      <c r="G159" s="190">
        <f t="shared" si="5"/>
        <v>3.1950760545711204E-3</v>
      </c>
    </row>
    <row r="160" spans="1:7" x14ac:dyDescent="0.35">
      <c r="A160" s="189" t="s">
        <v>539</v>
      </c>
      <c r="B160" s="188" t="s">
        <v>80</v>
      </c>
      <c r="C160" s="189">
        <v>197.99999999999997</v>
      </c>
      <c r="D160" s="189">
        <v>191.00000000000037</v>
      </c>
      <c r="E160" s="189">
        <v>195</v>
      </c>
      <c r="F160" s="190">
        <f t="shared" si="4"/>
        <v>7.7024819108379803E-3</v>
      </c>
      <c r="G160" s="190">
        <f t="shared" si="5"/>
        <v>7.5662537243217963E-3</v>
      </c>
    </row>
    <row r="161" spans="1:7" x14ac:dyDescent="0.35">
      <c r="A161" s="189" t="s">
        <v>540</v>
      </c>
      <c r="B161" s="188" t="s">
        <v>90</v>
      </c>
      <c r="C161" s="189">
        <v>317.00000000000017</v>
      </c>
      <c r="D161" s="189">
        <v>308.00000000000006</v>
      </c>
      <c r="E161" s="189">
        <v>254.00000000000028</v>
      </c>
      <c r="F161" s="190">
        <f t="shared" si="4"/>
        <v>1.23317513420992E-2</v>
      </c>
      <c r="G161" s="190">
        <f t="shared" si="5"/>
        <v>1.1016151795515152E-2</v>
      </c>
    </row>
    <row r="162" spans="1:7" x14ac:dyDescent="0.35">
      <c r="A162" s="189" t="s">
        <v>541</v>
      </c>
      <c r="B162" s="188" t="s">
        <v>119</v>
      </c>
      <c r="C162" s="189">
        <v>66.000000000000014</v>
      </c>
      <c r="D162" s="189">
        <v>61.999999999999986</v>
      </c>
      <c r="E162" s="189">
        <v>107.00000000000004</v>
      </c>
      <c r="F162" s="190">
        <f t="shared" si="4"/>
        <v>2.5674939702793275E-3</v>
      </c>
      <c r="G162" s="190">
        <f t="shared" si="5"/>
        <v>3.3126862160890746E-3</v>
      </c>
    </row>
    <row r="163" spans="1:7" x14ac:dyDescent="0.35">
      <c r="A163" s="189" t="s">
        <v>542</v>
      </c>
      <c r="B163" s="188" t="s">
        <v>120</v>
      </c>
      <c r="C163" s="189">
        <v>163.99999999999997</v>
      </c>
      <c r="D163" s="189">
        <v>160.99999999999994</v>
      </c>
      <c r="E163" s="189">
        <v>236.00000000000003</v>
      </c>
      <c r="F163" s="190">
        <f t="shared" si="4"/>
        <v>6.3798335019062055E-3</v>
      </c>
      <c r="G163" s="190">
        <f t="shared" si="5"/>
        <v>7.7818723537713746E-3</v>
      </c>
    </row>
    <row r="164" spans="1:7" x14ac:dyDescent="0.35">
      <c r="A164" s="189" t="s">
        <v>543</v>
      </c>
      <c r="B164" s="188" t="s">
        <v>270</v>
      </c>
      <c r="C164" s="189">
        <v>1072.0000000000011</v>
      </c>
      <c r="D164" s="189">
        <v>1057.9999999999995</v>
      </c>
      <c r="E164" s="189">
        <v>353.00000000000028</v>
      </c>
      <c r="F164" s="190">
        <f t="shared" si="4"/>
        <v>4.1702326305143055E-2</v>
      </c>
      <c r="G164" s="190">
        <f t="shared" si="5"/>
        <v>2.7657989650305814E-2</v>
      </c>
    </row>
    <row r="165" spans="1:7" x14ac:dyDescent="0.35">
      <c r="A165" s="189" t="s">
        <v>544</v>
      </c>
      <c r="B165" s="188" t="s">
        <v>131</v>
      </c>
      <c r="C165" s="189">
        <v>20.999999999999996</v>
      </c>
      <c r="D165" s="189">
        <v>18.999999999999996</v>
      </c>
      <c r="E165" s="189">
        <v>23</v>
      </c>
      <c r="F165" s="190">
        <f t="shared" si="4"/>
        <v>8.1692989963433121E-4</v>
      </c>
      <c r="G165" s="190">
        <f t="shared" si="5"/>
        <v>8.2327113062568701E-4</v>
      </c>
    </row>
    <row r="166" spans="1:7" x14ac:dyDescent="0.35">
      <c r="A166" s="189" t="s">
        <v>545</v>
      </c>
      <c r="B166" s="188" t="s">
        <v>143</v>
      </c>
      <c r="C166" s="189">
        <v>57</v>
      </c>
      <c r="D166" s="189">
        <v>56.000000000000007</v>
      </c>
      <c r="E166" s="189">
        <v>23.000000000000014</v>
      </c>
      <c r="F166" s="190">
        <f t="shared" si="4"/>
        <v>2.217381156150328E-3</v>
      </c>
      <c r="G166" s="190">
        <f t="shared" si="5"/>
        <v>1.5485337933197451E-3</v>
      </c>
    </row>
    <row r="167" spans="1:7" x14ac:dyDescent="0.35">
      <c r="A167" s="189" t="s">
        <v>546</v>
      </c>
      <c r="B167" s="188" t="s">
        <v>145</v>
      </c>
      <c r="C167" s="189">
        <v>30.000000000000004</v>
      </c>
      <c r="D167" s="189">
        <v>30.000000000000004</v>
      </c>
      <c r="E167" s="189">
        <v>17.000000000000004</v>
      </c>
      <c r="F167" s="190">
        <f t="shared" si="4"/>
        <v>1.1670427137633306E-3</v>
      </c>
      <c r="G167" s="190">
        <f t="shared" si="5"/>
        <v>9.2127959855731656E-4</v>
      </c>
    </row>
    <row r="168" spans="1:7" x14ac:dyDescent="0.35">
      <c r="A168" s="189" t="s">
        <v>547</v>
      </c>
      <c r="B168" s="188" t="s">
        <v>284</v>
      </c>
      <c r="C168" s="189">
        <v>40.999999999999993</v>
      </c>
      <c r="D168" s="189">
        <v>40.999999999999993</v>
      </c>
      <c r="E168" s="189">
        <v>23</v>
      </c>
      <c r="F168" s="190">
        <f t="shared" si="4"/>
        <v>1.5949583754765514E-3</v>
      </c>
      <c r="G168" s="190">
        <f t="shared" si="5"/>
        <v>1.2545083895248563E-3</v>
      </c>
    </row>
    <row r="169" spans="1:7" x14ac:dyDescent="0.35">
      <c r="A169" s="189" t="s">
        <v>548</v>
      </c>
      <c r="B169" s="188" t="s">
        <v>150</v>
      </c>
      <c r="C169" s="189">
        <v>24.000000000000004</v>
      </c>
      <c r="D169" s="189">
        <v>22.999999999999993</v>
      </c>
      <c r="E169" s="189">
        <v>44</v>
      </c>
      <c r="F169" s="190">
        <f t="shared" si="4"/>
        <v>9.3363417101066453E-4</v>
      </c>
      <c r="G169" s="190">
        <f t="shared" si="5"/>
        <v>1.313313470283834E-3</v>
      </c>
    </row>
    <row r="170" spans="1:7" x14ac:dyDescent="0.35">
      <c r="A170" s="189" t="s">
        <v>549</v>
      </c>
      <c r="B170" s="188" t="s">
        <v>166</v>
      </c>
      <c r="C170" s="189">
        <v>68</v>
      </c>
      <c r="D170" s="189">
        <v>65</v>
      </c>
      <c r="E170" s="189">
        <v>83.000000000000043</v>
      </c>
      <c r="F170" s="190">
        <f t="shared" si="4"/>
        <v>2.6452968178635491E-3</v>
      </c>
      <c r="G170" s="190">
        <f t="shared" si="5"/>
        <v>2.9010506507762316E-3</v>
      </c>
    </row>
    <row r="171" spans="1:7" x14ac:dyDescent="0.35">
      <c r="A171" s="189" t="s">
        <v>550</v>
      </c>
      <c r="B171" s="188" t="s">
        <v>169</v>
      </c>
      <c r="C171" s="189">
        <v>39</v>
      </c>
      <c r="D171" s="189">
        <v>37.999999999999993</v>
      </c>
      <c r="E171" s="189">
        <v>19.000000000000004</v>
      </c>
      <c r="F171" s="190">
        <f t="shared" si="4"/>
        <v>1.5171555278923297E-3</v>
      </c>
      <c r="G171" s="190">
        <f t="shared" si="5"/>
        <v>1.1172965344205751E-3</v>
      </c>
    </row>
    <row r="172" spans="1:7" x14ac:dyDescent="0.35">
      <c r="A172" s="189" t="s">
        <v>551</v>
      </c>
      <c r="B172" s="188" t="s">
        <v>179</v>
      </c>
      <c r="C172" s="189">
        <v>262.00000000000017</v>
      </c>
      <c r="D172" s="189">
        <v>244</v>
      </c>
      <c r="E172" s="189">
        <v>261.99999999999977</v>
      </c>
      <c r="F172" s="190">
        <f t="shared" si="4"/>
        <v>1.0192173033533094E-2</v>
      </c>
      <c r="G172" s="190">
        <f t="shared" si="5"/>
        <v>9.9184569546808907E-3</v>
      </c>
    </row>
    <row r="173" spans="1:7" x14ac:dyDescent="0.35">
      <c r="A173" s="189" t="s">
        <v>552</v>
      </c>
      <c r="B173" s="188" t="s">
        <v>180</v>
      </c>
      <c r="C173" s="189">
        <v>25</v>
      </c>
      <c r="D173" s="189">
        <v>25</v>
      </c>
      <c r="E173" s="189">
        <v>50.999999999999993</v>
      </c>
      <c r="F173" s="190">
        <f t="shared" si="4"/>
        <v>9.7253559480277546E-4</v>
      </c>
      <c r="G173" s="190">
        <f t="shared" si="5"/>
        <v>1.489728712560767E-3</v>
      </c>
    </row>
    <row r="174" spans="1:7" x14ac:dyDescent="0.35">
      <c r="A174" s="189" t="s">
        <v>553</v>
      </c>
      <c r="B174" s="188" t="s">
        <v>186</v>
      </c>
      <c r="C174" s="189">
        <v>21.999999999999996</v>
      </c>
      <c r="D174" s="189">
        <v>21.999999999999996</v>
      </c>
      <c r="E174" s="189">
        <v>28</v>
      </c>
      <c r="F174" s="190">
        <f t="shared" si="4"/>
        <v>8.5583132342644224E-4</v>
      </c>
      <c r="G174" s="190">
        <f t="shared" si="5"/>
        <v>9.8008467931629396E-4</v>
      </c>
    </row>
    <row r="175" spans="1:7" x14ac:dyDescent="0.35">
      <c r="A175" s="189" t="s">
        <v>554</v>
      </c>
      <c r="B175" s="188" t="s">
        <v>194</v>
      </c>
      <c r="C175" s="189">
        <v>39</v>
      </c>
      <c r="D175" s="189">
        <v>37</v>
      </c>
      <c r="E175" s="189">
        <v>53.999999999999993</v>
      </c>
      <c r="F175" s="190">
        <f t="shared" si="4"/>
        <v>1.5171555278923297E-3</v>
      </c>
      <c r="G175" s="190">
        <f t="shared" si="5"/>
        <v>1.7837541163556552E-3</v>
      </c>
    </row>
    <row r="176" spans="1:7" x14ac:dyDescent="0.35">
      <c r="A176" s="189" t="s">
        <v>555</v>
      </c>
      <c r="B176" s="188" t="s">
        <v>213</v>
      </c>
      <c r="C176" s="189">
        <v>26</v>
      </c>
      <c r="D176" s="189">
        <v>26</v>
      </c>
      <c r="E176" s="189">
        <v>21</v>
      </c>
      <c r="F176" s="190">
        <f t="shared" si="4"/>
        <v>1.0114370185948865E-3</v>
      </c>
      <c r="G176" s="190">
        <f t="shared" si="5"/>
        <v>9.2127959855731645E-4</v>
      </c>
    </row>
    <row r="177" spans="1:7" x14ac:dyDescent="0.35">
      <c r="A177" s="189" t="s">
        <v>556</v>
      </c>
      <c r="B177" s="188" t="s">
        <v>221</v>
      </c>
      <c r="C177" s="189">
        <v>42</v>
      </c>
      <c r="D177" s="189">
        <v>39.999999999999986</v>
      </c>
      <c r="E177" s="189">
        <v>42.000000000000014</v>
      </c>
      <c r="F177" s="190">
        <f t="shared" si="4"/>
        <v>1.6338597992686626E-3</v>
      </c>
      <c r="G177" s="190">
        <f t="shared" si="5"/>
        <v>1.6073388740787222E-3</v>
      </c>
    </row>
    <row r="178" spans="1:7" x14ac:dyDescent="0.35">
      <c r="A178" s="189" t="s">
        <v>557</v>
      </c>
      <c r="B178" s="188" t="s">
        <v>224</v>
      </c>
      <c r="C178" s="189">
        <v>18</v>
      </c>
      <c r="D178" s="189">
        <v>17</v>
      </c>
      <c r="E178" s="189">
        <v>17</v>
      </c>
      <c r="F178" s="190">
        <f t="shared" si="4"/>
        <v>7.0022562825799832E-4</v>
      </c>
      <c r="G178" s="190">
        <f t="shared" si="5"/>
        <v>6.6645758193507995E-4</v>
      </c>
    </row>
    <row r="179" spans="1:7" x14ac:dyDescent="0.35">
      <c r="A179" s="189" t="s">
        <v>558</v>
      </c>
      <c r="B179" s="188" t="s">
        <v>241</v>
      </c>
      <c r="C179" s="189">
        <v>4</v>
      </c>
      <c r="D179" s="189">
        <v>4</v>
      </c>
      <c r="E179" s="189">
        <v>2</v>
      </c>
      <c r="F179" s="190">
        <f t="shared" si="4"/>
        <v>1.5560569516844406E-4</v>
      </c>
      <c r="G179" s="190">
        <f t="shared" si="5"/>
        <v>1.1761016151795528E-4</v>
      </c>
    </row>
    <row r="180" spans="1:7" x14ac:dyDescent="0.35">
      <c r="A180" s="189" t="s">
        <v>559</v>
      </c>
      <c r="B180" s="188" t="s">
        <v>243</v>
      </c>
      <c r="C180" s="189">
        <v>36.999999999999986</v>
      </c>
      <c r="D180" s="189">
        <v>36.999999999999986</v>
      </c>
      <c r="E180" s="189">
        <v>31.000000000000007</v>
      </c>
      <c r="F180" s="190">
        <f t="shared" si="4"/>
        <v>1.439352680308107E-3</v>
      </c>
      <c r="G180" s="190">
        <f t="shared" si="5"/>
        <v>1.3329151638701599E-3</v>
      </c>
    </row>
    <row r="181" spans="1:7" x14ac:dyDescent="0.35">
      <c r="A181" s="189" t="s">
        <v>560</v>
      </c>
      <c r="B181" s="188" t="s">
        <v>256</v>
      </c>
      <c r="C181" s="189">
        <v>66</v>
      </c>
      <c r="D181" s="189">
        <v>65.000000000000014</v>
      </c>
      <c r="E181" s="189">
        <v>22.000000000000007</v>
      </c>
      <c r="F181" s="190">
        <f t="shared" si="4"/>
        <v>2.5674939702793271E-3</v>
      </c>
      <c r="G181" s="190">
        <f t="shared" si="5"/>
        <v>1.7053473420103522E-3</v>
      </c>
    </row>
    <row r="182" spans="1:7" x14ac:dyDescent="0.35">
      <c r="A182" s="189" t="s">
        <v>561</v>
      </c>
      <c r="B182" s="188" t="s">
        <v>262</v>
      </c>
      <c r="C182" s="189">
        <v>1251.9999999999975</v>
      </c>
      <c r="D182" s="189">
        <v>1230.000000000002</v>
      </c>
      <c r="E182" s="189">
        <v>674.00000000000045</v>
      </c>
      <c r="F182" s="190">
        <f t="shared" si="4"/>
        <v>4.8704582587722894E-2</v>
      </c>
      <c r="G182" s="190">
        <f t="shared" si="5"/>
        <v>3.7321624588364528E-2</v>
      </c>
    </row>
    <row r="183" spans="1:7" x14ac:dyDescent="0.35">
      <c r="A183" s="189" t="s">
        <v>562</v>
      </c>
      <c r="B183" s="188" t="s">
        <v>258</v>
      </c>
      <c r="C183" s="189">
        <v>101.99999999999993</v>
      </c>
      <c r="D183" s="189">
        <v>99.999999999999957</v>
      </c>
      <c r="E183" s="189">
        <v>42</v>
      </c>
      <c r="F183" s="190">
        <f t="shared" si="4"/>
        <v>3.9679452267953209E-3</v>
      </c>
      <c r="G183" s="190">
        <f t="shared" si="5"/>
        <v>2.783440489258274E-3</v>
      </c>
    </row>
    <row r="184" spans="1:7" x14ac:dyDescent="0.35">
      <c r="A184" s="189" t="s">
        <v>563</v>
      </c>
      <c r="B184" s="188" t="s">
        <v>267</v>
      </c>
      <c r="C184" s="189">
        <v>130.99999999999991</v>
      </c>
      <c r="D184" s="189">
        <v>129.99999999999997</v>
      </c>
      <c r="E184" s="189">
        <v>96</v>
      </c>
      <c r="F184" s="190">
        <f t="shared" si="4"/>
        <v>5.0960865167665398E-3</v>
      </c>
      <c r="G184" s="190">
        <f t="shared" si="5"/>
        <v>4.4299827505096482E-3</v>
      </c>
    </row>
    <row r="185" spans="1:7" x14ac:dyDescent="0.35">
      <c r="A185" s="189" t="s">
        <v>564</v>
      </c>
      <c r="B185" s="188" t="s">
        <v>276</v>
      </c>
      <c r="C185" s="189">
        <v>25</v>
      </c>
      <c r="D185" s="189">
        <v>25</v>
      </c>
      <c r="E185" s="189">
        <v>32.000000000000007</v>
      </c>
      <c r="F185" s="190">
        <f t="shared" si="4"/>
        <v>9.7253559480277546E-4</v>
      </c>
      <c r="G185" s="190">
        <f t="shared" si="5"/>
        <v>1.1172965344205753E-3</v>
      </c>
    </row>
    <row r="186" spans="1:7" x14ac:dyDescent="0.35">
      <c r="A186" s="189" t="s">
        <v>565</v>
      </c>
      <c r="B186" s="188" t="s">
        <v>16</v>
      </c>
      <c r="C186" s="189">
        <v>58</v>
      </c>
      <c r="D186" s="189">
        <v>56.999999999999972</v>
      </c>
      <c r="E186" s="189">
        <v>30.999999999999996</v>
      </c>
      <c r="F186" s="190">
        <f t="shared" si="4"/>
        <v>2.2562825799424388E-3</v>
      </c>
      <c r="G186" s="190">
        <f t="shared" si="5"/>
        <v>1.724949035596677E-3</v>
      </c>
    </row>
    <row r="187" spans="1:7" x14ac:dyDescent="0.35">
      <c r="A187" s="189" t="s">
        <v>566</v>
      </c>
      <c r="B187" s="188" t="s">
        <v>342</v>
      </c>
      <c r="C187" s="189">
        <v>10</v>
      </c>
      <c r="D187" s="189">
        <v>10</v>
      </c>
      <c r="E187" s="189">
        <v>9</v>
      </c>
      <c r="F187" s="190">
        <f t="shared" si="4"/>
        <v>3.8901423792111019E-4</v>
      </c>
      <c r="G187" s="190">
        <f t="shared" si="5"/>
        <v>3.7243217814019174E-4</v>
      </c>
    </row>
    <row r="188" spans="1:7" x14ac:dyDescent="0.35">
      <c r="A188" s="189" t="s">
        <v>567</v>
      </c>
      <c r="B188" s="188" t="s">
        <v>318</v>
      </c>
      <c r="C188" s="189">
        <v>126.99999999999999</v>
      </c>
      <c r="D188" s="189">
        <v>119.99999999999991</v>
      </c>
      <c r="E188" s="189">
        <v>90.999999999999972</v>
      </c>
      <c r="F188" s="190">
        <f t="shared" si="4"/>
        <v>4.9404808215980983E-3</v>
      </c>
      <c r="G188" s="190">
        <f t="shared" si="5"/>
        <v>4.1359573467147585E-3</v>
      </c>
    </row>
    <row r="189" spans="1:7" x14ac:dyDescent="0.35">
      <c r="A189" s="189" t="s">
        <v>568</v>
      </c>
      <c r="B189" s="188" t="s">
        <v>322</v>
      </c>
      <c r="C189" s="189">
        <v>27.999999999999989</v>
      </c>
      <c r="D189" s="189">
        <v>27.999999999999989</v>
      </c>
      <c r="E189" s="189">
        <v>16.999999999999996</v>
      </c>
      <c r="F189" s="190">
        <f t="shared" si="4"/>
        <v>1.0892398661791081E-3</v>
      </c>
      <c r="G189" s="190">
        <f t="shared" si="5"/>
        <v>8.8207621138466441E-4</v>
      </c>
    </row>
    <row r="190" spans="1:7" x14ac:dyDescent="0.35">
      <c r="A190" s="189" t="s">
        <v>569</v>
      </c>
      <c r="B190" s="188" t="s">
        <v>328</v>
      </c>
      <c r="C190" s="189">
        <v>43.000000000000014</v>
      </c>
      <c r="D190" s="189">
        <v>39.000000000000014</v>
      </c>
      <c r="E190" s="189">
        <v>62</v>
      </c>
      <c r="F190" s="190">
        <f t="shared" si="4"/>
        <v>1.6727612230607743E-3</v>
      </c>
      <c r="G190" s="190">
        <f t="shared" si="5"/>
        <v>1.9797710522189141E-3</v>
      </c>
    </row>
    <row r="191" spans="1:7" x14ac:dyDescent="0.35">
      <c r="A191" s="189" t="s">
        <v>570</v>
      </c>
      <c r="B191" s="188" t="s">
        <v>330</v>
      </c>
      <c r="C191" s="189">
        <v>14</v>
      </c>
      <c r="D191" s="189">
        <v>14</v>
      </c>
      <c r="E191" s="189">
        <v>17</v>
      </c>
      <c r="F191" s="190">
        <f t="shared" si="4"/>
        <v>5.4461993308955428E-4</v>
      </c>
      <c r="G191" s="190">
        <f t="shared" si="5"/>
        <v>6.0765250117610233E-4</v>
      </c>
    </row>
    <row r="192" spans="1:7" x14ac:dyDescent="0.35">
      <c r="A192" s="189" t="s">
        <v>571</v>
      </c>
      <c r="B192" s="188" t="s">
        <v>349</v>
      </c>
      <c r="C192" s="189">
        <v>44.999999999999986</v>
      </c>
      <c r="D192" s="189">
        <v>43.999999999999986</v>
      </c>
      <c r="E192" s="189">
        <v>46.999999999999986</v>
      </c>
      <c r="F192" s="190">
        <f t="shared" si="4"/>
        <v>1.7505640706449953E-3</v>
      </c>
      <c r="G192" s="190">
        <f t="shared" si="5"/>
        <v>1.7837541163556545E-3</v>
      </c>
    </row>
    <row r="193" spans="1:7" x14ac:dyDescent="0.35">
      <c r="A193" s="189" t="s">
        <v>572</v>
      </c>
      <c r="B193" s="188" t="s">
        <v>358</v>
      </c>
      <c r="C193" s="189">
        <v>271.99999999999989</v>
      </c>
      <c r="D193" s="189">
        <v>271.99999999999989</v>
      </c>
      <c r="E193" s="189">
        <v>79.999999999999943</v>
      </c>
      <c r="F193" s="190">
        <f t="shared" si="4"/>
        <v>1.0581187271454193E-2</v>
      </c>
      <c r="G193" s="190">
        <f t="shared" si="5"/>
        <v>6.8997961423867072E-3</v>
      </c>
    </row>
    <row r="194" spans="1:7" x14ac:dyDescent="0.35">
      <c r="A194" s="189" t="s">
        <v>573</v>
      </c>
      <c r="B194" s="188" t="s">
        <v>359</v>
      </c>
      <c r="C194" s="189">
        <v>7</v>
      </c>
      <c r="D194" s="189">
        <v>6</v>
      </c>
      <c r="E194" s="189">
        <v>5.0000000000000009</v>
      </c>
      <c r="F194" s="190">
        <f t="shared" si="4"/>
        <v>2.7230996654477714E-4</v>
      </c>
      <c r="G194" s="190">
        <f t="shared" si="5"/>
        <v>2.1561862944958468E-4</v>
      </c>
    </row>
    <row r="195" spans="1:7" x14ac:dyDescent="0.35">
      <c r="A195" s="189" t="s">
        <v>574</v>
      </c>
      <c r="B195" s="188" t="s">
        <v>364</v>
      </c>
      <c r="C195" s="189">
        <v>66.000000000000043</v>
      </c>
      <c r="D195" s="189">
        <v>64.999999999999986</v>
      </c>
      <c r="E195" s="189">
        <v>54.999999999999972</v>
      </c>
      <c r="F195" s="190">
        <f t="shared" si="4"/>
        <v>2.5674939702793288E-3</v>
      </c>
      <c r="G195" s="190">
        <f t="shared" si="5"/>
        <v>2.3522032303591048E-3</v>
      </c>
    </row>
    <row r="196" spans="1:7" x14ac:dyDescent="0.35">
      <c r="A196" s="189" t="s">
        <v>575</v>
      </c>
      <c r="B196" s="188" t="s">
        <v>57</v>
      </c>
      <c r="C196" s="189">
        <v>15.999999999999998</v>
      </c>
      <c r="D196" s="189">
        <v>14.000000000000002</v>
      </c>
      <c r="E196" s="189">
        <v>26.999999999999993</v>
      </c>
      <c r="F196" s="190">
        <f t="shared" si="4"/>
        <v>6.2242278067377625E-4</v>
      </c>
      <c r="G196" s="190">
        <f t="shared" si="5"/>
        <v>8.0366943703936099E-4</v>
      </c>
    </row>
    <row r="197" spans="1:7" x14ac:dyDescent="0.35">
      <c r="A197" s="189" t="s">
        <v>576</v>
      </c>
      <c r="B197" s="188" t="s">
        <v>116</v>
      </c>
      <c r="C197" s="189">
        <v>51</v>
      </c>
      <c r="D197" s="189">
        <v>49</v>
      </c>
      <c r="E197" s="189">
        <v>76.999999999999986</v>
      </c>
      <c r="F197" s="190">
        <f t="shared" si="4"/>
        <v>1.9839726133976617E-3</v>
      </c>
      <c r="G197" s="190">
        <f t="shared" si="5"/>
        <v>2.4698133918770607E-3</v>
      </c>
    </row>
    <row r="198" spans="1:7" x14ac:dyDescent="0.35">
      <c r="A198" s="189" t="s">
        <v>577</v>
      </c>
      <c r="B198" s="188" t="s">
        <v>335</v>
      </c>
      <c r="C198" s="189">
        <v>9.0000000000000018</v>
      </c>
      <c r="D198" s="189">
        <v>9.0000000000000018</v>
      </c>
      <c r="E198" s="189">
        <v>20.000000000000004</v>
      </c>
      <c r="F198" s="190">
        <f t="shared" si="4"/>
        <v>3.5011281412899921E-4</v>
      </c>
      <c r="G198" s="190">
        <f t="shared" si="5"/>
        <v>5.6844911400345073E-4</v>
      </c>
    </row>
    <row r="199" spans="1:7" x14ac:dyDescent="0.35">
      <c r="A199" s="189" t="s">
        <v>578</v>
      </c>
      <c r="B199" s="188" t="s">
        <v>161</v>
      </c>
      <c r="C199" s="189">
        <v>17</v>
      </c>
      <c r="D199" s="189">
        <v>17</v>
      </c>
      <c r="E199" s="189">
        <v>67</v>
      </c>
      <c r="F199" s="190">
        <f t="shared" si="4"/>
        <v>6.6132420446588728E-4</v>
      </c>
      <c r="G199" s="190">
        <f t="shared" si="5"/>
        <v>1.646542261251374E-3</v>
      </c>
    </row>
    <row r="200" spans="1:7" x14ac:dyDescent="0.35">
      <c r="A200" s="189" t="s">
        <v>579</v>
      </c>
      <c r="B200" s="188" t="s">
        <v>165</v>
      </c>
      <c r="C200" s="189">
        <v>9.0000000000000018</v>
      </c>
      <c r="D200" s="189">
        <v>9.0000000000000018</v>
      </c>
      <c r="E200" s="189">
        <v>18.999999999999993</v>
      </c>
      <c r="F200" s="190">
        <f t="shared" si="4"/>
        <v>3.5011281412899921E-4</v>
      </c>
      <c r="G200" s="190">
        <f t="shared" si="5"/>
        <v>5.4884742041712449E-4</v>
      </c>
    </row>
    <row r="201" spans="1:7" x14ac:dyDescent="0.35">
      <c r="A201" s="189" t="s">
        <v>580</v>
      </c>
      <c r="B201" s="188" t="s">
        <v>200</v>
      </c>
      <c r="C201" s="189">
        <v>51.999999999999986</v>
      </c>
      <c r="D201" s="189">
        <v>49.000000000000007</v>
      </c>
      <c r="E201" s="189">
        <v>55.999999999999993</v>
      </c>
      <c r="F201" s="190">
        <f t="shared" si="4"/>
        <v>2.0228740371897721E-3</v>
      </c>
      <c r="G201" s="190">
        <f t="shared" si="5"/>
        <v>2.0581778265642177E-3</v>
      </c>
    </row>
    <row r="202" spans="1:7" x14ac:dyDescent="0.35">
      <c r="A202" s="189" t="s">
        <v>581</v>
      </c>
      <c r="B202" s="188" t="s">
        <v>250</v>
      </c>
      <c r="C202" s="189">
        <v>13</v>
      </c>
      <c r="D202" s="189">
        <v>10.000000000000002</v>
      </c>
      <c r="E202" s="189">
        <v>36</v>
      </c>
      <c r="F202" s="190">
        <f t="shared" ref="F202:F265" si="6">+C202/(C$5-C$8)*100%</f>
        <v>5.0571850929744325E-4</v>
      </c>
      <c r="G202" s="190">
        <f t="shared" ref="G202:G265" si="7">(+D202+E202)/(D$5-D$8+E$5-E$8)*100%</f>
        <v>9.0167790497099054E-4</v>
      </c>
    </row>
    <row r="203" spans="1:7" x14ac:dyDescent="0.35">
      <c r="A203" s="189" t="s">
        <v>582</v>
      </c>
      <c r="B203" s="188" t="s">
        <v>290</v>
      </c>
      <c r="C203" s="189">
        <v>42.000000000000021</v>
      </c>
      <c r="D203" s="189">
        <v>42.000000000000021</v>
      </c>
      <c r="E203" s="189">
        <v>250</v>
      </c>
      <c r="F203" s="190">
        <f t="shared" si="6"/>
        <v>1.6338597992686635E-3</v>
      </c>
      <c r="G203" s="190">
        <f t="shared" si="7"/>
        <v>5.7236945272071569E-3</v>
      </c>
    </row>
    <row r="204" spans="1:7" x14ac:dyDescent="0.35">
      <c r="A204" s="189" t="s">
        <v>583</v>
      </c>
      <c r="B204" s="188" t="s">
        <v>294</v>
      </c>
      <c r="C204" s="189">
        <v>20.999999999999996</v>
      </c>
      <c r="D204" s="189">
        <v>20.999999999999996</v>
      </c>
      <c r="E204" s="189">
        <v>36</v>
      </c>
      <c r="F204" s="190">
        <f t="shared" si="6"/>
        <v>8.1692989963433121E-4</v>
      </c>
      <c r="G204" s="190">
        <f t="shared" si="7"/>
        <v>1.1172965344205751E-3</v>
      </c>
    </row>
    <row r="205" spans="1:7" x14ac:dyDescent="0.35">
      <c r="A205" s="189" t="s">
        <v>584</v>
      </c>
      <c r="B205" s="188" t="s">
        <v>312</v>
      </c>
      <c r="C205" s="189">
        <v>10</v>
      </c>
      <c r="D205" s="189">
        <v>10</v>
      </c>
      <c r="E205" s="189">
        <v>9</v>
      </c>
      <c r="F205" s="190">
        <f t="shared" si="6"/>
        <v>3.8901423792111019E-4</v>
      </c>
      <c r="G205" s="190">
        <f t="shared" si="7"/>
        <v>3.7243217814019174E-4</v>
      </c>
    </row>
    <row r="206" spans="1:7" x14ac:dyDescent="0.35">
      <c r="A206" s="189" t="s">
        <v>585</v>
      </c>
      <c r="B206" s="188" t="s">
        <v>320</v>
      </c>
      <c r="C206" s="189">
        <v>40</v>
      </c>
      <c r="D206" s="189">
        <v>38</v>
      </c>
      <c r="E206" s="189">
        <v>82.999999999999957</v>
      </c>
      <c r="F206" s="190">
        <f t="shared" si="6"/>
        <v>1.5560569516844408E-3</v>
      </c>
      <c r="G206" s="190">
        <f t="shared" si="7"/>
        <v>2.3718049239454309E-3</v>
      </c>
    </row>
    <row r="207" spans="1:7" x14ac:dyDescent="0.35">
      <c r="A207" s="189" t="s">
        <v>586</v>
      </c>
      <c r="B207" s="188" t="s">
        <v>78</v>
      </c>
      <c r="C207" s="189">
        <v>37.999999999999986</v>
      </c>
      <c r="D207" s="189">
        <v>37.999999999999986</v>
      </c>
      <c r="E207" s="189">
        <v>21</v>
      </c>
      <c r="F207" s="190">
        <f t="shared" si="6"/>
        <v>1.4782541041002181E-3</v>
      </c>
      <c r="G207" s="190">
        <f t="shared" si="7"/>
        <v>1.1564999215932267E-3</v>
      </c>
    </row>
    <row r="208" spans="1:7" x14ac:dyDescent="0.35">
      <c r="A208" s="189" t="s">
        <v>587</v>
      </c>
      <c r="B208" s="188" t="s">
        <v>300</v>
      </c>
      <c r="C208" s="189">
        <v>36</v>
      </c>
      <c r="D208" s="189">
        <v>34.999999999999986</v>
      </c>
      <c r="E208" s="189">
        <v>22.000000000000004</v>
      </c>
      <c r="F208" s="190">
        <f t="shared" si="6"/>
        <v>1.4004512565159966E-3</v>
      </c>
      <c r="G208" s="190">
        <f t="shared" si="7"/>
        <v>1.1172965344205749E-3</v>
      </c>
    </row>
    <row r="209" spans="1:7" x14ac:dyDescent="0.35">
      <c r="A209" s="189" t="s">
        <v>588</v>
      </c>
      <c r="B209" s="188" t="s">
        <v>31</v>
      </c>
      <c r="C209" s="189">
        <v>6.0000000000000009</v>
      </c>
      <c r="D209" s="189">
        <v>4.0000000000000018</v>
      </c>
      <c r="E209" s="189">
        <v>31.999999999999996</v>
      </c>
      <c r="F209" s="190">
        <f t="shared" si="6"/>
        <v>2.3340854275266613E-4</v>
      </c>
      <c r="G209" s="190">
        <f t="shared" si="7"/>
        <v>7.0566096910773166E-4</v>
      </c>
    </row>
    <row r="210" spans="1:7" x14ac:dyDescent="0.35">
      <c r="A210" s="189" t="s">
        <v>589</v>
      </c>
      <c r="B210" s="188" t="s">
        <v>32</v>
      </c>
      <c r="C210" s="189">
        <v>5</v>
      </c>
      <c r="D210" s="189">
        <v>5</v>
      </c>
      <c r="E210" s="189">
        <v>5</v>
      </c>
      <c r="F210" s="190">
        <f t="shared" si="6"/>
        <v>1.945071189605551E-4</v>
      </c>
      <c r="G210" s="190">
        <f t="shared" si="7"/>
        <v>1.960169358632588E-4</v>
      </c>
    </row>
    <row r="211" spans="1:7" x14ac:dyDescent="0.35">
      <c r="A211" s="189" t="s">
        <v>590</v>
      </c>
      <c r="B211" s="188" t="s">
        <v>44</v>
      </c>
      <c r="C211" s="189">
        <v>110</v>
      </c>
      <c r="D211" s="189">
        <v>102.99999999999996</v>
      </c>
      <c r="E211" s="189">
        <v>124.00000000000006</v>
      </c>
      <c r="F211" s="190">
        <f t="shared" si="6"/>
        <v>4.2791566171322118E-3</v>
      </c>
      <c r="G211" s="190">
        <f t="shared" si="7"/>
        <v>4.4495844440959748E-3</v>
      </c>
    </row>
    <row r="212" spans="1:7" x14ac:dyDescent="0.35">
      <c r="A212" s="189" t="s">
        <v>591</v>
      </c>
      <c r="B212" s="188" t="s">
        <v>47</v>
      </c>
      <c r="C212" s="189">
        <v>27.999999999999996</v>
      </c>
      <c r="D212" s="189">
        <v>24.000000000000007</v>
      </c>
      <c r="E212" s="189">
        <v>53.999999999999993</v>
      </c>
      <c r="F212" s="190">
        <f t="shared" si="6"/>
        <v>1.0892398661791083E-3</v>
      </c>
      <c r="G212" s="190">
        <f t="shared" si="7"/>
        <v>1.5289320997334188E-3</v>
      </c>
    </row>
    <row r="213" spans="1:7" x14ac:dyDescent="0.35">
      <c r="A213" s="189" t="s">
        <v>592</v>
      </c>
      <c r="B213" s="188" t="s">
        <v>54</v>
      </c>
      <c r="C213" s="189">
        <v>10</v>
      </c>
      <c r="D213" s="189">
        <v>9.0000000000000018</v>
      </c>
      <c r="E213" s="189">
        <v>33</v>
      </c>
      <c r="F213" s="190">
        <f t="shared" si="6"/>
        <v>3.8901423792111019E-4</v>
      </c>
      <c r="G213" s="190">
        <f t="shared" si="7"/>
        <v>8.2327113062568701E-4</v>
      </c>
    </row>
    <row r="214" spans="1:7" x14ac:dyDescent="0.35">
      <c r="A214" s="189" t="s">
        <v>593</v>
      </c>
      <c r="B214" s="188" t="s">
        <v>58</v>
      </c>
      <c r="C214" s="189">
        <v>33.000000000000007</v>
      </c>
      <c r="D214" s="189">
        <v>29.999999999999986</v>
      </c>
      <c r="E214" s="189">
        <v>101.00000000000003</v>
      </c>
      <c r="F214" s="190">
        <f t="shared" si="6"/>
        <v>1.2837469851396637E-3</v>
      </c>
      <c r="G214" s="190">
        <f t="shared" si="7"/>
        <v>2.5678218598086905E-3</v>
      </c>
    </row>
    <row r="215" spans="1:7" x14ac:dyDescent="0.35">
      <c r="A215" s="189" t="s">
        <v>594</v>
      </c>
      <c r="B215" s="188" t="s">
        <v>59</v>
      </c>
      <c r="C215" s="189">
        <v>61.999999999999986</v>
      </c>
      <c r="D215" s="189">
        <v>54</v>
      </c>
      <c r="E215" s="189">
        <v>179.00000000000006</v>
      </c>
      <c r="F215" s="190">
        <f t="shared" si="6"/>
        <v>2.4118882751108825E-3</v>
      </c>
      <c r="G215" s="190">
        <f t="shared" si="7"/>
        <v>4.5671946056139315E-3</v>
      </c>
    </row>
    <row r="216" spans="1:7" x14ac:dyDescent="0.35">
      <c r="A216" s="189" t="s">
        <v>595</v>
      </c>
      <c r="B216" s="188" t="s">
        <v>60</v>
      </c>
      <c r="C216" s="189">
        <v>226.00000000000014</v>
      </c>
      <c r="D216" s="189">
        <v>218.99999999999991</v>
      </c>
      <c r="E216" s="189">
        <v>318.99999999999937</v>
      </c>
      <c r="F216" s="190">
        <f t="shared" si="6"/>
        <v>8.7917217770170954E-3</v>
      </c>
      <c r="G216" s="190">
        <f t="shared" si="7"/>
        <v>1.0545711149443311E-2</v>
      </c>
    </row>
    <row r="217" spans="1:7" x14ac:dyDescent="0.35">
      <c r="A217" s="189" t="s">
        <v>596</v>
      </c>
      <c r="B217" s="188" t="s">
        <v>83</v>
      </c>
      <c r="C217" s="189">
        <v>29.000000000000004</v>
      </c>
      <c r="D217" s="189">
        <v>29.000000000000004</v>
      </c>
      <c r="E217" s="189">
        <v>87.000000000000028</v>
      </c>
      <c r="F217" s="190">
        <f t="shared" si="6"/>
        <v>1.1281412899712196E-3</v>
      </c>
      <c r="G217" s="190">
        <f t="shared" si="7"/>
        <v>2.2737964560138029E-3</v>
      </c>
    </row>
    <row r="218" spans="1:7" x14ac:dyDescent="0.35">
      <c r="A218" s="189" t="s">
        <v>597</v>
      </c>
      <c r="B218" s="188" t="s">
        <v>245</v>
      </c>
      <c r="C218" s="189">
        <v>39.000000000000007</v>
      </c>
      <c r="D218" s="189">
        <v>39.000000000000007</v>
      </c>
      <c r="E218" s="189">
        <v>25.000000000000007</v>
      </c>
      <c r="F218" s="190">
        <f t="shared" si="6"/>
        <v>1.51715552789233E-3</v>
      </c>
      <c r="G218" s="190">
        <f t="shared" si="7"/>
        <v>1.2545083895248567E-3</v>
      </c>
    </row>
    <row r="219" spans="1:7" x14ac:dyDescent="0.35">
      <c r="A219" s="189" t="s">
        <v>598</v>
      </c>
      <c r="B219" s="188" t="s">
        <v>89</v>
      </c>
      <c r="C219" s="189">
        <v>10.000000000000002</v>
      </c>
      <c r="D219" s="189">
        <v>10.000000000000002</v>
      </c>
      <c r="E219" s="189">
        <v>33.999999999999993</v>
      </c>
      <c r="F219" s="190">
        <f t="shared" si="6"/>
        <v>3.8901423792111025E-4</v>
      </c>
      <c r="G219" s="190">
        <f t="shared" si="7"/>
        <v>8.6247451779833861E-4</v>
      </c>
    </row>
    <row r="220" spans="1:7" x14ac:dyDescent="0.35">
      <c r="A220" s="189" t="s">
        <v>599</v>
      </c>
      <c r="B220" s="188" t="s">
        <v>100</v>
      </c>
      <c r="C220" s="189">
        <v>13</v>
      </c>
      <c r="D220" s="189">
        <v>11.999999999999998</v>
      </c>
      <c r="E220" s="189">
        <v>40</v>
      </c>
      <c r="F220" s="190">
        <f t="shared" si="6"/>
        <v>5.0571850929744325E-4</v>
      </c>
      <c r="G220" s="190">
        <f t="shared" si="7"/>
        <v>1.0192880664889458E-3</v>
      </c>
    </row>
    <row r="221" spans="1:7" x14ac:dyDescent="0.35">
      <c r="A221" s="189" t="s">
        <v>600</v>
      </c>
      <c r="B221" s="188" t="s">
        <v>102</v>
      </c>
      <c r="C221" s="189">
        <v>233.99999999999972</v>
      </c>
      <c r="D221" s="189">
        <v>214</v>
      </c>
      <c r="E221" s="189">
        <v>702.00000000000011</v>
      </c>
      <c r="F221" s="190">
        <f t="shared" si="6"/>
        <v>9.1029331673539663E-3</v>
      </c>
      <c r="G221" s="190">
        <f t="shared" si="7"/>
        <v>1.7955151325074508E-2</v>
      </c>
    </row>
    <row r="222" spans="1:7" x14ac:dyDescent="0.35">
      <c r="A222" s="189" t="s">
        <v>601</v>
      </c>
      <c r="B222" s="188" t="s">
        <v>109</v>
      </c>
      <c r="C222" s="189">
        <v>49</v>
      </c>
      <c r="D222" s="189">
        <v>47</v>
      </c>
      <c r="E222" s="189">
        <v>58.999999999999986</v>
      </c>
      <c r="F222" s="190">
        <f t="shared" si="6"/>
        <v>1.9061697658134399E-3</v>
      </c>
      <c r="G222" s="190">
        <f t="shared" si="7"/>
        <v>2.0777795201505429E-3</v>
      </c>
    </row>
    <row r="223" spans="1:7" x14ac:dyDescent="0.35">
      <c r="A223" s="189" t="s">
        <v>602</v>
      </c>
      <c r="B223" s="188" t="s">
        <v>110</v>
      </c>
      <c r="C223" s="189">
        <v>15.000000000000004</v>
      </c>
      <c r="D223" s="189">
        <v>15.000000000000004</v>
      </c>
      <c r="E223" s="189">
        <v>59.999999999999993</v>
      </c>
      <c r="F223" s="190">
        <f t="shared" si="6"/>
        <v>5.8352135688166543E-4</v>
      </c>
      <c r="G223" s="190">
        <f t="shared" si="7"/>
        <v>1.4701270189744411E-3</v>
      </c>
    </row>
    <row r="224" spans="1:7" x14ac:dyDescent="0.35">
      <c r="A224" s="189" t="s">
        <v>603</v>
      </c>
      <c r="B224" s="188" t="s">
        <v>114</v>
      </c>
      <c r="C224" s="189">
        <v>13</v>
      </c>
      <c r="D224" s="189">
        <v>12</v>
      </c>
      <c r="E224" s="189">
        <v>32.000000000000007</v>
      </c>
      <c r="F224" s="190">
        <f t="shared" si="6"/>
        <v>5.0571850929744325E-4</v>
      </c>
      <c r="G224" s="190">
        <f t="shared" si="7"/>
        <v>8.6247451779833894E-4</v>
      </c>
    </row>
    <row r="225" spans="1:7" x14ac:dyDescent="0.35">
      <c r="A225" s="189" t="s">
        <v>604</v>
      </c>
      <c r="B225" s="188" t="s">
        <v>117</v>
      </c>
      <c r="C225" s="189">
        <v>25.000000000000004</v>
      </c>
      <c r="D225" s="189">
        <v>24</v>
      </c>
      <c r="E225" s="189">
        <v>36</v>
      </c>
      <c r="F225" s="190">
        <f t="shared" si="6"/>
        <v>9.7253559480277557E-4</v>
      </c>
      <c r="G225" s="190">
        <f t="shared" si="7"/>
        <v>1.1761016151795528E-3</v>
      </c>
    </row>
    <row r="226" spans="1:7" x14ac:dyDescent="0.35">
      <c r="A226" s="189" t="s">
        <v>605</v>
      </c>
      <c r="B226" s="188" t="s">
        <v>121</v>
      </c>
      <c r="C226" s="189">
        <v>12.000000000000002</v>
      </c>
      <c r="D226" s="189">
        <v>12.000000000000002</v>
      </c>
      <c r="E226" s="189">
        <v>34.999999999999993</v>
      </c>
      <c r="F226" s="190">
        <f t="shared" si="6"/>
        <v>4.6681708550533227E-4</v>
      </c>
      <c r="G226" s="190">
        <f t="shared" si="7"/>
        <v>9.2127959855731623E-4</v>
      </c>
    </row>
    <row r="227" spans="1:7" x14ac:dyDescent="0.35">
      <c r="A227" s="189" t="s">
        <v>606</v>
      </c>
      <c r="B227" s="188" t="s">
        <v>125</v>
      </c>
      <c r="C227" s="189">
        <v>6.0000000000000018</v>
      </c>
      <c r="D227" s="189">
        <v>6.0000000000000018</v>
      </c>
      <c r="E227" s="189">
        <v>12</v>
      </c>
      <c r="F227" s="190">
        <f t="shared" si="6"/>
        <v>2.3340854275266616E-4</v>
      </c>
      <c r="G227" s="190">
        <f t="shared" si="7"/>
        <v>3.5283048455386583E-4</v>
      </c>
    </row>
    <row r="228" spans="1:7" x14ac:dyDescent="0.35">
      <c r="A228" s="189" t="s">
        <v>607</v>
      </c>
      <c r="B228" s="188" t="s">
        <v>144</v>
      </c>
      <c r="C228" s="189">
        <v>81.000000000000057</v>
      </c>
      <c r="D228" s="189">
        <v>71.000000000000014</v>
      </c>
      <c r="E228" s="189">
        <v>449.00000000000017</v>
      </c>
      <c r="F228" s="190">
        <f t="shared" si="6"/>
        <v>3.1510153271609945E-3</v>
      </c>
      <c r="G228" s="190">
        <f t="shared" si="7"/>
        <v>1.0192880664889463E-2</v>
      </c>
    </row>
    <row r="229" spans="1:7" x14ac:dyDescent="0.35">
      <c r="A229" s="189" t="s">
        <v>608</v>
      </c>
      <c r="B229" s="188" t="s">
        <v>271</v>
      </c>
      <c r="C229" s="189">
        <v>285</v>
      </c>
      <c r="D229" s="189">
        <v>267.00000000000023</v>
      </c>
      <c r="E229" s="189">
        <v>727.99999999999989</v>
      </c>
      <c r="F229" s="190">
        <f t="shared" si="6"/>
        <v>1.108690578075164E-2</v>
      </c>
      <c r="G229" s="190">
        <f t="shared" si="7"/>
        <v>1.9503685118394253E-2</v>
      </c>
    </row>
    <row r="230" spans="1:7" x14ac:dyDescent="0.35">
      <c r="A230" s="189" t="s">
        <v>609</v>
      </c>
      <c r="B230" s="188" t="s">
        <v>149</v>
      </c>
      <c r="C230" s="189">
        <v>33.000000000000007</v>
      </c>
      <c r="D230" s="189">
        <v>30.999999999999993</v>
      </c>
      <c r="E230" s="189">
        <v>82</v>
      </c>
      <c r="F230" s="190">
        <f t="shared" si="6"/>
        <v>1.2837469851396637E-3</v>
      </c>
      <c r="G230" s="190">
        <f t="shared" si="7"/>
        <v>2.2149913752548245E-3</v>
      </c>
    </row>
    <row r="231" spans="1:7" x14ac:dyDescent="0.35">
      <c r="A231" s="189" t="s">
        <v>610</v>
      </c>
      <c r="B231" s="188" t="s">
        <v>151</v>
      </c>
      <c r="C231" s="189">
        <v>6</v>
      </c>
      <c r="D231" s="189">
        <v>5</v>
      </c>
      <c r="E231" s="189">
        <v>9</v>
      </c>
      <c r="F231" s="190">
        <f t="shared" si="6"/>
        <v>2.3340854275266611E-4</v>
      </c>
      <c r="G231" s="190">
        <f t="shared" si="7"/>
        <v>2.7442371020856235E-4</v>
      </c>
    </row>
    <row r="232" spans="1:7" x14ac:dyDescent="0.35">
      <c r="A232" s="189" t="s">
        <v>611</v>
      </c>
      <c r="B232" s="188" t="s">
        <v>188</v>
      </c>
      <c r="C232" s="189">
        <v>10</v>
      </c>
      <c r="D232" s="189">
        <v>10</v>
      </c>
      <c r="E232" s="189">
        <v>39</v>
      </c>
      <c r="F232" s="190">
        <f t="shared" si="6"/>
        <v>3.8901423792111019E-4</v>
      </c>
      <c r="G232" s="190">
        <f t="shared" si="7"/>
        <v>9.6048298572996816E-4</v>
      </c>
    </row>
    <row r="233" spans="1:7" x14ac:dyDescent="0.35">
      <c r="A233" s="189" t="s">
        <v>612</v>
      </c>
      <c r="B233" s="188" t="s">
        <v>204</v>
      </c>
      <c r="C233" s="189">
        <v>17.999999999999993</v>
      </c>
      <c r="D233" s="189">
        <v>17</v>
      </c>
      <c r="E233" s="189">
        <v>36</v>
      </c>
      <c r="F233" s="190">
        <f t="shared" si="6"/>
        <v>7.0022562825799799E-4</v>
      </c>
      <c r="G233" s="190">
        <f t="shared" si="7"/>
        <v>1.0388897600752717E-3</v>
      </c>
    </row>
    <row r="234" spans="1:7" x14ac:dyDescent="0.35">
      <c r="A234" s="189" t="s">
        <v>613</v>
      </c>
      <c r="B234" s="188" t="s">
        <v>614</v>
      </c>
      <c r="C234" s="189">
        <v>16.999999999999996</v>
      </c>
      <c r="D234" s="189">
        <v>16.999999999999996</v>
      </c>
      <c r="E234" s="189">
        <v>36</v>
      </c>
      <c r="F234" s="190">
        <f t="shared" si="6"/>
        <v>6.6132420446588717E-4</v>
      </c>
      <c r="G234" s="190">
        <f t="shared" si="7"/>
        <v>1.0388897600752717E-3</v>
      </c>
    </row>
    <row r="235" spans="1:7" x14ac:dyDescent="0.35">
      <c r="A235" s="189" t="s">
        <v>615</v>
      </c>
      <c r="B235" s="188" t="s">
        <v>225</v>
      </c>
      <c r="C235" s="189">
        <v>6</v>
      </c>
      <c r="D235" s="189">
        <v>4</v>
      </c>
      <c r="E235" s="189">
        <v>29.999999999999993</v>
      </c>
      <c r="F235" s="190">
        <f t="shared" si="6"/>
        <v>2.3340854275266611E-4</v>
      </c>
      <c r="G235" s="190">
        <f t="shared" si="7"/>
        <v>6.6645758193507984E-4</v>
      </c>
    </row>
    <row r="236" spans="1:7" x14ac:dyDescent="0.35">
      <c r="A236" s="189" t="s">
        <v>616</v>
      </c>
      <c r="B236" s="188" t="s">
        <v>226</v>
      </c>
      <c r="C236" s="189">
        <v>22.000000000000018</v>
      </c>
      <c r="D236" s="189">
        <v>22.000000000000018</v>
      </c>
      <c r="E236" s="189">
        <v>47.999999999999986</v>
      </c>
      <c r="F236" s="190">
        <f t="shared" si="6"/>
        <v>8.5583132342644311E-4</v>
      </c>
      <c r="G236" s="190">
        <f t="shared" si="7"/>
        <v>1.3721185510428117E-3</v>
      </c>
    </row>
    <row r="237" spans="1:7" x14ac:dyDescent="0.35">
      <c r="A237" s="189" t="s">
        <v>617</v>
      </c>
      <c r="B237" s="188" t="s">
        <v>233</v>
      </c>
      <c r="C237" s="189">
        <v>56</v>
      </c>
      <c r="D237" s="189">
        <v>52.000000000000007</v>
      </c>
      <c r="E237" s="189">
        <v>164.00000000000003</v>
      </c>
      <c r="F237" s="190">
        <f t="shared" si="6"/>
        <v>2.1784797323582171E-3</v>
      </c>
      <c r="G237" s="190">
        <f t="shared" si="7"/>
        <v>4.2339658146463913E-3</v>
      </c>
    </row>
    <row r="238" spans="1:7" x14ac:dyDescent="0.35">
      <c r="A238" s="189" t="s">
        <v>618</v>
      </c>
      <c r="B238" s="188" t="s">
        <v>238</v>
      </c>
      <c r="C238" s="189">
        <v>176.99999999999986</v>
      </c>
      <c r="D238" s="189">
        <v>150.00000000000009</v>
      </c>
      <c r="E238" s="189">
        <v>577.99999999999955</v>
      </c>
      <c r="F238" s="190">
        <f t="shared" si="6"/>
        <v>6.8855520112036444E-3</v>
      </c>
      <c r="G238" s="190">
        <f t="shared" si="7"/>
        <v>1.4270032930845234E-2</v>
      </c>
    </row>
    <row r="239" spans="1:7" x14ac:dyDescent="0.35">
      <c r="A239" s="189" t="s">
        <v>619</v>
      </c>
      <c r="B239" s="188" t="s">
        <v>264</v>
      </c>
      <c r="C239" s="189">
        <v>32.000000000000014</v>
      </c>
      <c r="D239" s="189">
        <v>29.000000000000021</v>
      </c>
      <c r="E239" s="189">
        <v>81.999999999999986</v>
      </c>
      <c r="F239" s="190">
        <f t="shared" si="6"/>
        <v>1.2448455613475531E-3</v>
      </c>
      <c r="G239" s="190">
        <f t="shared" si="7"/>
        <v>2.1757879880821727E-3</v>
      </c>
    </row>
    <row r="240" spans="1:7" x14ac:dyDescent="0.35">
      <c r="A240" s="189" t="s">
        <v>620</v>
      </c>
      <c r="B240" s="188" t="s">
        <v>274</v>
      </c>
      <c r="C240" s="189">
        <v>28.999999999999993</v>
      </c>
      <c r="D240" s="189">
        <v>24.000000000000004</v>
      </c>
      <c r="E240" s="189">
        <v>68</v>
      </c>
      <c r="F240" s="190">
        <f t="shared" si="6"/>
        <v>1.1281412899712192E-3</v>
      </c>
      <c r="G240" s="190">
        <f t="shared" si="7"/>
        <v>1.8033558099419811E-3</v>
      </c>
    </row>
    <row r="241" spans="1:7" x14ac:dyDescent="0.35">
      <c r="A241" s="189" t="s">
        <v>621</v>
      </c>
      <c r="B241" s="188" t="s">
        <v>280</v>
      </c>
      <c r="C241" s="189">
        <v>14.999999999999996</v>
      </c>
      <c r="D241" s="189">
        <v>12.000000000000002</v>
      </c>
      <c r="E241" s="189">
        <v>20</v>
      </c>
      <c r="F241" s="190">
        <f t="shared" si="6"/>
        <v>5.835213568816651E-4</v>
      </c>
      <c r="G241" s="190">
        <f t="shared" si="7"/>
        <v>6.2725419476242824E-4</v>
      </c>
    </row>
    <row r="242" spans="1:7" x14ac:dyDescent="0.35">
      <c r="A242" s="189" t="s">
        <v>622</v>
      </c>
      <c r="B242" s="188" t="s">
        <v>281</v>
      </c>
      <c r="C242" s="189">
        <v>8.9999999999999982</v>
      </c>
      <c r="D242" s="189">
        <v>8.9999999999999982</v>
      </c>
      <c r="E242" s="189">
        <v>18.000000000000004</v>
      </c>
      <c r="F242" s="190">
        <f t="shared" si="6"/>
        <v>3.501128141289991E-4</v>
      </c>
      <c r="G242" s="190">
        <f t="shared" si="7"/>
        <v>5.292457268307988E-4</v>
      </c>
    </row>
    <row r="243" spans="1:7" x14ac:dyDescent="0.35">
      <c r="A243" s="189" t="s">
        <v>623</v>
      </c>
      <c r="B243" s="188" t="s">
        <v>285</v>
      </c>
      <c r="C243" s="189">
        <v>25.999999999999993</v>
      </c>
      <c r="D243" s="189">
        <v>24</v>
      </c>
      <c r="E243" s="189">
        <v>28.000000000000004</v>
      </c>
      <c r="F243" s="190">
        <f t="shared" si="6"/>
        <v>1.0114370185948861E-3</v>
      </c>
      <c r="G243" s="190">
        <f t="shared" si="7"/>
        <v>1.0192880664889458E-3</v>
      </c>
    </row>
    <row r="244" spans="1:7" x14ac:dyDescent="0.35">
      <c r="A244" s="189" t="s">
        <v>624</v>
      </c>
      <c r="B244" s="188" t="s">
        <v>331</v>
      </c>
      <c r="C244" s="189">
        <v>16</v>
      </c>
      <c r="D244" s="189">
        <v>16</v>
      </c>
      <c r="E244" s="189">
        <v>15.000000000000004</v>
      </c>
      <c r="F244" s="190">
        <f t="shared" si="6"/>
        <v>6.2242278067377625E-4</v>
      </c>
      <c r="G244" s="190">
        <f t="shared" si="7"/>
        <v>6.0765250117610233E-4</v>
      </c>
    </row>
    <row r="245" spans="1:7" x14ac:dyDescent="0.35">
      <c r="A245" s="189" t="s">
        <v>625</v>
      </c>
      <c r="B245" s="188" t="s">
        <v>296</v>
      </c>
      <c r="C245" s="189">
        <v>214</v>
      </c>
      <c r="D245" s="189">
        <v>204</v>
      </c>
      <c r="E245" s="189">
        <v>604</v>
      </c>
      <c r="F245" s="190">
        <f t="shared" si="6"/>
        <v>8.3249046915117569E-3</v>
      </c>
      <c r="G245" s="190">
        <f t="shared" si="7"/>
        <v>1.5838168417751312E-2</v>
      </c>
    </row>
    <row r="246" spans="1:7" x14ac:dyDescent="0.35">
      <c r="A246" s="189" t="s">
        <v>626</v>
      </c>
      <c r="B246" s="188" t="s">
        <v>301</v>
      </c>
      <c r="C246" s="189">
        <v>58.999999999999993</v>
      </c>
      <c r="D246" s="189">
        <v>56.000000000000064</v>
      </c>
      <c r="E246" s="189">
        <v>152.99999999999994</v>
      </c>
      <c r="F246" s="190">
        <f t="shared" si="6"/>
        <v>2.2951840037345496E-3</v>
      </c>
      <c r="G246" s="190">
        <f t="shared" si="7"/>
        <v>4.0967539595421088E-3</v>
      </c>
    </row>
    <row r="247" spans="1:7" x14ac:dyDescent="0.35">
      <c r="A247" s="189" t="s">
        <v>627</v>
      </c>
      <c r="B247" s="188" t="s">
        <v>309</v>
      </c>
      <c r="C247" s="189">
        <v>12.000000000000004</v>
      </c>
      <c r="D247" s="189">
        <v>11</v>
      </c>
      <c r="E247" s="189">
        <v>47.999999999999986</v>
      </c>
      <c r="F247" s="190">
        <f t="shared" si="6"/>
        <v>4.6681708550533232E-4</v>
      </c>
      <c r="G247" s="190">
        <f t="shared" si="7"/>
        <v>1.1564999215932267E-3</v>
      </c>
    </row>
    <row r="248" spans="1:7" x14ac:dyDescent="0.35">
      <c r="A248" s="189" t="s">
        <v>628</v>
      </c>
      <c r="B248" s="188" t="s">
        <v>313</v>
      </c>
      <c r="C248" s="189">
        <v>31</v>
      </c>
      <c r="D248" s="189">
        <v>29</v>
      </c>
      <c r="E248" s="189">
        <v>74</v>
      </c>
      <c r="F248" s="190">
        <f t="shared" si="6"/>
        <v>1.2059441375554415E-3</v>
      </c>
      <c r="G248" s="190">
        <f t="shared" si="7"/>
        <v>2.0189744393915659E-3</v>
      </c>
    </row>
    <row r="249" spans="1:7" x14ac:dyDescent="0.35">
      <c r="A249" s="189" t="s">
        <v>629</v>
      </c>
      <c r="B249" s="188" t="s">
        <v>324</v>
      </c>
      <c r="C249" s="189">
        <v>58.999999999999993</v>
      </c>
      <c r="D249" s="189">
        <v>57.000000000000007</v>
      </c>
      <c r="E249" s="189">
        <v>72</v>
      </c>
      <c r="F249" s="190">
        <f t="shared" si="6"/>
        <v>2.2951840037345496E-3</v>
      </c>
      <c r="G249" s="190">
        <f t="shared" si="7"/>
        <v>2.5286184726360387E-3</v>
      </c>
    </row>
    <row r="250" spans="1:7" x14ac:dyDescent="0.35">
      <c r="A250" s="189" t="s">
        <v>630</v>
      </c>
      <c r="B250" s="188" t="s">
        <v>326</v>
      </c>
      <c r="C250" s="189">
        <v>11.000000000000002</v>
      </c>
      <c r="D250" s="189">
        <v>9</v>
      </c>
      <c r="E250" s="189">
        <v>8</v>
      </c>
      <c r="F250" s="190">
        <f t="shared" si="6"/>
        <v>4.2791566171322123E-4</v>
      </c>
      <c r="G250" s="190">
        <f t="shared" si="7"/>
        <v>3.3322879096753998E-4</v>
      </c>
    </row>
    <row r="251" spans="1:7" x14ac:dyDescent="0.35">
      <c r="A251" s="189" t="s">
        <v>631</v>
      </c>
      <c r="B251" s="188" t="s">
        <v>327</v>
      </c>
      <c r="C251" s="189">
        <v>33</v>
      </c>
      <c r="D251" s="189">
        <v>32.000000000000014</v>
      </c>
      <c r="E251" s="189">
        <v>92</v>
      </c>
      <c r="F251" s="190">
        <f t="shared" si="6"/>
        <v>1.2837469851396635E-3</v>
      </c>
      <c r="G251" s="190">
        <f t="shared" si="7"/>
        <v>2.4306100047044093E-3</v>
      </c>
    </row>
    <row r="252" spans="1:7" x14ac:dyDescent="0.35">
      <c r="A252" s="189" t="s">
        <v>632</v>
      </c>
      <c r="B252" s="188" t="s">
        <v>348</v>
      </c>
      <c r="C252" s="189">
        <v>29.999999999999993</v>
      </c>
      <c r="D252" s="189">
        <v>29</v>
      </c>
      <c r="E252" s="189">
        <v>26</v>
      </c>
      <c r="F252" s="190">
        <f t="shared" si="6"/>
        <v>1.1670427137633302E-3</v>
      </c>
      <c r="G252" s="190">
        <f t="shared" si="7"/>
        <v>1.0780931472479235E-3</v>
      </c>
    </row>
    <row r="253" spans="1:7" x14ac:dyDescent="0.35">
      <c r="A253" s="189" t="s">
        <v>633</v>
      </c>
      <c r="B253" s="188" t="s">
        <v>361</v>
      </c>
      <c r="C253" s="189">
        <v>16.000000000000004</v>
      </c>
      <c r="D253" s="189">
        <v>15.000000000000004</v>
      </c>
      <c r="E253" s="189">
        <v>18.999999999999996</v>
      </c>
      <c r="F253" s="190">
        <f t="shared" si="6"/>
        <v>6.2242278067377646E-4</v>
      </c>
      <c r="G253" s="190">
        <f t="shared" si="7"/>
        <v>6.6645758193507995E-4</v>
      </c>
    </row>
    <row r="254" spans="1:7" x14ac:dyDescent="0.35">
      <c r="A254" s="189" t="s">
        <v>634</v>
      </c>
      <c r="B254" s="188" t="s">
        <v>350</v>
      </c>
      <c r="C254" s="189">
        <v>28.999999999999993</v>
      </c>
      <c r="D254" s="189">
        <v>28.999999999999993</v>
      </c>
      <c r="E254" s="189">
        <v>7</v>
      </c>
      <c r="F254" s="190">
        <f t="shared" si="6"/>
        <v>1.1281412899712192E-3</v>
      </c>
      <c r="G254" s="190">
        <f t="shared" si="7"/>
        <v>7.0566096910773155E-4</v>
      </c>
    </row>
    <row r="255" spans="1:7" x14ac:dyDescent="0.35">
      <c r="A255" s="189" t="s">
        <v>635</v>
      </c>
      <c r="B255" s="188" t="s">
        <v>173</v>
      </c>
      <c r="C255" s="189">
        <v>63.000000000000021</v>
      </c>
      <c r="D255" s="189">
        <v>63.000000000000021</v>
      </c>
      <c r="E255" s="189">
        <v>40.000000000000007</v>
      </c>
      <c r="F255" s="190">
        <f t="shared" si="6"/>
        <v>2.450789698902995E-3</v>
      </c>
      <c r="G255" s="190">
        <f t="shared" si="7"/>
        <v>2.0189744393915663E-3</v>
      </c>
    </row>
    <row r="256" spans="1:7" x14ac:dyDescent="0.35">
      <c r="A256" s="189" t="s">
        <v>636</v>
      </c>
      <c r="B256" s="188" t="s">
        <v>36</v>
      </c>
      <c r="C256" s="189">
        <v>22</v>
      </c>
      <c r="D256" s="189">
        <v>22</v>
      </c>
      <c r="E256" s="189">
        <v>4.0000000000000009</v>
      </c>
      <c r="F256" s="190">
        <f t="shared" si="6"/>
        <v>8.5583132342644235E-4</v>
      </c>
      <c r="G256" s="190">
        <f t="shared" si="7"/>
        <v>5.0964403324447289E-4</v>
      </c>
    </row>
    <row r="257" spans="1:7" x14ac:dyDescent="0.35">
      <c r="A257" s="189" t="s">
        <v>637</v>
      </c>
      <c r="B257" s="188" t="s">
        <v>39</v>
      </c>
      <c r="C257" s="189">
        <v>13.000000000000002</v>
      </c>
      <c r="D257" s="189">
        <v>13.000000000000002</v>
      </c>
      <c r="E257" s="189">
        <v>21</v>
      </c>
      <c r="F257" s="190">
        <f t="shared" si="6"/>
        <v>5.0571850929744325E-4</v>
      </c>
      <c r="G257" s="190">
        <f t="shared" si="7"/>
        <v>6.6645758193507995E-4</v>
      </c>
    </row>
    <row r="258" spans="1:7" x14ac:dyDescent="0.35">
      <c r="A258" s="189" t="s">
        <v>638</v>
      </c>
      <c r="B258" s="188" t="s">
        <v>639</v>
      </c>
      <c r="C258" s="189">
        <v>16.000000000000004</v>
      </c>
      <c r="D258" s="189">
        <v>16.000000000000004</v>
      </c>
      <c r="E258" s="189">
        <v>38.999999999999993</v>
      </c>
      <c r="F258" s="190">
        <f t="shared" si="6"/>
        <v>6.2242278067377646E-4</v>
      </c>
      <c r="G258" s="190">
        <f t="shared" si="7"/>
        <v>1.0780931472479235E-3</v>
      </c>
    </row>
    <row r="259" spans="1:7" x14ac:dyDescent="0.35">
      <c r="A259" s="189" t="s">
        <v>640</v>
      </c>
      <c r="B259" s="188" t="s">
        <v>64</v>
      </c>
      <c r="C259" s="189">
        <v>55.999999999999993</v>
      </c>
      <c r="D259" s="189">
        <v>55.000000000000021</v>
      </c>
      <c r="E259" s="189">
        <v>47</v>
      </c>
      <c r="F259" s="190">
        <f t="shared" si="6"/>
        <v>2.1784797323582167E-3</v>
      </c>
      <c r="G259" s="190">
        <f t="shared" si="7"/>
        <v>1.9993727458052406E-3</v>
      </c>
    </row>
    <row r="260" spans="1:7" x14ac:dyDescent="0.35">
      <c r="A260" s="189" t="s">
        <v>641</v>
      </c>
      <c r="B260" s="188" t="s">
        <v>113</v>
      </c>
      <c r="C260" s="189">
        <v>17</v>
      </c>
      <c r="D260" s="189">
        <v>17</v>
      </c>
      <c r="E260" s="189">
        <v>62</v>
      </c>
      <c r="F260" s="190">
        <f t="shared" si="6"/>
        <v>6.6132420446588728E-4</v>
      </c>
      <c r="G260" s="190">
        <f t="shared" si="7"/>
        <v>1.5485337933197447E-3</v>
      </c>
    </row>
    <row r="261" spans="1:7" x14ac:dyDescent="0.35">
      <c r="A261" s="189" t="s">
        <v>642</v>
      </c>
      <c r="B261" s="188" t="s">
        <v>139</v>
      </c>
      <c r="C261" s="189">
        <v>269.00000000000017</v>
      </c>
      <c r="D261" s="189">
        <v>267.99999999999983</v>
      </c>
      <c r="E261" s="189">
        <v>188.00000000000003</v>
      </c>
      <c r="F261" s="190">
        <f t="shared" si="6"/>
        <v>1.046448300007787E-2</v>
      </c>
      <c r="G261" s="190">
        <f t="shared" si="7"/>
        <v>8.9383722753645992E-3</v>
      </c>
    </row>
    <row r="262" spans="1:7" x14ac:dyDescent="0.35">
      <c r="A262" s="189" t="s">
        <v>643</v>
      </c>
      <c r="B262" s="188" t="s">
        <v>167</v>
      </c>
      <c r="C262" s="189">
        <v>118.00000000000006</v>
      </c>
      <c r="D262" s="189">
        <v>118.00000000000006</v>
      </c>
      <c r="E262" s="189">
        <v>87</v>
      </c>
      <c r="F262" s="190">
        <f t="shared" si="6"/>
        <v>4.5903680074691026E-3</v>
      </c>
      <c r="G262" s="190">
        <f t="shared" si="7"/>
        <v>4.0183471851968069E-3</v>
      </c>
    </row>
    <row r="263" spans="1:7" x14ac:dyDescent="0.35">
      <c r="A263" s="189" t="s">
        <v>644</v>
      </c>
      <c r="B263" s="188" t="s">
        <v>195</v>
      </c>
      <c r="C263" s="189">
        <v>274.00000000000006</v>
      </c>
      <c r="D263" s="189">
        <v>271.99999999999989</v>
      </c>
      <c r="E263" s="189">
        <v>326.99999999999966</v>
      </c>
      <c r="F263" s="190">
        <f t="shared" si="6"/>
        <v>1.0658990119038422E-2</v>
      </c>
      <c r="G263" s="190">
        <f t="shared" si="7"/>
        <v>1.1741414458209193E-2</v>
      </c>
    </row>
    <row r="264" spans="1:7" x14ac:dyDescent="0.35">
      <c r="A264" s="189" t="s">
        <v>645</v>
      </c>
      <c r="B264" s="188" t="s">
        <v>197</v>
      </c>
      <c r="C264" s="189">
        <v>19</v>
      </c>
      <c r="D264" s="189">
        <v>19</v>
      </c>
      <c r="E264" s="189">
        <v>28</v>
      </c>
      <c r="F264" s="190">
        <f t="shared" si="6"/>
        <v>7.3912705205010935E-4</v>
      </c>
      <c r="G264" s="190">
        <f t="shared" si="7"/>
        <v>9.2127959855731645E-4</v>
      </c>
    </row>
    <row r="265" spans="1:7" x14ac:dyDescent="0.35">
      <c r="A265" s="189" t="s">
        <v>646</v>
      </c>
      <c r="B265" s="188" t="s">
        <v>209</v>
      </c>
      <c r="C265" s="189">
        <v>7</v>
      </c>
      <c r="D265" s="189">
        <v>7</v>
      </c>
      <c r="E265" s="189">
        <v>10.000000000000002</v>
      </c>
      <c r="F265" s="190">
        <f t="shared" si="6"/>
        <v>2.7230996654477714E-4</v>
      </c>
      <c r="G265" s="190">
        <f t="shared" si="7"/>
        <v>3.3322879096753998E-4</v>
      </c>
    </row>
    <row r="266" spans="1:7" x14ac:dyDescent="0.35">
      <c r="A266" s="189" t="s">
        <v>647</v>
      </c>
      <c r="B266" s="188" t="s">
        <v>211</v>
      </c>
      <c r="C266" s="189">
        <v>7.0000000000000009</v>
      </c>
      <c r="D266" s="189">
        <v>7.0000000000000009</v>
      </c>
      <c r="E266" s="189">
        <v>17.000000000000004</v>
      </c>
      <c r="F266" s="190">
        <f t="shared" ref="F266:F329" si="8">+C266/(C$5-C$8)*100%</f>
        <v>2.7230996654477714E-4</v>
      </c>
      <c r="G266" s="190">
        <f t="shared" ref="G266:G329" si="9">(+D266+E266)/(D$5-D$8+E$5-E$8)*100%</f>
        <v>4.7044064607182123E-4</v>
      </c>
    </row>
    <row r="267" spans="1:7" x14ac:dyDescent="0.35">
      <c r="A267" s="189" t="s">
        <v>648</v>
      </c>
      <c r="B267" s="188" t="s">
        <v>260</v>
      </c>
      <c r="C267" s="189">
        <v>88</v>
      </c>
      <c r="D267" s="189">
        <v>85.999999999999943</v>
      </c>
      <c r="E267" s="189">
        <v>226</v>
      </c>
      <c r="F267" s="190">
        <f t="shared" si="8"/>
        <v>3.4233252937057694E-3</v>
      </c>
      <c r="G267" s="190">
        <f t="shared" si="9"/>
        <v>6.1157283989336734E-3</v>
      </c>
    </row>
    <row r="268" spans="1:7" x14ac:dyDescent="0.35">
      <c r="A268" s="189" t="s">
        <v>649</v>
      </c>
      <c r="B268" s="188" t="s">
        <v>272</v>
      </c>
      <c r="C268" s="189">
        <v>12.999999999999998</v>
      </c>
      <c r="D268" s="189">
        <v>12.999999999999998</v>
      </c>
      <c r="E268" s="189">
        <v>8.9999999999999982</v>
      </c>
      <c r="F268" s="190">
        <f t="shared" si="8"/>
        <v>5.0571850929744314E-4</v>
      </c>
      <c r="G268" s="190">
        <f t="shared" si="9"/>
        <v>4.3123725889916931E-4</v>
      </c>
    </row>
    <row r="269" spans="1:7" x14ac:dyDescent="0.35">
      <c r="A269" s="189" t="s">
        <v>650</v>
      </c>
      <c r="B269" s="188" t="s">
        <v>287</v>
      </c>
      <c r="C269" s="189">
        <v>34</v>
      </c>
      <c r="D269" s="189">
        <v>34</v>
      </c>
      <c r="E269" s="189">
        <v>16</v>
      </c>
      <c r="F269" s="190">
        <f t="shared" si="8"/>
        <v>1.3226484089317746E-3</v>
      </c>
      <c r="G269" s="190">
        <f t="shared" si="9"/>
        <v>9.8008467931629396E-4</v>
      </c>
    </row>
    <row r="270" spans="1:7" x14ac:dyDescent="0.35">
      <c r="A270" s="189" t="s">
        <v>651</v>
      </c>
      <c r="B270" s="188" t="s">
        <v>307</v>
      </c>
      <c r="C270" s="189">
        <v>10</v>
      </c>
      <c r="D270" s="189">
        <v>10</v>
      </c>
      <c r="E270" s="189">
        <v>8</v>
      </c>
      <c r="F270" s="190">
        <f t="shared" si="8"/>
        <v>3.8901423792111019E-4</v>
      </c>
      <c r="G270" s="190">
        <f t="shared" si="9"/>
        <v>3.5283048455386583E-4</v>
      </c>
    </row>
    <row r="271" spans="1:7" x14ac:dyDescent="0.35">
      <c r="A271" s="189" t="s">
        <v>652</v>
      </c>
      <c r="B271" s="188" t="s">
        <v>315</v>
      </c>
      <c r="C271" s="189">
        <v>128.99999999999997</v>
      </c>
      <c r="D271" s="189">
        <v>128.99999999999997</v>
      </c>
      <c r="E271" s="189">
        <v>165.00000000000006</v>
      </c>
      <c r="F271" s="190">
        <f t="shared" si="8"/>
        <v>5.0182836691823199E-3</v>
      </c>
      <c r="G271" s="190">
        <f t="shared" si="9"/>
        <v>5.7628979143798092E-3</v>
      </c>
    </row>
    <row r="272" spans="1:7" x14ac:dyDescent="0.35">
      <c r="A272" s="189" t="s">
        <v>653</v>
      </c>
      <c r="B272" s="188" t="s">
        <v>316</v>
      </c>
      <c r="C272" s="189">
        <v>53.999999999999964</v>
      </c>
      <c r="D272" s="189">
        <v>53.000000000000014</v>
      </c>
      <c r="E272" s="189">
        <v>110.99999999999991</v>
      </c>
      <c r="F272" s="190">
        <f t="shared" si="8"/>
        <v>2.1006768847739933E-3</v>
      </c>
      <c r="G272" s="190">
        <f t="shared" si="9"/>
        <v>3.2146777481574435E-3</v>
      </c>
    </row>
    <row r="273" spans="1:7" x14ac:dyDescent="0.35">
      <c r="A273" s="189" t="s">
        <v>654</v>
      </c>
      <c r="B273" s="188" t="s">
        <v>321</v>
      </c>
      <c r="C273" s="189">
        <v>9</v>
      </c>
      <c r="D273" s="189">
        <v>9</v>
      </c>
      <c r="E273" s="189">
        <v>4.9999999999999991</v>
      </c>
      <c r="F273" s="190">
        <f t="shared" si="8"/>
        <v>3.5011281412899916E-4</v>
      </c>
      <c r="G273" s="190">
        <f t="shared" si="9"/>
        <v>2.7442371020856235E-4</v>
      </c>
    </row>
    <row r="274" spans="1:7" x14ac:dyDescent="0.35">
      <c r="A274" s="189" t="s">
        <v>655</v>
      </c>
      <c r="B274" s="188" t="s">
        <v>332</v>
      </c>
      <c r="C274" s="189">
        <v>46.999999999999979</v>
      </c>
      <c r="D274" s="189">
        <v>46.999999999999979</v>
      </c>
      <c r="E274" s="189">
        <v>127.00000000000006</v>
      </c>
      <c r="F274" s="190">
        <f t="shared" si="8"/>
        <v>1.8283669182292169E-3</v>
      </c>
      <c r="G274" s="190">
        <f t="shared" si="9"/>
        <v>3.4106946840207039E-3</v>
      </c>
    </row>
    <row r="275" spans="1:7" x14ac:dyDescent="0.35">
      <c r="A275" s="189" t="s">
        <v>656</v>
      </c>
      <c r="B275" s="188" t="s">
        <v>308</v>
      </c>
      <c r="C275" s="189">
        <v>29</v>
      </c>
      <c r="D275" s="189">
        <v>29</v>
      </c>
      <c r="E275" s="189">
        <v>8.0000000000000018</v>
      </c>
      <c r="F275" s="190">
        <f t="shared" si="8"/>
        <v>1.1281412899712194E-3</v>
      </c>
      <c r="G275" s="190">
        <f t="shared" si="9"/>
        <v>7.2526266269405757E-4</v>
      </c>
    </row>
    <row r="276" spans="1:7" x14ac:dyDescent="0.35">
      <c r="A276" s="189" t="s">
        <v>657</v>
      </c>
      <c r="B276" s="188" t="s">
        <v>182</v>
      </c>
      <c r="C276" s="189">
        <v>154.00000000000009</v>
      </c>
      <c r="D276" s="189">
        <v>153</v>
      </c>
      <c r="E276" s="189">
        <v>90.000000000000043</v>
      </c>
      <c r="F276" s="190">
        <f t="shared" si="8"/>
        <v>5.9908192639850999E-3</v>
      </c>
      <c r="G276" s="190">
        <f t="shared" si="9"/>
        <v>4.7632115414771902E-3</v>
      </c>
    </row>
    <row r="277" spans="1:7" x14ac:dyDescent="0.35">
      <c r="A277" s="189" t="s">
        <v>658</v>
      </c>
      <c r="B277" s="188" t="s">
        <v>158</v>
      </c>
      <c r="C277" s="189">
        <v>39</v>
      </c>
      <c r="D277" s="189">
        <v>39</v>
      </c>
      <c r="E277" s="189">
        <v>25.000000000000004</v>
      </c>
      <c r="F277" s="190">
        <f t="shared" si="8"/>
        <v>1.5171555278923297E-3</v>
      </c>
      <c r="G277" s="190">
        <f t="shared" si="9"/>
        <v>1.2545083895248565E-3</v>
      </c>
    </row>
    <row r="278" spans="1:7" x14ac:dyDescent="0.35">
      <c r="A278" s="189" t="s">
        <v>659</v>
      </c>
      <c r="B278" s="188" t="s">
        <v>239</v>
      </c>
      <c r="C278" s="189">
        <v>41.999999999999979</v>
      </c>
      <c r="D278" s="189">
        <v>39.999999999999979</v>
      </c>
      <c r="E278" s="189">
        <v>91.000000000000057</v>
      </c>
      <c r="F278" s="190">
        <f t="shared" si="8"/>
        <v>1.633859799268662E-3</v>
      </c>
      <c r="G278" s="190">
        <f t="shared" si="9"/>
        <v>2.5678218598086909E-3</v>
      </c>
    </row>
    <row r="279" spans="1:7" x14ac:dyDescent="0.35">
      <c r="A279" s="189" t="s">
        <v>660</v>
      </c>
      <c r="B279" s="188" t="s">
        <v>293</v>
      </c>
      <c r="C279" s="189">
        <v>47.000000000000021</v>
      </c>
      <c r="D279" s="189">
        <v>46</v>
      </c>
      <c r="E279" s="189">
        <v>40.999999999999986</v>
      </c>
      <c r="F279" s="190">
        <f t="shared" si="8"/>
        <v>1.8283669182292187E-3</v>
      </c>
      <c r="G279" s="190">
        <f t="shared" si="9"/>
        <v>1.7053473420103513E-3</v>
      </c>
    </row>
    <row r="280" spans="1:7" x14ac:dyDescent="0.35">
      <c r="A280" s="189" t="s">
        <v>661</v>
      </c>
      <c r="B280" s="188" t="s">
        <v>306</v>
      </c>
      <c r="C280" s="189">
        <v>41.000000000000007</v>
      </c>
      <c r="D280" s="189">
        <v>41.000000000000007</v>
      </c>
      <c r="E280" s="189">
        <v>23.000000000000004</v>
      </c>
      <c r="F280" s="190">
        <f t="shared" si="8"/>
        <v>1.594958375476552E-3</v>
      </c>
      <c r="G280" s="190">
        <f t="shared" si="9"/>
        <v>1.2545083895248567E-3</v>
      </c>
    </row>
    <row r="281" spans="1:7" x14ac:dyDescent="0.35">
      <c r="A281" s="189" t="s">
        <v>662</v>
      </c>
      <c r="B281" s="188" t="s">
        <v>232</v>
      </c>
      <c r="C281" s="189">
        <v>28</v>
      </c>
      <c r="D281" s="189">
        <v>28</v>
      </c>
      <c r="E281" s="189">
        <v>32.999999999999993</v>
      </c>
      <c r="F281" s="190">
        <f t="shared" si="8"/>
        <v>1.0892398661791086E-3</v>
      </c>
      <c r="G281" s="190">
        <f t="shared" si="9"/>
        <v>1.1957033087658785E-3</v>
      </c>
    </row>
    <row r="282" spans="1:7" x14ac:dyDescent="0.35">
      <c r="A282" s="189" t="s">
        <v>663</v>
      </c>
      <c r="B282" s="188" t="s">
        <v>168</v>
      </c>
      <c r="C282" s="189">
        <v>30.999999999999996</v>
      </c>
      <c r="D282" s="189">
        <v>29.000000000000004</v>
      </c>
      <c r="E282" s="189">
        <v>15.000000000000004</v>
      </c>
      <c r="F282" s="190">
        <f t="shared" si="8"/>
        <v>1.2059441375554415E-3</v>
      </c>
      <c r="G282" s="190">
        <f t="shared" si="9"/>
        <v>8.6247451779833894E-4</v>
      </c>
    </row>
    <row r="283" spans="1:7" x14ac:dyDescent="0.35">
      <c r="A283" s="189" t="s">
        <v>664</v>
      </c>
      <c r="B283" s="188" t="s">
        <v>176</v>
      </c>
      <c r="C283" s="189">
        <v>36.000000000000007</v>
      </c>
      <c r="D283" s="189">
        <v>33.999999999999993</v>
      </c>
      <c r="E283" s="189">
        <v>22</v>
      </c>
      <c r="F283" s="190">
        <f t="shared" si="8"/>
        <v>1.4004512565159969E-3</v>
      </c>
      <c r="G283" s="190">
        <f t="shared" si="9"/>
        <v>1.0976948408342492E-3</v>
      </c>
    </row>
    <row r="284" spans="1:7" x14ac:dyDescent="0.35">
      <c r="A284" s="189" t="s">
        <v>665</v>
      </c>
      <c r="B284" s="188" t="s">
        <v>183</v>
      </c>
      <c r="C284" s="189">
        <v>27.000000000000004</v>
      </c>
      <c r="D284" s="189">
        <v>26</v>
      </c>
      <c r="E284" s="189">
        <v>20.999999999999996</v>
      </c>
      <c r="F284" s="190">
        <f t="shared" si="8"/>
        <v>1.0503384423869975E-3</v>
      </c>
      <c r="G284" s="190">
        <f t="shared" si="9"/>
        <v>9.2127959855731645E-4</v>
      </c>
    </row>
    <row r="285" spans="1:7" x14ac:dyDescent="0.35">
      <c r="A285" s="189" t="s">
        <v>666</v>
      </c>
      <c r="B285" s="188" t="s">
        <v>193</v>
      </c>
      <c r="C285" s="189">
        <v>20</v>
      </c>
      <c r="D285" s="189">
        <v>18.999999999999993</v>
      </c>
      <c r="E285" s="189">
        <v>17</v>
      </c>
      <c r="F285" s="190">
        <f t="shared" si="8"/>
        <v>7.7802847584222039E-4</v>
      </c>
      <c r="G285" s="190">
        <f t="shared" si="9"/>
        <v>7.0566096910773155E-4</v>
      </c>
    </row>
    <row r="286" spans="1:7" x14ac:dyDescent="0.35">
      <c r="A286" s="189" t="s">
        <v>667</v>
      </c>
      <c r="B286" s="188" t="s">
        <v>112</v>
      </c>
      <c r="C286" s="189">
        <v>21.000000000000004</v>
      </c>
      <c r="D286" s="189">
        <v>21.000000000000004</v>
      </c>
      <c r="E286" s="189">
        <v>84.999999999999972</v>
      </c>
      <c r="F286" s="190">
        <f t="shared" si="8"/>
        <v>8.1692989963433153E-4</v>
      </c>
      <c r="G286" s="190">
        <f t="shared" si="9"/>
        <v>2.0777795201505429E-3</v>
      </c>
    </row>
    <row r="287" spans="1:7" x14ac:dyDescent="0.35">
      <c r="A287" s="189" t="s">
        <v>668</v>
      </c>
      <c r="B287" s="188" t="s">
        <v>128</v>
      </c>
      <c r="C287" s="189">
        <v>37.000000000000007</v>
      </c>
      <c r="D287" s="189">
        <v>36.000000000000007</v>
      </c>
      <c r="E287" s="189">
        <v>54</v>
      </c>
      <c r="F287" s="190">
        <f t="shared" si="8"/>
        <v>1.4393526803081079E-3</v>
      </c>
      <c r="G287" s="190">
        <f t="shared" si="9"/>
        <v>1.7641524227693293E-3</v>
      </c>
    </row>
    <row r="288" spans="1:7" x14ac:dyDescent="0.35">
      <c r="A288" s="189" t="s">
        <v>669</v>
      </c>
      <c r="B288" s="188" t="s">
        <v>140</v>
      </c>
      <c r="C288" s="189">
        <v>11</v>
      </c>
      <c r="D288" s="189">
        <v>11</v>
      </c>
      <c r="E288" s="189">
        <v>12</v>
      </c>
      <c r="F288" s="190">
        <f t="shared" si="8"/>
        <v>4.2791566171322118E-4</v>
      </c>
      <c r="G288" s="190">
        <f t="shared" si="9"/>
        <v>4.5083895248549527E-4</v>
      </c>
    </row>
    <row r="289" spans="1:7" x14ac:dyDescent="0.35">
      <c r="A289" s="189" t="s">
        <v>670</v>
      </c>
      <c r="B289" s="188" t="s">
        <v>171</v>
      </c>
      <c r="C289" s="189">
        <v>16</v>
      </c>
      <c r="D289" s="189">
        <v>15</v>
      </c>
      <c r="E289" s="189">
        <v>24.000000000000004</v>
      </c>
      <c r="F289" s="190">
        <f t="shared" si="8"/>
        <v>6.2242278067377625E-4</v>
      </c>
      <c r="G289" s="190">
        <f t="shared" si="9"/>
        <v>7.6446604986670939E-4</v>
      </c>
    </row>
    <row r="290" spans="1:7" x14ac:dyDescent="0.35">
      <c r="A290" s="189" t="s">
        <v>671</v>
      </c>
      <c r="B290" s="188" t="s">
        <v>253</v>
      </c>
      <c r="C290" s="189">
        <v>8.0000000000000018</v>
      </c>
      <c r="D290" s="189">
        <v>7.0000000000000009</v>
      </c>
      <c r="E290" s="189">
        <v>29.999999999999996</v>
      </c>
      <c r="F290" s="190">
        <f t="shared" si="8"/>
        <v>3.1121139033688823E-4</v>
      </c>
      <c r="G290" s="190">
        <f t="shared" si="9"/>
        <v>7.2526266269405757E-4</v>
      </c>
    </row>
    <row r="291" spans="1:7" x14ac:dyDescent="0.35">
      <c r="A291" s="189" t="s">
        <v>672</v>
      </c>
      <c r="B291" s="188" t="s">
        <v>259</v>
      </c>
      <c r="C291" s="189">
        <v>13.999999999999998</v>
      </c>
      <c r="D291" s="189">
        <v>13.999999999999998</v>
      </c>
      <c r="E291" s="189">
        <v>41</v>
      </c>
      <c r="F291" s="190">
        <f t="shared" si="8"/>
        <v>5.4461993308955417E-4</v>
      </c>
      <c r="G291" s="190">
        <f t="shared" si="9"/>
        <v>1.0780931472479235E-3</v>
      </c>
    </row>
    <row r="292" spans="1:7" x14ac:dyDescent="0.35">
      <c r="A292" s="189" t="s">
        <v>673</v>
      </c>
      <c r="B292" s="188" t="s">
        <v>261</v>
      </c>
      <c r="C292" s="189">
        <v>110.99999999999999</v>
      </c>
      <c r="D292" s="189">
        <v>103.00000000000003</v>
      </c>
      <c r="E292" s="189">
        <v>206.0000000000002</v>
      </c>
      <c r="F292" s="190">
        <f t="shared" si="8"/>
        <v>4.3180580409243226E-3</v>
      </c>
      <c r="G292" s="190">
        <f t="shared" si="9"/>
        <v>6.0569233181747015E-3</v>
      </c>
    </row>
    <row r="293" spans="1:7" x14ac:dyDescent="0.35">
      <c r="A293" s="189" t="s">
        <v>674</v>
      </c>
      <c r="B293" s="188" t="s">
        <v>269</v>
      </c>
      <c r="C293" s="189">
        <v>21.000000000000007</v>
      </c>
      <c r="D293" s="189">
        <v>19.000000000000011</v>
      </c>
      <c r="E293" s="189">
        <v>86</v>
      </c>
      <c r="F293" s="190">
        <f t="shared" si="8"/>
        <v>8.1692989963433164E-4</v>
      </c>
      <c r="G293" s="190">
        <f t="shared" si="9"/>
        <v>2.0581778265642177E-3</v>
      </c>
    </row>
    <row r="294" spans="1:7" x14ac:dyDescent="0.35">
      <c r="A294" s="189" t="s">
        <v>675</v>
      </c>
      <c r="B294" s="188" t="s">
        <v>0</v>
      </c>
      <c r="C294" s="189">
        <v>15.999999999999995</v>
      </c>
      <c r="D294" s="189">
        <v>15.999999999999995</v>
      </c>
      <c r="E294" s="189">
        <v>27.999999999999993</v>
      </c>
      <c r="F294" s="190">
        <f t="shared" si="8"/>
        <v>6.2242278067377603E-4</v>
      </c>
      <c r="G294" s="190">
        <f t="shared" si="9"/>
        <v>8.624745177983385E-4</v>
      </c>
    </row>
    <row r="295" spans="1:7" x14ac:dyDescent="0.35">
      <c r="A295" s="189" t="s">
        <v>676</v>
      </c>
      <c r="B295" s="188" t="s">
        <v>55</v>
      </c>
      <c r="C295" s="189">
        <v>47.000000000000021</v>
      </c>
      <c r="D295" s="189">
        <v>46.000000000000014</v>
      </c>
      <c r="E295" s="189">
        <v>46</v>
      </c>
      <c r="F295" s="190">
        <f t="shared" si="8"/>
        <v>1.8283669182292187E-3</v>
      </c>
      <c r="G295" s="190">
        <f t="shared" si="9"/>
        <v>1.8033558099419813E-3</v>
      </c>
    </row>
    <row r="296" spans="1:7" x14ac:dyDescent="0.35">
      <c r="A296" s="189" t="s">
        <v>677</v>
      </c>
      <c r="B296" s="188" t="s">
        <v>72</v>
      </c>
      <c r="C296" s="189">
        <v>43.999999999999979</v>
      </c>
      <c r="D296" s="189">
        <v>40.999999999999972</v>
      </c>
      <c r="E296" s="189">
        <v>87.999999999999972</v>
      </c>
      <c r="F296" s="190">
        <f t="shared" si="8"/>
        <v>1.7116626468528838E-3</v>
      </c>
      <c r="G296" s="190">
        <f t="shared" si="9"/>
        <v>2.5286184726360374E-3</v>
      </c>
    </row>
    <row r="297" spans="1:7" x14ac:dyDescent="0.35">
      <c r="A297" s="189" t="s">
        <v>678</v>
      </c>
      <c r="B297" s="188" t="s">
        <v>172</v>
      </c>
      <c r="C297" s="189">
        <v>15</v>
      </c>
      <c r="D297" s="189">
        <v>15</v>
      </c>
      <c r="E297" s="189">
        <v>35.999999999999993</v>
      </c>
      <c r="F297" s="190">
        <f t="shared" si="8"/>
        <v>5.8352135688166521E-4</v>
      </c>
      <c r="G297" s="190">
        <f t="shared" si="9"/>
        <v>9.9968637290261987E-4</v>
      </c>
    </row>
    <row r="298" spans="1:7" x14ac:dyDescent="0.35">
      <c r="A298" s="189" t="s">
        <v>679</v>
      </c>
      <c r="B298" s="188" t="s">
        <v>79</v>
      </c>
      <c r="C298" s="189">
        <v>21.000000000000004</v>
      </c>
      <c r="D298" s="189">
        <v>21.000000000000004</v>
      </c>
      <c r="E298" s="189">
        <v>10.000000000000004</v>
      </c>
      <c r="F298" s="190">
        <f t="shared" si="8"/>
        <v>8.1692989963433153E-4</v>
      </c>
      <c r="G298" s="190">
        <f t="shared" si="9"/>
        <v>6.0765250117610244E-4</v>
      </c>
    </row>
    <row r="299" spans="1:7" x14ac:dyDescent="0.35">
      <c r="A299" s="189" t="s">
        <v>680</v>
      </c>
      <c r="B299" s="188" t="s">
        <v>218</v>
      </c>
      <c r="C299" s="189">
        <v>11</v>
      </c>
      <c r="D299" s="189">
        <v>10.000000000000002</v>
      </c>
      <c r="E299" s="189">
        <v>13.000000000000002</v>
      </c>
      <c r="F299" s="190">
        <f t="shared" si="8"/>
        <v>4.2791566171322118E-4</v>
      </c>
      <c r="G299" s="190">
        <f t="shared" si="9"/>
        <v>4.5083895248549532E-4</v>
      </c>
    </row>
    <row r="300" spans="1:7" x14ac:dyDescent="0.35">
      <c r="A300" s="189" t="s">
        <v>681</v>
      </c>
      <c r="B300" s="188" t="s">
        <v>345</v>
      </c>
      <c r="C300" s="189">
        <v>16.000000000000004</v>
      </c>
      <c r="D300" s="189">
        <v>14.000000000000004</v>
      </c>
      <c r="E300" s="189">
        <v>10.999999999999998</v>
      </c>
      <c r="F300" s="190">
        <f t="shared" si="8"/>
        <v>6.2242278067377646E-4</v>
      </c>
      <c r="G300" s="190">
        <f t="shared" si="9"/>
        <v>4.9004233965814698E-4</v>
      </c>
    </row>
    <row r="301" spans="1:7" x14ac:dyDescent="0.35">
      <c r="A301" s="189" t="s">
        <v>682</v>
      </c>
      <c r="B301" s="188" t="s">
        <v>219</v>
      </c>
      <c r="C301" s="189">
        <v>41</v>
      </c>
      <c r="D301" s="189">
        <v>41</v>
      </c>
      <c r="E301" s="189">
        <v>11</v>
      </c>
      <c r="F301" s="190">
        <f t="shared" si="8"/>
        <v>1.5949583754765516E-3</v>
      </c>
      <c r="G301" s="190">
        <f t="shared" si="9"/>
        <v>1.0192880664889458E-3</v>
      </c>
    </row>
    <row r="302" spans="1:7" x14ac:dyDescent="0.35">
      <c r="A302" s="189" t="s">
        <v>683</v>
      </c>
      <c r="B302" s="188" t="s">
        <v>298</v>
      </c>
      <c r="C302" s="189">
        <v>45.000000000000007</v>
      </c>
      <c r="D302" s="189">
        <v>43.999999999999993</v>
      </c>
      <c r="E302" s="189">
        <v>48.999999999999986</v>
      </c>
      <c r="F302" s="190">
        <f t="shared" si="8"/>
        <v>1.750564070644996E-3</v>
      </c>
      <c r="G302" s="190">
        <f t="shared" si="9"/>
        <v>1.8229575035283063E-3</v>
      </c>
    </row>
    <row r="303" spans="1:7" x14ac:dyDescent="0.35">
      <c r="A303" s="189" t="s">
        <v>684</v>
      </c>
      <c r="B303" s="188" t="s">
        <v>337</v>
      </c>
      <c r="C303" s="189">
        <v>20</v>
      </c>
      <c r="D303" s="189">
        <v>20</v>
      </c>
      <c r="E303" s="189">
        <v>25.000000000000004</v>
      </c>
      <c r="F303" s="190">
        <f t="shared" si="8"/>
        <v>7.7802847584222039E-4</v>
      </c>
      <c r="G303" s="190">
        <f t="shared" si="9"/>
        <v>8.8207621138466463E-4</v>
      </c>
    </row>
    <row r="304" spans="1:7" x14ac:dyDescent="0.35">
      <c r="A304" s="189" t="s">
        <v>685</v>
      </c>
      <c r="B304" s="188" t="s">
        <v>686</v>
      </c>
      <c r="C304" s="189">
        <v>11</v>
      </c>
      <c r="D304" s="189">
        <v>9.0000000000000018</v>
      </c>
      <c r="E304" s="189">
        <v>17.000000000000004</v>
      </c>
      <c r="F304" s="190">
        <f t="shared" si="8"/>
        <v>4.2791566171322118E-4</v>
      </c>
      <c r="G304" s="190">
        <f t="shared" si="9"/>
        <v>5.09644033244473E-4</v>
      </c>
    </row>
    <row r="305" spans="1:7" x14ac:dyDescent="0.35">
      <c r="A305" s="189" t="s">
        <v>687</v>
      </c>
      <c r="B305" s="188" t="s">
        <v>185</v>
      </c>
      <c r="C305" s="189">
        <v>51.999999999999993</v>
      </c>
      <c r="D305" s="189">
        <v>51.999999999999993</v>
      </c>
      <c r="E305" s="189">
        <v>36.999999999999993</v>
      </c>
      <c r="F305" s="190">
        <f t="shared" si="8"/>
        <v>2.0228740371897726E-3</v>
      </c>
      <c r="G305" s="190">
        <f t="shared" si="9"/>
        <v>1.7445507291830031E-3</v>
      </c>
    </row>
    <row r="306" spans="1:7" x14ac:dyDescent="0.35">
      <c r="A306" s="189" t="s">
        <v>688</v>
      </c>
      <c r="B306" s="188" t="s">
        <v>71</v>
      </c>
      <c r="C306" s="189">
        <v>13.999999999999996</v>
      </c>
      <c r="D306" s="189">
        <v>12</v>
      </c>
      <c r="E306" s="189">
        <v>35.999999999999993</v>
      </c>
      <c r="F306" s="190">
        <f t="shared" si="8"/>
        <v>5.4461993308955407E-4</v>
      </c>
      <c r="G306" s="190">
        <f t="shared" si="9"/>
        <v>9.4088129214364214E-4</v>
      </c>
    </row>
    <row r="307" spans="1:7" x14ac:dyDescent="0.35">
      <c r="A307" s="189" t="s">
        <v>689</v>
      </c>
      <c r="B307" s="188" t="s">
        <v>286</v>
      </c>
      <c r="C307" s="189">
        <v>55.999999999999993</v>
      </c>
      <c r="D307" s="189">
        <v>55.000000000000021</v>
      </c>
      <c r="E307" s="189">
        <v>59.999999999999986</v>
      </c>
      <c r="F307" s="190">
        <f t="shared" si="8"/>
        <v>2.1784797323582167E-3</v>
      </c>
      <c r="G307" s="190">
        <f t="shared" si="9"/>
        <v>2.2541947624274764E-3</v>
      </c>
    </row>
    <row r="308" spans="1:7" x14ac:dyDescent="0.35">
      <c r="A308" s="189" t="s">
        <v>690</v>
      </c>
      <c r="B308" s="188" t="s">
        <v>205</v>
      </c>
      <c r="C308" s="189">
        <v>52.000000000000007</v>
      </c>
      <c r="D308" s="189">
        <v>50.999999999999979</v>
      </c>
      <c r="E308" s="189">
        <v>27.000000000000011</v>
      </c>
      <c r="F308" s="190">
        <f t="shared" si="8"/>
        <v>2.022874037189773E-3</v>
      </c>
      <c r="G308" s="190">
        <f t="shared" si="9"/>
        <v>1.5289320997334183E-3</v>
      </c>
    </row>
    <row r="309" spans="1:7" x14ac:dyDescent="0.35">
      <c r="A309" s="189" t="s">
        <v>691</v>
      </c>
      <c r="B309" s="188" t="s">
        <v>96</v>
      </c>
      <c r="C309" s="189">
        <v>34</v>
      </c>
      <c r="D309" s="189">
        <v>34</v>
      </c>
      <c r="E309" s="189">
        <v>50.000000000000028</v>
      </c>
      <c r="F309" s="190">
        <f t="shared" si="8"/>
        <v>1.3226484089317746E-3</v>
      </c>
      <c r="G309" s="190">
        <f t="shared" si="9"/>
        <v>1.6465422612513745E-3</v>
      </c>
    </row>
    <row r="310" spans="1:7" x14ac:dyDescent="0.35">
      <c r="A310" s="189" t="s">
        <v>692</v>
      </c>
      <c r="B310" s="188" t="s">
        <v>277</v>
      </c>
      <c r="C310" s="189">
        <v>12.000000000000002</v>
      </c>
      <c r="D310" s="189">
        <v>10.000000000000002</v>
      </c>
      <c r="E310" s="189">
        <v>57.000000000000014</v>
      </c>
      <c r="F310" s="190">
        <f t="shared" si="8"/>
        <v>4.6681708550533227E-4</v>
      </c>
      <c r="G310" s="190">
        <f t="shared" si="9"/>
        <v>1.3133134702838342E-3</v>
      </c>
    </row>
    <row r="311" spans="1:7" x14ac:dyDescent="0.35">
      <c r="A311" s="189" t="s">
        <v>693</v>
      </c>
      <c r="B311" s="188" t="s">
        <v>92</v>
      </c>
      <c r="C311" s="189">
        <v>12.999999999999996</v>
      </c>
      <c r="D311" s="189">
        <v>10.999999999999996</v>
      </c>
      <c r="E311" s="189">
        <v>25</v>
      </c>
      <c r="F311" s="190">
        <f t="shared" si="8"/>
        <v>5.0571850929744303E-4</v>
      </c>
      <c r="G311" s="190">
        <f t="shared" si="9"/>
        <v>7.0566096910773166E-4</v>
      </c>
    </row>
    <row r="312" spans="1:7" x14ac:dyDescent="0.35">
      <c r="A312" s="189" t="s">
        <v>694</v>
      </c>
      <c r="B312" s="188" t="s">
        <v>46</v>
      </c>
      <c r="C312" s="189">
        <v>33.000000000000007</v>
      </c>
      <c r="D312" s="189">
        <v>30.000000000000018</v>
      </c>
      <c r="E312" s="189">
        <v>78.999999999999957</v>
      </c>
      <c r="F312" s="190">
        <f t="shared" si="8"/>
        <v>1.2837469851396637E-3</v>
      </c>
      <c r="G312" s="190">
        <f t="shared" si="9"/>
        <v>2.1365846009095205E-3</v>
      </c>
    </row>
    <row r="313" spans="1:7" x14ac:dyDescent="0.35">
      <c r="A313" s="189" t="s">
        <v>695</v>
      </c>
      <c r="B313" s="188" t="s">
        <v>21</v>
      </c>
      <c r="C313" s="189">
        <v>0</v>
      </c>
      <c r="D313" s="189">
        <v>0</v>
      </c>
      <c r="E313" s="189">
        <v>4</v>
      </c>
      <c r="F313" s="190">
        <f t="shared" si="8"/>
        <v>0</v>
      </c>
      <c r="G313" s="190">
        <f t="shared" si="9"/>
        <v>7.840677434530353E-5</v>
      </c>
    </row>
    <row r="314" spans="1:7" x14ac:dyDescent="0.35">
      <c r="A314" s="189" t="s">
        <v>696</v>
      </c>
      <c r="B314" s="188" t="s">
        <v>41</v>
      </c>
      <c r="C314" s="189">
        <v>9</v>
      </c>
      <c r="D314" s="189">
        <v>9</v>
      </c>
      <c r="E314" s="189">
        <v>36.999999999999993</v>
      </c>
      <c r="F314" s="190">
        <f t="shared" si="8"/>
        <v>3.5011281412899916E-4</v>
      </c>
      <c r="G314" s="190">
        <f t="shared" si="9"/>
        <v>9.0167790497099043E-4</v>
      </c>
    </row>
    <row r="315" spans="1:7" x14ac:dyDescent="0.35">
      <c r="A315" s="189" t="s">
        <v>697</v>
      </c>
      <c r="B315" s="188" t="s">
        <v>50</v>
      </c>
      <c r="C315" s="189">
        <v>13.000000000000004</v>
      </c>
      <c r="D315" s="189">
        <v>9.0000000000000036</v>
      </c>
      <c r="E315" s="189">
        <v>70</v>
      </c>
      <c r="F315" s="190">
        <f t="shared" si="8"/>
        <v>5.0571850929744336E-4</v>
      </c>
      <c r="G315" s="190">
        <f t="shared" si="9"/>
        <v>1.5485337933197447E-3</v>
      </c>
    </row>
    <row r="316" spans="1:7" x14ac:dyDescent="0.35">
      <c r="A316" s="189" t="s">
        <v>698</v>
      </c>
      <c r="B316" s="188" t="s">
        <v>123</v>
      </c>
      <c r="C316" s="189">
        <v>9</v>
      </c>
      <c r="D316" s="189">
        <v>9</v>
      </c>
      <c r="E316" s="189">
        <v>4.9999999999999991</v>
      </c>
      <c r="F316" s="190">
        <f t="shared" si="8"/>
        <v>3.5011281412899916E-4</v>
      </c>
      <c r="G316" s="190">
        <f t="shared" si="9"/>
        <v>2.7442371020856235E-4</v>
      </c>
    </row>
    <row r="317" spans="1:7" x14ac:dyDescent="0.35">
      <c r="A317" s="189" t="s">
        <v>699</v>
      </c>
      <c r="B317" s="188" t="s">
        <v>299</v>
      </c>
      <c r="C317" s="189">
        <v>44.000000000000014</v>
      </c>
      <c r="D317" s="189">
        <v>43.000000000000007</v>
      </c>
      <c r="E317" s="189">
        <v>34.000000000000014</v>
      </c>
      <c r="F317" s="190">
        <f t="shared" si="8"/>
        <v>1.7116626468528854E-3</v>
      </c>
      <c r="G317" s="190">
        <f t="shared" si="9"/>
        <v>1.5093304061470933E-3</v>
      </c>
    </row>
    <row r="318" spans="1:7" x14ac:dyDescent="0.35">
      <c r="A318" s="189" t="s">
        <v>700</v>
      </c>
      <c r="B318" s="188" t="s">
        <v>701</v>
      </c>
      <c r="C318" s="189">
        <v>30.000000000000004</v>
      </c>
      <c r="D318" s="189">
        <v>30.000000000000004</v>
      </c>
      <c r="E318" s="189">
        <v>48.000000000000007</v>
      </c>
      <c r="F318" s="190">
        <f t="shared" si="8"/>
        <v>1.1670427137633306E-3</v>
      </c>
      <c r="G318" s="190">
        <f t="shared" si="9"/>
        <v>1.528932099733419E-3</v>
      </c>
    </row>
    <row r="319" spans="1:7" x14ac:dyDescent="0.35">
      <c r="A319" s="189" t="s">
        <v>702</v>
      </c>
      <c r="B319" s="188" t="s">
        <v>242</v>
      </c>
      <c r="C319" s="189">
        <v>93.000000000000014</v>
      </c>
      <c r="D319" s="189">
        <v>90.999999999999943</v>
      </c>
      <c r="E319" s="189">
        <v>48</v>
      </c>
      <c r="F319" s="190">
        <f t="shared" si="8"/>
        <v>3.6178324126663252E-3</v>
      </c>
      <c r="G319" s="190">
        <f t="shared" si="9"/>
        <v>2.7246354084992964E-3</v>
      </c>
    </row>
    <row r="320" spans="1:7" x14ac:dyDescent="0.35">
      <c r="A320" s="189" t="s">
        <v>703</v>
      </c>
      <c r="B320" s="188" t="s">
        <v>154</v>
      </c>
      <c r="C320" s="189">
        <v>30.999999999999989</v>
      </c>
      <c r="D320" s="189">
        <v>30.999999999999989</v>
      </c>
      <c r="E320" s="189">
        <v>23</v>
      </c>
      <c r="F320" s="190">
        <f t="shared" si="8"/>
        <v>1.205944137555441E-3</v>
      </c>
      <c r="G320" s="190">
        <f t="shared" si="9"/>
        <v>1.0584914536615974E-3</v>
      </c>
    </row>
    <row r="321" spans="1:7" x14ac:dyDescent="0.35">
      <c r="A321" s="189" t="s">
        <v>704</v>
      </c>
      <c r="B321" s="188" t="s">
        <v>210</v>
      </c>
      <c r="C321" s="189">
        <v>17.000000000000004</v>
      </c>
      <c r="D321" s="189">
        <v>17.000000000000004</v>
      </c>
      <c r="E321" s="189">
        <v>36.999999999999993</v>
      </c>
      <c r="F321" s="190">
        <f t="shared" si="8"/>
        <v>6.6132420446588739E-4</v>
      </c>
      <c r="G321" s="190">
        <f t="shared" si="9"/>
        <v>1.0584914536615976E-3</v>
      </c>
    </row>
    <row r="322" spans="1:7" x14ac:dyDescent="0.35">
      <c r="A322" s="189" t="s">
        <v>705</v>
      </c>
      <c r="B322" s="188" t="s">
        <v>257</v>
      </c>
      <c r="C322" s="189">
        <v>34.999999999999993</v>
      </c>
      <c r="D322" s="189">
        <v>33.999999999999993</v>
      </c>
      <c r="E322" s="189">
        <v>32.000000000000007</v>
      </c>
      <c r="F322" s="190">
        <f t="shared" si="8"/>
        <v>1.3615498327238854E-3</v>
      </c>
      <c r="G322" s="190">
        <f t="shared" si="9"/>
        <v>1.2937117766975081E-3</v>
      </c>
    </row>
    <row r="323" spans="1:7" x14ac:dyDescent="0.35">
      <c r="A323" s="189" t="s">
        <v>706</v>
      </c>
      <c r="B323" s="188" t="s">
        <v>111</v>
      </c>
      <c r="C323" s="189">
        <v>31.000000000000007</v>
      </c>
      <c r="D323" s="189">
        <v>27</v>
      </c>
      <c r="E323" s="189">
        <v>100.00000000000001</v>
      </c>
      <c r="F323" s="190">
        <f t="shared" si="8"/>
        <v>1.2059441375554419E-3</v>
      </c>
      <c r="G323" s="190">
        <f t="shared" si="9"/>
        <v>2.4894150854633873E-3</v>
      </c>
    </row>
    <row r="324" spans="1:7" x14ac:dyDescent="0.35">
      <c r="A324" s="189" t="s">
        <v>707</v>
      </c>
      <c r="B324" s="188" t="s">
        <v>230</v>
      </c>
      <c r="C324" s="189">
        <v>17</v>
      </c>
      <c r="D324" s="189">
        <v>16</v>
      </c>
      <c r="E324" s="189">
        <v>22.999999999999996</v>
      </c>
      <c r="F324" s="190">
        <f t="shared" si="8"/>
        <v>6.6132420446588728E-4</v>
      </c>
      <c r="G324" s="190">
        <f t="shared" si="9"/>
        <v>7.6446604986670939E-4</v>
      </c>
    </row>
    <row r="325" spans="1:7" x14ac:dyDescent="0.35">
      <c r="A325" s="189" t="s">
        <v>708</v>
      </c>
      <c r="B325" s="188" t="s">
        <v>86</v>
      </c>
      <c r="C325" s="189">
        <v>20</v>
      </c>
      <c r="D325" s="189">
        <v>20</v>
      </c>
      <c r="E325" s="189">
        <v>14</v>
      </c>
      <c r="F325" s="190">
        <f t="shared" si="8"/>
        <v>7.7802847584222039E-4</v>
      </c>
      <c r="G325" s="190">
        <f t="shared" si="9"/>
        <v>6.6645758193507995E-4</v>
      </c>
    </row>
    <row r="326" spans="1:7" x14ac:dyDescent="0.35">
      <c r="A326" s="189" t="s">
        <v>709</v>
      </c>
      <c r="B326" s="188" t="s">
        <v>340</v>
      </c>
      <c r="C326" s="189">
        <v>113.00000000000007</v>
      </c>
      <c r="D326" s="189">
        <v>111.00000000000003</v>
      </c>
      <c r="E326" s="189">
        <v>70.999999999999986</v>
      </c>
      <c r="F326" s="190">
        <f t="shared" si="8"/>
        <v>4.3958608885085477E-3</v>
      </c>
      <c r="G326" s="190">
        <f t="shared" si="9"/>
        <v>3.5675082327113103E-3</v>
      </c>
    </row>
    <row r="327" spans="1:7" x14ac:dyDescent="0.35">
      <c r="A327" s="189" t="s">
        <v>710</v>
      </c>
      <c r="B327" s="188" t="s">
        <v>202</v>
      </c>
      <c r="C327" s="189">
        <v>20.000000000000004</v>
      </c>
      <c r="D327" s="189">
        <v>20.000000000000004</v>
      </c>
      <c r="E327" s="189">
        <v>13.000000000000002</v>
      </c>
      <c r="F327" s="190">
        <f t="shared" si="8"/>
        <v>7.780284758422205E-4</v>
      </c>
      <c r="G327" s="190">
        <f t="shared" si="9"/>
        <v>6.4685588834875426E-4</v>
      </c>
    </row>
    <row r="328" spans="1:7" x14ac:dyDescent="0.35">
      <c r="A328" s="189" t="s">
        <v>711</v>
      </c>
      <c r="B328" s="188" t="s">
        <v>45</v>
      </c>
      <c r="C328" s="189">
        <v>59.999999999999964</v>
      </c>
      <c r="D328" s="189">
        <v>59.999999999999964</v>
      </c>
      <c r="E328" s="189">
        <v>52</v>
      </c>
      <c r="F328" s="190">
        <f t="shared" si="8"/>
        <v>2.3340854275266595E-3</v>
      </c>
      <c r="G328" s="190">
        <f t="shared" si="9"/>
        <v>2.195389681668498E-3</v>
      </c>
    </row>
    <row r="329" spans="1:7" x14ac:dyDescent="0.35">
      <c r="A329" s="189" t="s">
        <v>712</v>
      </c>
      <c r="B329" s="188" t="s">
        <v>62</v>
      </c>
      <c r="C329" s="189">
        <v>39</v>
      </c>
      <c r="D329" s="189">
        <v>39</v>
      </c>
      <c r="E329" s="189">
        <v>49.999999999999986</v>
      </c>
      <c r="F329" s="190">
        <f t="shared" si="8"/>
        <v>1.5171555278923297E-3</v>
      </c>
      <c r="G329" s="190">
        <f t="shared" si="9"/>
        <v>1.7445507291830031E-3</v>
      </c>
    </row>
    <row r="330" spans="1:7" x14ac:dyDescent="0.35">
      <c r="A330" s="189" t="s">
        <v>713</v>
      </c>
      <c r="B330" s="188" t="s">
        <v>275</v>
      </c>
      <c r="C330" s="189">
        <v>226</v>
      </c>
      <c r="D330" s="189">
        <v>225.00000000000006</v>
      </c>
      <c r="E330" s="189">
        <v>83.000000000000028</v>
      </c>
      <c r="F330" s="190">
        <f t="shared" ref="F330:F363" si="10">+C330/(C$5-C$8)*100%</f>
        <v>8.7917217770170902E-3</v>
      </c>
      <c r="G330" s="190">
        <f t="shared" ref="G330:G363" si="11">(+D330+E330)/(D$5-D$8+E$5-E$8)*100%</f>
        <v>6.0373216245883732E-3</v>
      </c>
    </row>
    <row r="331" spans="1:7" x14ac:dyDescent="0.35">
      <c r="A331" s="189" t="s">
        <v>714</v>
      </c>
      <c r="B331" s="188" t="s">
        <v>163</v>
      </c>
      <c r="C331" s="189">
        <v>18</v>
      </c>
      <c r="D331" s="189">
        <v>17</v>
      </c>
      <c r="E331" s="189">
        <v>17</v>
      </c>
      <c r="F331" s="190">
        <f t="shared" si="10"/>
        <v>7.0022562825799832E-4</v>
      </c>
      <c r="G331" s="190">
        <f t="shared" si="11"/>
        <v>6.6645758193507995E-4</v>
      </c>
    </row>
    <row r="332" spans="1:7" x14ac:dyDescent="0.35">
      <c r="A332" s="189" t="s">
        <v>715</v>
      </c>
      <c r="B332" s="188" t="s">
        <v>75</v>
      </c>
      <c r="C332" s="189">
        <v>21.999999999999993</v>
      </c>
      <c r="D332" s="189">
        <v>21</v>
      </c>
      <c r="E332" s="189">
        <v>18.000000000000004</v>
      </c>
      <c r="F332" s="190">
        <f t="shared" si="10"/>
        <v>8.5583132342644213E-4</v>
      </c>
      <c r="G332" s="190">
        <f t="shared" si="11"/>
        <v>7.6446604986670939E-4</v>
      </c>
    </row>
    <row r="333" spans="1:7" x14ac:dyDescent="0.35">
      <c r="A333" s="189" t="s">
        <v>716</v>
      </c>
      <c r="B333" s="188" t="s">
        <v>360</v>
      </c>
      <c r="C333" s="189">
        <v>46.000000000000007</v>
      </c>
      <c r="D333" s="189">
        <v>46.000000000000007</v>
      </c>
      <c r="E333" s="189">
        <v>25.999999999999996</v>
      </c>
      <c r="F333" s="190">
        <f t="shared" si="10"/>
        <v>1.789465494437107E-3</v>
      </c>
      <c r="G333" s="190">
        <f t="shared" si="11"/>
        <v>1.4113219382154633E-3</v>
      </c>
    </row>
    <row r="334" spans="1:7" x14ac:dyDescent="0.35">
      <c r="A334" s="189" t="s">
        <v>717</v>
      </c>
      <c r="B334" s="188" t="s">
        <v>244</v>
      </c>
      <c r="C334" s="189">
        <v>43.000000000000007</v>
      </c>
      <c r="D334" s="189">
        <v>42.000000000000007</v>
      </c>
      <c r="E334" s="189">
        <v>38.000000000000007</v>
      </c>
      <c r="F334" s="190">
        <f t="shared" si="10"/>
        <v>1.6727612230607741E-3</v>
      </c>
      <c r="G334" s="190">
        <f t="shared" si="11"/>
        <v>1.5681354869060708E-3</v>
      </c>
    </row>
    <row r="335" spans="1:7" x14ac:dyDescent="0.35">
      <c r="A335" s="189" t="s">
        <v>718</v>
      </c>
      <c r="B335" s="188" t="s">
        <v>227</v>
      </c>
      <c r="C335" s="189">
        <v>90.999999999999957</v>
      </c>
      <c r="D335" s="189">
        <v>90.999999999999957</v>
      </c>
      <c r="E335" s="189">
        <v>82.000000000000028</v>
      </c>
      <c r="F335" s="190">
        <f t="shared" si="10"/>
        <v>3.540029565082101E-3</v>
      </c>
      <c r="G335" s="190">
        <f t="shared" si="11"/>
        <v>3.3910929904343774E-3</v>
      </c>
    </row>
    <row r="336" spans="1:7" x14ac:dyDescent="0.35">
      <c r="A336" s="189" t="s">
        <v>719</v>
      </c>
      <c r="B336" s="188" t="s">
        <v>363</v>
      </c>
      <c r="C336" s="189">
        <v>37.000000000000007</v>
      </c>
      <c r="D336" s="189">
        <v>37.000000000000007</v>
      </c>
      <c r="E336" s="189">
        <v>21.000000000000004</v>
      </c>
      <c r="F336" s="190">
        <f t="shared" si="10"/>
        <v>1.4393526803081079E-3</v>
      </c>
      <c r="G336" s="190">
        <f t="shared" si="11"/>
        <v>1.1368982280069015E-3</v>
      </c>
    </row>
    <row r="337" spans="1:7" x14ac:dyDescent="0.35">
      <c r="A337" s="189" t="s">
        <v>720</v>
      </c>
      <c r="B337" s="188" t="s">
        <v>721</v>
      </c>
      <c r="C337" s="189">
        <v>99</v>
      </c>
      <c r="D337" s="189">
        <v>99</v>
      </c>
      <c r="E337" s="189">
        <v>48.000000000000014</v>
      </c>
      <c r="F337" s="190">
        <f t="shared" si="10"/>
        <v>3.8512409554189906E-3</v>
      </c>
      <c r="G337" s="190">
        <f t="shared" si="11"/>
        <v>2.8814489571899046E-3</v>
      </c>
    </row>
    <row r="338" spans="1:7" x14ac:dyDescent="0.35">
      <c r="A338" s="189" t="s">
        <v>722</v>
      </c>
      <c r="B338" s="188" t="s">
        <v>53</v>
      </c>
      <c r="C338" s="189">
        <v>34</v>
      </c>
      <c r="D338" s="189">
        <v>34</v>
      </c>
      <c r="E338" s="189">
        <v>17</v>
      </c>
      <c r="F338" s="190">
        <f t="shared" si="10"/>
        <v>1.3226484089317746E-3</v>
      </c>
      <c r="G338" s="190">
        <f t="shared" si="11"/>
        <v>9.9968637290261987E-4</v>
      </c>
    </row>
    <row r="339" spans="1:7" x14ac:dyDescent="0.35">
      <c r="A339" s="189" t="s">
        <v>723</v>
      </c>
      <c r="B339" s="188" t="s">
        <v>101</v>
      </c>
      <c r="C339" s="189">
        <v>52.999999999999986</v>
      </c>
      <c r="D339" s="189">
        <v>51.999999999999993</v>
      </c>
      <c r="E339" s="189">
        <v>29.000000000000007</v>
      </c>
      <c r="F339" s="190">
        <f t="shared" si="10"/>
        <v>2.0617754609818834E-3</v>
      </c>
      <c r="G339" s="190">
        <f t="shared" si="11"/>
        <v>1.5877371804923963E-3</v>
      </c>
    </row>
    <row r="340" spans="1:7" x14ac:dyDescent="0.35">
      <c r="A340" s="189" t="s">
        <v>724</v>
      </c>
      <c r="B340" s="188" t="s">
        <v>288</v>
      </c>
      <c r="C340" s="189">
        <v>57.000000000000014</v>
      </c>
      <c r="D340" s="189">
        <v>55.999999999999957</v>
      </c>
      <c r="E340" s="189">
        <v>64.999999999999986</v>
      </c>
      <c r="F340" s="190">
        <f t="shared" si="10"/>
        <v>2.2173811561503284E-3</v>
      </c>
      <c r="G340" s="190">
        <f t="shared" si="11"/>
        <v>2.3718049239454305E-3</v>
      </c>
    </row>
    <row r="341" spans="1:7" x14ac:dyDescent="0.35">
      <c r="A341" s="189" t="s">
        <v>725</v>
      </c>
      <c r="B341" s="188" t="s">
        <v>155</v>
      </c>
      <c r="C341" s="189">
        <v>72.000000000000014</v>
      </c>
      <c r="D341" s="189">
        <v>70.000000000000014</v>
      </c>
      <c r="E341" s="189">
        <v>39</v>
      </c>
      <c r="F341" s="190">
        <f t="shared" si="10"/>
        <v>2.8009025130319937E-3</v>
      </c>
      <c r="G341" s="190">
        <f t="shared" si="11"/>
        <v>2.1365846009095213E-3</v>
      </c>
    </row>
    <row r="342" spans="1:7" x14ac:dyDescent="0.35">
      <c r="A342" s="189" t="s">
        <v>726</v>
      </c>
      <c r="B342" s="188" t="s">
        <v>181</v>
      </c>
      <c r="C342" s="189">
        <v>127.99999999999996</v>
      </c>
      <c r="D342" s="189">
        <v>126.00000000000003</v>
      </c>
      <c r="E342" s="189">
        <v>49.999999999999986</v>
      </c>
      <c r="F342" s="190">
        <f t="shared" si="10"/>
        <v>4.9793822453902082E-3</v>
      </c>
      <c r="G342" s="190">
        <f t="shared" si="11"/>
        <v>3.4498980711933549E-3</v>
      </c>
    </row>
    <row r="343" spans="1:7" x14ac:dyDescent="0.35">
      <c r="A343" s="189" t="s">
        <v>727</v>
      </c>
      <c r="B343" s="188" t="s">
        <v>115</v>
      </c>
      <c r="C343" s="189">
        <v>48</v>
      </c>
      <c r="D343" s="189">
        <v>46</v>
      </c>
      <c r="E343" s="189">
        <v>47.999999999999979</v>
      </c>
      <c r="F343" s="190">
        <f t="shared" si="10"/>
        <v>1.8672683420213288E-3</v>
      </c>
      <c r="G343" s="190">
        <f t="shared" si="11"/>
        <v>1.8425591971146322E-3</v>
      </c>
    </row>
    <row r="344" spans="1:7" x14ac:dyDescent="0.35">
      <c r="A344" s="189" t="s">
        <v>728</v>
      </c>
      <c r="B344" s="188" t="s">
        <v>246</v>
      </c>
      <c r="C344" s="189">
        <v>54.999999999999986</v>
      </c>
      <c r="D344" s="189">
        <v>54.999999999999986</v>
      </c>
      <c r="E344" s="189">
        <v>22.000000000000014</v>
      </c>
      <c r="F344" s="190">
        <f t="shared" si="10"/>
        <v>2.1395783085661054E-3</v>
      </c>
      <c r="G344" s="190">
        <f t="shared" si="11"/>
        <v>1.5093304061470929E-3</v>
      </c>
    </row>
    <row r="345" spans="1:7" x14ac:dyDescent="0.35">
      <c r="A345" s="189" t="s">
        <v>729</v>
      </c>
      <c r="B345" s="188" t="s">
        <v>216</v>
      </c>
      <c r="C345" s="189">
        <v>134.99999999999997</v>
      </c>
      <c r="D345" s="189">
        <v>134</v>
      </c>
      <c r="E345" s="189">
        <v>62.000000000000014</v>
      </c>
      <c r="F345" s="190">
        <f t="shared" si="10"/>
        <v>5.2516922119349866E-3</v>
      </c>
      <c r="G345" s="190">
        <f t="shared" si="11"/>
        <v>3.8419319429198726E-3</v>
      </c>
    </row>
    <row r="346" spans="1:7" x14ac:dyDescent="0.35">
      <c r="A346" s="189" t="s">
        <v>730</v>
      </c>
      <c r="B346" s="188" t="s">
        <v>170</v>
      </c>
      <c r="C346" s="189">
        <v>67</v>
      </c>
      <c r="D346" s="189">
        <v>67</v>
      </c>
      <c r="E346" s="189">
        <v>47.999999999999986</v>
      </c>
      <c r="F346" s="190">
        <f t="shared" si="10"/>
        <v>2.6063953940714383E-3</v>
      </c>
      <c r="G346" s="190">
        <f t="shared" si="11"/>
        <v>2.2541947624274759E-3</v>
      </c>
    </row>
    <row r="347" spans="1:7" x14ac:dyDescent="0.35">
      <c r="A347" s="189" t="s">
        <v>731</v>
      </c>
      <c r="B347" s="188" t="s">
        <v>77</v>
      </c>
      <c r="C347" s="189">
        <v>44.000000000000007</v>
      </c>
      <c r="D347" s="189">
        <v>44.000000000000007</v>
      </c>
      <c r="E347" s="189">
        <v>17</v>
      </c>
      <c r="F347" s="190">
        <f t="shared" si="10"/>
        <v>1.7116626468528849E-3</v>
      </c>
      <c r="G347" s="190">
        <f t="shared" si="11"/>
        <v>1.195703308765879E-3</v>
      </c>
    </row>
    <row r="348" spans="1:7" x14ac:dyDescent="0.35">
      <c r="A348" s="189" t="s">
        <v>732</v>
      </c>
      <c r="B348" s="188" t="s">
        <v>118</v>
      </c>
      <c r="C348" s="189">
        <v>35.000000000000007</v>
      </c>
      <c r="D348" s="189">
        <v>34.000000000000007</v>
      </c>
      <c r="E348" s="189">
        <v>22.000000000000004</v>
      </c>
      <c r="F348" s="190">
        <f t="shared" si="10"/>
        <v>1.3615498327238858E-3</v>
      </c>
      <c r="G348" s="190">
        <f t="shared" si="11"/>
        <v>1.0976948408342496E-3</v>
      </c>
    </row>
    <row r="349" spans="1:7" x14ac:dyDescent="0.35">
      <c r="A349" s="189" t="s">
        <v>733</v>
      </c>
      <c r="B349" s="188" t="s">
        <v>40</v>
      </c>
      <c r="C349" s="189">
        <v>44</v>
      </c>
      <c r="D349" s="189">
        <v>44</v>
      </c>
      <c r="E349" s="189">
        <v>48.999999999999986</v>
      </c>
      <c r="F349" s="190">
        <f t="shared" si="10"/>
        <v>1.7116626468528847E-3</v>
      </c>
      <c r="G349" s="190">
        <f t="shared" si="11"/>
        <v>1.8229575035283066E-3</v>
      </c>
    </row>
    <row r="350" spans="1:7" x14ac:dyDescent="0.35">
      <c r="A350" s="189" t="s">
        <v>734</v>
      </c>
      <c r="B350" s="188" t="s">
        <v>198</v>
      </c>
      <c r="C350" s="189">
        <v>81.000000000000043</v>
      </c>
      <c r="D350" s="189">
        <v>72.000000000000043</v>
      </c>
      <c r="E350" s="189">
        <v>291.00000000000006</v>
      </c>
      <c r="F350" s="190">
        <f t="shared" si="10"/>
        <v>3.1510153271609941E-3</v>
      </c>
      <c r="G350" s="190">
        <f t="shared" si="11"/>
        <v>7.1154147718362967E-3</v>
      </c>
    </row>
    <row r="351" spans="1:7" x14ac:dyDescent="0.35">
      <c r="A351" s="189" t="s">
        <v>735</v>
      </c>
      <c r="B351" s="188" t="s">
        <v>325</v>
      </c>
      <c r="C351" s="189">
        <v>75.999999999999972</v>
      </c>
      <c r="D351" s="189">
        <v>75.999999999999972</v>
      </c>
      <c r="E351" s="189">
        <v>25.000000000000007</v>
      </c>
      <c r="F351" s="190">
        <f t="shared" si="10"/>
        <v>2.9565082082004361E-3</v>
      </c>
      <c r="G351" s="190">
        <f t="shared" si="11"/>
        <v>1.9797710522189136E-3</v>
      </c>
    </row>
    <row r="352" spans="1:7" x14ac:dyDescent="0.35">
      <c r="A352" s="189" t="s">
        <v>736</v>
      </c>
      <c r="B352" s="188" t="s">
        <v>339</v>
      </c>
      <c r="C352" s="189">
        <v>59.999999999999993</v>
      </c>
      <c r="D352" s="189">
        <v>59.999999999999993</v>
      </c>
      <c r="E352" s="189">
        <v>30.000000000000018</v>
      </c>
      <c r="F352" s="190">
        <f t="shared" si="10"/>
        <v>2.3340854275266608E-3</v>
      </c>
      <c r="G352" s="190">
        <f t="shared" si="11"/>
        <v>1.7641524227693295E-3</v>
      </c>
    </row>
    <row r="353" spans="1:7" x14ac:dyDescent="0.35">
      <c r="A353" s="189" t="s">
        <v>737</v>
      </c>
      <c r="B353" s="188" t="s">
        <v>203</v>
      </c>
      <c r="C353" s="189">
        <v>134.00000000000003</v>
      </c>
      <c r="D353" s="189">
        <v>134.00000000000003</v>
      </c>
      <c r="E353" s="189">
        <v>85.000000000000028</v>
      </c>
      <c r="F353" s="190">
        <f t="shared" si="10"/>
        <v>5.2127907881428775E-3</v>
      </c>
      <c r="G353" s="190">
        <f t="shared" si="11"/>
        <v>4.2927708954053692E-3</v>
      </c>
    </row>
    <row r="354" spans="1:7" x14ac:dyDescent="0.35">
      <c r="A354" s="189">
        <v>1954</v>
      </c>
      <c r="B354" s="188" t="s">
        <v>37</v>
      </c>
      <c r="C354" s="189">
        <v>46.000000000000014</v>
      </c>
      <c r="D354" s="189">
        <v>44.000000000000007</v>
      </c>
      <c r="E354" s="189">
        <v>22.000000000000007</v>
      </c>
      <c r="F354" s="190">
        <f t="shared" si="10"/>
        <v>1.7894654944371074E-3</v>
      </c>
      <c r="G354" s="190">
        <f t="shared" si="11"/>
        <v>1.2937117766975085E-3</v>
      </c>
    </row>
    <row r="355" spans="1:7" x14ac:dyDescent="0.35">
      <c r="A355" s="189" t="s">
        <v>738</v>
      </c>
      <c r="B355" s="188" t="s">
        <v>207</v>
      </c>
      <c r="C355" s="189">
        <v>63.999999999999993</v>
      </c>
      <c r="D355" s="189">
        <v>63</v>
      </c>
      <c r="E355" s="189">
        <v>62.000000000000028</v>
      </c>
      <c r="F355" s="190">
        <f t="shared" si="10"/>
        <v>2.489691122695105E-3</v>
      </c>
      <c r="G355" s="190">
        <f t="shared" si="11"/>
        <v>2.4502116982907359E-3</v>
      </c>
    </row>
    <row r="356" spans="1:7" x14ac:dyDescent="0.35">
      <c r="A356" s="189">
        <v>1959</v>
      </c>
      <c r="B356" s="188" t="s">
        <v>22</v>
      </c>
      <c r="C356" s="189">
        <v>63.999999999999993</v>
      </c>
      <c r="D356" s="189">
        <v>59</v>
      </c>
      <c r="E356" s="189">
        <v>87.999999999999986</v>
      </c>
      <c r="F356" s="190">
        <f t="shared" si="10"/>
        <v>2.489691122695105E-3</v>
      </c>
      <c r="G356" s="190">
        <f t="shared" si="11"/>
        <v>2.8814489571899046E-3</v>
      </c>
    </row>
    <row r="357" spans="1:7" x14ac:dyDescent="0.35">
      <c r="A357" s="189">
        <v>1960</v>
      </c>
      <c r="B357" s="188" t="s">
        <v>334</v>
      </c>
      <c r="C357" s="189">
        <v>52</v>
      </c>
      <c r="D357" s="189">
        <v>49.999999999999993</v>
      </c>
      <c r="E357" s="189">
        <v>59</v>
      </c>
      <c r="F357" s="190">
        <f t="shared" si="10"/>
        <v>2.022874037189773E-3</v>
      </c>
      <c r="G357" s="190">
        <f t="shared" si="11"/>
        <v>2.1365846009095209E-3</v>
      </c>
    </row>
    <row r="358" spans="1:7" x14ac:dyDescent="0.35">
      <c r="A358" s="189">
        <v>1961</v>
      </c>
      <c r="B358" s="188" t="s">
        <v>317</v>
      </c>
      <c r="C358" s="189">
        <v>55.999999999999993</v>
      </c>
      <c r="D358" s="189">
        <v>54.000000000000021</v>
      </c>
      <c r="E358" s="189">
        <v>60.000000000000021</v>
      </c>
      <c r="F358" s="190">
        <f t="shared" si="10"/>
        <v>2.1784797323582167E-3</v>
      </c>
      <c r="G358" s="190">
        <f t="shared" si="11"/>
        <v>2.2345930688411511E-3</v>
      </c>
    </row>
    <row r="359" spans="1:7" x14ac:dyDescent="0.35">
      <c r="A359" s="189">
        <v>1963</v>
      </c>
      <c r="B359" s="188" t="s">
        <v>153</v>
      </c>
      <c r="C359" s="189">
        <v>98</v>
      </c>
      <c r="D359" s="189">
        <v>95.999999999999972</v>
      </c>
      <c r="E359" s="189">
        <v>31.000000000000021</v>
      </c>
      <c r="F359" s="190">
        <f t="shared" si="10"/>
        <v>3.8123395316268798E-3</v>
      </c>
      <c r="G359" s="190">
        <f t="shared" si="11"/>
        <v>2.4894150854633868E-3</v>
      </c>
    </row>
    <row r="360" spans="1:7" x14ac:dyDescent="0.35">
      <c r="A360" s="189">
        <v>1966</v>
      </c>
      <c r="B360" s="188" t="s">
        <v>147</v>
      </c>
      <c r="C360" s="189">
        <v>96.000000000000043</v>
      </c>
      <c r="D360" s="189">
        <v>96.000000000000043</v>
      </c>
      <c r="E360" s="189">
        <v>104</v>
      </c>
      <c r="F360" s="190">
        <f t="shared" si="10"/>
        <v>3.7345366840426594E-3</v>
      </c>
      <c r="G360" s="190">
        <f t="shared" si="11"/>
        <v>3.9203387172651776E-3</v>
      </c>
    </row>
    <row r="361" spans="1:7" x14ac:dyDescent="0.35">
      <c r="A361" s="189">
        <v>1969</v>
      </c>
      <c r="B361" s="188" t="s">
        <v>336</v>
      </c>
      <c r="C361" s="189">
        <v>99.000000000000014</v>
      </c>
      <c r="D361" s="189">
        <v>98</v>
      </c>
      <c r="E361" s="189">
        <v>40.000000000000014</v>
      </c>
      <c r="F361" s="190">
        <f t="shared" si="10"/>
        <v>3.8512409554189914E-3</v>
      </c>
      <c r="G361" s="190">
        <f t="shared" si="11"/>
        <v>2.7050337149129716E-3</v>
      </c>
    </row>
    <row r="362" spans="1:7" x14ac:dyDescent="0.35">
      <c r="A362" s="189">
        <v>1970</v>
      </c>
      <c r="B362" s="188" t="s">
        <v>217</v>
      </c>
      <c r="C362" s="189">
        <v>56.999999999999993</v>
      </c>
      <c r="D362" s="189">
        <v>54.000000000000007</v>
      </c>
      <c r="E362" s="189">
        <v>40</v>
      </c>
      <c r="F362" s="190">
        <f t="shared" si="10"/>
        <v>2.2173811561503275E-3</v>
      </c>
      <c r="G362" s="190">
        <f t="shared" si="11"/>
        <v>1.8425591971146329E-3</v>
      </c>
    </row>
    <row r="363" spans="1:7" x14ac:dyDescent="0.35">
      <c r="A363" s="189">
        <v>1978</v>
      </c>
      <c r="B363" s="188" t="s">
        <v>206</v>
      </c>
      <c r="C363" s="189">
        <v>30</v>
      </c>
      <c r="D363" s="189">
        <v>28.999999999999993</v>
      </c>
      <c r="E363" s="189">
        <v>22</v>
      </c>
      <c r="F363" s="190">
        <f t="shared" si="10"/>
        <v>1.1670427137633304E-3</v>
      </c>
      <c r="G363" s="190">
        <f t="shared" si="11"/>
        <v>9.9968637290261987E-4</v>
      </c>
    </row>
    <row r="364" spans="1:7" x14ac:dyDescent="0.35">
      <c r="A364" s="178">
        <v>1979</v>
      </c>
      <c r="B364" s="178" t="s">
        <v>1285</v>
      </c>
      <c r="C364" s="178">
        <f>+C9+C10+C12</f>
        <v>98</v>
      </c>
      <c r="D364" s="178">
        <f t="shared" ref="D364:E364" si="12">+D9+D10+D12</f>
        <v>95</v>
      </c>
      <c r="E364" s="178">
        <f t="shared" si="12"/>
        <v>119</v>
      </c>
      <c r="F364" s="190">
        <f t="shared" ref="F364" si="13">+C364/(C$5-C$8)*100%</f>
        <v>3.8123395316268798E-3</v>
      </c>
      <c r="G364" s="190">
        <f t="shared" ref="G364" si="14">(+D364+E364)/(D$5-D$8+E$5-E$8)*100%</f>
        <v>4.1947624274737381E-3</v>
      </c>
    </row>
    <row r="365" spans="1:7" x14ac:dyDescent="0.35">
      <c r="A365" s="178">
        <v>1982</v>
      </c>
      <c r="B365" s="178" t="s">
        <v>1302</v>
      </c>
      <c r="C365" s="178">
        <f>+C214+C226+C233+C296+C304</f>
        <v>117.99999999999997</v>
      </c>
      <c r="D365" s="178">
        <f t="shared" ref="D365:E365" si="15">+D214+D226+D233+D296+D304</f>
        <v>108.99999999999996</v>
      </c>
      <c r="E365" s="178">
        <f t="shared" si="15"/>
        <v>277</v>
      </c>
      <c r="F365" s="190">
        <f t="shared" ref="F365" si="16">+C365/(C$5-C$8)*100%</f>
        <v>4.5903680074690992E-3</v>
      </c>
      <c r="G365" s="190">
        <f t="shared" ref="G365" si="17">(+D365+E365)/(D$5-D$8+E$5-E$8)*100%</f>
        <v>7.5662537243217885E-3</v>
      </c>
    </row>
    <row r="366" spans="1:7" x14ac:dyDescent="0.35">
      <c r="A366" s="178">
        <v>1991</v>
      </c>
      <c r="B366" s="178" t="s">
        <v>1301</v>
      </c>
      <c r="C366" s="178">
        <f>+C246+C297</f>
        <v>74</v>
      </c>
      <c r="D366" s="178">
        <f t="shared" ref="D366:E366" si="18">+D246+D297</f>
        <v>71.000000000000057</v>
      </c>
      <c r="E366" s="178">
        <f t="shared" si="18"/>
        <v>188.99999999999994</v>
      </c>
      <c r="F366" s="190">
        <f t="shared" ref="F366" si="19">+C366/(C$5-C$8)*100%</f>
        <v>2.8787053606162153E-3</v>
      </c>
      <c r="G366" s="190">
        <f t="shared" ref="G366" si="20">(+D366+E366)/(D$5-D$8+E$5-E$8)*100%</f>
        <v>5.0964403324447287E-3</v>
      </c>
    </row>
    <row r="367" spans="1:7" x14ac:dyDescent="0.35">
      <c r="A367" s="178">
        <v>1980</v>
      </c>
      <c r="B367" s="178" t="s">
        <v>1303</v>
      </c>
      <c r="C367" s="178">
        <f>+C132+C139</f>
        <v>194.00000000000006</v>
      </c>
      <c r="D367" s="178">
        <f t="shared" ref="D367:E367" si="21">+D132+D139</f>
        <v>193</v>
      </c>
      <c r="E367" s="178">
        <f t="shared" si="21"/>
        <v>75.999999999999986</v>
      </c>
      <c r="F367" s="190">
        <f t="shared" ref="F367" si="22">+C367/(C$5-C$8)*100%</f>
        <v>7.5468762156695396E-3</v>
      </c>
      <c r="G367" s="190">
        <f t="shared" ref="G367" si="23">(+D367+E367)/(D$5-D$8+E$5-E$8)*100%</f>
        <v>5.2728555747216617E-3</v>
      </c>
    </row>
  </sheetData>
  <mergeCells count="1">
    <mergeCell ref="F2:G2"/>
  </mergeCells>
  <hyperlinks>
    <hyperlink ref="B1" r:id="rId1" xr:uid="{42106DFB-FDC5-4801-9DB6-7E5BEF43BEE5}"/>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288FF5E0685B14BB2EBDE467F47EB6D" ma:contentTypeVersion="2" ma:contentTypeDescription="Een nieuw document maken." ma:contentTypeScope="" ma:versionID="fe6aa571b684f448bd97c844f799a3ee">
  <xsd:schema xmlns:xsd="http://www.w3.org/2001/XMLSchema" xmlns:xs="http://www.w3.org/2001/XMLSchema" xmlns:p="http://schemas.microsoft.com/office/2006/metadata/properties" xmlns:ns2="165cbe82-ed40-40fa-b0c4-be8475d0cf88" targetNamespace="http://schemas.microsoft.com/office/2006/metadata/properties" ma:root="true" ma:fieldsID="5b537dc04c36c975a10c45b02555e468" ns2:_="">
    <xsd:import namespace="165cbe82-ed40-40fa-b0c4-be8475d0cf8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5cbe82-ed40-40fa-b0c4-be8475d0cf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C5A95B-BC35-45B2-B837-93103FB6AA24}">
  <ds:schemaRefs>
    <ds:schemaRef ds:uri="http://purl.org/dc/terms/"/>
    <ds:schemaRef ds:uri="http://purl.org/dc/elements/1.1/"/>
    <ds:schemaRef ds:uri="165cbe82-ed40-40fa-b0c4-be8475d0cf88"/>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BAE2311-4117-46C4-A96F-DDB6C8C72834}">
  <ds:schemaRefs>
    <ds:schemaRef ds:uri="http://schemas.microsoft.com/sharepoint/v3/contenttype/forms"/>
  </ds:schemaRefs>
</ds:datastoreItem>
</file>

<file path=customXml/itemProps3.xml><?xml version="1.0" encoding="utf-8"?>
<ds:datastoreItem xmlns:ds="http://schemas.openxmlformats.org/officeDocument/2006/customXml" ds:itemID="{8CE3FA82-14C8-4B46-B816-4005EFA0E2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5cbe82-ed40-40fa-b0c4-be8475d0cf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Start</vt:lpstr>
      <vt:lpstr>1 Grafieken</vt:lpstr>
      <vt:lpstr>2 Cijfers</vt:lpstr>
      <vt:lpstr>3 FAQ</vt:lpstr>
      <vt:lpstr>Recap circulaires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Jan-Dirk de Goeij</dc:creator>
  <cp:keywords/>
  <dc:description/>
  <cp:lastModifiedBy>Jan-Dirk de Goeij</cp:lastModifiedBy>
  <cp:revision/>
  <dcterms:created xsi:type="dcterms:W3CDTF">2020-03-13T10:33:03Z</dcterms:created>
  <dcterms:modified xsi:type="dcterms:W3CDTF">2022-10-13T14:15:01Z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0x0101004288FF5E0685B14BB2EBDE467F47EB6D</vt:lpwstr>
  </property>
</Properties>
</file>